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pivotTables/pivotTable7.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7.xml" ContentType="application/vnd.openxmlformats-officedocument.drawing+xml"/>
  <Override PartName="/xl/activeX/activeX3.xml" ContentType="application/vnd.ms-office.activeX+xml"/>
  <Override PartName="/xl/activeX/activeX3.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13.xml" ContentType="application/vnd.openxmlformats-officedocument.drawing+xml"/>
  <Override PartName="/xl/activeX/activeX4.xml" ContentType="application/vnd.ms-office.activeX+xml"/>
  <Override PartName="/xl/activeX/activeX4.bin" ContentType="application/vnd.ms-office.activeX"/>
  <Override PartName="/xl/tables/table5.xml" ContentType="application/vnd.openxmlformats-officedocument.spreadsheetml.table+xml"/>
  <Override PartName="/xl/charts/chart10.xml" ContentType="application/vnd.openxmlformats-officedocument.drawingml.chart+xml"/>
  <Override PartName="/xl/charts/chart11.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16.xml" ContentType="application/vnd.openxmlformats-officedocument.drawing+xml"/>
  <Override PartName="/xl/charts/chart12.xml" ContentType="application/vnd.openxmlformats-officedocument.drawingml.chart+xml"/>
  <Override PartName="/xl/pivotTables/pivotTable24.xml" ContentType="application/vnd.openxmlformats-officedocument.spreadsheetml.pivotTable+xml"/>
  <Override PartName="/xl/tables/table8.xml" ContentType="application/vnd.openxmlformats-officedocument.spreadsheetml.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drawings/drawing1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style1.xml" ContentType="application/vnd.ms-office.chartstyle+xml"/>
  <Override PartName="/xl/charts/colors1.xml" ContentType="application/vnd.ms-office.chartcolorsty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C:\Users\khaingm\Dropbox\MYAYA_IMO\Kachin\Cluster_Report\2017\May\"/>
    </mc:Choice>
  </mc:AlternateContent>
  <bookViews>
    <workbookView xWindow="0" yWindow="1365" windowWidth="10125" windowHeight="2775" tabRatio="903" activeTab="1"/>
  </bookViews>
  <sheets>
    <sheet name="Home" sheetId="35" r:id="rId1"/>
    <sheet name="Camp List" sheetId="14" r:id="rId2"/>
    <sheet name="DistanceToCamp" sheetId="90" state="hidden" r:id="rId3"/>
    <sheet name="Camp Analysis" sheetId="33" r:id="rId4"/>
    <sheet name="Camp List (printable)" sheetId="91" r:id="rId5"/>
    <sheet name="CCCM Dashboard" sheetId="40" r:id="rId6"/>
    <sheet name="ForGIS" sheetId="87" state="hidden" r:id="rId7"/>
    <sheet name="Shelter Cross Check" sheetId="88" state="hidden" r:id="rId8"/>
    <sheet name="Map" sheetId="66" state="hidden" r:id="rId9"/>
    <sheet name="Shelter Tracking" sheetId="19" r:id="rId10"/>
    <sheet name="Define_TCL" sheetId="69" state="hidden" r:id="rId11"/>
    <sheet name="Shelter Progress" sheetId="36" r:id="rId12"/>
    <sheet name="Shelter Summary (by Agency)" sheetId="45" r:id="rId13"/>
    <sheet name="Shelter Coverage Camp" sheetId="84" state="hidden" r:id="rId14"/>
    <sheet name="Shelter Coverage &amp; Gaps" sheetId="62" r:id="rId15"/>
    <sheet name="NFI Pipeline" sheetId="30" r:id="rId16"/>
    <sheet name="NFI Tracking" sheetId="20" r:id="rId17"/>
    <sheet name="Sheet2" sheetId="92" state="hidden" r:id="rId18"/>
    <sheet name="NFI Distribution (by Tship)" sheetId="37" r:id="rId19"/>
    <sheet name="Winter Item" sheetId="86" state="hidden" r:id="rId20"/>
    <sheet name="NFI Summary" sheetId="43" r:id="rId21"/>
    <sheet name="File_Details" sheetId="77" state="hidden" r:id="rId22"/>
    <sheet name="Definition" sheetId="49" state="hidden" r:id="rId23"/>
  </sheets>
  <externalReferences>
    <externalReference r:id="rId24"/>
  </externalReferences>
  <definedNames>
    <definedName name="_xlnm._FilterDatabase" localSheetId="1" hidden="1">'Camp List'!$AM$4:$AN$4</definedName>
    <definedName name="_xlnm._FilterDatabase" localSheetId="16" hidden="1">'NFI Tracking'!$A$5:$A$1172</definedName>
    <definedName name="_xlnm._FilterDatabase" localSheetId="9" hidden="1">'Shelter Tracking'!$A$2:$Q$3</definedName>
    <definedName name="AllData_Camplist" localSheetId="8">CampList[#All]</definedName>
    <definedName name="AllData_Camplist" localSheetId="14">CampList[#All]</definedName>
    <definedName name="AllData_Camplist">CampList[#All]</definedName>
    <definedName name="Camp_Accessibility">Definition!$Q$2:$Q$4</definedName>
    <definedName name="Camp_List">CampList[#All]</definedName>
    <definedName name="Camp_Status">"Open, Close"</definedName>
    <definedName name="Camplist_HH">'Camp List'!$Q:$Q</definedName>
    <definedName name="Camplist_Popl">'Camp List'!$R:$R</definedName>
    <definedName name="CampList_Status">'Camp List'!$A:$A</definedName>
    <definedName name="Camplist_Township">'Camp List'!$F:$F</definedName>
    <definedName name="Camplist_Type_Of_Acc">'Camp List'!$V:$V</definedName>
    <definedName name="CL">Define_TCL!$G$4:$K$1000</definedName>
    <definedName name="Col_Shelter_org">'Shelter Tracking'!$B:$B</definedName>
    <definedName name="Col_Shelter_Perm_B">'Shelter Tracking'!$N:$N</definedName>
    <definedName name="Col_Shelter_Perm_P">'Shelter Tracking'!$M:$M</definedName>
    <definedName name="Col_Shelter_Perm_U">'Shelter Tracking'!$O:$O</definedName>
    <definedName name="Col_Shelter_State">'Shelter Tracking'!$D:$D</definedName>
    <definedName name="Col_Shelter_Temp_B">'Shelter Tracking'!$K:$K</definedName>
    <definedName name="Col_Shelter_Temp_P">'Shelter Tracking'!$J:$J</definedName>
    <definedName name="Col_Shelter_Temp_U">'Shelter Tracking'!$L:$L</definedName>
    <definedName name="Col_Shelter_Tent_Dist">'Shelter Tracking'!$I:$I</definedName>
    <definedName name="Col_Shelter_Township">'Shelter Tracking'!$E:$E</definedName>
    <definedName name="Kachin">Definition!$L$2:$L$24</definedName>
    <definedName name="Kashin">CampList[#All]</definedName>
    <definedName name="Kyauk_Phyu_G" localSheetId="8">Map!$P$46</definedName>
    <definedName name="Location">"Camp_G,Cluster_G"</definedName>
    <definedName name="NameTSPOP">Define_TCL!$M$4:$Q$2320</definedName>
    <definedName name="NFI">Definition!$A$2:$F$16</definedName>
    <definedName name="NFI_Blanket_Pipeline">'NFI Pipeline'!$V:$V</definedName>
    <definedName name="NFI_Blanket_Stock">'NFI Pipeline'!$U:$U</definedName>
    <definedName name="NFI_Blanket_Track">'NFI Tracking'!$AD:$AD</definedName>
    <definedName name="NFI_Clothes_Pipeline">'NFI Pipeline'!$AB:$AB</definedName>
    <definedName name="NFI_Clothes_Stock">'NFI Pipeline'!$AA:$AA</definedName>
    <definedName name="NFI_Clothes_Track">'NFI Tracking'!$AF:$AF</definedName>
    <definedName name="NFI_Core_Pipeline">'NFI Pipeline'!$J:$J</definedName>
    <definedName name="NFI_Core_Stock">'NFI Pipeline'!$I:$I</definedName>
    <definedName name="NFI_Core_Track">'NFI Tracking'!$Z:$Z</definedName>
    <definedName name="NFI_Expiration">'NFI Tracking'!$I$1</definedName>
    <definedName name="NFI_Hygiene_Pipeline">'NFI Pipeline'!$G:$G</definedName>
    <definedName name="NFI_Hygiene_Stock">'NFI Pipeline'!$F:$F</definedName>
    <definedName name="NFI_Hygiene_Track">'NFI Tracking'!$Y:$Y</definedName>
    <definedName name="NFI_Kitchen_Pipeline">'NFI Pipeline'!$Y:$Y</definedName>
    <definedName name="NFI_Kitchen_Stock">'NFI Pipeline'!$X:$X</definedName>
    <definedName name="NFI_Kitchen_Track">'NFI Tracking'!$AE:$AE</definedName>
    <definedName name="NFI_Monitor_Date">Definition!$B$24</definedName>
    <definedName name="NFI_Month">'NFI Tracking'!$A:$A</definedName>
    <definedName name="NFI_Mosquito_Pipeline">'NFI Pipeline'!$P:$P</definedName>
    <definedName name="NFI_Mosquito_Stock">'NFI Pipeline'!$O:$O</definedName>
    <definedName name="NFI_Mosquito_Track">'NFI Tracking'!$AB:$AB</definedName>
    <definedName name="NFI_Org">'NFI Tracking'!$C:$C</definedName>
    <definedName name="NFI_Pipeline_State">'NFI Pipeline'!$D:$D</definedName>
    <definedName name="NFI_Pipeline_Township">'NFI Pipeline'!$E:$E</definedName>
    <definedName name="NFI_Plastic_Bucket_Pipeline">'NFI Pipeline'!$AE:$AE</definedName>
    <definedName name="NFI_Plastic_Bucket_Stock">'NFI Pipeline'!$AD:$AD</definedName>
    <definedName name="NFI_Plastic_Bucket_Track">'NFI Tracking'!$AG:$AG</definedName>
    <definedName name="NFI_Plastic_Mat_Pipeline">'NFI Pipeline'!$AH:$AH</definedName>
    <definedName name="NFI_Plastic_Mat_Stock">'NFI Pipeline'!$AG:$AG</definedName>
    <definedName name="NFI_Plastic_Mat_Track">'NFI Tracking'!$AH:$AH</definedName>
    <definedName name="NFI_Sanitary_Pipeline">'NFI Pipeline'!$M:$M</definedName>
    <definedName name="NFI_Sanitary_Stock">'NFI Pipeline'!$L:$L</definedName>
    <definedName name="NFI_Sanitary_Track">'NFI Tracking'!$AA:$AA</definedName>
    <definedName name="NFI_State">'NFI Tracking'!$E:$E</definedName>
    <definedName name="NFI_Tarpaulin_Pipeline">'NFI Pipeline'!$S:$S</definedName>
    <definedName name="NFI_Tarpaulin_Stock">'NFI Pipeline'!$R:$R</definedName>
    <definedName name="NFI_Tarpaulin_Track">'NFI Tracking'!$AC:$AC</definedName>
    <definedName name="NFI_Township">'NFI Tracking'!$F:$F</definedName>
    <definedName name="NFI_Winter_Blanket_Pipeline">'NFI Pipeline'!$AW:$AW</definedName>
    <definedName name="NFI_Winter_Blanket_Stock">'NFI Pipeline'!$AV:$AV</definedName>
    <definedName name="NFI_Winter_Blanket_Track">'NFI Tracking'!$AL:$AL</definedName>
    <definedName name="NFI_Winter_Clothes_Adult_Pipeline">'NFI Pipeline'!$AN:$AN</definedName>
    <definedName name="NFI_Winter_Clothes_Adult_Stock">'NFI Pipeline'!$AM:$AM</definedName>
    <definedName name="NFI_Winter_Clothes_Adult_Track">'NFI Tracking'!$AI:$AI</definedName>
    <definedName name="NFI_Winter_Clothes_Children_Pipeline">'NFI Pipeline'!$AQ:$AQ</definedName>
    <definedName name="NFI_Winter_Clothes_Children_Stock">'NFI Pipeline'!$AP:$AP</definedName>
    <definedName name="NFI_Winter_Clothes_Children_Track">'NFI Tracking'!$AJ:$AJ</definedName>
    <definedName name="NFI_Winter_Items_Other_Pipeline">'NFI Pipeline'!$AT:$AT</definedName>
    <definedName name="NFI_Winter_Items_Other_Stock">'NFI Pipeline'!$AS:$AS</definedName>
    <definedName name="NFI_Winter_Items_Other_Track">'NFI Tracking'!$AK:$AK</definedName>
    <definedName name="Pcode_Priority">Table10[[Pcode]:[Priority]]</definedName>
    <definedName name="_xlnm.Print_Area" localSheetId="3">'Camp Analysis'!$A$2:$K$78</definedName>
    <definedName name="_xlnm.Print_Area" localSheetId="1">'Camp List'!$L$4:$R$103</definedName>
    <definedName name="_xlnm.Print_Area" localSheetId="5">'CCCM Dashboard'!$A$2:$S$52</definedName>
    <definedName name="_xlnm.Print_Area" localSheetId="8">Map!$A:$O</definedName>
    <definedName name="_xlnm.Print_Area" localSheetId="18">'NFI Distribution (by Tship)'!$A$2:$Z$29</definedName>
    <definedName name="_xlnm.Print_Area" localSheetId="15">'NFI Pipeline'!$A$5:$AI$6</definedName>
    <definedName name="_xlnm.Print_Area" localSheetId="20">'NFI Summary'!$B$2:$T$39</definedName>
    <definedName name="_xlnm.Print_Area" localSheetId="16">'NFI Tracking'!$A$5:$O$5</definedName>
    <definedName name="_xlnm.Print_Area" localSheetId="14">'Shelter Coverage &amp; Gaps'!$A$1:$N$46</definedName>
    <definedName name="_xlnm.Print_Area" localSheetId="11">'Shelter Progress'!$A$2:$O$99</definedName>
    <definedName name="_xlnm.Print_Area" localSheetId="12">'Shelter Summary (by Agency)'!$A$2:$F$55</definedName>
    <definedName name="_xlnm.Print_Titles" localSheetId="4">'Camp List (printable)'!$7:$7</definedName>
    <definedName name="_xlnm.Print_Titles" localSheetId="7">'Shelter Cross Check'!$3:$3</definedName>
    <definedName name="PriorityCampWin">Table10[[Pcode]:[Priority]]</definedName>
    <definedName name="Rakhine_DB" localSheetId="8">Map!$T$2:$AD$25</definedName>
    <definedName name="Report_Date">Definition!$B$23</definedName>
    <definedName name="Shan_North">Definition!$N$2:$N$7</definedName>
    <definedName name="Shelter_Draw_Ratio">'Shelter Coverage &amp; Gaps'!#REF!</definedName>
    <definedName name="Shelter_Gap">'Camp List'!$AF:$AF</definedName>
    <definedName name="Shelter_HH_Covered">'Shelter Tracking'!$Q:$Q</definedName>
    <definedName name="Shelter_HH_Covered_1">'Shelter Tracking'!$P:$P</definedName>
    <definedName name="Shelter_HH_Covered_old">'Shelter Tracking'!$Q:$Q</definedName>
    <definedName name="Shelter_possible">'Camp List'!$AH:$AH</definedName>
    <definedName name="Stat01">'Camp Analysis'!$A$56</definedName>
    <definedName name="State">Definition!$J$2:$J$4</definedName>
    <definedName name="TCL_C">Define_TCL!$B$4:$B$1000</definedName>
    <definedName name="TCL_T">Define_TCL!$A$4:$A$1000</definedName>
    <definedName name="TCL_T1">Define_TCL!$A$4</definedName>
    <definedName name="WinAccomo">Define_TCL!$U$4:$V$233</definedName>
  </definedNames>
  <calcPr calcId="152511"/>
  <pivotCaches>
    <pivotCache cacheId="0" r:id="rId25"/>
    <pivotCache cacheId="1" r:id="rId26"/>
    <pivotCache cacheId="2" r:id="rId27"/>
    <pivotCache cacheId="18" r:id="rId28"/>
    <pivotCache cacheId="25" r:id="rId29"/>
  </pivotCaches>
</workbook>
</file>

<file path=xl/calcChain.xml><?xml version="1.0" encoding="utf-8"?>
<calcChain xmlns="http://schemas.openxmlformats.org/spreadsheetml/2006/main">
  <c r="AF49" i="14" l="1"/>
  <c r="AF63" i="14"/>
  <c r="AF64" i="14"/>
  <c r="AF65" i="14"/>
  <c r="AF67" i="14"/>
  <c r="AF68" i="14"/>
  <c r="AF69" i="14"/>
  <c r="AF79" i="14"/>
  <c r="AF89" i="14"/>
  <c r="AF94" i="14"/>
  <c r="AF99" i="14"/>
  <c r="AF101" i="14"/>
  <c r="AF103" i="14"/>
  <c r="AF130" i="14"/>
  <c r="AF135" i="14"/>
  <c r="AF137" i="14"/>
  <c r="AF141" i="14"/>
  <c r="AF171" i="14"/>
  <c r="AF172" i="14"/>
  <c r="AF173" i="14"/>
  <c r="AF174" i="14"/>
  <c r="AF175" i="14"/>
  <c r="AF181" i="14"/>
  <c r="AF194" i="14"/>
  <c r="AF200" i="14"/>
  <c r="AF205" i="14"/>
  <c r="AF206" i="14"/>
  <c r="AF208" i="14"/>
  <c r="AF213" i="14"/>
  <c r="AF226" i="14"/>
  <c r="AF229" i="14"/>
  <c r="AF273" i="14"/>
  <c r="B7" i="36"/>
  <c r="B9" i="36"/>
  <c r="CG6" i="62"/>
  <c r="CG8" i="62"/>
  <c r="CG7" i="62"/>
  <c r="B10" i="36" l="1"/>
  <c r="AN60" i="40" l="1"/>
  <c r="AN61" i="40"/>
  <c r="AN62" i="40"/>
  <c r="AN63" i="40"/>
  <c r="AN64" i="40"/>
  <c r="AN65" i="40"/>
  <c r="AN66" i="40"/>
  <c r="AN67" i="40"/>
  <c r="AN68" i="40"/>
  <c r="AN69" i="40"/>
  <c r="AN50" i="40"/>
  <c r="AN51" i="40"/>
  <c r="AN52" i="40"/>
  <c r="AN53" i="40"/>
  <c r="AN54" i="40"/>
  <c r="AN55" i="40"/>
  <c r="AN56" i="40"/>
  <c r="AN57" i="40"/>
  <c r="AN58" i="40"/>
  <c r="AN59" i="40"/>
  <c r="AM67" i="40"/>
  <c r="AM68" i="40"/>
  <c r="AM69" i="40"/>
  <c r="AL67" i="40"/>
  <c r="AL68" i="40"/>
  <c r="AL69" i="40"/>
  <c r="AK67" i="40"/>
  <c r="AK68" i="40"/>
  <c r="AK69" i="40"/>
  <c r="AJ67" i="40"/>
  <c r="AJ68" i="40"/>
  <c r="AJ69" i="40"/>
  <c r="AJ47" i="40"/>
  <c r="AO69" i="40" l="1"/>
  <c r="AO67" i="40"/>
  <c r="AO68" i="40"/>
  <c r="E13" i="37" l="1"/>
  <c r="F13" i="37"/>
  <c r="G13" i="37"/>
  <c r="E14" i="37"/>
  <c r="F14" i="37"/>
  <c r="G14" i="37"/>
  <c r="D13" i="37"/>
  <c r="D14" i="37"/>
  <c r="B10" i="37" l="1"/>
  <c r="B8" i="37"/>
  <c r="B9" i="37"/>
  <c r="B11" i="37"/>
  <c r="B12" i="37"/>
  <c r="B13" i="37"/>
  <c r="B14" i="37"/>
  <c r="B15" i="37"/>
  <c r="B16" i="37"/>
  <c r="B17" i="37"/>
  <c r="B18" i="37"/>
  <c r="B19" i="37"/>
  <c r="B20" i="37"/>
  <c r="B21" i="37"/>
  <c r="B22" i="37"/>
  <c r="B23" i="37"/>
  <c r="B24" i="37"/>
  <c r="B25" i="37"/>
  <c r="B26" i="37"/>
  <c r="B27" i="37"/>
  <c r="B28" i="37"/>
  <c r="B29" i="37"/>
  <c r="C9" i="37"/>
  <c r="C10" i="37"/>
  <c r="C11" i="37"/>
  <c r="C12" i="37"/>
  <c r="C13" i="37"/>
  <c r="C14" i="37"/>
  <c r="C15" i="37"/>
  <c r="C16" i="37"/>
  <c r="C17" i="37"/>
  <c r="C18" i="37"/>
  <c r="C19" i="37"/>
  <c r="C20" i="37"/>
  <c r="C21" i="37"/>
  <c r="C22" i="37"/>
  <c r="C23" i="37"/>
  <c r="C24" i="37"/>
  <c r="C25" i="37"/>
  <c r="C26" i="37"/>
  <c r="C27" i="37"/>
  <c r="C28" i="37"/>
  <c r="C29" i="37"/>
  <c r="H14" i="37" l="1"/>
  <c r="G8" i="36" l="1"/>
  <c r="G9" i="36"/>
  <c r="G10" i="36"/>
  <c r="G11" i="36"/>
  <c r="G12" i="36"/>
  <c r="G13" i="36"/>
  <c r="G14" i="36"/>
  <c r="G15" i="36"/>
  <c r="G16" i="36"/>
  <c r="G17" i="36"/>
  <c r="G18" i="36"/>
  <c r="G19" i="36"/>
  <c r="G20" i="36"/>
  <c r="G21" i="36"/>
  <c r="G22" i="36"/>
  <c r="G23" i="36"/>
  <c r="G24" i="36"/>
  <c r="G25" i="36"/>
  <c r="G26" i="36"/>
  <c r="G27" i="36"/>
  <c r="G28" i="36"/>
  <c r="F8" i="36"/>
  <c r="F9" i="36"/>
  <c r="F10" i="36"/>
  <c r="F11" i="36"/>
  <c r="F12" i="36"/>
  <c r="F13" i="36"/>
  <c r="F14" i="36"/>
  <c r="F15" i="36"/>
  <c r="F16" i="36"/>
  <c r="F17" i="36"/>
  <c r="F18" i="36"/>
  <c r="F19" i="36"/>
  <c r="F20" i="36"/>
  <c r="F21" i="36"/>
  <c r="F22" i="36"/>
  <c r="F23" i="36"/>
  <c r="F24" i="36"/>
  <c r="F25" i="36"/>
  <c r="F26" i="36"/>
  <c r="F27" i="36"/>
  <c r="F28" i="36"/>
  <c r="E8" i="36"/>
  <c r="E9" i="36"/>
  <c r="E10" i="36"/>
  <c r="E11" i="36"/>
  <c r="E12" i="36"/>
  <c r="E13" i="36"/>
  <c r="E14" i="36"/>
  <c r="E15" i="36"/>
  <c r="E16" i="36"/>
  <c r="E17" i="36"/>
  <c r="E18" i="36"/>
  <c r="E19" i="36"/>
  <c r="E20" i="36"/>
  <c r="E21" i="36"/>
  <c r="E22" i="36"/>
  <c r="E23" i="36"/>
  <c r="E24" i="36"/>
  <c r="E25" i="36"/>
  <c r="E26" i="36"/>
  <c r="E27" i="36"/>
  <c r="E28" i="36"/>
  <c r="D8" i="36"/>
  <c r="D9" i="36"/>
  <c r="D10" i="36"/>
  <c r="D11" i="36"/>
  <c r="D12" i="36"/>
  <c r="D13" i="36"/>
  <c r="D14" i="36"/>
  <c r="D15" i="36"/>
  <c r="D16" i="36"/>
  <c r="D17" i="36"/>
  <c r="D18" i="36"/>
  <c r="D19" i="36"/>
  <c r="D20" i="36"/>
  <c r="D21" i="36"/>
  <c r="D22" i="36"/>
  <c r="D23" i="36"/>
  <c r="D24" i="36"/>
  <c r="D25" i="36"/>
  <c r="D26" i="36"/>
  <c r="D27" i="36"/>
  <c r="D28" i="36"/>
  <c r="C25" i="36"/>
  <c r="C26" i="36"/>
  <c r="C23" i="36"/>
  <c r="C24" i="36"/>
  <c r="C21" i="36"/>
  <c r="C22" i="36"/>
  <c r="C18" i="36"/>
  <c r="C19" i="36"/>
  <c r="C20" i="36"/>
  <c r="C15" i="36"/>
  <c r="C16" i="36"/>
  <c r="C17" i="36"/>
  <c r="C12" i="36"/>
  <c r="C13" i="36"/>
  <c r="C14" i="36"/>
  <c r="C8" i="36"/>
  <c r="C9" i="36"/>
  <c r="C10" i="36"/>
  <c r="C11" i="36"/>
  <c r="C27" i="36"/>
  <c r="C28" i="36"/>
  <c r="B8" i="36"/>
  <c r="B11" i="36"/>
  <c r="B12" i="36"/>
  <c r="B13" i="36"/>
  <c r="B14" i="36"/>
  <c r="B15" i="36"/>
  <c r="B16" i="36"/>
  <c r="B17" i="36"/>
  <c r="B18" i="36"/>
  <c r="B19" i="36"/>
  <c r="B20" i="36"/>
  <c r="B21" i="36"/>
  <c r="B22" i="36"/>
  <c r="B23" i="36"/>
  <c r="B24" i="36"/>
  <c r="B25" i="36"/>
  <c r="B26" i="36"/>
  <c r="B27" i="36"/>
  <c r="B28" i="36"/>
  <c r="C7" i="36"/>
  <c r="P7" i="36" s="1"/>
  <c r="P12" i="36" l="1"/>
  <c r="P13" i="36"/>
  <c r="P15" i="36"/>
  <c r="P26" i="36"/>
  <c r="P17" i="36"/>
  <c r="P10" i="36"/>
  <c r="P8" i="36"/>
  <c r="P24" i="36"/>
  <c r="P27" i="36"/>
  <c r="P19" i="36"/>
  <c r="P25" i="36"/>
  <c r="P21" i="36"/>
  <c r="P28" i="36"/>
  <c r="P20" i="36"/>
  <c r="P9" i="36"/>
  <c r="P22" i="36"/>
  <c r="P18" i="36"/>
  <c r="P14" i="36"/>
  <c r="P16" i="36"/>
  <c r="P23" i="36"/>
  <c r="P11" i="36"/>
  <c r="S285" i="14"/>
  <c r="AI285" i="14"/>
  <c r="AJ285" i="14"/>
  <c r="AK285" i="14" s="1"/>
  <c r="A9" i="20" l="1"/>
  <c r="AM9" i="20"/>
  <c r="AQ9" i="20"/>
  <c r="AR9" i="20" s="1"/>
  <c r="AS9" i="20"/>
  <c r="AU9" i="20"/>
  <c r="A11" i="20"/>
  <c r="AF11" i="20" s="1"/>
  <c r="A10" i="20"/>
  <c r="AF10" i="20" s="1"/>
  <c r="A6" i="20"/>
  <c r="A7" i="20"/>
  <c r="A8" i="20"/>
  <c r="AM11" i="20"/>
  <c r="AM10" i="20"/>
  <c r="AM6" i="20"/>
  <c r="AM7" i="20"/>
  <c r="AM8" i="20"/>
  <c r="AQ11" i="20"/>
  <c r="AR11" i="20" s="1"/>
  <c r="AQ10" i="20"/>
  <c r="AR10" i="20" s="1"/>
  <c r="AQ6" i="20"/>
  <c r="AR6" i="20" s="1"/>
  <c r="AQ7" i="20"/>
  <c r="AQ8" i="20"/>
  <c r="AR8" i="20" s="1"/>
  <c r="AS11" i="20"/>
  <c r="AS10" i="20"/>
  <c r="AS6" i="20"/>
  <c r="AS7" i="20"/>
  <c r="AS8" i="20"/>
  <c r="AU11" i="20"/>
  <c r="AU10" i="20"/>
  <c r="AU6" i="20"/>
  <c r="AU7" i="20"/>
  <c r="AU8" i="20"/>
  <c r="A12" i="20"/>
  <c r="AF12" i="20" s="1"/>
  <c r="AM12" i="20"/>
  <c r="AQ12" i="20"/>
  <c r="AR12" i="20" s="1"/>
  <c r="AS12" i="20"/>
  <c r="AU12" i="20"/>
  <c r="A13" i="20"/>
  <c r="AM13" i="20"/>
  <c r="AQ13" i="20"/>
  <c r="AR13" i="20" s="1"/>
  <c r="AS13" i="20"/>
  <c r="AU13" i="20"/>
  <c r="AT7" i="20" l="1"/>
  <c r="AR7" i="20"/>
  <c r="AT9" i="20"/>
  <c r="AT6" i="20"/>
  <c r="AT10" i="20"/>
  <c r="AT8" i="20"/>
  <c r="AT11" i="20"/>
  <c r="AT12" i="20"/>
  <c r="AT13" i="20"/>
  <c r="A14" i="20" l="1"/>
  <c r="AM14" i="20"/>
  <c r="AQ14" i="20"/>
  <c r="AR14" i="20" s="1"/>
  <c r="AS14" i="20"/>
  <c r="AU14" i="20"/>
  <c r="AT14" i="20" l="1"/>
  <c r="S223" i="14"/>
  <c r="AI223" i="14"/>
  <c r="AJ223" i="14"/>
  <c r="AK223" i="14" s="1"/>
  <c r="T179" i="19"/>
  <c r="U179" i="19"/>
  <c r="T6" i="19"/>
  <c r="U6" i="19"/>
  <c r="Q6" i="19" s="1"/>
  <c r="P6" i="19" s="1"/>
  <c r="V6" i="19" s="1"/>
  <c r="T8" i="19"/>
  <c r="U8" i="19"/>
  <c r="T7" i="19"/>
  <c r="U7" i="19"/>
  <c r="Q7" i="19" s="1"/>
  <c r="P7" i="19" s="1"/>
  <c r="T5" i="19"/>
  <c r="U5" i="19"/>
  <c r="Q5" i="19" s="1"/>
  <c r="P5" i="19" s="1"/>
  <c r="V5" i="19" l="1"/>
  <c r="V7" i="19"/>
  <c r="Q179" i="19"/>
  <c r="P179" i="19" s="1"/>
  <c r="V179" i="19" s="1"/>
  <c r="Q8" i="19"/>
  <c r="P8" i="19" s="1"/>
  <c r="V8" i="19" s="1"/>
  <c r="S222" i="14"/>
  <c r="AI222" i="14"/>
  <c r="AJ222" i="14"/>
  <c r="AK222" i="14" s="1"/>
  <c r="A18" i="20" l="1"/>
  <c r="AM18" i="20"/>
  <c r="AQ18" i="20"/>
  <c r="AR18" i="20" s="1"/>
  <c r="AS18" i="20"/>
  <c r="AU18" i="20"/>
  <c r="A16" i="20"/>
  <c r="AM16" i="20"/>
  <c r="AQ16" i="20"/>
  <c r="AR16" i="20" s="1"/>
  <c r="AS16" i="20"/>
  <c r="AU16" i="20"/>
  <c r="A19" i="20"/>
  <c r="AF19" i="20" s="1"/>
  <c r="AM19" i="20"/>
  <c r="AQ19" i="20"/>
  <c r="AR19" i="20" s="1"/>
  <c r="AS19" i="20"/>
  <c r="AU19" i="20"/>
  <c r="A25" i="20"/>
  <c r="AM25" i="20"/>
  <c r="AQ25" i="20"/>
  <c r="AR25" i="20" s="1"/>
  <c r="AS25" i="20"/>
  <c r="AU25" i="20"/>
  <c r="A29" i="20"/>
  <c r="A28" i="20"/>
  <c r="A26" i="20"/>
  <c r="A27" i="20"/>
  <c r="AM29" i="20"/>
  <c r="AM28" i="20"/>
  <c r="AM26" i="20"/>
  <c r="AM27" i="20"/>
  <c r="AQ29" i="20"/>
  <c r="AT29" i="20" s="1"/>
  <c r="AQ28" i="20"/>
  <c r="AT28" i="20" s="1"/>
  <c r="AQ26" i="20"/>
  <c r="AR26" i="20" s="1"/>
  <c r="AQ27" i="20"/>
  <c r="AR27" i="20" s="1"/>
  <c r="AS29" i="20"/>
  <c r="AS28" i="20"/>
  <c r="AS26" i="20"/>
  <c r="AS27" i="20"/>
  <c r="AU29" i="20"/>
  <c r="AU28" i="20"/>
  <c r="AU26" i="20"/>
  <c r="AU27" i="20"/>
  <c r="A51" i="20"/>
  <c r="AM51" i="20"/>
  <c r="AQ51" i="20"/>
  <c r="AR51" i="20" s="1"/>
  <c r="AS51" i="20"/>
  <c r="AU51" i="20"/>
  <c r="A62" i="20"/>
  <c r="AM62" i="20"/>
  <c r="AQ62" i="20"/>
  <c r="AR62" i="20" s="1"/>
  <c r="AS62" i="20"/>
  <c r="AU62" i="20"/>
  <c r="A61" i="20"/>
  <c r="AM61" i="20"/>
  <c r="AQ61" i="20"/>
  <c r="AR61" i="20" s="1"/>
  <c r="AS61" i="20"/>
  <c r="AU61" i="20"/>
  <c r="A64" i="20"/>
  <c r="AM64" i="20"/>
  <c r="AQ64" i="20"/>
  <c r="AT64" i="20" s="1"/>
  <c r="AS64" i="20"/>
  <c r="AU64" i="20"/>
  <c r="A32" i="20"/>
  <c r="AM32" i="20"/>
  <c r="AQ32" i="20"/>
  <c r="AR32" i="20" s="1"/>
  <c r="AS32" i="20"/>
  <c r="AU32" i="20"/>
  <c r="AR29" i="20" l="1"/>
  <c r="AT18" i="20"/>
  <c r="AT16" i="20"/>
  <c r="AR28" i="20"/>
  <c r="AT27" i="20"/>
  <c r="AT26" i="20"/>
  <c r="AT19" i="20"/>
  <c r="AT25" i="20"/>
  <c r="AT51" i="20"/>
  <c r="AT62" i="20"/>
  <c r="AT61" i="20"/>
  <c r="AR64" i="20"/>
  <c r="AT32" i="20"/>
  <c r="CF29" i="62" l="1"/>
  <c r="CF30" i="62"/>
  <c r="CF31" i="62"/>
  <c r="CF32" i="62"/>
  <c r="CF33" i="62"/>
  <c r="CF34" i="62"/>
  <c r="CH29" i="62"/>
  <c r="CH30" i="62"/>
  <c r="CH31" i="62"/>
  <c r="CH32" i="62"/>
  <c r="CH33" i="62"/>
  <c r="CH34" i="62"/>
  <c r="CI29" i="62"/>
  <c r="CI30" i="62"/>
  <c r="CI31" i="62"/>
  <c r="CI32" i="62"/>
  <c r="CI33" i="62"/>
  <c r="CI34" i="62"/>
  <c r="CG32" i="62" l="1"/>
  <c r="CG34" i="62"/>
  <c r="CG30" i="62"/>
  <c r="CG33" i="62"/>
  <c r="CG29" i="62"/>
  <c r="CG31" i="62"/>
  <c r="A17" i="20"/>
  <c r="AM17" i="20"/>
  <c r="AQ17" i="20"/>
  <c r="AR17" i="20" s="1"/>
  <c r="AS17" i="20"/>
  <c r="AU17" i="20"/>
  <c r="T14" i="19"/>
  <c r="U14" i="19"/>
  <c r="Q14" i="19" s="1"/>
  <c r="P14" i="19" s="1"/>
  <c r="T274" i="19"/>
  <c r="U274" i="19"/>
  <c r="Q274" i="19" s="1"/>
  <c r="P274" i="19" s="1"/>
  <c r="V274" i="19" s="1"/>
  <c r="A21" i="20"/>
  <c r="AM21" i="20"/>
  <c r="AQ21" i="20"/>
  <c r="AR21" i="20" s="1"/>
  <c r="AS21" i="20"/>
  <c r="AU21" i="20"/>
  <c r="A22" i="20"/>
  <c r="AM22" i="20"/>
  <c r="AQ22" i="20"/>
  <c r="AR22" i="20" s="1"/>
  <c r="AS22" i="20"/>
  <c r="AU22" i="20"/>
  <c r="A15" i="20"/>
  <c r="AM15" i="20"/>
  <c r="AQ15" i="20"/>
  <c r="AR15" i="20" s="1"/>
  <c r="AS15" i="20"/>
  <c r="AU15" i="20"/>
  <c r="AJ221" i="14"/>
  <c r="AK221" i="14" s="1"/>
  <c r="AI221" i="14"/>
  <c r="AI220" i="14"/>
  <c r="S221" i="14"/>
  <c r="S220" i="14"/>
  <c r="CG4" i="62"/>
  <c r="V14" i="19" l="1"/>
  <c r="AT17" i="20"/>
  <c r="AT21" i="20"/>
  <c r="AT22" i="20"/>
  <c r="AT15" i="20"/>
  <c r="AE24" i="66" l="1"/>
  <c r="AF24" i="66"/>
  <c r="AF9" i="66"/>
  <c r="AE13" i="66"/>
  <c r="AE11" i="66"/>
  <c r="AE10" i="66"/>
  <c r="AE8" i="66"/>
  <c r="AE7" i="66"/>
  <c r="AE3" i="66"/>
  <c r="Z3" i="66"/>
  <c r="AF7" i="66"/>
  <c r="S284" i="14" l="1"/>
  <c r="AI284" i="14"/>
  <c r="AJ284" i="14"/>
  <c r="AK284" i="14" s="1"/>
  <c r="S283" i="14"/>
  <c r="AI283" i="14"/>
  <c r="AJ283" i="14"/>
  <c r="AK283" i="14" s="1"/>
  <c r="T9" i="19"/>
  <c r="U9" i="19"/>
  <c r="T10" i="19"/>
  <c r="U10" i="19"/>
  <c r="T13" i="19"/>
  <c r="U13" i="19"/>
  <c r="Q13" i="19" s="1"/>
  <c r="P13" i="19" s="1"/>
  <c r="V13" i="19" s="1"/>
  <c r="Q9" i="19" l="1"/>
  <c r="P9" i="19" s="1"/>
  <c r="Q10" i="19"/>
  <c r="P10" i="19" s="1"/>
  <c r="V9" i="19" l="1"/>
  <c r="V10" i="19"/>
  <c r="A23" i="20"/>
  <c r="AM23" i="20"/>
  <c r="AQ23" i="20"/>
  <c r="AR23" i="20" s="1"/>
  <c r="AS23" i="20"/>
  <c r="AU23" i="20"/>
  <c r="A24" i="20"/>
  <c r="AM24" i="20"/>
  <c r="AQ24" i="20"/>
  <c r="AR24" i="20" s="1"/>
  <c r="AS24" i="20"/>
  <c r="AU24" i="20"/>
  <c r="A20" i="20"/>
  <c r="AM20" i="20"/>
  <c r="AQ20" i="20"/>
  <c r="AR20" i="20" s="1"/>
  <c r="AS20" i="20"/>
  <c r="AU20" i="20"/>
  <c r="T18" i="19"/>
  <c r="U18" i="19"/>
  <c r="T17" i="19"/>
  <c r="U17" i="19"/>
  <c r="T19" i="19"/>
  <c r="U19" i="19"/>
  <c r="Q19" i="19" s="1"/>
  <c r="P19" i="19" s="1"/>
  <c r="V19" i="19" l="1"/>
  <c r="AT23" i="20"/>
  <c r="AT24" i="20"/>
  <c r="AT20" i="20"/>
  <c r="Q18" i="19"/>
  <c r="P18" i="19" s="1"/>
  <c r="V18" i="19" s="1"/>
  <c r="Q17" i="19"/>
  <c r="P17" i="19" s="1"/>
  <c r="AU30" i="20"/>
  <c r="AU46" i="20"/>
  <c r="AU45" i="20"/>
  <c r="AU43" i="20"/>
  <c r="AU31" i="20"/>
  <c r="AU33" i="20"/>
  <c r="A63" i="20"/>
  <c r="A59" i="20"/>
  <c r="AM63" i="20"/>
  <c r="AM59" i="20"/>
  <c r="AQ63" i="20"/>
  <c r="AR63" i="20" s="1"/>
  <c r="AQ59" i="20"/>
  <c r="AT59" i="20" s="1"/>
  <c r="AS63" i="20"/>
  <c r="AS59" i="20"/>
  <c r="AU63" i="20"/>
  <c r="AU59" i="20"/>
  <c r="A54" i="20"/>
  <c r="A55" i="20"/>
  <c r="A56" i="20"/>
  <c r="A57" i="20"/>
  <c r="A58" i="20"/>
  <c r="A50" i="20"/>
  <c r="AM54" i="20"/>
  <c r="AM55" i="20"/>
  <c r="AM56" i="20"/>
  <c r="AM57" i="20"/>
  <c r="AM58" i="20"/>
  <c r="AM50" i="20"/>
  <c r="AQ54" i="20"/>
  <c r="AR54" i="20" s="1"/>
  <c r="AQ55" i="20"/>
  <c r="AT55" i="20" s="1"/>
  <c r="AQ56" i="20"/>
  <c r="AT56" i="20" s="1"/>
  <c r="AQ57" i="20"/>
  <c r="AT57" i="20" s="1"/>
  <c r="AQ58" i="20"/>
  <c r="AR58" i="20" s="1"/>
  <c r="AQ50" i="20"/>
  <c r="AT50" i="20" s="1"/>
  <c r="AS54" i="20"/>
  <c r="AS55" i="20"/>
  <c r="AS56" i="20"/>
  <c r="AS57" i="20"/>
  <c r="AS58" i="20"/>
  <c r="AS50" i="20"/>
  <c r="AU54" i="20"/>
  <c r="AU55" i="20"/>
  <c r="AU56" i="20"/>
  <c r="AU57" i="20"/>
  <c r="AU58" i="20"/>
  <c r="AU50" i="20"/>
  <c r="A49" i="20"/>
  <c r="AM49" i="20"/>
  <c r="AQ49" i="20"/>
  <c r="AT49" i="20" s="1"/>
  <c r="AS49" i="20"/>
  <c r="AU49" i="20"/>
  <c r="A67" i="20"/>
  <c r="AM67" i="20"/>
  <c r="AQ67" i="20"/>
  <c r="AT67" i="20" s="1"/>
  <c r="AS67" i="20"/>
  <c r="AU67" i="20"/>
  <c r="V17" i="19" l="1"/>
  <c r="AT58" i="20"/>
  <c r="AR59" i="20"/>
  <c r="AR57" i="20"/>
  <c r="AT63" i="20"/>
  <c r="AR56" i="20"/>
  <c r="AT54" i="20"/>
  <c r="AR50" i="20"/>
  <c r="AR55" i="20"/>
  <c r="AR49" i="20"/>
  <c r="AR67" i="20"/>
  <c r="AU65" i="20" l="1"/>
  <c r="AU66" i="20"/>
  <c r="AU60" i="20"/>
  <c r="AU47" i="20"/>
  <c r="AU48" i="20"/>
  <c r="AS65" i="20"/>
  <c r="AQ65" i="20"/>
  <c r="AT65" i="20" s="1"/>
  <c r="AQ66" i="20"/>
  <c r="AT66" i="20" s="1"/>
  <c r="AQ60" i="20"/>
  <c r="AT60" i="20" s="1"/>
  <c r="AQ47" i="20"/>
  <c r="AT47" i="20" s="1"/>
  <c r="AS66" i="20"/>
  <c r="AS60" i="20"/>
  <c r="AS47" i="20"/>
  <c r="AS48" i="20"/>
  <c r="AS30" i="20"/>
  <c r="A65" i="20"/>
  <c r="A66" i="20"/>
  <c r="A60" i="20"/>
  <c r="AU39" i="20" l="1"/>
  <c r="S282" i="14" l="1"/>
  <c r="AI282" i="14"/>
  <c r="AJ282" i="14"/>
  <c r="AK282" i="14" s="1"/>
  <c r="AR87" i="20" l="1"/>
  <c r="AS101" i="20"/>
  <c r="AS102" i="20"/>
  <c r="AS103" i="20"/>
  <c r="AS104" i="20"/>
  <c r="AS105" i="20"/>
  <c r="AS106" i="20"/>
  <c r="AS107" i="20"/>
  <c r="AS108" i="20"/>
  <c r="AS109" i="20"/>
  <c r="AS110" i="20"/>
  <c r="AS114" i="20"/>
  <c r="AS87" i="20"/>
  <c r="W4" i="43" l="1"/>
  <c r="E12" i="43" s="1"/>
  <c r="D12" i="43"/>
  <c r="AQ1167" i="20"/>
  <c r="AR1167" i="20" s="1"/>
  <c r="AQ1168" i="20"/>
  <c r="AR1168" i="20" s="1"/>
  <c r="AQ1169" i="20"/>
  <c r="AR1169" i="20" s="1"/>
  <c r="AQ1170" i="20"/>
  <c r="AR1170" i="20" s="1"/>
  <c r="AQ1171" i="20"/>
  <c r="AR1171" i="20" s="1"/>
  <c r="AQ1172" i="20"/>
  <c r="AR1172" i="20" s="1"/>
  <c r="AQ1162" i="20"/>
  <c r="AR1162" i="20" s="1"/>
  <c r="AQ1163" i="20"/>
  <c r="AR1163" i="20" s="1"/>
  <c r="AQ1164" i="20"/>
  <c r="AR1164" i="20" s="1"/>
  <c r="AQ1165" i="20"/>
  <c r="AQ1166" i="20"/>
  <c r="AQ1160" i="20"/>
  <c r="AR1160" i="20" s="1"/>
  <c r="AQ1161" i="20"/>
  <c r="AQ1157" i="20"/>
  <c r="AQ1158" i="20"/>
  <c r="AR1158" i="20" s="1"/>
  <c r="AQ1159" i="20"/>
  <c r="AR1159" i="20" s="1"/>
  <c r="AQ1156" i="20"/>
  <c r="AR1156" i="20" s="1"/>
  <c r="AQ1153" i="20"/>
  <c r="AQ1154" i="20"/>
  <c r="AR1154" i="20" s="1"/>
  <c r="AQ1155" i="20"/>
  <c r="AR1155" i="20" s="1"/>
  <c r="AQ1152" i="20"/>
  <c r="AQ1151" i="20"/>
  <c r="AQ1150" i="20"/>
  <c r="AR1150" i="20" s="1"/>
  <c r="AQ1149" i="20"/>
  <c r="AR1149" i="20" s="1"/>
  <c r="AQ1148" i="20"/>
  <c r="AQ1144" i="20"/>
  <c r="AQ1147" i="20"/>
  <c r="AR1147" i="20" s="1"/>
  <c r="AQ1145" i="20"/>
  <c r="AR1145" i="20" s="1"/>
  <c r="AQ1146" i="20"/>
  <c r="AR1146" i="20" s="1"/>
  <c r="AQ1140" i="20"/>
  <c r="AR1140" i="20" s="1"/>
  <c r="AQ1141" i="20"/>
  <c r="AR1141" i="20" s="1"/>
  <c r="AQ1142" i="20"/>
  <c r="AR1142" i="20" s="1"/>
  <c r="AQ1143" i="20"/>
  <c r="AQ1139" i="20"/>
  <c r="AQ1138" i="20"/>
  <c r="AR1138" i="20" s="1"/>
  <c r="AQ1137" i="20"/>
  <c r="AR1137" i="20" s="1"/>
  <c r="AQ1136" i="20"/>
  <c r="AR1136" i="20" s="1"/>
  <c r="AQ1135" i="20"/>
  <c r="AQ1134" i="20"/>
  <c r="AR1134" i="20" s="1"/>
  <c r="AQ1133" i="20"/>
  <c r="AQ1129" i="20"/>
  <c r="AR1129" i="20" s="1"/>
  <c r="AQ1130" i="20"/>
  <c r="AQ1131" i="20"/>
  <c r="AR1131" i="20" s="1"/>
  <c r="AQ1132" i="20"/>
  <c r="AQ1127" i="20"/>
  <c r="AR1127" i="20" s="1"/>
  <c r="AQ1128" i="20"/>
  <c r="AQ1126" i="20"/>
  <c r="AR1126" i="20" s="1"/>
  <c r="AQ1113" i="20"/>
  <c r="AQ1114" i="20"/>
  <c r="AQ1115" i="20"/>
  <c r="AQ1116" i="20"/>
  <c r="AR1116" i="20" s="1"/>
  <c r="AQ1117" i="20"/>
  <c r="AR1117" i="20" s="1"/>
  <c r="AQ1119" i="20"/>
  <c r="AQ1120" i="20"/>
  <c r="AR1120" i="20" s="1"/>
  <c r="AQ1121" i="20"/>
  <c r="AR1121" i="20" s="1"/>
  <c r="AQ1118" i="20"/>
  <c r="AR1118" i="20" s="1"/>
  <c r="AQ1122" i="20"/>
  <c r="AQ1123" i="20"/>
  <c r="AQ1124" i="20"/>
  <c r="AR1124" i="20" s="1"/>
  <c r="AQ1125" i="20"/>
  <c r="AR1125" i="20" s="1"/>
  <c r="AQ1112" i="20"/>
  <c r="AQ1111" i="20"/>
  <c r="AQ1110" i="20"/>
  <c r="AR1110" i="20" s="1"/>
  <c r="AQ1108" i="20"/>
  <c r="AQ1109" i="20"/>
  <c r="AR1109" i="20" s="1"/>
  <c r="AQ1107" i="20"/>
  <c r="AR1107" i="20" s="1"/>
  <c r="AQ1105" i="20"/>
  <c r="AR1105" i="20" s="1"/>
  <c r="AQ1106" i="20"/>
  <c r="AR1106" i="20" s="1"/>
  <c r="AQ1104" i="20"/>
  <c r="AR1104" i="20" s="1"/>
  <c r="AQ1103" i="20"/>
  <c r="AQ1102" i="20"/>
  <c r="AQ1100" i="20"/>
  <c r="AQ1101" i="20"/>
  <c r="AR1101" i="20" s="1"/>
  <c r="AQ1099" i="20"/>
  <c r="AR1099" i="20" s="1"/>
  <c r="AQ1097" i="20"/>
  <c r="AR1097" i="20" s="1"/>
  <c r="AQ1098" i="20"/>
  <c r="AR1098" i="20" s="1"/>
  <c r="AQ1096" i="20"/>
  <c r="AR1096" i="20" s="1"/>
  <c r="AQ1094" i="20"/>
  <c r="AQ1095" i="20"/>
  <c r="AQ1092" i="20"/>
  <c r="AR1092" i="20" s="1"/>
  <c r="AQ1093" i="20"/>
  <c r="AQ1091" i="20"/>
  <c r="AQ1089" i="20"/>
  <c r="AR1089" i="20" s="1"/>
  <c r="AQ1090" i="20"/>
  <c r="AR1090" i="20" s="1"/>
  <c r="AQ1088" i="20"/>
  <c r="AR1088" i="20" s="1"/>
  <c r="AQ1087" i="20"/>
  <c r="AQ1085" i="20"/>
  <c r="AR1085" i="20" s="1"/>
  <c r="AQ1086" i="20"/>
  <c r="AR1086" i="20" s="1"/>
  <c r="AQ1084" i="20"/>
  <c r="AQ1082" i="20"/>
  <c r="AQ1083" i="20"/>
  <c r="AR1083" i="20" s="1"/>
  <c r="AQ1077" i="20"/>
  <c r="AR1077" i="20" s="1"/>
  <c r="AQ1078" i="20"/>
  <c r="AQ1081" i="20"/>
  <c r="AQ1079" i="20"/>
  <c r="AR1079" i="20" s="1"/>
  <c r="AQ1080" i="20"/>
  <c r="AR1080" i="20" s="1"/>
  <c r="AQ1076" i="20"/>
  <c r="AQ1073" i="20"/>
  <c r="AQ1074" i="20"/>
  <c r="AR1074" i="20" s="1"/>
  <c r="AQ1075" i="20"/>
  <c r="AR1075" i="20" s="1"/>
  <c r="AQ1072" i="20"/>
  <c r="AR1072" i="20" s="1"/>
  <c r="AQ1071" i="20"/>
  <c r="AR1071" i="20" s="1"/>
  <c r="AQ1070" i="20"/>
  <c r="AQ1069" i="20"/>
  <c r="AQ1067" i="20"/>
  <c r="AQ1068" i="20"/>
  <c r="AQ1066" i="20"/>
  <c r="AR1066" i="20" s="1"/>
  <c r="AQ1065" i="20"/>
  <c r="AQ1062" i="20"/>
  <c r="AR1062" i="20" s="1"/>
  <c r="AQ1063" i="20"/>
  <c r="AQ1064" i="20"/>
  <c r="AQ1061" i="20"/>
  <c r="AR1061" i="20" s="1"/>
  <c r="AQ1057" i="20"/>
  <c r="AR1057" i="20" s="1"/>
  <c r="AQ1060" i="20"/>
  <c r="AQ1058" i="20"/>
  <c r="AR1058" i="20" s="1"/>
  <c r="AQ1059" i="20"/>
  <c r="AR1059" i="20" s="1"/>
  <c r="AQ1056" i="20"/>
  <c r="AQ1052" i="20"/>
  <c r="AQ1053" i="20"/>
  <c r="AR1053" i="20" s="1"/>
  <c r="AQ1054" i="20"/>
  <c r="AR1054" i="20" s="1"/>
  <c r="AQ1055" i="20"/>
  <c r="AR1055" i="20" s="1"/>
  <c r="AQ1051" i="20"/>
  <c r="AR1051" i="20" s="1"/>
  <c r="AQ1050" i="20"/>
  <c r="AR1050" i="20" s="1"/>
  <c r="AQ1047" i="20"/>
  <c r="AR1047" i="20" s="1"/>
  <c r="AQ1048" i="20"/>
  <c r="AQ1049" i="20"/>
  <c r="AQ1046" i="20"/>
  <c r="AR1046" i="20" s="1"/>
  <c r="AQ1045" i="20"/>
  <c r="AR1045" i="20" s="1"/>
  <c r="AQ1044" i="20"/>
  <c r="AR1044" i="20" s="1"/>
  <c r="AQ1043" i="20"/>
  <c r="AR1043" i="20" s="1"/>
  <c r="AQ1041" i="20"/>
  <c r="AR1041" i="20" s="1"/>
  <c r="AQ1042" i="20"/>
  <c r="AR1042" i="20" s="1"/>
  <c r="AQ1040" i="20"/>
  <c r="AR1040" i="20" s="1"/>
  <c r="AQ1038" i="20"/>
  <c r="AQ1039" i="20"/>
  <c r="AR1039" i="20" s="1"/>
  <c r="AQ1035" i="20"/>
  <c r="AR1035" i="20" s="1"/>
  <c r="AQ1036" i="20"/>
  <c r="AQ1037" i="20"/>
  <c r="AQ1034" i="20"/>
  <c r="AQ1031" i="20"/>
  <c r="AR1031" i="20" s="1"/>
  <c r="AQ1032" i="20"/>
  <c r="AQ1033" i="20"/>
  <c r="AQ1030" i="20"/>
  <c r="AR1030" i="20" s="1"/>
  <c r="AQ1029" i="20"/>
  <c r="AQ1028" i="20"/>
  <c r="AQ1027" i="20"/>
  <c r="AQ1026" i="20"/>
  <c r="AQ1025" i="20"/>
  <c r="AR1025" i="20" s="1"/>
  <c r="AQ1021" i="20"/>
  <c r="AR1021" i="20" s="1"/>
  <c r="AQ1023" i="20"/>
  <c r="AQ1024" i="20"/>
  <c r="AR1024" i="20" s="1"/>
  <c r="AQ1022" i="20"/>
  <c r="AR1022" i="20" s="1"/>
  <c r="AQ1020" i="20"/>
  <c r="AR1020" i="20" s="1"/>
  <c r="AQ1019" i="20"/>
  <c r="AQ1013" i="20"/>
  <c r="AR1013" i="20" s="1"/>
  <c r="AQ1014" i="20"/>
  <c r="AR1014" i="20" s="1"/>
  <c r="AQ1015" i="20"/>
  <c r="AR1015" i="20" s="1"/>
  <c r="AQ1016" i="20"/>
  <c r="AR1016" i="20" s="1"/>
  <c r="AQ1017" i="20"/>
  <c r="AR1017" i="20" s="1"/>
  <c r="AQ1018" i="20"/>
  <c r="AR1018" i="20" s="1"/>
  <c r="AQ1007" i="20"/>
  <c r="AQ1008" i="20"/>
  <c r="AQ1009" i="20"/>
  <c r="AR1009" i="20" s="1"/>
  <c r="AQ1010" i="20"/>
  <c r="AQ1011" i="20"/>
  <c r="AQ1012" i="20"/>
  <c r="AQ987" i="20"/>
  <c r="AR987" i="20" s="1"/>
  <c r="AQ988" i="20"/>
  <c r="AR988" i="20" s="1"/>
  <c r="AQ989" i="20"/>
  <c r="AQ990" i="20"/>
  <c r="AR990" i="20" s="1"/>
  <c r="AQ991" i="20"/>
  <c r="AR991" i="20" s="1"/>
  <c r="AQ992" i="20"/>
  <c r="AR992" i="20" s="1"/>
  <c r="AQ993" i="20"/>
  <c r="AR993" i="20" s="1"/>
  <c r="AQ994" i="20"/>
  <c r="AQ1005" i="20"/>
  <c r="AR1005" i="20" s="1"/>
  <c r="AQ995" i="20"/>
  <c r="AR995" i="20" s="1"/>
  <c r="AQ996" i="20"/>
  <c r="AQ997" i="20"/>
  <c r="AQ998" i="20"/>
  <c r="AQ999" i="20"/>
  <c r="AR999" i="20" s="1"/>
  <c r="AQ1006" i="20"/>
  <c r="AQ1000" i="20"/>
  <c r="AQ1001" i="20"/>
  <c r="AR1001" i="20" s="1"/>
  <c r="AQ1002" i="20"/>
  <c r="AR1002" i="20" s="1"/>
  <c r="AQ1003" i="20"/>
  <c r="AR1003" i="20" s="1"/>
  <c r="AQ1004" i="20"/>
  <c r="AQ984" i="20"/>
  <c r="AR984" i="20" s="1"/>
  <c r="AQ985" i="20"/>
  <c r="AR985" i="20" s="1"/>
  <c r="AQ986" i="20"/>
  <c r="AR986" i="20" s="1"/>
  <c r="AQ981" i="20"/>
  <c r="AQ982" i="20"/>
  <c r="AQ983" i="20"/>
  <c r="AR983" i="20" s="1"/>
  <c r="AQ977" i="20"/>
  <c r="AR977" i="20" s="1"/>
  <c r="AQ978" i="20"/>
  <c r="AQ979" i="20"/>
  <c r="AR979" i="20" s="1"/>
  <c r="AQ980" i="20"/>
  <c r="AR980" i="20" s="1"/>
  <c r="AQ975" i="20"/>
  <c r="AQ976" i="20"/>
  <c r="AQ973" i="20"/>
  <c r="AR973" i="20" s="1"/>
  <c r="AQ974" i="20"/>
  <c r="AQ972" i="20"/>
  <c r="AQ966" i="20"/>
  <c r="AQ967" i="20"/>
  <c r="AR967" i="20" s="1"/>
  <c r="AQ968" i="20"/>
  <c r="AR968" i="20" s="1"/>
  <c r="AQ969" i="20"/>
  <c r="AR969" i="20" s="1"/>
  <c r="AQ970" i="20"/>
  <c r="AQ971" i="20"/>
  <c r="AR971" i="20" s="1"/>
  <c r="AQ965" i="20"/>
  <c r="AR965" i="20" s="1"/>
  <c r="AQ964" i="20"/>
  <c r="AQ959" i="20"/>
  <c r="AR959" i="20" s="1"/>
  <c r="AQ960" i="20"/>
  <c r="AR960" i="20" s="1"/>
  <c r="AQ961" i="20"/>
  <c r="AR961" i="20" s="1"/>
  <c r="AQ962" i="20"/>
  <c r="AR962" i="20" s="1"/>
  <c r="AQ963" i="20"/>
  <c r="AR963" i="20" s="1"/>
  <c r="AQ958" i="20"/>
  <c r="AR958" i="20" s="1"/>
  <c r="AQ954" i="20"/>
  <c r="AR954" i="20" s="1"/>
  <c r="AQ955" i="20"/>
  <c r="AQ956" i="20"/>
  <c r="AQ957" i="20"/>
  <c r="AR957" i="20" s="1"/>
  <c r="AQ953" i="20"/>
  <c r="AR953" i="20" s="1"/>
  <c r="AQ951" i="20"/>
  <c r="AQ952" i="20"/>
  <c r="AQ949" i="20"/>
  <c r="AR949" i="20" s="1"/>
  <c r="AQ950" i="20"/>
  <c r="AQ944" i="20"/>
  <c r="AQ945" i="20"/>
  <c r="AQ946" i="20"/>
  <c r="AR946" i="20" s="1"/>
  <c r="AQ947" i="20"/>
  <c r="AR947" i="20" s="1"/>
  <c r="AQ948" i="20"/>
  <c r="AR948" i="20" s="1"/>
  <c r="AQ943" i="20"/>
  <c r="AQ942" i="20"/>
  <c r="AR942" i="20" s="1"/>
  <c r="AQ941" i="20"/>
  <c r="AR941" i="20" s="1"/>
  <c r="AQ940" i="20"/>
  <c r="AR940" i="20" s="1"/>
  <c r="AQ939" i="20"/>
  <c r="AR939" i="20" s="1"/>
  <c r="AQ937" i="20"/>
  <c r="AR937" i="20" s="1"/>
  <c r="AQ938" i="20"/>
  <c r="AR938" i="20" s="1"/>
  <c r="AQ936" i="20"/>
  <c r="AQ935" i="20"/>
  <c r="AQ934" i="20"/>
  <c r="AQ933" i="20"/>
  <c r="AR933" i="20" s="1"/>
  <c r="AQ932" i="20"/>
  <c r="AQ931" i="20"/>
  <c r="AQ930" i="20"/>
  <c r="AR930" i="20" s="1"/>
  <c r="AQ929" i="20"/>
  <c r="AR929" i="20" s="1"/>
  <c r="AQ928" i="20"/>
  <c r="AQ927" i="20"/>
  <c r="AQ926" i="20"/>
  <c r="AR926" i="20" s="1"/>
  <c r="AQ925" i="20"/>
  <c r="AR925" i="20" s="1"/>
  <c r="AQ924" i="20"/>
  <c r="AQ923" i="20"/>
  <c r="AQ921" i="20"/>
  <c r="AQ922" i="20"/>
  <c r="AR922" i="20" s="1"/>
  <c r="AQ920" i="20"/>
  <c r="AR920" i="20" s="1"/>
  <c r="AQ918" i="20"/>
  <c r="AQ919" i="20"/>
  <c r="AR919" i="20" s="1"/>
  <c r="AQ912" i="20"/>
  <c r="AR912" i="20" s="1"/>
  <c r="AQ913" i="20"/>
  <c r="AR913" i="20" s="1"/>
  <c r="AQ914" i="20"/>
  <c r="AQ915" i="20"/>
  <c r="AR915" i="20" s="1"/>
  <c r="AQ916" i="20"/>
  <c r="AQ917" i="20"/>
  <c r="AQ874" i="20"/>
  <c r="AQ875" i="20"/>
  <c r="AQ876" i="20"/>
  <c r="AQ877" i="20"/>
  <c r="AR877" i="20" s="1"/>
  <c r="AQ901" i="20"/>
  <c r="AQ878" i="20"/>
  <c r="AQ902" i="20"/>
  <c r="AR902" i="20" s="1"/>
  <c r="AQ879" i="20"/>
  <c r="AR879" i="20" s="1"/>
  <c r="AQ880" i="20"/>
  <c r="AQ881" i="20"/>
  <c r="AR881" i="20" s="1"/>
  <c r="AQ882" i="20"/>
  <c r="AR882" i="20" s="1"/>
  <c r="AQ883" i="20"/>
  <c r="AQ884" i="20"/>
  <c r="AR884" i="20" s="1"/>
  <c r="AQ885" i="20"/>
  <c r="AQ903" i="20"/>
  <c r="AQ904" i="20"/>
  <c r="AQ886" i="20"/>
  <c r="AQ887" i="20"/>
  <c r="AR887" i="20" s="1"/>
  <c r="AQ905" i="20"/>
  <c r="AQ906" i="20"/>
  <c r="AQ888" i="20"/>
  <c r="AQ907" i="20"/>
  <c r="AQ908" i="20"/>
  <c r="AR908" i="20" s="1"/>
  <c r="AQ909" i="20"/>
  <c r="AR909" i="20" s="1"/>
  <c r="AQ889" i="20"/>
  <c r="AQ890" i="20"/>
  <c r="AR890" i="20" s="1"/>
  <c r="AQ910" i="20"/>
  <c r="AR910" i="20" s="1"/>
  <c r="AQ891" i="20"/>
  <c r="AR891" i="20" s="1"/>
  <c r="AQ892" i="20"/>
  <c r="AQ893" i="20"/>
  <c r="AR893" i="20" s="1"/>
  <c r="AQ894" i="20"/>
  <c r="AQ895" i="20"/>
  <c r="AR895" i="20" s="1"/>
  <c r="AQ896" i="20"/>
  <c r="AQ897" i="20"/>
  <c r="AR897" i="20" s="1"/>
  <c r="AQ898" i="20"/>
  <c r="AQ911" i="20"/>
  <c r="AQ899" i="20"/>
  <c r="AQ900" i="20"/>
  <c r="AR900" i="20" s="1"/>
  <c r="AQ873" i="20"/>
  <c r="AQ871" i="20"/>
  <c r="AQ872" i="20"/>
  <c r="AR872" i="20" s="1"/>
  <c r="AQ870" i="20"/>
  <c r="AR870" i="20" s="1"/>
  <c r="AQ869" i="20"/>
  <c r="AR869" i="20" s="1"/>
  <c r="AQ868" i="20"/>
  <c r="AR868" i="20" s="1"/>
  <c r="AQ867" i="20"/>
  <c r="AQ866" i="20"/>
  <c r="AR866" i="20" s="1"/>
  <c r="AQ865" i="20"/>
  <c r="AR865" i="20" s="1"/>
  <c r="AQ863" i="20"/>
  <c r="AR863" i="20" s="1"/>
  <c r="AQ864" i="20"/>
  <c r="AQ862" i="20"/>
  <c r="AQ861" i="20"/>
  <c r="AQ860" i="20"/>
  <c r="AQ858" i="20"/>
  <c r="AQ845" i="20"/>
  <c r="AR845" i="20" s="1"/>
  <c r="AQ846" i="20"/>
  <c r="AQ847" i="20"/>
  <c r="AR847" i="20" s="1"/>
  <c r="AQ848" i="20"/>
  <c r="AQ849" i="20"/>
  <c r="AR849" i="20" s="1"/>
  <c r="AQ850" i="20"/>
  <c r="AQ851" i="20"/>
  <c r="AQ852" i="20"/>
  <c r="AQ853" i="20"/>
  <c r="AR853" i="20" s="1"/>
  <c r="AQ854" i="20"/>
  <c r="AQ855" i="20"/>
  <c r="AQ856" i="20"/>
  <c r="AQ857" i="20"/>
  <c r="AR857" i="20" s="1"/>
  <c r="AQ859" i="20"/>
  <c r="AR859" i="20" s="1"/>
  <c r="AQ840" i="20"/>
  <c r="AR840" i="20" s="1"/>
  <c r="AQ841" i="20"/>
  <c r="AQ842" i="20"/>
  <c r="AR842" i="20" s="1"/>
  <c r="AQ843" i="20"/>
  <c r="AQ844" i="20"/>
  <c r="AR844" i="20" s="1"/>
  <c r="AQ834" i="20"/>
  <c r="AR834" i="20" s="1"/>
  <c r="AQ835" i="20"/>
  <c r="AR835" i="20" s="1"/>
  <c r="AQ836" i="20"/>
  <c r="AR836" i="20" s="1"/>
  <c r="AQ837" i="20"/>
  <c r="AQ838" i="20"/>
  <c r="AQ839" i="20"/>
  <c r="AR839" i="20" s="1"/>
  <c r="AQ833" i="20"/>
  <c r="AR833" i="20" s="1"/>
  <c r="AQ831" i="20"/>
  <c r="AR831" i="20" s="1"/>
  <c r="AQ832" i="20"/>
  <c r="AR832" i="20" s="1"/>
  <c r="AQ830" i="20"/>
  <c r="AR830" i="20" s="1"/>
  <c r="AQ829" i="20"/>
  <c r="AQ818" i="20"/>
  <c r="AQ819" i="20"/>
  <c r="AQ820" i="20"/>
  <c r="AQ821" i="20"/>
  <c r="AQ827" i="20"/>
  <c r="AQ822" i="20"/>
  <c r="AQ823" i="20"/>
  <c r="AR823" i="20" s="1"/>
  <c r="AQ824" i="20"/>
  <c r="AQ828" i="20"/>
  <c r="AR828" i="20" s="1"/>
  <c r="AQ825" i="20"/>
  <c r="AQ826" i="20"/>
  <c r="AR826" i="20" s="1"/>
  <c r="AQ812" i="20"/>
  <c r="AQ809" i="20"/>
  <c r="AR809" i="20" s="1"/>
  <c r="AQ813" i="20"/>
  <c r="AR813" i="20" s="1"/>
  <c r="AQ814" i="20"/>
  <c r="AR814" i="20" s="1"/>
  <c r="AQ815" i="20"/>
  <c r="AR815" i="20" s="1"/>
  <c r="AQ810" i="20"/>
  <c r="AQ816" i="20"/>
  <c r="AQ811" i="20"/>
  <c r="AR811" i="20" s="1"/>
  <c r="AQ817" i="20"/>
  <c r="AR817" i="20" s="1"/>
  <c r="AQ796" i="20"/>
  <c r="AR796" i="20" s="1"/>
  <c r="AQ801" i="20"/>
  <c r="AR801" i="20" s="1"/>
  <c r="AQ802" i="20"/>
  <c r="AR802" i="20" s="1"/>
  <c r="AQ797" i="20"/>
  <c r="AR797" i="20" s="1"/>
  <c r="AQ803" i="20"/>
  <c r="AR803" i="20" s="1"/>
  <c r="AQ804" i="20"/>
  <c r="AQ805" i="20"/>
  <c r="AR805" i="20" s="1"/>
  <c r="AQ798" i="20"/>
  <c r="AR798" i="20" s="1"/>
  <c r="AQ799" i="20"/>
  <c r="AR799" i="20" s="1"/>
  <c r="AQ806" i="20"/>
  <c r="AQ807" i="20"/>
  <c r="AQ800" i="20"/>
  <c r="AQ808" i="20"/>
  <c r="AQ788" i="20"/>
  <c r="AR788" i="20" s="1"/>
  <c r="AQ794" i="20"/>
  <c r="AQ789" i="20"/>
  <c r="AQ790" i="20"/>
  <c r="AR790" i="20" s="1"/>
  <c r="AQ791" i="20"/>
  <c r="AQ792" i="20"/>
  <c r="AR792" i="20" s="1"/>
  <c r="AQ793" i="20"/>
  <c r="AR793" i="20" s="1"/>
  <c r="AQ795" i="20"/>
  <c r="AR795" i="20" s="1"/>
  <c r="AQ786" i="20"/>
  <c r="AR786" i="20" s="1"/>
  <c r="AQ787" i="20"/>
  <c r="AR787" i="20" s="1"/>
  <c r="AQ784" i="20"/>
  <c r="AR784" i="20" s="1"/>
  <c r="AQ785" i="20"/>
  <c r="AQ781" i="20"/>
  <c r="AQ782" i="20"/>
  <c r="AR782" i="20" s="1"/>
  <c r="AQ783" i="20"/>
  <c r="AR783" i="20" s="1"/>
  <c r="AQ780" i="20"/>
  <c r="AR780" i="20" s="1"/>
  <c r="AQ778" i="20"/>
  <c r="AQ779" i="20"/>
  <c r="AR779" i="20" s="1"/>
  <c r="AQ767" i="20"/>
  <c r="AQ772" i="20"/>
  <c r="AR772" i="20" s="1"/>
  <c r="AQ768" i="20"/>
  <c r="AQ773" i="20"/>
  <c r="AR773" i="20" s="1"/>
  <c r="AQ769" i="20"/>
  <c r="AQ774" i="20"/>
  <c r="AR774" i="20" s="1"/>
  <c r="AQ770" i="20"/>
  <c r="AQ775" i="20"/>
  <c r="AR775" i="20" s="1"/>
  <c r="AQ771" i="20"/>
  <c r="AQ776" i="20"/>
  <c r="AR776" i="20" s="1"/>
  <c r="AQ777" i="20"/>
  <c r="AQ765" i="20"/>
  <c r="AR765" i="20" s="1"/>
  <c r="AQ766" i="20"/>
  <c r="AQ764" i="20"/>
  <c r="AR764" i="20" s="1"/>
  <c r="AQ762" i="20"/>
  <c r="AR762" i="20" s="1"/>
  <c r="AQ763" i="20"/>
  <c r="AQ761" i="20"/>
  <c r="AR761" i="20" s="1"/>
  <c r="AQ760" i="20"/>
  <c r="AR760" i="20" s="1"/>
  <c r="AQ758" i="20"/>
  <c r="AQ759" i="20"/>
  <c r="AR759" i="20" s="1"/>
  <c r="AQ757" i="20"/>
  <c r="AR757" i="20" s="1"/>
  <c r="AQ756" i="20"/>
  <c r="AR756" i="20" s="1"/>
  <c r="AQ754" i="20"/>
  <c r="AQ753" i="20"/>
  <c r="AR753" i="20" s="1"/>
  <c r="AQ755" i="20"/>
  <c r="AQ745" i="20"/>
  <c r="AQ746" i="20"/>
  <c r="AR746" i="20" s="1"/>
  <c r="AQ747" i="20"/>
  <c r="AR747" i="20" s="1"/>
  <c r="AQ751" i="20"/>
  <c r="AQ748" i="20"/>
  <c r="AR748" i="20" s="1"/>
  <c r="AQ752" i="20"/>
  <c r="AQ749" i="20"/>
  <c r="AQ750" i="20"/>
  <c r="AQ742" i="20"/>
  <c r="AR742" i="20" s="1"/>
  <c r="AQ743" i="20"/>
  <c r="AQ744" i="20"/>
  <c r="AR744" i="20" s="1"/>
  <c r="AQ741" i="20"/>
  <c r="AQ740" i="20"/>
  <c r="AQ739" i="20"/>
  <c r="AR739" i="20" s="1"/>
  <c r="AQ738" i="20"/>
  <c r="AR738" i="20" s="1"/>
  <c r="AQ736" i="20"/>
  <c r="AQ737" i="20"/>
  <c r="AQ735" i="20"/>
  <c r="AR735" i="20" s="1"/>
  <c r="AQ723" i="20"/>
  <c r="AR723" i="20" s="1"/>
  <c r="AQ724" i="20"/>
  <c r="AQ725" i="20"/>
  <c r="AQ726" i="20"/>
  <c r="AQ727" i="20"/>
  <c r="AR727" i="20" s="1"/>
  <c r="AQ728" i="20"/>
  <c r="AQ729" i="20"/>
  <c r="AR729" i="20" s="1"/>
  <c r="AQ730" i="20"/>
  <c r="AQ731" i="20"/>
  <c r="AR731" i="20" s="1"/>
  <c r="AQ732" i="20"/>
  <c r="AR732" i="20" s="1"/>
  <c r="AQ733" i="20"/>
  <c r="AQ734" i="20"/>
  <c r="AR734" i="20" s="1"/>
  <c r="AQ720" i="20"/>
  <c r="AR720" i="20" s="1"/>
  <c r="AQ721" i="20"/>
  <c r="AQ722" i="20"/>
  <c r="AR722" i="20" s="1"/>
  <c r="AQ706" i="20"/>
  <c r="AQ707" i="20"/>
  <c r="AR707" i="20" s="1"/>
  <c r="AQ708" i="20"/>
  <c r="AQ709" i="20"/>
  <c r="AQ710" i="20"/>
  <c r="AQ711" i="20"/>
  <c r="AR711" i="20" s="1"/>
  <c r="AQ717" i="20"/>
  <c r="AQ718" i="20"/>
  <c r="AQ712" i="20"/>
  <c r="AQ713" i="20"/>
  <c r="AR713" i="20" s="1"/>
  <c r="AQ714" i="20"/>
  <c r="AQ719" i="20"/>
  <c r="AR719" i="20" s="1"/>
  <c r="AQ715" i="20"/>
  <c r="AQ716" i="20"/>
  <c r="AR716" i="20" s="1"/>
  <c r="AQ705" i="20"/>
  <c r="AR705" i="20" s="1"/>
  <c r="AQ704" i="20"/>
  <c r="AR704" i="20" s="1"/>
  <c r="AQ701" i="20"/>
  <c r="AR701" i="20" s="1"/>
  <c r="AQ702" i="20"/>
  <c r="AQ703" i="20"/>
  <c r="AQ698" i="20"/>
  <c r="AR698" i="20" s="1"/>
  <c r="AQ699" i="20"/>
  <c r="AQ700" i="20"/>
  <c r="AR700" i="20" s="1"/>
  <c r="AQ695" i="20"/>
  <c r="AR695" i="20" s="1"/>
  <c r="AQ696" i="20"/>
  <c r="AQ697" i="20"/>
  <c r="AQ688" i="20"/>
  <c r="AQ689" i="20"/>
  <c r="AR689" i="20" s="1"/>
  <c r="AQ690" i="20"/>
  <c r="AQ691" i="20"/>
  <c r="AR691" i="20" s="1"/>
  <c r="AQ692" i="20"/>
  <c r="AR692" i="20" s="1"/>
  <c r="AQ693" i="20"/>
  <c r="AQ694" i="20"/>
  <c r="AR694" i="20" s="1"/>
  <c r="AQ687" i="20"/>
  <c r="AQ685" i="20"/>
  <c r="AR685" i="20" s="1"/>
  <c r="AQ686" i="20"/>
  <c r="AR686" i="20" s="1"/>
  <c r="AQ682" i="20"/>
  <c r="AR682" i="20" s="1"/>
  <c r="AQ683" i="20"/>
  <c r="AQ684" i="20"/>
  <c r="AR684" i="20" s="1"/>
  <c r="AQ681" i="20"/>
  <c r="AR681" i="20" s="1"/>
  <c r="AQ679" i="20"/>
  <c r="AQ680" i="20"/>
  <c r="AR680" i="20" s="1"/>
  <c r="AQ671" i="20"/>
  <c r="AR671" i="20" s="1"/>
  <c r="AQ678" i="20"/>
  <c r="AQ672" i="20"/>
  <c r="AR672" i="20" s="1"/>
  <c r="AQ673" i="20"/>
  <c r="AQ674" i="20"/>
  <c r="AR674" i="20" s="1"/>
  <c r="AQ675" i="20"/>
  <c r="AQ676" i="20"/>
  <c r="AQ677" i="20"/>
  <c r="AQ669" i="20"/>
  <c r="AR669" i="20" s="1"/>
  <c r="AQ668" i="20"/>
  <c r="AR668" i="20" s="1"/>
  <c r="AQ670" i="20"/>
  <c r="AQ666" i="20"/>
  <c r="AQ667" i="20"/>
  <c r="AQ663" i="20"/>
  <c r="AR663" i="20" s="1"/>
  <c r="AQ664" i="20"/>
  <c r="AR664" i="20" s="1"/>
  <c r="AQ665" i="20"/>
  <c r="AR665" i="20" s="1"/>
  <c r="AQ662" i="20"/>
  <c r="AR662" i="20" s="1"/>
  <c r="AQ658" i="20"/>
  <c r="AR658" i="20" s="1"/>
  <c r="AQ659" i="20"/>
  <c r="AR659" i="20" s="1"/>
  <c r="AQ660" i="20"/>
  <c r="AR660" i="20" s="1"/>
  <c r="AQ661" i="20"/>
  <c r="AQ657" i="20"/>
  <c r="AQ654" i="20"/>
  <c r="AQ656" i="20"/>
  <c r="AR656" i="20" s="1"/>
  <c r="AQ655" i="20"/>
  <c r="AR655" i="20" s="1"/>
  <c r="AQ653" i="20"/>
  <c r="AR653" i="20" s="1"/>
  <c r="AQ651" i="20"/>
  <c r="AR651" i="20" s="1"/>
  <c r="AQ652" i="20"/>
  <c r="AQ650" i="20"/>
  <c r="AR650" i="20" s="1"/>
  <c r="AQ647" i="20"/>
  <c r="AQ648" i="20"/>
  <c r="AR648" i="20" s="1"/>
  <c r="AQ649" i="20"/>
  <c r="AR649" i="20" s="1"/>
  <c r="AQ641" i="20"/>
  <c r="AR641" i="20" s="1"/>
  <c r="AQ642" i="20"/>
  <c r="AQ646" i="20"/>
  <c r="AQ643" i="20"/>
  <c r="AQ644" i="20"/>
  <c r="AR644" i="20" s="1"/>
  <c r="AQ645" i="20"/>
  <c r="AR645" i="20" s="1"/>
  <c r="AQ639" i="20"/>
  <c r="AR639" i="20" s="1"/>
  <c r="AQ640" i="20"/>
  <c r="AQ638" i="20"/>
  <c r="AQ565" i="20"/>
  <c r="AR565" i="20" s="1"/>
  <c r="AQ567" i="20"/>
  <c r="AR567" i="20" s="1"/>
  <c r="AQ568" i="20"/>
  <c r="AQ566" i="20"/>
  <c r="AR566" i="20" s="1"/>
  <c r="AQ569" i="20"/>
  <c r="AR569" i="20" s="1"/>
  <c r="AQ570" i="20"/>
  <c r="AQ571" i="20"/>
  <c r="AR571" i="20" s="1"/>
  <c r="AQ572" i="20"/>
  <c r="AR572" i="20" s="1"/>
  <c r="AQ573" i="20"/>
  <c r="AR573" i="20" s="1"/>
  <c r="AQ574" i="20"/>
  <c r="AR574" i="20" s="1"/>
  <c r="AQ575" i="20"/>
  <c r="AQ576" i="20"/>
  <c r="AR576" i="20" s="1"/>
  <c r="AQ577" i="20"/>
  <c r="AQ581" i="20"/>
  <c r="AQ582" i="20"/>
  <c r="AQ583" i="20"/>
  <c r="AR583" i="20" s="1"/>
  <c r="AQ578" i="20"/>
  <c r="AQ579" i="20"/>
  <c r="AR579" i="20" s="1"/>
  <c r="AQ580" i="20"/>
  <c r="AQ584" i="20"/>
  <c r="AR584" i="20" s="1"/>
  <c r="AQ585" i="20"/>
  <c r="AR585" i="20" s="1"/>
  <c r="AQ586" i="20"/>
  <c r="AQ587" i="20"/>
  <c r="AQ588" i="20"/>
  <c r="AQ589" i="20"/>
  <c r="AQ591" i="20"/>
  <c r="AR591" i="20" s="1"/>
  <c r="AQ592" i="20"/>
  <c r="AQ590" i="20"/>
  <c r="AR590" i="20" s="1"/>
  <c r="AQ593" i="20"/>
  <c r="AQ594" i="20"/>
  <c r="AQ595" i="20"/>
  <c r="AQ596" i="20"/>
  <c r="AQ597" i="20"/>
  <c r="AR597" i="20" s="1"/>
  <c r="AQ598" i="20"/>
  <c r="AQ599" i="20"/>
  <c r="AQ600" i="20"/>
  <c r="AR600" i="20" s="1"/>
  <c r="AQ601" i="20"/>
  <c r="AR601" i="20" s="1"/>
  <c r="AQ602" i="20"/>
  <c r="AR602" i="20" s="1"/>
  <c r="AQ603" i="20"/>
  <c r="AR603" i="20" s="1"/>
  <c r="AQ606" i="20"/>
  <c r="AR606" i="20" s="1"/>
  <c r="AQ607" i="20"/>
  <c r="AR607" i="20" s="1"/>
  <c r="AQ604" i="20"/>
  <c r="AR604" i="20" s="1"/>
  <c r="AQ605" i="20"/>
  <c r="AQ608" i="20"/>
  <c r="AR608" i="20" s="1"/>
  <c r="AQ610" i="20"/>
  <c r="AR610" i="20" s="1"/>
  <c r="AQ611" i="20"/>
  <c r="AQ609" i="20"/>
  <c r="AQ612" i="20"/>
  <c r="AR612" i="20" s="1"/>
  <c r="AQ613" i="20"/>
  <c r="AQ614" i="20"/>
  <c r="AR614" i="20" s="1"/>
  <c r="AQ615" i="20"/>
  <c r="AQ616" i="20"/>
  <c r="AQ617" i="20"/>
  <c r="AR617" i="20" s="1"/>
  <c r="AQ618" i="20"/>
  <c r="AQ619" i="20"/>
  <c r="AQ620" i="20"/>
  <c r="AQ621" i="20"/>
  <c r="AR621" i="20" s="1"/>
  <c r="AQ622" i="20"/>
  <c r="AR622" i="20" s="1"/>
  <c r="AQ623" i="20"/>
  <c r="AQ624" i="20"/>
  <c r="AR624" i="20" s="1"/>
  <c r="AQ625" i="20"/>
  <c r="AR625" i="20" s="1"/>
  <c r="AQ626" i="20"/>
  <c r="AR626" i="20" s="1"/>
  <c r="AQ627" i="20"/>
  <c r="AQ628" i="20"/>
  <c r="AQ629" i="20"/>
  <c r="AR629" i="20" s="1"/>
  <c r="AQ630" i="20"/>
  <c r="AQ631" i="20"/>
  <c r="AQ632" i="20"/>
  <c r="AR632" i="20" s="1"/>
  <c r="AQ633" i="20"/>
  <c r="AR633" i="20" s="1"/>
  <c r="AQ634" i="20"/>
  <c r="AR634" i="20" s="1"/>
  <c r="AQ635" i="20"/>
  <c r="AQ636" i="20"/>
  <c r="AQ637" i="20"/>
  <c r="AQ564" i="20"/>
  <c r="AR564" i="20" s="1"/>
  <c r="AQ563" i="20"/>
  <c r="AQ561" i="20"/>
  <c r="AR561" i="20" s="1"/>
  <c r="AQ562" i="20"/>
  <c r="AR562" i="20" s="1"/>
  <c r="AQ558" i="20"/>
  <c r="AR558" i="20" s="1"/>
  <c r="AQ559" i="20"/>
  <c r="AQ560" i="20"/>
  <c r="AR560" i="20" s="1"/>
  <c r="AQ557" i="20"/>
  <c r="AQ556" i="20"/>
  <c r="AQ550" i="20"/>
  <c r="AR550" i="20" s="1"/>
  <c r="AQ551" i="20"/>
  <c r="AR551" i="20" s="1"/>
  <c r="AQ553" i="20"/>
  <c r="AR553" i="20" s="1"/>
  <c r="AQ552" i="20"/>
  <c r="AQ554" i="20"/>
  <c r="AQ555" i="20"/>
  <c r="AR555" i="20" s="1"/>
  <c r="AQ549" i="20"/>
  <c r="AR549" i="20" s="1"/>
  <c r="AQ548" i="20"/>
  <c r="AR548" i="20" s="1"/>
  <c r="AQ546" i="20"/>
  <c r="AQ547" i="20"/>
  <c r="AQ542" i="20"/>
  <c r="AQ543" i="20"/>
  <c r="AQ544" i="20"/>
  <c r="AR544" i="20" s="1"/>
  <c r="AQ545" i="20"/>
  <c r="AQ541" i="20"/>
  <c r="AQ538" i="20"/>
  <c r="AQ539" i="20"/>
  <c r="AQ540" i="20"/>
  <c r="AR540" i="20" s="1"/>
  <c r="AQ537" i="20"/>
  <c r="AR537" i="20" s="1"/>
  <c r="AQ534" i="20"/>
  <c r="AR534" i="20" s="1"/>
  <c r="AQ535" i="20"/>
  <c r="AQ536" i="20"/>
  <c r="AR536" i="20" s="1"/>
  <c r="AQ530" i="20"/>
  <c r="AQ532" i="20"/>
  <c r="AR532" i="20" s="1"/>
  <c r="AQ531" i="20"/>
  <c r="AQ533" i="20"/>
  <c r="AR533" i="20" s="1"/>
  <c r="AQ529" i="20"/>
  <c r="AQ528" i="20"/>
  <c r="AQ527" i="20"/>
  <c r="AR527" i="20" s="1"/>
  <c r="AQ525" i="20"/>
  <c r="AR525" i="20" s="1"/>
  <c r="AQ526" i="20"/>
  <c r="AQ522" i="20"/>
  <c r="AR522" i="20" s="1"/>
  <c r="AQ523" i="20"/>
  <c r="AQ524" i="20"/>
  <c r="AR524" i="20" s="1"/>
  <c r="AQ520" i="20"/>
  <c r="AR520" i="20" s="1"/>
  <c r="AQ521" i="20"/>
  <c r="AQ516" i="20"/>
  <c r="AQ514" i="20"/>
  <c r="AQ517" i="20"/>
  <c r="AQ515" i="20"/>
  <c r="AQ518" i="20"/>
  <c r="AR518" i="20" s="1"/>
  <c r="AQ519" i="20"/>
  <c r="AR519" i="20" s="1"/>
  <c r="AQ512" i="20"/>
  <c r="AQ513" i="20"/>
  <c r="AQ508" i="20"/>
  <c r="AQ509" i="20"/>
  <c r="AR509" i="20" s="1"/>
  <c r="AQ510" i="20"/>
  <c r="AQ511" i="20"/>
  <c r="AR511" i="20" s="1"/>
  <c r="AQ506" i="20"/>
  <c r="AQ507" i="20"/>
  <c r="AQ505" i="20"/>
  <c r="AQ504" i="20"/>
  <c r="AQ501" i="20"/>
  <c r="AR501" i="20" s="1"/>
  <c r="AQ502" i="20"/>
  <c r="AR502" i="20" s="1"/>
  <c r="AQ503" i="20"/>
  <c r="AQ498" i="20"/>
  <c r="AQ499" i="20"/>
  <c r="AR499" i="20" s="1"/>
  <c r="AQ500" i="20"/>
  <c r="AQ495" i="20"/>
  <c r="AR495" i="20" s="1"/>
  <c r="AQ496" i="20"/>
  <c r="AQ497" i="20"/>
  <c r="AQ494" i="20"/>
  <c r="AR494" i="20" s="1"/>
  <c r="AQ493" i="20"/>
  <c r="AR493" i="20" s="1"/>
  <c r="AQ492" i="20"/>
  <c r="AQ488" i="20"/>
  <c r="AQ489" i="20"/>
  <c r="AR489" i="20" s="1"/>
  <c r="AQ490" i="20"/>
  <c r="AQ491" i="20"/>
  <c r="AQ484" i="20"/>
  <c r="AQ486" i="20"/>
  <c r="AR486" i="20" s="1"/>
  <c r="AQ487" i="20"/>
  <c r="AR487" i="20" s="1"/>
  <c r="AQ485" i="20"/>
  <c r="AR485" i="20" s="1"/>
  <c r="AQ482" i="20"/>
  <c r="AR482" i="20" s="1"/>
  <c r="AQ483" i="20"/>
  <c r="AR483" i="20" s="1"/>
  <c r="AQ481" i="20"/>
  <c r="AQ480" i="20"/>
  <c r="AR480" i="20" s="1"/>
  <c r="AQ479" i="20"/>
  <c r="AQ478" i="20"/>
  <c r="AQ472" i="20"/>
  <c r="AQ474" i="20"/>
  <c r="AQ473" i="20"/>
  <c r="AQ475" i="20"/>
  <c r="AQ476" i="20"/>
  <c r="AR476" i="20" s="1"/>
  <c r="AQ477" i="20"/>
  <c r="AR477" i="20" s="1"/>
  <c r="AQ470" i="20"/>
  <c r="AQ471" i="20"/>
  <c r="AQ468" i="20"/>
  <c r="AQ469" i="20"/>
  <c r="AR469" i="20" s="1"/>
  <c r="AQ464" i="20"/>
  <c r="AR464" i="20" s="1"/>
  <c r="AQ465" i="20"/>
  <c r="AQ466" i="20"/>
  <c r="AR466" i="20" s="1"/>
  <c r="AQ467" i="20"/>
  <c r="AR467" i="20" s="1"/>
  <c r="AQ463" i="20"/>
  <c r="AQ460" i="20"/>
  <c r="AR460" i="20" s="1"/>
  <c r="AQ461" i="20"/>
  <c r="AR461" i="20" s="1"/>
  <c r="AQ462" i="20"/>
  <c r="AR462" i="20" s="1"/>
  <c r="AQ458" i="20"/>
  <c r="AQ459" i="20"/>
  <c r="AQ454" i="20"/>
  <c r="AQ455" i="20"/>
  <c r="AR455" i="20" s="1"/>
  <c r="AQ456" i="20"/>
  <c r="AQ457" i="20"/>
  <c r="AR457" i="20" s="1"/>
  <c r="AQ451" i="20"/>
  <c r="AQ452" i="20"/>
  <c r="AQ453" i="20"/>
  <c r="AQ446" i="20"/>
  <c r="AQ447" i="20"/>
  <c r="AQ448" i="20"/>
  <c r="AR448" i="20" s="1"/>
  <c r="AQ449" i="20"/>
  <c r="AR449" i="20" s="1"/>
  <c r="AQ450" i="20"/>
  <c r="AR450" i="20" s="1"/>
  <c r="AQ445" i="20"/>
  <c r="AR445" i="20" s="1"/>
  <c r="AQ443" i="20"/>
  <c r="AR443" i="20" s="1"/>
  <c r="AQ444" i="20"/>
  <c r="AR444" i="20" s="1"/>
  <c r="AQ440" i="20"/>
  <c r="AR440" i="20" s="1"/>
  <c r="AQ441" i="20"/>
  <c r="AR441" i="20" s="1"/>
  <c r="AQ442" i="20"/>
  <c r="AQ438" i="20"/>
  <c r="AR438" i="20" s="1"/>
  <c r="AQ439" i="20"/>
  <c r="AQ437" i="20"/>
  <c r="AR437" i="20" s="1"/>
  <c r="AQ431" i="20"/>
  <c r="AR431" i="20" s="1"/>
  <c r="AQ432" i="20"/>
  <c r="AR432" i="20" s="1"/>
  <c r="AQ433" i="20"/>
  <c r="AR433" i="20" s="1"/>
  <c r="AQ434" i="20"/>
  <c r="AR434" i="20" s="1"/>
  <c r="AQ435" i="20"/>
  <c r="AQ436" i="20"/>
  <c r="AR436" i="20" s="1"/>
  <c r="AQ428" i="20"/>
  <c r="AR428" i="20" s="1"/>
  <c r="AQ429" i="20"/>
  <c r="AQ430" i="20"/>
  <c r="AR430" i="20" s="1"/>
  <c r="AQ427" i="20"/>
  <c r="AQ426" i="20"/>
  <c r="AR426" i="20" s="1"/>
  <c r="AQ425" i="20"/>
  <c r="AQ424" i="20"/>
  <c r="AQ423" i="20"/>
  <c r="AQ421" i="20"/>
  <c r="AQ422" i="20"/>
  <c r="AQ419" i="20"/>
  <c r="AR419" i="20" s="1"/>
  <c r="AQ420" i="20"/>
  <c r="AQ418" i="20"/>
  <c r="AR418" i="20" s="1"/>
  <c r="AQ417" i="20"/>
  <c r="AQ414" i="20"/>
  <c r="AR414" i="20" s="1"/>
  <c r="AQ415" i="20"/>
  <c r="AQ416" i="20"/>
  <c r="AQ413" i="20"/>
  <c r="AR413" i="20" s="1"/>
  <c r="AQ412" i="20"/>
  <c r="AR412" i="20" s="1"/>
  <c r="AQ410" i="20"/>
  <c r="AQ411" i="20"/>
  <c r="AQ409" i="20"/>
  <c r="AR409" i="20" s="1"/>
  <c r="AQ408" i="20"/>
  <c r="AR408" i="20" s="1"/>
  <c r="AQ406" i="20"/>
  <c r="AQ407" i="20"/>
  <c r="AR407" i="20" s="1"/>
  <c r="AQ405" i="20"/>
  <c r="AQ403" i="20"/>
  <c r="AQ404" i="20"/>
  <c r="AQ401" i="20"/>
  <c r="AR401" i="20" s="1"/>
  <c r="AQ402" i="20"/>
  <c r="AR402" i="20" s="1"/>
  <c r="AQ400" i="20"/>
  <c r="AR400" i="20" s="1"/>
  <c r="AQ398" i="20"/>
  <c r="AR398" i="20" s="1"/>
  <c r="AQ399" i="20"/>
  <c r="AQ394" i="20"/>
  <c r="AQ395" i="20"/>
  <c r="AQ396" i="20"/>
  <c r="AQ397" i="20"/>
  <c r="AQ392" i="20"/>
  <c r="AR392" i="20" s="1"/>
  <c r="AQ393" i="20"/>
  <c r="AQ391" i="20"/>
  <c r="AR391" i="20" s="1"/>
  <c r="AQ390" i="20"/>
  <c r="AR390" i="20" s="1"/>
  <c r="AQ384" i="20"/>
  <c r="AR384" i="20" s="1"/>
  <c r="AQ385" i="20"/>
  <c r="AQ386" i="20"/>
  <c r="AR386" i="20" s="1"/>
  <c r="AQ387" i="20"/>
  <c r="AR387" i="20" s="1"/>
  <c r="AQ388" i="20"/>
  <c r="AR388" i="20" s="1"/>
  <c r="AQ389" i="20"/>
  <c r="AQ383" i="20"/>
  <c r="AQ382" i="20"/>
  <c r="AR382" i="20" s="1"/>
  <c r="AQ344" i="20"/>
  <c r="AR344" i="20" s="1"/>
  <c r="AQ345" i="20"/>
  <c r="AQ346" i="20"/>
  <c r="AR346" i="20" s="1"/>
  <c r="AQ347" i="20"/>
  <c r="AR347" i="20" s="1"/>
  <c r="AQ349" i="20"/>
  <c r="AQ350" i="20"/>
  <c r="AQ351" i="20"/>
  <c r="AQ352" i="20"/>
  <c r="AR352" i="20" s="1"/>
  <c r="AQ353" i="20"/>
  <c r="AR353" i="20" s="1"/>
  <c r="AQ354" i="20"/>
  <c r="AQ355" i="20"/>
  <c r="AQ356" i="20"/>
  <c r="AQ357" i="20"/>
  <c r="AQ358" i="20"/>
  <c r="AR358" i="20" s="1"/>
  <c r="AQ359" i="20"/>
  <c r="AQ360" i="20"/>
  <c r="AQ361" i="20"/>
  <c r="AQ362" i="20"/>
  <c r="AQ363" i="20"/>
  <c r="AQ364" i="20"/>
  <c r="AR364" i="20" s="1"/>
  <c r="AQ348" i="20"/>
  <c r="AR348" i="20" s="1"/>
  <c r="AQ365" i="20"/>
  <c r="AR365" i="20" s="1"/>
  <c r="AQ366" i="20"/>
  <c r="AQ367" i="20"/>
  <c r="AR367" i="20" s="1"/>
  <c r="AQ368" i="20"/>
  <c r="AR368" i="20" s="1"/>
  <c r="AQ369" i="20"/>
  <c r="AR369" i="20" s="1"/>
  <c r="AQ370" i="20"/>
  <c r="AQ371" i="20"/>
  <c r="AR371" i="20" s="1"/>
  <c r="AQ372" i="20"/>
  <c r="AQ373" i="20"/>
  <c r="AR373" i="20" s="1"/>
  <c r="AQ374" i="20"/>
  <c r="AQ375" i="20"/>
  <c r="AR375" i="20" s="1"/>
  <c r="AQ376" i="20"/>
  <c r="AQ377" i="20"/>
  <c r="AR377" i="20" s="1"/>
  <c r="AQ378" i="20"/>
  <c r="AR378" i="20" s="1"/>
  <c r="AQ379" i="20"/>
  <c r="AR379" i="20" s="1"/>
  <c r="AQ380" i="20"/>
  <c r="AR380" i="20" s="1"/>
  <c r="AQ381" i="20"/>
  <c r="AR381" i="20" s="1"/>
  <c r="AQ341" i="20"/>
  <c r="AQ342" i="20"/>
  <c r="AR342" i="20" s="1"/>
  <c r="AQ343" i="20"/>
  <c r="AQ340" i="20"/>
  <c r="AQ324" i="20"/>
  <c r="AR324" i="20" s="1"/>
  <c r="AQ325" i="20"/>
  <c r="AQ326" i="20"/>
  <c r="AQ327" i="20"/>
  <c r="AR327" i="20" s="1"/>
  <c r="AQ329" i="20"/>
  <c r="AQ328" i="20"/>
  <c r="AR328" i="20" s="1"/>
  <c r="AQ330" i="20"/>
  <c r="AQ331" i="20"/>
  <c r="AQ332" i="20"/>
  <c r="AR332" i="20" s="1"/>
  <c r="AQ333" i="20"/>
  <c r="AR333" i="20" s="1"/>
  <c r="AQ334" i="20"/>
  <c r="AR334" i="20" s="1"/>
  <c r="AQ335" i="20"/>
  <c r="AQ336" i="20"/>
  <c r="AQ337" i="20"/>
  <c r="AR337" i="20" s="1"/>
  <c r="AQ338" i="20"/>
  <c r="AR338" i="20" s="1"/>
  <c r="AQ339" i="20"/>
  <c r="AQ323" i="20"/>
  <c r="AR323" i="20" s="1"/>
  <c r="AQ303" i="20"/>
  <c r="AR303" i="20" s="1"/>
  <c r="AQ304" i="20"/>
  <c r="AQ305" i="20"/>
  <c r="AQ306" i="20"/>
  <c r="AQ308" i="20"/>
  <c r="AR308" i="20" s="1"/>
  <c r="AQ309" i="20"/>
  <c r="AR309" i="20" s="1"/>
  <c r="AQ310" i="20"/>
  <c r="AQ311" i="20"/>
  <c r="AR311" i="20" s="1"/>
  <c r="AQ312" i="20"/>
  <c r="AR312" i="20" s="1"/>
  <c r="AQ313" i="20"/>
  <c r="AR313" i="20" s="1"/>
  <c r="AQ314" i="20"/>
  <c r="AQ307" i="20"/>
  <c r="AQ315" i="20"/>
  <c r="AR315" i="20" s="1"/>
  <c r="AQ316" i="20"/>
  <c r="AQ317" i="20"/>
  <c r="AQ318" i="20"/>
  <c r="AQ319" i="20"/>
  <c r="AR319" i="20" s="1"/>
  <c r="AQ320" i="20"/>
  <c r="AR320" i="20" s="1"/>
  <c r="AQ321" i="20"/>
  <c r="AQ322" i="20"/>
  <c r="AQ302" i="20"/>
  <c r="AR302" i="20" s="1"/>
  <c r="AQ298" i="20"/>
  <c r="AR298" i="20" s="1"/>
  <c r="AQ299" i="20"/>
  <c r="AQ301" i="20"/>
  <c r="AR301" i="20" s="1"/>
  <c r="AQ300" i="20"/>
  <c r="AR300" i="20" s="1"/>
  <c r="AQ297" i="20"/>
  <c r="AQ296" i="20"/>
  <c r="AR296" i="20" s="1"/>
  <c r="AQ294" i="20"/>
  <c r="AQ295" i="20"/>
  <c r="AR295" i="20" s="1"/>
  <c r="AQ292" i="20"/>
  <c r="AR292" i="20" s="1"/>
  <c r="AQ293" i="20"/>
  <c r="AQ290" i="20"/>
  <c r="AQ291" i="20"/>
  <c r="AR291" i="20" s="1"/>
  <c r="AQ288" i="20"/>
  <c r="AQ289" i="20"/>
  <c r="AQ285" i="20"/>
  <c r="AR285" i="20" s="1"/>
  <c r="AQ286" i="20"/>
  <c r="AR286" i="20" s="1"/>
  <c r="AQ287" i="20"/>
  <c r="AQ283" i="20"/>
  <c r="AQ284" i="20"/>
  <c r="AQ279" i="20"/>
  <c r="AR279" i="20" s="1"/>
  <c r="AQ280" i="20"/>
  <c r="AQ281" i="20"/>
  <c r="AQ282" i="20"/>
  <c r="AR282" i="20" s="1"/>
  <c r="AQ278" i="20"/>
  <c r="AR278" i="20" s="1"/>
  <c r="AQ277" i="20"/>
  <c r="AR277" i="20" s="1"/>
  <c r="AQ276" i="20"/>
  <c r="AR276" i="20" s="1"/>
  <c r="AQ263" i="20"/>
  <c r="AQ264" i="20"/>
  <c r="AR264" i="20" s="1"/>
  <c r="AQ265" i="20"/>
  <c r="AR265" i="20" s="1"/>
  <c r="AQ266" i="20"/>
  <c r="AR266" i="20" s="1"/>
  <c r="AQ267" i="20"/>
  <c r="AQ268" i="20"/>
  <c r="AR268" i="20" s="1"/>
  <c r="AQ269" i="20"/>
  <c r="AR269" i="20" s="1"/>
  <c r="AQ270" i="20"/>
  <c r="AR270" i="20" s="1"/>
  <c r="AQ271" i="20"/>
  <c r="AR271" i="20" s="1"/>
  <c r="AQ272" i="20"/>
  <c r="AR272" i="20" s="1"/>
  <c r="AQ273" i="20"/>
  <c r="AR273" i="20" s="1"/>
  <c r="AQ274" i="20"/>
  <c r="AR274" i="20" s="1"/>
  <c r="AQ275" i="20"/>
  <c r="AQ261" i="20"/>
  <c r="AR261" i="20" s="1"/>
  <c r="AQ262" i="20"/>
  <c r="AQ256" i="20"/>
  <c r="AQ257" i="20"/>
  <c r="AQ258" i="20"/>
  <c r="AR258" i="20" s="1"/>
  <c r="AQ259" i="20"/>
  <c r="AQ260" i="20"/>
  <c r="AQ254" i="20"/>
  <c r="AQ255" i="20"/>
  <c r="AR255" i="20" s="1"/>
  <c r="AQ250" i="20"/>
  <c r="AQ251" i="20"/>
  <c r="AQ253" i="20"/>
  <c r="AQ252" i="20"/>
  <c r="AR252" i="20" s="1"/>
  <c r="AQ249" i="20"/>
  <c r="AR249" i="20" s="1"/>
  <c r="AQ248" i="20"/>
  <c r="AR248" i="20" s="1"/>
  <c r="AQ247" i="20"/>
  <c r="AR247" i="20" s="1"/>
  <c r="AQ246" i="20"/>
  <c r="AR246" i="20" s="1"/>
  <c r="AQ245" i="20"/>
  <c r="AQ244" i="20"/>
  <c r="AQ237" i="20"/>
  <c r="AQ238" i="20"/>
  <c r="AQ239" i="20"/>
  <c r="AR239" i="20" s="1"/>
  <c r="AQ240" i="20"/>
  <c r="AQ241" i="20"/>
  <c r="AR241" i="20" s="1"/>
  <c r="AQ242" i="20"/>
  <c r="AR242" i="20" s="1"/>
  <c r="AQ243" i="20"/>
  <c r="AR243" i="20" s="1"/>
  <c r="AQ236" i="20"/>
  <c r="AQ235" i="20"/>
  <c r="AQ230" i="20"/>
  <c r="AQ232" i="20"/>
  <c r="AR232" i="20" s="1"/>
  <c r="AQ231" i="20"/>
  <c r="AQ233" i="20"/>
  <c r="AQ234" i="20"/>
  <c r="AR234" i="20" s="1"/>
  <c r="AQ229" i="20"/>
  <c r="AR229" i="20" s="1"/>
  <c r="AQ228" i="20"/>
  <c r="AQ225" i="20"/>
  <c r="AQ226" i="20"/>
  <c r="AR226" i="20" s="1"/>
  <c r="AQ223" i="20"/>
  <c r="AQ224" i="20"/>
  <c r="AR224" i="20" s="1"/>
  <c r="AQ227" i="20"/>
  <c r="AQ220" i="20"/>
  <c r="AR220" i="20" s="1"/>
  <c r="AQ221" i="20"/>
  <c r="AR221" i="20" s="1"/>
  <c r="AQ222" i="20"/>
  <c r="AQ219" i="20"/>
  <c r="AQ217" i="20"/>
  <c r="AR217" i="20" s="1"/>
  <c r="AQ218" i="20"/>
  <c r="AR218" i="20" s="1"/>
  <c r="AQ216" i="20"/>
  <c r="AQ215" i="20"/>
  <c r="AQ214" i="20"/>
  <c r="AR214" i="20" s="1"/>
  <c r="AQ213" i="20"/>
  <c r="AQ212" i="20"/>
  <c r="AQ211" i="20"/>
  <c r="AR211" i="20" s="1"/>
  <c r="AQ206" i="20"/>
  <c r="AR206" i="20" s="1"/>
  <c r="AQ207" i="20"/>
  <c r="AQ210" i="20"/>
  <c r="AQ208" i="20"/>
  <c r="AQ209" i="20"/>
  <c r="AR209" i="20" s="1"/>
  <c r="AQ205" i="20"/>
  <c r="AQ201" i="20"/>
  <c r="AQ202" i="20"/>
  <c r="AR202" i="20" s="1"/>
  <c r="AQ203" i="20"/>
  <c r="AR203" i="20" s="1"/>
  <c r="AQ204" i="20"/>
  <c r="AR204" i="20" s="1"/>
  <c r="AQ198" i="20"/>
  <c r="AQ194" i="20"/>
  <c r="AQ195" i="20"/>
  <c r="AR195" i="20" s="1"/>
  <c r="AQ199" i="20"/>
  <c r="AQ196" i="20"/>
  <c r="AQ197" i="20"/>
  <c r="AR197" i="20" s="1"/>
  <c r="AQ200" i="20"/>
  <c r="AR200" i="20" s="1"/>
  <c r="AQ193" i="20"/>
  <c r="AR193" i="20" s="1"/>
  <c r="AQ189" i="20"/>
  <c r="AQ192" i="20"/>
  <c r="AR192" i="20" s="1"/>
  <c r="AQ191" i="20"/>
  <c r="AR191" i="20" s="1"/>
  <c r="AQ190" i="20"/>
  <c r="AQ188" i="20"/>
  <c r="AR188" i="20" s="1"/>
  <c r="AQ186" i="20"/>
  <c r="AQ187" i="20"/>
  <c r="AR187" i="20" s="1"/>
  <c r="AQ183" i="20"/>
  <c r="AR183" i="20" s="1"/>
  <c r="AQ184" i="20"/>
  <c r="AQ185" i="20"/>
  <c r="AQ182" i="20"/>
  <c r="AR182" i="20" s="1"/>
  <c r="AQ180" i="20"/>
  <c r="AR180" i="20" s="1"/>
  <c r="AQ181" i="20"/>
  <c r="AQ179" i="20"/>
  <c r="AQ178" i="20"/>
  <c r="AQ177" i="20"/>
  <c r="AR177" i="20" s="1"/>
  <c r="AQ176" i="20"/>
  <c r="AR176" i="20" s="1"/>
  <c r="AQ174" i="20"/>
  <c r="AR174" i="20" s="1"/>
  <c r="AQ175" i="20"/>
  <c r="AR175" i="20" s="1"/>
  <c r="AQ173" i="20"/>
  <c r="AQ172" i="20"/>
  <c r="AQ171" i="20"/>
  <c r="AQ170" i="20"/>
  <c r="AQ169" i="20"/>
  <c r="AQ168" i="20"/>
  <c r="AQ161" i="20"/>
  <c r="AQ162" i="20"/>
  <c r="AR162" i="20" s="1"/>
  <c r="AQ163" i="20"/>
  <c r="AQ164" i="20"/>
  <c r="AQ165" i="20"/>
  <c r="AR165" i="20" s="1"/>
  <c r="AQ166" i="20"/>
  <c r="AR166" i="20" s="1"/>
  <c r="AQ167" i="20"/>
  <c r="AQ159" i="20"/>
  <c r="AQ160" i="20"/>
  <c r="AQ157" i="20"/>
  <c r="AR157" i="20" s="1"/>
  <c r="AQ158" i="20"/>
  <c r="AQ155" i="20"/>
  <c r="AQ156" i="20"/>
  <c r="AR156" i="20" s="1"/>
  <c r="AQ154" i="20"/>
  <c r="AR154" i="20" s="1"/>
  <c r="AQ153" i="20"/>
  <c r="AQ152" i="20"/>
  <c r="AQ151" i="20"/>
  <c r="AR151" i="20" s="1"/>
  <c r="AQ148" i="20"/>
  <c r="AR148" i="20" s="1"/>
  <c r="AQ149" i="20"/>
  <c r="AR149" i="20" s="1"/>
  <c r="AQ150" i="20"/>
  <c r="AQ146" i="20"/>
  <c r="AQ147" i="20"/>
  <c r="AR147" i="20" s="1"/>
  <c r="AQ144" i="20"/>
  <c r="AQ140" i="20"/>
  <c r="AQ141" i="20"/>
  <c r="AQ142" i="20"/>
  <c r="AR142" i="20" s="1"/>
  <c r="AQ145" i="20"/>
  <c r="AQ143" i="20"/>
  <c r="AQ139" i="20"/>
  <c r="AR139" i="20" s="1"/>
  <c r="AQ136" i="20"/>
  <c r="AR136" i="20" s="1"/>
  <c r="AQ137" i="20"/>
  <c r="AR137" i="20" s="1"/>
  <c r="AQ138" i="20"/>
  <c r="AQ135" i="20"/>
  <c r="AQ134" i="20"/>
  <c r="AQ133" i="20"/>
  <c r="AR133" i="20" s="1"/>
  <c r="AQ131" i="20"/>
  <c r="AQ132" i="20"/>
  <c r="AR132" i="20" s="1"/>
  <c r="AQ129" i="20"/>
  <c r="AQ130" i="20"/>
  <c r="AQ126" i="20"/>
  <c r="AT126" i="20" s="1"/>
  <c r="AQ127" i="20"/>
  <c r="AR127" i="20" s="1"/>
  <c r="AQ128" i="20"/>
  <c r="AQ125" i="20"/>
  <c r="AQ123" i="20"/>
  <c r="AR123" i="20" s="1"/>
  <c r="AQ124" i="20"/>
  <c r="AQ122" i="20"/>
  <c r="AR122" i="20" s="1"/>
  <c r="AQ121" i="20"/>
  <c r="AQ120" i="20"/>
  <c r="AQ119" i="20"/>
  <c r="AQ118" i="20"/>
  <c r="AR118" i="20" s="1"/>
  <c r="AQ117" i="20"/>
  <c r="AR117" i="20" s="1"/>
  <c r="AQ116" i="20"/>
  <c r="AQ110" i="20"/>
  <c r="AR110" i="20" s="1"/>
  <c r="AQ114" i="20"/>
  <c r="AQ115" i="20"/>
  <c r="AR115" i="20" s="1"/>
  <c r="AQ111" i="20"/>
  <c r="AR111" i="20" s="1"/>
  <c r="AQ112" i="20"/>
  <c r="AQ113" i="20"/>
  <c r="AR113" i="20" s="1"/>
  <c r="AQ104" i="20"/>
  <c r="AQ105" i="20"/>
  <c r="AQ106" i="20"/>
  <c r="AR106" i="20" s="1"/>
  <c r="AQ107" i="20"/>
  <c r="AR107" i="20" s="1"/>
  <c r="AQ108" i="20"/>
  <c r="AQ109" i="20"/>
  <c r="AR109" i="20" s="1"/>
  <c r="AQ103" i="20"/>
  <c r="AQ102" i="20"/>
  <c r="AR102" i="20" s="1"/>
  <c r="AQ101" i="20"/>
  <c r="AQ98" i="20"/>
  <c r="AR98" i="20" s="1"/>
  <c r="AQ92" i="20"/>
  <c r="AQ96" i="20"/>
  <c r="AR96" i="20" s="1"/>
  <c r="AQ93" i="20"/>
  <c r="AQ94" i="20"/>
  <c r="AQ95" i="20"/>
  <c r="AQ97" i="20"/>
  <c r="AR97" i="20" s="1"/>
  <c r="AQ89" i="20"/>
  <c r="AQ88" i="20"/>
  <c r="AQ86" i="20"/>
  <c r="AR86" i="20" s="1"/>
  <c r="AQ83" i="20"/>
  <c r="AR83" i="20" s="1"/>
  <c r="AQ81" i="20"/>
  <c r="AR81" i="20" s="1"/>
  <c r="AQ78" i="20"/>
  <c r="AQ79" i="20"/>
  <c r="AQ80" i="20"/>
  <c r="AR80" i="20" s="1"/>
  <c r="AQ75" i="20"/>
  <c r="AQ73" i="20"/>
  <c r="AQ71" i="20"/>
  <c r="AR71" i="20" s="1"/>
  <c r="AQ72" i="20"/>
  <c r="AR72" i="20" s="1"/>
  <c r="AQ70" i="20"/>
  <c r="AQ69" i="20"/>
  <c r="AQ68" i="20"/>
  <c r="AQ52" i="20"/>
  <c r="AR52" i="20" s="1"/>
  <c r="AQ90" i="20"/>
  <c r="AR90" i="20" s="1"/>
  <c r="AQ91" i="20"/>
  <c r="AR91" i="20" s="1"/>
  <c r="AQ76" i="20"/>
  <c r="AT76" i="20" s="1"/>
  <c r="AQ74" i="20"/>
  <c r="AQ100" i="20"/>
  <c r="AQ99" i="20"/>
  <c r="AQ77" i="20"/>
  <c r="AR77" i="20" s="1"/>
  <c r="AQ82" i="20"/>
  <c r="AR82" i="20" s="1"/>
  <c r="AQ53" i="20"/>
  <c r="AQ39" i="20"/>
  <c r="AR39" i="20" s="1"/>
  <c r="AQ44" i="20"/>
  <c r="AR44" i="20" s="1"/>
  <c r="AQ40" i="20"/>
  <c r="AR40" i="20" s="1"/>
  <c r="AQ41" i="20"/>
  <c r="AR41" i="20" s="1"/>
  <c r="AQ42" i="20"/>
  <c r="AQ34" i="20"/>
  <c r="AQ35" i="20"/>
  <c r="AR35" i="20" s="1"/>
  <c r="AQ36" i="20"/>
  <c r="AR36" i="20" s="1"/>
  <c r="AQ37" i="20"/>
  <c r="AR37" i="20" s="1"/>
  <c r="AQ38" i="20"/>
  <c r="AT38" i="20" s="1"/>
  <c r="AR47" i="20"/>
  <c r="AQ48" i="20"/>
  <c r="AQ30" i="20"/>
  <c r="AT30" i="20" s="1"/>
  <c r="AQ46" i="20"/>
  <c r="AT46" i="20" s="1"/>
  <c r="AQ45" i="20"/>
  <c r="AT45" i="20" s="1"/>
  <c r="AQ43" i="20"/>
  <c r="AT43" i="20" s="1"/>
  <c r="AQ31" i="20"/>
  <c r="AT31" i="20" s="1"/>
  <c r="AQ33" i="20"/>
  <c r="AT33" i="20" s="1"/>
  <c r="U20" i="19"/>
  <c r="Q20" i="19" s="1"/>
  <c r="P20" i="19" s="1"/>
  <c r="T20" i="19"/>
  <c r="U12" i="19"/>
  <c r="Q12" i="19" s="1"/>
  <c r="P12" i="19" s="1"/>
  <c r="V12" i="19" s="1"/>
  <c r="U16" i="19"/>
  <c r="Q16" i="19" s="1"/>
  <c r="U15" i="19"/>
  <c r="Q15" i="19" s="1"/>
  <c r="P15" i="19" s="1"/>
  <c r="T12" i="19"/>
  <c r="T16" i="19"/>
  <c r="T15" i="19"/>
  <c r="A87" i="20"/>
  <c r="T21" i="19"/>
  <c r="U21" i="19"/>
  <c r="Q21" i="19" s="1"/>
  <c r="P21" i="19" s="1"/>
  <c r="U23" i="19"/>
  <c r="Q23" i="19" s="1"/>
  <c r="P23" i="19" s="1"/>
  <c r="T23" i="19"/>
  <c r="U22" i="19"/>
  <c r="Q22" i="19" s="1"/>
  <c r="P22" i="19" s="1"/>
  <c r="V22" i="19" s="1"/>
  <c r="T22" i="19"/>
  <c r="A82" i="20"/>
  <c r="I1" i="20"/>
  <c r="J11" i="36"/>
  <c r="I11" i="36"/>
  <c r="H11" i="36"/>
  <c r="H7" i="36"/>
  <c r="G7" i="36"/>
  <c r="F7" i="36"/>
  <c r="E7" i="36"/>
  <c r="D7" i="36"/>
  <c r="C39" i="40"/>
  <c r="X7" i="66" s="1"/>
  <c r="D39" i="40"/>
  <c r="Y7" i="66" s="1"/>
  <c r="E39" i="40"/>
  <c r="AG7" i="66" s="1"/>
  <c r="Z8" i="66" s="1"/>
  <c r="C37" i="40"/>
  <c r="X17" i="66" s="1"/>
  <c r="C16" i="40"/>
  <c r="X3" i="66" s="1"/>
  <c r="S280" i="14"/>
  <c r="AI280" i="14"/>
  <c r="AJ280" i="14"/>
  <c r="AK280" i="14" s="1"/>
  <c r="S266" i="14"/>
  <c r="S267" i="14"/>
  <c r="S268" i="14"/>
  <c r="S275" i="14"/>
  <c r="S281" i="14"/>
  <c r="AI266" i="14"/>
  <c r="AI267" i="14"/>
  <c r="AI268" i="14"/>
  <c r="AI275" i="14"/>
  <c r="AI281" i="14"/>
  <c r="AJ266" i="14"/>
  <c r="AK266" i="14" s="1"/>
  <c r="AJ267" i="14"/>
  <c r="AK267" i="14" s="1"/>
  <c r="AJ268" i="14"/>
  <c r="AK268" i="14" s="1"/>
  <c r="AJ275" i="14"/>
  <c r="AK275" i="14" s="1"/>
  <c r="AJ281" i="14"/>
  <c r="AK281" i="14" s="1"/>
  <c r="S254" i="14"/>
  <c r="S255" i="14"/>
  <c r="S256" i="14"/>
  <c r="S257" i="14"/>
  <c r="S258" i="14"/>
  <c r="S259" i="14"/>
  <c r="S260" i="14"/>
  <c r="S261" i="14"/>
  <c r="S262" i="14"/>
  <c r="S263" i="14"/>
  <c r="S265" i="14"/>
  <c r="AI254" i="14"/>
  <c r="AI255" i="14"/>
  <c r="AI256" i="14"/>
  <c r="AI257" i="14"/>
  <c r="AI258" i="14"/>
  <c r="AI259" i="14"/>
  <c r="AI260" i="14"/>
  <c r="AI261" i="14"/>
  <c r="AI262" i="14"/>
  <c r="AI263" i="14"/>
  <c r="AI265" i="14"/>
  <c r="AJ254" i="14"/>
  <c r="AK254" i="14" s="1"/>
  <c r="AJ255" i="14"/>
  <c r="AK255" i="14" s="1"/>
  <c r="AJ256" i="14"/>
  <c r="AK256" i="14" s="1"/>
  <c r="AJ257" i="14"/>
  <c r="AK257" i="14" s="1"/>
  <c r="AJ258" i="14"/>
  <c r="AK258" i="14" s="1"/>
  <c r="AJ259" i="14"/>
  <c r="AK259" i="14" s="1"/>
  <c r="AJ260" i="14"/>
  <c r="AK260" i="14" s="1"/>
  <c r="AJ261" i="14"/>
  <c r="AK261" i="14" s="1"/>
  <c r="AJ262" i="14"/>
  <c r="AK262" i="14" s="1"/>
  <c r="AJ263" i="14"/>
  <c r="AK263" i="14" s="1"/>
  <c r="AJ265" i="14"/>
  <c r="AK265" i="14" s="1"/>
  <c r="T37" i="19"/>
  <c r="U37" i="19"/>
  <c r="Q37" i="19" s="1"/>
  <c r="P37" i="19" s="1"/>
  <c r="V37" i="19" s="1"/>
  <c r="T36" i="19"/>
  <c r="U36" i="19"/>
  <c r="Q36" i="19" s="1"/>
  <c r="P36" i="19" s="1"/>
  <c r="V36" i="19" s="1"/>
  <c r="T31" i="19"/>
  <c r="U31" i="19"/>
  <c r="Q31" i="19" s="1"/>
  <c r="P31" i="19" s="1"/>
  <c r="V31" i="19" s="1"/>
  <c r="T30" i="19"/>
  <c r="U30" i="19"/>
  <c r="Q30" i="19" s="1"/>
  <c r="P30" i="19" s="1"/>
  <c r="V30" i="19" s="1"/>
  <c r="T35" i="19"/>
  <c r="U35" i="19"/>
  <c r="Q35" i="19" s="1"/>
  <c r="P35" i="19" s="1"/>
  <c r="V35" i="19" s="1"/>
  <c r="T29" i="19"/>
  <c r="U29" i="19"/>
  <c r="Q29" i="19" s="1"/>
  <c r="P29" i="19" s="1"/>
  <c r="V29" i="19" s="1"/>
  <c r="T34" i="19"/>
  <c r="U34" i="19"/>
  <c r="Q34" i="19" s="1"/>
  <c r="P34" i="19" s="1"/>
  <c r="V34" i="19" s="1"/>
  <c r="T33" i="19"/>
  <c r="U33" i="19"/>
  <c r="Q33" i="19" s="1"/>
  <c r="P33" i="19" s="1"/>
  <c r="V33" i="19" s="1"/>
  <c r="T32" i="19"/>
  <c r="U32" i="19"/>
  <c r="Q32" i="19" s="1"/>
  <c r="P32" i="19" s="1"/>
  <c r="V32" i="19" s="1"/>
  <c r="T28" i="19"/>
  <c r="U28" i="19"/>
  <c r="Q28" i="19" s="1"/>
  <c r="P28" i="19" s="1"/>
  <c r="V28" i="19" s="1"/>
  <c r="T26" i="19"/>
  <c r="U26" i="19"/>
  <c r="Q26" i="19" s="1"/>
  <c r="P26" i="19" s="1"/>
  <c r="V26" i="19" s="1"/>
  <c r="T25" i="19"/>
  <c r="U25" i="19"/>
  <c r="Q25" i="19" s="1"/>
  <c r="P25" i="19" s="1"/>
  <c r="V25" i="19" s="1"/>
  <c r="AJ52" i="40"/>
  <c r="AK52" i="40"/>
  <c r="AL52" i="40"/>
  <c r="AM52" i="40"/>
  <c r="AS1166" i="20"/>
  <c r="AS1167" i="20"/>
  <c r="AS1168" i="20"/>
  <c r="AS1169" i="20"/>
  <c r="AS1170" i="20"/>
  <c r="AS1171" i="20"/>
  <c r="AS1172" i="20"/>
  <c r="AS84" i="20"/>
  <c r="AS85" i="20"/>
  <c r="AU84" i="20"/>
  <c r="AU85" i="20"/>
  <c r="AQ84" i="20"/>
  <c r="AQ85" i="20"/>
  <c r="T41" i="19"/>
  <c r="U41" i="19"/>
  <c r="Q41" i="19" s="1"/>
  <c r="P41" i="19" s="1"/>
  <c r="V41" i="19" s="1"/>
  <c r="S120" i="14"/>
  <c r="AS83" i="20"/>
  <c r="AS115" i="20"/>
  <c r="AS89" i="20"/>
  <c r="AS88" i="20"/>
  <c r="AS1152" i="20"/>
  <c r="D17" i="43"/>
  <c r="AI55" i="14"/>
  <c r="AJ55" i="14"/>
  <c r="AK55" i="14" s="1"/>
  <c r="AI170" i="14"/>
  <c r="AJ170" i="14"/>
  <c r="AK170" i="14" s="1"/>
  <c r="AJ202" i="14"/>
  <c r="AK202" i="14" s="1"/>
  <c r="AJ203" i="14"/>
  <c r="AK203" i="14" s="1"/>
  <c r="AJ204" i="14"/>
  <c r="AK204" i="14" s="1"/>
  <c r="AJ215" i="14"/>
  <c r="AK215" i="14" s="1"/>
  <c r="AI215" i="14"/>
  <c r="AJ213" i="14"/>
  <c r="AK213" i="14" s="1"/>
  <c r="AI213" i="14"/>
  <c r="AJ212" i="14"/>
  <c r="AK212" i="14" s="1"/>
  <c r="AI212" i="14"/>
  <c r="AJ211" i="14"/>
  <c r="AK211" i="14" s="1"/>
  <c r="AI211" i="14"/>
  <c r="AJ210" i="14"/>
  <c r="AK210" i="14" s="1"/>
  <c r="AI210" i="14"/>
  <c r="AJ209" i="14"/>
  <c r="AK209" i="14" s="1"/>
  <c r="AI209" i="14"/>
  <c r="AJ208" i="14"/>
  <c r="AK208" i="14" s="1"/>
  <c r="AI208" i="14"/>
  <c r="AJ207" i="14"/>
  <c r="AK207" i="14" s="1"/>
  <c r="AI207" i="14"/>
  <c r="AJ206" i="14"/>
  <c r="AK206" i="14" s="1"/>
  <c r="AI206" i="14"/>
  <c r="AJ205" i="14"/>
  <c r="AK205" i="14" s="1"/>
  <c r="AI205" i="14"/>
  <c r="AI204" i="14"/>
  <c r="AH205" i="14"/>
  <c r="AH206" i="14"/>
  <c r="AI38" i="14"/>
  <c r="AI217" i="14"/>
  <c r="AI269" i="14"/>
  <c r="AI219" i="14"/>
  <c r="S38" i="14"/>
  <c r="S217" i="14"/>
  <c r="S269" i="14"/>
  <c r="S219" i="14"/>
  <c r="AJ38" i="14"/>
  <c r="AK38" i="14" s="1"/>
  <c r="AJ217" i="14"/>
  <c r="AK217" i="14" s="1"/>
  <c r="AJ269" i="14"/>
  <c r="AK269" i="14" s="1"/>
  <c r="AJ219" i="14"/>
  <c r="AK219" i="14" s="1"/>
  <c r="AJ220" i="14"/>
  <c r="AK220" i="14" s="1"/>
  <c r="U38" i="19"/>
  <c r="Q38" i="19" s="1"/>
  <c r="P38" i="19" s="1"/>
  <c r="V38" i="19" s="1"/>
  <c r="T38" i="19"/>
  <c r="U42" i="19"/>
  <c r="Q42" i="19" s="1"/>
  <c r="P42" i="19" s="1"/>
  <c r="V42" i="19" s="1"/>
  <c r="T42" i="19"/>
  <c r="AI122" i="14"/>
  <c r="AI143" i="14"/>
  <c r="AI53" i="14"/>
  <c r="AI150" i="14"/>
  <c r="AI160" i="14"/>
  <c r="AI168" i="14"/>
  <c r="AI144" i="14"/>
  <c r="AI113" i="14"/>
  <c r="AI126" i="14"/>
  <c r="AI87" i="14"/>
  <c r="AI110" i="14"/>
  <c r="AI46" i="14"/>
  <c r="AI145" i="14"/>
  <c r="AI16" i="14"/>
  <c r="AI14" i="14"/>
  <c r="AI15" i="14"/>
  <c r="AI123" i="14"/>
  <c r="AI32" i="14"/>
  <c r="AI115" i="14"/>
  <c r="AI136" i="14"/>
  <c r="AI165" i="14"/>
  <c r="AI202" i="14"/>
  <c r="AI47" i="14"/>
  <c r="AI22" i="14"/>
  <c r="AI23" i="14"/>
  <c r="AI121" i="14"/>
  <c r="AI179" i="14"/>
  <c r="AI182" i="14"/>
  <c r="AI184" i="14"/>
  <c r="AI17" i="14"/>
  <c r="AI81" i="14"/>
  <c r="AI107" i="14"/>
  <c r="AI125" i="14"/>
  <c r="AI19" i="14"/>
  <c r="AI18" i="14"/>
  <c r="AI155" i="14"/>
  <c r="AI142" i="14"/>
  <c r="AI52" i="14"/>
  <c r="AI75" i="14"/>
  <c r="AI73" i="14"/>
  <c r="AI74" i="14"/>
  <c r="AI31" i="14"/>
  <c r="AI119" i="14"/>
  <c r="AI35" i="14"/>
  <c r="AI33" i="14"/>
  <c r="AI44" i="14"/>
  <c r="AI43" i="14"/>
  <c r="AI191" i="14"/>
  <c r="AI196" i="14"/>
  <c r="AI20" i="14"/>
  <c r="AI66" i="14"/>
  <c r="AI12" i="14"/>
  <c r="AI129" i="14"/>
  <c r="AI203" i="14"/>
  <c r="AI128" i="14"/>
  <c r="AI201" i="14"/>
  <c r="AI100" i="14"/>
  <c r="AI228" i="14"/>
  <c r="AI80" i="14"/>
  <c r="AI70" i="14"/>
  <c r="AI24" i="14"/>
  <c r="AI25" i="14"/>
  <c r="AI92" i="14"/>
  <c r="AI187" i="14"/>
  <c r="AI60" i="14"/>
  <c r="AI96" i="14"/>
  <c r="AI236" i="14"/>
  <c r="AI240" i="14"/>
  <c r="AI54" i="14"/>
  <c r="AI93" i="14"/>
  <c r="AI40" i="14"/>
  <c r="AI237" i="14"/>
  <c r="AI61" i="14"/>
  <c r="AI98" i="14"/>
  <c r="AI166" i="14"/>
  <c r="AI178" i="14"/>
  <c r="AI238" i="14"/>
  <c r="AI28" i="14"/>
  <c r="AI57" i="14"/>
  <c r="AI104" i="14"/>
  <c r="AI82" i="14"/>
  <c r="AI37" i="14"/>
  <c r="AI138" i="14"/>
  <c r="AI245" i="14"/>
  <c r="AI246" i="14"/>
  <c r="AI127" i="14"/>
  <c r="AI6" i="14"/>
  <c r="AI76" i="14"/>
  <c r="AI140" i="14"/>
  <c r="AI124" i="14"/>
  <c r="AI120" i="14"/>
  <c r="AI249" i="14"/>
  <c r="AI183" i="14"/>
  <c r="AI167" i="14"/>
  <c r="AI139" i="14"/>
  <c r="AI36" i="14"/>
  <c r="AI29" i="14"/>
  <c r="AI34" i="14"/>
  <c r="AI30" i="14"/>
  <c r="AI157" i="14"/>
  <c r="AI51" i="14"/>
  <c r="AI158" i="14"/>
  <c r="AI250" i="14"/>
  <c r="AI251" i="14"/>
  <c r="AI198" i="14"/>
  <c r="AI77" i="14"/>
  <c r="AI10" i="14"/>
  <c r="AI11" i="14"/>
  <c r="AI45" i="14"/>
  <c r="AI71" i="14"/>
  <c r="AI72" i="14"/>
  <c r="AI13" i="14"/>
  <c r="AI83" i="14"/>
  <c r="AI180" i="14"/>
  <c r="AI58" i="14"/>
  <c r="AI5" i="14"/>
  <c r="AI27" i="14"/>
  <c r="AI8" i="14"/>
  <c r="AI7" i="14"/>
  <c r="AI9" i="14"/>
  <c r="AI41" i="14"/>
  <c r="AI252" i="14"/>
  <c r="AI42" i="14"/>
  <c r="AI253" i="14"/>
  <c r="AI159" i="14"/>
  <c r="AI116" i="14"/>
  <c r="AI26" i="14"/>
  <c r="AI56" i="14"/>
  <c r="AI106" i="14"/>
  <c r="AI278" i="14"/>
  <c r="AI193" i="14"/>
  <c r="A81" i="20"/>
  <c r="AM81" i="20"/>
  <c r="AS81" i="20"/>
  <c r="AU81" i="20"/>
  <c r="A128" i="20"/>
  <c r="AM128" i="20"/>
  <c r="AS128" i="20"/>
  <c r="AU128" i="20"/>
  <c r="U43" i="19"/>
  <c r="Q43" i="19" s="1"/>
  <c r="P43" i="19" s="1"/>
  <c r="V43" i="19" s="1"/>
  <c r="U46" i="19"/>
  <c r="Q46" i="19" s="1"/>
  <c r="P46" i="19" s="1"/>
  <c r="V46" i="19" s="1"/>
  <c r="U44" i="19"/>
  <c r="Q44" i="19" s="1"/>
  <c r="P44" i="19" s="1"/>
  <c r="V44" i="19" s="1"/>
  <c r="U45" i="19"/>
  <c r="Q45" i="19" s="1"/>
  <c r="P45" i="19" s="1"/>
  <c r="V45" i="19" s="1"/>
  <c r="T44" i="19"/>
  <c r="T43" i="19"/>
  <c r="T46" i="19"/>
  <c r="S238" i="14"/>
  <c r="A101" i="20"/>
  <c r="A89" i="20"/>
  <c r="A83" i="20"/>
  <c r="A84" i="20"/>
  <c r="A85" i="20"/>
  <c r="AJ32" i="40"/>
  <c r="AK32" i="40"/>
  <c r="AL32" i="40"/>
  <c r="AM32" i="40"/>
  <c r="AJ8" i="40"/>
  <c r="AM9" i="40"/>
  <c r="AM10" i="40"/>
  <c r="AM11" i="40"/>
  <c r="AM13" i="40"/>
  <c r="AM14" i="40"/>
  <c r="AM15" i="40"/>
  <c r="AM16" i="40"/>
  <c r="AM17" i="40"/>
  <c r="AM18" i="40"/>
  <c r="AM19" i="40"/>
  <c r="AM20" i="40"/>
  <c r="AM21" i="40"/>
  <c r="AM22" i="40"/>
  <c r="AM23" i="40"/>
  <c r="AM24" i="40"/>
  <c r="AM25" i="40"/>
  <c r="AM26" i="40"/>
  <c r="AM27" i="40"/>
  <c r="AM28" i="40"/>
  <c r="AM29" i="40"/>
  <c r="AM30" i="40"/>
  <c r="AM31" i="40"/>
  <c r="AM33" i="40"/>
  <c r="AM34" i="40"/>
  <c r="AM35" i="40"/>
  <c r="AM36" i="40"/>
  <c r="AM37" i="40"/>
  <c r="AM38" i="40"/>
  <c r="AM40" i="40"/>
  <c r="AL9" i="40"/>
  <c r="AL10" i="40"/>
  <c r="AL11" i="40"/>
  <c r="AL13" i="40"/>
  <c r="AL14" i="40"/>
  <c r="AL15" i="40"/>
  <c r="AL16" i="40"/>
  <c r="AL17" i="40"/>
  <c r="AL18" i="40"/>
  <c r="AL19" i="40"/>
  <c r="AL20" i="40"/>
  <c r="AL21" i="40"/>
  <c r="AL22" i="40"/>
  <c r="AL23" i="40"/>
  <c r="AL24" i="40"/>
  <c r="AL25" i="40"/>
  <c r="AL26" i="40"/>
  <c r="AL27" i="40"/>
  <c r="AL28" i="40"/>
  <c r="AL29" i="40"/>
  <c r="AL30" i="40"/>
  <c r="AL31" i="40"/>
  <c r="AL33" i="40"/>
  <c r="AL34" i="40"/>
  <c r="AL35" i="40"/>
  <c r="AL36" i="40"/>
  <c r="AL37" i="40"/>
  <c r="AL38" i="40"/>
  <c r="AL40" i="40"/>
  <c r="AK9" i="40"/>
  <c r="AK10" i="40"/>
  <c r="AK11" i="40"/>
  <c r="AK13" i="40"/>
  <c r="AK14" i="40"/>
  <c r="AK15" i="40"/>
  <c r="AK16" i="40"/>
  <c r="AK17" i="40"/>
  <c r="AK18" i="40"/>
  <c r="AK19" i="40"/>
  <c r="AK20" i="40"/>
  <c r="AK21" i="40"/>
  <c r="AK22" i="40"/>
  <c r="AK23" i="40"/>
  <c r="AK24" i="40"/>
  <c r="AK25" i="40"/>
  <c r="AK26" i="40"/>
  <c r="AK27" i="40"/>
  <c r="AK28" i="40"/>
  <c r="AK29" i="40"/>
  <c r="AK30" i="40"/>
  <c r="AK31" i="40"/>
  <c r="AK33" i="40"/>
  <c r="AK34" i="40"/>
  <c r="AK35" i="40"/>
  <c r="AK36" i="40"/>
  <c r="AK37" i="40"/>
  <c r="AK38" i="40"/>
  <c r="AK40" i="40"/>
  <c r="AJ9" i="40"/>
  <c r="AJ10" i="40"/>
  <c r="AJ11" i="40"/>
  <c r="AJ13" i="40"/>
  <c r="AJ14" i="40"/>
  <c r="AJ15" i="40"/>
  <c r="AJ16" i="40"/>
  <c r="AJ17" i="40"/>
  <c r="AJ18" i="40"/>
  <c r="AJ19" i="40"/>
  <c r="AJ20" i="40"/>
  <c r="AJ21" i="40"/>
  <c r="AJ22" i="40"/>
  <c r="AJ23" i="40"/>
  <c r="AJ24" i="40"/>
  <c r="AJ25" i="40"/>
  <c r="AJ26" i="40"/>
  <c r="AJ27" i="40"/>
  <c r="AJ28" i="40"/>
  <c r="AJ29" i="40"/>
  <c r="AJ30" i="40"/>
  <c r="AJ31" i="40"/>
  <c r="AJ33" i="40"/>
  <c r="AJ34" i="40"/>
  <c r="AJ35" i="40"/>
  <c r="AJ36" i="40"/>
  <c r="AJ37" i="40"/>
  <c r="AJ38" i="40"/>
  <c r="AJ40" i="40"/>
  <c r="AJ56" i="40"/>
  <c r="AK56" i="40"/>
  <c r="AL56" i="40"/>
  <c r="AM56" i="40"/>
  <c r="AJ53" i="40"/>
  <c r="AK53" i="40"/>
  <c r="AL53" i="40"/>
  <c r="AM53" i="40"/>
  <c r="C30" i="40"/>
  <c r="X24" i="66" s="1"/>
  <c r="D30" i="40"/>
  <c r="Y24" i="66" s="1"/>
  <c r="E30" i="40"/>
  <c r="AG24" i="66" s="1"/>
  <c r="Z25" i="66" s="1"/>
  <c r="C29" i="40"/>
  <c r="X23" i="66" s="1"/>
  <c r="E16" i="40"/>
  <c r="AG3" i="66" s="1"/>
  <c r="Z4" i="66" s="1"/>
  <c r="E35" i="40"/>
  <c r="AG10" i="66" s="1"/>
  <c r="Z11" i="66" s="1"/>
  <c r="E36" i="40"/>
  <c r="AG13" i="66" s="1"/>
  <c r="Z14" i="66" s="1"/>
  <c r="E37" i="40"/>
  <c r="AG17" i="66" s="1"/>
  <c r="Z18" i="66" s="1"/>
  <c r="E38" i="40"/>
  <c r="AG19" i="66" s="1"/>
  <c r="Z20" i="66" s="1"/>
  <c r="E40" i="40"/>
  <c r="AG20" i="66" s="1"/>
  <c r="Z21" i="66" s="1"/>
  <c r="E34" i="40"/>
  <c r="AG6" i="66" s="1"/>
  <c r="Z7" i="66" s="1"/>
  <c r="D35" i="40"/>
  <c r="Y10" i="66" s="1"/>
  <c r="D36" i="40"/>
  <c r="Y13" i="66" s="1"/>
  <c r="D37" i="40"/>
  <c r="Y17" i="66" s="1"/>
  <c r="D38" i="40"/>
  <c r="Y19" i="66" s="1"/>
  <c r="D40" i="40"/>
  <c r="Y20" i="66" s="1"/>
  <c r="D34" i="40"/>
  <c r="Y6" i="66" s="1"/>
  <c r="C34" i="40"/>
  <c r="C35" i="40"/>
  <c r="X10" i="66" s="1"/>
  <c r="C36" i="40"/>
  <c r="X13" i="66" s="1"/>
  <c r="C38" i="40"/>
  <c r="X19" i="66" s="1"/>
  <c r="C40" i="40"/>
  <c r="X20" i="66" s="1"/>
  <c r="E17" i="40"/>
  <c r="AG4" i="66" s="1"/>
  <c r="Z5" i="66" s="1"/>
  <c r="E18" i="40"/>
  <c r="AG5" i="66" s="1"/>
  <c r="Z6" i="66" s="1"/>
  <c r="E19" i="40"/>
  <c r="AG8" i="66" s="1"/>
  <c r="Z9" i="66" s="1"/>
  <c r="E20" i="40"/>
  <c r="E21" i="40"/>
  <c r="AG11" i="66" s="1"/>
  <c r="Z12" i="66" s="1"/>
  <c r="E22" i="40"/>
  <c r="AG12" i="66" s="1"/>
  <c r="Z13" i="66" s="1"/>
  <c r="E23" i="40"/>
  <c r="AG14" i="66" s="1"/>
  <c r="Z15" i="66" s="1"/>
  <c r="E24" i="40"/>
  <c r="AG15" i="66" s="1"/>
  <c r="Z16" i="66" s="1"/>
  <c r="E25" i="40"/>
  <c r="AG16" i="66" s="1"/>
  <c r="Z17" i="66" s="1"/>
  <c r="E26" i="40"/>
  <c r="AG18" i="66" s="1"/>
  <c r="Z19" i="66" s="1"/>
  <c r="E27" i="40"/>
  <c r="AG21" i="66" s="1"/>
  <c r="Z22" i="66" s="1"/>
  <c r="E28" i="40"/>
  <c r="AG22" i="66" s="1"/>
  <c r="Z23" i="66" s="1"/>
  <c r="E29" i="40"/>
  <c r="AG23" i="66" s="1"/>
  <c r="Z24" i="66" s="1"/>
  <c r="E31" i="40"/>
  <c r="AG25" i="66" s="1"/>
  <c r="D17" i="40"/>
  <c r="Y4" i="66" s="1"/>
  <c r="D19" i="40"/>
  <c r="Y8" i="66" s="1"/>
  <c r="D20" i="40"/>
  <c r="Y9" i="66" s="1"/>
  <c r="D21" i="40"/>
  <c r="Y11" i="66" s="1"/>
  <c r="D22" i="40"/>
  <c r="Y12" i="66" s="1"/>
  <c r="D23" i="40"/>
  <c r="Y14" i="66" s="1"/>
  <c r="D24" i="40"/>
  <c r="Y15" i="66" s="1"/>
  <c r="D25" i="40"/>
  <c r="Y16" i="66" s="1"/>
  <c r="D26" i="40"/>
  <c r="Y18" i="66" s="1"/>
  <c r="D27" i="40"/>
  <c r="Y21" i="66" s="1"/>
  <c r="D28" i="40"/>
  <c r="Y22" i="66" s="1"/>
  <c r="D29" i="40"/>
  <c r="Y23" i="66" s="1"/>
  <c r="D31" i="40"/>
  <c r="Y25" i="66" s="1"/>
  <c r="C17" i="40"/>
  <c r="X4" i="66" s="1"/>
  <c r="C18" i="40"/>
  <c r="X5" i="66" s="1"/>
  <c r="C19" i="40"/>
  <c r="X8" i="66" s="1"/>
  <c r="C20" i="40"/>
  <c r="X9" i="66" s="1"/>
  <c r="C21" i="40"/>
  <c r="X11" i="66" s="1"/>
  <c r="C22" i="40"/>
  <c r="X12" i="66" s="1"/>
  <c r="C23" i="40"/>
  <c r="X14" i="66" s="1"/>
  <c r="C24" i="40"/>
  <c r="X15" i="66" s="1"/>
  <c r="C25" i="40"/>
  <c r="X16" i="66" s="1"/>
  <c r="C26" i="40"/>
  <c r="X18" i="66" s="1"/>
  <c r="C27" i="40"/>
  <c r="X21" i="66" s="1"/>
  <c r="C28" i="40"/>
  <c r="X22" i="66" s="1"/>
  <c r="C31" i="40"/>
  <c r="X25" i="66" s="1"/>
  <c r="D16" i="40"/>
  <c r="Y3" i="66" s="1"/>
  <c r="AJ57" i="40"/>
  <c r="AK57" i="40"/>
  <c r="AL57" i="40"/>
  <c r="AM57" i="40"/>
  <c r="AJ58" i="40"/>
  <c r="AK58" i="40"/>
  <c r="AL58" i="40"/>
  <c r="AM58" i="40"/>
  <c r="AJ59" i="40"/>
  <c r="AK59" i="40"/>
  <c r="AL59" i="40"/>
  <c r="AM59" i="40"/>
  <c r="AJ60" i="40"/>
  <c r="AK60" i="40"/>
  <c r="AL60" i="40"/>
  <c r="AM60" i="40"/>
  <c r="AJ61" i="40"/>
  <c r="AK61" i="40"/>
  <c r="AL61" i="40"/>
  <c r="AM61" i="40"/>
  <c r="AJ62" i="40"/>
  <c r="AK62" i="40"/>
  <c r="AL62" i="40"/>
  <c r="AM62" i="40"/>
  <c r="U47" i="19"/>
  <c r="Q47" i="19" s="1"/>
  <c r="P47" i="19" s="1"/>
  <c r="V47" i="19" s="1"/>
  <c r="U383" i="19"/>
  <c r="Q383" i="19" s="1"/>
  <c r="P383" i="19" s="1"/>
  <c r="V383" i="19" s="1"/>
  <c r="U384" i="19"/>
  <c r="Q384" i="19" s="1"/>
  <c r="P384" i="19" s="1"/>
  <c r="V384" i="19" s="1"/>
  <c r="U385" i="19"/>
  <c r="Q385" i="19" s="1"/>
  <c r="P385" i="19" s="1"/>
  <c r="U48" i="19"/>
  <c r="Q48" i="19" s="1"/>
  <c r="P48" i="19" s="1"/>
  <c r="T48" i="19"/>
  <c r="T47" i="19"/>
  <c r="T45" i="19"/>
  <c r="W5" i="43"/>
  <c r="M15" i="43"/>
  <c r="A239" i="20"/>
  <c r="A163" i="20"/>
  <c r="A106" i="20"/>
  <c r="AM239" i="20"/>
  <c r="AM163" i="20"/>
  <c r="AM106" i="20"/>
  <c r="AS239" i="20"/>
  <c r="AS163" i="20"/>
  <c r="AU239" i="20"/>
  <c r="AU163" i="20"/>
  <c r="AU106" i="20"/>
  <c r="A231" i="20"/>
  <c r="A157" i="20"/>
  <c r="A123" i="20"/>
  <c r="AM231" i="20"/>
  <c r="AM157" i="20"/>
  <c r="AM123" i="20"/>
  <c r="AS231" i="20"/>
  <c r="AS157" i="20"/>
  <c r="AS123" i="20"/>
  <c r="AU231" i="20"/>
  <c r="AU157" i="20"/>
  <c r="AU123" i="20"/>
  <c r="A114" i="20"/>
  <c r="AM114" i="20"/>
  <c r="AU114" i="20"/>
  <c r="A172" i="20"/>
  <c r="AM172" i="20"/>
  <c r="AS172" i="20"/>
  <c r="AU172" i="20"/>
  <c r="A191" i="20"/>
  <c r="A171" i="20"/>
  <c r="AM191" i="20"/>
  <c r="AM171" i="20"/>
  <c r="AS191" i="20"/>
  <c r="AS171" i="20"/>
  <c r="AU191" i="20"/>
  <c r="AU171" i="20"/>
  <c r="A286" i="20"/>
  <c r="A202" i="20"/>
  <c r="A142" i="20"/>
  <c r="AM286" i="20"/>
  <c r="AM202" i="20"/>
  <c r="AM142" i="20"/>
  <c r="AS286" i="20"/>
  <c r="AS202" i="20"/>
  <c r="AS142" i="20"/>
  <c r="AU286" i="20"/>
  <c r="AU202" i="20"/>
  <c r="AU142" i="20"/>
  <c r="A290" i="20"/>
  <c r="A213" i="20"/>
  <c r="A144" i="20"/>
  <c r="AM290" i="20"/>
  <c r="AM213" i="20"/>
  <c r="AM144" i="20"/>
  <c r="AS290" i="20"/>
  <c r="AS213" i="20"/>
  <c r="AS144" i="20"/>
  <c r="AU290" i="20"/>
  <c r="AU213" i="20"/>
  <c r="AU144" i="20"/>
  <c r="A868" i="20"/>
  <c r="AM868" i="20"/>
  <c r="AS868" i="20"/>
  <c r="AU868" i="20"/>
  <c r="AU1088" i="20"/>
  <c r="AU934" i="20"/>
  <c r="AU948" i="20"/>
  <c r="AU947" i="20"/>
  <c r="AS1088" i="20"/>
  <c r="AS934" i="20"/>
  <c r="AS948" i="20"/>
  <c r="AS947" i="20"/>
  <c r="AM1088" i="20"/>
  <c r="AM934" i="20"/>
  <c r="AM948" i="20"/>
  <c r="AM947" i="20"/>
  <c r="A1088" i="20"/>
  <c r="A934" i="20"/>
  <c r="A948" i="20"/>
  <c r="A947" i="20"/>
  <c r="A1022" i="20"/>
  <c r="A1096" i="20"/>
  <c r="A943" i="20"/>
  <c r="A946" i="20"/>
  <c r="AM1022" i="20"/>
  <c r="AM1096" i="20"/>
  <c r="AM943" i="20"/>
  <c r="AM946" i="20"/>
  <c r="AS1022" i="20"/>
  <c r="AS1096" i="20"/>
  <c r="AS943" i="20"/>
  <c r="AS946" i="20"/>
  <c r="AU1022" i="20"/>
  <c r="AU1096" i="20"/>
  <c r="AU943" i="20"/>
  <c r="AU946" i="20"/>
  <c r="A1024" i="20"/>
  <c r="A1098" i="20"/>
  <c r="AM1024" i="20"/>
  <c r="AM1098" i="20"/>
  <c r="AS1024" i="20"/>
  <c r="AS1098" i="20"/>
  <c r="AU1024" i="20"/>
  <c r="AU1098" i="20"/>
  <c r="A1109" i="20"/>
  <c r="AM1109" i="20"/>
  <c r="AS1109" i="20"/>
  <c r="AU1109" i="20"/>
  <c r="S215" i="14"/>
  <c r="S245" i="14"/>
  <c r="AJ245" i="14"/>
  <c r="AK245" i="14" s="1"/>
  <c r="S246" i="14"/>
  <c r="S249" i="14"/>
  <c r="S250" i="14"/>
  <c r="AJ246" i="14"/>
  <c r="AK246" i="14" s="1"/>
  <c r="AJ249" i="14"/>
  <c r="AK249" i="14" s="1"/>
  <c r="AJ250" i="14"/>
  <c r="AK250" i="14" s="1"/>
  <c r="S251" i="14"/>
  <c r="S252" i="14"/>
  <c r="AJ251" i="14"/>
  <c r="AK251" i="14" s="1"/>
  <c r="AJ252" i="14"/>
  <c r="AK252" i="14" s="1"/>
  <c r="S253" i="14"/>
  <c r="AJ253" i="14"/>
  <c r="AK253" i="14" s="1"/>
  <c r="T49" i="19"/>
  <c r="U49" i="19"/>
  <c r="Q49" i="19" s="1"/>
  <c r="P49" i="19" s="1"/>
  <c r="V49" i="19" s="1"/>
  <c r="T39" i="19"/>
  <c r="U39" i="19"/>
  <c r="Q39" i="19" s="1"/>
  <c r="P39" i="19" s="1"/>
  <c r="V39" i="19" s="1"/>
  <c r="T40" i="19"/>
  <c r="U40" i="19"/>
  <c r="Q40" i="19" s="1"/>
  <c r="P40" i="19" s="1"/>
  <c r="V40" i="19" s="1"/>
  <c r="A222" i="20"/>
  <c r="A156" i="20"/>
  <c r="A130" i="20"/>
  <c r="A113" i="20"/>
  <c r="AM222" i="20"/>
  <c r="AM156" i="20"/>
  <c r="AM130" i="20"/>
  <c r="AM113" i="20"/>
  <c r="AS222" i="20"/>
  <c r="AS156" i="20"/>
  <c r="AS130" i="20"/>
  <c r="AS113" i="20"/>
  <c r="AU222" i="20"/>
  <c r="AU156" i="20"/>
  <c r="AU130" i="20"/>
  <c r="AU113" i="20"/>
  <c r="A243" i="20"/>
  <c r="A167" i="20"/>
  <c r="A109" i="20"/>
  <c r="AM243" i="20"/>
  <c r="AM167" i="20"/>
  <c r="AM109" i="20"/>
  <c r="AS243" i="20"/>
  <c r="AS167" i="20"/>
  <c r="AU243" i="20"/>
  <c r="AU167" i="20"/>
  <c r="AU109" i="20"/>
  <c r="A247" i="20"/>
  <c r="A242" i="20"/>
  <c r="A160" i="20"/>
  <c r="A132" i="20"/>
  <c r="A112" i="20"/>
  <c r="AM247" i="20"/>
  <c r="AM242" i="20"/>
  <c r="AM160" i="20"/>
  <c r="AM132" i="20"/>
  <c r="AM112" i="20"/>
  <c r="AS247" i="20"/>
  <c r="AS242" i="20"/>
  <c r="AS160" i="20"/>
  <c r="AS132" i="20"/>
  <c r="AS112" i="20"/>
  <c r="AU247" i="20"/>
  <c r="AU242" i="20"/>
  <c r="AU160" i="20"/>
  <c r="AU132" i="20"/>
  <c r="AU112" i="20"/>
  <c r="A241" i="20"/>
  <c r="A155" i="20"/>
  <c r="A131" i="20"/>
  <c r="A111" i="20"/>
  <c r="AM241" i="20"/>
  <c r="AM155" i="20"/>
  <c r="AM131" i="20"/>
  <c r="AM111" i="20"/>
  <c r="AS241" i="20"/>
  <c r="AS155" i="20"/>
  <c r="AS131" i="20"/>
  <c r="AS111" i="20"/>
  <c r="AU241" i="20"/>
  <c r="AU155" i="20"/>
  <c r="AU131" i="20"/>
  <c r="AU111" i="20"/>
  <c r="A244" i="20"/>
  <c r="A166" i="20"/>
  <c r="A108" i="20"/>
  <c r="AM244" i="20"/>
  <c r="AM166" i="20"/>
  <c r="AM108" i="20"/>
  <c r="AS244" i="20"/>
  <c r="AS166" i="20"/>
  <c r="AU244" i="20"/>
  <c r="AU166" i="20"/>
  <c r="AU108" i="20"/>
  <c r="A158" i="20"/>
  <c r="AM158" i="20"/>
  <c r="AS158" i="20"/>
  <c r="AU158" i="20"/>
  <c r="A234" i="20"/>
  <c r="A124" i="20"/>
  <c r="A115" i="20"/>
  <c r="AM234" i="20"/>
  <c r="AM124" i="20"/>
  <c r="AM115" i="20"/>
  <c r="AS234" i="20"/>
  <c r="AS124" i="20"/>
  <c r="AU234" i="20"/>
  <c r="AU124" i="20"/>
  <c r="AU115" i="20"/>
  <c r="A238" i="20"/>
  <c r="A162" i="20"/>
  <c r="A105" i="20"/>
  <c r="AM238" i="20"/>
  <c r="AM162" i="20"/>
  <c r="AM105" i="20"/>
  <c r="AS238" i="20"/>
  <c r="AS162" i="20"/>
  <c r="AU238" i="20"/>
  <c r="AU162" i="20"/>
  <c r="AU105" i="20"/>
  <c r="A240" i="20"/>
  <c r="A164" i="20"/>
  <c r="A107" i="20"/>
  <c r="AM240" i="20"/>
  <c r="AM164" i="20"/>
  <c r="AM107" i="20"/>
  <c r="AS240" i="20"/>
  <c r="AS164" i="20"/>
  <c r="AU240" i="20"/>
  <c r="AU164" i="20"/>
  <c r="AU107" i="20"/>
  <c r="A237" i="20"/>
  <c r="A161" i="20"/>
  <c r="A104" i="20"/>
  <c r="AM237" i="20"/>
  <c r="AM161" i="20"/>
  <c r="AM104" i="20"/>
  <c r="AS237" i="20"/>
  <c r="AS161" i="20"/>
  <c r="AU237" i="20"/>
  <c r="AU161" i="20"/>
  <c r="AU104" i="20"/>
  <c r="A133" i="20"/>
  <c r="AM133" i="20"/>
  <c r="AS133" i="20"/>
  <c r="AU133" i="20"/>
  <c r="A246" i="20"/>
  <c r="A220" i="20"/>
  <c r="A159" i="20"/>
  <c r="A129" i="20"/>
  <c r="A110" i="20"/>
  <c r="AM246" i="20"/>
  <c r="AM220" i="20"/>
  <c r="AM159" i="20"/>
  <c r="AM129" i="20"/>
  <c r="AM110" i="20"/>
  <c r="AS246" i="20"/>
  <c r="AS220" i="20"/>
  <c r="AS159" i="20"/>
  <c r="AS129" i="20"/>
  <c r="AU246" i="20"/>
  <c r="AU220" i="20"/>
  <c r="AU159" i="20"/>
  <c r="AU129" i="20"/>
  <c r="AU110" i="20"/>
  <c r="A209" i="20"/>
  <c r="A150" i="20"/>
  <c r="AM209" i="20"/>
  <c r="AM150" i="20"/>
  <c r="AS209" i="20"/>
  <c r="AS150" i="20"/>
  <c r="AU209" i="20"/>
  <c r="AU150" i="20"/>
  <c r="A211" i="20"/>
  <c r="A168" i="20"/>
  <c r="A151" i="20"/>
  <c r="A119" i="20"/>
  <c r="AM211" i="20"/>
  <c r="AM168" i="20"/>
  <c r="AM151" i="20"/>
  <c r="AM119" i="20"/>
  <c r="AS211" i="20"/>
  <c r="AS168" i="20"/>
  <c r="AS151" i="20"/>
  <c r="AS119" i="20"/>
  <c r="AU211" i="20"/>
  <c r="AU168" i="20"/>
  <c r="AU151" i="20"/>
  <c r="AU119" i="20"/>
  <c r="A208" i="20"/>
  <c r="A190" i="20"/>
  <c r="AM190" i="20"/>
  <c r="AS190" i="20"/>
  <c r="AU190" i="20"/>
  <c r="A170" i="20"/>
  <c r="A152" i="20"/>
  <c r="A120" i="20"/>
  <c r="AM208" i="20"/>
  <c r="AM170" i="20"/>
  <c r="AM152" i="20"/>
  <c r="AM120" i="20"/>
  <c r="AS208" i="20"/>
  <c r="AS170" i="20"/>
  <c r="AS152" i="20"/>
  <c r="AS120" i="20"/>
  <c r="AU208" i="20"/>
  <c r="AU170" i="20"/>
  <c r="AU152" i="20"/>
  <c r="AU120" i="20"/>
  <c r="A121" i="20"/>
  <c r="AM121" i="20"/>
  <c r="AS121" i="20"/>
  <c r="AU121" i="20"/>
  <c r="A207" i="20"/>
  <c r="A149" i="20"/>
  <c r="AM207" i="20"/>
  <c r="AM149" i="20"/>
  <c r="AS207" i="20"/>
  <c r="AS149" i="20"/>
  <c r="AU207" i="20"/>
  <c r="AU149" i="20"/>
  <c r="A206" i="20"/>
  <c r="A148" i="20"/>
  <c r="AM206" i="20"/>
  <c r="AM148" i="20"/>
  <c r="AS206" i="20"/>
  <c r="AS148" i="20"/>
  <c r="AU206" i="20"/>
  <c r="AU148" i="20"/>
  <c r="A189" i="20"/>
  <c r="AM189" i="20"/>
  <c r="AS189" i="20"/>
  <c r="AU189" i="20"/>
  <c r="A214" i="20"/>
  <c r="AM214" i="20"/>
  <c r="AS214" i="20"/>
  <c r="AU214" i="20"/>
  <c r="A289" i="20"/>
  <c r="A143" i="20"/>
  <c r="AM289" i="20"/>
  <c r="AM143" i="20"/>
  <c r="AS289" i="20"/>
  <c r="AS143" i="20"/>
  <c r="AU289" i="20"/>
  <c r="AU143" i="20"/>
  <c r="A284" i="20"/>
  <c r="A200" i="20"/>
  <c r="AM284" i="20"/>
  <c r="AM200" i="20"/>
  <c r="AS284" i="20"/>
  <c r="AS200" i="20"/>
  <c r="AU284" i="20"/>
  <c r="AU200" i="20"/>
  <c r="A138" i="20"/>
  <c r="AM138" i="20"/>
  <c r="AS138" i="20"/>
  <c r="AU138" i="20"/>
  <c r="A293" i="20"/>
  <c r="AM293" i="20"/>
  <c r="AS293" i="20"/>
  <c r="AU293" i="20"/>
  <c r="A205" i="20"/>
  <c r="A137" i="20"/>
  <c r="AM205" i="20"/>
  <c r="AM137" i="20"/>
  <c r="AS205" i="20"/>
  <c r="AS137" i="20"/>
  <c r="AU205" i="20"/>
  <c r="AU137" i="20"/>
  <c r="A288" i="20"/>
  <c r="A212" i="20"/>
  <c r="AM288" i="20"/>
  <c r="AM212" i="20"/>
  <c r="AS288" i="20"/>
  <c r="AS212" i="20"/>
  <c r="AU288" i="20"/>
  <c r="AU212" i="20"/>
  <c r="A147" i="20"/>
  <c r="AM147" i="20"/>
  <c r="AS147" i="20"/>
  <c r="AU147" i="20"/>
  <c r="A283" i="20"/>
  <c r="A197" i="20"/>
  <c r="AM283" i="20"/>
  <c r="AM197" i="20"/>
  <c r="AS283" i="20"/>
  <c r="AS197" i="20"/>
  <c r="AU283" i="20"/>
  <c r="AU197" i="20"/>
  <c r="A136" i="20"/>
  <c r="AM136" i="20"/>
  <c r="AS136" i="20"/>
  <c r="AU136" i="20"/>
  <c r="A291" i="20"/>
  <c r="AM291" i="20"/>
  <c r="AS291" i="20"/>
  <c r="AU291" i="20"/>
  <c r="A210" i="20"/>
  <c r="A145" i="20"/>
  <c r="AM210" i="20"/>
  <c r="AM145" i="20"/>
  <c r="AS210" i="20"/>
  <c r="AS145" i="20"/>
  <c r="AU210" i="20"/>
  <c r="AU145" i="20"/>
  <c r="A285" i="20"/>
  <c r="A201" i="20"/>
  <c r="A141" i="20"/>
  <c r="AM285" i="20"/>
  <c r="AM201" i="20"/>
  <c r="AM141" i="20"/>
  <c r="AS285" i="20"/>
  <c r="AS201" i="20"/>
  <c r="AS141" i="20"/>
  <c r="AU285" i="20"/>
  <c r="AU201" i="20"/>
  <c r="AU141" i="20"/>
  <c r="A287" i="20"/>
  <c r="A203" i="20"/>
  <c r="AM287" i="20"/>
  <c r="AM203" i="20"/>
  <c r="AS287" i="20"/>
  <c r="AS203" i="20"/>
  <c r="AU287" i="20"/>
  <c r="AU203" i="20"/>
  <c r="A139" i="20"/>
  <c r="AM139" i="20"/>
  <c r="AS139" i="20"/>
  <c r="AU139" i="20"/>
  <c r="A194" i="20"/>
  <c r="AM194" i="20"/>
  <c r="AS194" i="20"/>
  <c r="AU194" i="20"/>
  <c r="A921" i="20"/>
  <c r="A140" i="20"/>
  <c r="AM921" i="20"/>
  <c r="AM140" i="20"/>
  <c r="AS921" i="20"/>
  <c r="AS140" i="20"/>
  <c r="AU921" i="20"/>
  <c r="AU140" i="20"/>
  <c r="A192" i="20"/>
  <c r="AM192" i="20"/>
  <c r="AS192" i="20"/>
  <c r="AU192" i="20"/>
  <c r="A193" i="20"/>
  <c r="AM193" i="20"/>
  <c r="AS193" i="20"/>
  <c r="AU193" i="20"/>
  <c r="A134" i="20"/>
  <c r="AM134" i="20"/>
  <c r="AS134" i="20"/>
  <c r="AU134" i="20"/>
  <c r="A215" i="20"/>
  <c r="AM215" i="20"/>
  <c r="AS215" i="20"/>
  <c r="AU215" i="20"/>
  <c r="A292" i="20"/>
  <c r="A146" i="20"/>
  <c r="AM292" i="20"/>
  <c r="AM146" i="20"/>
  <c r="AS292" i="20"/>
  <c r="AS146" i="20"/>
  <c r="AU292" i="20"/>
  <c r="AU146" i="20"/>
  <c r="A916" i="20"/>
  <c r="AM916" i="20"/>
  <c r="AS916" i="20"/>
  <c r="AU916" i="20"/>
  <c r="A933" i="20"/>
  <c r="AM933" i="20"/>
  <c r="AS933" i="20"/>
  <c r="AU933" i="20"/>
  <c r="A1086" i="20"/>
  <c r="A945" i="20"/>
  <c r="AM1086" i="20"/>
  <c r="AM945" i="20"/>
  <c r="AS1086" i="20"/>
  <c r="AS945" i="20"/>
  <c r="AU1086" i="20"/>
  <c r="AU945" i="20"/>
  <c r="A1085" i="20"/>
  <c r="A944" i="20"/>
  <c r="AM1085" i="20"/>
  <c r="AM944" i="20"/>
  <c r="AS1085" i="20"/>
  <c r="AS944" i="20"/>
  <c r="AU1085" i="20"/>
  <c r="AU944" i="20"/>
  <c r="A1087" i="20"/>
  <c r="AM1087" i="20"/>
  <c r="AS1087" i="20"/>
  <c r="AU1087" i="20"/>
  <c r="A1023" i="20"/>
  <c r="A1097" i="20"/>
  <c r="AM1023" i="20"/>
  <c r="AM1097" i="20"/>
  <c r="AS1023" i="20"/>
  <c r="AS1097" i="20"/>
  <c r="AU1023" i="20"/>
  <c r="AU1097" i="20"/>
  <c r="A1036" i="20"/>
  <c r="AM1036" i="20"/>
  <c r="AS1036" i="20"/>
  <c r="AU1036" i="20"/>
  <c r="A1106" i="20"/>
  <c r="AM1106" i="20"/>
  <c r="AS1106" i="20"/>
  <c r="AU1106" i="20"/>
  <c r="A1103" i="20"/>
  <c r="AM1103" i="20"/>
  <c r="AS1103" i="20"/>
  <c r="AU1103" i="20"/>
  <c r="A1021" i="20"/>
  <c r="A1104" i="20"/>
  <c r="AM1021" i="20"/>
  <c r="AM1104" i="20"/>
  <c r="AS1021" i="20"/>
  <c r="AS1104" i="20"/>
  <c r="AU1021" i="20"/>
  <c r="AU1104" i="20"/>
  <c r="A1101" i="20"/>
  <c r="AM1101" i="20"/>
  <c r="AS1101" i="20"/>
  <c r="AU1101" i="20"/>
  <c r="A102" i="20"/>
  <c r="AM102" i="20"/>
  <c r="AU102" i="20"/>
  <c r="A1095" i="20"/>
  <c r="AM1095" i="20"/>
  <c r="AS1095" i="20"/>
  <c r="AU1095" i="20"/>
  <c r="A964" i="20"/>
  <c r="AM964" i="20"/>
  <c r="AS964" i="20"/>
  <c r="AU964" i="20"/>
  <c r="A1094" i="20"/>
  <c r="AM1094" i="20"/>
  <c r="AS1094" i="20"/>
  <c r="AU1094" i="20"/>
  <c r="A1111" i="20"/>
  <c r="AM1111" i="20"/>
  <c r="AS1111" i="20"/>
  <c r="AU1111" i="20"/>
  <c r="A932" i="20"/>
  <c r="A1084" i="20"/>
  <c r="AM932" i="20"/>
  <c r="AM1084" i="20"/>
  <c r="AS932" i="20"/>
  <c r="AS1084" i="20"/>
  <c r="AU932" i="20"/>
  <c r="AU1084" i="20"/>
  <c r="A1099" i="20"/>
  <c r="AM1099" i="20"/>
  <c r="AS1099" i="20"/>
  <c r="AU1099" i="20"/>
  <c r="A1035" i="20"/>
  <c r="AM1035" i="20"/>
  <c r="AS1035" i="20"/>
  <c r="AU1035" i="20"/>
  <c r="A1100" i="20"/>
  <c r="AM1100" i="20"/>
  <c r="AS1100" i="20"/>
  <c r="AU1100" i="20"/>
  <c r="A1102" i="20"/>
  <c r="AM1102" i="20"/>
  <c r="AS1102" i="20"/>
  <c r="AU1102" i="20"/>
  <c r="A984" i="20"/>
  <c r="AM984" i="20"/>
  <c r="AS984" i="20"/>
  <c r="AU984" i="20"/>
  <c r="A1108" i="20"/>
  <c r="AM1108" i="20"/>
  <c r="AS1108" i="20"/>
  <c r="AU1108" i="20"/>
  <c r="A1069" i="20"/>
  <c r="A1062" i="20"/>
  <c r="AM1069" i="20"/>
  <c r="AM1062" i="20"/>
  <c r="AS1069" i="20"/>
  <c r="AS1062" i="20"/>
  <c r="AU1069" i="20"/>
  <c r="AU1062" i="20"/>
  <c r="T52" i="19"/>
  <c r="U52" i="19"/>
  <c r="Q52" i="19" s="1"/>
  <c r="P52" i="19" s="1"/>
  <c r="V52" i="19" s="1"/>
  <c r="T55" i="19"/>
  <c r="U55" i="19"/>
  <c r="Q55" i="19" s="1"/>
  <c r="P55" i="19" s="1"/>
  <c r="V55" i="19" s="1"/>
  <c r="S244" i="14"/>
  <c r="AJ244" i="14"/>
  <c r="AK244" i="14" s="1"/>
  <c r="T27" i="19"/>
  <c r="U27" i="19"/>
  <c r="Q27" i="19" s="1"/>
  <c r="P27" i="19" s="1"/>
  <c r="V27" i="19" s="1"/>
  <c r="T56" i="19"/>
  <c r="U56" i="19"/>
  <c r="Q56" i="19" s="1"/>
  <c r="P56" i="19" s="1"/>
  <c r="V56" i="19" s="1"/>
  <c r="A3" i="37"/>
  <c r="A3" i="30"/>
  <c r="A3" i="20"/>
  <c r="B4" i="62"/>
  <c r="A3" i="45"/>
  <c r="A3" i="36"/>
  <c r="A3" i="19"/>
  <c r="B6" i="40"/>
  <c r="A3" i="91"/>
  <c r="A3" i="33"/>
  <c r="A3" i="14"/>
  <c r="C5" i="35"/>
  <c r="C5" i="43"/>
  <c r="S24" i="14"/>
  <c r="AJ24" i="14"/>
  <c r="AK24" i="14" s="1"/>
  <c r="A116" i="20"/>
  <c r="AM116" i="20"/>
  <c r="AS116" i="20"/>
  <c r="AU116" i="20"/>
  <c r="A125" i="20"/>
  <c r="AM125" i="20"/>
  <c r="AS125" i="20"/>
  <c r="AU125" i="20"/>
  <c r="A153" i="20"/>
  <c r="AM153" i="20"/>
  <c r="AS153" i="20"/>
  <c r="AU153" i="20"/>
  <c r="U53" i="19"/>
  <c r="Q53" i="19" s="1"/>
  <c r="P53" i="19" s="1"/>
  <c r="V53" i="19" s="1"/>
  <c r="T53" i="19"/>
  <c r="AS122" i="20"/>
  <c r="AH213" i="14"/>
  <c r="A135" i="20"/>
  <c r="AM135" i="20"/>
  <c r="AS135" i="20"/>
  <c r="AU135" i="20"/>
  <c r="AU154" i="20"/>
  <c r="AU117" i="20"/>
  <c r="AU103" i="20"/>
  <c r="AU122" i="20"/>
  <c r="AU126" i="20"/>
  <c r="AU127" i="20"/>
  <c r="A127" i="20"/>
  <c r="AM127" i="20"/>
  <c r="AS127" i="20"/>
  <c r="A117" i="20"/>
  <c r="A118" i="20"/>
  <c r="A103" i="20"/>
  <c r="AM117" i="20"/>
  <c r="AM118" i="20"/>
  <c r="AM103" i="20"/>
  <c r="AS117" i="20"/>
  <c r="AS118" i="20"/>
  <c r="AU118" i="20"/>
  <c r="T65" i="19"/>
  <c r="U65" i="19"/>
  <c r="Q65" i="19" s="1"/>
  <c r="P65" i="19" s="1"/>
  <c r="V65" i="19" s="1"/>
  <c r="T60" i="19"/>
  <c r="T59" i="19"/>
  <c r="T62" i="19"/>
  <c r="T63" i="19"/>
  <c r="T57" i="19"/>
  <c r="T61" i="19"/>
  <c r="T64" i="19"/>
  <c r="T50" i="19"/>
  <c r="T51" i="19"/>
  <c r="T54" i="19"/>
  <c r="T58" i="19"/>
  <c r="U60" i="19"/>
  <c r="Q60" i="19" s="1"/>
  <c r="P60" i="19" s="1"/>
  <c r="V60" i="19" s="1"/>
  <c r="U59" i="19"/>
  <c r="Q59" i="19" s="1"/>
  <c r="P59" i="19" s="1"/>
  <c r="V59" i="19" s="1"/>
  <c r="U62" i="19"/>
  <c r="Q62" i="19" s="1"/>
  <c r="P62" i="19" s="1"/>
  <c r="V62" i="19" s="1"/>
  <c r="U63" i="19"/>
  <c r="Q63" i="19" s="1"/>
  <c r="P63" i="19" s="1"/>
  <c r="V63" i="19" s="1"/>
  <c r="U57" i="19"/>
  <c r="Q57" i="19" s="1"/>
  <c r="P57" i="19" s="1"/>
  <c r="V57" i="19" s="1"/>
  <c r="U61" i="19"/>
  <c r="Q61" i="19" s="1"/>
  <c r="P61" i="19" s="1"/>
  <c r="V61" i="19" s="1"/>
  <c r="U64" i="19"/>
  <c r="Q64" i="19" s="1"/>
  <c r="P64" i="19" s="1"/>
  <c r="V64" i="19" s="1"/>
  <c r="U50" i="19"/>
  <c r="Q50" i="19" s="1"/>
  <c r="P50" i="19" s="1"/>
  <c r="V50" i="19" s="1"/>
  <c r="U51" i="19"/>
  <c r="Q51" i="19" s="1"/>
  <c r="P51" i="19" s="1"/>
  <c r="V51" i="19" s="1"/>
  <c r="U54" i="19"/>
  <c r="Q54" i="19" s="1"/>
  <c r="P54" i="19" s="1"/>
  <c r="V54" i="19" s="1"/>
  <c r="U58" i="19"/>
  <c r="Q58" i="19" s="1"/>
  <c r="P58" i="19" s="1"/>
  <c r="T66" i="19"/>
  <c r="T67" i="19"/>
  <c r="U66" i="19"/>
  <c r="Q66" i="19" s="1"/>
  <c r="P66" i="19" s="1"/>
  <c r="V66" i="19" s="1"/>
  <c r="U67" i="19"/>
  <c r="Q67" i="19" s="1"/>
  <c r="P67" i="19" s="1"/>
  <c r="V67" i="19" s="1"/>
  <c r="A122" i="20"/>
  <c r="AM122" i="20"/>
  <c r="A154" i="20"/>
  <c r="AM154" i="20"/>
  <c r="AS154" i="20"/>
  <c r="A126" i="20"/>
  <c r="AU1167" i="20"/>
  <c r="AU1164" i="20"/>
  <c r="AU1166" i="20"/>
  <c r="AU1165" i="20"/>
  <c r="AU1163" i="20"/>
  <c r="AU1162" i="20"/>
  <c r="AU1161" i="20"/>
  <c r="AU1160" i="20"/>
  <c r="AU1159" i="20"/>
  <c r="AU1158" i="20"/>
  <c r="AU1157" i="20"/>
  <c r="AU1156" i="20"/>
  <c r="AU1154" i="20"/>
  <c r="AU1155" i="20"/>
  <c r="AU1153" i="20"/>
  <c r="AU1151" i="20"/>
  <c r="AU1152" i="20"/>
  <c r="AU1150" i="20"/>
  <c r="AU1149" i="20"/>
  <c r="AU1148" i="20"/>
  <c r="AU1146" i="20"/>
  <c r="AU1145" i="20"/>
  <c r="AU1144" i="20"/>
  <c r="AU1147" i="20"/>
  <c r="AU1143" i="20"/>
  <c r="AU1142" i="20"/>
  <c r="AU1141" i="20"/>
  <c r="AU1140" i="20"/>
  <c r="AU1139" i="20"/>
  <c r="AU1138" i="20"/>
  <c r="AU1137" i="20"/>
  <c r="AU1136" i="20"/>
  <c r="AU1135" i="20"/>
  <c r="AU1134" i="20"/>
  <c r="AU1133" i="20"/>
  <c r="AU1132" i="20"/>
  <c r="AU1131" i="20"/>
  <c r="AU1130" i="20"/>
  <c r="AU1129" i="20"/>
  <c r="AU1128" i="20"/>
  <c r="AU1127" i="20"/>
  <c r="AU1126" i="20"/>
  <c r="AU1125" i="20"/>
  <c r="AU1123" i="20"/>
  <c r="AU1122" i="20"/>
  <c r="AU1118" i="20"/>
  <c r="AU1117" i="20"/>
  <c r="AU1116" i="20"/>
  <c r="AU1115" i="20"/>
  <c r="AU1114" i="20"/>
  <c r="AU1113" i="20"/>
  <c r="AU1124" i="20"/>
  <c r="AU1121" i="20"/>
  <c r="AU1120" i="20"/>
  <c r="AU1119" i="20"/>
  <c r="AU1112" i="20"/>
  <c r="AU1110" i="20"/>
  <c r="AU1107" i="20"/>
  <c r="AU1105" i="20"/>
  <c r="AU1093" i="20"/>
  <c r="AU1092" i="20"/>
  <c r="AU1091" i="20"/>
  <c r="AU1090" i="20"/>
  <c r="AU1089" i="20"/>
  <c r="AU1083" i="20"/>
  <c r="AU1082" i="20"/>
  <c r="AU1080" i="20"/>
  <c r="AU1079" i="20"/>
  <c r="AU1078" i="20"/>
  <c r="AU1077" i="20"/>
  <c r="AU1081" i="20"/>
  <c r="AU1076" i="20"/>
  <c r="AU1075" i="20"/>
  <c r="AU1074" i="20"/>
  <c r="AU1073" i="20"/>
  <c r="AU1072" i="20"/>
  <c r="AU1071" i="20"/>
  <c r="AU1070" i="20"/>
  <c r="AU1068" i="20"/>
  <c r="AU1067" i="20"/>
  <c r="AU1066" i="20"/>
  <c r="AU1065" i="20"/>
  <c r="AU1064" i="20"/>
  <c r="AU1063" i="20"/>
  <c r="AU1061" i="20"/>
  <c r="AU1059" i="20"/>
  <c r="AU1058" i="20"/>
  <c r="AU1060" i="20"/>
  <c r="AU1057" i="20"/>
  <c r="AU1056" i="20"/>
  <c r="AU1055" i="20"/>
  <c r="AU1053" i="20"/>
  <c r="AU1052" i="20"/>
  <c r="AU1054" i="20"/>
  <c r="AU1051" i="20"/>
  <c r="AU1050" i="20"/>
  <c r="AU1049" i="20"/>
  <c r="AU1048" i="20"/>
  <c r="AU1047" i="20"/>
  <c r="AU1046" i="20"/>
  <c r="AU1045" i="20"/>
  <c r="AU1044" i="20"/>
  <c r="AU1043" i="20"/>
  <c r="AU1042" i="20"/>
  <c r="AU1041" i="20"/>
  <c r="AU1040" i="20"/>
  <c r="AU1039" i="20"/>
  <c r="AU1038" i="20"/>
  <c r="AU1037" i="20"/>
  <c r="AU1034" i="20"/>
  <c r="AU1033" i="20"/>
  <c r="AU1032" i="20"/>
  <c r="AU1031" i="20"/>
  <c r="AU1030" i="20"/>
  <c r="AU1029" i="20"/>
  <c r="AU1028" i="20"/>
  <c r="AU1027" i="20"/>
  <c r="AU1026" i="20"/>
  <c r="AU1025" i="20"/>
  <c r="AU1020" i="20"/>
  <c r="AU1019" i="20"/>
  <c r="AU1018" i="20"/>
  <c r="AU1017" i="20"/>
  <c r="AU1016" i="20"/>
  <c r="AU1015" i="20"/>
  <c r="AU1014" i="20"/>
  <c r="AU1013" i="20"/>
  <c r="AU1012" i="20"/>
  <c r="AU1011" i="20"/>
  <c r="AU1010" i="20"/>
  <c r="AU1009" i="20"/>
  <c r="AU1008" i="20"/>
  <c r="AU1007" i="20"/>
  <c r="AU1004" i="20"/>
  <c r="AU1003" i="20"/>
  <c r="AU1002" i="20"/>
  <c r="AU1001" i="20"/>
  <c r="AU1000" i="20"/>
  <c r="AU1006" i="20"/>
  <c r="AU999" i="20"/>
  <c r="AU998" i="20"/>
  <c r="AU997" i="20"/>
  <c r="AU996" i="20"/>
  <c r="AU995" i="20"/>
  <c r="AU1005" i="20"/>
  <c r="AU994" i="20"/>
  <c r="AU993" i="20"/>
  <c r="AU992" i="20"/>
  <c r="AU991" i="20"/>
  <c r="AU990" i="20"/>
  <c r="AU989" i="20"/>
  <c r="AU988" i="20"/>
  <c r="AU987" i="20"/>
  <c r="AU986" i="20"/>
  <c r="AU985" i="20"/>
  <c r="AU983" i="20"/>
  <c r="AU982" i="20"/>
  <c r="AU981" i="20"/>
  <c r="AU980" i="20"/>
  <c r="AU979" i="20"/>
  <c r="AU978" i="20"/>
  <c r="AU977" i="20"/>
  <c r="AU976" i="20"/>
  <c r="AU975" i="20"/>
  <c r="AU974" i="20"/>
  <c r="AU973" i="20"/>
  <c r="AU972" i="20"/>
  <c r="AU971" i="20"/>
  <c r="AU970" i="20"/>
  <c r="AU969" i="20"/>
  <c r="AU968" i="20"/>
  <c r="AU967" i="20"/>
  <c r="AU966" i="20"/>
  <c r="AU965" i="20"/>
  <c r="AU963" i="20"/>
  <c r="AU962" i="20"/>
  <c r="AU961" i="20"/>
  <c r="AU960" i="20"/>
  <c r="AU959" i="20"/>
  <c r="AU958" i="20"/>
  <c r="AU957" i="20"/>
  <c r="AU956" i="20"/>
  <c r="AU955" i="20"/>
  <c r="AU954" i="20"/>
  <c r="AU953" i="20"/>
  <c r="AU952" i="20"/>
  <c r="AU951" i="20"/>
  <c r="AU950" i="20"/>
  <c r="AU949" i="20"/>
  <c r="AU942" i="20"/>
  <c r="AU941" i="20"/>
  <c r="AU940" i="20"/>
  <c r="AU939" i="20"/>
  <c r="AU938" i="20"/>
  <c r="AU937" i="20"/>
  <c r="AU936" i="20"/>
  <c r="AU935" i="20"/>
  <c r="AU931" i="20"/>
  <c r="AU930" i="20"/>
  <c r="AU929" i="20"/>
  <c r="AU924" i="20"/>
  <c r="AU922" i="20"/>
  <c r="AU920" i="20"/>
  <c r="AU919" i="20"/>
  <c r="AU918" i="20"/>
  <c r="AU917" i="20"/>
  <c r="AU914" i="20"/>
  <c r="AU913" i="20"/>
  <c r="AU912" i="20"/>
  <c r="AU915" i="20"/>
  <c r="AU844" i="20"/>
  <c r="AU837" i="20"/>
  <c r="AU835" i="20"/>
  <c r="AU833" i="20"/>
  <c r="AU826" i="20"/>
  <c r="AU825" i="20"/>
  <c r="AU828" i="20"/>
  <c r="AU824" i="20"/>
  <c r="AU823" i="20"/>
  <c r="AU822" i="20"/>
  <c r="AU827" i="20"/>
  <c r="AU821" i="20"/>
  <c r="AU820" i="20"/>
  <c r="AU819" i="20"/>
  <c r="AU818" i="20"/>
  <c r="AU817" i="20"/>
  <c r="AU811" i="20"/>
  <c r="AU816" i="20"/>
  <c r="AU810" i="20"/>
  <c r="AU815" i="20"/>
  <c r="AU814" i="20"/>
  <c r="AU813" i="20"/>
  <c r="AU809" i="20"/>
  <c r="AU812" i="20"/>
  <c r="AU808" i="20"/>
  <c r="AU800" i="20"/>
  <c r="AU807" i="20"/>
  <c r="AU806" i="20"/>
  <c r="AU799" i="20"/>
  <c r="AU798" i="20"/>
  <c r="AU805" i="20"/>
  <c r="AU804" i="20"/>
  <c r="AU803" i="20"/>
  <c r="AU797" i="20"/>
  <c r="AU802" i="20"/>
  <c r="AU801" i="20"/>
  <c r="AU796" i="20"/>
  <c r="AU795" i="20"/>
  <c r="AU792" i="20"/>
  <c r="AU791" i="20"/>
  <c r="AU790" i="20"/>
  <c r="AU794" i="20"/>
  <c r="AU788" i="20"/>
  <c r="AU784" i="20"/>
  <c r="AU779" i="20"/>
  <c r="AU778" i="20"/>
  <c r="AU777" i="20"/>
  <c r="AU776" i="20"/>
  <c r="AU771" i="20"/>
  <c r="AU775" i="20"/>
  <c r="AU770" i="20"/>
  <c r="AU774" i="20"/>
  <c r="AU769" i="20"/>
  <c r="AU773" i="20"/>
  <c r="AU768" i="20"/>
  <c r="AU772" i="20"/>
  <c r="AU767" i="20"/>
  <c r="AU766" i="20"/>
  <c r="AU765" i="20"/>
  <c r="AU763" i="20"/>
  <c r="AU762" i="20"/>
  <c r="AU750" i="20"/>
  <c r="AU749" i="20"/>
  <c r="AU752" i="20"/>
  <c r="AU748" i="20"/>
  <c r="AU751" i="20"/>
  <c r="AU746" i="20"/>
  <c r="AU744" i="20"/>
  <c r="AU743" i="20"/>
  <c r="AU742" i="20"/>
  <c r="AU741" i="20"/>
  <c r="AU740" i="20"/>
  <c r="AU739" i="20"/>
  <c r="AU738" i="20"/>
  <c r="AU737" i="20"/>
  <c r="AU736" i="20"/>
  <c r="AU735" i="20"/>
  <c r="AU734" i="20"/>
  <c r="AU733" i="20"/>
  <c r="AU732" i="20"/>
  <c r="AU731" i="20"/>
  <c r="AU730" i="20"/>
  <c r="AU729" i="20"/>
  <c r="AU728" i="20"/>
  <c r="AU727" i="20"/>
  <c r="AU726" i="20"/>
  <c r="AU725" i="20"/>
  <c r="AU724" i="20"/>
  <c r="AU723" i="20"/>
  <c r="AU722" i="20"/>
  <c r="AU721" i="20"/>
  <c r="AU720" i="20"/>
  <c r="AU716" i="20"/>
  <c r="AU715" i="20"/>
  <c r="AU719" i="20"/>
  <c r="AU714" i="20"/>
  <c r="AU713" i="20"/>
  <c r="AU712" i="20"/>
  <c r="AU717" i="20"/>
  <c r="AU711" i="20"/>
  <c r="AU710" i="20"/>
  <c r="AU709" i="20"/>
  <c r="AU708" i="20"/>
  <c r="AU707" i="20"/>
  <c r="AU706" i="20"/>
  <c r="AU718" i="20"/>
  <c r="AU705" i="20"/>
  <c r="AU704" i="20"/>
  <c r="AU703" i="20"/>
  <c r="AU702" i="20"/>
  <c r="AU701" i="20"/>
  <c r="AU700" i="20"/>
  <c r="AU699" i="20"/>
  <c r="AU698" i="20"/>
  <c r="AU697" i="20"/>
  <c r="AU696" i="20"/>
  <c r="AU695" i="20"/>
  <c r="AU692" i="20"/>
  <c r="AU691" i="20"/>
  <c r="AU689" i="20"/>
  <c r="AU687" i="20"/>
  <c r="AU683" i="20"/>
  <c r="AU686" i="20"/>
  <c r="AU681" i="20"/>
  <c r="AU676" i="20"/>
  <c r="AU671" i="20"/>
  <c r="AU670" i="20"/>
  <c r="AU667" i="20"/>
  <c r="AU666" i="20"/>
  <c r="AU664" i="20"/>
  <c r="AU661" i="20"/>
  <c r="AU660" i="20"/>
  <c r="AU658" i="20"/>
  <c r="AU655" i="20"/>
  <c r="AU656" i="20"/>
  <c r="AU654" i="20"/>
  <c r="AU644" i="20"/>
  <c r="AU643" i="20"/>
  <c r="AU642" i="20"/>
  <c r="AU641" i="20"/>
  <c r="AU639" i="20"/>
  <c r="AU623" i="20"/>
  <c r="AU614" i="20"/>
  <c r="AU585" i="20"/>
  <c r="AU574" i="20"/>
  <c r="AU572" i="20"/>
  <c r="AU568" i="20"/>
  <c r="AU564" i="20"/>
  <c r="AU562" i="20"/>
  <c r="AU560" i="20"/>
  <c r="AU559" i="20"/>
  <c r="AU558" i="20"/>
  <c r="AU543" i="20"/>
  <c r="AU534" i="20"/>
  <c r="AU529" i="20"/>
  <c r="AU527" i="20"/>
  <c r="AU524" i="20"/>
  <c r="AU520" i="20"/>
  <c r="AU513" i="20"/>
  <c r="AU508" i="20"/>
  <c r="AU505" i="20"/>
  <c r="AU504" i="20"/>
  <c r="AU494" i="20"/>
  <c r="AU481" i="20"/>
  <c r="AU480" i="20"/>
  <c r="AU479" i="20"/>
  <c r="AU478" i="20"/>
  <c r="AU475" i="20"/>
  <c r="AU473" i="20"/>
  <c r="AU474" i="20"/>
  <c r="AU472" i="20"/>
  <c r="AU477" i="20"/>
  <c r="AU476" i="20"/>
  <c r="AU469" i="20"/>
  <c r="AU468" i="20"/>
  <c r="AU466" i="20"/>
  <c r="AU465" i="20"/>
  <c r="AU462" i="20"/>
  <c r="AU461" i="20"/>
  <c r="AU460" i="20"/>
  <c r="AU458" i="20"/>
  <c r="AU459" i="20"/>
  <c r="AU457" i="20"/>
  <c r="AU455" i="20"/>
  <c r="AU436" i="20"/>
  <c r="AU435" i="20"/>
  <c r="AU434" i="20"/>
  <c r="AU433" i="20"/>
  <c r="AU432" i="20"/>
  <c r="AU431" i="20"/>
  <c r="AU426" i="20"/>
  <c r="AU423" i="20"/>
  <c r="AU418" i="20"/>
  <c r="AU408" i="20"/>
  <c r="AU407" i="20"/>
  <c r="AU406" i="20"/>
  <c r="AU404" i="20"/>
  <c r="AU403" i="20"/>
  <c r="AU402" i="20"/>
  <c r="AU401" i="20"/>
  <c r="AU400" i="20"/>
  <c r="AU399" i="20"/>
  <c r="AU398" i="20"/>
  <c r="AU396" i="20"/>
  <c r="AU395" i="20"/>
  <c r="AU394" i="20"/>
  <c r="AU397" i="20"/>
  <c r="AU393" i="20"/>
  <c r="AU392" i="20"/>
  <c r="AU391" i="20"/>
  <c r="AU390" i="20"/>
  <c r="AU383" i="20"/>
  <c r="AU382" i="20"/>
  <c r="AU381" i="20"/>
  <c r="AU380" i="20"/>
  <c r="AU379" i="20"/>
  <c r="AU378" i="20"/>
  <c r="AU377" i="20"/>
  <c r="AU376" i="20"/>
  <c r="AU375" i="20"/>
  <c r="AU374" i="20"/>
  <c r="AU373" i="20"/>
  <c r="AU372" i="20"/>
  <c r="AU371" i="20"/>
  <c r="AU370" i="20"/>
  <c r="AU369" i="20"/>
  <c r="AU368" i="20"/>
  <c r="AU367" i="20"/>
  <c r="AU366" i="20"/>
  <c r="AU365" i="20"/>
  <c r="AU348" i="20"/>
  <c r="AU364" i="20"/>
  <c r="AU363" i="20"/>
  <c r="AU362" i="20"/>
  <c r="AU361" i="20"/>
  <c r="AU360" i="20"/>
  <c r="AU359" i="20"/>
  <c r="AU358" i="20"/>
  <c r="AU357" i="20"/>
  <c r="AU356" i="20"/>
  <c r="AU355" i="20"/>
  <c r="AU354" i="20"/>
  <c r="AU353" i="20"/>
  <c r="AU352" i="20"/>
  <c r="AU351" i="20"/>
  <c r="AU350" i="20"/>
  <c r="AU349" i="20"/>
  <c r="AU347" i="20"/>
  <c r="AU346" i="20"/>
  <c r="AU345" i="20"/>
  <c r="AU344" i="20"/>
  <c r="AU343" i="20"/>
  <c r="AU342" i="20"/>
  <c r="AU341" i="20"/>
  <c r="AU340" i="20"/>
  <c r="AU323" i="20"/>
  <c r="AU322" i="20"/>
  <c r="AU321" i="20"/>
  <c r="AU320" i="20"/>
  <c r="AU319" i="20"/>
  <c r="AU318" i="20"/>
  <c r="AU317" i="20"/>
  <c r="AU316" i="20"/>
  <c r="AU314" i="20"/>
  <c r="AU313" i="20"/>
  <c r="AU312" i="20"/>
  <c r="AU311" i="20"/>
  <c r="AU310" i="20"/>
  <c r="AU309" i="20"/>
  <c r="AU308" i="20"/>
  <c r="AU306" i="20"/>
  <c r="AU305" i="20"/>
  <c r="AU304" i="20"/>
  <c r="AU303" i="20"/>
  <c r="AU302" i="20"/>
  <c r="AU297" i="20"/>
  <c r="AU296" i="20"/>
  <c r="AU295" i="20"/>
  <c r="AU294" i="20"/>
  <c r="AU282" i="20"/>
  <c r="AU281" i="20"/>
  <c r="AU280" i="20"/>
  <c r="AU279" i="20"/>
  <c r="AU278" i="20"/>
  <c r="AU277" i="20"/>
  <c r="AU276" i="20"/>
  <c r="AU273" i="20"/>
  <c r="AU261" i="20"/>
  <c r="AU262" i="20"/>
  <c r="AU260" i="20"/>
  <c r="AU259" i="20"/>
  <c r="AU257" i="20"/>
  <c r="AU256" i="20"/>
  <c r="AU258" i="20"/>
  <c r="AU254" i="20"/>
  <c r="AU255" i="20"/>
  <c r="AU252" i="20"/>
  <c r="AU253" i="20"/>
  <c r="AU251" i="20"/>
  <c r="AU250" i="20"/>
  <c r="AU249" i="20"/>
  <c r="AU248" i="20"/>
  <c r="AU245" i="20"/>
  <c r="AU236" i="20"/>
  <c r="AU235" i="20"/>
  <c r="AU230" i="20"/>
  <c r="AU233" i="20"/>
  <c r="AU232" i="20"/>
  <c r="AU229" i="20"/>
  <c r="AU228" i="20"/>
  <c r="AU225" i="20"/>
  <c r="AU223" i="20"/>
  <c r="AU227" i="20"/>
  <c r="AU224" i="20"/>
  <c r="AU226" i="20"/>
  <c r="AU221" i="20"/>
  <c r="AU219" i="20"/>
  <c r="AU218" i="20"/>
  <c r="AU217" i="20"/>
  <c r="AU216" i="20"/>
  <c r="AU204" i="20"/>
  <c r="AU199" i="20"/>
  <c r="AU198" i="20"/>
  <c r="AU196" i="20"/>
  <c r="AU195" i="20"/>
  <c r="AU188" i="20"/>
  <c r="AU187" i="20"/>
  <c r="AU186" i="20"/>
  <c r="AU185" i="20"/>
  <c r="AU184" i="20"/>
  <c r="AU183" i="20"/>
  <c r="AU182" i="20"/>
  <c r="AU180" i="20"/>
  <c r="AU181" i="20"/>
  <c r="AU179" i="20"/>
  <c r="AU178" i="20"/>
  <c r="AU177" i="20"/>
  <c r="AU176" i="20"/>
  <c r="AU175" i="20"/>
  <c r="AU174" i="20"/>
  <c r="AU173" i="20"/>
  <c r="AU169" i="20"/>
  <c r="AU165" i="20"/>
  <c r="AS1164" i="20"/>
  <c r="AS1165" i="20"/>
  <c r="AS1163" i="20"/>
  <c r="AS1162" i="20"/>
  <c r="AS1161" i="20"/>
  <c r="AS1160" i="20"/>
  <c r="AS1159" i="20"/>
  <c r="AS1158" i="20"/>
  <c r="AS1157" i="20"/>
  <c r="AS1156" i="20"/>
  <c r="AS1154" i="20"/>
  <c r="AS1155" i="20"/>
  <c r="AS1153" i="20"/>
  <c r="AS1151" i="20"/>
  <c r="AS1150" i="20"/>
  <c r="AS1149" i="20"/>
  <c r="AS1148" i="20"/>
  <c r="AS1146" i="20"/>
  <c r="AS1145" i="20"/>
  <c r="AS1144" i="20"/>
  <c r="AS1147" i="20"/>
  <c r="AS1143" i="20"/>
  <c r="AS1142" i="20"/>
  <c r="AS1141" i="20"/>
  <c r="AS1140" i="20"/>
  <c r="AS1139" i="20"/>
  <c r="AS1138" i="20"/>
  <c r="AS1137" i="20"/>
  <c r="AS1136" i="20"/>
  <c r="AS1135" i="20"/>
  <c r="AS1134" i="20"/>
  <c r="AS1133" i="20"/>
  <c r="AS1132" i="20"/>
  <c r="AS1131" i="20"/>
  <c r="AS1130" i="20"/>
  <c r="AS1129" i="20"/>
  <c r="AS1128" i="20"/>
  <c r="AS1127" i="20"/>
  <c r="AS1126" i="20"/>
  <c r="AS1125" i="20"/>
  <c r="AS1123" i="20"/>
  <c r="AS1122" i="20"/>
  <c r="AS1118" i="20"/>
  <c r="AS1117" i="20"/>
  <c r="AS1116" i="20"/>
  <c r="AS1115" i="20"/>
  <c r="AS1114" i="20"/>
  <c r="AS1113" i="20"/>
  <c r="AS1124" i="20"/>
  <c r="AS1121" i="20"/>
  <c r="AS1120" i="20"/>
  <c r="AS1119" i="20"/>
  <c r="AS1112" i="20"/>
  <c r="AS1110" i="20"/>
  <c r="AS1107" i="20"/>
  <c r="AS1105" i="20"/>
  <c r="AS1093" i="20"/>
  <c r="AS1092" i="20"/>
  <c r="AS1091" i="20"/>
  <c r="AS1090" i="20"/>
  <c r="AS1089" i="20"/>
  <c r="AS1083" i="20"/>
  <c r="AS1082" i="20"/>
  <c r="AS1080" i="20"/>
  <c r="AS1079" i="20"/>
  <c r="AS1078" i="20"/>
  <c r="AS1077" i="20"/>
  <c r="AS1081" i="20"/>
  <c r="AS1076" i="20"/>
  <c r="AS1075" i="20"/>
  <c r="AS1074" i="20"/>
  <c r="AS1073" i="20"/>
  <c r="AS1072" i="20"/>
  <c r="AS1071" i="20"/>
  <c r="AS1070" i="20"/>
  <c r="AS1068" i="20"/>
  <c r="AS1067" i="20"/>
  <c r="AS1066" i="20"/>
  <c r="AS1065" i="20"/>
  <c r="AS1064" i="20"/>
  <c r="AS1063" i="20"/>
  <c r="AS1061" i="20"/>
  <c r="AS1059" i="20"/>
  <c r="AS1058" i="20"/>
  <c r="AS1060" i="20"/>
  <c r="AS1057" i="20"/>
  <c r="AS1056" i="20"/>
  <c r="AS1055" i="20"/>
  <c r="AS1053" i="20"/>
  <c r="AS1052" i="20"/>
  <c r="AS1054" i="20"/>
  <c r="AS1051" i="20"/>
  <c r="AS1050" i="20"/>
  <c r="AS1049" i="20"/>
  <c r="AS1048" i="20"/>
  <c r="AS1047" i="20"/>
  <c r="AS1046" i="20"/>
  <c r="AS1045" i="20"/>
  <c r="AS1044" i="20"/>
  <c r="AS1043" i="20"/>
  <c r="AS1042" i="20"/>
  <c r="AS1041" i="20"/>
  <c r="AS1040" i="20"/>
  <c r="AS1039" i="20"/>
  <c r="AS1038" i="20"/>
  <c r="AS1037" i="20"/>
  <c r="AS1034" i="20"/>
  <c r="AS1033" i="20"/>
  <c r="AS1032" i="20"/>
  <c r="AS1031" i="20"/>
  <c r="AS1030" i="20"/>
  <c r="AS1029" i="20"/>
  <c r="AS1028" i="20"/>
  <c r="AS1027" i="20"/>
  <c r="AS1026" i="20"/>
  <c r="AS1025" i="20"/>
  <c r="AS1020" i="20"/>
  <c r="AS1019" i="20"/>
  <c r="AS1018" i="20"/>
  <c r="AS1017" i="20"/>
  <c r="AS1016" i="20"/>
  <c r="AS1015" i="20"/>
  <c r="AS1014" i="20"/>
  <c r="AS1013" i="20"/>
  <c r="AS1012" i="20"/>
  <c r="AS1011" i="20"/>
  <c r="AS1010" i="20"/>
  <c r="AS1009" i="20"/>
  <c r="AS1008" i="20"/>
  <c r="AS1007" i="20"/>
  <c r="AS1004" i="20"/>
  <c r="AS1003" i="20"/>
  <c r="AS1002" i="20"/>
  <c r="AS1001" i="20"/>
  <c r="AS1000" i="20"/>
  <c r="AS1006" i="20"/>
  <c r="AS999" i="20"/>
  <c r="AS998" i="20"/>
  <c r="AS997" i="20"/>
  <c r="AS996" i="20"/>
  <c r="AS995" i="20"/>
  <c r="AS1005" i="20"/>
  <c r="AS994" i="20"/>
  <c r="AS993" i="20"/>
  <c r="AS992" i="20"/>
  <c r="AS991" i="20"/>
  <c r="AS990" i="20"/>
  <c r="AS989" i="20"/>
  <c r="AS988" i="20"/>
  <c r="AS987" i="20"/>
  <c r="AS986" i="20"/>
  <c r="AS985" i="20"/>
  <c r="AS983" i="20"/>
  <c r="AS982" i="20"/>
  <c r="AS981" i="20"/>
  <c r="AS980" i="20"/>
  <c r="AS979" i="20"/>
  <c r="AS978" i="20"/>
  <c r="AS977" i="20"/>
  <c r="AS976" i="20"/>
  <c r="AS975" i="20"/>
  <c r="AS974" i="20"/>
  <c r="AS973" i="20"/>
  <c r="AS972" i="20"/>
  <c r="AS971" i="20"/>
  <c r="AS970" i="20"/>
  <c r="AS969" i="20"/>
  <c r="AS968" i="20"/>
  <c r="AS967" i="20"/>
  <c r="AS966" i="20"/>
  <c r="AS965" i="20"/>
  <c r="AS963" i="20"/>
  <c r="AS962" i="20"/>
  <c r="AS961" i="20"/>
  <c r="AS960" i="20"/>
  <c r="AS959" i="20"/>
  <c r="AS958" i="20"/>
  <c r="AS957" i="20"/>
  <c r="AS956" i="20"/>
  <c r="AS955" i="20"/>
  <c r="AS954" i="20"/>
  <c r="AS953" i="20"/>
  <c r="AS952" i="20"/>
  <c r="AS951" i="20"/>
  <c r="AS950" i="20"/>
  <c r="AS949" i="20"/>
  <c r="AS942" i="20"/>
  <c r="AS941" i="20"/>
  <c r="AS940" i="20"/>
  <c r="AS939" i="20"/>
  <c r="AS938" i="20"/>
  <c r="AS937" i="20"/>
  <c r="AS936" i="20"/>
  <c r="AS935" i="20"/>
  <c r="AS931" i="20"/>
  <c r="AS930" i="20"/>
  <c r="AS929" i="20"/>
  <c r="AS924" i="20"/>
  <c r="AS922" i="20"/>
  <c r="AS920" i="20"/>
  <c r="AS919" i="20"/>
  <c r="AS918" i="20"/>
  <c r="AS917" i="20"/>
  <c r="AS914" i="20"/>
  <c r="AS913" i="20"/>
  <c r="AS912" i="20"/>
  <c r="AS915" i="20"/>
  <c r="AS844" i="20"/>
  <c r="AS837" i="20"/>
  <c r="AS835" i="20"/>
  <c r="AS833" i="20"/>
  <c r="AS826" i="20"/>
  <c r="AS825" i="20"/>
  <c r="AS828" i="20"/>
  <c r="AS824" i="20"/>
  <c r="AS823" i="20"/>
  <c r="AS822" i="20"/>
  <c r="AS827" i="20"/>
  <c r="AS821" i="20"/>
  <c r="AS820" i="20"/>
  <c r="AS819" i="20"/>
  <c r="AS818" i="20"/>
  <c r="AS817" i="20"/>
  <c r="AS811" i="20"/>
  <c r="AS816" i="20"/>
  <c r="AS810" i="20"/>
  <c r="AS815" i="20"/>
  <c r="AS814" i="20"/>
  <c r="AS813" i="20"/>
  <c r="AS809" i="20"/>
  <c r="AS812" i="20"/>
  <c r="AS808" i="20"/>
  <c r="AS800" i="20"/>
  <c r="AS807" i="20"/>
  <c r="AS806" i="20"/>
  <c r="AS799" i="20"/>
  <c r="AS798" i="20"/>
  <c r="AS805" i="20"/>
  <c r="AS804" i="20"/>
  <c r="AS803" i="20"/>
  <c r="AS797" i="20"/>
  <c r="AS802" i="20"/>
  <c r="AS801" i="20"/>
  <c r="AS796" i="20"/>
  <c r="AS795" i="20"/>
  <c r="AS792" i="20"/>
  <c r="AS791" i="20"/>
  <c r="AS790" i="20"/>
  <c r="AS794" i="20"/>
  <c r="AS788" i="20"/>
  <c r="AS784" i="20"/>
  <c r="AS779" i="20"/>
  <c r="AS778" i="20"/>
  <c r="AS777" i="20"/>
  <c r="AS776" i="20"/>
  <c r="AS771" i="20"/>
  <c r="AS775" i="20"/>
  <c r="AS770" i="20"/>
  <c r="AS774" i="20"/>
  <c r="AS769" i="20"/>
  <c r="AS773" i="20"/>
  <c r="AS768" i="20"/>
  <c r="AS772" i="20"/>
  <c r="AS767" i="20"/>
  <c r="AS766" i="20"/>
  <c r="AS765" i="20"/>
  <c r="AS763" i="20"/>
  <c r="AS762" i="20"/>
  <c r="AS750" i="20"/>
  <c r="AS749" i="20"/>
  <c r="AS752" i="20"/>
  <c r="AS748" i="20"/>
  <c r="AS751" i="20"/>
  <c r="AS746" i="20"/>
  <c r="AS744" i="20"/>
  <c r="AS743" i="20"/>
  <c r="AS742" i="20"/>
  <c r="AS741" i="20"/>
  <c r="AS740" i="20"/>
  <c r="AS739" i="20"/>
  <c r="AS738" i="20"/>
  <c r="AS737" i="20"/>
  <c r="AS736" i="20"/>
  <c r="AS735" i="20"/>
  <c r="AS734" i="20"/>
  <c r="AS733" i="20"/>
  <c r="AS732" i="20"/>
  <c r="AS731" i="20"/>
  <c r="AS730" i="20"/>
  <c r="AS729" i="20"/>
  <c r="AS728" i="20"/>
  <c r="AS727" i="20"/>
  <c r="AS726" i="20"/>
  <c r="AS725" i="20"/>
  <c r="AS724" i="20"/>
  <c r="AS723" i="20"/>
  <c r="AS722" i="20"/>
  <c r="AS721" i="20"/>
  <c r="AS720" i="20"/>
  <c r="AS716" i="20"/>
  <c r="AS715" i="20"/>
  <c r="AS719" i="20"/>
  <c r="AS714" i="20"/>
  <c r="AS713" i="20"/>
  <c r="AS712" i="20"/>
  <c r="AS717" i="20"/>
  <c r="AS711" i="20"/>
  <c r="AS710" i="20"/>
  <c r="AS709" i="20"/>
  <c r="AS708" i="20"/>
  <c r="AS707" i="20"/>
  <c r="AS706" i="20"/>
  <c r="AS718" i="20"/>
  <c r="AS705" i="20"/>
  <c r="AS704" i="20"/>
  <c r="AS703" i="20"/>
  <c r="AS702" i="20"/>
  <c r="AS701" i="20"/>
  <c r="AS700" i="20"/>
  <c r="AS699" i="20"/>
  <c r="AS698" i="20"/>
  <c r="AS697" i="20"/>
  <c r="AS696" i="20"/>
  <c r="AS695" i="20"/>
  <c r="AS692" i="20"/>
  <c r="AS691" i="20"/>
  <c r="AS689" i="20"/>
  <c r="AS687" i="20"/>
  <c r="AS683" i="20"/>
  <c r="AS686" i="20"/>
  <c r="AS681" i="20"/>
  <c r="AS676" i="20"/>
  <c r="AS671" i="20"/>
  <c r="AS670" i="20"/>
  <c r="AS667" i="20"/>
  <c r="AS666" i="20"/>
  <c r="AS664" i="20"/>
  <c r="AS661" i="20"/>
  <c r="AS660" i="20"/>
  <c r="AS658" i="20"/>
  <c r="AS655" i="20"/>
  <c r="AS656" i="20"/>
  <c r="AS654" i="20"/>
  <c r="AS644" i="20"/>
  <c r="AS643" i="20"/>
  <c r="AS642" i="20"/>
  <c r="AS641" i="20"/>
  <c r="AS639" i="20"/>
  <c r="AS623" i="20"/>
  <c r="AS614" i="20"/>
  <c r="AS585" i="20"/>
  <c r="AS574" i="20"/>
  <c r="AS572" i="20"/>
  <c r="AS568" i="20"/>
  <c r="AS564" i="20"/>
  <c r="AS562" i="20"/>
  <c r="AS560" i="20"/>
  <c r="AS559" i="20"/>
  <c r="AS558" i="20"/>
  <c r="AS543" i="20"/>
  <c r="AS534" i="20"/>
  <c r="AS529" i="20"/>
  <c r="AS527" i="20"/>
  <c r="AS524" i="20"/>
  <c r="AS520" i="20"/>
  <c r="AS513" i="20"/>
  <c r="AS508" i="20"/>
  <c r="AS505" i="20"/>
  <c r="AS504" i="20"/>
  <c r="AS494" i="20"/>
  <c r="AS481" i="20"/>
  <c r="AS480" i="20"/>
  <c r="AS479" i="20"/>
  <c r="AS478" i="20"/>
  <c r="AS475" i="20"/>
  <c r="AS473" i="20"/>
  <c r="AS474" i="20"/>
  <c r="AS472" i="20"/>
  <c r="AS477" i="20"/>
  <c r="AS476" i="20"/>
  <c r="AS469" i="20"/>
  <c r="AS468" i="20"/>
  <c r="AS466" i="20"/>
  <c r="AS465" i="20"/>
  <c r="AS462" i="20"/>
  <c r="AS461" i="20"/>
  <c r="AS460" i="20"/>
  <c r="AS458" i="20"/>
  <c r="AS459" i="20"/>
  <c r="AS457" i="20"/>
  <c r="AS455" i="20"/>
  <c r="AS436" i="20"/>
  <c r="AS435" i="20"/>
  <c r="AS434" i="20"/>
  <c r="AS433" i="20"/>
  <c r="AS432" i="20"/>
  <c r="AS431" i="20"/>
  <c r="AS426" i="20"/>
  <c r="AS423" i="20"/>
  <c r="AS418" i="20"/>
  <c r="AS408" i="20"/>
  <c r="AS407" i="20"/>
  <c r="AS406" i="20"/>
  <c r="AS404" i="20"/>
  <c r="AS403" i="20"/>
  <c r="AS402" i="20"/>
  <c r="AS401" i="20"/>
  <c r="AS400" i="20"/>
  <c r="AS399" i="20"/>
  <c r="AS398" i="20"/>
  <c r="AS396" i="20"/>
  <c r="AS395" i="20"/>
  <c r="AS394" i="20"/>
  <c r="AS397" i="20"/>
  <c r="AS393" i="20"/>
  <c r="AS392" i="20"/>
  <c r="AS391" i="20"/>
  <c r="AS390" i="20"/>
  <c r="AS383" i="20"/>
  <c r="AS382" i="20"/>
  <c r="AS381" i="20"/>
  <c r="AS380" i="20"/>
  <c r="AS379" i="20"/>
  <c r="AS378" i="20"/>
  <c r="AS377" i="20"/>
  <c r="AS376" i="20"/>
  <c r="AS375" i="20"/>
  <c r="AS374" i="20"/>
  <c r="AS373" i="20"/>
  <c r="AS372" i="20"/>
  <c r="AS371" i="20"/>
  <c r="AS370" i="20"/>
  <c r="AS369" i="20"/>
  <c r="AS368" i="20"/>
  <c r="AS367" i="20"/>
  <c r="AS366" i="20"/>
  <c r="AS365" i="20"/>
  <c r="AS348" i="20"/>
  <c r="AS364" i="20"/>
  <c r="AS363" i="20"/>
  <c r="AS362" i="20"/>
  <c r="AS361" i="20"/>
  <c r="AS360" i="20"/>
  <c r="AS359" i="20"/>
  <c r="AS358" i="20"/>
  <c r="AS357" i="20"/>
  <c r="AS356" i="20"/>
  <c r="AS355" i="20"/>
  <c r="AS354" i="20"/>
  <c r="AS353" i="20"/>
  <c r="AS352" i="20"/>
  <c r="AS351" i="20"/>
  <c r="AS350" i="20"/>
  <c r="AS349" i="20"/>
  <c r="AS347" i="20"/>
  <c r="AS346" i="20"/>
  <c r="AS345" i="20"/>
  <c r="AS344" i="20"/>
  <c r="AS343" i="20"/>
  <c r="AS342" i="20"/>
  <c r="AS341" i="20"/>
  <c r="AS340" i="20"/>
  <c r="AS323" i="20"/>
  <c r="AS322" i="20"/>
  <c r="AS321" i="20"/>
  <c r="AS320" i="20"/>
  <c r="AS319" i="20"/>
  <c r="AS318" i="20"/>
  <c r="AS317" i="20"/>
  <c r="AS316" i="20"/>
  <c r="AS314" i="20"/>
  <c r="AS313" i="20"/>
  <c r="AS312" i="20"/>
  <c r="AS311" i="20"/>
  <c r="AS310" i="20"/>
  <c r="AS309" i="20"/>
  <c r="AS308" i="20"/>
  <c r="AS306" i="20"/>
  <c r="AS305" i="20"/>
  <c r="AS304" i="20"/>
  <c r="AS303" i="20"/>
  <c r="AS302" i="20"/>
  <c r="AS297" i="20"/>
  <c r="AS296" i="20"/>
  <c r="AS295" i="20"/>
  <c r="AS294" i="20"/>
  <c r="AS282" i="20"/>
  <c r="AS281" i="20"/>
  <c r="AS280" i="20"/>
  <c r="AS279" i="20"/>
  <c r="AS278" i="20"/>
  <c r="AS277" i="20"/>
  <c r="AS276" i="20"/>
  <c r="AS273" i="20"/>
  <c r="AS261" i="20"/>
  <c r="AS262" i="20"/>
  <c r="AS260" i="20"/>
  <c r="AS259" i="20"/>
  <c r="AS257" i="20"/>
  <c r="AS256" i="20"/>
  <c r="AS258" i="20"/>
  <c r="AS254" i="20"/>
  <c r="AS255" i="20"/>
  <c r="AS252" i="20"/>
  <c r="AS253" i="20"/>
  <c r="AS251" i="20"/>
  <c r="AS250" i="20"/>
  <c r="AS249" i="20"/>
  <c r="AS248" i="20"/>
  <c r="AS245" i="20"/>
  <c r="AS236" i="20"/>
  <c r="AS235" i="20"/>
  <c r="AS230" i="20"/>
  <c r="AS233" i="20"/>
  <c r="AS232" i="20"/>
  <c r="AS229" i="20"/>
  <c r="AS228" i="20"/>
  <c r="AS225" i="20"/>
  <c r="AS223" i="20"/>
  <c r="AS227" i="20"/>
  <c r="AS224" i="20"/>
  <c r="AS226" i="20"/>
  <c r="AS221" i="20"/>
  <c r="AS219" i="20"/>
  <c r="AS218" i="20"/>
  <c r="AS217" i="20"/>
  <c r="AS216" i="20"/>
  <c r="AS204" i="20"/>
  <c r="AS199" i="20"/>
  <c r="AS198" i="20"/>
  <c r="AS196" i="20"/>
  <c r="AS195" i="20"/>
  <c r="AS188" i="20"/>
  <c r="AS187" i="20"/>
  <c r="AS186" i="20"/>
  <c r="AS185" i="20"/>
  <c r="AS184" i="20"/>
  <c r="AS183" i="20"/>
  <c r="AS182" i="20"/>
  <c r="AS180" i="20"/>
  <c r="AS181" i="20"/>
  <c r="AS179" i="20"/>
  <c r="AS178" i="20"/>
  <c r="AS177" i="20"/>
  <c r="AS176" i="20"/>
  <c r="AS175" i="20"/>
  <c r="AS174" i="20"/>
  <c r="AS173" i="20"/>
  <c r="AS169" i="20"/>
  <c r="AS165" i="20"/>
  <c r="A178" i="20"/>
  <c r="A183" i="20"/>
  <c r="A165" i="20"/>
  <c r="A169" i="20"/>
  <c r="A173" i="20"/>
  <c r="A174" i="20"/>
  <c r="A175" i="20"/>
  <c r="A176" i="20"/>
  <c r="A177" i="20"/>
  <c r="A179" i="20"/>
  <c r="A181" i="20"/>
  <c r="A180" i="20"/>
  <c r="A182" i="20"/>
  <c r="A184" i="20"/>
  <c r="A185" i="20"/>
  <c r="A186" i="20"/>
  <c r="A187" i="20"/>
  <c r="A188" i="20"/>
  <c r="A195" i="20"/>
  <c r="A196" i="20"/>
  <c r="A198" i="20"/>
  <c r="A199" i="20"/>
  <c r="A204" i="20"/>
  <c r="A216" i="20"/>
  <c r="A217" i="20"/>
  <c r="A218" i="20"/>
  <c r="A219" i="20"/>
  <c r="AF219" i="20" s="1"/>
  <c r="A221" i="20"/>
  <c r="A226" i="20"/>
  <c r="A224" i="20"/>
  <c r="A227" i="20"/>
  <c r="A223" i="20"/>
  <c r="A225" i="20"/>
  <c r="A228" i="20"/>
  <c r="A229" i="20"/>
  <c r="A232" i="20"/>
  <c r="A233" i="20"/>
  <c r="A230" i="20"/>
  <c r="A235" i="20"/>
  <c r="A236" i="20"/>
  <c r="A245" i="20"/>
  <c r="A248" i="20"/>
  <c r="AF248" i="20" s="1"/>
  <c r="A249" i="20"/>
  <c r="A250" i="20"/>
  <c r="A251" i="20"/>
  <c r="A253" i="20"/>
  <c r="A252" i="20"/>
  <c r="A255" i="20"/>
  <c r="A254" i="20"/>
  <c r="A258" i="20"/>
  <c r="A256" i="20"/>
  <c r="A257" i="20"/>
  <c r="A259" i="20"/>
  <c r="A260" i="20"/>
  <c r="A262" i="20"/>
  <c r="A261" i="20"/>
  <c r="A263" i="20"/>
  <c r="A264" i="20"/>
  <c r="A265" i="20"/>
  <c r="A266" i="20"/>
  <c r="A267" i="20"/>
  <c r="A268" i="20"/>
  <c r="AB268" i="20" s="1"/>
  <c r="A269" i="20"/>
  <c r="A270" i="20"/>
  <c r="A271" i="20"/>
  <c r="A272" i="20"/>
  <c r="A274" i="20"/>
  <c r="A275" i="20"/>
  <c r="A273" i="20"/>
  <c r="A276" i="20"/>
  <c r="A277" i="20"/>
  <c r="A278" i="20"/>
  <c r="A279" i="20"/>
  <c r="A280" i="20"/>
  <c r="A281" i="20"/>
  <c r="A282" i="20"/>
  <c r="A294" i="20"/>
  <c r="A295" i="20"/>
  <c r="A296" i="20"/>
  <c r="A297" i="20"/>
  <c r="A298" i="20"/>
  <c r="A299" i="20"/>
  <c r="A301" i="20"/>
  <c r="A300" i="20"/>
  <c r="A302" i="20"/>
  <c r="A303" i="20"/>
  <c r="A304" i="20"/>
  <c r="A305" i="20"/>
  <c r="A306" i="20"/>
  <c r="A308" i="20"/>
  <c r="A309" i="20"/>
  <c r="A310" i="20"/>
  <c r="A311" i="20"/>
  <c r="A312" i="20"/>
  <c r="A313" i="20"/>
  <c r="A314" i="20"/>
  <c r="A307" i="20"/>
  <c r="A315" i="20"/>
  <c r="A316" i="20"/>
  <c r="A317" i="20"/>
  <c r="A318" i="20"/>
  <c r="A319" i="20"/>
  <c r="A320" i="20"/>
  <c r="A321" i="20"/>
  <c r="A322" i="20"/>
  <c r="A323" i="20"/>
  <c r="A324" i="20"/>
  <c r="A325" i="20"/>
  <c r="A326" i="20"/>
  <c r="A327" i="20"/>
  <c r="A329" i="20"/>
  <c r="A328" i="20"/>
  <c r="A330" i="20"/>
  <c r="A331" i="20"/>
  <c r="A332" i="20"/>
  <c r="A333" i="20"/>
  <c r="A334" i="20"/>
  <c r="A335" i="20"/>
  <c r="A336" i="20"/>
  <c r="A337" i="20"/>
  <c r="A338" i="20"/>
  <c r="A339" i="20"/>
  <c r="A340" i="20"/>
  <c r="A341" i="20"/>
  <c r="A342" i="20"/>
  <c r="A343" i="20"/>
  <c r="A344" i="20"/>
  <c r="A345" i="20"/>
  <c r="A346" i="20"/>
  <c r="A347" i="20"/>
  <c r="A349" i="20"/>
  <c r="A350" i="20"/>
  <c r="A351" i="20"/>
  <c r="A352" i="20"/>
  <c r="A353" i="20"/>
  <c r="A354" i="20"/>
  <c r="A355" i="20"/>
  <c r="A356" i="20"/>
  <c r="A357" i="20"/>
  <c r="A358" i="20"/>
  <c r="A359" i="20"/>
  <c r="A360" i="20"/>
  <c r="A361" i="20"/>
  <c r="A362" i="20"/>
  <c r="A363" i="20"/>
  <c r="A364" i="20"/>
  <c r="A348" i="20"/>
  <c r="A365" i="20"/>
  <c r="A366" i="20"/>
  <c r="A367" i="20"/>
  <c r="A368" i="20"/>
  <c r="A369" i="20"/>
  <c r="A370" i="20"/>
  <c r="A371" i="20"/>
  <c r="A372" i="20"/>
  <c r="A373" i="20"/>
  <c r="A374" i="20"/>
  <c r="A375" i="20"/>
  <c r="A376" i="20"/>
  <c r="A377" i="20"/>
  <c r="A378" i="20"/>
  <c r="A379" i="20"/>
  <c r="A380" i="20"/>
  <c r="A381" i="20"/>
  <c r="A382" i="20"/>
  <c r="A383" i="20"/>
  <c r="A384" i="20"/>
  <c r="A385" i="20"/>
  <c r="A386" i="20"/>
  <c r="A387" i="20"/>
  <c r="A388" i="20"/>
  <c r="A389" i="20"/>
  <c r="A390" i="20"/>
  <c r="A391" i="20"/>
  <c r="A392" i="20"/>
  <c r="A393" i="20"/>
  <c r="A397" i="20"/>
  <c r="A394" i="20"/>
  <c r="A395" i="20"/>
  <c r="A396" i="20"/>
  <c r="A398" i="20"/>
  <c r="A399" i="20"/>
  <c r="A400" i="20"/>
  <c r="A401" i="20"/>
  <c r="A402" i="20"/>
  <c r="A403" i="20"/>
  <c r="A404" i="20"/>
  <c r="A405" i="20"/>
  <c r="A406" i="20"/>
  <c r="A407" i="20"/>
  <c r="A408" i="20"/>
  <c r="A409" i="20"/>
  <c r="A410" i="20"/>
  <c r="A411" i="20"/>
  <c r="A412" i="20"/>
  <c r="A413" i="20"/>
  <c r="A414" i="20"/>
  <c r="A415" i="20"/>
  <c r="A416" i="20"/>
  <c r="A417" i="20"/>
  <c r="A418" i="20"/>
  <c r="A419" i="20"/>
  <c r="A420" i="20"/>
  <c r="A421" i="20"/>
  <c r="A422" i="20"/>
  <c r="A423" i="20"/>
  <c r="A424" i="20"/>
  <c r="A425" i="20"/>
  <c r="A426" i="20"/>
  <c r="A427" i="20"/>
  <c r="A428" i="20"/>
  <c r="A429" i="20"/>
  <c r="A430" i="20"/>
  <c r="A431" i="20"/>
  <c r="A432" i="20"/>
  <c r="A433" i="20"/>
  <c r="A434" i="20"/>
  <c r="A435" i="20"/>
  <c r="A436" i="20"/>
  <c r="A437" i="20"/>
  <c r="A438" i="20"/>
  <c r="A439" i="20"/>
  <c r="A440" i="20"/>
  <c r="A441" i="20"/>
  <c r="A442" i="20"/>
  <c r="A445" i="20"/>
  <c r="A443" i="20"/>
  <c r="A444" i="20"/>
  <c r="A446" i="20"/>
  <c r="A447" i="20"/>
  <c r="A448" i="20"/>
  <c r="A449" i="20"/>
  <c r="A450" i="20"/>
  <c r="A451" i="20"/>
  <c r="A452" i="20"/>
  <c r="A453" i="20"/>
  <c r="A454" i="20"/>
  <c r="A455" i="20"/>
  <c r="A456" i="20"/>
  <c r="A457" i="20"/>
  <c r="A459" i="20"/>
  <c r="A458" i="20"/>
  <c r="A460" i="20"/>
  <c r="A461" i="20"/>
  <c r="A462" i="20"/>
  <c r="A463" i="20"/>
  <c r="A467" i="20"/>
  <c r="A465" i="20"/>
  <c r="A466" i="20"/>
  <c r="A464" i="20"/>
  <c r="A468" i="20"/>
  <c r="A469" i="20"/>
  <c r="A470" i="20"/>
  <c r="A471" i="20"/>
  <c r="A476" i="20"/>
  <c r="A477" i="20"/>
  <c r="A472" i="20"/>
  <c r="A474" i="20"/>
  <c r="A473" i="20"/>
  <c r="A475" i="20"/>
  <c r="A478" i="20"/>
  <c r="A479" i="20"/>
  <c r="A480" i="20"/>
  <c r="A481" i="20"/>
  <c r="A483" i="20"/>
  <c r="A482" i="20"/>
  <c r="A484" i="20"/>
  <c r="A486" i="20"/>
  <c r="A487" i="20"/>
  <c r="A485" i="20"/>
  <c r="A489" i="20"/>
  <c r="A490" i="20"/>
  <c r="A488" i="20"/>
  <c r="A491" i="20"/>
  <c r="A492" i="20"/>
  <c r="A493" i="20"/>
  <c r="A494" i="20"/>
  <c r="A495" i="20"/>
  <c r="A496" i="20"/>
  <c r="A497" i="20"/>
  <c r="A498" i="20"/>
  <c r="A499" i="20"/>
  <c r="A500" i="20"/>
  <c r="A501" i="20"/>
  <c r="A502" i="20"/>
  <c r="A503" i="20"/>
  <c r="A504" i="20"/>
  <c r="A505" i="20"/>
  <c r="A506" i="20"/>
  <c r="A507" i="20"/>
  <c r="A508" i="20"/>
  <c r="A509" i="20"/>
  <c r="A510" i="20"/>
  <c r="A511" i="20"/>
  <c r="A512" i="20"/>
  <c r="A513" i="20"/>
  <c r="A516" i="20"/>
  <c r="A514" i="20"/>
  <c r="A517" i="20"/>
  <c r="A515" i="20"/>
  <c r="A518" i="20"/>
  <c r="A519" i="20"/>
  <c r="A520" i="20"/>
  <c r="A521" i="20"/>
  <c r="A522" i="20"/>
  <c r="A523" i="20"/>
  <c r="A524" i="20"/>
  <c r="A525" i="20"/>
  <c r="A526" i="20"/>
  <c r="A527" i="20"/>
  <c r="A528" i="20"/>
  <c r="A529" i="20"/>
  <c r="A530" i="20"/>
  <c r="A532" i="20"/>
  <c r="A531" i="20"/>
  <c r="A533" i="20"/>
  <c r="A534" i="20"/>
  <c r="A535" i="20"/>
  <c r="A536" i="20"/>
  <c r="A537" i="20"/>
  <c r="A538" i="20"/>
  <c r="A539" i="20"/>
  <c r="A540" i="20"/>
  <c r="A541" i="20"/>
  <c r="A542" i="20"/>
  <c r="A543" i="20"/>
  <c r="A544" i="20"/>
  <c r="A545" i="20"/>
  <c r="A546" i="20"/>
  <c r="A547" i="20"/>
  <c r="A548" i="20"/>
  <c r="A549" i="20"/>
  <c r="A550" i="20"/>
  <c r="A551" i="20"/>
  <c r="A553" i="20"/>
  <c r="A552" i="20"/>
  <c r="A554" i="20"/>
  <c r="A555" i="20"/>
  <c r="A556" i="20"/>
  <c r="A557" i="20"/>
  <c r="A558" i="20"/>
  <c r="A559" i="20"/>
  <c r="A560" i="20"/>
  <c r="A561" i="20"/>
  <c r="A562" i="20"/>
  <c r="A563" i="20"/>
  <c r="A564" i="20"/>
  <c r="A626" i="20"/>
  <c r="A627" i="20"/>
  <c r="A628" i="20"/>
  <c r="A629" i="20"/>
  <c r="A565" i="20"/>
  <c r="A567" i="20"/>
  <c r="A568" i="20"/>
  <c r="A566" i="20"/>
  <c r="A569" i="20"/>
  <c r="A570" i="20"/>
  <c r="A571" i="20"/>
  <c r="A572" i="20"/>
  <c r="A573" i="20"/>
  <c r="A574" i="20"/>
  <c r="A575" i="20"/>
  <c r="A576" i="20"/>
  <c r="A577" i="20"/>
  <c r="A581" i="20"/>
  <c r="A582" i="20"/>
  <c r="A583" i="20"/>
  <c r="A578" i="20"/>
  <c r="A579" i="20"/>
  <c r="A580" i="20"/>
  <c r="A584" i="20"/>
  <c r="A585" i="20"/>
  <c r="A586" i="20"/>
  <c r="A587" i="20"/>
  <c r="A588" i="20"/>
  <c r="A589" i="20"/>
  <c r="A591" i="20"/>
  <c r="A592" i="20"/>
  <c r="A590" i="20"/>
  <c r="A593" i="20"/>
  <c r="A594" i="20"/>
  <c r="A595" i="20"/>
  <c r="A596" i="20"/>
  <c r="A597" i="20"/>
  <c r="A598" i="20"/>
  <c r="A599" i="20"/>
  <c r="A600" i="20"/>
  <c r="A601" i="20"/>
  <c r="A602" i="20"/>
  <c r="A603" i="20"/>
  <c r="A606" i="20"/>
  <c r="AF606" i="20" s="1"/>
  <c r="A607" i="20"/>
  <c r="A604" i="20"/>
  <c r="A605" i="20"/>
  <c r="A608" i="20"/>
  <c r="A610" i="20"/>
  <c r="A611" i="20"/>
  <c r="A609" i="20"/>
  <c r="A612" i="20"/>
  <c r="A613" i="20"/>
  <c r="A614" i="20"/>
  <c r="A615" i="20"/>
  <c r="A616" i="20"/>
  <c r="A617" i="20"/>
  <c r="A618" i="20"/>
  <c r="A619" i="20"/>
  <c r="A620" i="20"/>
  <c r="A621" i="20"/>
  <c r="A622" i="20"/>
  <c r="A623" i="20"/>
  <c r="A624" i="20"/>
  <c r="A625" i="20"/>
  <c r="A632" i="20"/>
  <c r="A633" i="20"/>
  <c r="A634" i="20"/>
  <c r="A635" i="20"/>
  <c r="A636" i="20"/>
  <c r="A637" i="20"/>
  <c r="A630" i="20"/>
  <c r="A631" i="20"/>
  <c r="A638" i="20"/>
  <c r="A639" i="20"/>
  <c r="A640" i="20"/>
  <c r="A641" i="20"/>
  <c r="A642" i="20"/>
  <c r="A646" i="20"/>
  <c r="A643" i="20"/>
  <c r="A644" i="20"/>
  <c r="A645" i="20"/>
  <c r="A647" i="20"/>
  <c r="A648" i="20"/>
  <c r="A649" i="20"/>
  <c r="A651" i="20"/>
  <c r="A652" i="20"/>
  <c r="A650" i="20"/>
  <c r="A653" i="20"/>
  <c r="A654" i="20"/>
  <c r="A656" i="20"/>
  <c r="A655" i="20"/>
  <c r="A657" i="20"/>
  <c r="A658" i="20"/>
  <c r="A659" i="20"/>
  <c r="A660" i="20"/>
  <c r="A661" i="20"/>
  <c r="A662" i="20"/>
  <c r="A663" i="20"/>
  <c r="A664" i="20"/>
  <c r="A665" i="20"/>
  <c r="A666" i="20"/>
  <c r="A667" i="20"/>
  <c r="A670" i="20"/>
  <c r="A669" i="20"/>
  <c r="A668" i="20"/>
  <c r="A671" i="20"/>
  <c r="A678" i="20"/>
  <c r="A672" i="20"/>
  <c r="A673" i="20"/>
  <c r="A674" i="20"/>
  <c r="A675" i="20"/>
  <c r="A676" i="20"/>
  <c r="A677" i="20"/>
  <c r="A679" i="20"/>
  <c r="A680" i="20"/>
  <c r="A681" i="20"/>
  <c r="A685" i="20"/>
  <c r="A686" i="20"/>
  <c r="A682" i="20"/>
  <c r="A683" i="20"/>
  <c r="A684" i="20"/>
  <c r="A687" i="20"/>
  <c r="A688" i="20"/>
  <c r="A689" i="20"/>
  <c r="A690" i="20"/>
  <c r="A691" i="20"/>
  <c r="A692" i="20"/>
  <c r="A693" i="20"/>
  <c r="A694" i="20"/>
  <c r="A695" i="20"/>
  <c r="A696" i="20"/>
  <c r="A697" i="20"/>
  <c r="A698" i="20"/>
  <c r="A699" i="20"/>
  <c r="A700" i="20"/>
  <c r="A701" i="20"/>
  <c r="A702" i="20"/>
  <c r="A703" i="20"/>
  <c r="A704" i="20"/>
  <c r="A705" i="20"/>
  <c r="A718" i="20"/>
  <c r="A706" i="20"/>
  <c r="A707" i="20"/>
  <c r="A708" i="20"/>
  <c r="AF708" i="20" s="1"/>
  <c r="A709" i="20"/>
  <c r="A710" i="20"/>
  <c r="AF710" i="20" s="1"/>
  <c r="A711" i="20"/>
  <c r="AF711" i="20" s="1"/>
  <c r="A717" i="20"/>
  <c r="A712" i="20"/>
  <c r="A713" i="20"/>
  <c r="A714" i="20"/>
  <c r="A719" i="20"/>
  <c r="A715" i="20"/>
  <c r="A716" i="20"/>
  <c r="A720" i="20"/>
  <c r="A721" i="20"/>
  <c r="A722" i="20"/>
  <c r="A723" i="20"/>
  <c r="A724" i="20"/>
  <c r="A725" i="20"/>
  <c r="A726" i="20"/>
  <c r="A727" i="20"/>
  <c r="A728" i="20"/>
  <c r="A729" i="20"/>
  <c r="A730" i="20"/>
  <c r="A731" i="20"/>
  <c r="A732" i="20"/>
  <c r="A733" i="20"/>
  <c r="A734" i="20"/>
  <c r="A735" i="20"/>
  <c r="A736" i="20"/>
  <c r="A737" i="20"/>
  <c r="A738" i="20"/>
  <c r="A739" i="20"/>
  <c r="A740" i="20"/>
  <c r="A741" i="20"/>
  <c r="A742" i="20"/>
  <c r="A743" i="20"/>
  <c r="A744" i="20"/>
  <c r="A745" i="20"/>
  <c r="A746" i="20"/>
  <c r="A747" i="20"/>
  <c r="A751" i="20"/>
  <c r="A748" i="20"/>
  <c r="A752" i="20"/>
  <c r="A749" i="20"/>
  <c r="A750" i="20"/>
  <c r="A754" i="20"/>
  <c r="A753" i="20"/>
  <c r="A755" i="20"/>
  <c r="A756" i="20"/>
  <c r="A757" i="20"/>
  <c r="A758" i="20"/>
  <c r="A759" i="20"/>
  <c r="A760" i="20"/>
  <c r="A761" i="20"/>
  <c r="A762" i="20"/>
  <c r="A763" i="20"/>
  <c r="A764" i="20"/>
  <c r="A765" i="20"/>
  <c r="A766" i="20"/>
  <c r="A767" i="20"/>
  <c r="A772" i="20"/>
  <c r="A768" i="20"/>
  <c r="A773" i="20"/>
  <c r="A769" i="20"/>
  <c r="A774" i="20"/>
  <c r="A770" i="20"/>
  <c r="A775" i="20"/>
  <c r="A771" i="20"/>
  <c r="A776" i="20"/>
  <c r="A777" i="20"/>
  <c r="A778" i="20"/>
  <c r="A779" i="20"/>
  <c r="A780" i="20"/>
  <c r="A781" i="20"/>
  <c r="A782" i="20"/>
  <c r="A783" i="20"/>
  <c r="A784" i="20"/>
  <c r="A785" i="20"/>
  <c r="A786" i="20"/>
  <c r="A787" i="20"/>
  <c r="A788" i="20"/>
  <c r="A794" i="20"/>
  <c r="A789" i="20"/>
  <c r="A790" i="20"/>
  <c r="A791" i="20"/>
  <c r="A792" i="20"/>
  <c r="A793" i="20"/>
  <c r="A795" i="20"/>
  <c r="A796" i="20"/>
  <c r="A801" i="20"/>
  <c r="A802" i="20"/>
  <c r="A797" i="20"/>
  <c r="A803" i="20"/>
  <c r="A804" i="20"/>
  <c r="A805" i="20"/>
  <c r="A798" i="20"/>
  <c r="A799" i="20"/>
  <c r="A806" i="20"/>
  <c r="A807" i="20"/>
  <c r="A800" i="20"/>
  <c r="A808" i="20"/>
  <c r="A812" i="20"/>
  <c r="A809" i="20"/>
  <c r="A813" i="20"/>
  <c r="A814" i="20"/>
  <c r="A815" i="20"/>
  <c r="A810" i="20"/>
  <c r="A816" i="20"/>
  <c r="A811" i="20"/>
  <c r="A817" i="20"/>
  <c r="A818" i="20"/>
  <c r="A819" i="20"/>
  <c r="A820" i="20"/>
  <c r="A821" i="20"/>
  <c r="A827" i="20"/>
  <c r="A822" i="20"/>
  <c r="AF822" i="20" s="1"/>
  <c r="A823" i="20"/>
  <c r="A824" i="20"/>
  <c r="A828" i="20"/>
  <c r="A825" i="20"/>
  <c r="AF825" i="20" s="1"/>
  <c r="A826" i="20"/>
  <c r="A830" i="20"/>
  <c r="A829" i="20"/>
  <c r="A831" i="20"/>
  <c r="A832" i="20"/>
  <c r="A833" i="20"/>
  <c r="A834" i="20"/>
  <c r="A835" i="20"/>
  <c r="A836" i="20"/>
  <c r="A837" i="20"/>
  <c r="A838" i="20"/>
  <c r="A839" i="20"/>
  <c r="A840" i="20"/>
  <c r="A841" i="20"/>
  <c r="A842" i="20"/>
  <c r="A843" i="20"/>
  <c r="A844" i="20"/>
  <c r="A858" i="20"/>
  <c r="A845" i="20"/>
  <c r="A846" i="20"/>
  <c r="A847" i="20"/>
  <c r="A848" i="20"/>
  <c r="A849" i="20"/>
  <c r="A850" i="20"/>
  <c r="A851" i="20"/>
  <c r="A852" i="20"/>
  <c r="A853" i="20"/>
  <c r="A854" i="20"/>
  <c r="A855" i="20"/>
  <c r="A856" i="20"/>
  <c r="A857" i="20"/>
  <c r="A859" i="20"/>
  <c r="A860" i="20"/>
  <c r="A861" i="20"/>
  <c r="A862" i="20"/>
  <c r="A863" i="20"/>
  <c r="A864" i="20"/>
  <c r="A865" i="20"/>
  <c r="A866" i="20"/>
  <c r="A867" i="20"/>
  <c r="A869" i="20"/>
  <c r="A870" i="20"/>
  <c r="A871" i="20"/>
  <c r="A872" i="20"/>
  <c r="A873" i="20"/>
  <c r="A874" i="20"/>
  <c r="A875" i="20"/>
  <c r="A876" i="20"/>
  <c r="A877" i="20"/>
  <c r="A901" i="20"/>
  <c r="A878" i="20"/>
  <c r="A902" i="20"/>
  <c r="A879" i="20"/>
  <c r="A880" i="20"/>
  <c r="A881" i="20"/>
  <c r="A882" i="20"/>
  <c r="A883" i="20"/>
  <c r="A884" i="20"/>
  <c r="A885" i="20"/>
  <c r="A903" i="20"/>
  <c r="A904" i="20"/>
  <c r="A886" i="20"/>
  <c r="A887" i="20"/>
  <c r="A905" i="20"/>
  <c r="A906" i="20"/>
  <c r="A888" i="20"/>
  <c r="A907" i="20"/>
  <c r="A908" i="20"/>
  <c r="A909" i="20"/>
  <c r="A889" i="20"/>
  <c r="A890" i="20"/>
  <c r="A910" i="20"/>
  <c r="A891" i="20"/>
  <c r="A892" i="20"/>
  <c r="A893" i="20"/>
  <c r="A894" i="20"/>
  <c r="A895" i="20"/>
  <c r="A896" i="20"/>
  <c r="A897" i="20"/>
  <c r="A898" i="20"/>
  <c r="A911" i="20"/>
  <c r="A899" i="20"/>
  <c r="A900" i="20"/>
  <c r="A915" i="20"/>
  <c r="A912" i="20"/>
  <c r="A913" i="20"/>
  <c r="A914" i="20"/>
  <c r="A917" i="20"/>
  <c r="A918" i="20"/>
  <c r="A919" i="20"/>
  <c r="A920" i="20"/>
  <c r="A922" i="20"/>
  <c r="A923" i="20"/>
  <c r="A924" i="20"/>
  <c r="A925" i="20"/>
  <c r="A926" i="20"/>
  <c r="A927" i="20"/>
  <c r="A928" i="20"/>
  <c r="A929" i="20"/>
  <c r="A930" i="20"/>
  <c r="A931" i="20"/>
  <c r="A935" i="20"/>
  <c r="A936" i="20"/>
  <c r="A937" i="20"/>
  <c r="A938" i="20"/>
  <c r="A939" i="20"/>
  <c r="A940" i="20"/>
  <c r="A941" i="20"/>
  <c r="A942" i="20"/>
  <c r="A949" i="20"/>
  <c r="A950" i="20"/>
  <c r="A951" i="20"/>
  <c r="A952" i="20"/>
  <c r="A953" i="20"/>
  <c r="A954" i="20"/>
  <c r="A955" i="20"/>
  <c r="A956" i="20"/>
  <c r="A957" i="20"/>
  <c r="A958" i="20"/>
  <c r="A959" i="20"/>
  <c r="A960" i="20"/>
  <c r="A961" i="20"/>
  <c r="A962" i="20"/>
  <c r="A963" i="20"/>
  <c r="A965" i="20"/>
  <c r="A966" i="20"/>
  <c r="A967" i="20"/>
  <c r="A968" i="20"/>
  <c r="A969" i="20"/>
  <c r="A970" i="20"/>
  <c r="A971" i="20"/>
  <c r="A972" i="20"/>
  <c r="A973" i="20"/>
  <c r="A974" i="20"/>
  <c r="A975" i="20"/>
  <c r="A976" i="20"/>
  <c r="A977" i="20"/>
  <c r="A978" i="20"/>
  <c r="A979" i="20"/>
  <c r="A980" i="20"/>
  <c r="A981" i="20"/>
  <c r="A982" i="20"/>
  <c r="A983" i="20"/>
  <c r="A985" i="20"/>
  <c r="A986" i="20"/>
  <c r="A987" i="20"/>
  <c r="A988" i="20"/>
  <c r="A989" i="20"/>
  <c r="A990" i="20"/>
  <c r="A991" i="20"/>
  <c r="A992" i="20"/>
  <c r="A993" i="20"/>
  <c r="A994" i="20"/>
  <c r="A1005" i="20"/>
  <c r="A995" i="20"/>
  <c r="A996" i="20"/>
  <c r="A997" i="20"/>
  <c r="A998" i="20"/>
  <c r="A999" i="20"/>
  <c r="A1006" i="20"/>
  <c r="A1000" i="20"/>
  <c r="A1001" i="20"/>
  <c r="A1002" i="20"/>
  <c r="A1003" i="20"/>
  <c r="A1004" i="20"/>
  <c r="A1007" i="20"/>
  <c r="A1008" i="20"/>
  <c r="A1009" i="20"/>
  <c r="A1010" i="20"/>
  <c r="A1011" i="20"/>
  <c r="A1012" i="20"/>
  <c r="A1013" i="20"/>
  <c r="A1014" i="20"/>
  <c r="A1015" i="20"/>
  <c r="A1016" i="20"/>
  <c r="A1017" i="20"/>
  <c r="A1018" i="20"/>
  <c r="A1019" i="20"/>
  <c r="A1020" i="20"/>
  <c r="A1025" i="20"/>
  <c r="A1026" i="20"/>
  <c r="A1027" i="20"/>
  <c r="A1028" i="20"/>
  <c r="A1029" i="20"/>
  <c r="A1030" i="20"/>
  <c r="A1031" i="20"/>
  <c r="A1032" i="20"/>
  <c r="A1033" i="20"/>
  <c r="A1034" i="20"/>
  <c r="A1037" i="20"/>
  <c r="A1038" i="20"/>
  <c r="A1039" i="20"/>
  <c r="A1040" i="20"/>
  <c r="A1041" i="20"/>
  <c r="A1042" i="20"/>
  <c r="A1043" i="20"/>
  <c r="A1044" i="20"/>
  <c r="A1045" i="20"/>
  <c r="A1046" i="20"/>
  <c r="A1047" i="20"/>
  <c r="A1048" i="20"/>
  <c r="A1049" i="20"/>
  <c r="A1050" i="20"/>
  <c r="A1051" i="20"/>
  <c r="A1054" i="20"/>
  <c r="A1052" i="20"/>
  <c r="A1053" i="20"/>
  <c r="A1055" i="20"/>
  <c r="A1056" i="20"/>
  <c r="A1057" i="20"/>
  <c r="A1060" i="20"/>
  <c r="A1058" i="20"/>
  <c r="A1059" i="20"/>
  <c r="A1061" i="20"/>
  <c r="A1063" i="20"/>
  <c r="A1064" i="20"/>
  <c r="A1065" i="20"/>
  <c r="A1066" i="20"/>
  <c r="A1067" i="20"/>
  <c r="A1068" i="20"/>
  <c r="A1070" i="20"/>
  <c r="A1071" i="20"/>
  <c r="A1072" i="20"/>
  <c r="A1073" i="20"/>
  <c r="A1074" i="20"/>
  <c r="A1075" i="20"/>
  <c r="A1076" i="20"/>
  <c r="A1081" i="20"/>
  <c r="A1077" i="20"/>
  <c r="A1078" i="20"/>
  <c r="A1079" i="20"/>
  <c r="A1080" i="20"/>
  <c r="A1082" i="20"/>
  <c r="A1083" i="20"/>
  <c r="A1089" i="20"/>
  <c r="A1090" i="20"/>
  <c r="A1091" i="20"/>
  <c r="A1092" i="20"/>
  <c r="A1093" i="20"/>
  <c r="A1105" i="20"/>
  <c r="A1107" i="20"/>
  <c r="A1110" i="20"/>
  <c r="A1112" i="20"/>
  <c r="A1119" i="20"/>
  <c r="A1120" i="20"/>
  <c r="A1121" i="20"/>
  <c r="A1124" i="20"/>
  <c r="A1113" i="20"/>
  <c r="A1114" i="20"/>
  <c r="A1115" i="20"/>
  <c r="A1116" i="20"/>
  <c r="A1117" i="20"/>
  <c r="A1118" i="20"/>
  <c r="A1122" i="20"/>
  <c r="A1123" i="20"/>
  <c r="A1125" i="20"/>
  <c r="A1126" i="20"/>
  <c r="A1127" i="20"/>
  <c r="A1128" i="20"/>
  <c r="A1129" i="20"/>
  <c r="A1130" i="20"/>
  <c r="A1131" i="20"/>
  <c r="A1132" i="20"/>
  <c r="A1133" i="20"/>
  <c r="A1134" i="20"/>
  <c r="A1135" i="20"/>
  <c r="A1136" i="20"/>
  <c r="A1137" i="20"/>
  <c r="A1138" i="20"/>
  <c r="A1139" i="20"/>
  <c r="A1140" i="20"/>
  <c r="A1141" i="20"/>
  <c r="A1142" i="20"/>
  <c r="A1143" i="20"/>
  <c r="A1147" i="20"/>
  <c r="A1144" i="20"/>
  <c r="A1145" i="20"/>
  <c r="A1146" i="20"/>
  <c r="A1148" i="20"/>
  <c r="A1149" i="20"/>
  <c r="A1150" i="20"/>
  <c r="A1152" i="20"/>
  <c r="A1151" i="20"/>
  <c r="A1153" i="20"/>
  <c r="A1155" i="20"/>
  <c r="A1154" i="20"/>
  <c r="A1156" i="20"/>
  <c r="A1157" i="20"/>
  <c r="A1158" i="20"/>
  <c r="A1159" i="20"/>
  <c r="A1160" i="20"/>
  <c r="A1161" i="20"/>
  <c r="A1162" i="20"/>
  <c r="A1163" i="20"/>
  <c r="A1165" i="20"/>
  <c r="A1166" i="20"/>
  <c r="A1164" i="20"/>
  <c r="A1167" i="20"/>
  <c r="A1168" i="20"/>
  <c r="A1169" i="20"/>
  <c r="A1170" i="20"/>
  <c r="A1171" i="20"/>
  <c r="A1172" i="20"/>
  <c r="A88" i="20"/>
  <c r="A86" i="20"/>
  <c r="A98" i="20"/>
  <c r="A92" i="20"/>
  <c r="A96" i="20"/>
  <c r="A93" i="20"/>
  <c r="A94" i="20"/>
  <c r="A95" i="20"/>
  <c r="A97" i="20"/>
  <c r="A78" i="20"/>
  <c r="A79" i="20"/>
  <c r="A80" i="20"/>
  <c r="A75" i="20"/>
  <c r="A73" i="20"/>
  <c r="A71" i="20"/>
  <c r="A72" i="20"/>
  <c r="A69" i="20"/>
  <c r="A68" i="20"/>
  <c r="A70" i="20"/>
  <c r="A52" i="20"/>
  <c r="A90" i="20"/>
  <c r="A91" i="20"/>
  <c r="A76" i="20"/>
  <c r="A74" i="20"/>
  <c r="A100" i="20"/>
  <c r="A99" i="20"/>
  <c r="A77" i="20"/>
  <c r="A53" i="20"/>
  <c r="A39" i="20"/>
  <c r="A44" i="20"/>
  <c r="A40" i="20"/>
  <c r="A41" i="20"/>
  <c r="A42" i="20"/>
  <c r="A34" i="20"/>
  <c r="A35" i="20"/>
  <c r="A36" i="20"/>
  <c r="A37" i="20"/>
  <c r="A38" i="20"/>
  <c r="A47" i="20"/>
  <c r="A48" i="20"/>
  <c r="A30" i="20"/>
  <c r="AN30" i="20" s="1"/>
  <c r="A46" i="20"/>
  <c r="A45" i="20"/>
  <c r="A43" i="20"/>
  <c r="A31" i="20"/>
  <c r="AA31" i="20" s="1"/>
  <c r="A33" i="20"/>
  <c r="AM174" i="20"/>
  <c r="AM173" i="20"/>
  <c r="AM175" i="20"/>
  <c r="AM177" i="20"/>
  <c r="AM179" i="20"/>
  <c r="AM221" i="20"/>
  <c r="AM178" i="20"/>
  <c r="AM217" i="20"/>
  <c r="AM195" i="20"/>
  <c r="AM232" i="20"/>
  <c r="AM196" i="20"/>
  <c r="AM216" i="20"/>
  <c r="AM204" i="20"/>
  <c r="AM198" i="20"/>
  <c r="AM226" i="20"/>
  <c r="AM233" i="20"/>
  <c r="AM235" i="20"/>
  <c r="AM224" i="20"/>
  <c r="AM227" i="20"/>
  <c r="AM230" i="20"/>
  <c r="AM228" i="20"/>
  <c r="AM229" i="20"/>
  <c r="AM245" i="20"/>
  <c r="AM248" i="20"/>
  <c r="AM199" i="20"/>
  <c r="AM218" i="20"/>
  <c r="AM223" i="20"/>
  <c r="AM225" i="20"/>
  <c r="AM249" i="20"/>
  <c r="AM255" i="20"/>
  <c r="AM219" i="20"/>
  <c r="AM258" i="20"/>
  <c r="AM256" i="20"/>
  <c r="AM257" i="20"/>
  <c r="AM259" i="20"/>
  <c r="AM262" i="20"/>
  <c r="AM261" i="20"/>
  <c r="AM276" i="20"/>
  <c r="AM181" i="20"/>
  <c r="AM186" i="20"/>
  <c r="AM176" i="20"/>
  <c r="AM183" i="20"/>
  <c r="AM184" i="20"/>
  <c r="AM188" i="20"/>
  <c r="AM180" i="20"/>
  <c r="AM185" i="20"/>
  <c r="AM182" i="20"/>
  <c r="AM165" i="20"/>
  <c r="AM254" i="20"/>
  <c r="AM236" i="20"/>
  <c r="AM250" i="20"/>
  <c r="AM251" i="20"/>
  <c r="AM253" i="20"/>
  <c r="AM252" i="20"/>
  <c r="AM169" i="20"/>
  <c r="AM187" i="20"/>
  <c r="AM273" i="20"/>
  <c r="AM260" i="20"/>
  <c r="AM277" i="20"/>
  <c r="AM101" i="20"/>
  <c r="AM89" i="20"/>
  <c r="AM88" i="20"/>
  <c r="AM85" i="20"/>
  <c r="AM86" i="20"/>
  <c r="AM98" i="20"/>
  <c r="AM92" i="20"/>
  <c r="AM96" i="20"/>
  <c r="AM93" i="20"/>
  <c r="AM94" i="20"/>
  <c r="AM95" i="20"/>
  <c r="AM97" i="20"/>
  <c r="AM78" i="20"/>
  <c r="AM79" i="20"/>
  <c r="AM80" i="20"/>
  <c r="AM75" i="20"/>
  <c r="AM73" i="20"/>
  <c r="AM71" i="20"/>
  <c r="AM72" i="20"/>
  <c r="AM69" i="20"/>
  <c r="AM68" i="20"/>
  <c r="AM70" i="20"/>
  <c r="AM52" i="20"/>
  <c r="AM90" i="20"/>
  <c r="AM91" i="20"/>
  <c r="AM76" i="20"/>
  <c r="AM74" i="20"/>
  <c r="AM100" i="20"/>
  <c r="AM99" i="20"/>
  <c r="AM77" i="20"/>
  <c r="AM82" i="20"/>
  <c r="AM53" i="20"/>
  <c r="AM39" i="20"/>
  <c r="AM44" i="20"/>
  <c r="AM40" i="20"/>
  <c r="AM41" i="20"/>
  <c r="AM42" i="20"/>
  <c r="AM34" i="20"/>
  <c r="AM35" i="20"/>
  <c r="AM36" i="20"/>
  <c r="AM37" i="20"/>
  <c r="AM38" i="20"/>
  <c r="AM60" i="20"/>
  <c r="AM47" i="20"/>
  <c r="AM48" i="20"/>
  <c r="AM30" i="20"/>
  <c r="AM46" i="20"/>
  <c r="AM45" i="20"/>
  <c r="AM43" i="20"/>
  <c r="AM31" i="20"/>
  <c r="AM33" i="20"/>
  <c r="AM1150" i="20"/>
  <c r="AM1152" i="20"/>
  <c r="AM1151" i="20"/>
  <c r="AM1153" i="20"/>
  <c r="AM1155" i="20"/>
  <c r="AM1154" i="20"/>
  <c r="AM1156" i="20"/>
  <c r="AM1157" i="20"/>
  <c r="AM1158" i="20"/>
  <c r="AM1159" i="20"/>
  <c r="AM1160" i="20"/>
  <c r="AM1161" i="20"/>
  <c r="AM1162" i="20"/>
  <c r="AM1163" i="20"/>
  <c r="AM1165" i="20"/>
  <c r="AM1166" i="20"/>
  <c r="AM1164" i="20"/>
  <c r="AM1167" i="20"/>
  <c r="AM1168" i="20"/>
  <c r="AM1169" i="20"/>
  <c r="AM1170" i="20"/>
  <c r="AM1171" i="20"/>
  <c r="AM1172" i="20"/>
  <c r="AS96" i="20"/>
  <c r="AS93" i="20"/>
  <c r="AS94" i="20"/>
  <c r="AS95" i="20"/>
  <c r="AS97" i="20"/>
  <c r="AS78" i="20"/>
  <c r="AS79" i="20"/>
  <c r="AS80" i="20"/>
  <c r="AS75" i="20"/>
  <c r="AS73" i="20"/>
  <c r="AS71" i="20"/>
  <c r="AS72" i="20"/>
  <c r="AS69" i="20"/>
  <c r="AS68" i="20"/>
  <c r="AS70" i="20"/>
  <c r="AS52" i="20"/>
  <c r="AS90" i="20"/>
  <c r="AS91" i="20"/>
  <c r="AS76" i="20"/>
  <c r="AS74" i="20"/>
  <c r="AS100" i="20"/>
  <c r="AS99" i="20"/>
  <c r="AS77" i="20"/>
  <c r="AS82" i="20"/>
  <c r="AS53" i="20"/>
  <c r="AS39" i="20"/>
  <c r="AS44" i="20"/>
  <c r="AS40" i="20"/>
  <c r="AS41" i="20"/>
  <c r="AS42" i="20"/>
  <c r="AS34" i="20"/>
  <c r="AS35" i="20"/>
  <c r="AS36" i="20"/>
  <c r="AS37" i="20"/>
  <c r="AS38" i="20"/>
  <c r="AS46" i="20"/>
  <c r="AS45" i="20"/>
  <c r="AS43" i="20"/>
  <c r="AS31" i="20"/>
  <c r="AS33" i="20"/>
  <c r="AU96" i="20"/>
  <c r="AU93" i="20"/>
  <c r="AU94" i="20"/>
  <c r="AU95" i="20"/>
  <c r="AU97" i="20"/>
  <c r="AU78" i="20"/>
  <c r="AU79" i="20"/>
  <c r="AU80" i="20"/>
  <c r="AU75" i="20"/>
  <c r="AU73" i="20"/>
  <c r="AU71" i="20"/>
  <c r="AU72" i="20"/>
  <c r="AU69" i="20"/>
  <c r="AU68" i="20"/>
  <c r="AU70" i="20"/>
  <c r="AU52" i="20"/>
  <c r="AU90" i="20"/>
  <c r="AU91" i="20"/>
  <c r="AU76" i="20"/>
  <c r="AU74" i="20"/>
  <c r="AU100" i="20"/>
  <c r="AU99" i="20"/>
  <c r="AU77" i="20"/>
  <c r="AU82" i="20"/>
  <c r="AU53" i="20"/>
  <c r="AU44" i="20"/>
  <c r="AU40" i="20"/>
  <c r="AU41" i="20"/>
  <c r="AU42" i="20"/>
  <c r="AU34" i="20"/>
  <c r="AU35" i="20"/>
  <c r="AU36" i="20"/>
  <c r="AU37" i="20"/>
  <c r="AU38" i="20"/>
  <c r="AS86" i="20"/>
  <c r="AS98" i="20"/>
  <c r="AS92" i="20"/>
  <c r="AU101" i="20"/>
  <c r="AU89" i="20"/>
  <c r="AU88" i="20"/>
  <c r="AU86" i="20"/>
  <c r="AU98" i="20"/>
  <c r="AU92" i="20"/>
  <c r="S181" i="14"/>
  <c r="AU275" i="20"/>
  <c r="AS275" i="20"/>
  <c r="AM275" i="20"/>
  <c r="AU274" i="20"/>
  <c r="AS274" i="20"/>
  <c r="AM274" i="20"/>
  <c r="AU272" i="20"/>
  <c r="AS272" i="20"/>
  <c r="AM272" i="20"/>
  <c r="AU271" i="20"/>
  <c r="AS271" i="20"/>
  <c r="AM271" i="20"/>
  <c r="AU270" i="20"/>
  <c r="AS270" i="20"/>
  <c r="AM270" i="20"/>
  <c r="AU269" i="20"/>
  <c r="AS269" i="20"/>
  <c r="AM269" i="20"/>
  <c r="AU268" i="20"/>
  <c r="AS268" i="20"/>
  <c r="AM268" i="20"/>
  <c r="AU267" i="20"/>
  <c r="AS267" i="20"/>
  <c r="AM267" i="20"/>
  <c r="AU266" i="20"/>
  <c r="AS266" i="20"/>
  <c r="AM266" i="20"/>
  <c r="AU265" i="20"/>
  <c r="AS265" i="20"/>
  <c r="AM265" i="20"/>
  <c r="AU264" i="20"/>
  <c r="AS264" i="20"/>
  <c r="AM264" i="20"/>
  <c r="AU263" i="20"/>
  <c r="AS263" i="20"/>
  <c r="AM263" i="20"/>
  <c r="AM426" i="20"/>
  <c r="AM126" i="20"/>
  <c r="AS126" i="20"/>
  <c r="U69" i="19"/>
  <c r="Q69" i="19" s="1"/>
  <c r="P69" i="19" s="1"/>
  <c r="V69" i="19" s="1"/>
  <c r="T69" i="19"/>
  <c r="U71" i="19"/>
  <c r="Q71" i="19" s="1"/>
  <c r="P71" i="19" s="1"/>
  <c r="V71" i="19" s="1"/>
  <c r="T71" i="19"/>
  <c r="U68" i="19"/>
  <c r="Q68" i="19" s="1"/>
  <c r="P68" i="19" s="1"/>
  <c r="V68" i="19" s="1"/>
  <c r="T68" i="19"/>
  <c r="U70" i="19"/>
  <c r="Q70" i="19" s="1"/>
  <c r="P70" i="19" s="1"/>
  <c r="V70" i="19" s="1"/>
  <c r="T70" i="19"/>
  <c r="U72" i="19"/>
  <c r="Q72" i="19" s="1"/>
  <c r="P72" i="19" s="1"/>
  <c r="T72" i="19"/>
  <c r="T87" i="19"/>
  <c r="U87" i="19"/>
  <c r="Q87" i="19" s="1"/>
  <c r="P87" i="19" s="1"/>
  <c r="T88" i="19"/>
  <c r="U88" i="19"/>
  <c r="Q88" i="19" s="1"/>
  <c r="P88" i="19" s="1"/>
  <c r="T93" i="19"/>
  <c r="U93" i="19"/>
  <c r="Q93" i="19" s="1"/>
  <c r="P93" i="19" s="1"/>
  <c r="V93" i="19" s="1"/>
  <c r="T86" i="19"/>
  <c r="U86" i="19"/>
  <c r="Q86" i="19" s="1"/>
  <c r="P86" i="19" s="1"/>
  <c r="V86" i="19" s="1"/>
  <c r="U89" i="19"/>
  <c r="Q89" i="19" s="1"/>
  <c r="P89" i="19" s="1"/>
  <c r="V89" i="19" s="1"/>
  <c r="T89" i="19"/>
  <c r="U91" i="19"/>
  <c r="Q91" i="19" s="1"/>
  <c r="P91" i="19" s="1"/>
  <c r="V91" i="19" s="1"/>
  <c r="T91" i="19"/>
  <c r="U85" i="19"/>
  <c r="Q85" i="19" s="1"/>
  <c r="P85" i="19" s="1"/>
  <c r="V85" i="19" s="1"/>
  <c r="T85" i="19"/>
  <c r="U75" i="19"/>
  <c r="Q75" i="19" s="1"/>
  <c r="P75" i="19" s="1"/>
  <c r="V75" i="19" s="1"/>
  <c r="T75" i="19"/>
  <c r="U76" i="19"/>
  <c r="Q76" i="19" s="1"/>
  <c r="P76" i="19" s="1"/>
  <c r="V76" i="19" s="1"/>
  <c r="T76" i="19"/>
  <c r="U90" i="19"/>
  <c r="Q90" i="19" s="1"/>
  <c r="P90" i="19" s="1"/>
  <c r="V90" i="19" s="1"/>
  <c r="T90" i="19"/>
  <c r="U77" i="19"/>
  <c r="Q77" i="19" s="1"/>
  <c r="P77" i="19" s="1"/>
  <c r="V77" i="19" s="1"/>
  <c r="T77" i="19"/>
  <c r="U79" i="19"/>
  <c r="Q79" i="19" s="1"/>
  <c r="P79" i="19" s="1"/>
  <c r="V79" i="19" s="1"/>
  <c r="T79" i="19"/>
  <c r="T83" i="19"/>
  <c r="U83" i="19"/>
  <c r="Q83" i="19" s="1"/>
  <c r="P83" i="19" s="1"/>
  <c r="V83" i="19" s="1"/>
  <c r="T82" i="19"/>
  <c r="U82" i="19"/>
  <c r="Q82" i="19" s="1"/>
  <c r="P82" i="19" s="1"/>
  <c r="V82" i="19" s="1"/>
  <c r="T80" i="19"/>
  <c r="U80" i="19"/>
  <c r="Q80" i="19" s="1"/>
  <c r="P80" i="19" s="1"/>
  <c r="V80" i="19" s="1"/>
  <c r="U81" i="19"/>
  <c r="Q81" i="19" s="1"/>
  <c r="P81" i="19" s="1"/>
  <c r="V81" i="19" s="1"/>
  <c r="T81" i="19"/>
  <c r="T74" i="19"/>
  <c r="U74" i="19"/>
  <c r="Q74" i="19" s="1"/>
  <c r="P74" i="19" s="1"/>
  <c r="V74" i="19" s="1"/>
  <c r="T73" i="19"/>
  <c r="U73" i="19"/>
  <c r="Q73" i="19" s="1"/>
  <c r="P73" i="19" s="1"/>
  <c r="V73" i="19" s="1"/>
  <c r="U332" i="19"/>
  <c r="Q332" i="19" s="1"/>
  <c r="P332" i="19" s="1"/>
  <c r="V332" i="19" s="1"/>
  <c r="U333" i="19"/>
  <c r="Q333" i="19" s="1"/>
  <c r="P333" i="19" s="1"/>
  <c r="V333" i="19" s="1"/>
  <c r="U285" i="19"/>
  <c r="Q285" i="19" s="1"/>
  <c r="P285" i="19" s="1"/>
  <c r="V285" i="19" s="1"/>
  <c r="U289" i="19"/>
  <c r="Q289" i="19" s="1"/>
  <c r="P289" i="19" s="1"/>
  <c r="V289" i="19" s="1"/>
  <c r="U335" i="19"/>
  <c r="Q335" i="19" s="1"/>
  <c r="P335" i="19" s="1"/>
  <c r="V335" i="19" s="1"/>
  <c r="U127" i="19"/>
  <c r="Q127" i="19" s="1"/>
  <c r="P127" i="19" s="1"/>
  <c r="V127" i="19" s="1"/>
  <c r="U160" i="19"/>
  <c r="Q160" i="19" s="1"/>
  <c r="P160" i="19" s="1"/>
  <c r="V160" i="19" s="1"/>
  <c r="U336" i="19"/>
  <c r="Q336" i="19" s="1"/>
  <c r="P336" i="19" s="1"/>
  <c r="V336" i="19" s="1"/>
  <c r="U337" i="19"/>
  <c r="Q337" i="19" s="1"/>
  <c r="P337" i="19" s="1"/>
  <c r="V337" i="19" s="1"/>
  <c r="U338" i="19"/>
  <c r="Q338" i="19" s="1"/>
  <c r="P338" i="19" s="1"/>
  <c r="V338" i="19" s="1"/>
  <c r="U161" i="19"/>
  <c r="Q161" i="19" s="1"/>
  <c r="P161" i="19" s="1"/>
  <c r="V161" i="19" s="1"/>
  <c r="U339" i="19"/>
  <c r="Q339" i="19" s="1"/>
  <c r="P339" i="19" s="1"/>
  <c r="V339" i="19" s="1"/>
  <c r="U174" i="19"/>
  <c r="Q174" i="19" s="1"/>
  <c r="P174" i="19" s="1"/>
  <c r="V174" i="19" s="1"/>
  <c r="U340" i="19"/>
  <c r="Q340" i="19" s="1"/>
  <c r="P340" i="19" s="1"/>
  <c r="V340" i="19" s="1"/>
  <c r="U341" i="19"/>
  <c r="Q341" i="19" s="1"/>
  <c r="P341" i="19" s="1"/>
  <c r="V341" i="19" s="1"/>
  <c r="U342" i="19"/>
  <c r="Q342" i="19" s="1"/>
  <c r="P342" i="19" s="1"/>
  <c r="V342" i="19" s="1"/>
  <c r="U343" i="19"/>
  <c r="Q343" i="19" s="1"/>
  <c r="P343" i="19" s="1"/>
  <c r="V343" i="19" s="1"/>
  <c r="U175" i="19"/>
  <c r="Q175" i="19" s="1"/>
  <c r="P175" i="19" s="1"/>
  <c r="V175" i="19" s="1"/>
  <c r="U344" i="19"/>
  <c r="Q344" i="19" s="1"/>
  <c r="P344" i="19" s="1"/>
  <c r="V344" i="19" s="1"/>
  <c r="U345" i="19"/>
  <c r="Q345" i="19" s="1"/>
  <c r="P345" i="19" s="1"/>
  <c r="V345" i="19" s="1"/>
  <c r="U346" i="19"/>
  <c r="Q346" i="19" s="1"/>
  <c r="P346" i="19" s="1"/>
  <c r="V346" i="19" s="1"/>
  <c r="U304" i="19"/>
  <c r="Q304" i="19" s="1"/>
  <c r="P304" i="19" s="1"/>
  <c r="V304" i="19" s="1"/>
  <c r="U348" i="19"/>
  <c r="Q348" i="19" s="1"/>
  <c r="P348" i="19" s="1"/>
  <c r="V348" i="19" s="1"/>
  <c r="U94" i="19"/>
  <c r="Q94" i="19" s="1"/>
  <c r="P94" i="19" s="1"/>
  <c r="V94" i="19" s="1"/>
  <c r="U176" i="19"/>
  <c r="Q176" i="19" s="1"/>
  <c r="P176" i="19" s="1"/>
  <c r="V176" i="19" s="1"/>
  <c r="U315" i="19"/>
  <c r="Q315" i="19" s="1"/>
  <c r="P315" i="19" s="1"/>
  <c r="V315" i="19" s="1"/>
  <c r="U350" i="19"/>
  <c r="Q350" i="19" s="1"/>
  <c r="P350" i="19" s="1"/>
  <c r="U351" i="19"/>
  <c r="Q351" i="19" s="1"/>
  <c r="P351" i="19" s="1"/>
  <c r="V351" i="19" s="1"/>
  <c r="U352" i="19"/>
  <c r="Q352" i="19" s="1"/>
  <c r="P352" i="19" s="1"/>
  <c r="V352" i="19" s="1"/>
  <c r="U316" i="19"/>
  <c r="Q316" i="19" s="1"/>
  <c r="P316" i="19" s="1"/>
  <c r="V316" i="19" s="1"/>
  <c r="U354" i="19"/>
  <c r="Q354" i="19" s="1"/>
  <c r="P354" i="19" s="1"/>
  <c r="V354" i="19" s="1"/>
  <c r="U163" i="19"/>
  <c r="Q163" i="19" s="1"/>
  <c r="P163" i="19" s="1"/>
  <c r="V163" i="19" s="1"/>
  <c r="U355" i="19"/>
  <c r="Q355" i="19" s="1"/>
  <c r="P355" i="19" s="1"/>
  <c r="V355" i="19" s="1"/>
  <c r="U322" i="19"/>
  <c r="Q322" i="19" s="1"/>
  <c r="P322" i="19" s="1"/>
  <c r="V322" i="19" s="1"/>
  <c r="U115" i="19"/>
  <c r="Q115" i="19" s="1"/>
  <c r="P115" i="19" s="1"/>
  <c r="V115" i="19" s="1"/>
  <c r="U128" i="19"/>
  <c r="Q128" i="19" s="1"/>
  <c r="P128" i="19" s="1"/>
  <c r="V128" i="19" s="1"/>
  <c r="U164" i="19"/>
  <c r="Q164" i="19" s="1"/>
  <c r="P164" i="19" s="1"/>
  <c r="V164" i="19" s="1"/>
  <c r="U357" i="19"/>
  <c r="Q357" i="19" s="1"/>
  <c r="P357" i="19" s="1"/>
  <c r="V357" i="19" s="1"/>
  <c r="U358" i="19"/>
  <c r="Q358" i="19" s="1"/>
  <c r="P358" i="19" s="1"/>
  <c r="V358" i="19" s="1"/>
  <c r="U359" i="19"/>
  <c r="Q359" i="19" s="1"/>
  <c r="P359" i="19" s="1"/>
  <c r="V359" i="19" s="1"/>
  <c r="U360" i="19"/>
  <c r="Q360" i="19" s="1"/>
  <c r="P360" i="19" s="1"/>
  <c r="V360" i="19" s="1"/>
  <c r="U361" i="19"/>
  <c r="Q361" i="19" s="1"/>
  <c r="P361" i="19" s="1"/>
  <c r="V361" i="19" s="1"/>
  <c r="U334" i="19"/>
  <c r="Q334" i="19" s="1"/>
  <c r="P334" i="19" s="1"/>
  <c r="V334" i="19" s="1"/>
  <c r="U347" i="19"/>
  <c r="Q347" i="19" s="1"/>
  <c r="P347" i="19" s="1"/>
  <c r="V347" i="19" s="1"/>
  <c r="U349" i="19"/>
  <c r="Q349" i="19" s="1"/>
  <c r="P349" i="19" s="1"/>
  <c r="V349" i="19" s="1"/>
  <c r="U353" i="19"/>
  <c r="Q353" i="19" s="1"/>
  <c r="P353" i="19" s="1"/>
  <c r="V353" i="19" s="1"/>
  <c r="U116" i="19"/>
  <c r="Q116" i="19" s="1"/>
  <c r="P116" i="19" s="1"/>
  <c r="V116" i="19" s="1"/>
  <c r="U165" i="19"/>
  <c r="Q165" i="19" s="1"/>
  <c r="P165" i="19" s="1"/>
  <c r="V165" i="19" s="1"/>
  <c r="U362" i="19"/>
  <c r="Q362" i="19" s="1"/>
  <c r="P362" i="19" s="1"/>
  <c r="V362" i="19" s="1"/>
  <c r="U363" i="19"/>
  <c r="Q363" i="19" s="1"/>
  <c r="P363" i="19" s="1"/>
  <c r="V363" i="19" s="1"/>
  <c r="U364" i="19"/>
  <c r="Q364" i="19" s="1"/>
  <c r="P364" i="19" s="1"/>
  <c r="V364" i="19" s="1"/>
  <c r="U365" i="19"/>
  <c r="Q365" i="19" s="1"/>
  <c r="P365" i="19" s="1"/>
  <c r="V365" i="19" s="1"/>
  <c r="U166" i="19"/>
  <c r="Q166" i="19" s="1"/>
  <c r="P166" i="19" s="1"/>
  <c r="V166" i="19" s="1"/>
  <c r="U366" i="19"/>
  <c r="Q366" i="19" s="1"/>
  <c r="P366" i="19" s="1"/>
  <c r="V366" i="19" s="1"/>
  <c r="U367" i="19"/>
  <c r="Q367" i="19" s="1"/>
  <c r="P367" i="19" s="1"/>
  <c r="V367" i="19" s="1"/>
  <c r="U356" i="19"/>
  <c r="Q356" i="19" s="1"/>
  <c r="P356" i="19" s="1"/>
  <c r="V356" i="19" s="1"/>
  <c r="U368" i="19"/>
  <c r="Q368" i="19" s="1"/>
  <c r="P368" i="19" s="1"/>
  <c r="V368" i="19" s="1"/>
  <c r="U369" i="19"/>
  <c r="Q369" i="19" s="1"/>
  <c r="P369" i="19" s="1"/>
  <c r="V369" i="19" s="1"/>
  <c r="U370" i="19"/>
  <c r="Q370" i="19" s="1"/>
  <c r="P370" i="19" s="1"/>
  <c r="V370" i="19" s="1"/>
  <c r="U177" i="19"/>
  <c r="Q177" i="19" s="1"/>
  <c r="P177" i="19" s="1"/>
  <c r="V177" i="19" s="1"/>
  <c r="U371" i="19"/>
  <c r="Q371" i="19" s="1"/>
  <c r="P371" i="19" s="1"/>
  <c r="V371" i="19" s="1"/>
  <c r="U372" i="19"/>
  <c r="Q372" i="19" s="1"/>
  <c r="P372" i="19" s="1"/>
  <c r="V372" i="19" s="1"/>
  <c r="U167" i="19"/>
  <c r="Q167" i="19" s="1"/>
  <c r="P167" i="19" s="1"/>
  <c r="V167" i="19" s="1"/>
  <c r="U373" i="19"/>
  <c r="Q373" i="19" s="1"/>
  <c r="P373" i="19" s="1"/>
  <c r="V373" i="19" s="1"/>
  <c r="U374" i="19"/>
  <c r="Q374" i="19" s="1"/>
  <c r="P374" i="19" s="1"/>
  <c r="V374" i="19" s="1"/>
  <c r="U168" i="19"/>
  <c r="Q168" i="19" s="1"/>
  <c r="P168" i="19" s="1"/>
  <c r="V168" i="19" s="1"/>
  <c r="U375" i="19"/>
  <c r="Q375" i="19" s="1"/>
  <c r="P375" i="19" s="1"/>
  <c r="V375" i="19" s="1"/>
  <c r="U376" i="19"/>
  <c r="Q376" i="19" s="1"/>
  <c r="P376" i="19" s="1"/>
  <c r="V376" i="19" s="1"/>
  <c r="U377" i="19"/>
  <c r="Q377" i="19" s="1"/>
  <c r="P377" i="19" s="1"/>
  <c r="V377" i="19" s="1"/>
  <c r="U378" i="19"/>
  <c r="Q378" i="19" s="1"/>
  <c r="P378" i="19" s="1"/>
  <c r="V378" i="19" s="1"/>
  <c r="U379" i="19"/>
  <c r="Q379" i="19" s="1"/>
  <c r="P379" i="19" s="1"/>
  <c r="V379" i="19" s="1"/>
  <c r="U178" i="19"/>
  <c r="Q178" i="19" s="1"/>
  <c r="P178" i="19" s="1"/>
  <c r="V178" i="19" s="1"/>
  <c r="U380" i="19"/>
  <c r="Q380" i="19" s="1"/>
  <c r="P380" i="19" s="1"/>
  <c r="V380" i="19" s="1"/>
  <c r="U381" i="19"/>
  <c r="Q381" i="19" s="1"/>
  <c r="P381" i="19" s="1"/>
  <c r="V381" i="19" s="1"/>
  <c r="U382" i="19"/>
  <c r="Q382" i="19" s="1"/>
  <c r="P382" i="19" s="1"/>
  <c r="V382" i="19" s="1"/>
  <c r="U84" i="19"/>
  <c r="Q84" i="19" s="1"/>
  <c r="P84" i="19" s="1"/>
  <c r="V84" i="19" s="1"/>
  <c r="T84" i="19"/>
  <c r="U78" i="19"/>
  <c r="Q78" i="19" s="1"/>
  <c r="P78" i="19" s="1"/>
  <c r="V78" i="19" s="1"/>
  <c r="T78" i="19"/>
  <c r="U92" i="19"/>
  <c r="Q92" i="19" s="1"/>
  <c r="P92" i="19" s="1"/>
  <c r="V92" i="19" s="1"/>
  <c r="T92" i="19"/>
  <c r="AJ110" i="14"/>
  <c r="AK110" i="14" s="1"/>
  <c r="CI19" i="62"/>
  <c r="S35" i="14"/>
  <c r="AJ35" i="14"/>
  <c r="AK35" i="14" s="1"/>
  <c r="S243" i="14"/>
  <c r="AJ243" i="14"/>
  <c r="AK243" i="14" s="1"/>
  <c r="T207" i="19"/>
  <c r="L35" i="40"/>
  <c r="AJ66" i="14"/>
  <c r="AK66" i="14" s="1"/>
  <c r="AJ20" i="14"/>
  <c r="AK20" i="14" s="1"/>
  <c r="AJ196" i="14"/>
  <c r="AK196" i="14" s="1"/>
  <c r="AJ191" i="14"/>
  <c r="AK191" i="14" s="1"/>
  <c r="AJ43" i="14"/>
  <c r="AK43" i="14" s="1"/>
  <c r="AJ44" i="14"/>
  <c r="AK44" i="14" s="1"/>
  <c r="AJ33" i="14"/>
  <c r="AK33" i="14" s="1"/>
  <c r="AJ68" i="14"/>
  <c r="AK68" i="14" s="1"/>
  <c r="AJ119" i="14"/>
  <c r="AK119" i="14" s="1"/>
  <c r="AJ31" i="14"/>
  <c r="AK31" i="14" s="1"/>
  <c r="AJ74" i="14"/>
  <c r="AK74" i="14" s="1"/>
  <c r="AJ73" i="14"/>
  <c r="AK73" i="14" s="1"/>
  <c r="AJ75" i="14"/>
  <c r="AK75" i="14" s="1"/>
  <c r="AJ52" i="14"/>
  <c r="AK52" i="14" s="1"/>
  <c r="AJ142" i="14"/>
  <c r="AK142" i="14" s="1"/>
  <c r="AJ155" i="14"/>
  <c r="AK155" i="14" s="1"/>
  <c r="AJ18" i="14"/>
  <c r="AK18" i="14" s="1"/>
  <c r="AJ19" i="14"/>
  <c r="AK19" i="14" s="1"/>
  <c r="AJ135" i="14"/>
  <c r="AK135" i="14" s="1"/>
  <c r="AJ125" i="14"/>
  <c r="AK125" i="14" s="1"/>
  <c r="AJ49" i="14"/>
  <c r="AK49" i="14" s="1"/>
  <c r="AJ137" i="14"/>
  <c r="AK137" i="14" s="1"/>
  <c r="AJ107" i="14"/>
  <c r="AK107" i="14" s="1"/>
  <c r="AJ81" i="14"/>
  <c r="AK81" i="14" s="1"/>
  <c r="AJ17" i="14"/>
  <c r="AK17" i="14" s="1"/>
  <c r="AJ184" i="14"/>
  <c r="AK184" i="14" s="1"/>
  <c r="AJ182" i="14"/>
  <c r="AK182" i="14" s="1"/>
  <c r="AJ179" i="14"/>
  <c r="AK179" i="14" s="1"/>
  <c r="AJ175" i="14"/>
  <c r="AK175" i="14" s="1"/>
  <c r="AJ121" i="14"/>
  <c r="AK121" i="14" s="1"/>
  <c r="AJ23" i="14"/>
  <c r="AK23" i="14" s="1"/>
  <c r="AJ22" i="14"/>
  <c r="AK22" i="14" s="1"/>
  <c r="AJ200" i="14"/>
  <c r="AK200" i="14" s="1"/>
  <c r="AJ181" i="14"/>
  <c r="AK181" i="14" s="1"/>
  <c r="AJ122" i="14"/>
  <c r="AK122" i="14" s="1"/>
  <c r="AJ47" i="14"/>
  <c r="AK47" i="14" s="1"/>
  <c r="AJ194" i="14"/>
  <c r="AK194" i="14" s="1"/>
  <c r="AJ101" i="14"/>
  <c r="AK101" i="14" s="1"/>
  <c r="AJ174" i="14"/>
  <c r="AK174" i="14" s="1"/>
  <c r="AJ172" i="14"/>
  <c r="AK172" i="14" s="1"/>
  <c r="AJ171" i="14"/>
  <c r="AK171" i="14" s="1"/>
  <c r="AJ141" i="14"/>
  <c r="AK141" i="14" s="1"/>
  <c r="AJ165" i="14"/>
  <c r="AK165" i="14" s="1"/>
  <c r="AJ136" i="14"/>
  <c r="AK136" i="14" s="1"/>
  <c r="AJ115" i="14"/>
  <c r="AK115" i="14" s="1"/>
  <c r="AJ32" i="14"/>
  <c r="AK32" i="14" s="1"/>
  <c r="AJ123" i="14"/>
  <c r="AK123" i="14" s="1"/>
  <c r="S273" i="14"/>
  <c r="S211" i="14"/>
  <c r="S212" i="14"/>
  <c r="S213" i="14"/>
  <c r="AN49" i="40"/>
  <c r="AM48" i="40"/>
  <c r="AM50" i="40"/>
  <c r="AM51" i="40"/>
  <c r="AM54" i="40"/>
  <c r="AM55" i="40"/>
  <c r="AM63" i="40"/>
  <c r="AM64" i="40"/>
  <c r="AM65" i="40"/>
  <c r="AM66" i="40"/>
  <c r="AL48" i="40"/>
  <c r="AL50" i="40"/>
  <c r="AL51" i="40"/>
  <c r="AL54" i="40"/>
  <c r="AL55" i="40"/>
  <c r="AL63" i="40"/>
  <c r="AL64" i="40"/>
  <c r="AL65" i="40"/>
  <c r="AL66" i="40"/>
  <c r="AK48" i="40"/>
  <c r="AK50" i="40"/>
  <c r="AK51" i="40"/>
  <c r="AK54" i="40"/>
  <c r="AK55" i="40"/>
  <c r="AK63" i="40"/>
  <c r="AK64" i="40"/>
  <c r="AK65" i="40"/>
  <c r="AK66" i="40"/>
  <c r="AJ63" i="40"/>
  <c r="AJ64" i="40"/>
  <c r="AJ65" i="40"/>
  <c r="AJ66" i="40"/>
  <c r="AJ48" i="40"/>
  <c r="AJ50" i="40"/>
  <c r="AJ51" i="40"/>
  <c r="AJ54" i="40"/>
  <c r="AJ55" i="40"/>
  <c r="AM323" i="20"/>
  <c r="AM505" i="20"/>
  <c r="AM527" i="20"/>
  <c r="T302" i="19"/>
  <c r="U302" i="19"/>
  <c r="Q302" i="19" s="1"/>
  <c r="P302" i="19" s="1"/>
  <c r="V302" i="19" s="1"/>
  <c r="T313" i="19"/>
  <c r="U313" i="19"/>
  <c r="Q313" i="19" s="1"/>
  <c r="P313" i="19" s="1"/>
  <c r="V313" i="19" s="1"/>
  <c r="T260" i="19"/>
  <c r="U260" i="19"/>
  <c r="Q260" i="19" s="1"/>
  <c r="P260" i="19" s="1"/>
  <c r="V260" i="19" s="1"/>
  <c r="T221" i="19"/>
  <c r="U221" i="19"/>
  <c r="Q221" i="19" s="1"/>
  <c r="P221" i="19" s="1"/>
  <c r="V221" i="19" s="1"/>
  <c r="T212" i="19"/>
  <c r="U212" i="19"/>
  <c r="Q212" i="19" s="1"/>
  <c r="P212" i="19" s="1"/>
  <c r="V212" i="19" s="1"/>
  <c r="T220" i="19"/>
  <c r="U220" i="19"/>
  <c r="Q220" i="19" s="1"/>
  <c r="P220" i="19" s="1"/>
  <c r="V220" i="19" s="1"/>
  <c r="T333" i="19"/>
  <c r="T337" i="19"/>
  <c r="T359" i="19"/>
  <c r="T199" i="19"/>
  <c r="U199" i="19"/>
  <c r="Q199" i="19" s="1"/>
  <c r="P199" i="19" s="1"/>
  <c r="V199" i="19" s="1"/>
  <c r="T244" i="19"/>
  <c r="T182" i="19"/>
  <c r="U182" i="19"/>
  <c r="Q182" i="19" s="1"/>
  <c r="P182" i="19" s="1"/>
  <c r="V182" i="19" s="1"/>
  <c r="T254" i="19"/>
  <c r="U254" i="19"/>
  <c r="Q254" i="19" s="1"/>
  <c r="P254" i="19" s="1"/>
  <c r="V254" i="19" s="1"/>
  <c r="U244" i="19"/>
  <c r="Q244" i="19" s="1"/>
  <c r="P244" i="19" s="1"/>
  <c r="V244" i="19" s="1"/>
  <c r="T190" i="19"/>
  <c r="U190" i="19"/>
  <c r="Q190" i="19" s="1"/>
  <c r="P190" i="19" s="1"/>
  <c r="V190" i="19" s="1"/>
  <c r="T353" i="19"/>
  <c r="S53" i="14"/>
  <c r="S168" i="14"/>
  <c r="S141" i="14"/>
  <c r="S55" i="14"/>
  <c r="S52" i="14"/>
  <c r="S54" i="14"/>
  <c r="S57" i="14"/>
  <c r="S167" i="14"/>
  <c r="S51" i="14"/>
  <c r="S58" i="14"/>
  <c r="S56" i="14"/>
  <c r="S46" i="14"/>
  <c r="S47" i="14"/>
  <c r="S49" i="14"/>
  <c r="S170" i="14"/>
  <c r="S183" i="14"/>
  <c r="S198" i="14"/>
  <c r="S143" i="14"/>
  <c r="S150" i="14"/>
  <c r="S160" i="14"/>
  <c r="S144" i="14"/>
  <c r="S84" i="14"/>
  <c r="S110" i="14"/>
  <c r="S145" i="14"/>
  <c r="S136" i="14"/>
  <c r="S165" i="14"/>
  <c r="S202" i="14"/>
  <c r="S204" i="14"/>
  <c r="S155" i="14"/>
  <c r="S142" i="14"/>
  <c r="S92" i="14"/>
  <c r="S166" i="14"/>
  <c r="S104" i="14"/>
  <c r="S157" i="14"/>
  <c r="S158" i="14"/>
  <c r="S159" i="14"/>
  <c r="S106" i="14"/>
  <c r="S242" i="14"/>
  <c r="S226" i="14"/>
  <c r="S107" i="14"/>
  <c r="S179" i="14"/>
  <c r="S182" i="14"/>
  <c r="S184" i="14"/>
  <c r="S187" i="14"/>
  <c r="S96" i="14"/>
  <c r="S241" i="14"/>
  <c r="S98" i="14"/>
  <c r="S193" i="14"/>
  <c r="S126" i="14"/>
  <c r="S87" i="14"/>
  <c r="S171" i="14"/>
  <c r="S125" i="14"/>
  <c r="S112" i="14"/>
  <c r="S191" i="14"/>
  <c r="S196" i="14"/>
  <c r="S129" i="14"/>
  <c r="S203" i="14"/>
  <c r="S128" i="14"/>
  <c r="S201" i="14"/>
  <c r="S130" i="14"/>
  <c r="S70" i="14"/>
  <c r="S100" i="14"/>
  <c r="S228" i="14"/>
  <c r="S81" i="14"/>
  <c r="S210" i="14"/>
  <c r="S80" i="14"/>
  <c r="S82" i="14"/>
  <c r="S208" i="14"/>
  <c r="S209" i="14"/>
  <c r="S205" i="14"/>
  <c r="S206" i="14"/>
  <c r="S138" i="14"/>
  <c r="S83" i="14"/>
  <c r="S123" i="14"/>
  <c r="S172" i="14"/>
  <c r="S122" i="14"/>
  <c r="S121" i="14"/>
  <c r="S175" i="14"/>
  <c r="S75" i="14"/>
  <c r="S73" i="14"/>
  <c r="S74" i="14"/>
  <c r="S68" i="14"/>
  <c r="S66" i="14"/>
  <c r="S67" i="14"/>
  <c r="S173" i="14"/>
  <c r="S133" i="14"/>
  <c r="S60" i="14"/>
  <c r="S65" i="14"/>
  <c r="S127" i="14"/>
  <c r="S232" i="14"/>
  <c r="S76" i="14"/>
  <c r="S124" i="14"/>
  <c r="S69" i="14"/>
  <c r="S77" i="14"/>
  <c r="S64" i="14"/>
  <c r="S101" i="14"/>
  <c r="S194" i="14"/>
  <c r="S105" i="14"/>
  <c r="S94" i="14"/>
  <c r="S236" i="14"/>
  <c r="S240" i="14"/>
  <c r="S225" i="14"/>
  <c r="S103" i="14"/>
  <c r="S16" i="14"/>
  <c r="S14" i="14"/>
  <c r="S15" i="14"/>
  <c r="S22" i="14"/>
  <c r="S17" i="14"/>
  <c r="S19" i="14"/>
  <c r="S18" i="14"/>
  <c r="S20" i="14"/>
  <c r="S12" i="14"/>
  <c r="S25" i="14"/>
  <c r="S6" i="14"/>
  <c r="S140" i="14"/>
  <c r="S10" i="14"/>
  <c r="S11" i="14"/>
  <c r="S13" i="14"/>
  <c r="S5" i="14"/>
  <c r="S27" i="14"/>
  <c r="S8" i="14"/>
  <c r="S7" i="14"/>
  <c r="S9" i="14"/>
  <c r="S26" i="14"/>
  <c r="S93" i="14"/>
  <c r="S40" i="14"/>
  <c r="S237" i="14"/>
  <c r="S61" i="14"/>
  <c r="S178" i="14"/>
  <c r="S229" i="14"/>
  <c r="S200" i="14"/>
  <c r="S207" i="14"/>
  <c r="S79" i="14"/>
  <c r="S174" i="14"/>
  <c r="S135" i="14"/>
  <c r="S71" i="14"/>
  <c r="S72" i="14"/>
  <c r="S180" i="14"/>
  <c r="S113" i="14"/>
  <c r="S32" i="14"/>
  <c r="S115" i="14"/>
  <c r="S137" i="14"/>
  <c r="S31" i="14"/>
  <c r="S119" i="14"/>
  <c r="S33" i="14"/>
  <c r="S44" i="14"/>
  <c r="S43" i="14"/>
  <c r="S37" i="14"/>
  <c r="S139" i="14"/>
  <c r="S36" i="14"/>
  <c r="S29" i="14"/>
  <c r="S34" i="14"/>
  <c r="S30" i="14"/>
  <c r="S45" i="14"/>
  <c r="S41" i="14"/>
  <c r="S42" i="14"/>
  <c r="S116" i="14"/>
  <c r="S278" i="14"/>
  <c r="AJ57" i="14"/>
  <c r="AK57" i="14" s="1"/>
  <c r="AJ201" i="14"/>
  <c r="AK201" i="14" s="1"/>
  <c r="AJ127" i="14"/>
  <c r="AK127" i="14" s="1"/>
  <c r="AJ128" i="14"/>
  <c r="AK128" i="14" s="1"/>
  <c r="AJ124" i="14"/>
  <c r="AK124" i="14" s="1"/>
  <c r="AJ183" i="14"/>
  <c r="AK183" i="14" s="1"/>
  <c r="AJ116" i="14"/>
  <c r="AK116" i="14" s="1"/>
  <c r="AJ240" i="14"/>
  <c r="AK240" i="14" s="1"/>
  <c r="AJ61" i="14"/>
  <c r="AK61" i="14" s="1"/>
  <c r="AJ228" i="14"/>
  <c r="AK228" i="14" s="1"/>
  <c r="AJ241" i="14"/>
  <c r="AK241" i="14" s="1"/>
  <c r="AJ198" i="14"/>
  <c r="AK198" i="14" s="1"/>
  <c r="AJ139" i="14"/>
  <c r="AK139" i="14" s="1"/>
  <c r="AJ140" i="14"/>
  <c r="AK140" i="14" s="1"/>
  <c r="AJ113" i="14"/>
  <c r="AK113" i="14" s="1"/>
  <c r="AJ28" i="14"/>
  <c r="AK28" i="14" s="1"/>
  <c r="AJ53" i="14"/>
  <c r="AK53" i="14" s="1"/>
  <c r="AJ83" i="14"/>
  <c r="AK83" i="14" s="1"/>
  <c r="AJ72" i="14"/>
  <c r="AK72" i="14" s="1"/>
  <c r="AM385" i="20"/>
  <c r="AS385" i="20"/>
  <c r="AU385" i="20"/>
  <c r="AM388" i="20"/>
  <c r="AS388" i="20"/>
  <c r="AU388" i="20"/>
  <c r="AM387" i="20"/>
  <c r="AS387" i="20"/>
  <c r="AU387" i="20"/>
  <c r="AM384" i="20"/>
  <c r="AS384" i="20"/>
  <c r="AU384" i="20"/>
  <c r="AM386" i="20"/>
  <c r="AS386" i="20"/>
  <c r="AU386" i="20"/>
  <c r="AM389" i="20"/>
  <c r="AS389" i="20"/>
  <c r="AU389" i="20"/>
  <c r="AH208" i="14"/>
  <c r="AJ242" i="14"/>
  <c r="AK242" i="14" s="1"/>
  <c r="T150" i="19"/>
  <c r="U150" i="19"/>
  <c r="Q150" i="19" s="1"/>
  <c r="P150" i="19" s="1"/>
  <c r="T126" i="19"/>
  <c r="U126" i="19"/>
  <c r="Q126" i="19" s="1"/>
  <c r="P126" i="19" s="1"/>
  <c r="V126" i="19" s="1"/>
  <c r="T124" i="19"/>
  <c r="U124" i="19"/>
  <c r="Q124" i="19" s="1"/>
  <c r="P124" i="19" s="1"/>
  <c r="V124" i="19" s="1"/>
  <c r="T122" i="19"/>
  <c r="U122" i="19"/>
  <c r="Q122" i="19" s="1"/>
  <c r="P122" i="19" s="1"/>
  <c r="V122" i="19" s="1"/>
  <c r="T123" i="19"/>
  <c r="U123" i="19"/>
  <c r="Q123" i="19" s="1"/>
  <c r="P123" i="19" s="1"/>
  <c r="V123" i="19" s="1"/>
  <c r="T127" i="19"/>
  <c r="T128" i="19"/>
  <c r="T125" i="19"/>
  <c r="U125" i="19"/>
  <c r="Q125" i="19" s="1"/>
  <c r="P125" i="19" s="1"/>
  <c r="V125" i="19" s="1"/>
  <c r="T111" i="19"/>
  <c r="U111" i="19"/>
  <c r="Q111" i="19" s="1"/>
  <c r="P111" i="19" s="1"/>
  <c r="V111" i="19" s="1"/>
  <c r="T178" i="19"/>
  <c r="T168" i="19"/>
  <c r="T166" i="19"/>
  <c r="T116" i="19"/>
  <c r="T165" i="19"/>
  <c r="T164" i="19"/>
  <c r="T115" i="19"/>
  <c r="T176" i="19"/>
  <c r="T160" i="19"/>
  <c r="T114" i="19"/>
  <c r="U114" i="19"/>
  <c r="Q114" i="19" s="1"/>
  <c r="P114" i="19" s="1"/>
  <c r="V114" i="19" s="1"/>
  <c r="T159" i="19"/>
  <c r="U159" i="19"/>
  <c r="Q159" i="19" s="1"/>
  <c r="P159" i="19" s="1"/>
  <c r="V159" i="19" s="1"/>
  <c r="T133" i="19"/>
  <c r="U133" i="19"/>
  <c r="Q133" i="19" s="1"/>
  <c r="P133" i="19" s="1"/>
  <c r="V133" i="19" s="1"/>
  <c r="T172" i="19"/>
  <c r="U172" i="19"/>
  <c r="Q172" i="19" s="1"/>
  <c r="P172" i="19" s="1"/>
  <c r="V172" i="19" s="1"/>
  <c r="T157" i="19"/>
  <c r="U157" i="19"/>
  <c r="Q157" i="19" s="1"/>
  <c r="P157" i="19" s="1"/>
  <c r="V157" i="19" s="1"/>
  <c r="T112" i="19"/>
  <c r="U112" i="19"/>
  <c r="Q112" i="19" s="1"/>
  <c r="P112" i="19" s="1"/>
  <c r="V112" i="19" s="1"/>
  <c r="T132" i="19"/>
  <c r="U132" i="19"/>
  <c r="Q132" i="19" s="1"/>
  <c r="P132" i="19" s="1"/>
  <c r="V132" i="19" s="1"/>
  <c r="T152" i="19"/>
  <c r="U152" i="19"/>
  <c r="Q152" i="19" s="1"/>
  <c r="P152" i="19" s="1"/>
  <c r="V152" i="19" s="1"/>
  <c r="T151" i="19"/>
  <c r="U151" i="19"/>
  <c r="Q151" i="19" s="1"/>
  <c r="P151" i="19" s="1"/>
  <c r="V151" i="19" s="1"/>
  <c r="T131" i="19"/>
  <c r="U131" i="19"/>
  <c r="Q131" i="19" s="1"/>
  <c r="P131" i="19" s="1"/>
  <c r="V131" i="19" s="1"/>
  <c r="T169" i="19"/>
  <c r="U169" i="19"/>
  <c r="Q169" i="19" s="1"/>
  <c r="P169" i="19" s="1"/>
  <c r="V169" i="19" s="1"/>
  <c r="T149" i="19"/>
  <c r="U149" i="19"/>
  <c r="Q149" i="19" s="1"/>
  <c r="P149" i="19" s="1"/>
  <c r="V149" i="19" s="1"/>
  <c r="T148" i="19"/>
  <c r="U148" i="19"/>
  <c r="Q148" i="19" s="1"/>
  <c r="P148" i="19" s="1"/>
  <c r="V148" i="19" s="1"/>
  <c r="T107" i="19"/>
  <c r="U107" i="19"/>
  <c r="Q107" i="19" s="1"/>
  <c r="P107" i="19" s="1"/>
  <c r="V107" i="19" s="1"/>
  <c r="T106" i="19"/>
  <c r="U106" i="19"/>
  <c r="Q106" i="19" s="1"/>
  <c r="P106" i="19" s="1"/>
  <c r="V106" i="19" s="1"/>
  <c r="T144" i="19"/>
  <c r="U144" i="19"/>
  <c r="Q144" i="19" s="1"/>
  <c r="P144" i="19" s="1"/>
  <c r="V144" i="19" s="1"/>
  <c r="T101" i="19"/>
  <c r="U101" i="19"/>
  <c r="Q101" i="19" s="1"/>
  <c r="P101" i="19" s="1"/>
  <c r="V101" i="19" s="1"/>
  <c r="T142" i="19"/>
  <c r="U142" i="19"/>
  <c r="Q142" i="19" s="1"/>
  <c r="P142" i="19" s="1"/>
  <c r="V142" i="19" s="1"/>
  <c r="T100" i="19"/>
  <c r="U100" i="19"/>
  <c r="Q100" i="19" s="1"/>
  <c r="P100" i="19" s="1"/>
  <c r="V100" i="19" s="1"/>
  <c r="T99" i="19"/>
  <c r="U99" i="19"/>
  <c r="Q99" i="19" s="1"/>
  <c r="P99" i="19" s="1"/>
  <c r="V99" i="19" s="1"/>
  <c r="T98" i="19"/>
  <c r="U98" i="19"/>
  <c r="Q98" i="19" s="1"/>
  <c r="P98" i="19" s="1"/>
  <c r="V98" i="19" s="1"/>
  <c r="T145" i="19"/>
  <c r="U145" i="19"/>
  <c r="Q145" i="19" s="1"/>
  <c r="P145" i="19" s="1"/>
  <c r="V145" i="19" s="1"/>
  <c r="T171" i="19"/>
  <c r="U171" i="19"/>
  <c r="Q171" i="19" s="1"/>
  <c r="P171" i="19" s="1"/>
  <c r="V171" i="19" s="1"/>
  <c r="AM379" i="20"/>
  <c r="AM356" i="20"/>
  <c r="AM345" i="20"/>
  <c r="AM351" i="20"/>
  <c r="AM354" i="20"/>
  <c r="AM374" i="20"/>
  <c r="AM349" i="20"/>
  <c r="AM357" i="20"/>
  <c r="AM347" i="20"/>
  <c r="AM364" i="20"/>
  <c r="AM358" i="20"/>
  <c r="AM346" i="20"/>
  <c r="AM365" i="20"/>
  <c r="AM378" i="20"/>
  <c r="AM348" i="20"/>
  <c r="AM376" i="20"/>
  <c r="AM363" i="20"/>
  <c r="AM362" i="20"/>
  <c r="AM381" i="20"/>
  <c r="AM353" i="20"/>
  <c r="AM371" i="20"/>
  <c r="AM360" i="20"/>
  <c r="AM373" i="20"/>
  <c r="AM368" i="20"/>
  <c r="AM372" i="20"/>
  <c r="AM380" i="20"/>
  <c r="AM350" i="20"/>
  <c r="AM361" i="20"/>
  <c r="AM369" i="20"/>
  <c r="AM366" i="20"/>
  <c r="AM355" i="20"/>
  <c r="AM377" i="20"/>
  <c r="AM367" i="20"/>
  <c r="AM344" i="20"/>
  <c r="AM352" i="20"/>
  <c r="AM375" i="20"/>
  <c r="AM370" i="20"/>
  <c r="AM359" i="20"/>
  <c r="T20" i="40"/>
  <c r="AN47" i="40"/>
  <c r="AM47" i="40"/>
  <c r="AL47" i="40"/>
  <c r="AK47" i="40"/>
  <c r="AM8" i="40"/>
  <c r="AL8" i="40"/>
  <c r="AK8" i="40"/>
  <c r="AM300" i="20"/>
  <c r="AM301" i="20"/>
  <c r="AM307" i="20"/>
  <c r="AM324" i="20"/>
  <c r="AM325" i="20"/>
  <c r="AM326" i="20"/>
  <c r="AM327" i="20"/>
  <c r="AM329" i="20"/>
  <c r="AM328" i="20"/>
  <c r="AM330" i="20"/>
  <c r="AM331" i="20"/>
  <c r="AM332" i="20"/>
  <c r="AM333" i="20"/>
  <c r="AM334" i="20"/>
  <c r="AM335" i="20"/>
  <c r="AM336" i="20"/>
  <c r="AM315" i="20"/>
  <c r="AM298" i="20"/>
  <c r="AM299" i="20"/>
  <c r="AM337" i="20"/>
  <c r="AM338" i="20"/>
  <c r="AM339" i="20"/>
  <c r="AS300" i="20"/>
  <c r="AS301" i="20"/>
  <c r="AS307" i="20"/>
  <c r="AS324" i="20"/>
  <c r="AS325" i="20"/>
  <c r="AS326" i="20"/>
  <c r="AS327" i="20"/>
  <c r="AS329" i="20"/>
  <c r="AS328" i="20"/>
  <c r="AS330" i="20"/>
  <c r="AS331" i="20"/>
  <c r="AS332" i="20"/>
  <c r="AS333" i="20"/>
  <c r="AS334" i="20"/>
  <c r="AS335" i="20"/>
  <c r="AS336" i="20"/>
  <c r="AS315" i="20"/>
  <c r="AS298" i="20"/>
  <c r="AS299" i="20"/>
  <c r="AS337" i="20"/>
  <c r="AS338" i="20"/>
  <c r="AS339" i="20"/>
  <c r="AU300" i="20"/>
  <c r="AU301" i="20"/>
  <c r="AU307" i="20"/>
  <c r="AU324" i="20"/>
  <c r="AU325" i="20"/>
  <c r="AU326" i="20"/>
  <c r="AU327" i="20"/>
  <c r="AU329" i="20"/>
  <c r="AU328" i="20"/>
  <c r="AU330" i="20"/>
  <c r="AU331" i="20"/>
  <c r="AU332" i="20"/>
  <c r="AU333" i="20"/>
  <c r="AU334" i="20"/>
  <c r="AU335" i="20"/>
  <c r="AU336" i="20"/>
  <c r="AU315" i="20"/>
  <c r="AU298" i="20"/>
  <c r="AU299" i="20"/>
  <c r="AU337" i="20"/>
  <c r="AU338" i="20"/>
  <c r="AU339" i="20"/>
  <c r="AM465" i="20"/>
  <c r="AM468" i="20"/>
  <c r="AM476" i="20"/>
  <c r="F2" i="86"/>
  <c r="F3" i="86"/>
  <c r="F4" i="86"/>
  <c r="F5" i="86"/>
  <c r="F6" i="86"/>
  <c r="F7" i="86"/>
  <c r="F8" i="86"/>
  <c r="F9" i="86"/>
  <c r="F10" i="86"/>
  <c r="F11" i="86"/>
  <c r="F12" i="86"/>
  <c r="F13" i="86"/>
  <c r="F14" i="86"/>
  <c r="F15" i="86"/>
  <c r="F16" i="86"/>
  <c r="F17" i="86"/>
  <c r="F18" i="86"/>
  <c r="F19" i="86"/>
  <c r="F20" i="86"/>
  <c r="F21" i="86"/>
  <c r="F22" i="86"/>
  <c r="F23" i="86"/>
  <c r="F24" i="86"/>
  <c r="F25" i="86"/>
  <c r="F26" i="86"/>
  <c r="F27" i="86"/>
  <c r="F28" i="86"/>
  <c r="F29" i="86"/>
  <c r="F30" i="86"/>
  <c r="F31" i="86"/>
  <c r="F32" i="86"/>
  <c r="F33" i="86"/>
  <c r="F34" i="86"/>
  <c r="F35" i="86"/>
  <c r="F36" i="86"/>
  <c r="F37" i="86"/>
  <c r="F38" i="86"/>
  <c r="F39" i="86"/>
  <c r="F40" i="86"/>
  <c r="F41" i="86"/>
  <c r="F42" i="86"/>
  <c r="F43" i="86"/>
  <c r="F44" i="86"/>
  <c r="F45" i="86"/>
  <c r="F46" i="86"/>
  <c r="F47" i="86"/>
  <c r="F48" i="86"/>
  <c r="F49" i="86"/>
  <c r="F50" i="86"/>
  <c r="F51" i="86"/>
  <c r="F52" i="86"/>
  <c r="F53" i="86"/>
  <c r="F54" i="86"/>
  <c r="F56" i="86"/>
  <c r="F57" i="86"/>
  <c r="F58" i="86"/>
  <c r="F59" i="86"/>
  <c r="F60" i="86"/>
  <c r="F61" i="86"/>
  <c r="F62" i="86"/>
  <c r="F63" i="86"/>
  <c r="F64" i="86"/>
  <c r="F65" i="86"/>
  <c r="F66" i="86"/>
  <c r="F67" i="86"/>
  <c r="F68" i="86"/>
  <c r="F69" i="86"/>
  <c r="F70" i="86"/>
  <c r="F71" i="86"/>
  <c r="F72" i="86"/>
  <c r="F73" i="86"/>
  <c r="F74" i="86"/>
  <c r="F75" i="86"/>
  <c r="F76" i="86"/>
  <c r="F77" i="86"/>
  <c r="F78" i="86"/>
  <c r="F79" i="86"/>
  <c r="F81" i="86"/>
  <c r="F82" i="86"/>
  <c r="F83" i="86"/>
  <c r="F84" i="86"/>
  <c r="F85" i="86"/>
  <c r="F86" i="86"/>
  <c r="F87" i="86"/>
  <c r="F88" i="86"/>
  <c r="F89" i="86"/>
  <c r="F90" i="86"/>
  <c r="F91" i="86"/>
  <c r="F92" i="86"/>
  <c r="F93" i="86"/>
  <c r="F94" i="86"/>
  <c r="F95" i="86"/>
  <c r="F96" i="86"/>
  <c r="F97" i="86"/>
  <c r="F98" i="86"/>
  <c r="F99" i="86"/>
  <c r="F100" i="86"/>
  <c r="F101" i="86"/>
  <c r="F102" i="86"/>
  <c r="F103" i="86"/>
  <c r="F104" i="86"/>
  <c r="F105" i="86"/>
  <c r="F106" i="86"/>
  <c r="F107" i="86"/>
  <c r="F108" i="86"/>
  <c r="F109" i="86"/>
  <c r="F110" i="86"/>
  <c r="F111" i="86"/>
  <c r="F112" i="86"/>
  <c r="F113" i="86"/>
  <c r="F114" i="86"/>
  <c r="F115" i="86"/>
  <c r="F116" i="86"/>
  <c r="F117" i="86"/>
  <c r="F118" i="86"/>
  <c r="F119" i="86"/>
  <c r="F120" i="86"/>
  <c r="F121" i="86"/>
  <c r="F122" i="86"/>
  <c r="F123" i="86"/>
  <c r="F124" i="86"/>
  <c r="F125" i="86"/>
  <c r="F127" i="86"/>
  <c r="F128" i="86"/>
  <c r="F129" i="86"/>
  <c r="F130" i="86"/>
  <c r="F131" i="86"/>
  <c r="F132" i="86"/>
  <c r="F133" i="86"/>
  <c r="F134" i="86"/>
  <c r="F135" i="86"/>
  <c r="F136" i="86"/>
  <c r="F137" i="86"/>
  <c r="F138" i="86"/>
  <c r="F139" i="86"/>
  <c r="F140" i="86"/>
  <c r="F141" i="86"/>
  <c r="F142" i="86"/>
  <c r="F143" i="86"/>
  <c r="F144" i="86"/>
  <c r="F145" i="86"/>
  <c r="F146" i="86"/>
  <c r="F147" i="86"/>
  <c r="F148" i="86"/>
  <c r="F149" i="86"/>
  <c r="F150" i="86"/>
  <c r="F151" i="86"/>
  <c r="F152" i="86"/>
  <c r="F153" i="86"/>
  <c r="F154" i="86"/>
  <c r="F155" i="86"/>
  <c r="F156" i="86"/>
  <c r="F157" i="86"/>
  <c r="F158" i="86"/>
  <c r="F159" i="86"/>
  <c r="F160" i="86"/>
  <c r="F161" i="86"/>
  <c r="F162" i="86"/>
  <c r="F163" i="86"/>
  <c r="F164" i="86"/>
  <c r="F165" i="86"/>
  <c r="F166" i="86"/>
  <c r="F167" i="86"/>
  <c r="F168" i="86"/>
  <c r="E2" i="86"/>
  <c r="E3" i="86"/>
  <c r="E4" i="86"/>
  <c r="E5" i="86"/>
  <c r="E6" i="86"/>
  <c r="E7" i="86"/>
  <c r="E8" i="86"/>
  <c r="E9" i="86"/>
  <c r="E10" i="86"/>
  <c r="E11" i="86"/>
  <c r="E12" i="86"/>
  <c r="E13" i="86"/>
  <c r="E14" i="86"/>
  <c r="E15" i="86"/>
  <c r="E16" i="86"/>
  <c r="E17" i="86"/>
  <c r="E18" i="86"/>
  <c r="E19" i="86"/>
  <c r="E20" i="86"/>
  <c r="E21" i="86"/>
  <c r="E22" i="86"/>
  <c r="E23" i="86"/>
  <c r="E24" i="86"/>
  <c r="E25" i="86"/>
  <c r="E26" i="86"/>
  <c r="E27" i="86"/>
  <c r="E28" i="86"/>
  <c r="E29" i="86"/>
  <c r="E30" i="86"/>
  <c r="E31" i="86"/>
  <c r="E32" i="86"/>
  <c r="E33" i="86"/>
  <c r="E34" i="86"/>
  <c r="E35" i="86"/>
  <c r="E36" i="86"/>
  <c r="E37" i="86"/>
  <c r="E38" i="86"/>
  <c r="E39" i="86"/>
  <c r="E40" i="86"/>
  <c r="E41" i="86"/>
  <c r="E42" i="86"/>
  <c r="E43" i="86"/>
  <c r="E44" i="86"/>
  <c r="E45" i="86"/>
  <c r="E46" i="86"/>
  <c r="E47" i="86"/>
  <c r="E48" i="86"/>
  <c r="E49" i="86"/>
  <c r="E50" i="86"/>
  <c r="E51" i="86"/>
  <c r="E52" i="86"/>
  <c r="E53" i="86"/>
  <c r="E54" i="86"/>
  <c r="E55" i="86"/>
  <c r="E56" i="86"/>
  <c r="E57" i="86"/>
  <c r="E58" i="86"/>
  <c r="E59" i="86"/>
  <c r="E60" i="86"/>
  <c r="E61" i="86"/>
  <c r="E62" i="86"/>
  <c r="E63" i="86"/>
  <c r="E64" i="86"/>
  <c r="E65" i="86"/>
  <c r="E66" i="86"/>
  <c r="E67" i="86"/>
  <c r="E68" i="86"/>
  <c r="E69" i="86"/>
  <c r="E70" i="86"/>
  <c r="E71" i="86"/>
  <c r="E72" i="86"/>
  <c r="E73" i="86"/>
  <c r="E74" i="86"/>
  <c r="E75" i="86"/>
  <c r="E76" i="86"/>
  <c r="E77" i="86"/>
  <c r="E78" i="86"/>
  <c r="E79" i="86"/>
  <c r="E80" i="86"/>
  <c r="E81" i="86"/>
  <c r="E82" i="86"/>
  <c r="E83" i="86"/>
  <c r="E84" i="86"/>
  <c r="E85" i="86"/>
  <c r="E86" i="86"/>
  <c r="E87" i="86"/>
  <c r="E88" i="86"/>
  <c r="E89" i="86"/>
  <c r="E90" i="86"/>
  <c r="E91" i="86"/>
  <c r="E92" i="86"/>
  <c r="E93" i="86"/>
  <c r="E94" i="86"/>
  <c r="E95" i="86"/>
  <c r="E96" i="86"/>
  <c r="E97" i="86"/>
  <c r="E98" i="86"/>
  <c r="E99" i="86"/>
  <c r="E100" i="86"/>
  <c r="E101" i="86"/>
  <c r="E102" i="86"/>
  <c r="E103" i="86"/>
  <c r="E104" i="86"/>
  <c r="E105" i="86"/>
  <c r="E106" i="86"/>
  <c r="E107" i="86"/>
  <c r="E108" i="86"/>
  <c r="E109" i="86"/>
  <c r="E110" i="86"/>
  <c r="E111" i="86"/>
  <c r="E112" i="86"/>
  <c r="E113" i="86"/>
  <c r="E114" i="86"/>
  <c r="E115" i="86"/>
  <c r="E116" i="86"/>
  <c r="E117" i="86"/>
  <c r="E118" i="86"/>
  <c r="E119" i="86"/>
  <c r="E120" i="86"/>
  <c r="E121" i="86"/>
  <c r="E122" i="86"/>
  <c r="E123" i="86"/>
  <c r="E124" i="86"/>
  <c r="E125" i="86"/>
  <c r="E126" i="86"/>
  <c r="E127" i="86"/>
  <c r="E128" i="86"/>
  <c r="E129" i="86"/>
  <c r="E130" i="86"/>
  <c r="E131" i="86"/>
  <c r="E132" i="86"/>
  <c r="E133" i="86"/>
  <c r="E134" i="86"/>
  <c r="E135" i="86"/>
  <c r="E136" i="86"/>
  <c r="E137" i="86"/>
  <c r="E138" i="86"/>
  <c r="E139" i="86"/>
  <c r="E140" i="86"/>
  <c r="E141" i="86"/>
  <c r="E142" i="86"/>
  <c r="E143" i="86"/>
  <c r="E144" i="86"/>
  <c r="E145" i="86"/>
  <c r="E146" i="86"/>
  <c r="E147" i="86"/>
  <c r="E148" i="86"/>
  <c r="E149" i="86"/>
  <c r="E150" i="86"/>
  <c r="E151" i="86"/>
  <c r="E152" i="86"/>
  <c r="E153" i="86"/>
  <c r="E154" i="86"/>
  <c r="E155" i="86"/>
  <c r="E156" i="86"/>
  <c r="E157" i="86"/>
  <c r="E158" i="86"/>
  <c r="E159" i="86"/>
  <c r="E160" i="86"/>
  <c r="E161" i="86"/>
  <c r="E162" i="86"/>
  <c r="E163" i="86"/>
  <c r="E164" i="86"/>
  <c r="E165" i="86"/>
  <c r="E166" i="86"/>
  <c r="E167" i="86"/>
  <c r="E168" i="86"/>
  <c r="D3" i="86"/>
  <c r="D4" i="86"/>
  <c r="D5" i="86"/>
  <c r="D6" i="86"/>
  <c r="D7" i="86"/>
  <c r="D8" i="86"/>
  <c r="D9" i="86"/>
  <c r="D10" i="86"/>
  <c r="D11" i="86"/>
  <c r="D12" i="86"/>
  <c r="D13" i="86"/>
  <c r="D14" i="86"/>
  <c r="D15" i="86"/>
  <c r="D16" i="86"/>
  <c r="D17" i="86"/>
  <c r="D18" i="86"/>
  <c r="D19" i="86"/>
  <c r="D20" i="86"/>
  <c r="D21" i="86"/>
  <c r="D22" i="86"/>
  <c r="D23" i="86"/>
  <c r="D24" i="86"/>
  <c r="D25" i="86"/>
  <c r="D26" i="86"/>
  <c r="D27" i="86"/>
  <c r="D28" i="86"/>
  <c r="D29" i="86"/>
  <c r="D30" i="86"/>
  <c r="D31" i="86"/>
  <c r="D32" i="86"/>
  <c r="D33" i="86"/>
  <c r="D34" i="86"/>
  <c r="D35" i="86"/>
  <c r="D36" i="86"/>
  <c r="D37" i="86"/>
  <c r="D38" i="86"/>
  <c r="D39" i="86"/>
  <c r="D40" i="86"/>
  <c r="D41" i="86"/>
  <c r="D42" i="86"/>
  <c r="D43" i="86"/>
  <c r="D44" i="86"/>
  <c r="D45" i="86"/>
  <c r="D46" i="86"/>
  <c r="D47" i="86"/>
  <c r="D48" i="86"/>
  <c r="D49" i="86"/>
  <c r="D50" i="86"/>
  <c r="D51" i="86"/>
  <c r="D52" i="86"/>
  <c r="D53" i="86"/>
  <c r="D54" i="86"/>
  <c r="D55" i="86"/>
  <c r="D56" i="86"/>
  <c r="D57" i="86"/>
  <c r="D58" i="86"/>
  <c r="D59" i="86"/>
  <c r="D60" i="86"/>
  <c r="D61" i="86"/>
  <c r="D62" i="86"/>
  <c r="D63" i="86"/>
  <c r="D64" i="86"/>
  <c r="D65" i="86"/>
  <c r="D66" i="86"/>
  <c r="D67" i="86"/>
  <c r="D68" i="86"/>
  <c r="D69" i="86"/>
  <c r="D70" i="86"/>
  <c r="D71" i="86"/>
  <c r="D72" i="86"/>
  <c r="D73" i="86"/>
  <c r="D74" i="86"/>
  <c r="D75" i="86"/>
  <c r="D76" i="86"/>
  <c r="D77" i="86"/>
  <c r="D78" i="86"/>
  <c r="D79" i="86"/>
  <c r="D80" i="86"/>
  <c r="D81" i="86"/>
  <c r="D82" i="86"/>
  <c r="D83" i="86"/>
  <c r="D84" i="86"/>
  <c r="D85" i="86"/>
  <c r="D86" i="86"/>
  <c r="D87" i="86"/>
  <c r="D88" i="86"/>
  <c r="D89" i="86"/>
  <c r="D90" i="86"/>
  <c r="D91" i="86"/>
  <c r="D92" i="86"/>
  <c r="D93" i="86"/>
  <c r="D94" i="86"/>
  <c r="D95" i="86"/>
  <c r="D96" i="86"/>
  <c r="D97" i="86"/>
  <c r="D98" i="86"/>
  <c r="D99" i="86"/>
  <c r="D100" i="86"/>
  <c r="D101" i="86"/>
  <c r="D102" i="86"/>
  <c r="D103" i="86"/>
  <c r="D104" i="86"/>
  <c r="D105" i="86"/>
  <c r="D106" i="86"/>
  <c r="D107" i="86"/>
  <c r="D108" i="86"/>
  <c r="D109" i="86"/>
  <c r="D110" i="86"/>
  <c r="D111" i="86"/>
  <c r="D112" i="86"/>
  <c r="D113" i="86"/>
  <c r="D114" i="86"/>
  <c r="D115" i="86"/>
  <c r="D116" i="86"/>
  <c r="D117" i="86"/>
  <c r="D118" i="86"/>
  <c r="D119" i="86"/>
  <c r="D120" i="86"/>
  <c r="D121" i="86"/>
  <c r="D122" i="86"/>
  <c r="D123" i="86"/>
  <c r="D124" i="86"/>
  <c r="D125" i="86"/>
  <c r="D126" i="86"/>
  <c r="D127" i="86"/>
  <c r="D128" i="86"/>
  <c r="D129" i="86"/>
  <c r="D130" i="86"/>
  <c r="D131" i="86"/>
  <c r="D132" i="86"/>
  <c r="D133" i="86"/>
  <c r="D134" i="86"/>
  <c r="D135" i="86"/>
  <c r="D136" i="86"/>
  <c r="D137" i="86"/>
  <c r="D138" i="86"/>
  <c r="D139" i="86"/>
  <c r="D140" i="86"/>
  <c r="D141" i="86"/>
  <c r="D142" i="86"/>
  <c r="D143" i="86"/>
  <c r="D144" i="86"/>
  <c r="D145" i="86"/>
  <c r="D146" i="86"/>
  <c r="D147" i="86"/>
  <c r="D148" i="86"/>
  <c r="D149" i="86"/>
  <c r="D150" i="86"/>
  <c r="D151" i="86"/>
  <c r="D152" i="86"/>
  <c r="D153" i="86"/>
  <c r="D154" i="86"/>
  <c r="D155" i="86"/>
  <c r="D156" i="86"/>
  <c r="D157" i="86"/>
  <c r="D158" i="86"/>
  <c r="D159" i="86"/>
  <c r="D160" i="86"/>
  <c r="D161" i="86"/>
  <c r="D162" i="86"/>
  <c r="D163" i="86"/>
  <c r="D164" i="86"/>
  <c r="D165" i="86"/>
  <c r="D166" i="86"/>
  <c r="D167" i="86"/>
  <c r="D168" i="86"/>
  <c r="D2" i="86"/>
  <c r="C3" i="86"/>
  <c r="C4" i="86"/>
  <c r="C5" i="86"/>
  <c r="C6" i="86"/>
  <c r="C7" i="86"/>
  <c r="C8" i="86"/>
  <c r="C9" i="86"/>
  <c r="C10" i="86"/>
  <c r="C11" i="86"/>
  <c r="C12" i="86"/>
  <c r="C13" i="86"/>
  <c r="C14" i="86"/>
  <c r="C15" i="86"/>
  <c r="C16" i="86"/>
  <c r="C17" i="86"/>
  <c r="C18" i="86"/>
  <c r="C19" i="86"/>
  <c r="C20" i="86"/>
  <c r="C21" i="86"/>
  <c r="C22" i="86"/>
  <c r="C23" i="86"/>
  <c r="C24" i="86"/>
  <c r="C25" i="86"/>
  <c r="C26" i="86"/>
  <c r="C27" i="86"/>
  <c r="C28" i="86"/>
  <c r="C29" i="86"/>
  <c r="C30" i="86"/>
  <c r="C31" i="86"/>
  <c r="C32" i="86"/>
  <c r="C33" i="86"/>
  <c r="C34" i="86"/>
  <c r="C35" i="86"/>
  <c r="C36" i="86"/>
  <c r="C37" i="86"/>
  <c r="C38" i="86"/>
  <c r="C39" i="86"/>
  <c r="C40" i="86"/>
  <c r="C41" i="86"/>
  <c r="C42" i="86"/>
  <c r="C43" i="86"/>
  <c r="C44" i="86"/>
  <c r="C45" i="86"/>
  <c r="C46" i="86"/>
  <c r="C47" i="86"/>
  <c r="C48" i="86"/>
  <c r="C49" i="86"/>
  <c r="C50" i="86"/>
  <c r="C51" i="86"/>
  <c r="C52" i="86"/>
  <c r="C53" i="86"/>
  <c r="C54" i="86"/>
  <c r="C55" i="86"/>
  <c r="C56" i="86"/>
  <c r="C57" i="86"/>
  <c r="C58" i="86"/>
  <c r="C59" i="86"/>
  <c r="C60" i="86"/>
  <c r="C61" i="86"/>
  <c r="C62" i="86"/>
  <c r="C63" i="86"/>
  <c r="C64" i="86"/>
  <c r="C65" i="86"/>
  <c r="C66" i="86"/>
  <c r="C67" i="86"/>
  <c r="C68" i="86"/>
  <c r="C69" i="86"/>
  <c r="C70" i="86"/>
  <c r="C71" i="86"/>
  <c r="C72" i="86"/>
  <c r="C73" i="86"/>
  <c r="C74" i="86"/>
  <c r="C75" i="86"/>
  <c r="C76" i="86"/>
  <c r="C77" i="86"/>
  <c r="C78" i="86"/>
  <c r="C79" i="86"/>
  <c r="C80" i="86"/>
  <c r="C81" i="86"/>
  <c r="C82" i="86"/>
  <c r="C83" i="86"/>
  <c r="C84" i="86"/>
  <c r="C85" i="86"/>
  <c r="C86" i="86"/>
  <c r="C87" i="86"/>
  <c r="C88" i="86"/>
  <c r="C89" i="86"/>
  <c r="C90" i="86"/>
  <c r="C91" i="86"/>
  <c r="C92" i="86"/>
  <c r="C93" i="86"/>
  <c r="C94" i="86"/>
  <c r="C95" i="86"/>
  <c r="C96" i="86"/>
  <c r="C97" i="86"/>
  <c r="C98" i="86"/>
  <c r="C99" i="86"/>
  <c r="C100" i="86"/>
  <c r="C101" i="86"/>
  <c r="C102" i="86"/>
  <c r="C103" i="86"/>
  <c r="C104" i="86"/>
  <c r="C105" i="86"/>
  <c r="C106" i="86"/>
  <c r="C107" i="86"/>
  <c r="C108" i="86"/>
  <c r="C109" i="86"/>
  <c r="C110" i="86"/>
  <c r="C111" i="86"/>
  <c r="C112" i="86"/>
  <c r="C113" i="86"/>
  <c r="C114" i="86"/>
  <c r="C115" i="86"/>
  <c r="C116" i="86"/>
  <c r="C117" i="86"/>
  <c r="C118" i="86"/>
  <c r="C119" i="86"/>
  <c r="C120" i="86"/>
  <c r="C121" i="86"/>
  <c r="C122" i="86"/>
  <c r="C123" i="86"/>
  <c r="C124" i="86"/>
  <c r="C125" i="86"/>
  <c r="C126" i="86"/>
  <c r="C127" i="86"/>
  <c r="C128" i="86"/>
  <c r="C129" i="86"/>
  <c r="C130" i="86"/>
  <c r="C131" i="86"/>
  <c r="C132" i="86"/>
  <c r="C133" i="86"/>
  <c r="C134" i="86"/>
  <c r="C135" i="86"/>
  <c r="C136" i="86"/>
  <c r="C137" i="86"/>
  <c r="C138" i="86"/>
  <c r="C139" i="86"/>
  <c r="C140" i="86"/>
  <c r="C141" i="86"/>
  <c r="C142" i="86"/>
  <c r="C143" i="86"/>
  <c r="C144" i="86"/>
  <c r="C145" i="86"/>
  <c r="C146" i="86"/>
  <c r="C147" i="86"/>
  <c r="C148" i="86"/>
  <c r="C149" i="86"/>
  <c r="C150" i="86"/>
  <c r="C151" i="86"/>
  <c r="C152" i="86"/>
  <c r="C153" i="86"/>
  <c r="C154" i="86"/>
  <c r="C155" i="86"/>
  <c r="C156" i="86"/>
  <c r="C157" i="86"/>
  <c r="C158" i="86"/>
  <c r="C159" i="86"/>
  <c r="C160" i="86"/>
  <c r="C161" i="86"/>
  <c r="C162" i="86"/>
  <c r="C163" i="86"/>
  <c r="C164" i="86"/>
  <c r="C165" i="86"/>
  <c r="C166" i="86"/>
  <c r="C167" i="86"/>
  <c r="C168" i="86"/>
  <c r="C2" i="86"/>
  <c r="B2" i="86"/>
  <c r="B3" i="86"/>
  <c r="B4" i="86"/>
  <c r="B5" i="86"/>
  <c r="B6" i="86"/>
  <c r="B7" i="86"/>
  <c r="B8" i="86"/>
  <c r="B9" i="86"/>
  <c r="B10" i="86"/>
  <c r="B11" i="86"/>
  <c r="B12" i="86"/>
  <c r="B13" i="86"/>
  <c r="B14" i="86"/>
  <c r="B15" i="86"/>
  <c r="B16" i="86"/>
  <c r="B17" i="86"/>
  <c r="B18" i="86"/>
  <c r="B19" i="86"/>
  <c r="B20" i="86"/>
  <c r="B21" i="86"/>
  <c r="B22" i="86"/>
  <c r="B23" i="86"/>
  <c r="B24" i="86"/>
  <c r="B25" i="86"/>
  <c r="B26" i="86"/>
  <c r="B27" i="86"/>
  <c r="B28" i="86"/>
  <c r="B29" i="86"/>
  <c r="B30" i="86"/>
  <c r="B31" i="86"/>
  <c r="B32" i="86"/>
  <c r="B33" i="86"/>
  <c r="B34" i="86"/>
  <c r="B35" i="86"/>
  <c r="B36" i="86"/>
  <c r="B37" i="86"/>
  <c r="B38" i="86"/>
  <c r="B39" i="86"/>
  <c r="B40" i="86"/>
  <c r="B41" i="86"/>
  <c r="B42" i="86"/>
  <c r="B43" i="86"/>
  <c r="B44" i="86"/>
  <c r="B45" i="86"/>
  <c r="B46" i="86"/>
  <c r="B47" i="86"/>
  <c r="B48" i="86"/>
  <c r="B49" i="86"/>
  <c r="B50" i="86"/>
  <c r="B51" i="86"/>
  <c r="B52" i="86"/>
  <c r="B53" i="86"/>
  <c r="B54" i="86"/>
  <c r="B55" i="86"/>
  <c r="B56" i="86"/>
  <c r="B57" i="86"/>
  <c r="B58" i="86"/>
  <c r="B59" i="86"/>
  <c r="B60" i="86"/>
  <c r="B61" i="86"/>
  <c r="B62" i="86"/>
  <c r="B63" i="86"/>
  <c r="B64" i="86"/>
  <c r="B65" i="86"/>
  <c r="B66" i="86"/>
  <c r="B67" i="86"/>
  <c r="B68" i="86"/>
  <c r="B69" i="86"/>
  <c r="B70" i="86"/>
  <c r="B71" i="86"/>
  <c r="B72" i="86"/>
  <c r="B73" i="86"/>
  <c r="B74" i="86"/>
  <c r="B75" i="86"/>
  <c r="B76" i="86"/>
  <c r="B77" i="86"/>
  <c r="B78" i="86"/>
  <c r="B79" i="86"/>
  <c r="B80" i="86"/>
  <c r="B81" i="86"/>
  <c r="B82" i="86"/>
  <c r="B83" i="86"/>
  <c r="B84" i="86"/>
  <c r="B85" i="86"/>
  <c r="B86" i="86"/>
  <c r="B87" i="86"/>
  <c r="B88" i="86"/>
  <c r="B89" i="86"/>
  <c r="B90" i="86"/>
  <c r="B91" i="86"/>
  <c r="B92" i="86"/>
  <c r="B93" i="86"/>
  <c r="B94" i="86"/>
  <c r="B95" i="86"/>
  <c r="B96" i="86"/>
  <c r="B97" i="86"/>
  <c r="B98" i="86"/>
  <c r="B99" i="86"/>
  <c r="B100" i="86"/>
  <c r="B101" i="86"/>
  <c r="B102" i="86"/>
  <c r="B103" i="86"/>
  <c r="B104" i="86"/>
  <c r="B105" i="86"/>
  <c r="B106" i="86"/>
  <c r="B107" i="86"/>
  <c r="B108" i="86"/>
  <c r="B109" i="86"/>
  <c r="B110" i="86"/>
  <c r="B111" i="86"/>
  <c r="B112" i="86"/>
  <c r="B113" i="86"/>
  <c r="B114" i="86"/>
  <c r="B115" i="86"/>
  <c r="B116" i="86"/>
  <c r="B117" i="86"/>
  <c r="B118" i="86"/>
  <c r="B119" i="86"/>
  <c r="B120" i="86"/>
  <c r="B121" i="86"/>
  <c r="B122" i="86"/>
  <c r="B123" i="86"/>
  <c r="B124" i="86"/>
  <c r="B125" i="86"/>
  <c r="B126" i="86"/>
  <c r="B127" i="86"/>
  <c r="B128" i="86"/>
  <c r="B129" i="86"/>
  <c r="B130" i="86"/>
  <c r="B131" i="86"/>
  <c r="B132" i="86"/>
  <c r="B133" i="86"/>
  <c r="B134" i="86"/>
  <c r="B135" i="86"/>
  <c r="B136" i="86"/>
  <c r="B137" i="86"/>
  <c r="B138" i="86"/>
  <c r="B139" i="86"/>
  <c r="B140" i="86"/>
  <c r="B141" i="86"/>
  <c r="B142" i="86"/>
  <c r="B143" i="86"/>
  <c r="B144" i="86"/>
  <c r="B145" i="86"/>
  <c r="B146" i="86"/>
  <c r="B147" i="86"/>
  <c r="B148" i="86"/>
  <c r="B149" i="86"/>
  <c r="B150" i="86"/>
  <c r="B151" i="86"/>
  <c r="B152" i="86"/>
  <c r="B153" i="86"/>
  <c r="B154" i="86"/>
  <c r="B155" i="86"/>
  <c r="B156" i="86"/>
  <c r="B157" i="86"/>
  <c r="B158" i="86"/>
  <c r="B159" i="86"/>
  <c r="B160" i="86"/>
  <c r="B161" i="86"/>
  <c r="B162" i="86"/>
  <c r="B163" i="86"/>
  <c r="B164" i="86"/>
  <c r="B165" i="86"/>
  <c r="B166" i="86"/>
  <c r="B167" i="86"/>
  <c r="B168" i="86"/>
  <c r="AJ109" i="14"/>
  <c r="AK109" i="14" s="1"/>
  <c r="AJ60" i="14"/>
  <c r="AK60" i="14" s="1"/>
  <c r="AJ54" i="14"/>
  <c r="AK54" i="14" s="1"/>
  <c r="AJ40" i="14"/>
  <c r="AK40" i="14" s="1"/>
  <c r="AJ167" i="14"/>
  <c r="AK167" i="14" s="1"/>
  <c r="AJ34" i="14"/>
  <c r="AK34" i="14" s="1"/>
  <c r="AJ157" i="14"/>
  <c r="AK157" i="14" s="1"/>
  <c r="AJ51" i="14"/>
  <c r="AK51" i="14" s="1"/>
  <c r="AJ58" i="14"/>
  <c r="AK58" i="14" s="1"/>
  <c r="AJ56" i="14"/>
  <c r="AK56" i="14" s="1"/>
  <c r="AJ21" i="14"/>
  <c r="AK21" i="14" s="1"/>
  <c r="AJ39" i="14"/>
  <c r="AK39" i="14" s="1"/>
  <c r="AJ48" i="14"/>
  <c r="AK48" i="14" s="1"/>
  <c r="AJ50" i="14"/>
  <c r="AK50" i="14" s="1"/>
  <c r="AJ62" i="14"/>
  <c r="AK62" i="14" s="1"/>
  <c r="AJ63" i="14"/>
  <c r="AK63" i="14" s="1"/>
  <c r="AJ78" i="14"/>
  <c r="AK78" i="14" s="1"/>
  <c r="AJ85" i="14"/>
  <c r="AK85" i="14" s="1"/>
  <c r="AJ86" i="14"/>
  <c r="AK86" i="14" s="1"/>
  <c r="AJ88" i="14"/>
  <c r="AK88" i="14" s="1"/>
  <c r="AJ89" i="14"/>
  <c r="AK89" i="14" s="1"/>
  <c r="AJ90" i="14"/>
  <c r="AK90" i="14" s="1"/>
  <c r="AJ91" i="14"/>
  <c r="AK91" i="14" s="1"/>
  <c r="AJ230" i="14"/>
  <c r="AK230" i="14" s="1"/>
  <c r="AJ234" i="14"/>
  <c r="AK234" i="14" s="1"/>
  <c r="AJ97" i="14"/>
  <c r="AK97" i="14" s="1"/>
  <c r="AJ99" i="14"/>
  <c r="AK99" i="14" s="1"/>
  <c r="AJ102" i="14"/>
  <c r="AK102" i="14" s="1"/>
  <c r="AJ108" i="14"/>
  <c r="AK108" i="14" s="1"/>
  <c r="AJ111" i="14"/>
  <c r="AK111" i="14" s="1"/>
  <c r="AJ114" i="14"/>
  <c r="AK114" i="14" s="1"/>
  <c r="AJ118" i="14"/>
  <c r="AK118" i="14" s="1"/>
  <c r="AJ131" i="14"/>
  <c r="AK131" i="14" s="1"/>
  <c r="AJ132" i="14"/>
  <c r="AK132" i="14" s="1"/>
  <c r="AJ134" i="14"/>
  <c r="AK134" i="14" s="1"/>
  <c r="AJ146" i="14"/>
  <c r="AK146" i="14" s="1"/>
  <c r="AJ147" i="14"/>
  <c r="AK147" i="14" s="1"/>
  <c r="AJ148" i="14"/>
  <c r="AK148" i="14" s="1"/>
  <c r="AJ149" i="14"/>
  <c r="AK149" i="14" s="1"/>
  <c r="AJ151" i="14"/>
  <c r="AK151" i="14" s="1"/>
  <c r="AJ153" i="14"/>
  <c r="AK153" i="14" s="1"/>
  <c r="AJ154" i="14"/>
  <c r="AK154" i="14" s="1"/>
  <c r="AJ156" i="14"/>
  <c r="AK156" i="14" s="1"/>
  <c r="AJ161" i="14"/>
  <c r="AK161" i="14" s="1"/>
  <c r="AJ162" i="14"/>
  <c r="AK162" i="14" s="1"/>
  <c r="AJ163" i="14"/>
  <c r="AK163" i="14" s="1"/>
  <c r="AJ164" i="14"/>
  <c r="AK164" i="14" s="1"/>
  <c r="AJ169" i="14"/>
  <c r="AK169" i="14" s="1"/>
  <c r="AJ176" i="14"/>
  <c r="AK176" i="14" s="1"/>
  <c r="AJ177" i="14"/>
  <c r="AK177" i="14" s="1"/>
  <c r="AJ185" i="14"/>
  <c r="AK185" i="14" s="1"/>
  <c r="AJ186" i="14"/>
  <c r="AK186" i="14" s="1"/>
  <c r="AJ192" i="14"/>
  <c r="AK192" i="14" s="1"/>
  <c r="AJ188" i="14"/>
  <c r="AK188" i="14" s="1"/>
  <c r="AJ190" i="14"/>
  <c r="AK190" i="14" s="1"/>
  <c r="AJ214" i="14"/>
  <c r="AK214" i="14" s="1"/>
  <c r="AJ59" i="14"/>
  <c r="AK59" i="14" s="1"/>
  <c r="AJ195" i="14"/>
  <c r="AK195" i="14" s="1"/>
  <c r="AJ197" i="14"/>
  <c r="AK197" i="14" s="1"/>
  <c r="AJ199" i="14"/>
  <c r="AK199" i="14" s="1"/>
  <c r="AJ216" i="14"/>
  <c r="AK216" i="14" s="1"/>
  <c r="AJ224" i="14"/>
  <c r="AK224" i="14" s="1"/>
  <c r="AJ227" i="14"/>
  <c r="AK227" i="14" s="1"/>
  <c r="AJ231" i="14"/>
  <c r="AK231" i="14" s="1"/>
  <c r="AJ233" i="14"/>
  <c r="AK233" i="14" s="1"/>
  <c r="AJ235" i="14"/>
  <c r="AK235" i="14" s="1"/>
  <c r="AJ239" i="14"/>
  <c r="AK239" i="14" s="1"/>
  <c r="AJ247" i="14"/>
  <c r="AK247" i="14" s="1"/>
  <c r="AJ248" i="14"/>
  <c r="AK248" i="14" s="1"/>
  <c r="AJ264" i="14"/>
  <c r="AK264" i="14" s="1"/>
  <c r="AJ270" i="14"/>
  <c r="AK270" i="14" s="1"/>
  <c r="AJ271" i="14"/>
  <c r="AK271" i="14" s="1"/>
  <c r="AJ272" i="14"/>
  <c r="AK272" i="14" s="1"/>
  <c r="AJ274" i="14"/>
  <c r="AK274" i="14" s="1"/>
  <c r="AJ276" i="14"/>
  <c r="AK276" i="14" s="1"/>
  <c r="AJ277" i="14"/>
  <c r="AK277" i="14" s="1"/>
  <c r="AJ279" i="14"/>
  <c r="AK279" i="14" s="1"/>
  <c r="AJ152" i="14"/>
  <c r="AK152" i="14" s="1"/>
  <c r="AJ143" i="14"/>
  <c r="AK143" i="14" s="1"/>
  <c r="AJ150" i="14"/>
  <c r="AK150" i="14" s="1"/>
  <c r="AJ160" i="14"/>
  <c r="AK160" i="14" s="1"/>
  <c r="AJ168" i="14"/>
  <c r="AK168" i="14" s="1"/>
  <c r="AJ144" i="14"/>
  <c r="AK144" i="14" s="1"/>
  <c r="AJ84" i="14"/>
  <c r="AK84" i="14" s="1"/>
  <c r="AJ126" i="14"/>
  <c r="AK126" i="14" s="1"/>
  <c r="AJ87" i="14"/>
  <c r="AK87" i="14" s="1"/>
  <c r="AJ46" i="14"/>
  <c r="AK46" i="14" s="1"/>
  <c r="AJ145" i="14"/>
  <c r="AK145" i="14" s="1"/>
  <c r="AJ16" i="14"/>
  <c r="AK16" i="14" s="1"/>
  <c r="AJ14" i="14"/>
  <c r="AK14" i="14" s="1"/>
  <c r="AJ15" i="14"/>
  <c r="AK15" i="14" s="1"/>
  <c r="AJ95" i="14"/>
  <c r="AK95" i="14" s="1"/>
  <c r="AJ112" i="14"/>
  <c r="AK112" i="14" s="1"/>
  <c r="AJ117" i="14"/>
  <c r="AK117" i="14" s="1"/>
  <c r="AJ12" i="14"/>
  <c r="AK12" i="14" s="1"/>
  <c r="AJ67" i="14"/>
  <c r="AK67" i="14" s="1"/>
  <c r="AJ173" i="14"/>
  <c r="AK173" i="14" s="1"/>
  <c r="AJ129" i="14"/>
  <c r="AK129" i="14" s="1"/>
  <c r="AJ130" i="14"/>
  <c r="AK130" i="14" s="1"/>
  <c r="AJ100" i="14"/>
  <c r="AK100" i="14" s="1"/>
  <c r="AJ80" i="14"/>
  <c r="AK80" i="14" s="1"/>
  <c r="AJ70" i="14"/>
  <c r="AK70" i="14" s="1"/>
  <c r="AJ25" i="14"/>
  <c r="AK25" i="14" s="1"/>
  <c r="AJ92" i="14"/>
  <c r="AK92" i="14" s="1"/>
  <c r="AJ187" i="14"/>
  <c r="AK187" i="14" s="1"/>
  <c r="AJ105" i="14"/>
  <c r="AK105" i="14" s="1"/>
  <c r="AJ94" i="14"/>
  <c r="AK94" i="14" s="1"/>
  <c r="AJ96" i="14"/>
  <c r="AK96" i="14" s="1"/>
  <c r="AJ236" i="14"/>
  <c r="AK236" i="14" s="1"/>
  <c r="AJ189" i="14"/>
  <c r="AK189" i="14" s="1"/>
  <c r="AJ65" i="14"/>
  <c r="AK65" i="14" s="1"/>
  <c r="AJ93" i="14"/>
  <c r="AK93" i="14" s="1"/>
  <c r="AJ237" i="14"/>
  <c r="AK237" i="14" s="1"/>
  <c r="AJ225" i="14"/>
  <c r="AK225" i="14" s="1"/>
  <c r="AJ103" i="14"/>
  <c r="AK103" i="14" s="1"/>
  <c r="AJ98" i="14"/>
  <c r="AK98" i="14" s="1"/>
  <c r="AJ166" i="14"/>
  <c r="AK166" i="14" s="1"/>
  <c r="AJ178" i="14"/>
  <c r="AK178" i="14" s="1"/>
  <c r="AJ229" i="14"/>
  <c r="AK229" i="14" s="1"/>
  <c r="AJ238" i="14"/>
  <c r="AK238" i="14" s="1"/>
  <c r="AJ104" i="14"/>
  <c r="AK104" i="14" s="1"/>
  <c r="AJ226" i="14"/>
  <c r="AK226" i="14" s="1"/>
  <c r="AJ82" i="14"/>
  <c r="AK82" i="14" s="1"/>
  <c r="AJ218" i="14"/>
  <c r="AK218" i="14" s="1"/>
  <c r="AJ37" i="14"/>
  <c r="AK37" i="14" s="1"/>
  <c r="AJ138" i="14"/>
  <c r="AK138" i="14" s="1"/>
  <c r="AJ232" i="14"/>
  <c r="AK232" i="14" s="1"/>
  <c r="AJ6" i="14"/>
  <c r="AK6" i="14" s="1"/>
  <c r="AJ76" i="14"/>
  <c r="AK76" i="14" s="1"/>
  <c r="AJ120" i="14"/>
  <c r="AK120" i="14" s="1"/>
  <c r="AJ69" i="14"/>
  <c r="AK69" i="14" s="1"/>
  <c r="AJ36" i="14"/>
  <c r="AK36" i="14" s="1"/>
  <c r="AJ29" i="14"/>
  <c r="AK29" i="14" s="1"/>
  <c r="AJ30" i="14"/>
  <c r="AK30" i="14" s="1"/>
  <c r="AJ158" i="14"/>
  <c r="AK158" i="14" s="1"/>
  <c r="AJ77" i="14"/>
  <c r="AK77" i="14" s="1"/>
  <c r="AJ10" i="14"/>
  <c r="AK10" i="14" s="1"/>
  <c r="AJ11" i="14"/>
  <c r="AK11" i="14" s="1"/>
  <c r="AJ45" i="14"/>
  <c r="AK45" i="14" s="1"/>
  <c r="AJ71" i="14"/>
  <c r="AK71" i="14" s="1"/>
  <c r="AJ13" i="14"/>
  <c r="AK13" i="14" s="1"/>
  <c r="AJ180" i="14"/>
  <c r="AK180" i="14" s="1"/>
  <c r="AJ64" i="14"/>
  <c r="AK64" i="14" s="1"/>
  <c r="AJ5" i="14"/>
  <c r="AK5" i="14" s="1"/>
  <c r="AJ27" i="14"/>
  <c r="AK27" i="14" s="1"/>
  <c r="AJ8" i="14"/>
  <c r="AK8" i="14" s="1"/>
  <c r="AJ7" i="14"/>
  <c r="AK7" i="14" s="1"/>
  <c r="AJ9" i="14"/>
  <c r="AK9" i="14" s="1"/>
  <c r="AJ41" i="14"/>
  <c r="AK41" i="14" s="1"/>
  <c r="AJ79" i="14"/>
  <c r="AK79" i="14" s="1"/>
  <c r="AJ42" i="14"/>
  <c r="AK42" i="14" s="1"/>
  <c r="AJ273" i="14"/>
  <c r="AK273" i="14" s="1"/>
  <c r="AJ159" i="14"/>
  <c r="AK159" i="14" s="1"/>
  <c r="AJ26" i="14"/>
  <c r="AK26" i="14" s="1"/>
  <c r="AJ106" i="14"/>
  <c r="AK106" i="14" s="1"/>
  <c r="AJ278" i="14"/>
  <c r="AK278" i="14" s="1"/>
  <c r="AJ193" i="14"/>
  <c r="AK193" i="14" s="1"/>
  <c r="AI109" i="14"/>
  <c r="AI21" i="14"/>
  <c r="AI39" i="14"/>
  <c r="AI48" i="14"/>
  <c r="AI50" i="14"/>
  <c r="AI62" i="14"/>
  <c r="AI63" i="14"/>
  <c r="AI78" i="14"/>
  <c r="AI85" i="14"/>
  <c r="AI86" i="14"/>
  <c r="AI88" i="14"/>
  <c r="AI89" i="14"/>
  <c r="AI90" i="14"/>
  <c r="AI91" i="14"/>
  <c r="AI230" i="14"/>
  <c r="AI234" i="14"/>
  <c r="AI97" i="14"/>
  <c r="AI99" i="14"/>
  <c r="AI102" i="14"/>
  <c r="AI108" i="14"/>
  <c r="AI111" i="14"/>
  <c r="AI114" i="14"/>
  <c r="AI118" i="14"/>
  <c r="AI131" i="14"/>
  <c r="AI132" i="14"/>
  <c r="AI134" i="14"/>
  <c r="AI146" i="14"/>
  <c r="AI147" i="14"/>
  <c r="AI148" i="14"/>
  <c r="AI149" i="14"/>
  <c r="AI151" i="14"/>
  <c r="AI153" i="14"/>
  <c r="AI154" i="14"/>
  <c r="AI156" i="14"/>
  <c r="AI161" i="14"/>
  <c r="AI162" i="14"/>
  <c r="AI163" i="14"/>
  <c r="AI164" i="14"/>
  <c r="AI169" i="14"/>
  <c r="AI176" i="14"/>
  <c r="AI177" i="14"/>
  <c r="AI185" i="14"/>
  <c r="AI186" i="14"/>
  <c r="AI192" i="14"/>
  <c r="AI188" i="14"/>
  <c r="AI190" i="14"/>
  <c r="AI214" i="14"/>
  <c r="AI59" i="14"/>
  <c r="AI195" i="14"/>
  <c r="AI197" i="14"/>
  <c r="AI199" i="14"/>
  <c r="AI216" i="14"/>
  <c r="AI224" i="14"/>
  <c r="AI227" i="14"/>
  <c r="AI231" i="14"/>
  <c r="AI233" i="14"/>
  <c r="AI235" i="14"/>
  <c r="AI239" i="14"/>
  <c r="AI247" i="14"/>
  <c r="AI248" i="14"/>
  <c r="AI264" i="14"/>
  <c r="AI270" i="14"/>
  <c r="AI271" i="14"/>
  <c r="AI272" i="14"/>
  <c r="AI274" i="14"/>
  <c r="AI276" i="14"/>
  <c r="AI277" i="14"/>
  <c r="AI279" i="14"/>
  <c r="AI152" i="14"/>
  <c r="AI84" i="14"/>
  <c r="AI95" i="14"/>
  <c r="AI141" i="14"/>
  <c r="AI171" i="14"/>
  <c r="AI172" i="14"/>
  <c r="AI174" i="14"/>
  <c r="AI101" i="14"/>
  <c r="AI194" i="14"/>
  <c r="AI181" i="14"/>
  <c r="AI200" i="14"/>
  <c r="AI175" i="14"/>
  <c r="AI137" i="14"/>
  <c r="AI49" i="14"/>
  <c r="AI135" i="14"/>
  <c r="AI112" i="14"/>
  <c r="AI117" i="14"/>
  <c r="AI68" i="14"/>
  <c r="AI67" i="14"/>
  <c r="AI173" i="14"/>
  <c r="AI130" i="14"/>
  <c r="AI105" i="14"/>
  <c r="AI94" i="14"/>
  <c r="AI189" i="14"/>
  <c r="AI65" i="14"/>
  <c r="AI225" i="14"/>
  <c r="AI103" i="14"/>
  <c r="AI229" i="14"/>
  <c r="AI226" i="14"/>
  <c r="AI218" i="14"/>
  <c r="AI232" i="14"/>
  <c r="AI69" i="14"/>
  <c r="AI64" i="14"/>
  <c r="AI79" i="14"/>
  <c r="AI273" i="14"/>
  <c r="CI20" i="62"/>
  <c r="CI21" i="62"/>
  <c r="CI22" i="62"/>
  <c r="CI23" i="62"/>
  <c r="CH23" i="62"/>
  <c r="CI24" i="62"/>
  <c r="CI25" i="62"/>
  <c r="CI26" i="62"/>
  <c r="CI27" i="62"/>
  <c r="CI28" i="62"/>
  <c r="CH28" i="62"/>
  <c r="CH19" i="62"/>
  <c r="CH20" i="62"/>
  <c r="CG20" i="62" s="1"/>
  <c r="CH21" i="62"/>
  <c r="CH22" i="62"/>
  <c r="CG22" i="62" s="1"/>
  <c r="CH24" i="62"/>
  <c r="CH25" i="62"/>
  <c r="CH26" i="62"/>
  <c r="CH27" i="62"/>
  <c r="CF28" i="62"/>
  <c r="CF20" i="62"/>
  <c r="CF21" i="62"/>
  <c r="CF22" i="62"/>
  <c r="CF23" i="62"/>
  <c r="CF24" i="62"/>
  <c r="CF25" i="62"/>
  <c r="CF26" i="62"/>
  <c r="CF27" i="62"/>
  <c r="CF19" i="62"/>
  <c r="T203" i="19"/>
  <c r="T297" i="19"/>
  <c r="T298" i="19"/>
  <c r="T153" i="19"/>
  <c r="T299" i="19"/>
  <c r="T204" i="19"/>
  <c r="T300" i="19"/>
  <c r="T134" i="19"/>
  <c r="T110" i="19"/>
  <c r="T301" i="19"/>
  <c r="T154" i="19"/>
  <c r="T206" i="19"/>
  <c r="T229" i="19"/>
  <c r="T234" i="19"/>
  <c r="T303" i="19"/>
  <c r="T241" i="19"/>
  <c r="T306" i="19"/>
  <c r="T308" i="19"/>
  <c r="T305" i="19"/>
  <c r="T155" i="19"/>
  <c r="T245" i="19"/>
  <c r="T309" i="19"/>
  <c r="T307" i="19"/>
  <c r="T310" i="19"/>
  <c r="T311" i="19"/>
  <c r="T312" i="19"/>
  <c r="T250" i="19"/>
  <c r="T251" i="19"/>
  <c r="T156" i="19"/>
  <c r="T252" i="19"/>
  <c r="T253" i="19"/>
  <c r="T314" i="19"/>
  <c r="T317" i="19"/>
  <c r="T318" i="19"/>
  <c r="T319" i="19"/>
  <c r="T320" i="19"/>
  <c r="T158" i="19"/>
  <c r="T321" i="19"/>
  <c r="T262" i="19"/>
  <c r="T275" i="19"/>
  <c r="T323" i="19"/>
  <c r="T324" i="19"/>
  <c r="T113" i="19"/>
  <c r="T325" i="19"/>
  <c r="T326" i="19"/>
  <c r="T277" i="19"/>
  <c r="T24" i="19"/>
  <c r="T327" i="19"/>
  <c r="T173" i="19"/>
  <c r="T329" i="19"/>
  <c r="T328" i="19"/>
  <c r="T330" i="19"/>
  <c r="T331" i="19"/>
  <c r="T332" i="19"/>
  <c r="T285" i="19"/>
  <c r="T289" i="19"/>
  <c r="T335" i="19"/>
  <c r="T336" i="19"/>
  <c r="T338" i="19"/>
  <c r="T339" i="19"/>
  <c r="T161" i="19"/>
  <c r="T340" i="19"/>
  <c r="T341" i="19"/>
  <c r="T174" i="19"/>
  <c r="T342" i="19"/>
  <c r="T343" i="19"/>
  <c r="T344" i="19"/>
  <c r="T175" i="19"/>
  <c r="T345" i="19"/>
  <c r="T346" i="19"/>
  <c r="T304" i="19"/>
  <c r="T348" i="19"/>
  <c r="T94" i="19"/>
  <c r="T315" i="19"/>
  <c r="T350" i="19"/>
  <c r="T351" i="19"/>
  <c r="T352" i="19"/>
  <c r="T316" i="19"/>
  <c r="T354" i="19"/>
  <c r="T163" i="19"/>
  <c r="T355" i="19"/>
  <c r="T322" i="19"/>
  <c r="T358" i="19"/>
  <c r="T357" i="19"/>
  <c r="T360" i="19"/>
  <c r="T361" i="19"/>
  <c r="T334" i="19"/>
  <c r="T347" i="19"/>
  <c r="T349" i="19"/>
  <c r="T362" i="19"/>
  <c r="T363" i="19"/>
  <c r="T364" i="19"/>
  <c r="T365" i="19"/>
  <c r="T366" i="19"/>
  <c r="T367" i="19"/>
  <c r="T356" i="19"/>
  <c r="T368" i="19"/>
  <c r="T369" i="19"/>
  <c r="T370" i="19"/>
  <c r="T371" i="19"/>
  <c r="T177" i="19"/>
  <c r="T372" i="19"/>
  <c r="T373" i="19"/>
  <c r="T167" i="19"/>
  <c r="T374" i="19"/>
  <c r="T375" i="19"/>
  <c r="T376" i="19"/>
  <c r="T377" i="19"/>
  <c r="T378" i="19"/>
  <c r="T379" i="19"/>
  <c r="T380" i="19"/>
  <c r="T381" i="19"/>
  <c r="T382" i="19"/>
  <c r="T384" i="19"/>
  <c r="T383" i="19"/>
  <c r="T385" i="19"/>
  <c r="U203" i="19"/>
  <c r="Q203" i="19" s="1"/>
  <c r="P203" i="19" s="1"/>
  <c r="V203" i="19" s="1"/>
  <c r="U297" i="19"/>
  <c r="Q297" i="19" s="1"/>
  <c r="P297" i="19" s="1"/>
  <c r="V297" i="19" s="1"/>
  <c r="U298" i="19"/>
  <c r="Q298" i="19" s="1"/>
  <c r="P298" i="19" s="1"/>
  <c r="V298" i="19" s="1"/>
  <c r="U153" i="19"/>
  <c r="Q153" i="19" s="1"/>
  <c r="P153" i="19" s="1"/>
  <c r="V153" i="19" s="1"/>
  <c r="U299" i="19"/>
  <c r="Q299" i="19" s="1"/>
  <c r="P299" i="19" s="1"/>
  <c r="V299" i="19" s="1"/>
  <c r="U204" i="19"/>
  <c r="Q204" i="19" s="1"/>
  <c r="P204" i="19" s="1"/>
  <c r="V204" i="19" s="1"/>
  <c r="U300" i="19"/>
  <c r="Q300" i="19" s="1"/>
  <c r="P300" i="19" s="1"/>
  <c r="V300" i="19" s="1"/>
  <c r="U134" i="19"/>
  <c r="Q134" i="19" s="1"/>
  <c r="P134" i="19" s="1"/>
  <c r="V134" i="19" s="1"/>
  <c r="U110" i="19"/>
  <c r="Q110" i="19" s="1"/>
  <c r="P110" i="19" s="1"/>
  <c r="V110" i="19" s="1"/>
  <c r="U301" i="19"/>
  <c r="Q301" i="19" s="1"/>
  <c r="P301" i="19" s="1"/>
  <c r="V301" i="19" s="1"/>
  <c r="U154" i="19"/>
  <c r="Q154" i="19" s="1"/>
  <c r="P154" i="19" s="1"/>
  <c r="V154" i="19" s="1"/>
  <c r="U206" i="19"/>
  <c r="Q206" i="19" s="1"/>
  <c r="P206" i="19" s="1"/>
  <c r="V206" i="19" s="1"/>
  <c r="U229" i="19"/>
  <c r="Q229" i="19" s="1"/>
  <c r="P229" i="19" s="1"/>
  <c r="V229" i="19" s="1"/>
  <c r="U234" i="19"/>
  <c r="Q234" i="19" s="1"/>
  <c r="P234" i="19" s="1"/>
  <c r="V234" i="19" s="1"/>
  <c r="U303" i="19"/>
  <c r="Q303" i="19" s="1"/>
  <c r="P303" i="19" s="1"/>
  <c r="V303" i="19" s="1"/>
  <c r="U241" i="19"/>
  <c r="Q241" i="19" s="1"/>
  <c r="P241" i="19" s="1"/>
  <c r="V241" i="19" s="1"/>
  <c r="U306" i="19"/>
  <c r="Q306" i="19" s="1"/>
  <c r="P306" i="19" s="1"/>
  <c r="V306" i="19" s="1"/>
  <c r="U308" i="19"/>
  <c r="Q308" i="19" s="1"/>
  <c r="P308" i="19" s="1"/>
  <c r="V308" i="19" s="1"/>
  <c r="U305" i="19"/>
  <c r="Q305" i="19" s="1"/>
  <c r="P305" i="19" s="1"/>
  <c r="V305" i="19" s="1"/>
  <c r="U155" i="19"/>
  <c r="Q155" i="19" s="1"/>
  <c r="P155" i="19" s="1"/>
  <c r="V155" i="19" s="1"/>
  <c r="U245" i="19"/>
  <c r="Q245" i="19" s="1"/>
  <c r="U309" i="19"/>
  <c r="Q309" i="19" s="1"/>
  <c r="P309" i="19" s="1"/>
  <c r="V309" i="19" s="1"/>
  <c r="U307" i="19"/>
  <c r="Q307" i="19" s="1"/>
  <c r="P307" i="19" s="1"/>
  <c r="V307" i="19" s="1"/>
  <c r="U310" i="19"/>
  <c r="Q310" i="19" s="1"/>
  <c r="P310" i="19" s="1"/>
  <c r="V310" i="19" s="1"/>
  <c r="U311" i="19"/>
  <c r="Q311" i="19" s="1"/>
  <c r="P311" i="19" s="1"/>
  <c r="V311" i="19" s="1"/>
  <c r="U312" i="19"/>
  <c r="Q312" i="19" s="1"/>
  <c r="P312" i="19" s="1"/>
  <c r="V312" i="19" s="1"/>
  <c r="U250" i="19"/>
  <c r="Q250" i="19" s="1"/>
  <c r="P250" i="19" s="1"/>
  <c r="V250" i="19" s="1"/>
  <c r="U251" i="19"/>
  <c r="Q251" i="19" s="1"/>
  <c r="P251" i="19" s="1"/>
  <c r="V251" i="19" s="1"/>
  <c r="U156" i="19"/>
  <c r="Q156" i="19" s="1"/>
  <c r="P156" i="19" s="1"/>
  <c r="V156" i="19" s="1"/>
  <c r="U252" i="19"/>
  <c r="Q252" i="19" s="1"/>
  <c r="P252" i="19" s="1"/>
  <c r="U253" i="19"/>
  <c r="Q253" i="19" s="1"/>
  <c r="P253" i="19" s="1"/>
  <c r="V253" i="19" s="1"/>
  <c r="U314" i="19"/>
  <c r="Q314" i="19" s="1"/>
  <c r="P314" i="19" s="1"/>
  <c r="V314" i="19" s="1"/>
  <c r="U317" i="19"/>
  <c r="Q317" i="19" s="1"/>
  <c r="P317" i="19" s="1"/>
  <c r="V317" i="19" s="1"/>
  <c r="U318" i="19"/>
  <c r="Q318" i="19" s="1"/>
  <c r="P318" i="19" s="1"/>
  <c r="V318" i="19" s="1"/>
  <c r="U319" i="19"/>
  <c r="Q319" i="19" s="1"/>
  <c r="P319" i="19" s="1"/>
  <c r="V319" i="19" s="1"/>
  <c r="U320" i="19"/>
  <c r="Q320" i="19" s="1"/>
  <c r="P320" i="19" s="1"/>
  <c r="V320" i="19" s="1"/>
  <c r="U158" i="19"/>
  <c r="Q158" i="19" s="1"/>
  <c r="P158" i="19" s="1"/>
  <c r="V158" i="19" s="1"/>
  <c r="U321" i="19"/>
  <c r="Q321" i="19" s="1"/>
  <c r="P321" i="19" s="1"/>
  <c r="V321" i="19" s="1"/>
  <c r="U262" i="19"/>
  <c r="Q262" i="19" s="1"/>
  <c r="P262" i="19" s="1"/>
  <c r="V262" i="19" s="1"/>
  <c r="U275" i="19"/>
  <c r="Q275" i="19" s="1"/>
  <c r="P275" i="19" s="1"/>
  <c r="V275" i="19" s="1"/>
  <c r="U323" i="19"/>
  <c r="Q323" i="19" s="1"/>
  <c r="P323" i="19" s="1"/>
  <c r="V323" i="19" s="1"/>
  <c r="U324" i="19"/>
  <c r="Q324" i="19" s="1"/>
  <c r="P324" i="19" s="1"/>
  <c r="V324" i="19" s="1"/>
  <c r="U113" i="19"/>
  <c r="Q113" i="19" s="1"/>
  <c r="P113" i="19" s="1"/>
  <c r="V113" i="19" s="1"/>
  <c r="U325" i="19"/>
  <c r="Q325" i="19" s="1"/>
  <c r="P325" i="19" s="1"/>
  <c r="V325" i="19" s="1"/>
  <c r="U326" i="19"/>
  <c r="Q326" i="19" s="1"/>
  <c r="P326" i="19" s="1"/>
  <c r="V326" i="19" s="1"/>
  <c r="U277" i="19"/>
  <c r="Q277" i="19" s="1"/>
  <c r="P277" i="19" s="1"/>
  <c r="V277" i="19" s="1"/>
  <c r="U24" i="19"/>
  <c r="Q24" i="19" s="1"/>
  <c r="P24" i="19" s="1"/>
  <c r="U327" i="19"/>
  <c r="Q327" i="19" s="1"/>
  <c r="P327" i="19" s="1"/>
  <c r="V327" i="19" s="1"/>
  <c r="U173" i="19"/>
  <c r="Q173" i="19" s="1"/>
  <c r="P173" i="19" s="1"/>
  <c r="V173" i="19" s="1"/>
  <c r="U329" i="19"/>
  <c r="Q329" i="19" s="1"/>
  <c r="P329" i="19" s="1"/>
  <c r="V329" i="19" s="1"/>
  <c r="U328" i="19"/>
  <c r="Q328" i="19" s="1"/>
  <c r="P328" i="19" s="1"/>
  <c r="V328" i="19" s="1"/>
  <c r="U330" i="19"/>
  <c r="Q330" i="19" s="1"/>
  <c r="P330" i="19" s="1"/>
  <c r="V330" i="19" s="1"/>
  <c r="U331" i="19"/>
  <c r="Q331" i="19" s="1"/>
  <c r="P331" i="19" s="1"/>
  <c r="V331" i="19" s="1"/>
  <c r="U137" i="19"/>
  <c r="Q137" i="19" s="1"/>
  <c r="P137" i="19" s="1"/>
  <c r="V137" i="19" s="1"/>
  <c r="U201" i="19"/>
  <c r="Q201" i="19" s="1"/>
  <c r="P201" i="19" s="1"/>
  <c r="V201" i="19" s="1"/>
  <c r="U207" i="19"/>
  <c r="Q207" i="19" s="1"/>
  <c r="P207" i="19" s="1"/>
  <c r="V207" i="19" s="1"/>
  <c r="U208" i="19"/>
  <c r="Q208" i="19" s="1"/>
  <c r="P208" i="19" s="1"/>
  <c r="V208" i="19" s="1"/>
  <c r="U210" i="19"/>
  <c r="Q210" i="19" s="1"/>
  <c r="P210" i="19" s="1"/>
  <c r="V210" i="19" s="1"/>
  <c r="U205" i="19"/>
  <c r="Q205" i="19" s="1"/>
  <c r="P205" i="19" s="1"/>
  <c r="V205" i="19" s="1"/>
  <c r="U138" i="19"/>
  <c r="Q138" i="19" s="1"/>
  <c r="P138" i="19" s="1"/>
  <c r="V138" i="19" s="1"/>
  <c r="U139" i="19"/>
  <c r="Q139" i="19" s="1"/>
  <c r="P139" i="19" s="1"/>
  <c r="V139" i="19" s="1"/>
  <c r="U213" i="19"/>
  <c r="U214" i="19"/>
  <c r="Q214" i="19" s="1"/>
  <c r="P214" i="19" s="1"/>
  <c r="V214" i="19" s="1"/>
  <c r="U209" i="19"/>
  <c r="Q209" i="19" s="1"/>
  <c r="P209" i="19" s="1"/>
  <c r="V209" i="19" s="1"/>
  <c r="U140" i="19"/>
  <c r="Q140" i="19" s="1"/>
  <c r="P140" i="19" s="1"/>
  <c r="V140" i="19" s="1"/>
  <c r="U141" i="19"/>
  <c r="Q141" i="19" s="1"/>
  <c r="P141" i="19" s="1"/>
  <c r="V141" i="19" s="1"/>
  <c r="U215" i="19"/>
  <c r="Q215" i="19" s="1"/>
  <c r="P215" i="19" s="1"/>
  <c r="V215" i="19" s="1"/>
  <c r="U211" i="19"/>
  <c r="Q211" i="19" s="1"/>
  <c r="P211" i="19" s="1"/>
  <c r="V211" i="19" s="1"/>
  <c r="U217" i="19"/>
  <c r="Q217" i="19" s="1"/>
  <c r="P217" i="19" s="1"/>
  <c r="V217" i="19" s="1"/>
  <c r="U95" i="19"/>
  <c r="Q95" i="19" s="1"/>
  <c r="P95" i="19" s="1"/>
  <c r="V95" i="19" s="1"/>
  <c r="U121" i="19"/>
  <c r="Q121" i="19" s="1"/>
  <c r="P121" i="19" s="1"/>
  <c r="V121" i="19" s="1"/>
  <c r="U218" i="19"/>
  <c r="Q218" i="19" s="1"/>
  <c r="P218" i="19" s="1"/>
  <c r="V218" i="19" s="1"/>
  <c r="U96" i="19"/>
  <c r="Q96" i="19" s="1"/>
  <c r="P96" i="19" s="1"/>
  <c r="V96" i="19" s="1"/>
  <c r="U143" i="19"/>
  <c r="Q143" i="19" s="1"/>
  <c r="P143" i="19" s="1"/>
  <c r="V143" i="19" s="1"/>
  <c r="U219" i="19"/>
  <c r="Q219" i="19" s="1"/>
  <c r="P219" i="19" s="1"/>
  <c r="V219" i="19" s="1"/>
  <c r="U102" i="19"/>
  <c r="Q102" i="19" s="1"/>
  <c r="P102" i="19" s="1"/>
  <c r="V102" i="19" s="1"/>
  <c r="U216" i="19"/>
  <c r="Q216" i="19" s="1"/>
  <c r="P216" i="19" s="1"/>
  <c r="V216" i="19" s="1"/>
  <c r="U103" i="19"/>
  <c r="Q103" i="19" s="1"/>
  <c r="P103" i="19" s="1"/>
  <c r="V103" i="19" s="1"/>
  <c r="U222" i="19"/>
  <c r="Q222" i="19" s="1"/>
  <c r="P222" i="19" s="1"/>
  <c r="V222" i="19" s="1"/>
  <c r="U11" i="19"/>
  <c r="Q11" i="19" s="1"/>
  <c r="P11" i="19" s="1"/>
  <c r="U224" i="19"/>
  <c r="Q224" i="19" s="1"/>
  <c r="P224" i="19" s="1"/>
  <c r="V224" i="19" s="1"/>
  <c r="U225" i="19"/>
  <c r="Q225" i="19" s="1"/>
  <c r="P225" i="19" s="1"/>
  <c r="V225" i="19" s="1"/>
  <c r="U118" i="19"/>
  <c r="Q118" i="19" s="1"/>
  <c r="P118" i="19" s="1"/>
  <c r="V118" i="19" s="1"/>
  <c r="U226" i="19"/>
  <c r="Q226" i="19" s="1"/>
  <c r="P226" i="19" s="1"/>
  <c r="V226" i="19" s="1"/>
  <c r="U227" i="19"/>
  <c r="Q227" i="19" s="1"/>
  <c r="P227" i="19" s="1"/>
  <c r="V227" i="19" s="1"/>
  <c r="U223" i="19"/>
  <c r="Q223" i="19" s="1"/>
  <c r="P223" i="19" s="1"/>
  <c r="V223" i="19" s="1"/>
  <c r="U228" i="19"/>
  <c r="Q228" i="19" s="1"/>
  <c r="P228" i="19" s="1"/>
  <c r="V228" i="19" s="1"/>
  <c r="U180" i="19"/>
  <c r="Q180" i="19" s="1"/>
  <c r="P180" i="19" s="1"/>
  <c r="V180" i="19" s="1"/>
  <c r="U104" i="19"/>
  <c r="Q104" i="19" s="1"/>
  <c r="P104" i="19" s="1"/>
  <c r="V104" i="19" s="1"/>
  <c r="U230" i="19"/>
  <c r="Q230" i="19" s="1"/>
  <c r="P230" i="19" s="1"/>
  <c r="V230" i="19" s="1"/>
  <c r="U231" i="19"/>
  <c r="Q231" i="19" s="1"/>
  <c r="P231" i="19" s="1"/>
  <c r="V231" i="19" s="1"/>
  <c r="U232" i="19"/>
  <c r="Q232" i="19" s="1"/>
  <c r="P232" i="19" s="1"/>
  <c r="V232" i="19" s="1"/>
  <c r="U233" i="19"/>
  <c r="Q233" i="19" s="1"/>
  <c r="P233" i="19" s="1"/>
  <c r="V233" i="19" s="1"/>
  <c r="U181" i="19"/>
  <c r="Q181" i="19" s="1"/>
  <c r="P181" i="19" s="1"/>
  <c r="V181" i="19" s="1"/>
  <c r="U162" i="19"/>
  <c r="Q162" i="19" s="1"/>
  <c r="P162" i="19" s="1"/>
  <c r="V162" i="19" s="1"/>
  <c r="U235" i="19"/>
  <c r="Q235" i="19" s="1"/>
  <c r="P235" i="19" s="1"/>
  <c r="V235" i="19" s="1"/>
  <c r="U236" i="19"/>
  <c r="Q236" i="19" s="1"/>
  <c r="P236" i="19" s="1"/>
  <c r="V236" i="19" s="1"/>
  <c r="U237" i="19"/>
  <c r="Q237" i="19" s="1"/>
  <c r="P237" i="19" s="1"/>
  <c r="V237" i="19" s="1"/>
  <c r="U105" i="19"/>
  <c r="Q105" i="19" s="1"/>
  <c r="P105" i="19" s="1"/>
  <c r="V105" i="19" s="1"/>
  <c r="U238" i="19"/>
  <c r="Q238" i="19" s="1"/>
  <c r="P238" i="19" s="1"/>
  <c r="V238" i="19" s="1"/>
  <c r="U239" i="19"/>
  <c r="Q239" i="19" s="1"/>
  <c r="P239" i="19" s="1"/>
  <c r="V239" i="19" s="1"/>
  <c r="U240" i="19"/>
  <c r="Q240" i="19" s="1"/>
  <c r="P240" i="19" s="1"/>
  <c r="V240" i="19" s="1"/>
  <c r="U242" i="19"/>
  <c r="Q242" i="19" s="1"/>
  <c r="P242" i="19" s="1"/>
  <c r="V242" i="19" s="1"/>
  <c r="U243" i="19"/>
  <c r="Q243" i="19" s="1"/>
  <c r="P243" i="19" s="1"/>
  <c r="V243" i="19" s="1"/>
  <c r="U183" i="19"/>
  <c r="Q183" i="19" s="1"/>
  <c r="P183" i="19" s="1"/>
  <c r="V183" i="19" s="1"/>
  <c r="U184" i="19"/>
  <c r="Q184" i="19" s="1"/>
  <c r="P184" i="19" s="1"/>
  <c r="V184" i="19" s="1"/>
  <c r="U246" i="19"/>
  <c r="Q246" i="19" s="1"/>
  <c r="P246" i="19" s="1"/>
  <c r="V246" i="19" s="1"/>
  <c r="U146" i="19"/>
  <c r="Q146" i="19" s="1"/>
  <c r="P146" i="19" s="1"/>
  <c r="V146" i="19" s="1"/>
  <c r="U247" i="19"/>
  <c r="Q247" i="19" s="1"/>
  <c r="P247" i="19" s="1"/>
  <c r="V247" i="19" s="1"/>
  <c r="U97" i="19"/>
  <c r="Q97" i="19" s="1"/>
  <c r="P97" i="19" s="1"/>
  <c r="V97" i="19" s="1"/>
  <c r="U248" i="19"/>
  <c r="Q248" i="19" s="1"/>
  <c r="P248" i="19" s="1"/>
  <c r="V248" i="19" s="1"/>
  <c r="U249" i="19"/>
  <c r="Q249" i="19" s="1"/>
  <c r="P249" i="19" s="1"/>
  <c r="V249" i="19" s="1"/>
  <c r="U185" i="19"/>
  <c r="Q185" i="19" s="1"/>
  <c r="P185" i="19" s="1"/>
  <c r="V185" i="19" s="1"/>
  <c r="U186" i="19"/>
  <c r="Q186" i="19" s="1"/>
  <c r="P186" i="19" s="1"/>
  <c r="V186" i="19" s="1"/>
  <c r="U187" i="19"/>
  <c r="Q187" i="19" s="1"/>
  <c r="P187" i="19" s="1"/>
  <c r="V187" i="19" s="1"/>
  <c r="U188" i="19"/>
  <c r="Q188" i="19" s="1"/>
  <c r="P188" i="19" s="1"/>
  <c r="V188" i="19" s="1"/>
  <c r="U189" i="19"/>
  <c r="Q189" i="19" s="1"/>
  <c r="P189" i="19" s="1"/>
  <c r="V189" i="19" s="1"/>
  <c r="U255" i="19"/>
  <c r="Q255" i="19" s="1"/>
  <c r="P255" i="19" s="1"/>
  <c r="V255" i="19" s="1"/>
  <c r="U256" i="19"/>
  <c r="Q256" i="19" s="1"/>
  <c r="P256" i="19" s="1"/>
  <c r="V256" i="19" s="1"/>
  <c r="U147" i="19"/>
  <c r="Q147" i="19" s="1"/>
  <c r="P147" i="19" s="1"/>
  <c r="V147" i="19" s="1"/>
  <c r="U108" i="19"/>
  <c r="Q108" i="19" s="1"/>
  <c r="P108" i="19" s="1"/>
  <c r="V108" i="19" s="1"/>
  <c r="U257" i="19"/>
  <c r="Q257" i="19" s="1"/>
  <c r="P257" i="19" s="1"/>
  <c r="V257" i="19" s="1"/>
  <c r="U258" i="19"/>
  <c r="Q258" i="19" s="1"/>
  <c r="P258" i="19" s="1"/>
  <c r="V258" i="19" s="1"/>
  <c r="U109" i="19"/>
  <c r="Q109" i="19" s="1"/>
  <c r="P109" i="19" s="1"/>
  <c r="V109" i="19" s="1"/>
  <c r="U259" i="19"/>
  <c r="Q259" i="19" s="1"/>
  <c r="P259" i="19" s="1"/>
  <c r="V259" i="19" s="1"/>
  <c r="U261" i="19"/>
  <c r="Q261" i="19" s="1"/>
  <c r="P261" i="19" s="1"/>
  <c r="V261" i="19" s="1"/>
  <c r="U263" i="19"/>
  <c r="Q263" i="19" s="1"/>
  <c r="P263" i="19" s="1"/>
  <c r="V263" i="19" s="1"/>
  <c r="U117" i="19"/>
  <c r="Q117" i="19" s="1"/>
  <c r="P117" i="19" s="1"/>
  <c r="V117" i="19" s="1"/>
  <c r="U264" i="19"/>
  <c r="Q264" i="19" s="1"/>
  <c r="P264" i="19" s="1"/>
  <c r="V264" i="19" s="1"/>
  <c r="U265" i="19"/>
  <c r="Q265" i="19" s="1"/>
  <c r="P265" i="19" s="1"/>
  <c r="V265" i="19" s="1"/>
  <c r="U129" i="19"/>
  <c r="Q129" i="19" s="1"/>
  <c r="P129" i="19" s="1"/>
  <c r="V129" i="19" s="1"/>
  <c r="U266" i="19"/>
  <c r="Q266" i="19" s="1"/>
  <c r="P266" i="19" s="1"/>
  <c r="V266" i="19" s="1"/>
  <c r="U267" i="19"/>
  <c r="Q267" i="19" s="1"/>
  <c r="P267" i="19" s="1"/>
  <c r="V267" i="19" s="1"/>
  <c r="U268" i="19"/>
  <c r="Q268" i="19" s="1"/>
  <c r="P268" i="19" s="1"/>
  <c r="V268" i="19" s="1"/>
  <c r="U269" i="19"/>
  <c r="Q269" i="19" s="1"/>
  <c r="P269" i="19" s="1"/>
  <c r="V269" i="19" s="1"/>
  <c r="U270" i="19"/>
  <c r="Q270" i="19" s="1"/>
  <c r="P270" i="19" s="1"/>
  <c r="V270" i="19" s="1"/>
  <c r="U271" i="19"/>
  <c r="Q271" i="19" s="1"/>
  <c r="P271" i="19" s="1"/>
  <c r="V271" i="19" s="1"/>
  <c r="U272" i="19"/>
  <c r="Q272" i="19" s="1"/>
  <c r="P272" i="19" s="1"/>
  <c r="V272" i="19" s="1"/>
  <c r="U273" i="19"/>
  <c r="Q273" i="19" s="1"/>
  <c r="P273" i="19" s="1"/>
  <c r="V273" i="19" s="1"/>
  <c r="U191" i="19"/>
  <c r="Q191" i="19" s="1"/>
  <c r="P191" i="19" s="1"/>
  <c r="V191" i="19" s="1"/>
  <c r="U192" i="19"/>
  <c r="Q192" i="19" s="1"/>
  <c r="P192" i="19" s="1"/>
  <c r="V192" i="19" s="1"/>
  <c r="U193" i="19"/>
  <c r="Q193" i="19" s="1"/>
  <c r="P193" i="19" s="1"/>
  <c r="V193" i="19" s="1"/>
  <c r="U194" i="19"/>
  <c r="Q194" i="19" s="1"/>
  <c r="P194" i="19" s="1"/>
  <c r="V194" i="19" s="1"/>
  <c r="U276" i="19"/>
  <c r="Q276" i="19" s="1"/>
  <c r="P276" i="19" s="1"/>
  <c r="V276" i="19" s="1"/>
  <c r="U130" i="19"/>
  <c r="Q130" i="19" s="1"/>
  <c r="P130" i="19" s="1"/>
  <c r="V130" i="19" s="1"/>
  <c r="U195" i="19"/>
  <c r="Q195" i="19" s="1"/>
  <c r="P195" i="19" s="1"/>
  <c r="V195" i="19" s="1"/>
  <c r="U278" i="19"/>
  <c r="Q278" i="19" s="1"/>
  <c r="P278" i="19" s="1"/>
  <c r="V278" i="19" s="1"/>
  <c r="U279" i="19"/>
  <c r="Q279" i="19" s="1"/>
  <c r="P279" i="19" s="1"/>
  <c r="V279" i="19" s="1"/>
  <c r="U280" i="19"/>
  <c r="Q280" i="19" s="1"/>
  <c r="P280" i="19" s="1"/>
  <c r="V280" i="19" s="1"/>
  <c r="U196" i="19"/>
  <c r="Q196" i="19" s="1"/>
  <c r="P196" i="19" s="1"/>
  <c r="V196" i="19" s="1"/>
  <c r="U119" i="19"/>
  <c r="Q119" i="19" s="1"/>
  <c r="P119" i="19" s="1"/>
  <c r="V119" i="19" s="1"/>
  <c r="U281" i="19"/>
  <c r="Q281" i="19" s="1"/>
  <c r="P281" i="19" s="1"/>
  <c r="V281" i="19" s="1"/>
  <c r="U282" i="19"/>
  <c r="Q282" i="19" s="1"/>
  <c r="P282" i="19" s="1"/>
  <c r="V282" i="19" s="1"/>
  <c r="U197" i="19"/>
  <c r="Q197" i="19" s="1"/>
  <c r="P197" i="19" s="1"/>
  <c r="V197" i="19" s="1"/>
  <c r="U283" i="19"/>
  <c r="Q283" i="19" s="1"/>
  <c r="P283" i="19" s="1"/>
  <c r="V283" i="19" s="1"/>
  <c r="U135" i="19"/>
  <c r="Q135" i="19" s="1"/>
  <c r="P135" i="19" s="1"/>
  <c r="V135" i="19" s="1"/>
  <c r="U198" i="19"/>
  <c r="Q198" i="19" s="1"/>
  <c r="P198" i="19" s="1"/>
  <c r="V198" i="19" s="1"/>
  <c r="U284" i="19"/>
  <c r="Q284" i="19" s="1"/>
  <c r="P284" i="19" s="1"/>
  <c r="V284" i="19" s="1"/>
  <c r="U136" i="19"/>
  <c r="Q136" i="19" s="1"/>
  <c r="P136" i="19" s="1"/>
  <c r="V136" i="19" s="1"/>
  <c r="U287" i="19"/>
  <c r="Q287" i="19" s="1"/>
  <c r="P287" i="19" s="1"/>
  <c r="V287" i="19" s="1"/>
  <c r="U288" i="19"/>
  <c r="Q288" i="19" s="1"/>
  <c r="P288" i="19" s="1"/>
  <c r="V288" i="19" s="1"/>
  <c r="U286" i="19"/>
  <c r="Q286" i="19" s="1"/>
  <c r="P286" i="19" s="1"/>
  <c r="V286" i="19" s="1"/>
  <c r="U202" i="19"/>
  <c r="Q202" i="19" s="1"/>
  <c r="P202" i="19" s="1"/>
  <c r="V202" i="19" s="1"/>
  <c r="U120" i="19"/>
  <c r="Q120" i="19" s="1"/>
  <c r="P120" i="19" s="1"/>
  <c r="V120" i="19" s="1"/>
  <c r="U170" i="19"/>
  <c r="Q170" i="19" s="1"/>
  <c r="P170" i="19" s="1"/>
  <c r="V170" i="19" s="1"/>
  <c r="U290" i="19"/>
  <c r="Q290" i="19" s="1"/>
  <c r="P290" i="19" s="1"/>
  <c r="V290" i="19" s="1"/>
  <c r="U291" i="19"/>
  <c r="Q291" i="19" s="1"/>
  <c r="P291" i="19" s="1"/>
  <c r="V291" i="19" s="1"/>
  <c r="U292" i="19"/>
  <c r="Q292" i="19" s="1"/>
  <c r="P292" i="19" s="1"/>
  <c r="V292" i="19" s="1"/>
  <c r="U293" i="19"/>
  <c r="Q293" i="19" s="1"/>
  <c r="P293" i="19" s="1"/>
  <c r="V293" i="19" s="1"/>
  <c r="U294" i="19"/>
  <c r="Q294" i="19" s="1"/>
  <c r="P294" i="19" s="1"/>
  <c r="V294" i="19" s="1"/>
  <c r="U295" i="19"/>
  <c r="Q295" i="19" s="1"/>
  <c r="P295" i="19" s="1"/>
  <c r="V295" i="19" s="1"/>
  <c r="U296" i="19"/>
  <c r="Q296" i="19" s="1"/>
  <c r="P296" i="19" s="1"/>
  <c r="V296" i="19" s="1"/>
  <c r="U200" i="19"/>
  <c r="Q200" i="19" s="1"/>
  <c r="P200" i="19" s="1"/>
  <c r="V200" i="19" s="1"/>
  <c r="T137" i="19"/>
  <c r="T201" i="19"/>
  <c r="T208" i="19"/>
  <c r="T210" i="19"/>
  <c r="T205" i="19"/>
  <c r="T138" i="19"/>
  <c r="T139" i="19"/>
  <c r="T213" i="19"/>
  <c r="T214" i="19"/>
  <c r="T209" i="19"/>
  <c r="T140" i="19"/>
  <c r="T141" i="19"/>
  <c r="T215" i="19"/>
  <c r="T211" i="19"/>
  <c r="T217" i="19"/>
  <c r="T95" i="19"/>
  <c r="T121" i="19"/>
  <c r="T218" i="19"/>
  <c r="T96" i="19"/>
  <c r="T143" i="19"/>
  <c r="T219" i="19"/>
  <c r="T102" i="19"/>
  <c r="T216" i="19"/>
  <c r="T103" i="19"/>
  <c r="T222" i="19"/>
  <c r="T11" i="19"/>
  <c r="T224" i="19"/>
  <c r="T225" i="19"/>
  <c r="T118" i="19"/>
  <c r="T226" i="19"/>
  <c r="T227" i="19"/>
  <c r="T223" i="19"/>
  <c r="T228" i="19"/>
  <c r="T180" i="19"/>
  <c r="T104" i="19"/>
  <c r="T230" i="19"/>
  <c r="T231" i="19"/>
  <c r="T232" i="19"/>
  <c r="T233" i="19"/>
  <c r="T181" i="19"/>
  <c r="T162" i="19"/>
  <c r="T235" i="19"/>
  <c r="T236" i="19"/>
  <c r="T237" i="19"/>
  <c r="T105" i="19"/>
  <c r="T238" i="19"/>
  <c r="T239" i="19"/>
  <c r="T240" i="19"/>
  <c r="T242" i="19"/>
  <c r="T243" i="19"/>
  <c r="T183" i="19"/>
  <c r="T184" i="19"/>
  <c r="T246" i="19"/>
  <c r="T146" i="19"/>
  <c r="T247" i="19"/>
  <c r="T97" i="19"/>
  <c r="T248" i="19"/>
  <c r="T249" i="19"/>
  <c r="T185" i="19"/>
  <c r="T186" i="19"/>
  <c r="T187" i="19"/>
  <c r="T188" i="19"/>
  <c r="T189" i="19"/>
  <c r="T255" i="19"/>
  <c r="T256" i="19"/>
  <c r="T147" i="19"/>
  <c r="T108" i="19"/>
  <c r="T257" i="19"/>
  <c r="T258" i="19"/>
  <c r="T109" i="19"/>
  <c r="T259" i="19"/>
  <c r="T261" i="19"/>
  <c r="T263" i="19"/>
  <c r="T117" i="19"/>
  <c r="T264" i="19"/>
  <c r="T265" i="19"/>
  <c r="T129" i="19"/>
  <c r="T266" i="19"/>
  <c r="T267" i="19"/>
  <c r="T268" i="19"/>
  <c r="T269" i="19"/>
  <c r="T270" i="19"/>
  <c r="T271" i="19"/>
  <c r="T272" i="19"/>
  <c r="T273" i="19"/>
  <c r="T191" i="19"/>
  <c r="T192" i="19"/>
  <c r="T193" i="19"/>
  <c r="T194" i="19"/>
  <c r="T276" i="19"/>
  <c r="T130" i="19"/>
  <c r="T195" i="19"/>
  <c r="T278" i="19"/>
  <c r="T279" i="19"/>
  <c r="T280" i="19"/>
  <c r="T196" i="19"/>
  <c r="T119" i="19"/>
  <c r="T281" i="19"/>
  <c r="T282" i="19"/>
  <c r="T197" i="19"/>
  <c r="T283" i="19"/>
  <c r="T135" i="19"/>
  <c r="T198" i="19"/>
  <c r="T284" i="19"/>
  <c r="T136" i="19"/>
  <c r="T287" i="19"/>
  <c r="T288" i="19"/>
  <c r="T286" i="19"/>
  <c r="T202" i="19"/>
  <c r="T120" i="19"/>
  <c r="T170" i="19"/>
  <c r="T290" i="19"/>
  <c r="T291" i="19"/>
  <c r="T292" i="19"/>
  <c r="T293" i="19"/>
  <c r="T294" i="19"/>
  <c r="T295" i="19"/>
  <c r="T296" i="19"/>
  <c r="T200" i="19"/>
  <c r="AM281" i="20"/>
  <c r="AM280" i="20"/>
  <c r="AM295" i="20"/>
  <c r="AM294" i="20"/>
  <c r="AM530" i="20"/>
  <c r="AM531" i="20"/>
  <c r="AM532" i="20"/>
  <c r="AM533" i="20"/>
  <c r="AM491" i="20"/>
  <c r="AM451" i="20"/>
  <c r="AM454" i="20"/>
  <c r="AM485" i="20"/>
  <c r="AM470" i="20"/>
  <c r="AM498" i="20"/>
  <c r="AM493" i="20"/>
  <c r="AM483" i="20"/>
  <c r="AM500" i="20"/>
  <c r="AM449" i="20"/>
  <c r="AM440" i="20"/>
  <c r="AM482" i="20"/>
  <c r="AM496" i="20"/>
  <c r="AM495" i="20"/>
  <c r="AM427" i="20"/>
  <c r="AM429" i="20"/>
  <c r="AM497" i="20"/>
  <c r="AM439" i="20"/>
  <c r="AM499" i="20"/>
  <c r="AM443" i="20"/>
  <c r="AM446" i="20"/>
  <c r="AM456" i="20"/>
  <c r="AM452" i="20"/>
  <c r="AM484" i="20"/>
  <c r="AM405" i="20"/>
  <c r="AM410" i="20"/>
  <c r="AM411" i="20"/>
  <c r="AM445" i="20"/>
  <c r="AM486" i="20"/>
  <c r="AM487" i="20"/>
  <c r="AM413" i="20"/>
  <c r="AM417" i="20"/>
  <c r="AM450" i="20"/>
  <c r="AM471" i="20"/>
  <c r="AM419" i="20"/>
  <c r="AM420" i="20"/>
  <c r="AM421" i="20"/>
  <c r="AM422" i="20"/>
  <c r="AM430" i="20"/>
  <c r="AM441" i="20"/>
  <c r="AM464" i="20"/>
  <c r="AM467" i="20"/>
  <c r="AM409" i="20"/>
  <c r="AM415" i="20"/>
  <c r="AM416" i="20"/>
  <c r="AM414" i="20"/>
  <c r="AM428" i="20"/>
  <c r="AM438" i="20"/>
  <c r="AM442" i="20"/>
  <c r="AM448" i="20"/>
  <c r="AM453" i="20"/>
  <c r="AM463" i="20"/>
  <c r="AM447" i="20"/>
  <c r="AM412" i="20"/>
  <c r="AM424" i="20"/>
  <c r="AM425" i="20"/>
  <c r="AM437" i="20"/>
  <c r="AM444" i="20"/>
  <c r="AM488" i="20"/>
  <c r="AM489" i="20"/>
  <c r="AM490" i="20"/>
  <c r="AM492" i="20"/>
  <c r="AM503" i="20"/>
  <c r="AM501" i="20"/>
  <c r="AM502" i="20"/>
  <c r="AM754" i="20"/>
  <c r="AM753" i="20"/>
  <c r="AM760" i="20"/>
  <c r="AM755" i="20"/>
  <c r="AM745" i="20"/>
  <c r="AM761" i="20"/>
  <c r="AM747" i="20"/>
  <c r="AM759" i="20"/>
  <c r="AM756" i="20"/>
  <c r="AM757" i="20"/>
  <c r="AM758" i="20"/>
  <c r="AM890" i="20"/>
  <c r="AM885" i="20"/>
  <c r="AM883" i="20"/>
  <c r="AM875" i="20"/>
  <c r="AM878" i="20"/>
  <c r="AM902" i="20"/>
  <c r="AM879" i="20"/>
  <c r="AM876" i="20"/>
  <c r="AM908" i="20"/>
  <c r="AM874" i="20"/>
  <c r="AM877" i="20"/>
  <c r="AM889" i="20"/>
  <c r="AM881" i="20"/>
  <c r="AM665" i="20"/>
  <c r="AM677" i="20"/>
  <c r="AM888" i="20"/>
  <c r="AM900" i="20"/>
  <c r="AM882" i="20"/>
  <c r="AM884" i="20"/>
  <c r="AM662" i="20"/>
  <c r="AM899" i="20"/>
  <c r="AM895" i="20"/>
  <c r="AM674" i="20"/>
  <c r="AM893" i="20"/>
  <c r="AM894" i="20"/>
  <c r="AM515" i="20"/>
  <c r="AM518" i="20"/>
  <c r="AM522" i="20"/>
  <c r="AM523" i="20"/>
  <c r="AM556" i="20"/>
  <c r="AM653" i="20"/>
  <c r="AM663" i="20"/>
  <c r="AM898" i="20"/>
  <c r="AM512" i="20"/>
  <c r="AM909" i="20"/>
  <c r="AM886" i="20"/>
  <c r="AM887" i="20"/>
  <c r="AM525" i="20"/>
  <c r="AM526" i="20"/>
  <c r="AM896" i="20"/>
  <c r="AM891" i="20"/>
  <c r="AM514" i="20"/>
  <c r="AM521" i="20"/>
  <c r="AM880" i="20"/>
  <c r="AM892" i="20"/>
  <c r="AM673" i="20"/>
  <c r="AM897" i="20"/>
  <c r="AM910" i="20"/>
  <c r="AM906" i="20"/>
  <c r="AM901" i="20"/>
  <c r="AM904" i="20"/>
  <c r="AM903" i="20"/>
  <c r="AM905" i="20"/>
  <c r="AM911" i="20"/>
  <c r="AM907" i="20"/>
  <c r="AM578" i="20"/>
  <c r="AM610" i="20"/>
  <c r="AM616" i="20"/>
  <c r="AM606" i="20"/>
  <c r="AM635" i="20"/>
  <c r="AM630" i="20"/>
  <c r="AM599" i="20"/>
  <c r="AM581" i="20"/>
  <c r="AM565" i="20"/>
  <c r="AM601" i="20"/>
  <c r="AM570" i="20"/>
  <c r="AM626" i="20"/>
  <c r="AM628" i="20"/>
  <c r="AM587" i="20"/>
  <c r="AM516" i="20"/>
  <c r="AM517" i="20"/>
  <c r="AM519" i="20"/>
  <c r="AM693" i="20"/>
  <c r="AM836" i="20"/>
  <c r="AM694" i="20"/>
  <c r="AM841" i="20"/>
  <c r="AM842" i="20"/>
  <c r="AM843" i="20"/>
  <c r="AM840" i="20"/>
  <c r="AM793" i="20"/>
  <c r="AM830" i="20"/>
  <c r="AM838" i="20"/>
  <c r="AM690" i="20"/>
  <c r="AM688" i="20"/>
  <c r="AM832" i="20"/>
  <c r="AM839" i="20"/>
  <c r="AM787" i="20"/>
  <c r="AM831" i="20"/>
  <c r="AM834" i="20"/>
  <c r="AM786" i="20"/>
  <c r="AM789" i="20"/>
  <c r="AM764" i="20"/>
  <c r="AM829" i="20"/>
  <c r="AM507" i="20"/>
  <c r="AM506" i="20"/>
  <c r="AM511" i="20"/>
  <c r="AM509" i="20"/>
  <c r="AM510" i="20"/>
  <c r="AM552" i="20"/>
  <c r="AM555" i="20"/>
  <c r="AM554" i="20"/>
  <c r="AM553" i="20"/>
  <c r="AM550" i="20"/>
  <c r="AM551" i="20"/>
  <c r="AM549" i="20"/>
  <c r="AM603" i="20"/>
  <c r="AM873" i="20"/>
  <c r="AM538" i="20"/>
  <c r="AM595" i="20"/>
  <c r="AM579" i="20"/>
  <c r="AM646" i="20"/>
  <c r="AM678" i="20"/>
  <c r="AM617" i="20"/>
  <c r="AM682" i="20"/>
  <c r="AM636" i="20"/>
  <c r="AM612" i="20"/>
  <c r="AM624" i="20"/>
  <c r="AM590" i="20"/>
  <c r="AM669" i="20"/>
  <c r="AM780" i="20"/>
  <c r="AM872" i="20"/>
  <c r="AM541" i="20"/>
  <c r="AM596" i="20"/>
  <c r="AM583" i="20"/>
  <c r="AM925" i="20"/>
  <c r="AM544" i="20"/>
  <c r="AM593" i="20"/>
  <c r="AM631" i="20"/>
  <c r="AM598" i="20"/>
  <c r="AM684" i="20"/>
  <c r="AM863" i="20"/>
  <c r="AM592" i="20"/>
  <c r="AM613" i="20"/>
  <c r="AM611" i="20"/>
  <c r="AM668" i="20"/>
  <c r="AM680" i="20"/>
  <c r="AM782" i="20"/>
  <c r="AM540" i="20"/>
  <c r="AM621" i="20"/>
  <c r="AM600" i="20"/>
  <c r="AM586" i="20"/>
  <c r="AM647" i="20"/>
  <c r="AM648" i="20"/>
  <c r="AM679" i="20"/>
  <c r="AM785" i="20"/>
  <c r="AM539" i="20"/>
  <c r="AM597" i="20"/>
  <c r="AM582" i="20"/>
  <c r="AM576" i="20"/>
  <c r="AM638" i="20"/>
  <c r="AM869" i="20"/>
  <c r="AM548" i="20"/>
  <c r="AM561" i="20"/>
  <c r="AM563" i="20"/>
  <c r="AM633" i="20"/>
  <c r="AM567" i="20"/>
  <c r="AM608" i="20"/>
  <c r="AM591" i="20"/>
  <c r="AM637" i="20"/>
  <c r="AM569" i="20"/>
  <c r="AM602" i="20"/>
  <c r="AM618" i="20"/>
  <c r="AM640" i="20"/>
  <c r="AM649" i="20"/>
  <c r="AM675" i="20"/>
  <c r="AM783" i="20"/>
  <c r="AM866" i="20"/>
  <c r="AM871" i="20"/>
  <c r="AM609" i="20"/>
  <c r="AM584" i="20"/>
  <c r="AM571" i="20"/>
  <c r="AM672" i="20"/>
  <c r="AM862" i="20"/>
  <c r="AM923" i="20"/>
  <c r="AM566" i="20"/>
  <c r="AM685" i="20"/>
  <c r="AM557" i="20"/>
  <c r="AM604" i="20"/>
  <c r="AM573" i="20"/>
  <c r="AM864" i="20"/>
  <c r="AM536" i="20"/>
  <c r="AM622" i="20"/>
  <c r="AM627" i="20"/>
  <c r="AM629" i="20"/>
  <c r="AM615" i="20"/>
  <c r="AM645" i="20"/>
  <c r="AM657" i="20"/>
  <c r="AM860" i="20"/>
  <c r="AM861" i="20"/>
  <c r="AM865" i="20"/>
  <c r="AM542" i="20"/>
  <c r="AM545" i="20"/>
  <c r="AM546" i="20"/>
  <c r="AM619" i="20"/>
  <c r="AM575" i="20"/>
  <c r="AM620" i="20"/>
  <c r="AM588" i="20"/>
  <c r="AM607" i="20"/>
  <c r="AM634" i="20"/>
  <c r="AM580" i="20"/>
  <c r="AM594" i="20"/>
  <c r="AM577" i="20"/>
  <c r="AM659" i="20"/>
  <c r="AM867" i="20"/>
  <c r="AM870" i="20"/>
  <c r="AM926" i="20"/>
  <c r="AM927" i="20"/>
  <c r="AM928" i="20"/>
  <c r="AM528" i="20"/>
  <c r="AM535" i="20"/>
  <c r="AM537" i="20"/>
  <c r="AM547" i="20"/>
  <c r="AM632" i="20"/>
  <c r="AM625" i="20"/>
  <c r="AM589" i="20"/>
  <c r="AM605" i="20"/>
  <c r="AM650" i="20"/>
  <c r="AM652" i="20"/>
  <c r="AM651" i="20"/>
  <c r="AM781" i="20"/>
  <c r="AM397" i="20"/>
  <c r="AM670" i="20"/>
  <c r="AM718" i="20"/>
  <c r="AM1065" i="20"/>
  <c r="AM1076" i="20"/>
  <c r="AM1081" i="20"/>
  <c r="AM1092" i="20"/>
  <c r="AM1093" i="20"/>
  <c r="AM1119" i="20"/>
  <c r="AM1120" i="20"/>
  <c r="AM1121" i="20"/>
  <c r="AM1124" i="20"/>
  <c r="AM1147" i="20"/>
  <c r="AM477" i="20"/>
  <c r="AM466" i="20"/>
  <c r="AM469" i="20"/>
  <c r="AM712" i="20"/>
  <c r="AM823" i="20"/>
  <c r="AM473" i="20"/>
  <c r="AM639" i="20"/>
  <c r="AM676" i="20"/>
  <c r="AM687" i="20"/>
  <c r="AM972" i="20"/>
  <c r="AM318" i="20"/>
  <c r="AM309" i="20"/>
  <c r="AM728" i="20"/>
  <c r="AM768" i="20"/>
  <c r="AM798" i="20"/>
  <c r="AM799" i="20"/>
  <c r="AM433" i="20"/>
  <c r="AM721" i="20"/>
  <c r="AM725" i="20"/>
  <c r="AM762" i="20"/>
  <c r="AM784" i="20"/>
  <c r="AM835" i="20"/>
  <c r="AM1057" i="20"/>
  <c r="AM726" i="20"/>
  <c r="AM951" i="20"/>
  <c r="AM1052" i="20"/>
  <c r="AM1128" i="20"/>
  <c r="AM1135" i="20"/>
  <c r="AM716" i="20"/>
  <c r="AM314" i="20"/>
  <c r="AM304" i="20"/>
  <c r="AM308" i="20"/>
  <c r="AM310" i="20"/>
  <c r="AM305" i="20"/>
  <c r="AM303" i="20"/>
  <c r="AM313" i="20"/>
  <c r="AM319" i="20"/>
  <c r="AM320" i="20"/>
  <c r="AM321" i="20"/>
  <c r="AM306" i="20"/>
  <c r="AM317" i="20"/>
  <c r="AM655" i="20"/>
  <c r="AM666" i="20"/>
  <c r="AM683" i="20"/>
  <c r="AM700" i="20"/>
  <c r="AM707" i="20"/>
  <c r="AM710" i="20"/>
  <c r="AM748" i="20"/>
  <c r="AM765" i="20"/>
  <c r="AM766" i="20"/>
  <c r="AM769" i="20"/>
  <c r="AM775" i="20"/>
  <c r="AM771" i="20"/>
  <c r="AM767" i="20"/>
  <c r="AM797" i="20"/>
  <c r="AM796" i="20"/>
  <c r="AM810" i="20"/>
  <c r="AM809" i="20"/>
  <c r="AM811" i="20"/>
  <c r="AM1116" i="20"/>
  <c r="AM1113" i="20"/>
  <c r="AM1114" i="20"/>
  <c r="AM1115" i="20"/>
  <c r="AM431" i="20"/>
  <c r="AM708" i="20"/>
  <c r="AM729" i="20"/>
  <c r="AM746" i="20"/>
  <c r="AM788" i="20"/>
  <c r="AM819" i="20"/>
  <c r="AM844" i="20"/>
  <c r="AM920" i="20"/>
  <c r="AM942" i="20"/>
  <c r="AM297" i="20"/>
  <c r="AM455" i="20"/>
  <c r="AM494" i="20"/>
  <c r="AM644" i="20"/>
  <c r="AM818" i="20"/>
  <c r="AM918" i="20"/>
  <c r="AM930" i="20"/>
  <c r="AM931" i="20"/>
  <c r="AM1117" i="20"/>
  <c r="AM316" i="20"/>
  <c r="AM322" i="20"/>
  <c r="AM311" i="20"/>
  <c r="AM343" i="20"/>
  <c r="AM752" i="20"/>
  <c r="AM750" i="20"/>
  <c r="AM770" i="20"/>
  <c r="AM806" i="20"/>
  <c r="AM800" i="20"/>
  <c r="AM917" i="20"/>
  <c r="AM935" i="20"/>
  <c r="AM957" i="20"/>
  <c r="AM958" i="20"/>
  <c r="AM1005" i="20"/>
  <c r="AM1075" i="20"/>
  <c r="AM1125" i="20"/>
  <c r="AM827" i="20"/>
  <c r="AM985" i="20"/>
  <c r="AM398" i="20"/>
  <c r="AM702" i="20"/>
  <c r="AM778" i="20"/>
  <c r="AM1031" i="20"/>
  <c r="AM1053" i="20"/>
  <c r="AM1141" i="20"/>
  <c r="AM340" i="20"/>
  <c r="AM457" i="20"/>
  <c r="AM462" i="20"/>
  <c r="AM720" i="20"/>
  <c r="AM790" i="20"/>
  <c r="AM940" i="20"/>
  <c r="AM949" i="20"/>
  <c r="AM973" i="20"/>
  <c r="AM975" i="20"/>
  <c r="AM1026" i="20"/>
  <c r="AM342" i="20"/>
  <c r="AM382" i="20"/>
  <c r="AM383" i="20"/>
  <c r="AM391" i="20"/>
  <c r="AM395" i="20"/>
  <c r="AM513" i="20"/>
  <c r="AM614" i="20"/>
  <c r="AM681" i="20"/>
  <c r="AM692" i="20"/>
  <c r="AM705" i="20"/>
  <c r="AM709" i="20"/>
  <c r="AM733" i="20"/>
  <c r="AM735" i="20"/>
  <c r="AM741" i="20"/>
  <c r="AM744" i="20"/>
  <c r="AM821" i="20"/>
  <c r="AM938" i="20"/>
  <c r="AM956" i="20"/>
  <c r="AM963" i="20"/>
  <c r="AM971" i="20"/>
  <c r="AM983" i="20"/>
  <c r="AM982" i="20"/>
  <c r="AM994" i="20"/>
  <c r="AM1001" i="20"/>
  <c r="AM1002" i="20"/>
  <c r="AM1029" i="20"/>
  <c r="AM1039" i="20"/>
  <c r="AM1064" i="20"/>
  <c r="AM1074" i="20"/>
  <c r="AM1091" i="20"/>
  <c r="AM976" i="20"/>
  <c r="AM392" i="20"/>
  <c r="AM435" i="20"/>
  <c r="AM478" i="20"/>
  <c r="AM731" i="20"/>
  <c r="AM792" i="20"/>
  <c r="AM820" i="20"/>
  <c r="AM937" i="20"/>
  <c r="AM997" i="20"/>
  <c r="AM1016" i="20"/>
  <c r="AM1034" i="20"/>
  <c r="AM1059" i="20"/>
  <c r="AM1061" i="20"/>
  <c r="AM1107" i="20"/>
  <c r="AM1110" i="20"/>
  <c r="AM727" i="20"/>
  <c r="AM924" i="20"/>
  <c r="AM970" i="20"/>
  <c r="AM979" i="20"/>
  <c r="AM981" i="20"/>
  <c r="AM1003" i="20"/>
  <c r="AM1000" i="20"/>
  <c r="AM1007" i="20"/>
  <c r="AM1048" i="20"/>
  <c r="AM279" i="20"/>
  <c r="AM696" i="20"/>
  <c r="AM699" i="20"/>
  <c r="AM713" i="20"/>
  <c r="AM714" i="20"/>
  <c r="AM824" i="20"/>
  <c r="AM825" i="20"/>
  <c r="AM1014" i="20"/>
  <c r="AM1118" i="20"/>
  <c r="AM1133" i="20"/>
  <c r="AM282" i="20"/>
  <c r="AM394" i="20"/>
  <c r="AM458" i="20"/>
  <c r="AM460" i="20"/>
  <c r="AM472" i="20"/>
  <c r="AM479" i="20"/>
  <c r="AM534" i="20"/>
  <c r="AM568" i="20"/>
  <c r="AM664" i="20"/>
  <c r="AM698" i="20"/>
  <c r="AM734" i="20"/>
  <c r="AM743" i="20"/>
  <c r="AM763" i="20"/>
  <c r="AM952" i="20"/>
  <c r="AM955" i="20"/>
  <c r="AM987" i="20"/>
  <c r="AM1018" i="20"/>
  <c r="AM1025" i="20"/>
  <c r="AM1030" i="20"/>
  <c r="AM1033" i="20"/>
  <c r="AM1037" i="20"/>
  <c r="AM1050" i="20"/>
  <c r="AM1051" i="20"/>
  <c r="AM1056" i="20"/>
  <c r="AM1066" i="20"/>
  <c r="AM1077" i="20"/>
  <c r="AM1078" i="20"/>
  <c r="AM1079" i="20"/>
  <c r="AM1082" i="20"/>
  <c r="AM1132" i="20"/>
  <c r="AM1143" i="20"/>
  <c r="AM434" i="20"/>
  <c r="AM520" i="20"/>
  <c r="AM524" i="20"/>
  <c r="AM585" i="20"/>
  <c r="AM572" i="20"/>
  <c r="AM691" i="20"/>
  <c r="AM689" i="20"/>
  <c r="AM837" i="20"/>
  <c r="AM953" i="20"/>
  <c r="AM961" i="20"/>
  <c r="AM962" i="20"/>
  <c r="AM968" i="20"/>
  <c r="AM969" i="20"/>
  <c r="AM998" i="20"/>
  <c r="AM999" i="20"/>
  <c r="AM1041" i="20"/>
  <c r="AM1042" i="20"/>
  <c r="AM1060" i="20"/>
  <c r="AM1071" i="20"/>
  <c r="AM1072" i="20"/>
  <c r="AM1073" i="20"/>
  <c r="AM1105" i="20"/>
  <c r="AM558" i="20"/>
  <c r="AM641" i="20"/>
  <c r="AM654" i="20"/>
  <c r="AM671" i="20"/>
  <c r="AM695" i="20"/>
  <c r="AM711" i="20"/>
  <c r="AM717" i="20"/>
  <c r="AM822" i="20"/>
  <c r="AM828" i="20"/>
  <c r="AM508" i="20"/>
  <c r="AM574" i="20"/>
  <c r="AM722" i="20"/>
  <c r="AM732" i="20"/>
  <c r="AM950" i="20"/>
  <c r="AM960" i="20"/>
  <c r="AM967" i="20"/>
  <c r="AM978" i="20"/>
  <c r="AM991" i="20"/>
  <c r="AM1011" i="20"/>
  <c r="AM1028" i="20"/>
  <c r="AM1040" i="20"/>
  <c r="AM1063" i="20"/>
  <c r="AM1070" i="20"/>
  <c r="AM1083" i="20"/>
  <c r="AM1134" i="20"/>
  <c r="AM1145" i="20"/>
  <c r="AM296" i="20"/>
  <c r="AM393" i="20"/>
  <c r="AM529" i="20"/>
  <c r="AM559" i="20"/>
  <c r="AM560" i="20"/>
  <c r="AM564" i="20"/>
  <c r="AM623" i="20"/>
  <c r="AM660" i="20"/>
  <c r="AM667" i="20"/>
  <c r="AM697" i="20"/>
  <c r="AM749" i="20"/>
  <c r="AM779" i="20"/>
  <c r="AM833" i="20"/>
  <c r="AM913" i="20"/>
  <c r="AM914" i="20"/>
  <c r="AM915" i="20"/>
  <c r="AM919" i="20"/>
  <c r="AM922" i="20"/>
  <c r="AM929" i="20"/>
  <c r="AM959" i="20"/>
  <c r="AM965" i="20"/>
  <c r="AM966" i="20"/>
  <c r="AM977" i="20"/>
  <c r="AM1004" i="20"/>
  <c r="AM993" i="20"/>
  <c r="AM1015" i="20"/>
  <c r="AM1020" i="20"/>
  <c r="AM1043" i="20"/>
  <c r="AM1046" i="20"/>
  <c r="AM1047" i="20"/>
  <c r="AM1054" i="20"/>
  <c r="AM1055" i="20"/>
  <c r="AM1067" i="20"/>
  <c r="AM1068" i="20"/>
  <c r="AM1080" i="20"/>
  <c r="AM1089" i="20"/>
  <c r="AM1112" i="20"/>
  <c r="AM1127" i="20"/>
  <c r="AM1129" i="20"/>
  <c r="AM1136" i="20"/>
  <c r="AM1139" i="20"/>
  <c r="AM1144" i="20"/>
  <c r="AM1149" i="20"/>
  <c r="AM302" i="20"/>
  <c r="AM399" i="20"/>
  <c r="AM400" i="20"/>
  <c r="AM401" i="20"/>
  <c r="AM402" i="20"/>
  <c r="AM432" i="20"/>
  <c r="AM461" i="20"/>
  <c r="AM475" i="20"/>
  <c r="AM480" i="20"/>
  <c r="AM481" i="20"/>
  <c r="AM562" i="20"/>
  <c r="AM643" i="20"/>
  <c r="AM703" i="20"/>
  <c r="AM701" i="20"/>
  <c r="AM704" i="20"/>
  <c r="AM724" i="20"/>
  <c r="AM730" i="20"/>
  <c r="AM912" i="20"/>
  <c r="AM989" i="20"/>
  <c r="AM990" i="20"/>
  <c r="AM988" i="20"/>
  <c r="AM992" i="20"/>
  <c r="AM1012" i="20"/>
  <c r="AM1010" i="20"/>
  <c r="AM1013" i="20"/>
  <c r="AM1019" i="20"/>
  <c r="AM1027" i="20"/>
  <c r="AM1038" i="20"/>
  <c r="AM1044" i="20"/>
  <c r="AM1049" i="20"/>
  <c r="AM1058" i="20"/>
  <c r="AM1137" i="20"/>
  <c r="AM1138" i="20"/>
  <c r="AM1142" i="20"/>
  <c r="AM1140" i="20"/>
  <c r="AM723" i="20"/>
  <c r="AM1008" i="20"/>
  <c r="AM1009" i="20"/>
  <c r="AM1148" i="20"/>
  <c r="AM278" i="20"/>
  <c r="AM312" i="20"/>
  <c r="AM341" i="20"/>
  <c r="AM390" i="20"/>
  <c r="AM396" i="20"/>
  <c r="AM403" i="20"/>
  <c r="AM404" i="20"/>
  <c r="AM406" i="20"/>
  <c r="AM407" i="20"/>
  <c r="AM408" i="20"/>
  <c r="AM418" i="20"/>
  <c r="AM423" i="20"/>
  <c r="AM436" i="20"/>
  <c r="AM459" i="20"/>
  <c r="AM474" i="20"/>
  <c r="AM504" i="20"/>
  <c r="AM543" i="20"/>
  <c r="AM642" i="20"/>
  <c r="AM656" i="20"/>
  <c r="AM658" i="20"/>
  <c r="AM661" i="20"/>
  <c r="AM686" i="20"/>
  <c r="AM706" i="20"/>
  <c r="AM719" i="20"/>
  <c r="AM715" i="20"/>
  <c r="AM736" i="20"/>
  <c r="AM737" i="20"/>
  <c r="AM738" i="20"/>
  <c r="AM739" i="20"/>
  <c r="AM740" i="20"/>
  <c r="AM742" i="20"/>
  <c r="AM751" i="20"/>
  <c r="AM774" i="20"/>
  <c r="AM773" i="20"/>
  <c r="AM772" i="20"/>
  <c r="AM776" i="20"/>
  <c r="AM777" i="20"/>
  <c r="AM795" i="20"/>
  <c r="AM791" i="20"/>
  <c r="AM794" i="20"/>
  <c r="AM807" i="20"/>
  <c r="AM805" i="20"/>
  <c r="AM802" i="20"/>
  <c r="AM801" i="20"/>
  <c r="AM804" i="20"/>
  <c r="AM803" i="20"/>
  <c r="AM808" i="20"/>
  <c r="AM815" i="20"/>
  <c r="AM812" i="20"/>
  <c r="AM813" i="20"/>
  <c r="AM814" i="20"/>
  <c r="AM817" i="20"/>
  <c r="AM816" i="20"/>
  <c r="AM826" i="20"/>
  <c r="AM936" i="20"/>
  <c r="AM939" i="20"/>
  <c r="AM941" i="20"/>
  <c r="AM954" i="20"/>
  <c r="AM974" i="20"/>
  <c r="AM980" i="20"/>
  <c r="AM986" i="20"/>
  <c r="AM1006" i="20"/>
  <c r="AM995" i="20"/>
  <c r="AM996" i="20"/>
  <c r="AM1017" i="20"/>
  <c r="AM1032" i="20"/>
  <c r="AM1045" i="20"/>
  <c r="AM1090" i="20"/>
  <c r="AM1123" i="20"/>
  <c r="AM1122" i="20"/>
  <c r="AM1126" i="20"/>
  <c r="AM1130" i="20"/>
  <c r="AM1131" i="20"/>
  <c r="AM1146" i="20"/>
  <c r="AM847" i="20"/>
  <c r="AM848" i="20"/>
  <c r="AM849" i="20"/>
  <c r="AM846" i="20"/>
  <c r="AM854" i="20"/>
  <c r="AM850" i="20"/>
  <c r="AM859" i="20"/>
  <c r="AM857" i="20"/>
  <c r="AM851" i="20"/>
  <c r="AM852" i="20"/>
  <c r="AM845" i="20"/>
  <c r="AM853" i="20"/>
  <c r="AM856" i="20"/>
  <c r="AM855" i="20"/>
  <c r="AM858" i="20"/>
  <c r="AS530" i="20"/>
  <c r="AS531" i="20"/>
  <c r="AS532" i="20"/>
  <c r="AS533" i="20"/>
  <c r="AS491" i="20"/>
  <c r="AS451" i="20"/>
  <c r="AS454" i="20"/>
  <c r="AS485" i="20"/>
  <c r="AS470" i="20"/>
  <c r="AS498" i="20"/>
  <c r="AS493" i="20"/>
  <c r="AS483" i="20"/>
  <c r="AS500" i="20"/>
  <c r="AS449" i="20"/>
  <c r="AS440" i="20"/>
  <c r="AS482" i="20"/>
  <c r="AS496" i="20"/>
  <c r="AS495" i="20"/>
  <c r="AS427" i="20"/>
  <c r="AS429" i="20"/>
  <c r="AS497" i="20"/>
  <c r="AS439" i="20"/>
  <c r="AS499" i="20"/>
  <c r="AS443" i="20"/>
  <c r="AS446" i="20"/>
  <c r="AS456" i="20"/>
  <c r="AS452" i="20"/>
  <c r="AS484" i="20"/>
  <c r="AS405" i="20"/>
  <c r="AS410" i="20"/>
  <c r="AS411" i="20"/>
  <c r="AS445" i="20"/>
  <c r="AS487" i="20"/>
  <c r="AS413" i="20"/>
  <c r="AS417" i="20"/>
  <c r="AS450" i="20"/>
  <c r="AS471" i="20"/>
  <c r="AS419" i="20"/>
  <c r="AS420" i="20"/>
  <c r="AS421" i="20"/>
  <c r="AS422" i="20"/>
  <c r="AS430" i="20"/>
  <c r="AS441" i="20"/>
  <c r="AS464" i="20"/>
  <c r="AS467" i="20"/>
  <c r="AS409" i="20"/>
  <c r="AS415" i="20"/>
  <c r="AS416" i="20"/>
  <c r="AS414" i="20"/>
  <c r="AS428" i="20"/>
  <c r="AS438" i="20"/>
  <c r="AS442" i="20"/>
  <c r="AS448" i="20"/>
  <c r="AS453" i="20"/>
  <c r="AS463" i="20"/>
  <c r="AS447" i="20"/>
  <c r="AS412" i="20"/>
  <c r="AS424" i="20"/>
  <c r="AS425" i="20"/>
  <c r="AS437" i="20"/>
  <c r="AS444" i="20"/>
  <c r="AS488" i="20"/>
  <c r="AS489" i="20"/>
  <c r="AS490" i="20"/>
  <c r="AS492" i="20"/>
  <c r="AS503" i="20"/>
  <c r="AS501" i="20"/>
  <c r="AS502" i="20"/>
  <c r="AS754" i="20"/>
  <c r="AS753" i="20"/>
  <c r="AS760" i="20"/>
  <c r="AS755" i="20"/>
  <c r="AS745" i="20"/>
  <c r="AS761" i="20"/>
  <c r="AS747" i="20"/>
  <c r="AS759" i="20"/>
  <c r="AS756" i="20"/>
  <c r="AS757" i="20"/>
  <c r="AS758" i="20"/>
  <c r="AS890" i="20"/>
  <c r="AS885" i="20"/>
  <c r="AS883" i="20"/>
  <c r="AS875" i="20"/>
  <c r="AS878" i="20"/>
  <c r="AS902" i="20"/>
  <c r="AS879" i="20"/>
  <c r="AS876" i="20"/>
  <c r="AS908" i="20"/>
  <c r="AS874" i="20"/>
  <c r="AS877" i="20"/>
  <c r="AS889" i="20"/>
  <c r="AS881" i="20"/>
  <c r="AS665" i="20"/>
  <c r="AS677" i="20"/>
  <c r="AS888" i="20"/>
  <c r="AS900" i="20"/>
  <c r="AS882" i="20"/>
  <c r="AS884" i="20"/>
  <c r="AS662" i="20"/>
  <c r="AS899" i="20"/>
  <c r="AS895" i="20"/>
  <c r="AS674" i="20"/>
  <c r="AS893" i="20"/>
  <c r="AS894" i="20"/>
  <c r="AS515" i="20"/>
  <c r="AS518" i="20"/>
  <c r="AS522" i="20"/>
  <c r="AS523" i="20"/>
  <c r="AS556" i="20"/>
  <c r="AS653" i="20"/>
  <c r="AS663" i="20"/>
  <c r="AS898" i="20"/>
  <c r="AS512" i="20"/>
  <c r="AS909" i="20"/>
  <c r="AS886" i="20"/>
  <c r="AS887" i="20"/>
  <c r="AS525" i="20"/>
  <c r="AS526" i="20"/>
  <c r="AS896" i="20"/>
  <c r="AS891" i="20"/>
  <c r="AS514" i="20"/>
  <c r="AS521" i="20"/>
  <c r="AS880" i="20"/>
  <c r="AS892" i="20"/>
  <c r="AS673" i="20"/>
  <c r="AS897" i="20"/>
  <c r="AS910" i="20"/>
  <c r="AS906" i="20"/>
  <c r="AS901" i="20"/>
  <c r="AS904" i="20"/>
  <c r="AS903" i="20"/>
  <c r="AS905" i="20"/>
  <c r="AS911" i="20"/>
  <c r="AS907" i="20"/>
  <c r="AS578" i="20"/>
  <c r="AS610" i="20"/>
  <c r="AS616" i="20"/>
  <c r="AS606" i="20"/>
  <c r="AS635" i="20"/>
  <c r="AS630" i="20"/>
  <c r="AS599" i="20"/>
  <c r="AS581" i="20"/>
  <c r="AS565" i="20"/>
  <c r="AS601" i="20"/>
  <c r="AS570" i="20"/>
  <c r="AS626" i="20"/>
  <c r="AS628" i="20"/>
  <c r="AS587" i="20"/>
  <c r="AS516" i="20"/>
  <c r="AS517" i="20"/>
  <c r="AS519" i="20"/>
  <c r="AS693" i="20"/>
  <c r="AS836" i="20"/>
  <c r="AS694" i="20"/>
  <c r="AS841" i="20"/>
  <c r="AS842" i="20"/>
  <c r="AS843" i="20"/>
  <c r="AS840" i="20"/>
  <c r="AS793" i="20"/>
  <c r="AS830" i="20"/>
  <c r="AS838" i="20"/>
  <c r="AS690" i="20"/>
  <c r="AS688" i="20"/>
  <c r="AS832" i="20"/>
  <c r="AS839" i="20"/>
  <c r="AS787" i="20"/>
  <c r="AS831" i="20"/>
  <c r="AS834" i="20"/>
  <c r="AS786" i="20"/>
  <c r="AS789" i="20"/>
  <c r="AS764" i="20"/>
  <c r="AS829" i="20"/>
  <c r="AS507" i="20"/>
  <c r="AS506" i="20"/>
  <c r="AS511" i="20"/>
  <c r="AS509" i="20"/>
  <c r="AS510" i="20"/>
  <c r="AS552" i="20"/>
  <c r="AS555" i="20"/>
  <c r="AS554" i="20"/>
  <c r="AS553" i="20"/>
  <c r="AS550" i="20"/>
  <c r="AS551" i="20"/>
  <c r="AS549" i="20"/>
  <c r="AS603" i="20"/>
  <c r="AS873" i="20"/>
  <c r="AS538" i="20"/>
  <c r="AS595" i="20"/>
  <c r="AS579" i="20"/>
  <c r="AS646" i="20"/>
  <c r="AS678" i="20"/>
  <c r="AS617" i="20"/>
  <c r="AS682" i="20"/>
  <c r="AS636" i="20"/>
  <c r="AS612" i="20"/>
  <c r="AS624" i="20"/>
  <c r="AS590" i="20"/>
  <c r="AS669" i="20"/>
  <c r="AS780" i="20"/>
  <c r="AS872" i="20"/>
  <c r="AS541" i="20"/>
  <c r="AS596" i="20"/>
  <c r="AS583" i="20"/>
  <c r="AS925" i="20"/>
  <c r="AS544" i="20"/>
  <c r="AS593" i="20"/>
  <c r="AS631" i="20"/>
  <c r="AS598" i="20"/>
  <c r="AS684" i="20"/>
  <c r="AS863" i="20"/>
  <c r="AS592" i="20"/>
  <c r="AS613" i="20"/>
  <c r="AS611" i="20"/>
  <c r="AS668" i="20"/>
  <c r="AS680" i="20"/>
  <c r="AS782" i="20"/>
  <c r="AS540" i="20"/>
  <c r="AS621" i="20"/>
  <c r="AS600" i="20"/>
  <c r="AS586" i="20"/>
  <c r="AS647" i="20"/>
  <c r="AS648" i="20"/>
  <c r="AS679" i="20"/>
  <c r="AS785" i="20"/>
  <c r="AS539" i="20"/>
  <c r="AS597" i="20"/>
  <c r="AS582" i="20"/>
  <c r="AS576" i="20"/>
  <c r="AS638" i="20"/>
  <c r="AS869" i="20"/>
  <c r="AS548" i="20"/>
  <c r="AS561" i="20"/>
  <c r="AS563" i="20"/>
  <c r="AS633" i="20"/>
  <c r="AS567" i="20"/>
  <c r="AS608" i="20"/>
  <c r="AS591" i="20"/>
  <c r="AS637" i="20"/>
  <c r="AS569" i="20"/>
  <c r="AS602" i="20"/>
  <c r="AS618" i="20"/>
  <c r="AS640" i="20"/>
  <c r="AS649" i="20"/>
  <c r="AS675" i="20"/>
  <c r="AS783" i="20"/>
  <c r="AS866" i="20"/>
  <c r="AS871" i="20"/>
  <c r="AS609" i="20"/>
  <c r="AS584" i="20"/>
  <c r="AS571" i="20"/>
  <c r="AS672" i="20"/>
  <c r="AS862" i="20"/>
  <c r="AS923" i="20"/>
  <c r="AS557" i="20"/>
  <c r="AS604" i="20"/>
  <c r="AS573" i="20"/>
  <c r="AS864" i="20"/>
  <c r="AS536" i="20"/>
  <c r="AS622" i="20"/>
  <c r="AS627" i="20"/>
  <c r="AS629" i="20"/>
  <c r="AS615" i="20"/>
  <c r="AS645" i="20"/>
  <c r="AS657" i="20"/>
  <c r="AS860" i="20"/>
  <c r="AS861" i="20"/>
  <c r="AS865" i="20"/>
  <c r="AS542" i="20"/>
  <c r="AS545" i="20"/>
  <c r="AS546" i="20"/>
  <c r="AS619" i="20"/>
  <c r="AS575" i="20"/>
  <c r="AS620" i="20"/>
  <c r="AS588" i="20"/>
  <c r="AS607" i="20"/>
  <c r="AS634" i="20"/>
  <c r="AS580" i="20"/>
  <c r="AS594" i="20"/>
  <c r="AS577" i="20"/>
  <c r="AS659" i="20"/>
  <c r="AS867" i="20"/>
  <c r="AS870" i="20"/>
  <c r="AS926" i="20"/>
  <c r="AS927" i="20"/>
  <c r="AS928" i="20"/>
  <c r="AS528" i="20"/>
  <c r="AS535" i="20"/>
  <c r="AS537" i="20"/>
  <c r="AS547" i="20"/>
  <c r="AS632" i="20"/>
  <c r="AS625" i="20"/>
  <c r="AS589" i="20"/>
  <c r="AS605" i="20"/>
  <c r="AS650" i="20"/>
  <c r="AS652" i="20"/>
  <c r="AS651" i="20"/>
  <c r="AS781" i="20"/>
  <c r="AS847" i="20"/>
  <c r="AS848" i="20"/>
  <c r="AS849" i="20"/>
  <c r="AS846" i="20"/>
  <c r="AS854" i="20"/>
  <c r="AS850" i="20"/>
  <c r="AS859" i="20"/>
  <c r="AS857" i="20"/>
  <c r="AS851" i="20"/>
  <c r="AS852" i="20"/>
  <c r="AS845" i="20"/>
  <c r="AS853" i="20"/>
  <c r="AS856" i="20"/>
  <c r="AS855" i="20"/>
  <c r="AS858" i="20"/>
  <c r="M13" i="43"/>
  <c r="M12" i="43"/>
  <c r="AH89" i="14"/>
  <c r="AH99" i="14"/>
  <c r="AH273" i="14"/>
  <c r="AH49" i="14"/>
  <c r="AH141" i="14"/>
  <c r="AH172" i="14"/>
  <c r="AH69" i="14"/>
  <c r="AH79" i="14"/>
  <c r="AH67" i="14"/>
  <c r="AH65" i="14"/>
  <c r="AH64" i="14"/>
  <c r="AH175" i="14"/>
  <c r="AH130" i="14"/>
  <c r="AH135" i="14"/>
  <c r="AH137" i="14"/>
  <c r="AH171" i="14"/>
  <c r="AH68" i="14"/>
  <c r="AH174" i="14"/>
  <c r="AH173" i="14"/>
  <c r="AH181" i="14"/>
  <c r="AH63" i="14"/>
  <c r="AH200" i="14"/>
  <c r="AH94" i="14"/>
  <c r="AH101" i="14"/>
  <c r="AH103" i="14"/>
  <c r="AH194" i="14"/>
  <c r="AH226" i="14"/>
  <c r="AH229" i="14"/>
  <c r="N13" i="37"/>
  <c r="N14" i="37"/>
  <c r="AU471" i="20"/>
  <c r="AU470" i="20"/>
  <c r="AU467" i="20"/>
  <c r="AU464" i="20"/>
  <c r="AU421" i="20"/>
  <c r="AU422" i="20"/>
  <c r="AU456" i="20"/>
  <c r="AU450" i="20"/>
  <c r="AU447" i="20"/>
  <c r="AU446" i="20"/>
  <c r="AU448" i="20"/>
  <c r="AU443" i="20"/>
  <c r="AU445" i="20"/>
  <c r="AU410" i="20"/>
  <c r="AU411" i="20"/>
  <c r="AU430" i="20"/>
  <c r="AU428" i="20"/>
  <c r="AU427" i="20"/>
  <c r="AU463" i="20"/>
  <c r="AU417" i="20"/>
  <c r="AU415" i="20"/>
  <c r="AU416" i="20"/>
  <c r="AU414" i="20"/>
  <c r="AU412" i="20"/>
  <c r="AU429" i="20"/>
  <c r="AU454" i="20"/>
  <c r="AU452" i="20"/>
  <c r="AU453" i="20"/>
  <c r="AU451" i="20"/>
  <c r="AU449" i="20"/>
  <c r="AU444" i="20"/>
  <c r="AU441" i="20"/>
  <c r="AU440" i="20"/>
  <c r="AU442" i="20"/>
  <c r="AU439" i="20"/>
  <c r="AU438" i="20"/>
  <c r="AU437" i="20"/>
  <c r="AU405" i="20"/>
  <c r="AU420" i="20"/>
  <c r="AU419" i="20"/>
  <c r="AU495" i="20"/>
  <c r="AU496" i="20"/>
  <c r="AU497" i="20"/>
  <c r="AU425" i="20"/>
  <c r="AU424" i="20"/>
  <c r="AU486" i="20"/>
  <c r="AU487" i="20"/>
  <c r="AU413" i="20"/>
  <c r="AU409" i="20"/>
  <c r="AU491" i="20"/>
  <c r="AU488" i="20"/>
  <c r="AU490" i="20"/>
  <c r="AU489" i="20"/>
  <c r="AU485" i="20"/>
  <c r="AU484" i="20"/>
  <c r="AU483" i="20"/>
  <c r="AU482" i="20"/>
  <c r="AU498" i="20"/>
  <c r="AU499" i="20"/>
  <c r="AU501" i="20"/>
  <c r="AU502" i="20"/>
  <c r="AU500" i="20"/>
  <c r="AU503" i="20"/>
  <c r="AU492" i="20"/>
  <c r="AU493" i="20"/>
  <c r="AU516" i="20"/>
  <c r="AU519" i="20"/>
  <c r="AU517" i="20"/>
  <c r="N162" i="86"/>
  <c r="N163" i="86"/>
  <c r="N164" i="86"/>
  <c r="N165" i="86"/>
  <c r="N166" i="86"/>
  <c r="N167" i="86"/>
  <c r="N168" i="86"/>
  <c r="N148" i="86"/>
  <c r="N149" i="86"/>
  <c r="N150" i="86"/>
  <c r="N151" i="86"/>
  <c r="N152" i="86"/>
  <c r="N153" i="86"/>
  <c r="N154" i="86"/>
  <c r="N155" i="86"/>
  <c r="N156" i="86"/>
  <c r="N157" i="86"/>
  <c r="N158" i="86"/>
  <c r="N159" i="86"/>
  <c r="N160" i="86"/>
  <c r="N161" i="86"/>
  <c r="N146" i="86"/>
  <c r="N147" i="86"/>
  <c r="N139" i="86"/>
  <c r="N140" i="86"/>
  <c r="N141" i="86"/>
  <c r="N142" i="86"/>
  <c r="N143" i="86"/>
  <c r="N144" i="86"/>
  <c r="N145" i="86"/>
  <c r="N137" i="86"/>
  <c r="N138" i="86"/>
  <c r="N136" i="86"/>
  <c r="N134" i="86"/>
  <c r="N135" i="86"/>
  <c r="N132" i="86"/>
  <c r="N133" i="86"/>
  <c r="N125" i="86"/>
  <c r="N126" i="86"/>
  <c r="N127" i="86"/>
  <c r="N128" i="86"/>
  <c r="N129" i="86"/>
  <c r="N130" i="86"/>
  <c r="N131" i="86"/>
  <c r="N124" i="86"/>
  <c r="N123" i="86"/>
  <c r="N118" i="86"/>
  <c r="N119" i="86"/>
  <c r="N120" i="86"/>
  <c r="N121" i="86"/>
  <c r="N122" i="86"/>
  <c r="N116" i="86"/>
  <c r="N117" i="86"/>
  <c r="N111" i="86"/>
  <c r="N112" i="86"/>
  <c r="N113" i="86"/>
  <c r="N114" i="86"/>
  <c r="N115" i="86"/>
  <c r="N94" i="86"/>
  <c r="N95" i="86"/>
  <c r="N96" i="86"/>
  <c r="N97" i="86"/>
  <c r="N98" i="86"/>
  <c r="N99" i="86"/>
  <c r="N100" i="86"/>
  <c r="N101" i="86"/>
  <c r="N102" i="86"/>
  <c r="N103" i="86"/>
  <c r="N104" i="86"/>
  <c r="N105" i="86"/>
  <c r="N106" i="86"/>
  <c r="N107" i="86"/>
  <c r="N108" i="86"/>
  <c r="N109" i="86"/>
  <c r="N110" i="86"/>
  <c r="N93" i="86"/>
  <c r="N90" i="86"/>
  <c r="N91" i="86"/>
  <c r="N92" i="86"/>
  <c r="N87" i="86"/>
  <c r="N88" i="86"/>
  <c r="N89" i="86"/>
  <c r="N86" i="86"/>
  <c r="N82" i="86"/>
  <c r="N83" i="86"/>
  <c r="N84" i="86"/>
  <c r="N85" i="86"/>
  <c r="N81" i="86"/>
  <c r="N79" i="86"/>
  <c r="N80" i="86"/>
  <c r="N78" i="86"/>
  <c r="N76" i="86"/>
  <c r="N77" i="86"/>
  <c r="N70" i="86"/>
  <c r="N71" i="86"/>
  <c r="N72" i="86"/>
  <c r="N73" i="86"/>
  <c r="N74" i="86"/>
  <c r="N75" i="86"/>
  <c r="N69" i="86"/>
  <c r="N65" i="86"/>
  <c r="N66" i="86"/>
  <c r="N67" i="86"/>
  <c r="N68" i="86"/>
  <c r="N64" i="86"/>
  <c r="N55" i="86"/>
  <c r="N56" i="86"/>
  <c r="N57" i="86"/>
  <c r="N58" i="86"/>
  <c r="N59" i="86"/>
  <c r="N60" i="86"/>
  <c r="N61" i="86"/>
  <c r="N62" i="86"/>
  <c r="N63" i="86"/>
  <c r="AU546" i="20"/>
  <c r="AU540" i="20"/>
  <c r="AU544" i="20"/>
  <c r="AU542" i="20"/>
  <c r="AU545" i="20"/>
  <c r="AU538" i="20"/>
  <c r="AU536" i="20"/>
  <c r="AU537" i="20"/>
  <c r="AU548" i="20"/>
  <c r="AU539" i="20"/>
  <c r="AU541" i="20"/>
  <c r="AU547" i="20"/>
  <c r="AU657" i="20"/>
  <c r="AU684" i="20"/>
  <c r="AU549" i="20"/>
  <c r="AU640" i="20"/>
  <c r="AU561" i="20"/>
  <c r="AU638" i="20"/>
  <c r="AU659" i="20"/>
  <c r="AU645" i="20"/>
  <c r="AU557" i="20"/>
  <c r="AU680" i="20"/>
  <c r="AU672" i="20"/>
  <c r="AU668" i="20"/>
  <c r="AU675" i="20"/>
  <c r="AU649" i="20"/>
  <c r="AU679" i="20"/>
  <c r="AU648" i="20"/>
  <c r="AU669" i="20"/>
  <c r="AU650" i="20"/>
  <c r="AU563" i="20"/>
  <c r="AU682" i="20"/>
  <c r="AU685" i="20"/>
  <c r="AU678" i="20"/>
  <c r="AU646" i="20"/>
  <c r="AU535" i="20"/>
  <c r="AU652" i="20"/>
  <c r="AU651" i="20"/>
  <c r="AU528" i="20"/>
  <c r="AU647" i="20"/>
  <c r="R1" i="86"/>
  <c r="N2" i="86"/>
  <c r="N3" i="86"/>
  <c r="N4" i="86"/>
  <c r="N5" i="86"/>
  <c r="N6" i="86"/>
  <c r="N7" i="86"/>
  <c r="N8" i="86"/>
  <c r="N9" i="86"/>
  <c r="N10" i="86"/>
  <c r="N11" i="86"/>
  <c r="N12" i="86"/>
  <c r="N13" i="86"/>
  <c r="N14" i="86"/>
  <c r="N15" i="86"/>
  <c r="N16" i="86"/>
  <c r="N17" i="86"/>
  <c r="N18" i="86"/>
  <c r="N19" i="86"/>
  <c r="N20" i="86"/>
  <c r="N21" i="86"/>
  <c r="N22" i="86"/>
  <c r="N23" i="86"/>
  <c r="N24" i="86"/>
  <c r="N25" i="86"/>
  <c r="N26" i="86"/>
  <c r="N27" i="86"/>
  <c r="N28" i="86"/>
  <c r="N29" i="86"/>
  <c r="N30" i="86"/>
  <c r="N31" i="86"/>
  <c r="N32" i="86"/>
  <c r="N33" i="86"/>
  <c r="N34" i="86"/>
  <c r="N35" i="86"/>
  <c r="N36" i="86"/>
  <c r="N37" i="86"/>
  <c r="N38" i="86"/>
  <c r="N39" i="86"/>
  <c r="N40" i="86"/>
  <c r="N41" i="86"/>
  <c r="N42" i="86"/>
  <c r="N43" i="86"/>
  <c r="N44" i="86"/>
  <c r="N45" i="86"/>
  <c r="N46" i="86"/>
  <c r="N47" i="86"/>
  <c r="N48" i="86"/>
  <c r="N49" i="86"/>
  <c r="N50" i="86"/>
  <c r="N51" i="86"/>
  <c r="N52" i="86"/>
  <c r="N53" i="86"/>
  <c r="N54" i="86"/>
  <c r="AU514" i="20"/>
  <c r="AU518" i="20"/>
  <c r="AU523" i="20"/>
  <c r="AU526" i="20"/>
  <c r="AU525" i="20"/>
  <c r="AU522" i="20"/>
  <c r="AU515" i="20"/>
  <c r="AU521" i="20"/>
  <c r="AU512" i="20"/>
  <c r="AU556" i="20"/>
  <c r="AU674" i="20"/>
  <c r="AU653" i="20"/>
  <c r="AU665" i="20"/>
  <c r="AU673" i="20"/>
  <c r="AU663" i="20"/>
  <c r="AU662" i="20"/>
  <c r="AU677" i="20"/>
  <c r="AU754" i="20"/>
  <c r="AU896" i="20"/>
  <c r="AU839" i="20"/>
  <c r="AU832" i="20"/>
  <c r="AU1171" i="20"/>
  <c r="AU894" i="20"/>
  <c r="AU1172" i="20"/>
  <c r="AU1170" i="20"/>
  <c r="AU1168" i="20"/>
  <c r="AU1169" i="20"/>
  <c r="AU909" i="20"/>
  <c r="AU834" i="20"/>
  <c r="AU831" i="20"/>
  <c r="AU787" i="20"/>
  <c r="AU758" i="20"/>
  <c r="AU886" i="20"/>
  <c r="AU887" i="20"/>
  <c r="AU899" i="20"/>
  <c r="AU895" i="20"/>
  <c r="AU759" i="20"/>
  <c r="AU893" i="20"/>
  <c r="AU838" i="20"/>
  <c r="AU621" i="20"/>
  <c r="AU593" i="20"/>
  <c r="AU884" i="20"/>
  <c r="AU789" i="20"/>
  <c r="AU880" i="20"/>
  <c r="AU575" i="20"/>
  <c r="AU786" i="20"/>
  <c r="AU836" i="20"/>
  <c r="AU760" i="20"/>
  <c r="AU892" i="20"/>
  <c r="AU885" i="20"/>
  <c r="AU891" i="20"/>
  <c r="AU897" i="20"/>
  <c r="AU632" i="20"/>
  <c r="AU898" i="20"/>
  <c r="AU633" i="20"/>
  <c r="AU793" i="20"/>
  <c r="AU625" i="20"/>
  <c r="AU510" i="20"/>
  <c r="AU745" i="20"/>
  <c r="AU507" i="20"/>
  <c r="AU865" i="20"/>
  <c r="AU622" i="20"/>
  <c r="AU870" i="20"/>
  <c r="AU588" i="20"/>
  <c r="AU567" i="20"/>
  <c r="AU688" i="20"/>
  <c r="AU869" i="20"/>
  <c r="AU582" i="20"/>
  <c r="AU690" i="20"/>
  <c r="AU872" i="20"/>
  <c r="AU636" i="20"/>
  <c r="AU866" i="20"/>
  <c r="AU608" i="20"/>
  <c r="AU631" i="20"/>
  <c r="AU867" i="20"/>
  <c r="AU607" i="20"/>
  <c r="AU864" i="20"/>
  <c r="AU604" i="20"/>
  <c r="AU862" i="20"/>
  <c r="AU609" i="20"/>
  <c r="AU863" i="20"/>
  <c r="AU598" i="20"/>
  <c r="AU873" i="20"/>
  <c r="AU603" i="20"/>
  <c r="AU693" i="20"/>
  <c r="AU860" i="20"/>
  <c r="AU627" i="20"/>
  <c r="AU861" i="20"/>
  <c r="AU629" i="20"/>
  <c r="AU871" i="20"/>
  <c r="AU591" i="20"/>
  <c r="AU782" i="20"/>
  <c r="AU592" i="20"/>
  <c r="AU781" i="20"/>
  <c r="AU589" i="20"/>
  <c r="AU612" i="20"/>
  <c r="AU780" i="20"/>
  <c r="AU624" i="20"/>
  <c r="AU530" i="20"/>
  <c r="AU531" i="20"/>
  <c r="AU829" i="20"/>
  <c r="AU532" i="20"/>
  <c r="AU830" i="20"/>
  <c r="AU910" i="20"/>
  <c r="AU906" i="20"/>
  <c r="AU888" i="20"/>
  <c r="AU901" i="20"/>
  <c r="AU904" i="20"/>
  <c r="AU903" i="20"/>
  <c r="AU890" i="20"/>
  <c r="AU753" i="20"/>
  <c r="AU900" i="20"/>
  <c r="AU905" i="20"/>
  <c r="AU637" i="20"/>
  <c r="AU511" i="20"/>
  <c r="AU756" i="20"/>
  <c r="AU569" i="20"/>
  <c r="AU576" i="20"/>
  <c r="AU506" i="20"/>
  <c r="AU927" i="20"/>
  <c r="AU634" i="20"/>
  <c r="AU928" i="20"/>
  <c r="AU580" i="20"/>
  <c r="AU594" i="20"/>
  <c r="AU509" i="20"/>
  <c r="AU925" i="20"/>
  <c r="AU583" i="20"/>
  <c r="AU926" i="20"/>
  <c r="AU577" i="20"/>
  <c r="AU573" i="20"/>
  <c r="AU613" i="20"/>
  <c r="AU555" i="20"/>
  <c r="AU553" i="20"/>
  <c r="AU584" i="20"/>
  <c r="AU923" i="20"/>
  <c r="AU550" i="20"/>
  <c r="AU551" i="20"/>
  <c r="AU571" i="20"/>
  <c r="AU611" i="20"/>
  <c r="AU554" i="20"/>
  <c r="AU783" i="20"/>
  <c r="AU602" i="20"/>
  <c r="AU785" i="20"/>
  <c r="AU600" i="20"/>
  <c r="AU590" i="20"/>
  <c r="AU552" i="20"/>
  <c r="AU605" i="20"/>
  <c r="AU881" i="20"/>
  <c r="AU757" i="20"/>
  <c r="AU761" i="20"/>
  <c r="AU883" i="20"/>
  <c r="AU875" i="20"/>
  <c r="AU841" i="20"/>
  <c r="AU878" i="20"/>
  <c r="AU842" i="20"/>
  <c r="AU902" i="20"/>
  <c r="AU879" i="20"/>
  <c r="AU843" i="20"/>
  <c r="AU911" i="20"/>
  <c r="AU876" i="20"/>
  <c r="AU908" i="20"/>
  <c r="AU907" i="20"/>
  <c r="AU874" i="20"/>
  <c r="AU840" i="20"/>
  <c r="AU755" i="20"/>
  <c r="AU877" i="20"/>
  <c r="AU882" i="20"/>
  <c r="AU889" i="20"/>
  <c r="AU617" i="20"/>
  <c r="AU694" i="20"/>
  <c r="AU566" i="20"/>
  <c r="AU747" i="20"/>
  <c r="AU586" i="20"/>
  <c r="AU579" i="20"/>
  <c r="AU764" i="20"/>
  <c r="AU533" i="20"/>
  <c r="AU565" i="20"/>
  <c r="AU581" i="20"/>
  <c r="AU587" i="20"/>
  <c r="AU616" i="20"/>
  <c r="AU630" i="20"/>
  <c r="AU635" i="20"/>
  <c r="AU858" i="20"/>
  <c r="AU610" i="20"/>
  <c r="AU606" i="20"/>
  <c r="AU578" i="20"/>
  <c r="AU599" i="20"/>
  <c r="AU601" i="20"/>
  <c r="AU570" i="20"/>
  <c r="AU626" i="20"/>
  <c r="AU628" i="20"/>
  <c r="AU845" i="20"/>
  <c r="AU846" i="20"/>
  <c r="AU847" i="20"/>
  <c r="AU848" i="20"/>
  <c r="AU849" i="20"/>
  <c r="AU850" i="20"/>
  <c r="AU851" i="20"/>
  <c r="AU852" i="20"/>
  <c r="AU853" i="20"/>
  <c r="AU854" i="20"/>
  <c r="AU855" i="20"/>
  <c r="AU856" i="20"/>
  <c r="AU857" i="20"/>
  <c r="AU859" i="20"/>
  <c r="AU595" i="20"/>
  <c r="AU596" i="20"/>
  <c r="AU597" i="20"/>
  <c r="AU615" i="20"/>
  <c r="AU618" i="20"/>
  <c r="AU619" i="20"/>
  <c r="AU620" i="20"/>
  <c r="S270" i="14"/>
  <c r="AF3" i="66"/>
  <c r="AF4" i="66"/>
  <c r="AF5" i="66"/>
  <c r="AF6" i="66"/>
  <c r="AF8" i="66"/>
  <c r="AF10" i="66"/>
  <c r="AF11" i="66"/>
  <c r="AF12" i="66"/>
  <c r="AF13" i="66"/>
  <c r="AF14" i="66"/>
  <c r="AF15" i="66"/>
  <c r="AF16" i="66"/>
  <c r="AF17" i="66"/>
  <c r="AF18" i="66"/>
  <c r="AF19" i="66"/>
  <c r="AF20" i="66"/>
  <c r="AF21" i="66"/>
  <c r="AF22" i="66"/>
  <c r="AF23" i="66"/>
  <c r="AF25" i="66"/>
  <c r="AE4" i="66"/>
  <c r="AE5" i="66"/>
  <c r="AE6" i="66"/>
  <c r="AE9" i="66"/>
  <c r="AE12" i="66"/>
  <c r="AE14" i="66"/>
  <c r="AE15" i="66"/>
  <c r="AE16" i="66"/>
  <c r="AE17" i="66"/>
  <c r="AE18" i="66"/>
  <c r="AE19" i="66"/>
  <c r="AE20" i="66"/>
  <c r="AE21" i="66"/>
  <c r="AE22" i="66"/>
  <c r="AE23" i="66"/>
  <c r="AE25" i="66"/>
  <c r="M13" i="37"/>
  <c r="M14" i="37"/>
  <c r="L13" i="37"/>
  <c r="L14" i="37"/>
  <c r="K13" i="37"/>
  <c r="K14" i="37"/>
  <c r="C3" i="77"/>
  <c r="C2" i="77" s="1"/>
  <c r="S234" i="14"/>
  <c r="S230" i="14"/>
  <c r="H15" i="36"/>
  <c r="I15" i="36"/>
  <c r="J15" i="36"/>
  <c r="S248" i="14"/>
  <c r="S117" i="14"/>
  <c r="S218" i="14"/>
  <c r="S247" i="14"/>
  <c r="S99" i="14"/>
  <c r="S63" i="14"/>
  <c r="S62" i="14"/>
  <c r="S78" i="14"/>
  <c r="S131" i="14"/>
  <c r="S118" i="14"/>
  <c r="S272" i="14"/>
  <c r="S177" i="14"/>
  <c r="S274" i="14"/>
  <c r="S85" i="14"/>
  <c r="S108" i="14"/>
  <c r="S186" i="14"/>
  <c r="S109" i="14"/>
  <c r="S102" i="14"/>
  <c r="S189" i="14"/>
  <c r="S59" i="14"/>
  <c r="S227" i="14"/>
  <c r="S216" i="14"/>
  <c r="S192" i="14"/>
  <c r="S195" i="14"/>
  <c r="S91" i="14"/>
  <c r="S95" i="14"/>
  <c r="S199" i="14"/>
  <c r="S190" i="14"/>
  <c r="S197" i="14"/>
  <c r="S224" i="14"/>
  <c r="S176" i="14"/>
  <c r="S276" i="14"/>
  <c r="S231" i="14"/>
  <c r="S163" i="14"/>
  <c r="S162" i="14"/>
  <c r="S88" i="14"/>
  <c r="S164" i="14"/>
  <c r="S161" i="14"/>
  <c r="S50" i="14"/>
  <c r="S146" i="14"/>
  <c r="S134" i="14"/>
  <c r="S151" i="14"/>
  <c r="S147" i="14"/>
  <c r="S154" i="14"/>
  <c r="S148" i="14"/>
  <c r="S149" i="14"/>
  <c r="S153" i="14"/>
  <c r="S271" i="14"/>
  <c r="S233" i="14"/>
  <c r="S239" i="14"/>
  <c r="S156" i="14"/>
  <c r="S114" i="14"/>
  <c r="S235" i="14"/>
  <c r="S264" i="14"/>
  <c r="S86" i="14"/>
  <c r="S132" i="14"/>
  <c r="S111" i="14"/>
  <c r="S89" i="14"/>
  <c r="S48" i="14"/>
  <c r="S21" i="14"/>
  <c r="S39" i="14"/>
  <c r="S277" i="14"/>
  <c r="S169" i="14"/>
  <c r="S97" i="14"/>
  <c r="S279" i="14"/>
  <c r="S185" i="14"/>
  <c r="S214" i="14"/>
  <c r="D16" i="43"/>
  <c r="D18" i="43"/>
  <c r="C8" i="37"/>
  <c r="N54" i="37"/>
  <c r="M54" i="37"/>
  <c r="J54" i="37"/>
  <c r="I54" i="37"/>
  <c r="F54" i="37"/>
  <c r="E54" i="37"/>
  <c r="C54" i="37"/>
  <c r="B54" i="37"/>
  <c r="N53" i="37"/>
  <c r="M53" i="37"/>
  <c r="J53" i="37"/>
  <c r="I53" i="37"/>
  <c r="F53" i="37"/>
  <c r="E53" i="37"/>
  <c r="C53" i="37"/>
  <c r="B53" i="37"/>
  <c r="N52" i="37"/>
  <c r="M52" i="37"/>
  <c r="J52" i="37"/>
  <c r="I52" i="37"/>
  <c r="F52" i="37"/>
  <c r="E52" i="37"/>
  <c r="C52" i="37"/>
  <c r="B52" i="37"/>
  <c r="N51" i="37"/>
  <c r="M51" i="37"/>
  <c r="J51" i="37"/>
  <c r="I51" i="37"/>
  <c r="F51" i="37"/>
  <c r="E51" i="37"/>
  <c r="C51" i="37"/>
  <c r="B51" i="37"/>
  <c r="N50" i="37"/>
  <c r="M50" i="37"/>
  <c r="J50" i="37"/>
  <c r="I50" i="37"/>
  <c r="F50" i="37"/>
  <c r="E50" i="37"/>
  <c r="C50" i="37"/>
  <c r="B50" i="37"/>
  <c r="N49" i="37"/>
  <c r="M49" i="37"/>
  <c r="J49" i="37"/>
  <c r="I49" i="37"/>
  <c r="F49" i="37"/>
  <c r="E49" i="37"/>
  <c r="C49" i="37"/>
  <c r="B49" i="37"/>
  <c r="N48" i="37"/>
  <c r="M48" i="37"/>
  <c r="J48" i="37"/>
  <c r="I48" i="37"/>
  <c r="F48" i="37"/>
  <c r="E48" i="37"/>
  <c r="B48" i="37"/>
  <c r="N47" i="37"/>
  <c r="M47" i="37"/>
  <c r="J47" i="37"/>
  <c r="I47" i="37"/>
  <c r="F47" i="37"/>
  <c r="E47" i="37"/>
  <c r="C47" i="37"/>
  <c r="B47" i="37"/>
  <c r="N46" i="37"/>
  <c r="M46" i="37"/>
  <c r="J46" i="37"/>
  <c r="I46" i="37"/>
  <c r="F46" i="37"/>
  <c r="E46" i="37"/>
  <c r="C46" i="37"/>
  <c r="B46" i="37"/>
  <c r="N45" i="37"/>
  <c r="M45" i="37"/>
  <c r="J45" i="37"/>
  <c r="I45" i="37"/>
  <c r="F45" i="37"/>
  <c r="E45" i="37"/>
  <c r="C45" i="37"/>
  <c r="B45" i="37"/>
  <c r="N44" i="37"/>
  <c r="M44" i="37"/>
  <c r="J44" i="37"/>
  <c r="I44" i="37"/>
  <c r="F44" i="37"/>
  <c r="E44" i="37"/>
  <c r="C44" i="37"/>
  <c r="B44" i="37"/>
  <c r="N43" i="37"/>
  <c r="M43" i="37"/>
  <c r="J43" i="37"/>
  <c r="I43" i="37"/>
  <c r="F43" i="37"/>
  <c r="E43" i="37"/>
  <c r="C43" i="37"/>
  <c r="B43" i="37"/>
  <c r="N42" i="37"/>
  <c r="M42" i="37"/>
  <c r="J42" i="37"/>
  <c r="I42" i="37"/>
  <c r="F42" i="37"/>
  <c r="E42" i="37"/>
  <c r="C42" i="37"/>
  <c r="B42" i="37"/>
  <c r="N41" i="37"/>
  <c r="M41" i="37"/>
  <c r="J41" i="37"/>
  <c r="I41" i="37"/>
  <c r="F41" i="37"/>
  <c r="E41" i="37"/>
  <c r="C41" i="37"/>
  <c r="B41" i="37"/>
  <c r="N40" i="37"/>
  <c r="M40" i="37"/>
  <c r="L40" i="37"/>
  <c r="J40" i="37"/>
  <c r="I40" i="37"/>
  <c r="H40" i="37"/>
  <c r="F40" i="37"/>
  <c r="E40" i="37"/>
  <c r="D40" i="37"/>
  <c r="C40" i="37"/>
  <c r="B40" i="37"/>
  <c r="N39" i="37"/>
  <c r="M39" i="37"/>
  <c r="L39" i="37"/>
  <c r="J39" i="37"/>
  <c r="I39" i="37"/>
  <c r="H39" i="37"/>
  <c r="F39" i="37"/>
  <c r="E39" i="37"/>
  <c r="D39" i="37"/>
  <c r="C39" i="37"/>
  <c r="B39" i="37"/>
  <c r="N38" i="37"/>
  <c r="M38" i="37"/>
  <c r="J38" i="37"/>
  <c r="I38" i="37"/>
  <c r="F38" i="37"/>
  <c r="E38" i="37"/>
  <c r="C38" i="37"/>
  <c r="B38" i="37"/>
  <c r="N37" i="37"/>
  <c r="M37" i="37"/>
  <c r="J37" i="37"/>
  <c r="I37" i="37"/>
  <c r="F37" i="37"/>
  <c r="E37" i="37"/>
  <c r="B37" i="37"/>
  <c r="N36" i="37"/>
  <c r="M36" i="37"/>
  <c r="J36" i="37"/>
  <c r="I36" i="37"/>
  <c r="F36" i="37"/>
  <c r="E36" i="37"/>
  <c r="C36" i="37"/>
  <c r="B36" i="37"/>
  <c r="N35" i="37"/>
  <c r="M35" i="37"/>
  <c r="J35" i="37"/>
  <c r="I35" i="37"/>
  <c r="F35" i="37"/>
  <c r="F55" i="37" s="1"/>
  <c r="E35" i="37"/>
  <c r="C35" i="37"/>
  <c r="B35" i="37"/>
  <c r="H13" i="37"/>
  <c r="I13" i="37"/>
  <c r="J13" i="37"/>
  <c r="I14" i="37"/>
  <c r="J14" i="37"/>
  <c r="H8" i="36"/>
  <c r="I8" i="36"/>
  <c r="J8" i="36"/>
  <c r="H9" i="36"/>
  <c r="I9" i="36"/>
  <c r="J9" i="36"/>
  <c r="H10" i="36"/>
  <c r="I10" i="36"/>
  <c r="J10" i="36"/>
  <c r="H12" i="36"/>
  <c r="I12" i="36"/>
  <c r="J12" i="36"/>
  <c r="H13" i="36"/>
  <c r="I13" i="36"/>
  <c r="J13" i="36"/>
  <c r="H14" i="36"/>
  <c r="I14" i="36"/>
  <c r="J14" i="36"/>
  <c r="H16" i="36"/>
  <c r="I16" i="36"/>
  <c r="J16" i="36"/>
  <c r="H17" i="36"/>
  <c r="I17" i="36"/>
  <c r="J17" i="36"/>
  <c r="H18" i="36"/>
  <c r="I18" i="36"/>
  <c r="J18" i="36"/>
  <c r="H19" i="36"/>
  <c r="I19" i="36"/>
  <c r="J19" i="36"/>
  <c r="H20" i="36"/>
  <c r="I20" i="36"/>
  <c r="J20" i="36"/>
  <c r="H21" i="36"/>
  <c r="I21" i="36"/>
  <c r="J21" i="36"/>
  <c r="H22" i="36"/>
  <c r="I22" i="36"/>
  <c r="J22" i="36"/>
  <c r="H23" i="36"/>
  <c r="I23" i="36"/>
  <c r="J23" i="36"/>
  <c r="H24" i="36"/>
  <c r="I24" i="36"/>
  <c r="J24" i="36"/>
  <c r="H25" i="36"/>
  <c r="I25" i="36"/>
  <c r="J25" i="36"/>
  <c r="H26" i="36"/>
  <c r="I26" i="36"/>
  <c r="J26" i="36"/>
  <c r="H27" i="36"/>
  <c r="I27" i="36"/>
  <c r="J27" i="36"/>
  <c r="H28" i="36"/>
  <c r="I28" i="36"/>
  <c r="J28" i="36"/>
  <c r="S188" i="14"/>
  <c r="AO43" i="40"/>
  <c r="AE26" i="66"/>
  <c r="AF26" i="66"/>
  <c r="D15" i="43"/>
  <c r="D14" i="43"/>
  <c r="D13" i="43"/>
  <c r="J7" i="36"/>
  <c r="I7" i="36"/>
  <c r="AO46" i="40"/>
  <c r="S90" i="14"/>
  <c r="F80" i="86"/>
  <c r="S23" i="14"/>
  <c r="F126" i="86"/>
  <c r="C48" i="37"/>
  <c r="S28" i="14"/>
  <c r="AT1116" i="20"/>
  <c r="F55" i="86"/>
  <c r="AM12" i="40"/>
  <c r="AJ49" i="40"/>
  <c r="AM49" i="40"/>
  <c r="AJ12" i="40"/>
  <c r="C37" i="37"/>
  <c r="AL12" i="40"/>
  <c r="AK12" i="40"/>
  <c r="D18" i="40"/>
  <c r="Y5" i="66" s="1"/>
  <c r="AN48" i="40"/>
  <c r="AL49" i="40"/>
  <c r="S152" i="14"/>
  <c r="AK49" i="40"/>
  <c r="AT849" i="20"/>
  <c r="AT1017" i="20"/>
  <c r="AT1053" i="20"/>
  <c r="AT1134" i="20"/>
  <c r="AT1147" i="20"/>
  <c r="AT1138" i="20"/>
  <c r="AT802" i="20"/>
  <c r="AT1150" i="20"/>
  <c r="AT1046" i="20"/>
  <c r="AT814" i="20"/>
  <c r="C48" i="40"/>
  <c r="D46" i="40"/>
  <c r="C47" i="40"/>
  <c r="C46" i="40"/>
  <c r="D47" i="40"/>
  <c r="CG3" i="62"/>
  <c r="CG9" i="62"/>
  <c r="D48" i="40"/>
  <c r="Q13" i="43"/>
  <c r="AB20" i="43"/>
  <c r="H12" i="43"/>
  <c r="AB12" i="43"/>
  <c r="AB15" i="43"/>
  <c r="H15" i="43"/>
  <c r="H18" i="43"/>
  <c r="H17" i="43"/>
  <c r="Q12" i="43"/>
  <c r="AB14" i="43"/>
  <c r="AB21" i="43"/>
  <c r="H16" i="43"/>
  <c r="Q15" i="43"/>
  <c r="H14" i="43"/>
  <c r="AB17" i="43"/>
  <c r="AB18" i="43"/>
  <c r="AB19" i="43"/>
  <c r="AB13" i="43"/>
  <c r="AB16" i="43"/>
  <c r="H13" i="43"/>
  <c r="AF5" i="14" l="1"/>
  <c r="CH9" i="62"/>
  <c r="CH8" i="62"/>
  <c r="CH6" i="62"/>
  <c r="AF81" i="14"/>
  <c r="AF161" i="14"/>
  <c r="AF245" i="14"/>
  <c r="AH245" i="14" s="1"/>
  <c r="AF262" i="14"/>
  <c r="AF10" i="14"/>
  <c r="AF74" i="14"/>
  <c r="AF146" i="14"/>
  <c r="AH146" i="14" s="1"/>
  <c r="AF12" i="14"/>
  <c r="AF164" i="14"/>
  <c r="AF240" i="14"/>
  <c r="AF266" i="14"/>
  <c r="AH266" i="14" s="1"/>
  <c r="AF155" i="14"/>
  <c r="AF183" i="14"/>
  <c r="AF279" i="14"/>
  <c r="AF187" i="14"/>
  <c r="AH187" i="14" s="1"/>
  <c r="AF143" i="14"/>
  <c r="AF41" i="14"/>
  <c r="AF125" i="14"/>
  <c r="AF209" i="14"/>
  <c r="AH209" i="14" s="1"/>
  <c r="AF285" i="14"/>
  <c r="AF55" i="14"/>
  <c r="AF46" i="14"/>
  <c r="AF114" i="14"/>
  <c r="AH114" i="14" s="1"/>
  <c r="AF186" i="14"/>
  <c r="AF48" i="14"/>
  <c r="AF120" i="14"/>
  <c r="AF188" i="14"/>
  <c r="AH188" i="14" s="1"/>
  <c r="AF260" i="14"/>
  <c r="AF107" i="14"/>
  <c r="AF223" i="14"/>
  <c r="AF29" i="14"/>
  <c r="AF113" i="14"/>
  <c r="AF193" i="14"/>
  <c r="AF269" i="14"/>
  <c r="AF31" i="14"/>
  <c r="AH31" i="14" s="1"/>
  <c r="AF34" i="14"/>
  <c r="AF102" i="14"/>
  <c r="AF170" i="14"/>
  <c r="AF36" i="14"/>
  <c r="AH36" i="14" s="1"/>
  <c r="AF108" i="14"/>
  <c r="AF176" i="14"/>
  <c r="AF248" i="14"/>
  <c r="AF282" i="14"/>
  <c r="AH282" i="14" s="1"/>
  <c r="AF199" i="14"/>
  <c r="AF231" i="14"/>
  <c r="AF17" i="14"/>
  <c r="AF97" i="14"/>
  <c r="AH97" i="14" s="1"/>
  <c r="AF177" i="14"/>
  <c r="AF257" i="14"/>
  <c r="AF7" i="14"/>
  <c r="AF22" i="14"/>
  <c r="AH22" i="14" s="1"/>
  <c r="AF86" i="14"/>
  <c r="AF158" i="14"/>
  <c r="AF24" i="14"/>
  <c r="AF96" i="14"/>
  <c r="AF160" i="14"/>
  <c r="AF236" i="14"/>
  <c r="AF258" i="14"/>
  <c r="AF131" i="14"/>
  <c r="AH131" i="14" s="1"/>
  <c r="AF259" i="14"/>
  <c r="AF44" i="14"/>
  <c r="AF263" i="14"/>
  <c r="AF121" i="14"/>
  <c r="AH121" i="14" s="1"/>
  <c r="AF281" i="14"/>
  <c r="AF42" i="14"/>
  <c r="AF182" i="14"/>
  <c r="AF132" i="14"/>
  <c r="AH132" i="14" s="1"/>
  <c r="AF150" i="14"/>
  <c r="AF228" i="14"/>
  <c r="AF73" i="14"/>
  <c r="AF66" i="14"/>
  <c r="AH66" i="14" s="1"/>
  <c r="AF140" i="14"/>
  <c r="AF151" i="14"/>
  <c r="AF222" i="14"/>
  <c r="AF56" i="14"/>
  <c r="AH56" i="14" s="1"/>
  <c r="AF43" i="14"/>
  <c r="AF21" i="14"/>
  <c r="AF105" i="14"/>
  <c r="AF185" i="14"/>
  <c r="AH185" i="14" s="1"/>
  <c r="AF261" i="14"/>
  <c r="AF15" i="14"/>
  <c r="AF26" i="14"/>
  <c r="AF90" i="14"/>
  <c r="AH90" i="14" s="1"/>
  <c r="AF162" i="14"/>
  <c r="AF28" i="14"/>
  <c r="AF116" i="14"/>
  <c r="AF184" i="14"/>
  <c r="AH184" i="14" s="1"/>
  <c r="AF256" i="14"/>
  <c r="AF19" i="14"/>
  <c r="AF267" i="14"/>
  <c r="AF251" i="14"/>
  <c r="AH251" i="14" s="1"/>
  <c r="AF283" i="14"/>
  <c r="AH283" i="14" s="1"/>
  <c r="AF127" i="14"/>
  <c r="AF247" i="14"/>
  <c r="AF61" i="14"/>
  <c r="AH61" i="14" s="1"/>
  <c r="AF149" i="14"/>
  <c r="AF233" i="14"/>
  <c r="AF238" i="14"/>
  <c r="AF111" i="14"/>
  <c r="AF62" i="14"/>
  <c r="AF134" i="14"/>
  <c r="AF210" i="14"/>
  <c r="AF72" i="14"/>
  <c r="AH72" i="14" s="1"/>
  <c r="AF136" i="14"/>
  <c r="AH136" i="14" s="1"/>
  <c r="AF212" i="14"/>
  <c r="AF276" i="14"/>
  <c r="AF159" i="14"/>
  <c r="AH159" i="14" s="1"/>
  <c r="AF275" i="14"/>
  <c r="AF45" i="14"/>
  <c r="AF129" i="14"/>
  <c r="AF218" i="14"/>
  <c r="AH218" i="14" s="1"/>
  <c r="AF71" i="14"/>
  <c r="AF50" i="14"/>
  <c r="AF118" i="14"/>
  <c r="AF190" i="14"/>
  <c r="AH190" i="14" s="1"/>
  <c r="AF52" i="14"/>
  <c r="AF124" i="14"/>
  <c r="AF192" i="14"/>
  <c r="AF264" i="14"/>
  <c r="AH264" i="14" s="1"/>
  <c r="AF35" i="14"/>
  <c r="AH35" i="14" s="1"/>
  <c r="AF191" i="14"/>
  <c r="AF179" i="14"/>
  <c r="AF33" i="14"/>
  <c r="AH33" i="14" s="1"/>
  <c r="AF117" i="14"/>
  <c r="AF197" i="14"/>
  <c r="AF277" i="14"/>
  <c r="AF39" i="14"/>
  <c r="AH39" i="14" s="1"/>
  <c r="AF38" i="14"/>
  <c r="AH38" i="14" s="1"/>
  <c r="AF106" i="14"/>
  <c r="AH106" i="14" s="1"/>
  <c r="AF178" i="14"/>
  <c r="AF40" i="14"/>
  <c r="AF112" i="14"/>
  <c r="AF180" i="14"/>
  <c r="AF252" i="14"/>
  <c r="AF11" i="14"/>
  <c r="AH11" i="14" s="1"/>
  <c r="AF235" i="14"/>
  <c r="AH235" i="14" s="1"/>
  <c r="AF204" i="14"/>
  <c r="AH204" i="14" s="1"/>
  <c r="AF271" i="14"/>
  <c r="AF274" i="14"/>
  <c r="AH274" i="14" s="1"/>
  <c r="AF9" i="14"/>
  <c r="AH9" i="14" s="1"/>
  <c r="AF165" i="14"/>
  <c r="AF14" i="14"/>
  <c r="AF16" i="14"/>
  <c r="AH16" i="14" s="1"/>
  <c r="AF152" i="14"/>
  <c r="AF239" i="14"/>
  <c r="AH239" i="14" s="1"/>
  <c r="AF246" i="14"/>
  <c r="AF214" i="14"/>
  <c r="AH214" i="14" s="1"/>
  <c r="AF280" i="14"/>
  <c r="AH280" i="14" s="1"/>
  <c r="AF53" i="14"/>
  <c r="AH53" i="14" s="1"/>
  <c r="AF87" i="14"/>
  <c r="AH87" i="14" s="1"/>
  <c r="AF198" i="14"/>
  <c r="AH198" i="14" s="1"/>
  <c r="AF268" i="14"/>
  <c r="AF215" i="14"/>
  <c r="AH215" i="14" s="1"/>
  <c r="AF270" i="14"/>
  <c r="AF242" i="14"/>
  <c r="AF153" i="14"/>
  <c r="AH153" i="14" s="1"/>
  <c r="AF138" i="14"/>
  <c r="AF216" i="14"/>
  <c r="AF147" i="14"/>
  <c r="AH147" i="14" s="1"/>
  <c r="AF221" i="14"/>
  <c r="AH221" i="14" s="1"/>
  <c r="AF122" i="14"/>
  <c r="AF196" i="14"/>
  <c r="AH196" i="14" s="1"/>
  <c r="AF57" i="14"/>
  <c r="AH57" i="14" s="1"/>
  <c r="AF145" i="14"/>
  <c r="AH145" i="14" s="1"/>
  <c r="AF225" i="14"/>
  <c r="AH225" i="14" s="1"/>
  <c r="AF230" i="14"/>
  <c r="AF95" i="14"/>
  <c r="AH95" i="14" s="1"/>
  <c r="AF58" i="14"/>
  <c r="AF126" i="14"/>
  <c r="AH126" i="14" s="1"/>
  <c r="AF202" i="14"/>
  <c r="AF84" i="14"/>
  <c r="AH84" i="14" s="1"/>
  <c r="AF148" i="14"/>
  <c r="AF224" i="14"/>
  <c r="AH224" i="14" s="1"/>
  <c r="AF234" i="14"/>
  <c r="AF91" i="14"/>
  <c r="AH91" i="14" s="1"/>
  <c r="AF203" i="14"/>
  <c r="AH203" i="14" s="1"/>
  <c r="AF195" i="14"/>
  <c r="AH195" i="14" s="1"/>
  <c r="AF59" i="14"/>
  <c r="AF139" i="14"/>
  <c r="AH139" i="14" s="1"/>
  <c r="AF25" i="14"/>
  <c r="AH25" i="14" s="1"/>
  <c r="AF109" i="14"/>
  <c r="AF189" i="14"/>
  <c r="AH189" i="14" s="1"/>
  <c r="AF265" i="14"/>
  <c r="AH265" i="14" s="1"/>
  <c r="AF23" i="14"/>
  <c r="AH23" i="14" s="1"/>
  <c r="AF30" i="14"/>
  <c r="AF98" i="14"/>
  <c r="AH98" i="14" s="1"/>
  <c r="AF166" i="14"/>
  <c r="AH166" i="14" s="1"/>
  <c r="AF32" i="14"/>
  <c r="AH32" i="14" s="1"/>
  <c r="AF104" i="14"/>
  <c r="AH104" i="14" s="1"/>
  <c r="AF244" i="14"/>
  <c r="AF27" i="14"/>
  <c r="AH27" i="14" s="1"/>
  <c r="AF123" i="14"/>
  <c r="AF13" i="14"/>
  <c r="AF93" i="14"/>
  <c r="AF169" i="14"/>
  <c r="AH169" i="14" s="1"/>
  <c r="AF253" i="14"/>
  <c r="AH253" i="14" s="1"/>
  <c r="AF278" i="14"/>
  <c r="AH278" i="14" s="1"/>
  <c r="AF18" i="14"/>
  <c r="AH18" i="14" s="1"/>
  <c r="AF82" i="14"/>
  <c r="AH82" i="14" s="1"/>
  <c r="AF154" i="14"/>
  <c r="AH154" i="14" s="1"/>
  <c r="AF20" i="14"/>
  <c r="AF92" i="14"/>
  <c r="AF156" i="14"/>
  <c r="AH156" i="14" s="1"/>
  <c r="AF232" i="14"/>
  <c r="AF250" i="14"/>
  <c r="AF115" i="14"/>
  <c r="AH115" i="14" s="1"/>
  <c r="AF243" i="14"/>
  <c r="AH243" i="14" s="1"/>
  <c r="AF207" i="14"/>
  <c r="AF77" i="14"/>
  <c r="AF157" i="14"/>
  <c r="AH157" i="14" s="1"/>
  <c r="AF241" i="14"/>
  <c r="AH241" i="14" s="1"/>
  <c r="AF254" i="14"/>
  <c r="AH254" i="14" s="1"/>
  <c r="AF6" i="14"/>
  <c r="AH6" i="14" s="1"/>
  <c r="AF70" i="14"/>
  <c r="AF142" i="14"/>
  <c r="AH142" i="14" s="1"/>
  <c r="AF8" i="14"/>
  <c r="AF80" i="14"/>
  <c r="AF144" i="14"/>
  <c r="AH144" i="14" s="1"/>
  <c r="AF220" i="14"/>
  <c r="AH220" i="14" s="1"/>
  <c r="AF284" i="14"/>
  <c r="AH284" i="14" s="1"/>
  <c r="AF83" i="14"/>
  <c r="AF163" i="14"/>
  <c r="AF167" i="14"/>
  <c r="AH167" i="14" s="1"/>
  <c r="AF37" i="14"/>
  <c r="AH37" i="14" s="1"/>
  <c r="AF201" i="14"/>
  <c r="AF47" i="14"/>
  <c r="AF110" i="14"/>
  <c r="AH110" i="14" s="1"/>
  <c r="AF60" i="14"/>
  <c r="AF272" i="14"/>
  <c r="AH272" i="14" s="1"/>
  <c r="AF51" i="14"/>
  <c r="AF255" i="14"/>
  <c r="AH255" i="14" s="1"/>
  <c r="AF211" i="14"/>
  <c r="AF85" i="14"/>
  <c r="AF249" i="14"/>
  <c r="AH249" i="14" s="1"/>
  <c r="AF78" i="14"/>
  <c r="AH78" i="14" s="1"/>
  <c r="AF88" i="14"/>
  <c r="AH88" i="14" s="1"/>
  <c r="AF219" i="14"/>
  <c r="AH219" i="14" s="1"/>
  <c r="AF237" i="14"/>
  <c r="AH237" i="14" s="1"/>
  <c r="AF119" i="14"/>
  <c r="AH119" i="14" s="1"/>
  <c r="AF76" i="14"/>
  <c r="AH76" i="14" s="1"/>
  <c r="AF75" i="14"/>
  <c r="AF133" i="14"/>
  <c r="AH133" i="14" s="1"/>
  <c r="AF54" i="14"/>
  <c r="AH54" i="14" s="1"/>
  <c r="AF128" i="14"/>
  <c r="AH128" i="14" s="1"/>
  <c r="AF227" i="14"/>
  <c r="AF217" i="14"/>
  <c r="AH217" i="14" s="1"/>
  <c r="AF100" i="14"/>
  <c r="V150" i="19"/>
  <c r="V252" i="19"/>
  <c r="V88" i="19"/>
  <c r="V23" i="19"/>
  <c r="P16" i="19"/>
  <c r="V16" i="19" s="1"/>
  <c r="V24" i="19"/>
  <c r="V350" i="19"/>
  <c r="V72" i="19"/>
  <c r="V48" i="19"/>
  <c r="V21" i="19"/>
  <c r="V11" i="19"/>
  <c r="V87" i="19"/>
  <c r="V58" i="19"/>
  <c r="V385" i="19"/>
  <c r="V15" i="19"/>
  <c r="V20" i="19"/>
  <c r="P245" i="19"/>
  <c r="Q213" i="19"/>
  <c r="P213" i="19" s="1"/>
  <c r="V213" i="19" s="1"/>
  <c r="AH19" i="14"/>
  <c r="AH231" i="14"/>
  <c r="AH262" i="14"/>
  <c r="AH256" i="14"/>
  <c r="AH191" i="14"/>
  <c r="AH102" i="14"/>
  <c r="AH48" i="14"/>
  <c r="AH113" i="14"/>
  <c r="AH269" i="14"/>
  <c r="AH252" i="14"/>
  <c r="AH176" i="14"/>
  <c r="AH285" i="14"/>
  <c r="AH222" i="14"/>
  <c r="AH124" i="14"/>
  <c r="AH192" i="14"/>
  <c r="AH151" i="14"/>
  <c r="AH81" i="14"/>
  <c r="AH150" i="14"/>
  <c r="AH41" i="14"/>
  <c r="AH120" i="14"/>
  <c r="AH260" i="14"/>
  <c r="AH247" i="14"/>
  <c r="AH143" i="14"/>
  <c r="AH86" i="14"/>
  <c r="M13" i="36"/>
  <c r="K13" i="36" s="1"/>
  <c r="N13" i="36" s="1"/>
  <c r="AH140" i="14"/>
  <c r="AH161" i="14"/>
  <c r="AH257" i="14"/>
  <c r="AH42" i="14"/>
  <c r="AH182" i="14"/>
  <c r="AH258" i="14"/>
  <c r="AH125" i="14"/>
  <c r="AH246" i="14"/>
  <c r="AH164" i="14"/>
  <c r="AH263" i="14"/>
  <c r="AH183" i="14"/>
  <c r="AH10" i="14"/>
  <c r="AH127" i="14"/>
  <c r="AH223" i="14"/>
  <c r="AH134" i="14"/>
  <c r="AH50" i="14"/>
  <c r="AH240" i="14"/>
  <c r="AH259" i="14"/>
  <c r="AH15" i="14"/>
  <c r="AH129" i="14"/>
  <c r="AH170" i="14"/>
  <c r="AH26" i="14"/>
  <c r="AH118" i="14"/>
  <c r="AH163" i="14"/>
  <c r="AH228" i="14"/>
  <c r="AH210" i="14"/>
  <c r="AH177" i="14"/>
  <c r="AH212" i="14"/>
  <c r="AH7" i="14"/>
  <c r="AH261" i="14"/>
  <c r="AN70" i="40"/>
  <c r="L34" i="40" s="1"/>
  <c r="AK70" i="40"/>
  <c r="I34" i="40" s="1"/>
  <c r="AJ70" i="40"/>
  <c r="AL70" i="40"/>
  <c r="J34" i="40" s="1"/>
  <c r="AO66" i="40"/>
  <c r="AM70" i="40"/>
  <c r="K34" i="40" s="1"/>
  <c r="N55" i="37"/>
  <c r="E55" i="37"/>
  <c r="J55" i="37"/>
  <c r="AT984" i="20"/>
  <c r="AT991" i="20"/>
  <c r="Z9" i="20"/>
  <c r="AB9" i="20"/>
  <c r="AD9" i="20"/>
  <c r="AL9" i="20"/>
  <c r="Y6" i="20"/>
  <c r="AB10" i="20"/>
  <c r="AD6" i="20"/>
  <c r="AG6" i="20"/>
  <c r="AJ11" i="20"/>
  <c r="AK10" i="20"/>
  <c r="AN6" i="20"/>
  <c r="AP10" i="20"/>
  <c r="AG9" i="20"/>
  <c r="AJ9" i="20"/>
  <c r="AO9" i="20"/>
  <c r="Z6" i="20"/>
  <c r="AB6" i="20"/>
  <c r="AE11" i="20"/>
  <c r="AF6" i="20"/>
  <c r="AH6" i="20"/>
  <c r="AJ10" i="20"/>
  <c r="AK6" i="20"/>
  <c r="AN7" i="20"/>
  <c r="AP6" i="20"/>
  <c r="Y9" i="20"/>
  <c r="AA9" i="20"/>
  <c r="AC9" i="20"/>
  <c r="AE9" i="20"/>
  <c r="AA11" i="20"/>
  <c r="AC10" i="20"/>
  <c r="AE8" i="20"/>
  <c r="AF7" i="20"/>
  <c r="AI11" i="20"/>
  <c r="AJ6" i="20"/>
  <c r="AL6" i="20"/>
  <c r="AO6" i="20"/>
  <c r="AP8" i="20"/>
  <c r="Y10" i="20"/>
  <c r="AB11" i="20"/>
  <c r="AC6" i="20"/>
  <c r="AG10" i="20"/>
  <c r="AI8" i="20"/>
  <c r="AJ8" i="20"/>
  <c r="AP11" i="20"/>
  <c r="AA10" i="20"/>
  <c r="AA6" i="20"/>
  <c r="AP9" i="20"/>
  <c r="AH9" i="20"/>
  <c r="AJ7" i="20"/>
  <c r="AL10" i="20"/>
  <c r="AO10" i="20"/>
  <c r="AL8" i="20"/>
  <c r="AH11" i="20"/>
  <c r="AA7" i="20"/>
  <c r="AO8" i="20"/>
  <c r="AK11" i="20"/>
  <c r="AG11" i="20"/>
  <c r="AC11" i="20"/>
  <c r="AG7" i="20"/>
  <c r="Y8" i="20"/>
  <c r="AF9" i="20"/>
  <c r="AN9" i="20"/>
  <c r="AN8" i="20"/>
  <c r="AB7" i="20"/>
  <c r="AH10" i="20"/>
  <c r="AN10" i="20"/>
  <c r="AN11" i="20"/>
  <c r="AL11" i="20"/>
  <c r="AE7" i="20"/>
  <c r="Z8" i="20"/>
  <c r="AO11" i="20"/>
  <c r="AI6" i="20"/>
  <c r="AE6" i="20"/>
  <c r="Z7" i="20"/>
  <c r="AC7" i="20"/>
  <c r="AI7" i="20"/>
  <c r="AD8" i="20"/>
  <c r="Z11" i="20"/>
  <c r="AL7" i="20"/>
  <c r="AH7" i="20"/>
  <c r="AD7" i="20"/>
  <c r="AO7" i="20"/>
  <c r="AH8" i="20"/>
  <c r="AD11" i="20"/>
  <c r="AP7" i="20"/>
  <c r="AK8" i="20"/>
  <c r="AG8" i="20"/>
  <c r="AC8" i="20"/>
  <c r="AK7" i="20"/>
  <c r="Y11" i="20"/>
  <c r="AB8" i="20"/>
  <c r="AK9" i="20"/>
  <c r="AF8" i="20"/>
  <c r="AD10" i="20"/>
  <c r="AI10" i="20"/>
  <c r="Z10" i="20"/>
  <c r="AE10" i="20"/>
  <c r="Y7" i="20"/>
  <c r="AA8" i="20"/>
  <c r="AI9" i="20"/>
  <c r="AB12" i="20"/>
  <c r="AJ12" i="20"/>
  <c r="AN12" i="20"/>
  <c r="Y12" i="20"/>
  <c r="AC12" i="20"/>
  <c r="AG12" i="20"/>
  <c r="AK12" i="20"/>
  <c r="AO12" i="20"/>
  <c r="Z12" i="20"/>
  <c r="AD12" i="20"/>
  <c r="AH12" i="20"/>
  <c r="AL12" i="20"/>
  <c r="AP12" i="20"/>
  <c r="AA12" i="20"/>
  <c r="AE12" i="20"/>
  <c r="AI12" i="20"/>
  <c r="AB13" i="20"/>
  <c r="AF13" i="20"/>
  <c r="AJ13" i="20"/>
  <c r="AN13" i="20"/>
  <c r="Z13" i="20"/>
  <c r="AD13" i="20"/>
  <c r="AH13" i="20"/>
  <c r="AL13" i="20"/>
  <c r="AP13" i="20"/>
  <c r="AA13" i="20"/>
  <c r="AE13" i="20"/>
  <c r="AI13" i="20"/>
  <c r="Y13" i="20"/>
  <c r="AC13" i="20"/>
  <c r="AG13" i="20"/>
  <c r="AK13" i="20"/>
  <c r="AO13" i="20"/>
  <c r="Z14" i="20"/>
  <c r="AP14" i="20"/>
  <c r="AC14" i="20"/>
  <c r="AI14" i="20"/>
  <c r="AH14" i="20"/>
  <c r="AF14" i="20"/>
  <c r="Y14" i="20"/>
  <c r="AJ14" i="20"/>
  <c r="AA14" i="20"/>
  <c r="AL14" i="20"/>
  <c r="AK14" i="20"/>
  <c r="AB14" i="20"/>
  <c r="AO14" i="20"/>
  <c r="AG14" i="20"/>
  <c r="AN14" i="20"/>
  <c r="AE14" i="20"/>
  <c r="AD14" i="20"/>
  <c r="AT407" i="20"/>
  <c r="AT650" i="20"/>
  <c r="CG19" i="62"/>
  <c r="AB18" i="20"/>
  <c r="AF18" i="20"/>
  <c r="AJ18" i="20"/>
  <c r="AN18" i="20"/>
  <c r="AC18" i="20"/>
  <c r="AG18" i="20"/>
  <c r="AK18" i="20"/>
  <c r="AO18" i="20"/>
  <c r="Z18" i="20"/>
  <c r="AD18" i="20"/>
  <c r="AH18" i="20"/>
  <c r="AL18" i="20"/>
  <c r="AP18" i="20"/>
  <c r="AA18" i="20"/>
  <c r="AE18" i="20"/>
  <c r="AI18" i="20"/>
  <c r="AB16" i="20"/>
  <c r="AF16" i="20"/>
  <c r="AJ16" i="20"/>
  <c r="AN16" i="20"/>
  <c r="AN25" i="20"/>
  <c r="Y29" i="20"/>
  <c r="Z29" i="20"/>
  <c r="AA29" i="20"/>
  <c r="AB29" i="20"/>
  <c r="AC29" i="20"/>
  <c r="AD29" i="20"/>
  <c r="AE29" i="20"/>
  <c r="AF29" i="20"/>
  <c r="AG29" i="20"/>
  <c r="AH29" i="20"/>
  <c r="AI29" i="20"/>
  <c r="AJ29" i="20"/>
  <c r="AK29" i="20"/>
  <c r="AL29" i="20"/>
  <c r="AN29" i="20"/>
  <c r="AO29" i="20"/>
  <c r="AP29" i="20"/>
  <c r="AC16" i="20"/>
  <c r="AG16" i="20"/>
  <c r="AK16" i="20"/>
  <c r="AO16" i="20"/>
  <c r="Z19" i="20"/>
  <c r="AP19" i="20"/>
  <c r="Z28" i="20"/>
  <c r="AA28" i="20"/>
  <c r="AB28" i="20"/>
  <c r="AD28" i="20"/>
  <c r="AF28" i="20"/>
  <c r="AH28" i="20"/>
  <c r="AJ28" i="20"/>
  <c r="AL28" i="20"/>
  <c r="AN28" i="20"/>
  <c r="AO28" i="20"/>
  <c r="AP28" i="20"/>
  <c r="Z16" i="20"/>
  <c r="AD16" i="20"/>
  <c r="AH16" i="20"/>
  <c r="AL16" i="20"/>
  <c r="AP16" i="20"/>
  <c r="AI19" i="20"/>
  <c r="Y26" i="20"/>
  <c r="Z26" i="20"/>
  <c r="AA26" i="20"/>
  <c r="AB26" i="20"/>
  <c r="AC26" i="20"/>
  <c r="AD26" i="20"/>
  <c r="AE26" i="20"/>
  <c r="AF26" i="20"/>
  <c r="AG26" i="20"/>
  <c r="AH26" i="20"/>
  <c r="AI26" i="20"/>
  <c r="AJ26" i="20"/>
  <c r="AL26" i="20"/>
  <c r="AA16" i="20"/>
  <c r="AE16" i="20"/>
  <c r="AI16" i="20"/>
  <c r="AJ19" i="20"/>
  <c r="Y27" i="20"/>
  <c r="Z27" i="20"/>
  <c r="AA27" i="20"/>
  <c r="AB27" i="20"/>
  <c r="AC27" i="20"/>
  <c r="AD27" i="20"/>
  <c r="AE27" i="20"/>
  <c r="AF27" i="20"/>
  <c r="AG27" i="20"/>
  <c r="AH27" i="20"/>
  <c r="AI27" i="20"/>
  <c r="AJ27" i="20"/>
  <c r="AK27" i="20"/>
  <c r="AL27" i="20"/>
  <c r="AN27" i="20"/>
  <c r="AO27" i="20"/>
  <c r="AP27" i="20"/>
  <c r="Y28" i="20"/>
  <c r="AC28" i="20"/>
  <c r="AE28" i="20"/>
  <c r="AG28" i="20"/>
  <c r="AI28" i="20"/>
  <c r="AK28" i="20"/>
  <c r="AD25" i="20"/>
  <c r="AK26" i="20"/>
  <c r="AN26" i="20"/>
  <c r="AO26" i="20"/>
  <c r="AP26" i="20"/>
  <c r="Y25" i="20"/>
  <c r="AI25" i="20"/>
  <c r="AH25" i="20"/>
  <c r="AF25" i="20"/>
  <c r="AP25" i="20"/>
  <c r="AL19" i="20"/>
  <c r="AO19" i="20"/>
  <c r="AC25" i="20"/>
  <c r="Y19" i="20"/>
  <c r="AD19" i="20"/>
  <c r="AB25" i="20"/>
  <c r="AA25" i="20"/>
  <c r="AJ25" i="20"/>
  <c r="AK19" i="20"/>
  <c r="AO25" i="20"/>
  <c r="AN19" i="20"/>
  <c r="AH19" i="20"/>
  <c r="AE25" i="20"/>
  <c r="AA19" i="20"/>
  <c r="AG19" i="20"/>
  <c r="AK25" i="20"/>
  <c r="AE19" i="20"/>
  <c r="AL25" i="20"/>
  <c r="AB19" i="20"/>
  <c r="Z25" i="20"/>
  <c r="AC19" i="20"/>
  <c r="AG25" i="20"/>
  <c r="AB51" i="20"/>
  <c r="AF51" i="20"/>
  <c r="AJ51" i="20"/>
  <c r="AN51" i="20"/>
  <c r="Y51" i="20"/>
  <c r="AC51" i="20"/>
  <c r="AG51" i="20"/>
  <c r="AK51" i="20"/>
  <c r="AO51" i="20"/>
  <c r="Z51" i="20"/>
  <c r="AD51" i="20"/>
  <c r="AH51" i="20"/>
  <c r="AL51" i="20"/>
  <c r="AP51" i="20"/>
  <c r="AA51" i="20"/>
  <c r="AE51" i="20"/>
  <c r="AI51" i="20"/>
  <c r="AB62" i="20"/>
  <c r="AF62" i="20"/>
  <c r="AJ62" i="20"/>
  <c r="AN62" i="20"/>
  <c r="AA62" i="20"/>
  <c r="AE62" i="20"/>
  <c r="Y62" i="20"/>
  <c r="AC62" i="20"/>
  <c r="AG62" i="20"/>
  <c r="AK62" i="20"/>
  <c r="AO62" i="20"/>
  <c r="Z62" i="20"/>
  <c r="AD62" i="20"/>
  <c r="AH62" i="20"/>
  <c r="AL62" i="20"/>
  <c r="AP62" i="20"/>
  <c r="AI62" i="20"/>
  <c r="AB61" i="20"/>
  <c r="AF61" i="20"/>
  <c r="AJ61" i="20"/>
  <c r="AN61" i="20"/>
  <c r="Y61" i="20"/>
  <c r="AC61" i="20"/>
  <c r="AG61" i="20"/>
  <c r="AK61" i="20"/>
  <c r="AO61" i="20"/>
  <c r="Z61" i="20"/>
  <c r="AD61" i="20"/>
  <c r="AH61" i="20"/>
  <c r="AL61" i="20"/>
  <c r="AP61" i="20"/>
  <c r="AA61" i="20"/>
  <c r="AE61" i="20"/>
  <c r="AI61" i="20"/>
  <c r="Y64" i="20"/>
  <c r="AC64" i="20"/>
  <c r="AG64" i="20"/>
  <c r="AK64" i="20"/>
  <c r="AO64" i="20"/>
  <c r="AA64" i="20"/>
  <c r="AE64" i="20"/>
  <c r="AI64" i="20"/>
  <c r="AB64" i="20"/>
  <c r="AF64" i="20"/>
  <c r="AJ64" i="20"/>
  <c r="AN64" i="20"/>
  <c r="Z64" i="20"/>
  <c r="AD64" i="20"/>
  <c r="AH64" i="20"/>
  <c r="AL64" i="20"/>
  <c r="AP64" i="20"/>
  <c r="AB32" i="20"/>
  <c r="AF32" i="20"/>
  <c r="AJ32" i="20"/>
  <c r="AN32" i="20"/>
  <c r="Y32" i="20"/>
  <c r="AC32" i="20"/>
  <c r="AG32" i="20"/>
  <c r="AK32" i="20"/>
  <c r="AO32" i="20"/>
  <c r="Z32" i="20"/>
  <c r="AD32" i="20"/>
  <c r="AH32" i="20"/>
  <c r="AL32" i="20"/>
  <c r="AP32" i="20"/>
  <c r="AA32" i="20"/>
  <c r="AE32" i="20"/>
  <c r="AI32" i="20"/>
  <c r="AB17" i="20"/>
  <c r="AF17" i="20"/>
  <c r="AJ17" i="20"/>
  <c r="AN17" i="20"/>
  <c r="Y17" i="20"/>
  <c r="AC17" i="20"/>
  <c r="AG17" i="20"/>
  <c r="AK17" i="20"/>
  <c r="AO17" i="20"/>
  <c r="Z17" i="20"/>
  <c r="AD17" i="20"/>
  <c r="AH17" i="20"/>
  <c r="AL17" i="20"/>
  <c r="AP17" i="20"/>
  <c r="AA17" i="20"/>
  <c r="AE17" i="20"/>
  <c r="AI17" i="20"/>
  <c r="AT460" i="20"/>
  <c r="AT1074" i="20"/>
  <c r="AT1105" i="20"/>
  <c r="AT590" i="20"/>
  <c r="AT1124" i="20"/>
  <c r="AT1121" i="20"/>
  <c r="AT1030" i="20"/>
  <c r="AT960" i="20"/>
  <c r="AT926" i="20"/>
  <c r="AT897" i="20"/>
  <c r="AT971" i="20"/>
  <c r="AT842" i="20"/>
  <c r="AT1154" i="20"/>
  <c r="AT1158" i="20"/>
  <c r="AT987" i="20"/>
  <c r="AT1126" i="20"/>
  <c r="AT881" i="20"/>
  <c r="AT1089" i="20"/>
  <c r="AT967" i="20"/>
  <c r="AT1085" i="20"/>
  <c r="AT957" i="20"/>
  <c r="AT811" i="20"/>
  <c r="AI38" i="20"/>
  <c r="AH34" i="20"/>
  <c r="Y44" i="20"/>
  <c r="AB99" i="20"/>
  <c r="AG91" i="20"/>
  <c r="AE78" i="20"/>
  <c r="AN93" i="20"/>
  <c r="AC86" i="20"/>
  <c r="AN1170" i="20"/>
  <c r="AD1164" i="20"/>
  <c r="AD1150" i="20"/>
  <c r="AC1138" i="20"/>
  <c r="Y1134" i="20"/>
  <c r="AK1130" i="20"/>
  <c r="Y1126" i="20"/>
  <c r="AK1114" i="20"/>
  <c r="AH1107" i="20"/>
  <c r="AL1082" i="20"/>
  <c r="AI1077" i="20"/>
  <c r="AG1074" i="20"/>
  <c r="AD1070" i="20"/>
  <c r="AG1065" i="20"/>
  <c r="Y1059" i="20"/>
  <c r="AA1056" i="20"/>
  <c r="AL1054" i="20"/>
  <c r="AC1048" i="20"/>
  <c r="AN1044" i="20"/>
  <c r="AJ1030" i="20"/>
  <c r="AH1026" i="20"/>
  <c r="AN1014" i="20"/>
  <c r="AL1000" i="20"/>
  <c r="AF994" i="20"/>
  <c r="AE990" i="20"/>
  <c r="AD986" i="20"/>
  <c r="AF981" i="20"/>
  <c r="AB965" i="20"/>
  <c r="AE960" i="20"/>
  <c r="AE956" i="20"/>
  <c r="AE942" i="20"/>
  <c r="AD938" i="20"/>
  <c r="AF927" i="20"/>
  <c r="AB923" i="20"/>
  <c r="AF911" i="20"/>
  <c r="AE891" i="20"/>
  <c r="AE909" i="20"/>
  <c r="AK906" i="20"/>
  <c r="AB904" i="20"/>
  <c r="AB879" i="20"/>
  <c r="AF877" i="20"/>
  <c r="AB869" i="20"/>
  <c r="AF860" i="20"/>
  <c r="AD836" i="20"/>
  <c r="AB832" i="20"/>
  <c r="AD826" i="20"/>
  <c r="AH823" i="20"/>
  <c r="AK814" i="20"/>
  <c r="AJ799" i="20"/>
  <c r="Y803" i="20"/>
  <c r="Z796" i="20"/>
  <c r="AH791" i="20"/>
  <c r="AK788" i="20"/>
  <c r="Z784" i="20"/>
  <c r="AK780" i="20"/>
  <c r="AG776" i="20"/>
  <c r="AB774" i="20"/>
  <c r="AK772" i="20"/>
  <c r="AI764" i="20"/>
  <c r="AG760" i="20"/>
  <c r="Y756" i="20"/>
  <c r="AA744" i="20"/>
  <c r="AB740" i="20"/>
  <c r="AK728" i="20"/>
  <c r="AL720" i="20"/>
  <c r="Y711" i="20"/>
  <c r="AA707" i="20"/>
  <c r="AF704" i="20"/>
  <c r="AN696" i="20"/>
  <c r="AH692" i="20"/>
  <c r="AF688" i="20"/>
  <c r="AK680" i="20"/>
  <c r="AE678" i="20"/>
  <c r="AL655" i="20"/>
  <c r="AH624" i="20"/>
  <c r="AK620" i="20"/>
  <c r="AG612" i="20"/>
  <c r="AN606" i="20"/>
  <c r="AD600" i="20"/>
  <c r="AB596" i="20"/>
  <c r="AD584" i="20"/>
  <c r="AC629" i="20"/>
  <c r="Z560" i="20"/>
  <c r="Y553" i="20"/>
  <c r="AE544" i="20"/>
  <c r="AK540" i="20"/>
  <c r="AD536" i="20"/>
  <c r="AB524" i="20"/>
  <c r="Z504" i="20"/>
  <c r="AA500" i="20"/>
  <c r="Y496" i="20"/>
  <c r="AI480" i="20"/>
  <c r="AC473" i="20"/>
  <c r="AC476" i="20"/>
  <c r="AG467" i="20"/>
  <c r="AA456" i="20"/>
  <c r="AE452" i="20"/>
  <c r="AG448" i="20"/>
  <c r="Y443" i="20"/>
  <c r="AE432" i="20"/>
  <c r="AI424" i="20"/>
  <c r="G133" i="86" s="1"/>
  <c r="J133" i="86" s="1"/>
  <c r="AH420" i="20"/>
  <c r="Z416" i="20"/>
  <c r="Y412" i="20"/>
  <c r="AA408" i="20"/>
  <c r="AB404" i="20"/>
  <c r="AK400" i="20"/>
  <c r="AA395" i="20"/>
  <c r="Z392" i="20"/>
  <c r="AE388" i="20"/>
  <c r="AL384" i="20"/>
  <c r="AL372" i="20"/>
  <c r="AK368" i="20"/>
  <c r="AG357" i="20"/>
  <c r="AD349" i="20"/>
  <c r="AI344" i="20"/>
  <c r="AA340" i="20"/>
  <c r="AN336" i="20"/>
  <c r="Z320" i="20"/>
  <c r="AL313" i="20"/>
  <c r="AG309" i="20"/>
  <c r="AL301" i="20"/>
  <c r="AG277" i="20"/>
  <c r="Y274" i="20"/>
  <c r="AG235" i="20"/>
  <c r="AI229" i="20"/>
  <c r="AL219" i="20"/>
  <c r="AK195" i="20"/>
  <c r="AF185" i="20"/>
  <c r="AA181" i="20"/>
  <c r="AG165" i="20"/>
  <c r="AL141" i="20"/>
  <c r="AD152" i="20"/>
  <c r="AK151" i="20"/>
  <c r="AE220" i="20"/>
  <c r="AF237" i="20"/>
  <c r="Y105" i="20"/>
  <c r="AB112" i="20"/>
  <c r="AE21" i="20"/>
  <c r="AF21" i="20"/>
  <c r="AN21" i="20"/>
  <c r="AA21" i="20"/>
  <c r="AI21" i="20"/>
  <c r="AJ22" i="20"/>
  <c r="AB21" i="20"/>
  <c r="AJ21" i="20"/>
  <c r="AL21" i="20"/>
  <c r="AO21" i="20"/>
  <c r="AC22" i="20"/>
  <c r="Y22" i="20"/>
  <c r="AH21" i="20"/>
  <c r="AK21" i="20"/>
  <c r="AI22" i="20"/>
  <c r="AN22" i="20"/>
  <c r="AA22" i="20"/>
  <c r="AO22" i="20"/>
  <c r="Y21" i="20"/>
  <c r="AD21" i="20"/>
  <c r="AG21" i="20"/>
  <c r="AP22" i="20"/>
  <c r="AE22" i="20"/>
  <c r="AH22" i="20"/>
  <c r="AP21" i="20"/>
  <c r="Z21" i="20"/>
  <c r="AC21" i="20"/>
  <c r="AD22" i="20"/>
  <c r="AL22" i="20"/>
  <c r="AB22" i="20"/>
  <c r="AG22" i="20"/>
  <c r="Z22" i="20"/>
  <c r="AF22" i="20"/>
  <c r="AK22" i="20"/>
  <c r="AC1109" i="20"/>
  <c r="AH1024" i="20"/>
  <c r="AA1088" i="20"/>
  <c r="AN868" i="20"/>
  <c r="AJ290" i="20"/>
  <c r="AD286" i="20"/>
  <c r="AH191" i="20"/>
  <c r="AI172" i="20"/>
  <c r="AC106" i="20"/>
  <c r="AP83" i="20"/>
  <c r="AB15" i="20"/>
  <c r="AF15" i="20"/>
  <c r="AJ15" i="20"/>
  <c r="AN15" i="20"/>
  <c r="Y15" i="20"/>
  <c r="AC15" i="20"/>
  <c r="AG15" i="20"/>
  <c r="AK15" i="20"/>
  <c r="AO15" i="20"/>
  <c r="Z15" i="20"/>
  <c r="AD15" i="20"/>
  <c r="AH15" i="20"/>
  <c r="AL15" i="20"/>
  <c r="AP15" i="20"/>
  <c r="AA15" i="20"/>
  <c r="AE15" i="20"/>
  <c r="AI15" i="20"/>
  <c r="AT608" i="20"/>
  <c r="AT669" i="20"/>
  <c r="AT433" i="20"/>
  <c r="AT655" i="20"/>
  <c r="AT632" i="20"/>
  <c r="AT692" i="20"/>
  <c r="AT738" i="20"/>
  <c r="AT440" i="20"/>
  <c r="AT671" i="20"/>
  <c r="AT779" i="20"/>
  <c r="AT576" i="20"/>
  <c r="AT713" i="20"/>
  <c r="AT272" i="20"/>
  <c r="AT387" i="20"/>
  <c r="AB23" i="20"/>
  <c r="AF23" i="20"/>
  <c r="AJ23" i="20"/>
  <c r="AN23" i="20"/>
  <c r="Y23" i="20"/>
  <c r="AC23" i="20"/>
  <c r="AG23" i="20"/>
  <c r="AK23" i="20"/>
  <c r="AO23" i="20"/>
  <c r="Z23" i="20"/>
  <c r="AD23" i="20"/>
  <c r="AH23" i="20"/>
  <c r="AL23" i="20"/>
  <c r="AP23" i="20"/>
  <c r="AA23" i="20"/>
  <c r="AE23" i="20"/>
  <c r="AI23" i="20"/>
  <c r="AB24" i="20"/>
  <c r="AF24" i="20"/>
  <c r="AJ24" i="20"/>
  <c r="AN24" i="20"/>
  <c r="Y24" i="20"/>
  <c r="AC24" i="20"/>
  <c r="AG24" i="20"/>
  <c r="AK24" i="20"/>
  <c r="AO24" i="20"/>
  <c r="Z24" i="20"/>
  <c r="AD24" i="20"/>
  <c r="AH24" i="20"/>
  <c r="AL24" i="20"/>
  <c r="AP24" i="20"/>
  <c r="AA24" i="20"/>
  <c r="AE24" i="20"/>
  <c r="AI24" i="20"/>
  <c r="AT234" i="20"/>
  <c r="AB20" i="20"/>
  <c r="AF20" i="20"/>
  <c r="AJ20" i="20"/>
  <c r="AN20" i="20"/>
  <c r="Y20" i="20"/>
  <c r="AC20" i="20"/>
  <c r="AG20" i="20"/>
  <c r="AK20" i="20"/>
  <c r="AO20" i="20"/>
  <c r="Z20" i="20"/>
  <c r="AD20" i="20"/>
  <c r="AH20" i="20"/>
  <c r="AL20" i="20"/>
  <c r="AP20" i="20"/>
  <c r="AA20" i="20"/>
  <c r="AE20" i="20"/>
  <c r="AI20" i="20"/>
  <c r="AT612" i="20"/>
  <c r="AT483" i="20"/>
  <c r="AT303" i="20"/>
  <c r="AT486" i="20"/>
  <c r="AT583" i="20"/>
  <c r="AT606" i="20"/>
  <c r="AT624" i="20"/>
  <c r="Q1" i="86"/>
  <c r="AT584" i="20"/>
  <c r="AT773" i="20"/>
  <c r="AT707" i="20"/>
  <c r="AT489" i="20"/>
  <c r="AT600" i="20"/>
  <c r="AT753" i="20"/>
  <c r="AT566" i="20"/>
  <c r="AT641" i="20"/>
  <c r="AT919" i="20"/>
  <c r="AT328" i="20"/>
  <c r="AT866" i="20"/>
  <c r="AT893" i="20"/>
  <c r="AT835" i="20"/>
  <c r="AT561" i="20"/>
  <c r="AT401" i="20"/>
  <c r="AT937" i="20"/>
  <c r="AT1013" i="20"/>
  <c r="AT890" i="20"/>
  <c r="AT949" i="20"/>
  <c r="AT716" i="20"/>
  <c r="AT787" i="20"/>
  <c r="AT1083" i="20"/>
  <c r="AT1079" i="20"/>
  <c r="AT1050" i="20"/>
  <c r="AT502" i="20"/>
  <c r="AT805" i="20"/>
  <c r="AT979" i="20"/>
  <c r="AT560" i="20"/>
  <c r="AT1001" i="20"/>
  <c r="AT524" i="20"/>
  <c r="AT1131" i="20"/>
  <c r="AT457" i="20"/>
  <c r="AT644" i="20"/>
  <c r="AT428" i="20"/>
  <c r="AT1169" i="20"/>
  <c r="AT662" i="20"/>
  <c r="AT1141" i="20"/>
  <c r="AT315" i="20"/>
  <c r="AT367" i="20"/>
  <c r="AT723" i="20"/>
  <c r="AT765" i="20"/>
  <c r="AT1066" i="20"/>
  <c r="AT1162" i="20"/>
  <c r="AT494" i="20"/>
  <c r="AT182" i="20"/>
  <c r="N15" i="43"/>
  <c r="R15" i="43" s="1"/>
  <c r="N12" i="43"/>
  <c r="R12" i="43" s="1"/>
  <c r="AR233" i="20"/>
  <c r="AT233" i="20"/>
  <c r="AR235" i="20"/>
  <c r="AT235" i="20"/>
  <c r="AT1170" i="20"/>
  <c r="AT549" i="20"/>
  <c r="AF43" i="20"/>
  <c r="AI48" i="20"/>
  <c r="AL37" i="20"/>
  <c r="AJ42" i="20"/>
  <c r="AK39" i="20"/>
  <c r="AB100" i="20"/>
  <c r="AB69" i="20"/>
  <c r="AD96" i="20"/>
  <c r="AO88" i="20"/>
  <c r="AH1166" i="20"/>
  <c r="AG1157" i="20"/>
  <c r="AL290" i="20"/>
  <c r="AD33" i="20"/>
  <c r="AA46" i="20"/>
  <c r="AE60" i="20"/>
  <c r="AD40" i="20"/>
  <c r="AG98" i="20"/>
  <c r="AK1171" i="20"/>
  <c r="AN1153" i="20"/>
  <c r="AP1149" i="20"/>
  <c r="AJ1144" i="20"/>
  <c r="AO1133" i="20"/>
  <c r="Z1129" i="20"/>
  <c r="AL1117" i="20"/>
  <c r="AO1113" i="20"/>
  <c r="Z1080" i="20"/>
  <c r="AE1081" i="20"/>
  <c r="AN1073" i="20"/>
  <c r="AD1064" i="20"/>
  <c r="Y1058" i="20"/>
  <c r="AG1029" i="20"/>
  <c r="Y1025" i="20"/>
  <c r="AG1009" i="20"/>
  <c r="AD1006" i="20"/>
  <c r="AF996" i="20"/>
  <c r="AI989" i="20"/>
  <c r="AC985" i="20"/>
  <c r="AF976" i="20"/>
  <c r="AA968" i="20"/>
  <c r="AF959" i="20"/>
  <c r="AE941" i="20"/>
  <c r="AA915" i="20"/>
  <c r="AG898" i="20"/>
  <c r="AK894" i="20"/>
  <c r="AF910" i="20"/>
  <c r="AB908" i="20"/>
  <c r="AN905" i="20"/>
  <c r="AO903" i="20"/>
  <c r="AG854" i="20"/>
  <c r="AA850" i="20"/>
  <c r="AO846" i="20"/>
  <c r="Z839" i="20"/>
  <c r="AO835" i="20"/>
  <c r="AC822" i="20"/>
  <c r="AP816" i="20"/>
  <c r="AL813" i="20"/>
  <c r="AH800" i="20"/>
  <c r="AJ798" i="20"/>
  <c r="Y787" i="20"/>
  <c r="AG769" i="20"/>
  <c r="AO767" i="20"/>
  <c r="AI763" i="20"/>
  <c r="AN759" i="20"/>
  <c r="AP755" i="20"/>
  <c r="AC749" i="20"/>
  <c r="AI747" i="20"/>
  <c r="AI739" i="20"/>
  <c r="AG735" i="20"/>
  <c r="AO731" i="20"/>
  <c r="AO727" i="20"/>
  <c r="AE723" i="20"/>
  <c r="AD713" i="20"/>
  <c r="AA706" i="20"/>
  <c r="AE703" i="20"/>
  <c r="Y699" i="20"/>
  <c r="AD695" i="20"/>
  <c r="AP691" i="20"/>
  <c r="AO687" i="20"/>
  <c r="AG686" i="20"/>
  <c r="AI679" i="20"/>
  <c r="AI674" i="20"/>
  <c r="AD671" i="20"/>
  <c r="AK663" i="20"/>
  <c r="AC659" i="20"/>
  <c r="AP656" i="20"/>
  <c r="AB652" i="20"/>
  <c r="AP647" i="20"/>
  <c r="Z646" i="20"/>
  <c r="AG639" i="20"/>
  <c r="AP637" i="20"/>
  <c r="Z619" i="20"/>
  <c r="AI615" i="20"/>
  <c r="AG609" i="20"/>
  <c r="AK605" i="20"/>
  <c r="AO603" i="20"/>
  <c r="AP599" i="20"/>
  <c r="AB592" i="20"/>
  <c r="Z587" i="20"/>
  <c r="AI580" i="20"/>
  <c r="AO571" i="20"/>
  <c r="AP568" i="20"/>
  <c r="AI628" i="20"/>
  <c r="AP563" i="20"/>
  <c r="AK1163" i="20"/>
  <c r="AF1154" i="20"/>
  <c r="Y1152" i="20"/>
  <c r="AE1143" i="20"/>
  <c r="AF1139" i="20"/>
  <c r="AH1135" i="20"/>
  <c r="Y1131" i="20"/>
  <c r="AI1127" i="20"/>
  <c r="Z1122" i="20"/>
  <c r="Z1121" i="20"/>
  <c r="AD1110" i="20"/>
  <c r="AK1092" i="20"/>
  <c r="AA1078" i="20"/>
  <c r="AN1075" i="20"/>
  <c r="AF1066" i="20"/>
  <c r="AI1061" i="20"/>
  <c r="Y1057" i="20"/>
  <c r="AE1052" i="20"/>
  <c r="AJ1049" i="20"/>
  <c r="AN1045" i="20"/>
  <c r="AB1041" i="20"/>
  <c r="AE1037" i="20"/>
  <c r="AL1027" i="20"/>
  <c r="AB1019" i="20"/>
  <c r="AF1015" i="20"/>
  <c r="AC1011" i="20"/>
  <c r="AH1007" i="20"/>
  <c r="AJ1001" i="20"/>
  <c r="AL1005" i="20"/>
  <c r="AI991" i="20"/>
  <c r="AK987" i="20"/>
  <c r="AG982" i="20"/>
  <c r="AN978" i="20"/>
  <c r="AN974" i="20"/>
  <c r="AJ966" i="20"/>
  <c r="AD957" i="20"/>
  <c r="Y949" i="20"/>
  <c r="AF939" i="20"/>
  <c r="AK935" i="20"/>
  <c r="AF928" i="20"/>
  <c r="AJ924" i="20"/>
  <c r="AA919" i="20"/>
  <c r="AJ899" i="20"/>
  <c r="AH896" i="20"/>
  <c r="AG892" i="20"/>
  <c r="AF889" i="20"/>
  <c r="AN888" i="20"/>
  <c r="AL884" i="20"/>
  <c r="AF880" i="20"/>
  <c r="AN874" i="20"/>
  <c r="AI861" i="20"/>
  <c r="AA852" i="20"/>
  <c r="AN841" i="20"/>
  <c r="AN817" i="20"/>
  <c r="AH812" i="20"/>
  <c r="AB801" i="20"/>
  <c r="Y785" i="20"/>
  <c r="AH781" i="20"/>
  <c r="AN777" i="20"/>
  <c r="AD768" i="20"/>
  <c r="AD761" i="20"/>
  <c r="AB757" i="20"/>
  <c r="AL733" i="20"/>
  <c r="AJ725" i="20"/>
  <c r="AK721" i="20"/>
  <c r="AJ719" i="20"/>
  <c r="AJ693" i="20"/>
  <c r="AH689" i="20"/>
  <c r="AB683" i="20"/>
  <c r="AN681" i="20"/>
  <c r="AC676" i="20"/>
  <c r="AG672" i="20"/>
  <c r="AK661" i="20"/>
  <c r="AK653" i="20"/>
  <c r="AE644" i="20"/>
  <c r="Z641" i="20"/>
  <c r="AF635" i="20"/>
  <c r="AP617" i="20"/>
  <c r="AN555" i="20"/>
  <c r="AE551" i="20"/>
  <c r="AP547" i="20"/>
  <c r="AP543" i="20"/>
  <c r="Z539" i="20"/>
  <c r="Y532" i="20"/>
  <c r="AN527" i="20"/>
  <c r="AF514" i="20"/>
  <c r="AF511" i="20"/>
  <c r="AJ503" i="20"/>
  <c r="AK499" i="20"/>
  <c r="AF495" i="20"/>
  <c r="AN491" i="20"/>
  <c r="Z485" i="20"/>
  <c r="AO482" i="20"/>
  <c r="AD471" i="20"/>
  <c r="AO464" i="20"/>
  <c r="AN458" i="20"/>
  <c r="AP451" i="20"/>
  <c r="AB447" i="20"/>
  <c r="AK445" i="20"/>
  <c r="AG439" i="20"/>
  <c r="AI435" i="20"/>
  <c r="AH427" i="20"/>
  <c r="AC423" i="20"/>
  <c r="AI407" i="20"/>
  <c r="AJ403" i="20"/>
  <c r="AO399" i="20"/>
  <c r="AO394" i="20"/>
  <c r="Z383" i="20"/>
  <c r="AP375" i="20"/>
  <c r="AP371" i="20"/>
  <c r="AC364" i="20"/>
  <c r="Z360" i="20"/>
  <c r="AB339" i="20"/>
  <c r="AP331" i="20"/>
  <c r="AP319" i="20"/>
  <c r="AP295" i="20"/>
  <c r="AO272" i="20"/>
  <c r="AK268" i="20"/>
  <c r="Y260" i="20"/>
  <c r="AJ258" i="20"/>
  <c r="AI253" i="20"/>
  <c r="AP230" i="20"/>
  <c r="AI228" i="20"/>
  <c r="AC224" i="20"/>
  <c r="AL218" i="20"/>
  <c r="AK199" i="20"/>
  <c r="AF184" i="20"/>
  <c r="AA179" i="20"/>
  <c r="AF613" i="20"/>
  <c r="AD569" i="20"/>
  <c r="AA565" i="20"/>
  <c r="Y626" i="20"/>
  <c r="Y541" i="20"/>
  <c r="AA533" i="20"/>
  <c r="AG529" i="20"/>
  <c r="AN521" i="20"/>
  <c r="AK515" i="20"/>
  <c r="AC513" i="20"/>
  <c r="AG509" i="20"/>
  <c r="AE505" i="20"/>
  <c r="AJ497" i="20"/>
  <c r="AC490" i="20"/>
  <c r="AF486" i="20"/>
  <c r="AL481" i="20"/>
  <c r="Z477" i="20"/>
  <c r="Z457" i="20"/>
  <c r="AE453" i="20"/>
  <c r="Y449" i="20"/>
  <c r="AN444" i="20"/>
  <c r="AP441" i="20"/>
  <c r="AN429" i="20"/>
  <c r="AE425" i="20"/>
  <c r="AJ417" i="20"/>
  <c r="AE413" i="20"/>
  <c r="AB409" i="20"/>
  <c r="Z405" i="20"/>
  <c r="AF401" i="20"/>
  <c r="AB396" i="20"/>
  <c r="AO393" i="20"/>
  <c r="Z389" i="20"/>
  <c r="Y373" i="20"/>
  <c r="AF369" i="20"/>
  <c r="AF365" i="20"/>
  <c r="Y362" i="20"/>
  <c r="AI354" i="20"/>
  <c r="AB350" i="20"/>
  <c r="AL345" i="20"/>
  <c r="AE337" i="20"/>
  <c r="AB333" i="20"/>
  <c r="Z328" i="20"/>
  <c r="AC325" i="20"/>
  <c r="AB321" i="20"/>
  <c r="AC317" i="20"/>
  <c r="AD314" i="20"/>
  <c r="AN310" i="20"/>
  <c r="Z305" i="20"/>
  <c r="Z300" i="20"/>
  <c r="AG297" i="20"/>
  <c r="AB282" i="20"/>
  <c r="Z278" i="20"/>
  <c r="Y275" i="20"/>
  <c r="AI270" i="20"/>
  <c r="AF266" i="20"/>
  <c r="Z261" i="20"/>
  <c r="AK257" i="20"/>
  <c r="AD250" i="20"/>
  <c r="AC236" i="20"/>
  <c r="AC223" i="20"/>
  <c r="AH216" i="20"/>
  <c r="AL186" i="20"/>
  <c r="AK180" i="20"/>
  <c r="AN176" i="20"/>
  <c r="AI169" i="20"/>
  <c r="AK122" i="20"/>
  <c r="AH118" i="20"/>
  <c r="AF127" i="20"/>
  <c r="AN1069" i="20"/>
  <c r="AF1108" i="20"/>
  <c r="AI984" i="20"/>
  <c r="AC1102" i="20"/>
  <c r="AL1100" i="20"/>
  <c r="AB932" i="20"/>
  <c r="AL1095" i="20"/>
  <c r="AE120" i="20"/>
  <c r="AB115" i="20"/>
  <c r="Z166" i="20"/>
  <c r="Y242" i="20"/>
  <c r="AP222" i="20"/>
  <c r="AA1096" i="20"/>
  <c r="Y934" i="20"/>
  <c r="AG171" i="20"/>
  <c r="AB114" i="20"/>
  <c r="AK231" i="20"/>
  <c r="AN45" i="20"/>
  <c r="AE47" i="20"/>
  <c r="AF36" i="20"/>
  <c r="AN41" i="20"/>
  <c r="AI53" i="20"/>
  <c r="AH74" i="20"/>
  <c r="AI52" i="20"/>
  <c r="Y72" i="20"/>
  <c r="Y95" i="20"/>
  <c r="AD1172" i="20"/>
  <c r="AC1165" i="20"/>
  <c r="AA1160" i="20"/>
  <c r="AL1151" i="20"/>
  <c r="Z1148" i="20"/>
  <c r="AC1147" i="20"/>
  <c r="AP1140" i="20"/>
  <c r="AB1136" i="20"/>
  <c r="AC1123" i="20"/>
  <c r="AH1116" i="20"/>
  <c r="AB1112" i="20"/>
  <c r="AL1093" i="20"/>
  <c r="AD1089" i="20"/>
  <c r="AK1079" i="20"/>
  <c r="Y1076" i="20"/>
  <c r="AP1072" i="20"/>
  <c r="AE1060" i="20"/>
  <c r="AI1053" i="20"/>
  <c r="AP1050" i="20"/>
  <c r="AB1046" i="20"/>
  <c r="AO1042" i="20"/>
  <c r="AN1032" i="20"/>
  <c r="AA1028" i="20"/>
  <c r="AD1020" i="20"/>
  <c r="AH1016" i="20"/>
  <c r="AO1012" i="20"/>
  <c r="AB1002" i="20"/>
  <c r="AO995" i="20"/>
  <c r="AO992" i="20"/>
  <c r="AE988" i="20"/>
  <c r="AK983" i="20"/>
  <c r="AI979" i="20"/>
  <c r="AA975" i="20"/>
  <c r="AD967" i="20"/>
  <c r="AP962" i="20"/>
  <c r="AN958" i="20"/>
  <c r="AI950" i="20"/>
  <c r="AE936" i="20"/>
  <c r="AB929" i="20"/>
  <c r="AJ925" i="20"/>
  <c r="AG920" i="20"/>
  <c r="AB897" i="20"/>
  <c r="AD890" i="20"/>
  <c r="AK907" i="20"/>
  <c r="AC887" i="20"/>
  <c r="AE881" i="20"/>
  <c r="AH875" i="20"/>
  <c r="AJ871" i="20"/>
  <c r="AH862" i="20"/>
  <c r="AK853" i="20"/>
  <c r="AD849" i="20"/>
  <c r="AC845" i="20"/>
  <c r="Z842" i="20"/>
  <c r="AL829" i="20"/>
  <c r="AG828" i="20"/>
  <c r="AF818" i="20"/>
  <c r="AB809" i="20"/>
  <c r="Y805" i="20"/>
  <c r="AD802" i="20"/>
  <c r="AN793" i="20"/>
  <c r="AP782" i="20"/>
  <c r="AD778" i="20"/>
  <c r="AA775" i="20"/>
  <c r="AA766" i="20"/>
  <c r="AG762" i="20"/>
  <c r="AG753" i="20"/>
  <c r="AE752" i="20"/>
  <c r="Z746" i="20"/>
  <c r="AH734" i="20"/>
  <c r="AN726" i="20"/>
  <c r="AB722" i="20"/>
  <c r="AC715" i="20"/>
  <c r="Y712" i="20"/>
  <c r="AK709" i="20"/>
  <c r="AJ718" i="20"/>
  <c r="AI702" i="20"/>
  <c r="AH698" i="20"/>
  <c r="AE694" i="20"/>
  <c r="AF684" i="20"/>
  <c r="AI685" i="20"/>
  <c r="AJ673" i="20"/>
  <c r="AD668" i="20"/>
  <c r="AK666" i="20"/>
  <c r="Y662" i="20"/>
  <c r="AL654" i="20"/>
  <c r="AJ645" i="20"/>
  <c r="AA642" i="20"/>
  <c r="Y638" i="20"/>
  <c r="AL636" i="20"/>
  <c r="AE622" i="20"/>
  <c r="AK611" i="20"/>
  <c r="AO602" i="20"/>
  <c r="AL598" i="20"/>
  <c r="AF594" i="20"/>
  <c r="AI591" i="20"/>
  <c r="Y586" i="20"/>
  <c r="Z574" i="20"/>
  <c r="Z570" i="20"/>
  <c r="AK558" i="20"/>
  <c r="AF550" i="20"/>
  <c r="Y546" i="20"/>
  <c r="AH542" i="20"/>
  <c r="AK534" i="20"/>
  <c r="AP530" i="20"/>
  <c r="AE526" i="20"/>
  <c r="AC522" i="20"/>
  <c r="AH516" i="20"/>
  <c r="AA510" i="20"/>
  <c r="AE506" i="20"/>
  <c r="AG502" i="20"/>
  <c r="AE498" i="20"/>
  <c r="AP488" i="20"/>
  <c r="AB487" i="20"/>
  <c r="AO472" i="20"/>
  <c r="AJ466" i="20"/>
  <c r="AP462" i="20"/>
  <c r="AP154" i="20"/>
  <c r="AA454" i="20"/>
  <c r="AJ450" i="20"/>
  <c r="AI446" i="20"/>
  <c r="AO442" i="20"/>
  <c r="Y438" i="20"/>
  <c r="AJ434" i="20"/>
  <c r="AO422" i="20"/>
  <c r="AF418" i="20"/>
  <c r="AK414" i="20"/>
  <c r="AI410" i="20"/>
  <c r="AH406" i="20"/>
  <c r="AH402" i="20"/>
  <c r="AL398" i="20"/>
  <c r="AD386" i="20"/>
  <c r="AG382" i="20"/>
  <c r="AN374" i="20"/>
  <c r="AE370" i="20"/>
  <c r="Y366" i="20"/>
  <c r="AJ363" i="20"/>
  <c r="AH359" i="20"/>
  <c r="Z355" i="20"/>
  <c r="Z346" i="20"/>
  <c r="AH342" i="20"/>
  <c r="AD326" i="20"/>
  <c r="Y318" i="20"/>
  <c r="AB307" i="20"/>
  <c r="AO306" i="20"/>
  <c r="AI302" i="20"/>
  <c r="AG298" i="20"/>
  <c r="AB294" i="20"/>
  <c r="AF279" i="20"/>
  <c r="AL273" i="20"/>
  <c r="Z267" i="20"/>
  <c r="AL263" i="20"/>
  <c r="AJ259" i="20"/>
  <c r="AC254" i="20"/>
  <c r="AL233" i="20"/>
  <c r="AN225" i="20"/>
  <c r="AN226" i="20"/>
  <c r="AE217" i="20"/>
  <c r="AE198" i="20"/>
  <c r="AE187" i="20"/>
  <c r="AD182" i="20"/>
  <c r="AD177" i="20"/>
  <c r="AP173" i="20"/>
  <c r="AA178" i="20"/>
  <c r="AL126" i="20"/>
  <c r="AO153" i="20"/>
  <c r="AP125" i="20"/>
  <c r="AL1062" i="20"/>
  <c r="AJ102" i="20"/>
  <c r="AK1087" i="20"/>
  <c r="AG1085" i="20"/>
  <c r="AI1086" i="20"/>
  <c r="AK215" i="20"/>
  <c r="AH134" i="20"/>
  <c r="AP193" i="20"/>
  <c r="AA192" i="20"/>
  <c r="AB921" i="20"/>
  <c r="Y194" i="20"/>
  <c r="AD139" i="20"/>
  <c r="Z287" i="20"/>
  <c r="AG285" i="20"/>
  <c r="AE210" i="20"/>
  <c r="AA59" i="20"/>
  <c r="AB63" i="20"/>
  <c r="AE59" i="20"/>
  <c r="AF63" i="20"/>
  <c r="AI59" i="20"/>
  <c r="AJ63" i="20"/>
  <c r="AN63" i="20"/>
  <c r="Y59" i="20"/>
  <c r="Z63" i="20"/>
  <c r="AC59" i="20"/>
  <c r="AD63" i="20"/>
  <c r="AG59" i="20"/>
  <c r="AH63" i="20"/>
  <c r="AL63" i="20"/>
  <c r="Y63" i="20"/>
  <c r="AB59" i="20"/>
  <c r="AC63" i="20"/>
  <c r="AF59" i="20"/>
  <c r="AG63" i="20"/>
  <c r="AJ59" i="20"/>
  <c r="AK63" i="20"/>
  <c r="AN59" i="20"/>
  <c r="AO63" i="20"/>
  <c r="AK59" i="20"/>
  <c r="AO59" i="20"/>
  <c r="AP63" i="20"/>
  <c r="AP59" i="20"/>
  <c r="Z59" i="20"/>
  <c r="AA63" i="20"/>
  <c r="AD59" i="20"/>
  <c r="AE63" i="20"/>
  <c r="AH59" i="20"/>
  <c r="AI63" i="20"/>
  <c r="AL59" i="20"/>
  <c r="AF288" i="20"/>
  <c r="AE205" i="20"/>
  <c r="AE293" i="20"/>
  <c r="AC138" i="20"/>
  <c r="AG206" i="20"/>
  <c r="AC121" i="20"/>
  <c r="Z209" i="20"/>
  <c r="AD104" i="20"/>
  <c r="AL238" i="20"/>
  <c r="AA160" i="20"/>
  <c r="Z167" i="20"/>
  <c r="Z156" i="20"/>
  <c r="AJ142" i="20"/>
  <c r="Z157" i="20"/>
  <c r="AJ239" i="20"/>
  <c r="AH85" i="20"/>
  <c r="AB128" i="20"/>
  <c r="Y55" i="20"/>
  <c r="Y50" i="20"/>
  <c r="Z56" i="20"/>
  <c r="AA57" i="20"/>
  <c r="AB54" i="20"/>
  <c r="AB58" i="20"/>
  <c r="AC55" i="20"/>
  <c r="AC50" i="20"/>
  <c r="AD56" i="20"/>
  <c r="AE57" i="20"/>
  <c r="AF54" i="20"/>
  <c r="AF58" i="20"/>
  <c r="AG55" i="20"/>
  <c r="AG50" i="20"/>
  <c r="AH56" i="20"/>
  <c r="AI57" i="20"/>
  <c r="AJ54" i="20"/>
  <c r="AJ58" i="20"/>
  <c r="AK55" i="20"/>
  <c r="AK50" i="20"/>
  <c r="AL56" i="20"/>
  <c r="AN54" i="20"/>
  <c r="AN58" i="20"/>
  <c r="AO55" i="20"/>
  <c r="AO50" i="20"/>
  <c r="AP56" i="20"/>
  <c r="Y57" i="20"/>
  <c r="Z54" i="20"/>
  <c r="AA55" i="20"/>
  <c r="AA50" i="20"/>
  <c r="AC57" i="20"/>
  <c r="AD58" i="20"/>
  <c r="AE50" i="20"/>
  <c r="AH54" i="20"/>
  <c r="AI55" i="20"/>
  <c r="AJ56" i="20"/>
  <c r="AK57" i="20"/>
  <c r="AL58" i="20"/>
  <c r="AP58" i="20"/>
  <c r="Y54" i="20"/>
  <c r="Y58" i="20"/>
  <c r="Z55" i="20"/>
  <c r="Z50" i="20"/>
  <c r="AA56" i="20"/>
  <c r="AB57" i="20"/>
  <c r="AC54" i="20"/>
  <c r="AC58" i="20"/>
  <c r="AD55" i="20"/>
  <c r="AD50" i="20"/>
  <c r="AE56" i="20"/>
  <c r="AF57" i="20"/>
  <c r="AG54" i="20"/>
  <c r="AG58" i="20"/>
  <c r="AH55" i="20"/>
  <c r="AH50" i="20"/>
  <c r="AI56" i="20"/>
  <c r="AJ57" i="20"/>
  <c r="AK54" i="20"/>
  <c r="AK58" i="20"/>
  <c r="AL55" i="20"/>
  <c r="AL50" i="20"/>
  <c r="AN57" i="20"/>
  <c r="AO54" i="20"/>
  <c r="AO58" i="20"/>
  <c r="AP55" i="20"/>
  <c r="AP50" i="20"/>
  <c r="Y56" i="20"/>
  <c r="Z57" i="20"/>
  <c r="AA54" i="20"/>
  <c r="AA58" i="20"/>
  <c r="AB55" i="20"/>
  <c r="AB50" i="20"/>
  <c r="AC56" i="20"/>
  <c r="AD57" i="20"/>
  <c r="AE54" i="20"/>
  <c r="AE58" i="20"/>
  <c r="AF55" i="20"/>
  <c r="AF50" i="20"/>
  <c r="AG56" i="20"/>
  <c r="AH57" i="20"/>
  <c r="AI54" i="20"/>
  <c r="AI58" i="20"/>
  <c r="AJ55" i="20"/>
  <c r="AJ50" i="20"/>
  <c r="AK56" i="20"/>
  <c r="AL57" i="20"/>
  <c r="AN55" i="20"/>
  <c r="AN50" i="20"/>
  <c r="AO56" i="20"/>
  <c r="AP57" i="20"/>
  <c r="Z58" i="20"/>
  <c r="AB56" i="20"/>
  <c r="AD54" i="20"/>
  <c r="AE55" i="20"/>
  <c r="AF56" i="20"/>
  <c r="AG57" i="20"/>
  <c r="AH58" i="20"/>
  <c r="AI50" i="20"/>
  <c r="AL54" i="20"/>
  <c r="AN56" i="20"/>
  <c r="AO57" i="20"/>
  <c r="AP54" i="20"/>
  <c r="AC135" i="20"/>
  <c r="AE1104" i="20"/>
  <c r="AK1097" i="20"/>
  <c r="AO146" i="20"/>
  <c r="AN203" i="20"/>
  <c r="AH145" i="20"/>
  <c r="AG212" i="20"/>
  <c r="Y137" i="20"/>
  <c r="AJ200" i="20"/>
  <c r="AC148" i="20"/>
  <c r="Y149" i="20"/>
  <c r="AJ190" i="20"/>
  <c r="AL107" i="20"/>
  <c r="AG158" i="20"/>
  <c r="Z111" i="20"/>
  <c r="AL123" i="20"/>
  <c r="Y89" i="20"/>
  <c r="Y49" i="20"/>
  <c r="AC49" i="20"/>
  <c r="AG49" i="20"/>
  <c r="AK49" i="20"/>
  <c r="AO49" i="20"/>
  <c r="Z49" i="20"/>
  <c r="AD49" i="20"/>
  <c r="AH49" i="20"/>
  <c r="AL49" i="20"/>
  <c r="AP49" i="20"/>
  <c r="AA49" i="20"/>
  <c r="AE49" i="20"/>
  <c r="AI49" i="20"/>
  <c r="AB49" i="20"/>
  <c r="AF49" i="20"/>
  <c r="AJ49" i="20"/>
  <c r="AN49" i="20"/>
  <c r="Y67" i="20"/>
  <c r="AC67" i="20"/>
  <c r="AG67" i="20"/>
  <c r="AK67" i="20"/>
  <c r="AO67" i="20"/>
  <c r="Z67" i="20"/>
  <c r="AD67" i="20"/>
  <c r="AH67" i="20"/>
  <c r="AL67" i="20"/>
  <c r="AP67" i="20"/>
  <c r="AB67" i="20"/>
  <c r="AF67" i="20"/>
  <c r="AJ67" i="20"/>
  <c r="AN67" i="20"/>
  <c r="AA67" i="20"/>
  <c r="AE67" i="20"/>
  <c r="AI67" i="20"/>
  <c r="AT142" i="20"/>
  <c r="AA223" i="20"/>
  <c r="AD297" i="20"/>
  <c r="AF176" i="20"/>
  <c r="AO231" i="20"/>
  <c r="AC1069" i="20"/>
  <c r="AB52" i="20"/>
  <c r="AL47" i="20"/>
  <c r="AI988" i="20"/>
  <c r="AE122" i="20"/>
  <c r="Y216" i="20"/>
  <c r="AJ127" i="20"/>
  <c r="AK45" i="20"/>
  <c r="AD984" i="20"/>
  <c r="AN186" i="20"/>
  <c r="I55" i="37"/>
  <c r="AR31" i="20"/>
  <c r="AR43" i="20"/>
  <c r="AR48" i="20"/>
  <c r="AT48" i="20"/>
  <c r="AR45" i="20"/>
  <c r="AJ191" i="20"/>
  <c r="AI1088" i="20"/>
  <c r="G154" i="86" s="1"/>
  <c r="J154" i="86" s="1"/>
  <c r="AA368" i="20"/>
  <c r="AF105" i="20"/>
  <c r="AK106" i="20"/>
  <c r="AB290" i="20"/>
  <c r="AJ86" i="20"/>
  <c r="AA122" i="20"/>
  <c r="AB250" i="20"/>
  <c r="AF337" i="20"/>
  <c r="AC191" i="20"/>
  <c r="AO83" i="20"/>
  <c r="Y38" i="20"/>
  <c r="AB169" i="20"/>
  <c r="AK597" i="20"/>
  <c r="AC597" i="20"/>
  <c r="AB255" i="20"/>
  <c r="AN255" i="20"/>
  <c r="AJ232" i="20"/>
  <c r="Z232" i="20"/>
  <c r="AC176" i="20"/>
  <c r="AG176" i="20"/>
  <c r="AC122" i="20"/>
  <c r="AH122" i="20"/>
  <c r="AO118" i="20"/>
  <c r="AF118" i="20"/>
  <c r="AE1069" i="20"/>
  <c r="AH1069" i="20"/>
  <c r="Y1069" i="20"/>
  <c r="AK1100" i="20"/>
  <c r="AI1100" i="20"/>
  <c r="AJ1100" i="20"/>
  <c r="AD341" i="20"/>
  <c r="Z341" i="20"/>
  <c r="AC266" i="20"/>
  <c r="AG266" i="20"/>
  <c r="AN257" i="20"/>
  <c r="AI257" i="20"/>
  <c r="Y236" i="20"/>
  <c r="AF236" i="20"/>
  <c r="AI221" i="20"/>
  <c r="AC221" i="20"/>
  <c r="AJ221" i="20"/>
  <c r="AE490" i="20"/>
  <c r="AF223" i="20"/>
  <c r="AN270" i="20"/>
  <c r="AH300" i="20"/>
  <c r="AD345" i="20"/>
  <c r="AO282" i="20"/>
  <c r="AB361" i="20"/>
  <c r="AK361" i="20"/>
  <c r="AH325" i="20"/>
  <c r="AA325" i="20"/>
  <c r="AJ216" i="20"/>
  <c r="Z216" i="20"/>
  <c r="Y196" i="20"/>
  <c r="AJ196" i="20"/>
  <c r="AO328" i="20"/>
  <c r="AB180" i="20"/>
  <c r="AC250" i="20"/>
  <c r="Y261" i="20"/>
  <c r="AK169" i="20"/>
  <c r="AA255" i="20"/>
  <c r="AD864" i="20"/>
  <c r="AB864" i="20"/>
  <c r="AN820" i="20"/>
  <c r="AK820" i="20"/>
  <c r="AA106" i="20"/>
  <c r="AO191" i="20"/>
  <c r="AH1095" i="20"/>
  <c r="AL99" i="20"/>
  <c r="AO290" i="20"/>
  <c r="Z290" i="20"/>
  <c r="AP118" i="20"/>
  <c r="AG38" i="20"/>
  <c r="AN237" i="20"/>
  <c r="AC1100" i="20"/>
  <c r="Z1069" i="20"/>
  <c r="Y122" i="20"/>
  <c r="AB286" i="20"/>
  <c r="AN1100" i="20"/>
  <c r="AK186" i="20"/>
  <c r="AJ223" i="20"/>
  <c r="AF255" i="20"/>
  <c r="Z169" i="20"/>
  <c r="AC112" i="20"/>
  <c r="AA799" i="20"/>
  <c r="AK404" i="20"/>
  <c r="AL513" i="20"/>
  <c r="Z180" i="20"/>
  <c r="AB216" i="20"/>
  <c r="AF232" i="20"/>
  <c r="AG257" i="20"/>
  <c r="AK275" i="20"/>
  <c r="AA310" i="20"/>
  <c r="AG333" i="20"/>
  <c r="AJ354" i="20"/>
  <c r="AL1102" i="20"/>
  <c r="AD127" i="20"/>
  <c r="Z106" i="20"/>
  <c r="AP1069" i="20"/>
  <c r="AN1088" i="20"/>
  <c r="AP1088" i="20"/>
  <c r="AK118" i="20"/>
  <c r="AC237" i="20"/>
  <c r="AO1100" i="20"/>
  <c r="AJ118" i="20"/>
  <c r="AB122" i="20"/>
  <c r="AA196" i="20"/>
  <c r="AE232" i="20"/>
  <c r="AB257" i="20"/>
  <c r="AA791" i="20"/>
  <c r="AH597" i="20"/>
  <c r="AC180" i="20"/>
  <c r="AF221" i="20"/>
  <c r="AJ236" i="20"/>
  <c r="AE261" i="20"/>
  <c r="AF314" i="20"/>
  <c r="AA1108" i="20"/>
  <c r="E18" i="43"/>
  <c r="AC18" i="43" s="1"/>
  <c r="E15" i="43"/>
  <c r="I15" i="43" s="1"/>
  <c r="E13" i="43"/>
  <c r="I13" i="43" s="1"/>
  <c r="AA30" i="20"/>
  <c r="AT977" i="20"/>
  <c r="AJ408" i="20"/>
  <c r="AN836" i="20"/>
  <c r="AF832" i="20"/>
  <c r="AF31" i="20"/>
  <c r="AO592" i="20"/>
  <c r="AA52" i="20"/>
  <c r="AH52" i="20"/>
  <c r="AG52" i="20"/>
  <c r="AD41" i="20"/>
  <c r="AG36" i="20"/>
  <c r="AP34" i="20"/>
  <c r="AO609" i="20"/>
  <c r="AE392" i="20"/>
  <c r="AJ788" i="20"/>
  <c r="AL803" i="20"/>
  <c r="AN91" i="20"/>
  <c r="Z904" i="20"/>
  <c r="AC1070" i="20"/>
  <c r="AD315" i="20"/>
  <c r="Y315" i="20"/>
  <c r="AO44" i="20"/>
  <c r="AD45" i="20"/>
  <c r="AL34" i="20"/>
  <c r="Z91" i="20"/>
  <c r="AJ400" i="20"/>
  <c r="AF823" i="20"/>
  <c r="AC1077" i="20"/>
  <c r="AG1155" i="20"/>
  <c r="AD1155" i="20"/>
  <c r="AN1118" i="20"/>
  <c r="AL1118" i="20"/>
  <c r="AJ1091" i="20"/>
  <c r="AD1091" i="20"/>
  <c r="AK1034" i="20"/>
  <c r="AH1034" i="20"/>
  <c r="AF1004" i="20"/>
  <c r="AN1004" i="20"/>
  <c r="AD973" i="20"/>
  <c r="AA973" i="20"/>
  <c r="Y931" i="20"/>
  <c r="AB931" i="20"/>
  <c r="AC918" i="20"/>
  <c r="AG918" i="20"/>
  <c r="AN895" i="20"/>
  <c r="AD895" i="20"/>
  <c r="AN860" i="20"/>
  <c r="AC860" i="20"/>
  <c r="AD851" i="20"/>
  <c r="AN851" i="20"/>
  <c r="AA847" i="20"/>
  <c r="AK847" i="20"/>
  <c r="Y844" i="20"/>
  <c r="AE844" i="20"/>
  <c r="AJ826" i="20"/>
  <c r="AH826" i="20"/>
  <c r="AL811" i="20"/>
  <c r="AN811" i="20"/>
  <c r="AB808" i="20"/>
  <c r="AE808" i="20"/>
  <c r="AE796" i="20"/>
  <c r="AN796" i="20"/>
  <c r="AG780" i="20"/>
  <c r="AI780" i="20"/>
  <c r="Z376" i="20"/>
  <c r="AI376" i="20"/>
  <c r="AI348" i="20"/>
  <c r="AC348" i="20"/>
  <c r="AL113" i="20"/>
  <c r="AE113" i="20"/>
  <c r="AH1109" i="20"/>
  <c r="AB1109" i="20"/>
  <c r="AJ1024" i="20"/>
  <c r="AE1024" i="20"/>
  <c r="Y1022" i="20"/>
  <c r="AO1022" i="20"/>
  <c r="AI290" i="20"/>
  <c r="AD290" i="20"/>
  <c r="AE191" i="20"/>
  <c r="AB191" i="20"/>
  <c r="Y191" i="20"/>
  <c r="AL106" i="20"/>
  <c r="AD106" i="20"/>
  <c r="AR325" i="20"/>
  <c r="AT325" i="20"/>
  <c r="AR360" i="20"/>
  <c r="AT360" i="20"/>
  <c r="AR399" i="20"/>
  <c r="AT399" i="20"/>
  <c r="AR411" i="20"/>
  <c r="AT411" i="20"/>
  <c r="AR439" i="20"/>
  <c r="AT439" i="20"/>
  <c r="AR459" i="20"/>
  <c r="AT459" i="20"/>
  <c r="AR471" i="20"/>
  <c r="AT471" i="20"/>
  <c r="AR478" i="20"/>
  <c r="AT478" i="20"/>
  <c r="AR547" i="20"/>
  <c r="AT547" i="20"/>
  <c r="AR636" i="20"/>
  <c r="AT636" i="20"/>
  <c r="AR620" i="20"/>
  <c r="AT620" i="20"/>
  <c r="AR588" i="20"/>
  <c r="AT588" i="20"/>
  <c r="AT1058" i="20"/>
  <c r="AT727" i="20"/>
  <c r="AT731" i="20"/>
  <c r="AT1024" i="20"/>
  <c r="AT700" i="20"/>
  <c r="AT887" i="20"/>
  <c r="AA897" i="20"/>
  <c r="AJ52" i="20"/>
  <c r="AT973" i="20"/>
  <c r="AT823" i="20"/>
  <c r="AT782" i="20"/>
  <c r="AT792" i="20"/>
  <c r="AT853" i="20"/>
  <c r="AT900" i="20"/>
  <c r="AJ41" i="20"/>
  <c r="AT942" i="20"/>
  <c r="AT930" i="20"/>
  <c r="AC1170" i="20"/>
  <c r="Y106" i="20"/>
  <c r="AE106" i="20"/>
  <c r="AT187" i="20"/>
  <c r="AO1148" i="20"/>
  <c r="AI1042" i="20"/>
  <c r="AF290" i="20"/>
  <c r="AN290" i="20"/>
  <c r="AC290" i="20"/>
  <c r="AE290" i="20"/>
  <c r="AT147" i="20"/>
  <c r="AG384" i="20"/>
  <c r="AA416" i="20"/>
  <c r="AG788" i="20"/>
  <c r="AG814" i="20"/>
  <c r="AE826" i="20"/>
  <c r="AG851" i="20"/>
  <c r="AN388" i="20"/>
  <c r="Z791" i="20"/>
  <c r="AH931" i="20"/>
  <c r="AH1130" i="20"/>
  <c r="Z965" i="20"/>
  <c r="AN106" i="20"/>
  <c r="AL1020" i="20"/>
  <c r="AF615" i="20"/>
  <c r="AD613" i="20"/>
  <c r="AK341" i="20"/>
  <c r="AF261" i="20"/>
  <c r="AF270" i="20"/>
  <c r="AE282" i="20"/>
  <c r="AC305" i="20"/>
  <c r="AE317" i="20"/>
  <c r="AJ328" i="20"/>
  <c r="AI341" i="20"/>
  <c r="AK282" i="20"/>
  <c r="AC422" i="20"/>
  <c r="AA887" i="20"/>
  <c r="Y871" i="20"/>
  <c r="AO398" i="20"/>
  <c r="AC842" i="20"/>
  <c r="AF809" i="20"/>
  <c r="AP809" i="20"/>
  <c r="AN1012" i="20"/>
  <c r="AP849" i="20"/>
  <c r="AC85" i="20"/>
  <c r="AI845" i="20"/>
  <c r="AF1160" i="20"/>
  <c r="AB890" i="20"/>
  <c r="AN1050" i="20"/>
  <c r="AD1147" i="20"/>
  <c r="AI1085" i="20"/>
  <c r="AT264" i="20"/>
  <c r="AT772" i="20"/>
  <c r="AT910" i="20"/>
  <c r="AT902" i="20"/>
  <c r="AT761" i="20"/>
  <c r="AT466" i="20"/>
  <c r="AT1018" i="20"/>
  <c r="AT659" i="20"/>
  <c r="AT1164" i="20"/>
  <c r="AT1109" i="20"/>
  <c r="AT1146" i="20"/>
  <c r="M55" i="37"/>
  <c r="AP710" i="20"/>
  <c r="AD710" i="20"/>
  <c r="AE118" i="20"/>
  <c r="AC118" i="20"/>
  <c r="AO122" i="20"/>
  <c r="AO671" i="20"/>
  <c r="AG1069" i="20"/>
  <c r="AF1069" i="20"/>
  <c r="AI118" i="20"/>
  <c r="AD122" i="20"/>
  <c r="AK695" i="20"/>
  <c r="AK176" i="20"/>
  <c r="AH186" i="20"/>
  <c r="AN196" i="20"/>
  <c r="Y223" i="20"/>
  <c r="AB236" i="20"/>
  <c r="AD257" i="20"/>
  <c r="AN261" i="20"/>
  <c r="AC497" i="20"/>
  <c r="AI328" i="20"/>
  <c r="AB457" i="20"/>
  <c r="AK641" i="20"/>
  <c r="AF984" i="20"/>
  <c r="AB127" i="20"/>
  <c r="Z770" i="20"/>
  <c r="AN770" i="20"/>
  <c r="AI754" i="20"/>
  <c r="AC754" i="20"/>
  <c r="Y745" i="20"/>
  <c r="AH745" i="20"/>
  <c r="AE737" i="20"/>
  <c r="AD737" i="20"/>
  <c r="Z729" i="20"/>
  <c r="AJ729" i="20"/>
  <c r="AL729" i="20"/>
  <c r="AA708" i="20"/>
  <c r="AK708" i="20"/>
  <c r="Y701" i="20"/>
  <c r="AK701" i="20"/>
  <c r="AE665" i="20"/>
  <c r="Y665" i="20"/>
  <c r="AE657" i="20"/>
  <c r="AF657" i="20"/>
  <c r="Z631" i="20"/>
  <c r="AF631" i="20"/>
  <c r="AJ610" i="20"/>
  <c r="AF610" i="20"/>
  <c r="AN585" i="20"/>
  <c r="AA585" i="20"/>
  <c r="AO577" i="20"/>
  <c r="AL577" i="20"/>
  <c r="AB561" i="20"/>
  <c r="AK561" i="20"/>
  <c r="AC552" i="20"/>
  <c r="AI552" i="20"/>
  <c r="AE549" i="20"/>
  <c r="AL549" i="20"/>
  <c r="AD501" i="20"/>
  <c r="AI501" i="20"/>
  <c r="AI486" i="20"/>
  <c r="AG486" i="20"/>
  <c r="AA465" i="20"/>
  <c r="AI465" i="20"/>
  <c r="AD441" i="20"/>
  <c r="AF441" i="20"/>
  <c r="AP354" i="20"/>
  <c r="AO354" i="20"/>
  <c r="AB354" i="20"/>
  <c r="AF354" i="20"/>
  <c r="AC354" i="20"/>
  <c r="AH354" i="20"/>
  <c r="AD354" i="20"/>
  <c r="AA354" i="20"/>
  <c r="Y354" i="20"/>
  <c r="AN354" i="20"/>
  <c r="AE354" i="20"/>
  <c r="AG354" i="20"/>
  <c r="Z354" i="20"/>
  <c r="AL354" i="20"/>
  <c r="AF345" i="20"/>
  <c r="Z345" i="20"/>
  <c r="AI345" i="20"/>
  <c r="AC345" i="20"/>
  <c r="AK345" i="20"/>
  <c r="AJ345" i="20"/>
  <c r="AA345" i="20"/>
  <c r="AB345" i="20"/>
  <c r="AN345" i="20"/>
  <c r="AG345" i="20"/>
  <c r="AE345" i="20"/>
  <c r="AH345" i="20"/>
  <c r="AC341" i="20"/>
  <c r="AE341" i="20"/>
  <c r="AA341" i="20"/>
  <c r="Y341" i="20"/>
  <c r="AJ341" i="20"/>
  <c r="AN341" i="20"/>
  <c r="AF341" i="20"/>
  <c r="AG341" i="20"/>
  <c r="AB341" i="20"/>
  <c r="AL341" i="20"/>
  <c r="AP337" i="20"/>
  <c r="AH337" i="20"/>
  <c r="AN337" i="20"/>
  <c r="AA337" i="20"/>
  <c r="Z337" i="20"/>
  <c r="AI337" i="20"/>
  <c r="AC337" i="20"/>
  <c r="Y337" i="20"/>
  <c r="AK337" i="20"/>
  <c r="AJ337" i="20"/>
  <c r="AO337" i="20"/>
  <c r="AG337" i="20"/>
  <c r="AB337" i="20"/>
  <c r="AD337" i="20"/>
  <c r="AC333" i="20"/>
  <c r="AA333" i="20"/>
  <c r="AJ333" i="20"/>
  <c r="AN333" i="20"/>
  <c r="AI333" i="20"/>
  <c r="AK333" i="20"/>
  <c r="AL333" i="20"/>
  <c r="AF333" i="20"/>
  <c r="Z333" i="20"/>
  <c r="AH333" i="20"/>
  <c r="AD333" i="20"/>
  <c r="AG328" i="20"/>
  <c r="AL328" i="20"/>
  <c r="AN328" i="20"/>
  <c r="AC328" i="20"/>
  <c r="AA328" i="20"/>
  <c r="AE328" i="20"/>
  <c r="AH328" i="20"/>
  <c r="Y328" i="20"/>
  <c r="AF328" i="20"/>
  <c r="AP328" i="20"/>
  <c r="AK328" i="20"/>
  <c r="AD328" i="20"/>
  <c r="Z325" i="20"/>
  <c r="AD325" i="20"/>
  <c r="AE325" i="20"/>
  <c r="AN325" i="20"/>
  <c r="AK325" i="20"/>
  <c r="AL325" i="20"/>
  <c r="AG325" i="20"/>
  <c r="AF325" i="20"/>
  <c r="AJ325" i="20"/>
  <c r="AI325" i="20"/>
  <c r="AB325" i="20"/>
  <c r="Y325" i="20"/>
  <c r="AN321" i="20"/>
  <c r="AI321" i="20"/>
  <c r="AF321" i="20"/>
  <c r="AG321" i="20"/>
  <c r="AD321" i="20"/>
  <c r="AJ321" i="20"/>
  <c r="Y321" i="20"/>
  <c r="AA321" i="20"/>
  <c r="AH321" i="20"/>
  <c r="AC321" i="20"/>
  <c r="Z321" i="20"/>
  <c r="AJ317" i="20"/>
  <c r="AN317" i="20"/>
  <c r="AK317" i="20"/>
  <c r="AI317" i="20"/>
  <c r="AG317" i="20"/>
  <c r="AL317" i="20"/>
  <c r="AD317" i="20"/>
  <c r="Y317" i="20"/>
  <c r="AH317" i="20"/>
  <c r="Z317" i="20"/>
  <c r="AB317" i="20"/>
  <c r="AF317" i="20"/>
  <c r="AK314" i="20"/>
  <c r="AI314" i="20"/>
  <c r="Z314" i="20"/>
  <c r="AC314" i="20"/>
  <c r="Y314" i="20"/>
  <c r="AH314" i="20"/>
  <c r="AA314" i="20"/>
  <c r="AN314" i="20"/>
  <c r="AE314" i="20"/>
  <c r="AG314" i="20"/>
  <c r="AL314" i="20"/>
  <c r="AB314" i="20"/>
  <c r="AJ314" i="20"/>
  <c r="AF310" i="20"/>
  <c r="AK310" i="20"/>
  <c r="AB310" i="20"/>
  <c r="AE310" i="20"/>
  <c r="AJ310" i="20"/>
  <c r="AI310" i="20"/>
  <c r="Y310" i="20"/>
  <c r="AC310" i="20"/>
  <c r="AH310" i="20"/>
  <c r="Z310" i="20"/>
  <c r="AL310" i="20"/>
  <c r="AG310" i="20"/>
  <c r="AO305" i="20"/>
  <c r="AP305" i="20"/>
  <c r="AI305" i="20"/>
  <c r="AG305" i="20"/>
  <c r="AA305" i="20"/>
  <c r="AN305" i="20"/>
  <c r="AH305" i="20"/>
  <c r="AJ305" i="20"/>
  <c r="AF305" i="20"/>
  <c r="AE305" i="20"/>
  <c r="AK305" i="20"/>
  <c r="AL305" i="20"/>
  <c r="Y305" i="20"/>
  <c r="AD305" i="20"/>
  <c r="AB305" i="20"/>
  <c r="AD300" i="20"/>
  <c r="AI300" i="20"/>
  <c r="AE300" i="20"/>
  <c r="AA300" i="20"/>
  <c r="AL300" i="20"/>
  <c r="AB300" i="20"/>
  <c r="AN300" i="20"/>
  <c r="AK300" i="20"/>
  <c r="Y300" i="20"/>
  <c r="AC300" i="20"/>
  <c r="AJ300" i="20"/>
  <c r="AG300" i="20"/>
  <c r="AB297" i="20"/>
  <c r="AC297" i="20"/>
  <c r="AH297" i="20"/>
  <c r="AN297" i="20"/>
  <c r="AA297" i="20"/>
  <c r="AE297" i="20"/>
  <c r="AF297" i="20"/>
  <c r="AK297" i="20"/>
  <c r="AC282" i="20"/>
  <c r="AI282" i="20"/>
  <c r="AJ282" i="20"/>
  <c r="AN282" i="20"/>
  <c r="AG282" i="20"/>
  <c r="Y282" i="20"/>
  <c r="AD282" i="20"/>
  <c r="AA282" i="20"/>
  <c r="Z282" i="20"/>
  <c r="AF282" i="20"/>
  <c r="AL282" i="20"/>
  <c r="AP278" i="20"/>
  <c r="AC278" i="20"/>
  <c r="AJ278" i="20"/>
  <c r="AK278" i="20"/>
  <c r="AB278" i="20"/>
  <c r="AF278" i="20"/>
  <c r="AN278" i="20"/>
  <c r="AE278" i="20"/>
  <c r="AI278" i="20"/>
  <c r="AD278" i="20"/>
  <c r="AG278" i="20"/>
  <c r="Y278" i="20"/>
  <c r="AP275" i="20"/>
  <c r="AA275" i="20"/>
  <c r="AI275" i="20"/>
  <c r="AG275" i="20"/>
  <c r="AC275" i="20"/>
  <c r="AB275" i="20"/>
  <c r="AJ275" i="20"/>
  <c r="AN275" i="20"/>
  <c r="Z275" i="20"/>
  <c r="AE275" i="20"/>
  <c r="AH275" i="20"/>
  <c r="AF275" i="20"/>
  <c r="AL275" i="20"/>
  <c r="AH270" i="20"/>
  <c r="AK270" i="20"/>
  <c r="AC270" i="20"/>
  <c r="AA270" i="20"/>
  <c r="AG270" i="20"/>
  <c r="AJ270" i="20"/>
  <c r="Y270" i="20"/>
  <c r="AD270" i="20"/>
  <c r="AL270" i="20"/>
  <c r="Z270" i="20"/>
  <c r="AE270" i="20"/>
  <c r="AI266" i="20"/>
  <c r="AH266" i="20"/>
  <c r="AK266" i="20"/>
  <c r="AB266" i="20"/>
  <c r="AL266" i="20"/>
  <c r="AD266" i="20"/>
  <c r="AN266" i="20"/>
  <c r="Z266" i="20"/>
  <c r="AE266" i="20"/>
  <c r="AA266" i="20"/>
  <c r="AJ266" i="20"/>
  <c r="AK261" i="20"/>
  <c r="AJ261" i="20"/>
  <c r="AA261" i="20"/>
  <c r="AD261" i="20"/>
  <c r="AB261" i="20"/>
  <c r="AL261" i="20"/>
  <c r="AC261" i="20"/>
  <c r="AI261" i="20"/>
  <c r="AG261" i="20"/>
  <c r="AH261" i="20"/>
  <c r="AP257" i="20"/>
  <c r="AA257" i="20"/>
  <c r="AH257" i="20"/>
  <c r="AO257" i="20"/>
  <c r="Y257" i="20"/>
  <c r="AE257" i="20"/>
  <c r="AL257" i="20"/>
  <c r="AF257" i="20"/>
  <c r="AC257" i="20"/>
  <c r="Z255" i="20"/>
  <c r="AK255" i="20"/>
  <c r="AH255" i="20"/>
  <c r="AI255" i="20"/>
  <c r="AL255" i="20"/>
  <c r="AC255" i="20"/>
  <c r="AD255" i="20"/>
  <c r="AE255" i="20"/>
  <c r="Y255" i="20"/>
  <c r="AO250" i="20"/>
  <c r="AP250" i="20"/>
  <c r="AF250" i="20"/>
  <c r="AI250" i="20"/>
  <c r="Y250" i="20"/>
  <c r="AJ250" i="20"/>
  <c r="AL250" i="20"/>
  <c r="AA250" i="20"/>
  <c r="AG250" i="20"/>
  <c r="AN250" i="20"/>
  <c r="AK250" i="20"/>
  <c r="Z250" i="20"/>
  <c r="AH236" i="20"/>
  <c r="AD236" i="20"/>
  <c r="AI236" i="20"/>
  <c r="AK236" i="20"/>
  <c r="AE236" i="20"/>
  <c r="AL236" i="20"/>
  <c r="Z236" i="20"/>
  <c r="AN236" i="20"/>
  <c r="AA236" i="20"/>
  <c r="AG236" i="20"/>
  <c r="AO232" i="20"/>
  <c r="AI232" i="20"/>
  <c r="AC232" i="20"/>
  <c r="AG232" i="20"/>
  <c r="AA232" i="20"/>
  <c r="AK232" i="20"/>
  <c r="Y232" i="20"/>
  <c r="AB232" i="20"/>
  <c r="AH232" i="20"/>
  <c r="AD232" i="20"/>
  <c r="AI223" i="20"/>
  <c r="AN223" i="20"/>
  <c r="AE223" i="20"/>
  <c r="Z223" i="20"/>
  <c r="AB223" i="20"/>
  <c r="AL223" i="20"/>
  <c r="AG223" i="20"/>
  <c r="AH223" i="20"/>
  <c r="AK223" i="20"/>
  <c r="Z221" i="20"/>
  <c r="AA221" i="20"/>
  <c r="AE221" i="20"/>
  <c r="AN221" i="20"/>
  <c r="Y221" i="20"/>
  <c r="AD221" i="20"/>
  <c r="AG221" i="20"/>
  <c r="AB221" i="20"/>
  <c r="AH221" i="20"/>
  <c r="AP216" i="20"/>
  <c r="AD216" i="20"/>
  <c r="AK216" i="20"/>
  <c r="AE216" i="20"/>
  <c r="AL216" i="20"/>
  <c r="AC216" i="20"/>
  <c r="AA216" i="20"/>
  <c r="AG216" i="20"/>
  <c r="AF216" i="20"/>
  <c r="AO196" i="20"/>
  <c r="AF196" i="20"/>
  <c r="AL196" i="20"/>
  <c r="AE196" i="20"/>
  <c r="AC196" i="20"/>
  <c r="AI196" i="20"/>
  <c r="Z196" i="20"/>
  <c r="AD196" i="20"/>
  <c r="AB196" i="20"/>
  <c r="AG196" i="20"/>
  <c r="AP186" i="20"/>
  <c r="AO186" i="20"/>
  <c r="Z186" i="20"/>
  <c r="AG186" i="20"/>
  <c r="AD186" i="20"/>
  <c r="AF186" i="20"/>
  <c r="Y186" i="20"/>
  <c r="AA186" i="20"/>
  <c r="AC186" i="20"/>
  <c r="AJ186" i="20"/>
  <c r="AB186" i="20"/>
  <c r="AI186" i="20"/>
  <c r="AI180" i="20"/>
  <c r="AA180" i="20"/>
  <c r="AN180" i="20"/>
  <c r="AD180" i="20"/>
  <c r="AL180" i="20"/>
  <c r="AH180" i="20"/>
  <c r="Y180" i="20"/>
  <c r="AJ180" i="20"/>
  <c r="AG180" i="20"/>
  <c r="AD176" i="20"/>
  <c r="AE176" i="20"/>
  <c r="AA176" i="20"/>
  <c r="Y176" i="20"/>
  <c r="Z176" i="20"/>
  <c r="AH176" i="20"/>
  <c r="AL176" i="20"/>
  <c r="AI176" i="20"/>
  <c r="AD169" i="20"/>
  <c r="AE169" i="20"/>
  <c r="AH169" i="20"/>
  <c r="AC169" i="20"/>
  <c r="AF169" i="20"/>
  <c r="AN169" i="20"/>
  <c r="AJ169" i="20"/>
  <c r="AG169" i="20"/>
  <c r="AA169" i="20"/>
  <c r="AL169" i="20"/>
  <c r="Z122" i="20"/>
  <c r="AG122" i="20"/>
  <c r="AN122" i="20"/>
  <c r="AF122" i="20"/>
  <c r="AP122" i="20"/>
  <c r="AN118" i="20"/>
  <c r="AA118" i="20"/>
  <c r="Z118" i="20"/>
  <c r="AL118" i="20"/>
  <c r="Y118" i="20"/>
  <c r="AP127" i="20"/>
  <c r="AI127" i="20"/>
  <c r="AL127" i="20"/>
  <c r="AH127" i="20"/>
  <c r="AA127" i="20"/>
  <c r="AE127" i="20"/>
  <c r="Z127" i="20"/>
  <c r="AK127" i="20"/>
  <c r="AG127" i="20"/>
  <c r="AC127" i="20"/>
  <c r="Y127" i="20"/>
  <c r="AA1069" i="20"/>
  <c r="AD1069" i="20"/>
  <c r="AJ1069" i="20"/>
  <c r="AK1069" i="20"/>
  <c r="AP1108" i="20"/>
  <c r="Z1108" i="20"/>
  <c r="AH1108" i="20"/>
  <c r="AD1108" i="20"/>
  <c r="AK1108" i="20"/>
  <c r="AI1108" i="20"/>
  <c r="AN1108" i="20"/>
  <c r="AG1108" i="20"/>
  <c r="AB1108" i="20"/>
  <c r="AO1108" i="20"/>
  <c r="AL1108" i="20"/>
  <c r="Y1108" i="20"/>
  <c r="AJ1108" i="20"/>
  <c r="AE1108" i="20"/>
  <c r="AC1108" i="20"/>
  <c r="AL984" i="20"/>
  <c r="AB984" i="20"/>
  <c r="AP984" i="20"/>
  <c r="AE984" i="20"/>
  <c r="AP1102" i="20"/>
  <c r="AO1102" i="20"/>
  <c r="Z1102" i="20"/>
  <c r="AD1102" i="20"/>
  <c r="AB1102" i="20"/>
  <c r="AA1102" i="20"/>
  <c r="Y1102" i="20"/>
  <c r="AJ1102" i="20"/>
  <c r="AK1102" i="20"/>
  <c r="AE1102" i="20"/>
  <c r="AN1102" i="20"/>
  <c r="AF1102" i="20"/>
  <c r="AG1102" i="20"/>
  <c r="AI1102" i="20"/>
  <c r="AE1100" i="20"/>
  <c r="Z1100" i="20"/>
  <c r="AP1100" i="20"/>
  <c r="Y1100" i="20"/>
  <c r="AH1100" i="20"/>
  <c r="AD1100" i="20"/>
  <c r="AP119" i="20"/>
  <c r="AI119" i="20"/>
  <c r="AI231" i="20"/>
  <c r="AJ231" i="20"/>
  <c r="AO1069" i="20"/>
  <c r="AJ171" i="20"/>
  <c r="AD118" i="20"/>
  <c r="AG118" i="20"/>
  <c r="AF1100" i="20"/>
  <c r="AA1100" i="20"/>
  <c r="AG1100" i="20"/>
  <c r="AL1069" i="20"/>
  <c r="AB1069" i="20"/>
  <c r="AB118" i="20"/>
  <c r="AL122" i="20"/>
  <c r="AI122" i="20"/>
  <c r="AJ122" i="20"/>
  <c r="AI1069" i="20"/>
  <c r="AP532" i="20"/>
  <c r="AB1100" i="20"/>
  <c r="AB176" i="20"/>
  <c r="AF180" i="20"/>
  <c r="AK196" i="20"/>
  <c r="AN216" i="20"/>
  <c r="AL221" i="20"/>
  <c r="AN232" i="20"/>
  <c r="AE250" i="20"/>
  <c r="AJ255" i="20"/>
  <c r="Z257" i="20"/>
  <c r="AC984" i="20"/>
  <c r="AG770" i="20"/>
  <c r="AL278" i="20"/>
  <c r="AH278" i="20"/>
  <c r="Y169" i="20"/>
  <c r="AJ176" i="20"/>
  <c r="AE180" i="20"/>
  <c r="AE186" i="20"/>
  <c r="AI216" i="20"/>
  <c r="AK221" i="20"/>
  <c r="AD223" i="20"/>
  <c r="AL232" i="20"/>
  <c r="AH250" i="20"/>
  <c r="AG255" i="20"/>
  <c r="AJ257" i="20"/>
  <c r="Y266" i="20"/>
  <c r="AB270" i="20"/>
  <c r="AD275" i="20"/>
  <c r="AA278" i="20"/>
  <c r="Y297" i="20"/>
  <c r="AF300" i="20"/>
  <c r="AD310" i="20"/>
  <c r="AA317" i="20"/>
  <c r="AE321" i="20"/>
  <c r="AB328" i="20"/>
  <c r="Y333" i="20"/>
  <c r="AL337" i="20"/>
  <c r="Y345" i="20"/>
  <c r="AK354" i="20"/>
  <c r="AD521" i="20"/>
  <c r="Y770" i="20"/>
  <c r="AH1102" i="20"/>
  <c r="AT672" i="20"/>
  <c r="AH727" i="20"/>
  <c r="Z260" i="20"/>
  <c r="AO605" i="20"/>
  <c r="AP735" i="20"/>
  <c r="AJ154" i="20"/>
  <c r="AJ382" i="20"/>
  <c r="AE386" i="20"/>
  <c r="AL881" i="20"/>
  <c r="AI936" i="20"/>
  <c r="AN1002" i="20"/>
  <c r="AJ1076" i="20"/>
  <c r="AB1172" i="20"/>
  <c r="AH962" i="20"/>
  <c r="AN52" i="20"/>
  <c r="AB752" i="20"/>
  <c r="AE471" i="20"/>
  <c r="AK671" i="20"/>
  <c r="AG747" i="20"/>
  <c r="AI491" i="20"/>
  <c r="AL679" i="20"/>
  <c r="AO154" i="20"/>
  <c r="AP511" i="20"/>
  <c r="AP628" i="20"/>
  <c r="AC755" i="20"/>
  <c r="Y674" i="20"/>
  <c r="AJ80" i="20"/>
  <c r="AE80" i="20"/>
  <c r="AO80" i="20"/>
  <c r="AB80" i="20"/>
  <c r="AJ1136" i="20"/>
  <c r="AH1136" i="20"/>
  <c r="Z1136" i="20"/>
  <c r="AL1132" i="20"/>
  <c r="AC1132" i="20"/>
  <c r="AB1132" i="20"/>
  <c r="Y1123" i="20"/>
  <c r="AP1123" i="20"/>
  <c r="Z1123" i="20"/>
  <c r="AD1123" i="20"/>
  <c r="AI1123" i="20"/>
  <c r="Y1124" i="20"/>
  <c r="AK1124" i="20"/>
  <c r="AB1093" i="20"/>
  <c r="AO1093" i="20"/>
  <c r="AJ1093" i="20"/>
  <c r="AK1093" i="20"/>
  <c r="AC1079" i="20"/>
  <c r="AI1079" i="20"/>
  <c r="AB1079" i="20"/>
  <c r="AE1079" i="20"/>
  <c r="AD1072" i="20"/>
  <c r="AA1072" i="20"/>
  <c r="AK1072" i="20"/>
  <c r="AH1063" i="20"/>
  <c r="AN1063" i="20"/>
  <c r="AP1063" i="20"/>
  <c r="AB1063" i="20"/>
  <c r="Y1053" i="20"/>
  <c r="AE1053" i="20"/>
  <c r="AC1053" i="20"/>
  <c r="AO1046" i="20"/>
  <c r="AI1046" i="20"/>
  <c r="AH1046" i="20"/>
  <c r="Z1046" i="20"/>
  <c r="AK1038" i="20"/>
  <c r="AB1038" i="20"/>
  <c r="Z1038" i="20"/>
  <c r="AF1038" i="20"/>
  <c r="Y1028" i="20"/>
  <c r="AC1028" i="20"/>
  <c r="AP1016" i="20"/>
  <c r="AD1016" i="20"/>
  <c r="AE1016" i="20"/>
  <c r="Y1016" i="20"/>
  <c r="AK1016" i="20"/>
  <c r="AB1008" i="20"/>
  <c r="AJ1008" i="20"/>
  <c r="AG1008" i="20"/>
  <c r="Y1008" i="20"/>
  <c r="AF999" i="20"/>
  <c r="AC999" i="20"/>
  <c r="AA999" i="20"/>
  <c r="AJ999" i="20"/>
  <c r="AJ992" i="20"/>
  <c r="Z992" i="20"/>
  <c r="AA992" i="20"/>
  <c r="AF983" i="20"/>
  <c r="AG983" i="20"/>
  <c r="Y983" i="20"/>
  <c r="AE983" i="20"/>
  <c r="AP975" i="20"/>
  <c r="AB975" i="20"/>
  <c r="AK967" i="20"/>
  <c r="Y967" i="20"/>
  <c r="Z967" i="20"/>
  <c r="AB967" i="20"/>
  <c r="AO958" i="20"/>
  <c r="AK958" i="20"/>
  <c r="AE954" i="20"/>
  <c r="AL954" i="20"/>
  <c r="Z954" i="20"/>
  <c r="AG954" i="20"/>
  <c r="AO940" i="20"/>
  <c r="AE940" i="20"/>
  <c r="AG929" i="20"/>
  <c r="AP929" i="20"/>
  <c r="AC929" i="20"/>
  <c r="AH929" i="20"/>
  <c r="AP920" i="20"/>
  <c r="AA920" i="20"/>
  <c r="AD900" i="20"/>
  <c r="AA900" i="20"/>
  <c r="Z900" i="20"/>
  <c r="AL893" i="20"/>
  <c r="AI893" i="20"/>
  <c r="AE893" i="20"/>
  <c r="AB907" i="20"/>
  <c r="Z907" i="20"/>
  <c r="Y907" i="20"/>
  <c r="AF885" i="20"/>
  <c r="AP885" i="20"/>
  <c r="AC885" i="20"/>
  <c r="AA885" i="20"/>
  <c r="AO878" i="20"/>
  <c r="AD878" i="20"/>
  <c r="Y878" i="20"/>
  <c r="Z878" i="20"/>
  <c r="AH866" i="20"/>
  <c r="AG866" i="20"/>
  <c r="AI866" i="20"/>
  <c r="AG838" i="20"/>
  <c r="AO838" i="20"/>
  <c r="AP838" i="20"/>
  <c r="AJ829" i="20"/>
  <c r="AF829" i="20"/>
  <c r="AP829" i="20"/>
  <c r="AG829" i="20"/>
  <c r="Y809" i="20"/>
  <c r="AD809" i="20"/>
  <c r="AK809" i="20"/>
  <c r="Z807" i="20"/>
  <c r="Y807" i="20"/>
  <c r="AL807" i="20"/>
  <c r="AE807" i="20"/>
  <c r="AO807" i="20"/>
  <c r="AP805" i="20"/>
  <c r="AK805" i="20"/>
  <c r="AE805" i="20"/>
  <c r="Z802" i="20"/>
  <c r="AP802" i="20"/>
  <c r="AG802" i="20"/>
  <c r="AG789" i="20"/>
  <c r="AK789" i="20"/>
  <c r="AF782" i="20"/>
  <c r="Y782" i="20"/>
  <c r="AN782" i="20"/>
  <c r="AB782" i="20"/>
  <c r="AC778" i="20"/>
  <c r="AN778" i="20"/>
  <c r="AB778" i="20"/>
  <c r="AI778" i="20"/>
  <c r="AF390" i="20"/>
  <c r="Z390" i="20"/>
  <c r="AE355" i="20"/>
  <c r="AI355" i="20"/>
  <c r="Y355" i="20"/>
  <c r="AK1172" i="20"/>
  <c r="AJ845" i="20"/>
  <c r="AK818" i="20"/>
  <c r="AF778" i="20"/>
  <c r="AG398" i="20"/>
  <c r="AB359" i="20"/>
  <c r="AL818" i="20"/>
  <c r="AG849" i="20"/>
  <c r="AP789" i="20"/>
  <c r="AD845" i="20"/>
  <c r="AC881" i="20"/>
  <c r="AK881" i="20"/>
  <c r="AL897" i="20"/>
  <c r="AB920" i="20"/>
  <c r="AC936" i="20"/>
  <c r="AB958" i="20"/>
  <c r="AN975" i="20"/>
  <c r="Y988" i="20"/>
  <c r="AF1002" i="20"/>
  <c r="Z1012" i="20"/>
  <c r="AE1028" i="20"/>
  <c r="AJ1046" i="20"/>
  <c r="AO1060" i="20"/>
  <c r="AD1093" i="20"/>
  <c r="AL1136" i="20"/>
  <c r="Z805" i="20"/>
  <c r="AP390" i="20"/>
  <c r="AK838" i="20"/>
  <c r="AN878" i="20"/>
  <c r="AO900" i="20"/>
  <c r="AP950" i="20"/>
  <c r="AA983" i="20"/>
  <c r="AO999" i="20"/>
  <c r="AE1050" i="20"/>
  <c r="AO1079" i="20"/>
  <c r="AI382" i="20"/>
  <c r="AB829" i="20"/>
  <c r="AN907" i="20"/>
  <c r="Y929" i="20"/>
  <c r="AO954" i="20"/>
  <c r="AF992" i="20"/>
  <c r="Z1072" i="20"/>
  <c r="AI1147" i="20"/>
  <c r="AL1023" i="20"/>
  <c r="AK1023" i="20"/>
  <c r="Z916" i="20"/>
  <c r="AP916" i="20"/>
  <c r="AH144" i="20"/>
  <c r="AK144" i="20"/>
  <c r="AH239" i="20"/>
  <c r="Z239" i="20"/>
  <c r="AH101" i="20"/>
  <c r="AP101" i="20"/>
  <c r="AR362" i="20"/>
  <c r="AT362" i="20"/>
  <c r="AR474" i="20"/>
  <c r="AT474" i="20"/>
  <c r="AR745" i="20"/>
  <c r="AT745" i="20"/>
  <c r="AR904" i="20"/>
  <c r="AT904" i="20"/>
  <c r="Z958" i="20"/>
  <c r="AD866" i="20"/>
  <c r="AK829" i="20"/>
  <c r="AA802" i="20"/>
  <c r="AB414" i="20"/>
  <c r="AH778" i="20"/>
  <c r="AK845" i="20"/>
  <c r="AE789" i="20"/>
  <c r="AC818" i="20"/>
  <c r="AO845" i="20"/>
  <c r="AF920" i="20"/>
  <c r="AE958" i="20"/>
  <c r="AK975" i="20"/>
  <c r="Z1028" i="20"/>
  <c r="AO1136" i="20"/>
  <c r="AI80" i="20"/>
  <c r="AJ782" i="20"/>
  <c r="AH809" i="20"/>
  <c r="AH807" i="20"/>
  <c r="AI999" i="20"/>
  <c r="AA1038" i="20"/>
  <c r="AP1079" i="20"/>
  <c r="AO1123" i="20"/>
  <c r="AG406" i="20"/>
  <c r="AH789" i="20"/>
  <c r="Y793" i="20"/>
  <c r="AK885" i="20"/>
  <c r="AK893" i="20"/>
  <c r="AN940" i="20"/>
  <c r="AC1063" i="20"/>
  <c r="AG1124" i="20"/>
  <c r="AA1165" i="20"/>
  <c r="AL802" i="20"/>
  <c r="AI72" i="20"/>
  <c r="AF72" i="20"/>
  <c r="AB95" i="20"/>
  <c r="AI95" i="20"/>
  <c r="AD95" i="20"/>
  <c r="AJ95" i="20"/>
  <c r="AK95" i="20"/>
  <c r="AI92" i="20"/>
  <c r="AA92" i="20"/>
  <c r="AJ1172" i="20"/>
  <c r="AP1172" i="20"/>
  <c r="AE1172" i="20"/>
  <c r="AC1172" i="20"/>
  <c r="AC1168" i="20"/>
  <c r="Z1168" i="20"/>
  <c r="AA1168" i="20"/>
  <c r="AL1168" i="20"/>
  <c r="AB1168" i="20"/>
  <c r="AO1160" i="20"/>
  <c r="AJ1160" i="20"/>
  <c r="AG1160" i="20"/>
  <c r="AH1160" i="20"/>
  <c r="AB1156" i="20"/>
  <c r="Z1156" i="20"/>
  <c r="AA1156" i="20"/>
  <c r="AF1151" i="20"/>
  <c r="AK1151" i="20"/>
  <c r="AG1151" i="20"/>
  <c r="AP1148" i="20"/>
  <c r="AD1148" i="20"/>
  <c r="AG1148" i="20"/>
  <c r="AL1148" i="20"/>
  <c r="AO1140" i="20"/>
  <c r="AJ1140" i="20"/>
  <c r="Y1140" i="20"/>
  <c r="AA1140" i="20"/>
  <c r="Z1128" i="20"/>
  <c r="AA1128" i="20"/>
  <c r="AE1116" i="20"/>
  <c r="AI1116" i="20"/>
  <c r="AL1116" i="20"/>
  <c r="AJ1116" i="20"/>
  <c r="AP1112" i="20"/>
  <c r="AC1112" i="20"/>
  <c r="AF1112" i="20"/>
  <c r="AC1089" i="20"/>
  <c r="AF1089" i="20"/>
  <c r="AI1089" i="20"/>
  <c r="AO1089" i="20"/>
  <c r="AO1076" i="20"/>
  <c r="AH1076" i="20"/>
  <c r="AF1076" i="20"/>
  <c r="AP1067" i="20"/>
  <c r="AK1067" i="20"/>
  <c r="AA1067" i="20"/>
  <c r="AI1067" i="20"/>
  <c r="AL1067" i="20"/>
  <c r="AH1060" i="20"/>
  <c r="Z1060" i="20"/>
  <c r="AG1060" i="20"/>
  <c r="AN1060" i="20"/>
  <c r="AK1050" i="20"/>
  <c r="AF1050" i="20"/>
  <c r="AL1050" i="20"/>
  <c r="AC1050" i="20"/>
  <c r="AK1042" i="20"/>
  <c r="AL1042" i="20"/>
  <c r="AB1042" i="20"/>
  <c r="AJ1042" i="20"/>
  <c r="AJ1032" i="20"/>
  <c r="AG1032" i="20"/>
  <c r="AC1032" i="20"/>
  <c r="AJ1020" i="20"/>
  <c r="AK1020" i="20"/>
  <c r="AP1020" i="20"/>
  <c r="AE1012" i="20"/>
  <c r="AG1012" i="20"/>
  <c r="AK1002" i="20"/>
  <c r="AP1002" i="20"/>
  <c r="AG1002" i="20"/>
  <c r="AD995" i="20"/>
  <c r="AG995" i="20"/>
  <c r="AI995" i="20"/>
  <c r="AL995" i="20"/>
  <c r="AO988" i="20"/>
  <c r="AF988" i="20"/>
  <c r="AO979" i="20"/>
  <c r="Z979" i="20"/>
  <c r="AD979" i="20"/>
  <c r="AA971" i="20"/>
  <c r="AP971" i="20"/>
  <c r="AK971" i="20"/>
  <c r="AD971" i="20"/>
  <c r="AJ971" i="20"/>
  <c r="AF962" i="20"/>
  <c r="AL962" i="20"/>
  <c r="AG962" i="20"/>
  <c r="AD962" i="20"/>
  <c r="AO950" i="20"/>
  <c r="AC950" i="20"/>
  <c r="AA950" i="20"/>
  <c r="AH950" i="20"/>
  <c r="Z936" i="20"/>
  <c r="AA936" i="20"/>
  <c r="AK936" i="20"/>
  <c r="AF925" i="20"/>
  <c r="AN925" i="20"/>
  <c r="AE925" i="20"/>
  <c r="AA925" i="20"/>
  <c r="Z925" i="20"/>
  <c r="AJ914" i="20"/>
  <c r="AB914" i="20"/>
  <c r="AE914" i="20"/>
  <c r="AI914" i="20"/>
  <c r="Z897" i="20"/>
  <c r="AK897" i="20"/>
  <c r="AN890" i="20"/>
  <c r="AL890" i="20"/>
  <c r="AI890" i="20"/>
  <c r="AC890" i="20"/>
  <c r="AK890" i="20"/>
  <c r="AF887" i="20"/>
  <c r="AO887" i="20"/>
  <c r="AH887" i="20"/>
  <c r="AH881" i="20"/>
  <c r="AI881" i="20"/>
  <c r="AI875" i="20"/>
  <c r="AC875" i="20"/>
  <c r="AB875" i="20"/>
  <c r="AO871" i="20"/>
  <c r="AF871" i="20"/>
  <c r="AL871" i="20"/>
  <c r="AD862" i="20"/>
  <c r="AP862" i="20"/>
  <c r="Y862" i="20"/>
  <c r="AG857" i="20"/>
  <c r="AO857" i="20"/>
  <c r="AH857" i="20"/>
  <c r="AJ853" i="20"/>
  <c r="AN853" i="20"/>
  <c r="AI853" i="20"/>
  <c r="AK849" i="20"/>
  <c r="AJ849" i="20"/>
  <c r="AG842" i="20"/>
  <c r="AJ842" i="20"/>
  <c r="AB842" i="20"/>
  <c r="AD834" i="20"/>
  <c r="AG834" i="20"/>
  <c r="Z834" i="20"/>
  <c r="AI834" i="20"/>
  <c r="AE828" i="20"/>
  <c r="AJ828" i="20"/>
  <c r="H31" i="86" s="1"/>
  <c r="K31" i="86" s="1"/>
  <c r="Z827" i="20"/>
  <c r="AG827" i="20"/>
  <c r="Y827" i="20"/>
  <c r="AB810" i="20"/>
  <c r="AP810" i="20"/>
  <c r="AK810" i="20"/>
  <c r="AN810" i="20"/>
  <c r="AC810" i="20"/>
  <c r="AN786" i="20"/>
  <c r="AC786" i="20"/>
  <c r="AO786" i="20"/>
  <c r="AJ422" i="20"/>
  <c r="AD422" i="20"/>
  <c r="AO410" i="20"/>
  <c r="AB410" i="20"/>
  <c r="AL410" i="20"/>
  <c r="AA410" i="20"/>
  <c r="AE410" i="20"/>
  <c r="AL397" i="20"/>
  <c r="AK397" i="20"/>
  <c r="AA397" i="20"/>
  <c r="AJ386" i="20"/>
  <c r="AL386" i="20"/>
  <c r="Z370" i="20"/>
  <c r="AP370" i="20"/>
  <c r="AO366" i="20"/>
  <c r="Z366" i="20"/>
  <c r="AD366" i="20"/>
  <c r="AC1103" i="20"/>
  <c r="AB1103" i="20"/>
  <c r="AB283" i="20"/>
  <c r="AC283" i="20"/>
  <c r="Y208" i="20"/>
  <c r="AH208" i="20"/>
  <c r="AB208" i="20"/>
  <c r="AA211" i="20"/>
  <c r="AF211" i="20"/>
  <c r="AP131" i="20"/>
  <c r="AH131" i="20"/>
  <c r="AA157" i="20"/>
  <c r="AC157" i="20"/>
  <c r="AL157" i="20"/>
  <c r="AD157" i="20"/>
  <c r="AJ157" i="20"/>
  <c r="AI157" i="20"/>
  <c r="AF157" i="20"/>
  <c r="AR331" i="20"/>
  <c r="AT331" i="20"/>
  <c r="AR733" i="20"/>
  <c r="AT733" i="20"/>
  <c r="AR871" i="20"/>
  <c r="AT871" i="20"/>
  <c r="AR917" i="20"/>
  <c r="AT917" i="20"/>
  <c r="AR1067" i="20"/>
  <c r="AT1067" i="20"/>
  <c r="AT648" i="20"/>
  <c r="AT1096" i="20"/>
  <c r="AT780" i="20"/>
  <c r="AT895" i="20"/>
  <c r="AT1044" i="20"/>
  <c r="AT790" i="20"/>
  <c r="AT969" i="20"/>
  <c r="AT266" i="20"/>
  <c r="AB954" i="20"/>
  <c r="Z857" i="20"/>
  <c r="AF827" i="20"/>
  <c r="AH786" i="20"/>
  <c r="AC398" i="20"/>
  <c r="AH366" i="20"/>
  <c r="AD786" i="20"/>
  <c r="AH818" i="20"/>
  <c r="AO406" i="20"/>
  <c r="AD789" i="20"/>
  <c r="AJ818" i="20"/>
  <c r="AF866" i="20"/>
  <c r="AF881" i="20"/>
  <c r="Y887" i="20"/>
  <c r="AP897" i="20"/>
  <c r="AK920" i="20"/>
  <c r="Y936" i="20"/>
  <c r="AP958" i="20"/>
  <c r="AO975" i="20"/>
  <c r="AG988" i="20"/>
  <c r="Y1012" i="20"/>
  <c r="AP1012" i="20"/>
  <c r="AK1046" i="20"/>
  <c r="AD1060" i="20"/>
  <c r="AP1076" i="20"/>
  <c r="AB1116" i="20"/>
  <c r="Y1151" i="20"/>
  <c r="AP1160" i="20"/>
  <c r="AL80" i="20"/>
  <c r="AE853" i="20"/>
  <c r="Y406" i="20"/>
  <c r="AI827" i="20"/>
  <c r="G17" i="86" s="1"/>
  <c r="J17" i="86" s="1"/>
  <c r="AD827" i="20"/>
  <c r="AK878" i="20"/>
  <c r="AC900" i="20"/>
  <c r="AL950" i="20"/>
  <c r="AH971" i="20"/>
  <c r="Z999" i="20"/>
  <c r="AN1038" i="20"/>
  <c r="AJ1067" i="20"/>
  <c r="AI1112" i="20"/>
  <c r="AH1140" i="20"/>
  <c r="Y1168" i="20"/>
  <c r="AD829" i="20"/>
  <c r="AG366" i="20"/>
  <c r="AG805" i="20"/>
  <c r="AN857" i="20"/>
  <c r="AH885" i="20"/>
  <c r="AH914" i="20"/>
  <c r="AI940" i="20"/>
  <c r="AC979" i="20"/>
  <c r="AI1008" i="20"/>
  <c r="Z1032" i="20"/>
  <c r="AJ1063" i="20"/>
  <c r="AH1128" i="20"/>
  <c r="AB1165" i="20"/>
  <c r="AI363" i="20"/>
  <c r="AK194" i="20"/>
  <c r="AT327" i="20"/>
  <c r="AF210" i="20"/>
  <c r="Z818" i="20"/>
  <c r="AT109" i="20"/>
  <c r="AT430" i="20"/>
  <c r="AT1127" i="20"/>
  <c r="AE288" i="20"/>
  <c r="AI85" i="20"/>
  <c r="AT614" i="20"/>
  <c r="AP777" i="20"/>
  <c r="AF174" i="20"/>
  <c r="AO174" i="20"/>
  <c r="AB183" i="20"/>
  <c r="AD183" i="20"/>
  <c r="AN44" i="20"/>
  <c r="AL44" i="20"/>
  <c r="Y99" i="20"/>
  <c r="AE99" i="20"/>
  <c r="AK99" i="20"/>
  <c r="AC68" i="20"/>
  <c r="Y68" i="20"/>
  <c r="AL1145" i="20"/>
  <c r="AH1145" i="20"/>
  <c r="AN1142" i="20"/>
  <c r="AE1142" i="20"/>
  <c r="Z1082" i="20"/>
  <c r="AC1082" i="20"/>
  <c r="AD1026" i="20"/>
  <c r="AA1026" i="20"/>
  <c r="Z997" i="20"/>
  <c r="Y997" i="20"/>
  <c r="AC997" i="20"/>
  <c r="AA977" i="20"/>
  <c r="AJ977" i="20"/>
  <c r="AK969" i="20"/>
  <c r="AG969" i="20"/>
  <c r="AH911" i="20"/>
  <c r="AG911" i="20"/>
  <c r="Y895" i="20"/>
  <c r="Z895" i="20"/>
  <c r="AF906" i="20"/>
  <c r="AJ906" i="20"/>
  <c r="AD906" i="20"/>
  <c r="AN873" i="20"/>
  <c r="AB873" i="20"/>
  <c r="AH864" i="20"/>
  <c r="Z864" i="20"/>
  <c r="AH847" i="20"/>
  <c r="Y847" i="20"/>
  <c r="Y840" i="20"/>
  <c r="AC840" i="20"/>
  <c r="AC836" i="20"/>
  <c r="AE836" i="20"/>
  <c r="AJ836" i="20"/>
  <c r="Y832" i="20"/>
  <c r="AH832" i="20"/>
  <c r="Y820" i="20"/>
  <c r="AC820" i="20"/>
  <c r="AH820" i="20"/>
  <c r="AH811" i="20"/>
  <c r="AI811" i="20"/>
  <c r="Y808" i="20"/>
  <c r="Z808" i="20"/>
  <c r="AG808" i="20"/>
  <c r="AI784" i="20"/>
  <c r="AD784" i="20"/>
  <c r="AF765" i="20"/>
  <c r="Y765" i="20"/>
  <c r="AB765" i="20"/>
  <c r="AG748" i="20"/>
  <c r="AL748" i="20"/>
  <c r="AC741" i="20"/>
  <c r="AG741" i="20"/>
  <c r="AC705" i="20"/>
  <c r="AK705" i="20"/>
  <c r="AK697" i="20"/>
  <c r="AG697" i="20"/>
  <c r="AG681" i="20"/>
  <c r="AA681" i="20"/>
  <c r="AK669" i="20"/>
  <c r="AD669" i="20"/>
  <c r="AI649" i="20"/>
  <c r="AC649" i="20"/>
  <c r="AJ644" i="20"/>
  <c r="AC644" i="20"/>
  <c r="AE625" i="20"/>
  <c r="AK625" i="20"/>
  <c r="Z621" i="20"/>
  <c r="AD621" i="20"/>
  <c r="AI613" i="20"/>
  <c r="AJ613" i="20"/>
  <c r="AH607" i="20"/>
  <c r="AC607" i="20"/>
  <c r="AG607" i="20"/>
  <c r="AN601" i="20"/>
  <c r="AF601" i="20"/>
  <c r="AA593" i="20"/>
  <c r="AG593" i="20"/>
  <c r="AI593" i="20"/>
  <c r="AB573" i="20"/>
  <c r="AN573" i="20"/>
  <c r="AF573" i="20"/>
  <c r="AE557" i="20"/>
  <c r="AA557" i="20"/>
  <c r="AC557" i="20"/>
  <c r="AH537" i="20"/>
  <c r="AB537" i="20"/>
  <c r="AK537" i="20"/>
  <c r="AG525" i="20"/>
  <c r="AL525" i="20"/>
  <c r="AI515" i="20"/>
  <c r="AJ515" i="20"/>
  <c r="Y469" i="20"/>
  <c r="AN469" i="20"/>
  <c r="AH469" i="20"/>
  <c r="AC444" i="20"/>
  <c r="Z444" i="20"/>
  <c r="AA425" i="20"/>
  <c r="AG425" i="20"/>
  <c r="AO418" i="20"/>
  <c r="AC418" i="20"/>
  <c r="Y410" i="20"/>
  <c r="AJ410" i="20"/>
  <c r="AE402" i="20"/>
  <c r="AD402" i="20"/>
  <c r="AJ402" i="20"/>
  <c r="AG402" i="20"/>
  <c r="AC402" i="20"/>
  <c r="AD398" i="20"/>
  <c r="AN398" i="20"/>
  <c r="AK382" i="20"/>
  <c r="AO382" i="20"/>
  <c r="AC382" i="20"/>
  <c r="AG378" i="20"/>
  <c r="AD378" i="20"/>
  <c r="AF378" i="20"/>
  <c r="AP374" i="20"/>
  <c r="AE374" i="20"/>
  <c r="AG370" i="20"/>
  <c r="AD370" i="20"/>
  <c r="AO370" i="20"/>
  <c r="AC370" i="20"/>
  <c r="Y370" i="20"/>
  <c r="AN370" i="20"/>
  <c r="AF363" i="20"/>
  <c r="AG363" i="20"/>
  <c r="AP363" i="20"/>
  <c r="AG355" i="20"/>
  <c r="AD355" i="20"/>
  <c r="Z34" i="20"/>
  <c r="AK34" i="20"/>
  <c r="AE34" i="20"/>
  <c r="AH73" i="20"/>
  <c r="Z73" i="20"/>
  <c r="AC73" i="20"/>
  <c r="AJ1162" i="20"/>
  <c r="Y1162" i="20"/>
  <c r="AI1120" i="20"/>
  <c r="AA1120" i="20"/>
  <c r="AE1040" i="20"/>
  <c r="AB1040" i="20"/>
  <c r="AE1010" i="20"/>
  <c r="AI1010" i="20"/>
  <c r="AH1010" i="20"/>
  <c r="AN952" i="20"/>
  <c r="AH952" i="20"/>
  <c r="AN912" i="20"/>
  <c r="AL912" i="20"/>
  <c r="AN879" i="20"/>
  <c r="AE879" i="20"/>
  <c r="AK855" i="20"/>
  <c r="AF855" i="20"/>
  <c r="AN589" i="20"/>
  <c r="AE589" i="20"/>
  <c r="AA589" i="20"/>
  <c r="AN578" i="20"/>
  <c r="AH578" i="20"/>
  <c r="AD565" i="20"/>
  <c r="AN565" i="20"/>
  <c r="AE545" i="20"/>
  <c r="AL545" i="20"/>
  <c r="AI505" i="20"/>
  <c r="AC505" i="20"/>
  <c r="AF493" i="20"/>
  <c r="AE493" i="20"/>
  <c r="AN481" i="20"/>
  <c r="Y481" i="20"/>
  <c r="AC481" i="20"/>
  <c r="Y475" i="20"/>
  <c r="AD475" i="20"/>
  <c r="Y461" i="20"/>
  <c r="AK461" i="20"/>
  <c r="AJ461" i="20"/>
  <c r="AN433" i="20"/>
  <c r="AB433" i="20"/>
  <c r="AG429" i="20"/>
  <c r="AD429" i="20"/>
  <c r="AN422" i="20"/>
  <c r="AP422" i="20"/>
  <c r="AH422" i="20"/>
  <c r="AF414" i="20"/>
  <c r="AC414" i="20"/>
  <c r="AJ406" i="20"/>
  <c r="AL406" i="20"/>
  <c r="AP386" i="20"/>
  <c r="Z386" i="20"/>
  <c r="AN386" i="20"/>
  <c r="AL359" i="20"/>
  <c r="AN359" i="20"/>
  <c r="AI359" i="20"/>
  <c r="AB351" i="20"/>
  <c r="AI351" i="20"/>
  <c r="AA351" i="20"/>
  <c r="AG351" i="20"/>
  <c r="AF1106" i="20"/>
  <c r="AE1106" i="20"/>
  <c r="AK1036" i="20"/>
  <c r="Z1036" i="20"/>
  <c r="Y138" i="20"/>
  <c r="AG138" i="20"/>
  <c r="AL289" i="20"/>
  <c r="AH289" i="20"/>
  <c r="Y214" i="20"/>
  <c r="Z214" i="20"/>
  <c r="AB164" i="20"/>
  <c r="AH164" i="20"/>
  <c r="AJ238" i="20"/>
  <c r="Z238" i="20"/>
  <c r="AN238" i="20"/>
  <c r="AP142" i="20"/>
  <c r="AO142" i="20"/>
  <c r="AN142" i="20"/>
  <c r="AH142" i="20"/>
  <c r="AP157" i="20"/>
  <c r="AN157" i="20"/>
  <c r="AK157" i="20"/>
  <c r="AE157" i="20"/>
  <c r="AH157" i="20"/>
  <c r="AP239" i="20"/>
  <c r="AF239" i="20"/>
  <c r="AK239" i="20"/>
  <c r="AL239" i="20"/>
  <c r="AA239" i="20"/>
  <c r="AP85" i="20"/>
  <c r="AF85" i="20"/>
  <c r="AO101" i="20"/>
  <c r="AA101" i="20"/>
  <c r="AB101" i="20"/>
  <c r="AI101" i="20"/>
  <c r="AO128" i="20"/>
  <c r="Y128" i="20"/>
  <c r="AN128" i="20"/>
  <c r="AE128" i="20"/>
  <c r="AJ81" i="20"/>
  <c r="Y81" i="20"/>
  <c r="AR46" i="20"/>
  <c r="AR172" i="20"/>
  <c r="AT172" i="20"/>
  <c r="AR310" i="20"/>
  <c r="AT310" i="20"/>
  <c r="AR424" i="20"/>
  <c r="AT424" i="20"/>
  <c r="AR442" i="20"/>
  <c r="AT442" i="20"/>
  <c r="AR492" i="20"/>
  <c r="AT492" i="20"/>
  <c r="AR515" i="20"/>
  <c r="AT515" i="20"/>
  <c r="AR618" i="20"/>
  <c r="AT618" i="20"/>
  <c r="AR696" i="20"/>
  <c r="AT696" i="20"/>
  <c r="AR837" i="20"/>
  <c r="AT837" i="20"/>
  <c r="AR924" i="20"/>
  <c r="AT924" i="20"/>
  <c r="AR932" i="20"/>
  <c r="AT932" i="20"/>
  <c r="AR1032" i="20"/>
  <c r="AT1032" i="20"/>
  <c r="AR1112" i="20"/>
  <c r="AT1112" i="20"/>
  <c r="AR1114" i="20"/>
  <c r="AT1114" i="20"/>
  <c r="AR1143" i="20"/>
  <c r="AT1143" i="20"/>
  <c r="AR1161" i="20"/>
  <c r="AT1161" i="20"/>
  <c r="AT796" i="20"/>
  <c r="AT480" i="20"/>
  <c r="AT1136" i="20"/>
  <c r="AT828" i="20"/>
  <c r="AT940" i="20"/>
  <c r="AT1015" i="20"/>
  <c r="AT774" i="20"/>
  <c r="Z418" i="20"/>
  <c r="AE406" i="20"/>
  <c r="AE397" i="20"/>
  <c r="AB378" i="20"/>
  <c r="AB363" i="20"/>
  <c r="AJ351" i="20"/>
  <c r="AP378" i="20"/>
  <c r="AI418" i="20"/>
  <c r="Y398" i="20"/>
  <c r="Y374" i="20"/>
  <c r="AC366" i="20"/>
  <c r="AL351" i="20"/>
  <c r="AH382" i="20"/>
  <c r="AH390" i="20"/>
  <c r="AP414" i="20"/>
  <c r="AL418" i="20"/>
  <c r="AE398" i="20"/>
  <c r="AJ378" i="20"/>
  <c r="AN363" i="20"/>
  <c r="AE390" i="20"/>
  <c r="AP351" i="20"/>
  <c r="AD382" i="20"/>
  <c r="AP38" i="20"/>
  <c r="AB157" i="20"/>
  <c r="AO1023" i="20"/>
  <c r="AH45" i="20"/>
  <c r="Y351" i="20"/>
  <c r="AG193" i="20"/>
  <c r="AC410" i="20"/>
  <c r="AC44" i="20"/>
  <c r="AO47" i="20"/>
  <c r="AG157" i="20"/>
  <c r="AJ160" i="20"/>
  <c r="AO214" i="20"/>
  <c r="AC386" i="20"/>
  <c r="AG414" i="20"/>
  <c r="AF38" i="20"/>
  <c r="AT1129" i="20"/>
  <c r="AC128" i="20"/>
  <c r="AT604" i="20"/>
  <c r="AT962" i="20"/>
  <c r="AO475" i="20"/>
  <c r="AT1104" i="20"/>
  <c r="AT377" i="20"/>
  <c r="AE101" i="20"/>
  <c r="Z206" i="20"/>
  <c r="AA287" i="20"/>
  <c r="AD287" i="20"/>
  <c r="Y85" i="20"/>
  <c r="AH93" i="20"/>
  <c r="Z823" i="20"/>
  <c r="AJ814" i="20"/>
  <c r="AA788" i="20"/>
  <c r="AL796" i="20"/>
  <c r="AF799" i="20"/>
  <c r="AA814" i="20"/>
  <c r="AJ820" i="20"/>
  <c r="AI836" i="20"/>
  <c r="AA844" i="20"/>
  <c r="AA851" i="20"/>
  <c r="AB860" i="20"/>
  <c r="AK784" i="20"/>
  <c r="AE791" i="20"/>
  <c r="AA803" i="20"/>
  <c r="AN808" i="20"/>
  <c r="AE823" i="20"/>
  <c r="AD840" i="20"/>
  <c r="AC847" i="20"/>
  <c r="AE864" i="20"/>
  <c r="AF977" i="20"/>
  <c r="AB569" i="20"/>
  <c r="AF513" i="20"/>
  <c r="AH626" i="20"/>
  <c r="AJ754" i="20"/>
  <c r="AJ1048" i="20"/>
  <c r="AC541" i="20"/>
  <c r="Z521" i="20"/>
  <c r="AG754" i="20"/>
  <c r="AB1142" i="20"/>
  <c r="AJ477" i="20"/>
  <c r="AA433" i="20"/>
  <c r="AB453" i="20"/>
  <c r="AN465" i="20"/>
  <c r="Z490" i="20"/>
  <c r="AC509" i="20"/>
  <c r="AF529" i="20"/>
  <c r="AH552" i="20"/>
  <c r="AI573" i="20"/>
  <c r="AB597" i="20"/>
  <c r="AA621" i="20"/>
  <c r="Z649" i="20"/>
  <c r="AA665" i="20"/>
  <c r="AE719" i="20"/>
  <c r="Y741" i="20"/>
  <c r="AC761" i="20"/>
  <c r="Z869" i="20"/>
  <c r="AL906" i="20"/>
  <c r="AB918" i="20"/>
  <c r="AI986" i="20"/>
  <c r="AG1014" i="20"/>
  <c r="AC1054" i="20"/>
  <c r="AJ1107" i="20"/>
  <c r="Y239" i="20"/>
  <c r="AP128" i="20"/>
  <c r="AT868" i="20"/>
  <c r="AT431" i="20"/>
  <c r="AT948" i="20"/>
  <c r="AT270" i="20"/>
  <c r="AT840" i="20"/>
  <c r="AT803" i="20"/>
  <c r="AT913" i="20"/>
  <c r="AA418" i="20"/>
  <c r="AF406" i="20"/>
  <c r="AC390" i="20"/>
  <c r="Z374" i="20"/>
  <c r="AK363" i="20"/>
  <c r="AG273" i="20"/>
  <c r="AA382" i="20"/>
  <c r="AA386" i="20"/>
  <c r="AO397" i="20"/>
  <c r="AI414" i="20"/>
  <c r="Z398" i="20"/>
  <c r="AB374" i="20"/>
  <c r="Y359" i="20"/>
  <c r="AJ390" i="20"/>
  <c r="AO374" i="20"/>
  <c r="AD414" i="20"/>
  <c r="AJ397" i="20"/>
  <c r="AI374" i="20"/>
  <c r="AK359" i="20"/>
  <c r="AH410" i="20"/>
  <c r="AO355" i="20"/>
  <c r="AP382" i="20"/>
  <c r="AT760" i="20"/>
  <c r="Y157" i="20"/>
  <c r="AJ38" i="20"/>
  <c r="AJ194" i="20"/>
  <c r="AJ418" i="20"/>
  <c r="AF44" i="20"/>
  <c r="AP47" i="20"/>
  <c r="Y210" i="20"/>
  <c r="AI214" i="20"/>
  <c r="AO157" i="20"/>
  <c r="AK193" i="20"/>
  <c r="AA359" i="20"/>
  <c r="AI386" i="20"/>
  <c r="AN414" i="20"/>
  <c r="AD34" i="20"/>
  <c r="AD38" i="20"/>
  <c r="AB44" i="20"/>
  <c r="AT276" i="20"/>
  <c r="AT448" i="20"/>
  <c r="AT1055" i="20"/>
  <c r="AN47" i="20"/>
  <c r="AG239" i="20"/>
  <c r="AT877" i="20"/>
  <c r="AN101" i="20"/>
  <c r="AB131" i="20"/>
  <c r="AK101" i="20"/>
  <c r="Z134" i="20"/>
  <c r="AN134" i="20"/>
  <c r="AL85" i="20"/>
  <c r="AB85" i="20"/>
  <c r="AL68" i="20"/>
  <c r="AL823" i="20"/>
  <c r="AL799" i="20"/>
  <c r="AC780" i="20"/>
  <c r="AD788" i="20"/>
  <c r="AD796" i="20"/>
  <c r="AD799" i="20"/>
  <c r="AD814" i="20"/>
  <c r="AF826" i="20"/>
  <c r="AL836" i="20"/>
  <c r="AC844" i="20"/>
  <c r="AC851" i="20"/>
  <c r="AL784" i="20"/>
  <c r="AF791" i="20"/>
  <c r="Z803" i="20"/>
  <c r="Y811" i="20"/>
  <c r="AI832" i="20"/>
  <c r="AE847" i="20"/>
  <c r="AJ855" i="20"/>
  <c r="AD101" i="20"/>
  <c r="AC206" i="20"/>
  <c r="AD597" i="20"/>
  <c r="AD1142" i="20"/>
  <c r="AL895" i="20"/>
  <c r="Z449" i="20"/>
  <c r="AK578" i="20"/>
  <c r="AH869" i="20"/>
  <c r="AG545" i="20"/>
  <c r="AJ441" i="20"/>
  <c r="AE457" i="20"/>
  <c r="AL475" i="20"/>
  <c r="AK497" i="20"/>
  <c r="AB513" i="20"/>
  <c r="AD533" i="20"/>
  <c r="Y578" i="20"/>
  <c r="AN597" i="20"/>
  <c r="AJ625" i="20"/>
  <c r="AG653" i="20"/>
  <c r="AN669" i="20"/>
  <c r="AE697" i="20"/>
  <c r="AD721" i="20"/>
  <c r="AA768" i="20"/>
  <c r="Y877" i="20"/>
  <c r="AN909" i="20"/>
  <c r="AE923" i="20"/>
  <c r="AN1026" i="20"/>
  <c r="AA1059" i="20"/>
  <c r="AB1150" i="20"/>
  <c r="AN144" i="20"/>
  <c r="AE239" i="20"/>
  <c r="AG128" i="20"/>
  <c r="AA1130" i="20"/>
  <c r="AB1130" i="20"/>
  <c r="Z1114" i="20"/>
  <c r="AL1114" i="20"/>
  <c r="AH1059" i="20"/>
  <c r="AE1059" i="20"/>
  <c r="AF990" i="20"/>
  <c r="AL990" i="20"/>
  <c r="AI977" i="20"/>
  <c r="AG977" i="20"/>
  <c r="AI877" i="20"/>
  <c r="AB877" i="20"/>
  <c r="Y754" i="20"/>
  <c r="AD754" i="20"/>
  <c r="AC733" i="20"/>
  <c r="Z733" i="20"/>
  <c r="Y725" i="20"/>
  <c r="AF725" i="20"/>
  <c r="AH708" i="20"/>
  <c r="AN708" i="20"/>
  <c r="Z689" i="20"/>
  <c r="AN689" i="20"/>
  <c r="AN676" i="20"/>
  <c r="AD676" i="20"/>
  <c r="AF644" i="20"/>
  <c r="AK644" i="20"/>
  <c r="AD149" i="20"/>
  <c r="AH111" i="20"/>
  <c r="AE1020" i="20"/>
  <c r="Y849" i="20"/>
  <c r="AN809" i="20"/>
  <c r="AB789" i="20"/>
  <c r="AI849" i="20"/>
  <c r="AI842" i="20"/>
  <c r="AC789" i="20"/>
  <c r="AI809" i="20"/>
  <c r="AP818" i="20"/>
  <c r="AP845" i="20"/>
  <c r="AO866" i="20"/>
  <c r="AN881" i="20"/>
  <c r="AN887" i="20"/>
  <c r="AI887" i="20"/>
  <c r="AC897" i="20"/>
  <c r="AJ897" i="20"/>
  <c r="Z920" i="20"/>
  <c r="AO920" i="20"/>
  <c r="AO936" i="20"/>
  <c r="AP936" i="20"/>
  <c r="AL958" i="20"/>
  <c r="AC975" i="20"/>
  <c r="Y975" i="20"/>
  <c r="AL988" i="20"/>
  <c r="AP988" i="20"/>
  <c r="AL1002" i="20"/>
  <c r="AL1012" i="20"/>
  <c r="AC1012" i="20"/>
  <c r="AD1028" i="20"/>
  <c r="AL1028" i="20"/>
  <c r="AN1046" i="20"/>
  <c r="AJ1060" i="20"/>
  <c r="AK1060" i="20"/>
  <c r="AI1076" i="20"/>
  <c r="AK1076" i="20"/>
  <c r="AA1093" i="20"/>
  <c r="Z1093" i="20"/>
  <c r="AN1116" i="20"/>
  <c r="AO1116" i="20"/>
  <c r="AK1136" i="20"/>
  <c r="AN1151" i="20"/>
  <c r="AP1151" i="20"/>
  <c r="AC1160" i="20"/>
  <c r="AI1172" i="20"/>
  <c r="AF1172" i="20"/>
  <c r="AG80" i="20"/>
  <c r="AP80" i="20"/>
  <c r="AF838" i="20"/>
  <c r="AB805" i="20"/>
  <c r="AJ810" i="20"/>
  <c r="AF828" i="20"/>
  <c r="AF802" i="20"/>
  <c r="AG807" i="20"/>
  <c r="AA838" i="20"/>
  <c r="AE849" i="20"/>
  <c r="AL862" i="20"/>
  <c r="AF878" i="20"/>
  <c r="AP878" i="20"/>
  <c r="AH890" i="20"/>
  <c r="Y900" i="20"/>
  <c r="AJ900" i="20"/>
  <c r="AC925" i="20"/>
  <c r="AO925" i="20"/>
  <c r="AD950" i="20"/>
  <c r="Z962" i="20"/>
  <c r="AB962" i="20"/>
  <c r="Y971" i="20"/>
  <c r="AG971" i="20"/>
  <c r="AN983" i="20"/>
  <c r="AP983" i="20"/>
  <c r="AK999" i="20"/>
  <c r="AA1016" i="20"/>
  <c r="AF1016" i="20"/>
  <c r="AI1038" i="20"/>
  <c r="AP1038" i="20"/>
  <c r="AD1050" i="20"/>
  <c r="AG1050" i="20"/>
  <c r="AF1067" i="20"/>
  <c r="AL1079" i="20"/>
  <c r="AA1079" i="20"/>
  <c r="Z1112" i="20"/>
  <c r="Y1112" i="20"/>
  <c r="AE1123" i="20"/>
  <c r="AB1123" i="20"/>
  <c r="AK1140" i="20"/>
  <c r="AI1140" i="20"/>
  <c r="AN1148" i="20"/>
  <c r="AH1168" i="20"/>
  <c r="AJ1168" i="20"/>
  <c r="AG95" i="20"/>
  <c r="AD52" i="20"/>
  <c r="AK52" i="20"/>
  <c r="AH1165" i="20"/>
  <c r="AF845" i="20"/>
  <c r="AG778" i="20"/>
  <c r="AL793" i="20"/>
  <c r="AL809" i="20"/>
  <c r="AJ805" i="20"/>
  <c r="AP853" i="20"/>
  <c r="AN871" i="20"/>
  <c r="AA893" i="20"/>
  <c r="AC940" i="20"/>
  <c r="Y979" i="20"/>
  <c r="AG1020" i="20"/>
  <c r="AH1053" i="20"/>
  <c r="AG1156" i="20"/>
  <c r="AO723" i="20"/>
  <c r="AC838" i="20"/>
  <c r="AF805" i="20"/>
  <c r="AO458" i="20"/>
  <c r="AP663" i="20"/>
  <c r="AO706" i="20"/>
  <c r="AP695" i="20"/>
  <c r="AO491" i="20"/>
  <c r="AF656" i="20"/>
  <c r="Y53" i="20"/>
  <c r="Z218" i="20"/>
  <c r="AL400" i="20"/>
  <c r="Z348" i="20"/>
  <c r="AD388" i="20"/>
  <c r="AP582" i="20"/>
  <c r="AJ582" i="20"/>
  <c r="AI868" i="20"/>
  <c r="AH868" i="20"/>
  <c r="AO172" i="20"/>
  <c r="AC172" i="20"/>
  <c r="Y533" i="20"/>
  <c r="AL589" i="20"/>
  <c r="Y425" i="20"/>
  <c r="AA573" i="20"/>
  <c r="AB578" i="20"/>
  <c r="Y154" i="20"/>
  <c r="AC154" i="20"/>
  <c r="AE276" i="20"/>
  <c r="AN276" i="20"/>
  <c r="AI135" i="20"/>
  <c r="AL135" i="20"/>
  <c r="AF150" i="20"/>
  <c r="AL150" i="20"/>
  <c r="Z154" i="20"/>
  <c r="AG154" i="20"/>
  <c r="AC183" i="20"/>
  <c r="AL199" i="20"/>
  <c r="AD154" i="20"/>
  <c r="AF107" i="20"/>
  <c r="AL200" i="20"/>
  <c r="AF154" i="20"/>
  <c r="AO74" i="20"/>
  <c r="AL230" i="20"/>
  <c r="AA652" i="20"/>
  <c r="AC445" i="20"/>
  <c r="Z41" i="20"/>
  <c r="AH41" i="20"/>
  <c r="AG72" i="20"/>
  <c r="AD72" i="20"/>
  <c r="AB92" i="20"/>
  <c r="AL92" i="20"/>
  <c r="Y1165" i="20"/>
  <c r="AK1165" i="20"/>
  <c r="AO1147" i="20"/>
  <c r="AP1147" i="20"/>
  <c r="AE1132" i="20"/>
  <c r="AP1132" i="20"/>
  <c r="AF1128" i="20"/>
  <c r="AN1128" i="20"/>
  <c r="AI1128" i="20"/>
  <c r="AL1124" i="20"/>
  <c r="AH1124" i="20"/>
  <c r="AE1089" i="20"/>
  <c r="Y1089" i="20"/>
  <c r="AO1072" i="20"/>
  <c r="AJ1072" i="20"/>
  <c r="Z1063" i="20"/>
  <c r="AO1063" i="20"/>
  <c r="Y1063" i="20"/>
  <c r="AD1053" i="20"/>
  <c r="AO1053" i="20"/>
  <c r="AF1053" i="20"/>
  <c r="AC1042" i="20"/>
  <c r="AE1042" i="20"/>
  <c r="Y1042" i="20"/>
  <c r="AP1032" i="20"/>
  <c r="AA1032" i="20"/>
  <c r="AK1032" i="20"/>
  <c r="Y1020" i="20"/>
  <c r="AB1020" i="20"/>
  <c r="AP1008" i="20"/>
  <c r="Z1008" i="20"/>
  <c r="AH1008" i="20"/>
  <c r="Z995" i="20"/>
  <c r="AB995" i="20"/>
  <c r="AJ995" i="20"/>
  <c r="AN992" i="20"/>
  <c r="AL992" i="20"/>
  <c r="AK992" i="20"/>
  <c r="AG979" i="20"/>
  <c r="AK979" i="20"/>
  <c r="AG967" i="20"/>
  <c r="AP967" i="20"/>
  <c r="AH967" i="20"/>
  <c r="AP954" i="20"/>
  <c r="AI954" i="20"/>
  <c r="AN954" i="20"/>
  <c r="AP940" i="20"/>
  <c r="AK940" i="20"/>
  <c r="AB940" i="20"/>
  <c r="AK929" i="20"/>
  <c r="AF929" i="20"/>
  <c r="AK914" i="20"/>
  <c r="AP914" i="20"/>
  <c r="AG914" i="20"/>
  <c r="AC893" i="20"/>
  <c r="AD893" i="20"/>
  <c r="AJ893" i="20"/>
  <c r="AE907" i="20"/>
  <c r="AL907" i="20"/>
  <c r="AD907" i="20"/>
  <c r="AJ885" i="20"/>
  <c r="AL885" i="20"/>
  <c r="AO875" i="20"/>
  <c r="AG875" i="20"/>
  <c r="Z875" i="20"/>
  <c r="AE871" i="20"/>
  <c r="AI871" i="20"/>
  <c r="AD871" i="20"/>
  <c r="Y857" i="20"/>
  <c r="AB857" i="20"/>
  <c r="AK857" i="20"/>
  <c r="AF842" i="20"/>
  <c r="AP842" i="20"/>
  <c r="AC834" i="20"/>
  <c r="AJ834" i="20"/>
  <c r="AA834" i="20"/>
  <c r="Y829" i="20"/>
  <c r="AA829" i="20"/>
  <c r="AD828" i="20"/>
  <c r="AI828" i="20"/>
  <c r="G31" i="86" s="1"/>
  <c r="J31" i="86" s="1"/>
  <c r="AO810" i="20"/>
  <c r="AD810" i="20"/>
  <c r="AH793" i="20"/>
  <c r="AI793" i="20"/>
  <c r="AP786" i="20"/>
  <c r="AG786" i="20"/>
  <c r="AI759" i="20"/>
  <c r="AF759" i="20"/>
  <c r="AL743" i="20"/>
  <c r="AD743" i="20"/>
  <c r="AL727" i="20"/>
  <c r="AP727" i="20"/>
  <c r="AB637" i="20"/>
  <c r="AC637" i="20"/>
  <c r="AP595" i="20"/>
  <c r="AN595" i="20"/>
  <c r="AG575" i="20"/>
  <c r="AB575" i="20"/>
  <c r="AP474" i="20"/>
  <c r="AO474" i="20"/>
  <c r="AO431" i="20"/>
  <c r="AC431" i="20"/>
  <c r="AN420" i="20"/>
  <c r="Y420" i="20"/>
  <c r="AI412" i="20"/>
  <c r="AB412" i="20"/>
  <c r="Y380" i="20"/>
  <c r="AA380" i="20"/>
  <c r="AH368" i="20"/>
  <c r="AB368" i="20"/>
  <c r="AB349" i="20"/>
  <c r="AH349" i="20"/>
  <c r="AL102" i="20"/>
  <c r="AD128" i="20"/>
  <c r="Z101" i="20"/>
  <c r="AC101" i="20"/>
  <c r="AL101" i="20"/>
  <c r="AF104" i="20"/>
  <c r="AJ85" i="20"/>
  <c r="AE85" i="20"/>
  <c r="AA85" i="20"/>
  <c r="AN85" i="20"/>
  <c r="AN68" i="20"/>
  <c r="AI68" i="20"/>
  <c r="Y101" i="20"/>
  <c r="AL144" i="20"/>
  <c r="AB142" i="20"/>
  <c r="AI128" i="20"/>
  <c r="AH128" i="20"/>
  <c r="AP81" i="20"/>
  <c r="AK135" i="20"/>
  <c r="AN99" i="20"/>
  <c r="AP99" i="20"/>
  <c r="AG135" i="20"/>
  <c r="AF99" i="20"/>
  <c r="AD99" i="20"/>
  <c r="AG102" i="20"/>
  <c r="AF128" i="20"/>
  <c r="AJ101" i="20"/>
  <c r="AG85" i="20"/>
  <c r="AK85" i="20"/>
  <c r="Z85" i="20"/>
  <c r="AD85" i="20"/>
  <c r="AF78" i="20"/>
  <c r="AG101" i="20"/>
  <c r="AF101" i="20"/>
  <c r="AI144" i="20"/>
  <c r="AL142" i="20"/>
  <c r="AK128" i="20"/>
  <c r="Z128" i="20"/>
  <c r="AO85" i="20"/>
  <c r="AO323" i="20"/>
  <c r="AI323" i="20"/>
  <c r="AP323" i="20"/>
  <c r="AA248" i="20"/>
  <c r="Y248" i="20"/>
  <c r="AO248" i="20"/>
  <c r="AH135" i="20"/>
  <c r="AP260" i="20"/>
  <c r="AA45" i="20"/>
  <c r="AP45" i="20"/>
  <c r="AO38" i="20"/>
  <c r="AE38" i="20"/>
  <c r="AC38" i="20"/>
  <c r="AC91" i="20"/>
  <c r="AL91" i="20"/>
  <c r="Y91" i="20"/>
  <c r="AF73" i="20"/>
  <c r="AN73" i="20"/>
  <c r="AD1158" i="20"/>
  <c r="AJ1158" i="20"/>
  <c r="AK1158" i="20"/>
  <c r="AJ1142" i="20"/>
  <c r="Z1142" i="20"/>
  <c r="AI1126" i="20"/>
  <c r="AL1126" i="20"/>
  <c r="AJ1126" i="20"/>
  <c r="AE1114" i="20"/>
  <c r="Y1114" i="20"/>
  <c r="AC1114" i="20"/>
  <c r="AN1120" i="20"/>
  <c r="AC1120" i="20"/>
  <c r="AJ1120" i="20"/>
  <c r="AC1107" i="20"/>
  <c r="AN1107" i="20"/>
  <c r="AB1091" i="20"/>
  <c r="AC1091" i="20"/>
  <c r="AA1091" i="20"/>
  <c r="AI1082" i="20"/>
  <c r="AJ1082" i="20"/>
  <c r="AE1082" i="20"/>
  <c r="AK1082" i="20"/>
  <c r="AC1056" i="20"/>
  <c r="AG1056" i="20"/>
  <c r="AH1056" i="20"/>
  <c r="Y1048" i="20"/>
  <c r="AI1048" i="20"/>
  <c r="AB1048" i="20"/>
  <c r="AH1048" i="20"/>
  <c r="AA1040" i="20"/>
  <c r="AF1040" i="20"/>
  <c r="Y1040" i="20"/>
  <c r="Y1034" i="20"/>
  <c r="AF1034" i="20"/>
  <c r="Y1026" i="20"/>
  <c r="AG1026" i="20"/>
  <c r="AF1018" i="20"/>
  <c r="AG1018" i="20"/>
  <c r="AH1018" i="20"/>
  <c r="AN1018" i="20"/>
  <c r="Z1010" i="20"/>
  <c r="AA1010" i="20"/>
  <c r="Y1010" i="20"/>
  <c r="AA1000" i="20"/>
  <c r="AB1000" i="20"/>
  <c r="AE997" i="20"/>
  <c r="AG997" i="20"/>
  <c r="AA997" i="20"/>
  <c r="AJ990" i="20"/>
  <c r="AI990" i="20"/>
  <c r="Y986" i="20"/>
  <c r="AN986" i="20"/>
  <c r="Z986" i="20"/>
  <c r="AC977" i="20"/>
  <c r="AB977" i="20"/>
  <c r="AN977" i="20"/>
  <c r="AB969" i="20"/>
  <c r="AI969" i="20"/>
  <c r="AF969" i="20"/>
  <c r="AI965" i="20"/>
  <c r="AG965" i="20"/>
  <c r="AE965" i="20"/>
  <c r="Y956" i="20"/>
  <c r="AB956" i="20"/>
  <c r="AL956" i="20"/>
  <c r="AJ956" i="20"/>
  <c r="AA952" i="20"/>
  <c r="AI952" i="20"/>
  <c r="AC952" i="20"/>
  <c r="Z942" i="20"/>
  <c r="AD942" i="20"/>
  <c r="AG938" i="20"/>
  <c r="AA938" i="20"/>
  <c r="AC938" i="20"/>
  <c r="AN931" i="20"/>
  <c r="AC931" i="20"/>
  <c r="AL931" i="20"/>
  <c r="Z927" i="20"/>
  <c r="Y927" i="20"/>
  <c r="AE927" i="20"/>
  <c r="AN923" i="20"/>
  <c r="AI923" i="20"/>
  <c r="AK912" i="20"/>
  <c r="AD912" i="20"/>
  <c r="AE912" i="20"/>
  <c r="AL911" i="20"/>
  <c r="AD911" i="20"/>
  <c r="AG895" i="20"/>
  <c r="AH895" i="20"/>
  <c r="Y891" i="20"/>
  <c r="AD891" i="20"/>
  <c r="Z909" i="20"/>
  <c r="AJ909" i="20"/>
  <c r="AH904" i="20"/>
  <c r="AI904" i="20"/>
  <c r="AK904" i="20"/>
  <c r="AG904" i="20"/>
  <c r="AG869" i="20"/>
  <c r="AD869" i="20"/>
  <c r="AN864" i="20"/>
  <c r="Y864" i="20"/>
  <c r="AJ864" i="20"/>
  <c r="Z855" i="20"/>
  <c r="AL855" i="20"/>
  <c r="AJ847" i="20"/>
  <c r="AF847" i="20"/>
  <c r="AN803" i="20"/>
  <c r="AE803" i="20"/>
  <c r="AD791" i="20"/>
  <c r="Y791" i="20"/>
  <c r="AN788" i="20"/>
  <c r="Z788" i="20"/>
  <c r="AE780" i="20"/>
  <c r="Z780" i="20"/>
  <c r="AB770" i="20"/>
  <c r="AA770" i="20"/>
  <c r="AA765" i="20"/>
  <c r="AD765" i="20"/>
  <c r="AN748" i="20"/>
  <c r="AC748" i="20"/>
  <c r="AL741" i="20"/>
  <c r="AB741" i="20"/>
  <c r="AE741" i="20"/>
  <c r="AI737" i="20"/>
  <c r="AC737" i="20"/>
  <c r="AN729" i="20"/>
  <c r="AK729" i="20"/>
  <c r="AA725" i="20"/>
  <c r="AE725" i="20"/>
  <c r="Y719" i="20"/>
  <c r="AK719" i="20"/>
  <c r="AH719" i="20"/>
  <c r="Y717" i="20"/>
  <c r="AF717" i="20"/>
  <c r="Y705" i="20"/>
  <c r="AD705" i="20"/>
  <c r="AE705" i="20"/>
  <c r="AE683" i="20"/>
  <c r="AC683" i="20"/>
  <c r="Z683" i="20"/>
  <c r="AI669" i="20"/>
  <c r="AF669" i="20"/>
  <c r="AH669" i="20"/>
  <c r="AE661" i="20"/>
  <c r="AB661" i="20"/>
  <c r="AF661" i="20"/>
  <c r="AD631" i="20"/>
  <c r="AE631" i="20"/>
  <c r="Y617" i="20"/>
  <c r="AN617" i="20"/>
  <c r="AB617" i="20"/>
  <c r="AL613" i="20"/>
  <c r="AE613" i="20"/>
  <c r="AG610" i="20"/>
  <c r="AL610" i="20"/>
  <c r="AN607" i="20"/>
  <c r="AB607" i="20"/>
  <c r="AK607" i="20"/>
  <c r="AD601" i="20"/>
  <c r="AB601" i="20"/>
  <c r="AF585" i="20"/>
  <c r="AJ585" i="20"/>
  <c r="AH577" i="20"/>
  <c r="AG577" i="20"/>
  <c r="AI577" i="20"/>
  <c r="AC569" i="20"/>
  <c r="AN569" i="20"/>
  <c r="AC565" i="20"/>
  <c r="AF565" i="20"/>
  <c r="AE561" i="20"/>
  <c r="Z561" i="20"/>
  <c r="Y557" i="20"/>
  <c r="AG557" i="20"/>
  <c r="Z549" i="20"/>
  <c r="AF549" i="20"/>
  <c r="AI541" i="20"/>
  <c r="AK541" i="20"/>
  <c r="AL537" i="20"/>
  <c r="AG537" i="20"/>
  <c r="AB529" i="20"/>
  <c r="AD529" i="20"/>
  <c r="AO529" i="20"/>
  <c r="AF525" i="20"/>
  <c r="AH525" i="20"/>
  <c r="AG515" i="20"/>
  <c r="Z515" i="20"/>
  <c r="AF509" i="20"/>
  <c r="Y509" i="20"/>
  <c r="AI509" i="20"/>
  <c r="AK501" i="20"/>
  <c r="AC501" i="20"/>
  <c r="AF501" i="20"/>
  <c r="AI493" i="20"/>
  <c r="AH493" i="20"/>
  <c r="Z493" i="20"/>
  <c r="AC475" i="20"/>
  <c r="AF475" i="20"/>
  <c r="AK475" i="20"/>
  <c r="AE461" i="20"/>
  <c r="AH461" i="20"/>
  <c r="Z461" i="20"/>
  <c r="AN457" i="20"/>
  <c r="AG457" i="20"/>
  <c r="Y457" i="20"/>
  <c r="AB449" i="20"/>
  <c r="AN449" i="20"/>
  <c r="AA444" i="20"/>
  <c r="Y444" i="20"/>
  <c r="AE444" i="20"/>
  <c r="AE437" i="20"/>
  <c r="AG437" i="20"/>
  <c r="AG433" i="20"/>
  <c r="Z433" i="20"/>
  <c r="Y429" i="20"/>
  <c r="AC429" i="20"/>
  <c r="AK390" i="20"/>
  <c r="Y390" i="20"/>
  <c r="AD125" i="20"/>
  <c r="AE125" i="20"/>
  <c r="AJ1021" i="20"/>
  <c r="AK1021" i="20"/>
  <c r="AC285" i="20"/>
  <c r="AK285" i="20"/>
  <c r="AG160" i="20"/>
  <c r="AH160" i="20"/>
  <c r="AO160" i="20"/>
  <c r="AO144" i="20"/>
  <c r="AC144" i="20"/>
  <c r="AJ144" i="20"/>
  <c r="AG144" i="20"/>
  <c r="AE144" i="20"/>
  <c r="AD144" i="20"/>
  <c r="AF144" i="20"/>
  <c r="AC142" i="20"/>
  <c r="AF142" i="20"/>
  <c r="AI142" i="20"/>
  <c r="Z142" i="20"/>
  <c r="AK142" i="20"/>
  <c r="AE142" i="20"/>
  <c r="AG142" i="20"/>
  <c r="AC146" i="20"/>
  <c r="AN146" i="20"/>
  <c r="AC197" i="20"/>
  <c r="AP197" i="20"/>
  <c r="AE137" i="20"/>
  <c r="AD137" i="20"/>
  <c r="Z149" i="20"/>
  <c r="AB149" i="20"/>
  <c r="AF135" i="20"/>
  <c r="AH154" i="20"/>
  <c r="AA753" i="20"/>
  <c r="AF228" i="20"/>
  <c r="AL184" i="20"/>
  <c r="AC47" i="20"/>
  <c r="Z47" i="20"/>
  <c r="AD47" i="20"/>
  <c r="AC34" i="20"/>
  <c r="AN34" i="20"/>
  <c r="AI93" i="20"/>
  <c r="AD93" i="20"/>
  <c r="AB86" i="20"/>
  <c r="AA86" i="20"/>
  <c r="AL86" i="20"/>
  <c r="AJ1164" i="20"/>
  <c r="AK1164" i="20"/>
  <c r="AJ1145" i="20"/>
  <c r="AI1145" i="20"/>
  <c r="AG1145" i="20"/>
  <c r="AI1138" i="20"/>
  <c r="AE1138" i="20"/>
  <c r="AH1138" i="20"/>
  <c r="AD1134" i="20"/>
  <c r="AL1134" i="20"/>
  <c r="AB1134" i="20"/>
  <c r="AD1118" i="20"/>
  <c r="AG1118" i="20"/>
  <c r="Z1118" i="20"/>
  <c r="AI1074" i="20"/>
  <c r="AE1074" i="20"/>
  <c r="AB1070" i="20"/>
  <c r="AK1070" i="20"/>
  <c r="AI1070" i="20"/>
  <c r="Z1065" i="20"/>
  <c r="AA1065" i="20"/>
  <c r="Y1065" i="20"/>
  <c r="Y1054" i="20"/>
  <c r="AA1054" i="20"/>
  <c r="AA1044" i="20"/>
  <c r="AE1044" i="20"/>
  <c r="AI1030" i="20"/>
  <c r="AB1030" i="20"/>
  <c r="AK1030" i="20"/>
  <c r="AC1014" i="20"/>
  <c r="AO1014" i="20"/>
  <c r="AH1014" i="20"/>
  <c r="AL1014" i="20"/>
  <c r="AI1014" i="20"/>
  <c r="AK1014" i="20"/>
  <c r="AG1004" i="20"/>
  <c r="AI1004" i="20"/>
  <c r="AK1004" i="20"/>
  <c r="AE994" i="20"/>
  <c r="AA994" i="20"/>
  <c r="AI994" i="20"/>
  <c r="AC981" i="20"/>
  <c r="AI981" i="20"/>
  <c r="Z973" i="20"/>
  <c r="AN973" i="20"/>
  <c r="Y973" i="20"/>
  <c r="AB960" i="20"/>
  <c r="AG960" i="20"/>
  <c r="AC960" i="20"/>
  <c r="AH883" i="20"/>
  <c r="Y883" i="20"/>
  <c r="AB883" i="20"/>
  <c r="AD879" i="20"/>
  <c r="AA879" i="20"/>
  <c r="Z873" i="20"/>
  <c r="AA873" i="20"/>
  <c r="AH860" i="20"/>
  <c r="AK860" i="20"/>
  <c r="AA860" i="20"/>
  <c r="AF851" i="20"/>
  <c r="AH851" i="20"/>
  <c r="AI844" i="20"/>
  <c r="AH844" i="20"/>
  <c r="AI840" i="20"/>
  <c r="AG840" i="20"/>
  <c r="AN832" i="20"/>
  <c r="AG832" i="20"/>
  <c r="AN826" i="20"/>
  <c r="Z826" i="20"/>
  <c r="AG826" i="20"/>
  <c r="AA823" i="20"/>
  <c r="AD823" i="20"/>
  <c r="AK823" i="20"/>
  <c r="AJ811" i="20"/>
  <c r="AF811" i="20"/>
  <c r="AD811" i="20"/>
  <c r="AN814" i="20"/>
  <c r="AH814" i="20"/>
  <c r="Z799" i="20"/>
  <c r="AE799" i="20"/>
  <c r="AO796" i="20"/>
  <c r="AJ796" i="20"/>
  <c r="AF796" i="20"/>
  <c r="AN784" i="20"/>
  <c r="AB784" i="20"/>
  <c r="Y784" i="20"/>
  <c r="AE777" i="20"/>
  <c r="AL777" i="20"/>
  <c r="AE768" i="20"/>
  <c r="AB768" i="20"/>
  <c r="AL761" i="20"/>
  <c r="AI761" i="20"/>
  <c r="AA757" i="20"/>
  <c r="AL757" i="20"/>
  <c r="AC757" i="20"/>
  <c r="AK745" i="20"/>
  <c r="AG745" i="20"/>
  <c r="Z745" i="20"/>
  <c r="AG701" i="20"/>
  <c r="AE701" i="20"/>
  <c r="AG693" i="20"/>
  <c r="Z693" i="20"/>
  <c r="AN672" i="20"/>
  <c r="AC672" i="20"/>
  <c r="AJ672" i="20"/>
  <c r="AK665" i="20"/>
  <c r="AI665" i="20"/>
  <c r="AI657" i="20"/>
  <c r="AK657" i="20"/>
  <c r="AN653" i="20"/>
  <c r="AH653" i="20"/>
  <c r="AF653" i="20"/>
  <c r="AD649" i="20"/>
  <c r="AE649" i="20"/>
  <c r="AF641" i="20"/>
  <c r="AN641" i="20"/>
  <c r="Z635" i="20"/>
  <c r="AG635" i="20"/>
  <c r="Z625" i="20"/>
  <c r="Y625" i="20"/>
  <c r="AD589" i="20"/>
  <c r="AK589" i="20"/>
  <c r="AA626" i="20"/>
  <c r="AI626" i="20"/>
  <c r="AF552" i="20"/>
  <c r="Z552" i="20"/>
  <c r="AE552" i="20"/>
  <c r="AN545" i="20"/>
  <c r="AA545" i="20"/>
  <c r="AF533" i="20"/>
  <c r="AN533" i="20"/>
  <c r="AK521" i="20"/>
  <c r="AG521" i="20"/>
  <c r="AA521" i="20"/>
  <c r="AG513" i="20"/>
  <c r="AH513" i="20"/>
  <c r="AL505" i="20"/>
  <c r="AG505" i="20"/>
  <c r="AN497" i="20"/>
  <c r="AA497" i="20"/>
  <c r="AK490" i="20"/>
  <c r="AG490" i="20"/>
  <c r="AA486" i="20"/>
  <c r="AB486" i="20"/>
  <c r="AG465" i="20"/>
  <c r="AB465" i="20"/>
  <c r="AH465" i="20"/>
  <c r="Z453" i="20"/>
  <c r="AC453" i="20"/>
  <c r="AG441" i="20"/>
  <c r="AK441" i="20"/>
  <c r="AA135" i="20"/>
  <c r="AB154" i="20"/>
  <c r="AK154" i="20"/>
  <c r="AI154" i="20"/>
  <c r="AG885" i="20"/>
  <c r="AK866" i="20"/>
  <c r="AB853" i="20"/>
  <c r="Y842" i="20"/>
  <c r="AK827" i="20"/>
  <c r="I17" i="86" s="1"/>
  <c r="L17" i="86" s="1"/>
  <c r="AC809" i="20"/>
  <c r="Z793" i="20"/>
  <c r="Y778" i="20"/>
  <c r="AK422" i="20"/>
  <c r="Z414" i="20"/>
  <c r="AB406" i="20"/>
  <c r="AB402" i="20"/>
  <c r="AB397" i="20"/>
  <c r="AF386" i="20"/>
  <c r="AC374" i="20"/>
  <c r="AB366" i="20"/>
  <c r="Z359" i="20"/>
  <c r="AK355" i="20"/>
  <c r="Z233" i="20"/>
  <c r="AA786" i="20"/>
  <c r="AL789" i="20"/>
  <c r="AE818" i="20"/>
  <c r="AD842" i="20"/>
  <c r="AF789" i="20"/>
  <c r="AG818" i="20"/>
  <c r="Y834" i="20"/>
  <c r="AE845" i="20"/>
  <c r="Z866" i="20"/>
  <c r="AA881" i="20"/>
  <c r="AE887" i="20"/>
  <c r="AJ887" i="20"/>
  <c r="AI897" i="20"/>
  <c r="AH920" i="20"/>
  <c r="AL920" i="20"/>
  <c r="AD936" i="20"/>
  <c r="AA958" i="20"/>
  <c r="AG975" i="20"/>
  <c r="AE975" i="20"/>
  <c r="AC988" i="20"/>
  <c r="AE1002" i="20"/>
  <c r="AO1002" i="20"/>
  <c r="AB1012" i="20"/>
  <c r="AI1028" i="20"/>
  <c r="AF1028" i="20"/>
  <c r="Y1046" i="20"/>
  <c r="AL1060" i="20"/>
  <c r="AL1076" i="20"/>
  <c r="AA1076" i="20"/>
  <c r="AI1093" i="20"/>
  <c r="AC1116" i="20"/>
  <c r="AC1136" i="20"/>
  <c r="AD1136" i="20"/>
  <c r="AP1136" i="20"/>
  <c r="AI1151" i="20"/>
  <c r="AL1160" i="20"/>
  <c r="Y1160" i="20"/>
  <c r="Y1172" i="20"/>
  <c r="AA80" i="20"/>
  <c r="AB862" i="20"/>
  <c r="AN838" i="20"/>
  <c r="AG810" i="20"/>
  <c r="AD793" i="20"/>
  <c r="Y422" i="20"/>
  <c r="AL414" i="20"/>
  <c r="AL402" i="20"/>
  <c r="AB390" i="20"/>
  <c r="Z378" i="20"/>
  <c r="AF370" i="20"/>
  <c r="AA363" i="20"/>
  <c r="AH355" i="20"/>
  <c r="AG346" i="20"/>
  <c r="AH397" i="20"/>
  <c r="AB786" i="20"/>
  <c r="AJ786" i="20"/>
  <c r="AO402" i="20"/>
  <c r="AC782" i="20"/>
  <c r="AE802" i="20"/>
  <c r="AB807" i="20"/>
  <c r="AB827" i="20"/>
  <c r="AK862" i="20"/>
  <c r="AG878" i="20"/>
  <c r="AA878" i="20"/>
  <c r="AP890" i="20"/>
  <c r="AL900" i="20"/>
  <c r="AB925" i="20"/>
  <c r="AE950" i="20"/>
  <c r="Y950" i="20"/>
  <c r="AK962" i="20"/>
  <c r="AI971" i="20"/>
  <c r="AL983" i="20"/>
  <c r="AJ983" i="20"/>
  <c r="AH999" i="20"/>
  <c r="AG1016" i="20"/>
  <c r="AB1016" i="20"/>
  <c r="AC1038" i="20"/>
  <c r="AA1050" i="20"/>
  <c r="AB1067" i="20"/>
  <c r="Y1067" i="20"/>
  <c r="Z1079" i="20"/>
  <c r="AK1112" i="20"/>
  <c r="AK1123" i="20"/>
  <c r="AD1140" i="20"/>
  <c r="Z1140" i="20"/>
  <c r="AE1148" i="20"/>
  <c r="AN95" i="20"/>
  <c r="AH95" i="20"/>
  <c r="AE52" i="20"/>
  <c r="AH99" i="20"/>
  <c r="AG99" i="20"/>
  <c r="AG893" i="20"/>
  <c r="AI857" i="20"/>
  <c r="AF834" i="20"/>
  <c r="Z810" i="20"/>
  <c r="Z786" i="20"/>
  <c r="AG422" i="20"/>
  <c r="AK410" i="20"/>
  <c r="Z402" i="20"/>
  <c r="AG390" i="20"/>
  <c r="AK378" i="20"/>
  <c r="AN366" i="20"/>
  <c r="AG359" i="20"/>
  <c r="AH845" i="20"/>
  <c r="AH782" i="20"/>
  <c r="AA842" i="20"/>
  <c r="AE834" i="20"/>
  <c r="AO842" i="20"/>
  <c r="AH871" i="20"/>
  <c r="AL875" i="20"/>
  <c r="AN875" i="20"/>
  <c r="Z885" i="20"/>
  <c r="AI907" i="20"/>
  <c r="AN893" i="20"/>
  <c r="AN914" i="20"/>
  <c r="Y914" i="20"/>
  <c r="AL929" i="20"/>
  <c r="AJ940" i="20"/>
  <c r="AF940" i="20"/>
  <c r="AF954" i="20"/>
  <c r="AI967" i="20"/>
  <c r="AE979" i="20"/>
  <c r="AB992" i="20"/>
  <c r="AI992" i="20"/>
  <c r="AK995" i="20"/>
  <c r="AK1008" i="20"/>
  <c r="AD1008" i="20"/>
  <c r="AN1020" i="20"/>
  <c r="AF1032" i="20"/>
  <c r="Z1042" i="20"/>
  <c r="Z1053" i="20"/>
  <c r="AG1053" i="20"/>
  <c r="AL1063" i="20"/>
  <c r="AF1072" i="20"/>
  <c r="AL1072" i="20"/>
  <c r="AB1124" i="20"/>
  <c r="AC1128" i="20"/>
  <c r="AB1147" i="20"/>
  <c r="AH72" i="20"/>
  <c r="AB72" i="20"/>
  <c r="AJ135" i="20"/>
  <c r="AP527" i="20"/>
  <c r="AO639" i="20"/>
  <c r="AO499" i="20"/>
  <c r="AF807" i="20"/>
  <c r="AB137" i="20"/>
  <c r="AI44" i="20"/>
  <c r="AE44" i="20"/>
  <c r="AA47" i="20"/>
  <c r="Y363" i="20"/>
  <c r="AL1103" i="20"/>
  <c r="AL125" i="20"/>
  <c r="AI390" i="20"/>
  <c r="AF34" i="20"/>
  <c r="Z38" i="20"/>
  <c r="Y45" i="20"/>
  <c r="AC807" i="20"/>
  <c r="AO260" i="20"/>
  <c r="AO485" i="20"/>
  <c r="AP551" i="20"/>
  <c r="AF605" i="20"/>
  <c r="AO755" i="20"/>
  <c r="AA723" i="20"/>
  <c r="AO747" i="20"/>
  <c r="Z135" i="20"/>
  <c r="AH91" i="20"/>
  <c r="AH31" i="20"/>
  <c r="Z53" i="20"/>
  <c r="AL30" i="20"/>
  <c r="Y916" i="20"/>
  <c r="AC1075" i="20"/>
  <c r="AJ248" i="20"/>
  <c r="H46" i="86" s="1"/>
  <c r="K46" i="86" s="1"/>
  <c r="AG86" i="20"/>
  <c r="AD74" i="20"/>
  <c r="AD184" i="20"/>
  <c r="AG258" i="20"/>
  <c r="AN86" i="20"/>
  <c r="Z74" i="20"/>
  <c r="AA840" i="20"/>
  <c r="AA400" i="20"/>
  <c r="AJ780" i="20"/>
  <c r="AF788" i="20"/>
  <c r="AG796" i="20"/>
  <c r="AA796" i="20"/>
  <c r="AH799" i="20"/>
  <c r="AF814" i="20"/>
  <c r="AC814" i="20"/>
  <c r="AB820" i="20"/>
  <c r="AL826" i="20"/>
  <c r="AA826" i="20"/>
  <c r="AB836" i="20"/>
  <c r="AB844" i="20"/>
  <c r="AG844" i="20"/>
  <c r="Y851" i="20"/>
  <c r="AD860" i="20"/>
  <c r="Y860" i="20"/>
  <c r="AN31" i="20"/>
  <c r="Y357" i="20"/>
  <c r="AC380" i="20"/>
  <c r="AC784" i="20"/>
  <c r="AC791" i="20"/>
  <c r="AH803" i="20"/>
  <c r="AF803" i="20"/>
  <c r="AF808" i="20"/>
  <c r="AA811" i="20"/>
  <c r="AB811" i="20"/>
  <c r="AB823" i="20"/>
  <c r="AE832" i="20"/>
  <c r="AH840" i="20"/>
  <c r="AB840" i="20"/>
  <c r="AL847" i="20"/>
  <c r="AH855" i="20"/>
  <c r="AB855" i="20"/>
  <c r="AA864" i="20"/>
  <c r="AA91" i="20"/>
  <c r="AC610" i="20"/>
  <c r="AG444" i="20"/>
  <c r="AD449" i="20"/>
  <c r="AB1010" i="20"/>
  <c r="AA661" i="20"/>
  <c r="AD770" i="20"/>
  <c r="AA1145" i="20"/>
  <c r="Z589" i="20"/>
  <c r="AE904" i="20"/>
  <c r="Y577" i="20"/>
  <c r="AH437" i="20"/>
  <c r="AH765" i="20"/>
  <c r="AL693" i="20"/>
  <c r="AH589" i="20"/>
  <c r="AL437" i="20"/>
  <c r="AL573" i="20"/>
  <c r="AJ533" i="20"/>
  <c r="AI741" i="20"/>
  <c r="AI997" i="20"/>
  <c r="AG541" i="20"/>
  <c r="AJ552" i="20"/>
  <c r="Z497" i="20"/>
  <c r="Z681" i="20"/>
  <c r="AA1074" i="20"/>
  <c r="AC765" i="20"/>
  <c r="AD1120" i="20"/>
  <c r="AK565" i="20"/>
  <c r="AH757" i="20"/>
  <c r="AH641" i="20"/>
  <c r="AH621" i="20"/>
  <c r="AL869" i="20"/>
  <c r="AJ493" i="20"/>
  <c r="AL626" i="20"/>
  <c r="AI931" i="20"/>
  <c r="AI497" i="20"/>
  <c r="AI429" i="20"/>
  <c r="AI545" i="20"/>
  <c r="AD425" i="20"/>
  <c r="AF433" i="20"/>
  <c r="Y437" i="20"/>
  <c r="Z441" i="20"/>
  <c r="AJ449" i="20"/>
  <c r="AI453" i="20"/>
  <c r="AI461" i="20"/>
  <c r="Z465" i="20"/>
  <c r="AF477" i="20"/>
  <c r="AB481" i="20"/>
  <c r="AD486" i="20"/>
  <c r="AL493" i="20"/>
  <c r="AB497" i="20"/>
  <c r="AF505" i="20"/>
  <c r="AL509" i="20"/>
  <c r="AD513" i="20"/>
  <c r="AN515" i="20"/>
  <c r="AD525" i="20"/>
  <c r="Y537" i="20"/>
  <c r="AK549" i="20"/>
  <c r="AK552" i="20"/>
  <c r="AN561" i="20"/>
  <c r="Z626" i="20"/>
  <c r="AA569" i="20"/>
  <c r="AN577" i="20"/>
  <c r="AC585" i="20"/>
  <c r="AH593" i="20"/>
  <c r="AL601" i="20"/>
  <c r="AD610" i="20"/>
  <c r="AC617" i="20"/>
  <c r="AL625" i="20"/>
  <c r="AA631" i="20"/>
  <c r="AG641" i="20"/>
  <c r="Y649" i="20"/>
  <c r="AC653" i="20"/>
  <c r="AI661" i="20"/>
  <c r="AE669" i="20"/>
  <c r="AH672" i="20"/>
  <c r="AA676" i="20"/>
  <c r="AD689" i="20"/>
  <c r="AL705" i="20"/>
  <c r="Z717" i="20"/>
  <c r="AJ721" i="20"/>
  <c r="AG729" i="20"/>
  <c r="AK737" i="20"/>
  <c r="AD745" i="20"/>
  <c r="AD748" i="20"/>
  <c r="AI757" i="20"/>
  <c r="AI765" i="20"/>
  <c r="AE770" i="20"/>
  <c r="AD777" i="20"/>
  <c r="AC869" i="20"/>
  <c r="AE877" i="20"/>
  <c r="AK883" i="20"/>
  <c r="AN906" i="20"/>
  <c r="AI891" i="20"/>
  <c r="AC911" i="20"/>
  <c r="AF918" i="20"/>
  <c r="AG927" i="20"/>
  <c r="AF938" i="20"/>
  <c r="AD952" i="20"/>
  <c r="AN960" i="20"/>
  <c r="AI973" i="20"/>
  <c r="AB981" i="20"/>
  <c r="AN990" i="20"/>
  <c r="AK1000" i="20"/>
  <c r="AC1010" i="20"/>
  <c r="AB1018" i="20"/>
  <c r="AF1030" i="20"/>
  <c r="AH1044" i="20"/>
  <c r="AG1054" i="20"/>
  <c r="AN1065" i="20"/>
  <c r="AD1077" i="20"/>
  <c r="AH1091" i="20"/>
  <c r="AE1120" i="20"/>
  <c r="AG1126" i="20"/>
  <c r="AC1134" i="20"/>
  <c r="AF1150" i="20"/>
  <c r="AE1162" i="20"/>
  <c r="Z104" i="20"/>
  <c r="AA485" i="20"/>
  <c r="AC582" i="20"/>
  <c r="AI699" i="20"/>
  <c r="AJ469" i="20"/>
  <c r="AA457" i="20"/>
  <c r="AL36" i="20"/>
  <c r="AA36" i="20"/>
  <c r="AN92" i="20"/>
  <c r="Y92" i="20"/>
  <c r="AE1165" i="20"/>
  <c r="AD1165" i="20"/>
  <c r="AP1156" i="20"/>
  <c r="AF1156" i="20"/>
  <c r="AE1147" i="20"/>
  <c r="AA1147" i="20"/>
  <c r="AI1132" i="20"/>
  <c r="AA1132" i="20"/>
  <c r="AO1124" i="20"/>
  <c r="AN1124" i="20"/>
  <c r="AP1089" i="20"/>
  <c r="AL1089" i="20"/>
  <c r="AJ1089" i="20"/>
  <c r="AL771" i="20"/>
  <c r="AP771" i="20"/>
  <c r="AC769" i="20"/>
  <c r="AH769" i="20"/>
  <c r="AA769" i="20"/>
  <c r="AJ739" i="20"/>
  <c r="AA739" i="20"/>
  <c r="AO739" i="20"/>
  <c r="AL713" i="20"/>
  <c r="AG713" i="20"/>
  <c r="AO710" i="20"/>
  <c r="AH710" i="20"/>
  <c r="AP687" i="20"/>
  <c r="AL687" i="20"/>
  <c r="AN687" i="20"/>
  <c r="AJ667" i="20"/>
  <c r="AO667" i="20"/>
  <c r="AA656" i="20"/>
  <c r="AI656" i="20"/>
  <c r="AC633" i="20"/>
  <c r="AJ633" i="20"/>
  <c r="AP633" i="20"/>
  <c r="AL623" i="20"/>
  <c r="AF623" i="20"/>
  <c r="AK623" i="20"/>
  <c r="AB623" i="20"/>
  <c r="AO623" i="20"/>
  <c r="AP603" i="20"/>
  <c r="AF603" i="20"/>
  <c r="AB599" i="20"/>
  <c r="AF599" i="20"/>
  <c r="AO599" i="20"/>
  <c r="AG628" i="20"/>
  <c r="AO628" i="20"/>
  <c r="AE559" i="20"/>
  <c r="AI559" i="20"/>
  <c r="AK547" i="20"/>
  <c r="AO547" i="20"/>
  <c r="AO539" i="20"/>
  <c r="AF539" i="20"/>
  <c r="AI535" i="20"/>
  <c r="G26" i="86" s="1"/>
  <c r="J26" i="86" s="1"/>
  <c r="AO535" i="20"/>
  <c r="AO511" i="20"/>
  <c r="Y511" i="20"/>
  <c r="AJ455" i="20"/>
  <c r="Y455" i="20"/>
  <c r="AI455" i="20"/>
  <c r="AP431" i="20"/>
  <c r="AB431" i="20"/>
  <c r="Z420" i="20"/>
  <c r="AB420" i="20"/>
  <c r="AD416" i="20"/>
  <c r="AJ416" i="20"/>
  <c r="AI408" i="20"/>
  <c r="AH408" i="20"/>
  <c r="AK395" i="20"/>
  <c r="AL395" i="20"/>
  <c r="AC392" i="20"/>
  <c r="AK392" i="20"/>
  <c r="AA384" i="20"/>
  <c r="Y384" i="20"/>
  <c r="Y376" i="20"/>
  <c r="AG376" i="20"/>
  <c r="Z372" i="20"/>
  <c r="AG372" i="20"/>
  <c r="Y361" i="20"/>
  <c r="Z361" i="20"/>
  <c r="AF614" i="20"/>
  <c r="AG614" i="20"/>
  <c r="AI579" i="20"/>
  <c r="AL579" i="20"/>
  <c r="AL581" i="20"/>
  <c r="AG581" i="20"/>
  <c r="AP627" i="20"/>
  <c r="AH627" i="20"/>
  <c r="AH426" i="20"/>
  <c r="AO426" i="20"/>
  <c r="Y352" i="20"/>
  <c r="Z352" i="20"/>
  <c r="AI352" i="20"/>
  <c r="AF352" i="20"/>
  <c r="AA352" i="20"/>
  <c r="AP352" i="20"/>
  <c r="AN352" i="20"/>
  <c r="AD352" i="20"/>
  <c r="AB352" i="20"/>
  <c r="AO352" i="20"/>
  <c r="AE347" i="20"/>
  <c r="AO347" i="20"/>
  <c r="AB343" i="20"/>
  <c r="AI343" i="20"/>
  <c r="AG343" i="20"/>
  <c r="AC335" i="20"/>
  <c r="AH335" i="20"/>
  <c r="AB335" i="20"/>
  <c r="AL331" i="20"/>
  <c r="AD331" i="20"/>
  <c r="AO331" i="20"/>
  <c r="AL327" i="20"/>
  <c r="AA327" i="20"/>
  <c r="AC319" i="20"/>
  <c r="Y319" i="20"/>
  <c r="AD319" i="20"/>
  <c r="AL315" i="20"/>
  <c r="AA315" i="20"/>
  <c r="AA312" i="20"/>
  <c r="AL312" i="20"/>
  <c r="Y312" i="20"/>
  <c r="AI308" i="20"/>
  <c r="AG308" i="20"/>
  <c r="AO308" i="20"/>
  <c r="Z303" i="20"/>
  <c r="AF303" i="20"/>
  <c r="AI299" i="20"/>
  <c r="AJ299" i="20"/>
  <c r="AK299" i="20"/>
  <c r="AO299" i="20"/>
  <c r="AH299" i="20"/>
  <c r="AE295" i="20"/>
  <c r="AL295" i="20"/>
  <c r="Z295" i="20"/>
  <c r="AN280" i="20"/>
  <c r="AF280" i="20"/>
  <c r="AA280" i="20"/>
  <c r="AB280" i="20"/>
  <c r="AO280" i="20"/>
  <c r="AJ276" i="20"/>
  <c r="Z276" i="20"/>
  <c r="AK276" i="20"/>
  <c r="AB272" i="20"/>
  <c r="AK272" i="20"/>
  <c r="AL272" i="20"/>
  <c r="AH272" i="20"/>
  <c r="AN268" i="20"/>
  <c r="Z268" i="20"/>
  <c r="AO268" i="20"/>
  <c r="Y268" i="20"/>
  <c r="AI264" i="20"/>
  <c r="AE264" i="20"/>
  <c r="AC264" i="20"/>
  <c r="AO264" i="20"/>
  <c r="AD264" i="20"/>
  <c r="AK260" i="20"/>
  <c r="AD260" i="20"/>
  <c r="AE258" i="20"/>
  <c r="AA258" i="20"/>
  <c r="Z258" i="20"/>
  <c r="AK258" i="20"/>
  <c r="AK253" i="20"/>
  <c r="AA253" i="20"/>
  <c r="AC253" i="20"/>
  <c r="AJ253" i="20"/>
  <c r="Z248" i="20"/>
  <c r="AL248" i="20"/>
  <c r="AN248" i="20"/>
  <c r="AP248" i="20"/>
  <c r="AD230" i="20"/>
  <c r="AO230" i="20"/>
  <c r="AE230" i="20"/>
  <c r="Z230" i="20"/>
  <c r="AI230" i="20"/>
  <c r="AP228" i="20"/>
  <c r="AH228" i="20"/>
  <c r="AD228" i="20"/>
  <c r="AC228" i="20"/>
  <c r="AL228" i="20"/>
  <c r="AO228" i="20"/>
  <c r="Z224" i="20"/>
  <c r="AH224" i="20"/>
  <c r="AE224" i="20"/>
  <c r="AF224" i="20"/>
  <c r="AK224" i="20"/>
  <c r="AI224" i="20"/>
  <c r="AO218" i="20"/>
  <c r="AI218" i="20"/>
  <c r="AK218" i="20"/>
  <c r="AH218" i="20"/>
  <c r="AG218" i="20"/>
  <c r="AO199" i="20"/>
  <c r="AJ199" i="20"/>
  <c r="AF199" i="20"/>
  <c r="AI188" i="20"/>
  <c r="Z188" i="20"/>
  <c r="Y188" i="20"/>
  <c r="AC188" i="20"/>
  <c r="AP188" i="20"/>
  <c r="AK188" i="20"/>
  <c r="AO188" i="20"/>
  <c r="AI184" i="20"/>
  <c r="AE184" i="20"/>
  <c r="AA184" i="20"/>
  <c r="AJ184" i="20"/>
  <c r="AP179" i="20"/>
  <c r="AD179" i="20"/>
  <c r="Y179" i="20"/>
  <c r="AC179" i="20"/>
  <c r="AG179" i="20"/>
  <c r="Z179" i="20"/>
  <c r="AG174" i="20"/>
  <c r="AA174" i="20"/>
  <c r="AI174" i="20"/>
  <c r="AH174" i="20"/>
  <c r="AP174" i="20"/>
  <c r="AB174" i="20"/>
  <c r="AD174" i="20"/>
  <c r="AE183" i="20"/>
  <c r="AN183" i="20"/>
  <c r="Z183" i="20"/>
  <c r="AJ183" i="20"/>
  <c r="AF183" i="20"/>
  <c r="AO646" i="20"/>
  <c r="AO615" i="20"/>
  <c r="AO435" i="20"/>
  <c r="AP592" i="20"/>
  <c r="AO686" i="20"/>
  <c r="AO423" i="20"/>
  <c r="AC599" i="20"/>
  <c r="AP686" i="20"/>
  <c r="AE739" i="20"/>
  <c r="AH53" i="20"/>
  <c r="AK53" i="20"/>
  <c r="AD30" i="20"/>
  <c r="AC248" i="20"/>
  <c r="AH423" i="20"/>
  <c r="AC471" i="20"/>
  <c r="Y503" i="20"/>
  <c r="AH532" i="20"/>
  <c r="AD628" i="20"/>
  <c r="AG587" i="20"/>
  <c r="AI609" i="20"/>
  <c r="AE686" i="20"/>
  <c r="Y703" i="20"/>
  <c r="Z727" i="20"/>
  <c r="AF749" i="20"/>
  <c r="AB771" i="20"/>
  <c r="AL609" i="20"/>
  <c r="AH339" i="20"/>
  <c r="AJ458" i="20"/>
  <c r="AJ514" i="20"/>
  <c r="AH555" i="20"/>
  <c r="AL656" i="20"/>
  <c r="Y713" i="20"/>
  <c r="AL532" i="20"/>
  <c r="Y258" i="20"/>
  <c r="AN347" i="20"/>
  <c r="AO31" i="20"/>
  <c r="AP31" i="20"/>
  <c r="AD31" i="20"/>
  <c r="AK31" i="20"/>
  <c r="AI31" i="20"/>
  <c r="AJ31" i="20"/>
  <c r="AB31" i="20"/>
  <c r="Y31" i="20"/>
  <c r="AC31" i="20"/>
  <c r="Z31" i="20"/>
  <c r="AL31" i="20"/>
  <c r="AG31" i="20"/>
  <c r="AE31" i="20"/>
  <c r="AP30" i="20"/>
  <c r="AJ30" i="20"/>
  <c r="AB30" i="20"/>
  <c r="Y30" i="20"/>
  <c r="Z30" i="20"/>
  <c r="AH30" i="20"/>
  <c r="AG30" i="20"/>
  <c r="AC30" i="20"/>
  <c r="AK30" i="20"/>
  <c r="AF30" i="20"/>
  <c r="AI30" i="20"/>
  <c r="AE30" i="20"/>
  <c r="AK36" i="20"/>
  <c r="AB36" i="20"/>
  <c r="Z36" i="20"/>
  <c r="AH36" i="20"/>
  <c r="Y36" i="20"/>
  <c r="AJ36" i="20"/>
  <c r="AC36" i="20"/>
  <c r="AD36" i="20"/>
  <c r="AI36" i="20"/>
  <c r="AN36" i="20"/>
  <c r="AE36" i="20"/>
  <c r="AL41" i="20"/>
  <c r="AK41" i="20"/>
  <c r="AI41" i="20"/>
  <c r="AB41" i="20"/>
  <c r="AF41" i="20"/>
  <c r="Y41" i="20"/>
  <c r="AA41" i="20"/>
  <c r="AG41" i="20"/>
  <c r="AE41" i="20"/>
  <c r="AC41" i="20"/>
  <c r="AA53" i="20"/>
  <c r="AE53" i="20"/>
  <c r="AF53" i="20"/>
  <c r="AJ53" i="20"/>
  <c r="AB53" i="20"/>
  <c r="AL53" i="20"/>
  <c r="AD53" i="20"/>
  <c r="AG53" i="20"/>
  <c r="AC53" i="20"/>
  <c r="AN53" i="20"/>
  <c r="AG74" i="20"/>
  <c r="Y74" i="20"/>
  <c r="AJ74" i="20"/>
  <c r="AB74" i="20"/>
  <c r="AI74" i="20"/>
  <c r="AN74" i="20"/>
  <c r="AK74" i="20"/>
  <c r="AE74" i="20"/>
  <c r="AA74" i="20"/>
  <c r="AP74" i="20"/>
  <c r="AF74" i="20"/>
  <c r="AP52" i="20"/>
  <c r="Y52" i="20"/>
  <c r="AC52" i="20"/>
  <c r="Z52" i="20"/>
  <c r="AO52" i="20"/>
  <c r="AF52" i="20"/>
  <c r="AL52" i="20"/>
  <c r="AP72" i="20"/>
  <c r="AN72" i="20"/>
  <c r="AL72" i="20"/>
  <c r="AE72" i="20"/>
  <c r="Z72" i="20"/>
  <c r="AO72" i="20"/>
  <c r="AJ72" i="20"/>
  <c r="AK72" i="20"/>
  <c r="AC72" i="20"/>
  <c r="AA72" i="20"/>
  <c r="AN80" i="20"/>
  <c r="AF80" i="20"/>
  <c r="AK80" i="20"/>
  <c r="AD80" i="20"/>
  <c r="AC80" i="20"/>
  <c r="Y80" i="20"/>
  <c r="AH80" i="20"/>
  <c r="Z80" i="20"/>
  <c r="AF95" i="20"/>
  <c r="AP95" i="20"/>
  <c r="AC95" i="20"/>
  <c r="AA95" i="20"/>
  <c r="AL95" i="20"/>
  <c r="AO95" i="20"/>
  <c r="AE95" i="20"/>
  <c r="Z95" i="20"/>
  <c r="Z92" i="20"/>
  <c r="AD92" i="20"/>
  <c r="AC92" i="20"/>
  <c r="AH92" i="20"/>
  <c r="AP92" i="20"/>
  <c r="AF92" i="20"/>
  <c r="AK92" i="20"/>
  <c r="AJ92" i="20"/>
  <c r="AO92" i="20"/>
  <c r="AG92" i="20"/>
  <c r="AE92" i="20"/>
  <c r="AH1172" i="20"/>
  <c r="AA1172" i="20"/>
  <c r="AN1172" i="20"/>
  <c r="Z1172" i="20"/>
  <c r="AO1172" i="20"/>
  <c r="AG1172" i="20"/>
  <c r="AL1172" i="20"/>
  <c r="AP1168" i="20"/>
  <c r="AG1168" i="20"/>
  <c r="AD1168" i="20"/>
  <c r="AN1168" i="20"/>
  <c r="AK1168" i="20"/>
  <c r="AO1168" i="20"/>
  <c r="AI1168" i="20"/>
  <c r="AE1168" i="20"/>
  <c r="AF1168" i="20"/>
  <c r="AL1165" i="20"/>
  <c r="AP1165" i="20"/>
  <c r="AI1165" i="20"/>
  <c r="AG1165" i="20"/>
  <c r="AN1165" i="20"/>
  <c r="AO1165" i="20"/>
  <c r="AF1165" i="20"/>
  <c r="Z1165" i="20"/>
  <c r="AJ1165" i="20"/>
  <c r="AI1160" i="20"/>
  <c r="Z1160" i="20"/>
  <c r="AN1160" i="20"/>
  <c r="AD1160" i="20"/>
  <c r="AB1160" i="20"/>
  <c r="AK1160" i="20"/>
  <c r="AE1160" i="20"/>
  <c r="AK1156" i="20"/>
  <c r="AJ1156" i="20"/>
  <c r="AI1156" i="20"/>
  <c r="AC1156" i="20"/>
  <c r="AD1156" i="20"/>
  <c r="AL1156" i="20"/>
  <c r="AH1156" i="20"/>
  <c r="Y1156" i="20"/>
  <c r="AO1156" i="20"/>
  <c r="AE1156" i="20"/>
  <c r="AN1156" i="20"/>
  <c r="AH1151" i="20"/>
  <c r="AA1151" i="20"/>
  <c r="AE1151" i="20"/>
  <c r="AO1151" i="20"/>
  <c r="AB1151" i="20"/>
  <c r="AJ1151" i="20"/>
  <c r="AC1151" i="20"/>
  <c r="Z1151" i="20"/>
  <c r="AD1151" i="20"/>
  <c r="AK1148" i="20"/>
  <c r="AH1148" i="20"/>
  <c r="AF1148" i="20"/>
  <c r="AI1148" i="20"/>
  <c r="AB1148" i="20"/>
  <c r="AJ1148" i="20"/>
  <c r="AC1148" i="20"/>
  <c r="Y1148" i="20"/>
  <c r="AA1148" i="20"/>
  <c r="AN1147" i="20"/>
  <c r="Y1147" i="20"/>
  <c r="AK1147" i="20"/>
  <c r="Z1147" i="20"/>
  <c r="AL1147" i="20"/>
  <c r="AJ1147" i="20"/>
  <c r="AF1147" i="20"/>
  <c r="AG1147" i="20"/>
  <c r="AH1147" i="20"/>
  <c r="AB1140" i="20"/>
  <c r="AC1140" i="20"/>
  <c r="AN1140" i="20"/>
  <c r="AL1140" i="20"/>
  <c r="AE1140" i="20"/>
  <c r="AG1140" i="20"/>
  <c r="AF1140" i="20"/>
  <c r="AN1136" i="20"/>
  <c r="AF1136" i="20"/>
  <c r="AI1136" i="20"/>
  <c r="AG1136" i="20"/>
  <c r="Y1136" i="20"/>
  <c r="AA1136" i="20"/>
  <c r="AE1136" i="20"/>
  <c r="AO1132" i="20"/>
  <c r="Z1132" i="20"/>
  <c r="AF1132" i="20"/>
  <c r="AG1132" i="20"/>
  <c r="AH1132" i="20"/>
  <c r="Y1132" i="20"/>
  <c r="AK1132" i="20"/>
  <c r="AD1132" i="20"/>
  <c r="AN1132" i="20"/>
  <c r="AJ1132" i="20"/>
  <c r="AP1128" i="20"/>
  <c r="AJ1128" i="20"/>
  <c r="AE1128" i="20"/>
  <c r="AD1128" i="20"/>
  <c r="AB1128" i="20"/>
  <c r="AO1128" i="20"/>
  <c r="Y1128" i="20"/>
  <c r="AG1128" i="20"/>
  <c r="AK1128" i="20"/>
  <c r="AL1128" i="20"/>
  <c r="AN1123" i="20"/>
  <c r="AA1123" i="20"/>
  <c r="AJ1123" i="20"/>
  <c r="AF1123" i="20"/>
  <c r="AL1123" i="20"/>
  <c r="AG1123" i="20"/>
  <c r="AH1123" i="20"/>
  <c r="AP1116" i="20"/>
  <c r="AF1116" i="20"/>
  <c r="AA1116" i="20"/>
  <c r="Z1116" i="20"/>
  <c r="AD1116" i="20"/>
  <c r="Y1116" i="20"/>
  <c r="AG1116" i="20"/>
  <c r="AK1116" i="20"/>
  <c r="AF1124" i="20"/>
  <c r="Z1124" i="20"/>
  <c r="AC1124" i="20"/>
  <c r="AI1124" i="20"/>
  <c r="AP1124" i="20"/>
  <c r="AA1124" i="20"/>
  <c r="AD1124" i="20"/>
  <c r="AJ1124" i="20"/>
  <c r="AE1124" i="20"/>
  <c r="AN1112" i="20"/>
  <c r="AO1112" i="20"/>
  <c r="AE1112" i="20"/>
  <c r="AJ1112" i="20"/>
  <c r="AL1112" i="20"/>
  <c r="AH1112" i="20"/>
  <c r="AD1112" i="20"/>
  <c r="AA1112" i="20"/>
  <c r="AG1112" i="20"/>
  <c r="AP1093" i="20"/>
  <c r="AC1093" i="20"/>
  <c r="AE1093" i="20"/>
  <c r="AF1093" i="20"/>
  <c r="AN1093" i="20"/>
  <c r="AG1093" i="20"/>
  <c r="AH1093" i="20"/>
  <c r="Y1093" i="20"/>
  <c r="AH1089" i="20"/>
  <c r="AG1089" i="20"/>
  <c r="AN1089" i="20"/>
  <c r="AB1089" i="20"/>
  <c r="AK1089" i="20"/>
  <c r="Z1089" i="20"/>
  <c r="AA1089" i="20"/>
  <c r="Y1079" i="20"/>
  <c r="AN1079" i="20"/>
  <c r="AJ1079" i="20"/>
  <c r="AD1079" i="20"/>
  <c r="AG1079" i="20"/>
  <c r="AH1079" i="20"/>
  <c r="AF1079" i="20"/>
  <c r="AC1076" i="20"/>
  <c r="AE1076" i="20"/>
  <c r="AD1076" i="20"/>
  <c r="AG1076" i="20"/>
  <c r="AN1076" i="20"/>
  <c r="Z1076" i="20"/>
  <c r="AB1076" i="20"/>
  <c r="AC1072" i="20"/>
  <c r="AG1072" i="20"/>
  <c r="AE1072" i="20"/>
  <c r="AN1072" i="20"/>
  <c r="AH1072" i="20"/>
  <c r="Y1072" i="20"/>
  <c r="AI1072" i="20"/>
  <c r="AB1072" i="20"/>
  <c r="AH1067" i="20"/>
  <c r="AO1067" i="20"/>
  <c r="Z1067" i="20"/>
  <c r="AN1067" i="20"/>
  <c r="AE1067" i="20"/>
  <c r="AC1067" i="20"/>
  <c r="AD1067" i="20"/>
  <c r="AG1067" i="20"/>
  <c r="AG1063" i="20"/>
  <c r="AI1063" i="20"/>
  <c r="AD1063" i="20"/>
  <c r="AE1063" i="20"/>
  <c r="AK1063" i="20"/>
  <c r="AF1063" i="20"/>
  <c r="AA1063" i="20"/>
  <c r="Y1060" i="20"/>
  <c r="AA1060" i="20"/>
  <c r="AF1060" i="20"/>
  <c r="AB1060" i="20"/>
  <c r="AP1060" i="20"/>
  <c r="AC1060" i="20"/>
  <c r="AI1060" i="20"/>
  <c r="AP1053" i="20"/>
  <c r="AB1053" i="20"/>
  <c r="AL1053" i="20"/>
  <c r="AJ1053" i="20"/>
  <c r="AN1053" i="20"/>
  <c r="AK1053" i="20"/>
  <c r="AA1053" i="20"/>
  <c r="AO1050" i="20"/>
  <c r="AH1050" i="20"/>
  <c r="AB1050" i="20"/>
  <c r="AI1050" i="20"/>
  <c r="Z1050" i="20"/>
  <c r="Y1050" i="20"/>
  <c r="AJ1050" i="20"/>
  <c r="AD1046" i="20"/>
  <c r="AC1046" i="20"/>
  <c r="AF1046" i="20"/>
  <c r="AG1046" i="20"/>
  <c r="AP1046" i="20"/>
  <c r="AE1046" i="20"/>
  <c r="AA1046" i="20"/>
  <c r="AL1046" i="20"/>
  <c r="AP1042" i="20"/>
  <c r="AH1042" i="20"/>
  <c r="AF1042" i="20"/>
  <c r="AN1042" i="20"/>
  <c r="AG1042" i="20"/>
  <c r="AD1042" i="20"/>
  <c r="AA1042" i="20"/>
  <c r="AO1038" i="20"/>
  <c r="AL1038" i="20"/>
  <c r="AG1038" i="20"/>
  <c r="AD1038" i="20"/>
  <c r="Y1038" i="20"/>
  <c r="AH1038" i="20"/>
  <c r="AJ1038" i="20"/>
  <c r="AE1038" i="20"/>
  <c r="AO1032" i="20"/>
  <c r="AE1032" i="20"/>
  <c r="AI1032" i="20"/>
  <c r="AB1032" i="20"/>
  <c r="Y1032" i="20"/>
  <c r="AD1032" i="20"/>
  <c r="AL1032" i="20"/>
  <c r="AH1032" i="20"/>
  <c r="AP1028" i="20"/>
  <c r="AO1028" i="20"/>
  <c r="AH1028" i="20"/>
  <c r="AG1028" i="20"/>
  <c r="AJ1028" i="20"/>
  <c r="AN1028" i="20"/>
  <c r="AK1028" i="20"/>
  <c r="AB1028" i="20"/>
  <c r="AH1020" i="20"/>
  <c r="AF1020" i="20"/>
  <c r="AA1020" i="20"/>
  <c r="AI1020" i="20"/>
  <c r="AO1020" i="20"/>
  <c r="AC1020" i="20"/>
  <c r="Z1020" i="20"/>
  <c r="AC1016" i="20"/>
  <c r="Z1016" i="20"/>
  <c r="AL1016" i="20"/>
  <c r="AJ1016" i="20"/>
  <c r="AO1016" i="20"/>
  <c r="AI1016" i="20"/>
  <c r="AN1016" i="20"/>
  <c r="AF1012" i="20"/>
  <c r="AJ1012" i="20"/>
  <c r="AA1012" i="20"/>
  <c r="AH1012" i="20"/>
  <c r="AK1012" i="20"/>
  <c r="AI1012" i="20"/>
  <c r="AD1012" i="20"/>
  <c r="AF1008" i="20"/>
  <c r="AN1008" i="20"/>
  <c r="AE1008" i="20"/>
  <c r="AC1008" i="20"/>
  <c r="AO1008" i="20"/>
  <c r="AA1008" i="20"/>
  <c r="AL1008" i="20"/>
  <c r="AI1002" i="20"/>
  <c r="AJ1002" i="20"/>
  <c r="Z1002" i="20"/>
  <c r="AA1002" i="20"/>
  <c r="Y1002" i="20"/>
  <c r="AC1002" i="20"/>
  <c r="AD1002" i="20"/>
  <c r="AH1002" i="20"/>
  <c r="Y999" i="20"/>
  <c r="AB999" i="20"/>
  <c r="AE999" i="20"/>
  <c r="AG999" i="20"/>
  <c r="AP999" i="20"/>
  <c r="AN999" i="20"/>
  <c r="AL999" i="20"/>
  <c r="AD999" i="20"/>
  <c r="AC995" i="20"/>
  <c r="AE995" i="20"/>
  <c r="AH995" i="20"/>
  <c r="Y995" i="20"/>
  <c r="AP995" i="20"/>
  <c r="AA995" i="20"/>
  <c r="AF995" i="20"/>
  <c r="AN995" i="20"/>
  <c r="AP992" i="20"/>
  <c r="AG992" i="20"/>
  <c r="AE992" i="20"/>
  <c r="Y992" i="20"/>
  <c r="AC992" i="20"/>
  <c r="AD992" i="20"/>
  <c r="AH992" i="20"/>
  <c r="AD988" i="20"/>
  <c r="AH988" i="20"/>
  <c r="AB988" i="20"/>
  <c r="Z988" i="20"/>
  <c r="AA988" i="20"/>
  <c r="AJ988" i="20"/>
  <c r="AN988" i="20"/>
  <c r="AK988" i="20"/>
  <c r="AO983" i="20"/>
  <c r="Z983" i="20"/>
  <c r="AC983" i="20"/>
  <c r="AI983" i="20"/>
  <c r="AD983" i="20"/>
  <c r="AH983" i="20"/>
  <c r="AB983" i="20"/>
  <c r="AP979" i="20"/>
  <c r="AL979" i="20"/>
  <c r="AF979" i="20"/>
  <c r="AH979" i="20"/>
  <c r="AJ979" i="20"/>
  <c r="AA979" i="20"/>
  <c r="AN979" i="20"/>
  <c r="AB979" i="20"/>
  <c r="AI975" i="20"/>
  <c r="AL975" i="20"/>
  <c r="AF975" i="20"/>
  <c r="Z975" i="20"/>
  <c r="AD975" i="20"/>
  <c r="AH975" i="20"/>
  <c r="AJ975" i="20"/>
  <c r="AO971" i="20"/>
  <c r="Z971" i="20"/>
  <c r="AB971" i="20"/>
  <c r="AC971" i="20"/>
  <c r="AF971" i="20"/>
  <c r="AL971" i="20"/>
  <c r="AE971" i="20"/>
  <c r="AN971" i="20"/>
  <c r="AO967" i="20"/>
  <c r="AC967" i="20"/>
  <c r="AE967" i="20"/>
  <c r="AN967" i="20"/>
  <c r="AL967" i="20"/>
  <c r="AJ967" i="20"/>
  <c r="AF967" i="20"/>
  <c r="AA967" i="20"/>
  <c r="AE962" i="20"/>
  <c r="AN962" i="20"/>
  <c r="AA962" i="20"/>
  <c r="AJ962" i="20"/>
  <c r="Y962" i="20"/>
  <c r="AO962" i="20"/>
  <c r="AI962" i="20"/>
  <c r="AC962" i="20"/>
  <c r="AF958" i="20"/>
  <c r="AJ958" i="20"/>
  <c r="AI958" i="20"/>
  <c r="AH958" i="20"/>
  <c r="AD958" i="20"/>
  <c r="AC958" i="20"/>
  <c r="AG958" i="20"/>
  <c r="Y958" i="20"/>
  <c r="Y954" i="20"/>
  <c r="AK954" i="20"/>
  <c r="AC954" i="20"/>
  <c r="AH954" i="20"/>
  <c r="AA954" i="20"/>
  <c r="AD954" i="20"/>
  <c r="AJ954" i="20"/>
  <c r="AB950" i="20"/>
  <c r="AJ950" i="20"/>
  <c r="Z950" i="20"/>
  <c r="AK950" i="20"/>
  <c r="AG950" i="20"/>
  <c r="AN950" i="20"/>
  <c r="AF950" i="20"/>
  <c r="AD940" i="20"/>
  <c r="Y940" i="20"/>
  <c r="AL940" i="20"/>
  <c r="Z940" i="20"/>
  <c r="AH940" i="20"/>
  <c r="AA940" i="20"/>
  <c r="AG940" i="20"/>
  <c r="AH936" i="20"/>
  <c r="AG936" i="20"/>
  <c r="AN936" i="20"/>
  <c r="AB936" i="20"/>
  <c r="AJ936" i="20"/>
  <c r="AL936" i="20"/>
  <c r="AF936" i="20"/>
  <c r="AI929" i="20"/>
  <c r="AD929" i="20"/>
  <c r="AA929" i="20"/>
  <c r="Z929" i="20"/>
  <c r="AE929" i="20"/>
  <c r="AO929" i="20"/>
  <c r="AJ929" i="20"/>
  <c r="AN929" i="20"/>
  <c r="AD925" i="20"/>
  <c r="AL925" i="20"/>
  <c r="Y925" i="20"/>
  <c r="AH925" i="20"/>
  <c r="AK925" i="20"/>
  <c r="AP925" i="20"/>
  <c r="AG925" i="20"/>
  <c r="AI925" i="20"/>
  <c r="AJ920" i="20"/>
  <c r="AD920" i="20"/>
  <c r="AC920" i="20"/>
  <c r="AI920" i="20"/>
  <c r="AN920" i="20"/>
  <c r="AE920" i="20"/>
  <c r="Y920" i="20"/>
  <c r="AC914" i="20"/>
  <c r="AD914" i="20"/>
  <c r="AA914" i="20"/>
  <c r="AF914" i="20"/>
  <c r="AO914" i="20"/>
  <c r="Z914" i="20"/>
  <c r="AL914" i="20"/>
  <c r="AF900" i="20"/>
  <c r="AB900" i="20"/>
  <c r="AN900" i="20"/>
  <c r="AE900" i="20"/>
  <c r="AI900" i="20"/>
  <c r="AP900" i="20"/>
  <c r="AK900" i="20"/>
  <c r="AG900" i="20"/>
  <c r="AH900" i="20"/>
  <c r="Y897" i="20"/>
  <c r="AO897" i="20"/>
  <c r="AF897" i="20"/>
  <c r="AH897" i="20"/>
  <c r="AG897" i="20"/>
  <c r="AN897" i="20"/>
  <c r="AD897" i="20"/>
  <c r="AE897" i="20"/>
  <c r="AO893" i="20"/>
  <c r="AF893" i="20"/>
  <c r="Z893" i="20"/>
  <c r="AB893" i="20"/>
  <c r="AP893" i="20"/>
  <c r="AH893" i="20"/>
  <c r="Y893" i="20"/>
  <c r="AO890" i="20"/>
  <c r="AG890" i="20"/>
  <c r="AA890" i="20"/>
  <c r="Y890" i="20"/>
  <c r="AF890" i="20"/>
  <c r="Z890" i="20"/>
  <c r="AE890" i="20"/>
  <c r="AJ890" i="20"/>
  <c r="AO907" i="20"/>
  <c r="AG907" i="20"/>
  <c r="AJ907" i="20"/>
  <c r="AH907" i="20"/>
  <c r="AP907" i="20"/>
  <c r="AC907" i="20"/>
  <c r="AA907" i="20"/>
  <c r="AF907" i="20"/>
  <c r="AP887" i="20"/>
  <c r="AD887" i="20"/>
  <c r="AK887" i="20"/>
  <c r="AB887" i="20"/>
  <c r="Z887" i="20"/>
  <c r="AG887" i="20"/>
  <c r="AL887" i="20"/>
  <c r="AO885" i="20"/>
  <c r="AN885" i="20"/>
  <c r="AD885" i="20"/>
  <c r="AE885" i="20"/>
  <c r="Y885" i="20"/>
  <c r="AI885" i="20"/>
  <c r="AB885" i="20"/>
  <c r="AP881" i="20"/>
  <c r="AB881" i="20"/>
  <c r="AD881" i="20"/>
  <c r="AG881" i="20"/>
  <c r="Y881" i="20"/>
  <c r="AO881" i="20"/>
  <c r="AJ881" i="20"/>
  <c r="Z881" i="20"/>
  <c r="AE878" i="20"/>
  <c r="AC878" i="20"/>
  <c r="AB878" i="20"/>
  <c r="AL878" i="20"/>
  <c r="AH878" i="20"/>
  <c r="AI878" i="20"/>
  <c r="AJ878" i="20"/>
  <c r="AE875" i="20"/>
  <c r="AP875" i="20"/>
  <c r="AD875" i="20"/>
  <c r="AJ875" i="20"/>
  <c r="AA875" i="20"/>
  <c r="AK875" i="20"/>
  <c r="AF875" i="20"/>
  <c r="Y875" i="20"/>
  <c r="AP871" i="20"/>
  <c r="AG871" i="20"/>
  <c r="AA871" i="20"/>
  <c r="AB871" i="20"/>
  <c r="Z871" i="20"/>
  <c r="AK871" i="20"/>
  <c r="AC871" i="20"/>
  <c r="AJ866" i="20"/>
  <c r="AB866" i="20"/>
  <c r="AC866" i="20"/>
  <c r="AA866" i="20"/>
  <c r="AN866" i="20"/>
  <c r="AL866" i="20"/>
  <c r="Y866" i="20"/>
  <c r="AP866" i="20"/>
  <c r="AE866" i="20"/>
  <c r="AJ862" i="20"/>
  <c r="AE862" i="20"/>
  <c r="AF862" i="20"/>
  <c r="AG862" i="20"/>
  <c r="AC862" i="20"/>
  <c r="AN862" i="20"/>
  <c r="AA862" i="20"/>
  <c r="AO862" i="20"/>
  <c r="AI862" i="20"/>
  <c r="Z862" i="20"/>
  <c r="AP857" i="20"/>
  <c r="AL857" i="20"/>
  <c r="AD857" i="20"/>
  <c r="AF857" i="20"/>
  <c r="AJ857" i="20"/>
  <c r="AE857" i="20"/>
  <c r="AC857" i="20"/>
  <c r="AA857" i="20"/>
  <c r="Y853" i="20"/>
  <c r="AD853" i="20"/>
  <c r="AL853" i="20"/>
  <c r="AG853" i="20"/>
  <c r="AF853" i="20"/>
  <c r="Z853" i="20"/>
  <c r="AA853" i="20"/>
  <c r="AO853" i="20"/>
  <c r="AC853" i="20"/>
  <c r="AH853" i="20"/>
  <c r="AF849" i="20"/>
  <c r="AA849" i="20"/>
  <c r="AN849" i="20"/>
  <c r="AB849" i="20"/>
  <c r="AL849" i="20"/>
  <c r="AO849" i="20"/>
  <c r="AC849" i="20"/>
  <c r="Z849" i="20"/>
  <c r="AH849" i="20"/>
  <c r="Y845" i="20"/>
  <c r="AL845" i="20"/>
  <c r="AB845" i="20"/>
  <c r="AG845" i="20"/>
  <c r="AN845" i="20"/>
  <c r="Z845" i="20"/>
  <c r="AA845" i="20"/>
  <c r="AL842" i="20"/>
  <c r="AH842" i="20"/>
  <c r="AN842" i="20"/>
  <c r="AK842" i="20"/>
  <c r="AE842" i="20"/>
  <c r="AL838" i="20"/>
  <c r="Y838" i="20"/>
  <c r="AB838" i="20"/>
  <c r="Z838" i="20"/>
  <c r="AJ838" i="20"/>
  <c r="AI838" i="20"/>
  <c r="AH838" i="20"/>
  <c r="AE838" i="20"/>
  <c r="AD838" i="20"/>
  <c r="AH834" i="20"/>
  <c r="AN834" i="20"/>
  <c r="AP834" i="20"/>
  <c r="AB834" i="20"/>
  <c r="AK834" i="20"/>
  <c r="AO834" i="20"/>
  <c r="AL834" i="20"/>
  <c r="AC829" i="20"/>
  <c r="AO829" i="20"/>
  <c r="AE829" i="20"/>
  <c r="AI829" i="20"/>
  <c r="Z829" i="20"/>
  <c r="AN829" i="20"/>
  <c r="AH829" i="20"/>
  <c r="AN828" i="20"/>
  <c r="AO828" i="20"/>
  <c r="AB828" i="20"/>
  <c r="AC828" i="20"/>
  <c r="AH828" i="20"/>
  <c r="AL828" i="20"/>
  <c r="AA828" i="20"/>
  <c r="AP828" i="20"/>
  <c r="AK828" i="20"/>
  <c r="I31" i="86" s="1"/>
  <c r="L31" i="86" s="1"/>
  <c r="Z828" i="20"/>
  <c r="Y828" i="20"/>
  <c r="AE827" i="20"/>
  <c r="AJ827" i="20"/>
  <c r="H17" i="86" s="1"/>
  <c r="K17" i="86" s="1"/>
  <c r="AC827" i="20"/>
  <c r="AP827" i="20"/>
  <c r="AH827" i="20"/>
  <c r="AN827" i="20"/>
  <c r="AO827" i="20"/>
  <c r="AA827" i="20"/>
  <c r="AL827" i="20"/>
  <c r="AI818" i="20"/>
  <c r="AD818" i="20"/>
  <c r="AA818" i="20"/>
  <c r="Y818" i="20"/>
  <c r="AO818" i="20"/>
  <c r="AB818" i="20"/>
  <c r="AN818" i="20"/>
  <c r="AH810" i="20"/>
  <c r="AE810" i="20"/>
  <c r="AI810" i="20"/>
  <c r="AF810" i="20"/>
  <c r="Y810" i="20"/>
  <c r="AL810" i="20"/>
  <c r="AA810" i="20"/>
  <c r="AA809" i="20"/>
  <c r="AG809" i="20"/>
  <c r="AO809" i="20"/>
  <c r="Z809" i="20"/>
  <c r="AE809" i="20"/>
  <c r="AJ809" i="20"/>
  <c r="AI807" i="20"/>
  <c r="AP807" i="20"/>
  <c r="AN807" i="20"/>
  <c r="AA807" i="20"/>
  <c r="AJ807" i="20"/>
  <c r="AK807" i="20"/>
  <c r="AD807" i="20"/>
  <c r="AC805" i="20"/>
  <c r="AI805" i="20"/>
  <c r="AH805" i="20"/>
  <c r="AN805" i="20"/>
  <c r="AL805" i="20"/>
  <c r="AD805" i="20"/>
  <c r="AO805" i="20"/>
  <c r="AA805" i="20"/>
  <c r="AB802" i="20"/>
  <c r="AI802" i="20"/>
  <c r="AO802" i="20"/>
  <c r="AK802" i="20"/>
  <c r="AC802" i="20"/>
  <c r="AJ802" i="20"/>
  <c r="Y802" i="20"/>
  <c r="AN802" i="20"/>
  <c r="AH802" i="20"/>
  <c r="AE793" i="20"/>
  <c r="AP793" i="20"/>
  <c r="AJ793" i="20"/>
  <c r="AK793" i="20"/>
  <c r="AG793" i="20"/>
  <c r="AA793" i="20"/>
  <c r="AB793" i="20"/>
  <c r="AO793" i="20"/>
  <c r="AC793" i="20"/>
  <c r="AF793" i="20"/>
  <c r="Z789" i="20"/>
  <c r="Y789" i="20"/>
  <c r="AO789" i="20"/>
  <c r="AN789" i="20"/>
  <c r="AA789" i="20"/>
  <c r="AJ789" i="20"/>
  <c r="AI789" i="20"/>
  <c r="Y786" i="20"/>
  <c r="AK786" i="20"/>
  <c r="AF786" i="20"/>
  <c r="AL786" i="20"/>
  <c r="AE786" i="20"/>
  <c r="AI786" i="20"/>
  <c r="AG782" i="20"/>
  <c r="AK782" i="20"/>
  <c r="AA782" i="20"/>
  <c r="AI782" i="20"/>
  <c r="AL782" i="20"/>
  <c r="AD782" i="20"/>
  <c r="AO782" i="20"/>
  <c r="Z782" i="20"/>
  <c r="AE782" i="20"/>
  <c r="Z778" i="20"/>
  <c r="AA778" i="20"/>
  <c r="AK778" i="20"/>
  <c r="AJ778" i="20"/>
  <c r="AL778" i="20"/>
  <c r="AO778" i="20"/>
  <c r="AP778" i="20"/>
  <c r="AE778" i="20"/>
  <c r="AE771" i="20"/>
  <c r="AA771" i="20"/>
  <c r="AN771" i="20"/>
  <c r="AJ771" i="20"/>
  <c r="AC771" i="20"/>
  <c r="Y771" i="20"/>
  <c r="AH771" i="20"/>
  <c r="AG771" i="20"/>
  <c r="AO771" i="20"/>
  <c r="AI771" i="20"/>
  <c r="AK771" i="20"/>
  <c r="AF771" i="20"/>
  <c r="Z771" i="20"/>
  <c r="AD771" i="20"/>
  <c r="AF769" i="20"/>
  <c r="AI769" i="20"/>
  <c r="AL769" i="20"/>
  <c r="AD769" i="20"/>
  <c r="AP769" i="20"/>
  <c r="Z769" i="20"/>
  <c r="AO769" i="20"/>
  <c r="AN769" i="20"/>
  <c r="AJ769" i="20"/>
  <c r="Y769" i="20"/>
  <c r="AK767" i="20"/>
  <c r="AA767" i="20"/>
  <c r="AI767" i="20"/>
  <c r="Y767" i="20"/>
  <c r="AN767" i="20"/>
  <c r="AG767" i="20"/>
  <c r="AJ767" i="20"/>
  <c r="AF767" i="20"/>
  <c r="AC767" i="20"/>
  <c r="Z767" i="20"/>
  <c r="AE767" i="20"/>
  <c r="AP767" i="20"/>
  <c r="AL767" i="20"/>
  <c r="AB767" i="20"/>
  <c r="AD767" i="20"/>
  <c r="AH767" i="20"/>
  <c r="AB763" i="20"/>
  <c r="Z763" i="20"/>
  <c r="AH763" i="20"/>
  <c r="AJ763" i="20"/>
  <c r="AN763" i="20"/>
  <c r="AD763" i="20"/>
  <c r="AP763" i="20"/>
  <c r="AE763" i="20"/>
  <c r="AL763" i="20"/>
  <c r="AK763" i="20"/>
  <c r="Y763" i="20"/>
  <c r="AO763" i="20"/>
  <c r="Z759" i="20"/>
  <c r="AA759" i="20"/>
  <c r="AE759" i="20"/>
  <c r="AG759" i="20"/>
  <c r="AH759" i="20"/>
  <c r="AK759" i="20"/>
  <c r="AB759" i="20"/>
  <c r="AC759" i="20"/>
  <c r="Y759" i="20"/>
  <c r="AJ759" i="20"/>
  <c r="AD759" i="20"/>
  <c r="AN755" i="20"/>
  <c r="AK755" i="20"/>
  <c r="AA755" i="20"/>
  <c r="AD755" i="20"/>
  <c r="AL755" i="20"/>
  <c r="AE755" i="20"/>
  <c r="AF755" i="20"/>
  <c r="Z755" i="20"/>
  <c r="AJ755" i="20"/>
  <c r="AB755" i="20"/>
  <c r="AO749" i="20"/>
  <c r="AB749" i="20"/>
  <c r="AD749" i="20"/>
  <c r="Y749" i="20"/>
  <c r="AN749" i="20"/>
  <c r="AL749" i="20"/>
  <c r="AI749" i="20"/>
  <c r="AJ749" i="20"/>
  <c r="AA749" i="20"/>
  <c r="AG749" i="20"/>
  <c r="AE749" i="20"/>
  <c r="Z749" i="20"/>
  <c r="AH749" i="20"/>
  <c r="AK749" i="20"/>
  <c r="AP749" i="20"/>
  <c r="AA747" i="20"/>
  <c r="AB747" i="20"/>
  <c r="AH747" i="20"/>
  <c r="AF747" i="20"/>
  <c r="AK747" i="20"/>
  <c r="AP747" i="20"/>
  <c r="AJ747" i="20"/>
  <c r="AD747" i="20"/>
  <c r="AE747" i="20"/>
  <c r="AA743" i="20"/>
  <c r="AH743" i="20"/>
  <c r="AE743" i="20"/>
  <c r="Y743" i="20"/>
  <c r="Z743" i="20"/>
  <c r="AF743" i="20"/>
  <c r="AI743" i="20"/>
  <c r="AN743" i="20"/>
  <c r="AP743" i="20"/>
  <c r="AB743" i="20"/>
  <c r="AO743" i="20"/>
  <c r="AG743" i="20"/>
  <c r="AK743" i="20"/>
  <c r="AC743" i="20"/>
  <c r="AJ743" i="20"/>
  <c r="AN739" i="20"/>
  <c r="AF739" i="20"/>
  <c r="AD739" i="20"/>
  <c r="AB739" i="20"/>
  <c r="Z739" i="20"/>
  <c r="AL739" i="20"/>
  <c r="AP739" i="20"/>
  <c r="AF735" i="20"/>
  <c r="AH735" i="20"/>
  <c r="AL735" i="20"/>
  <c r="AN735" i="20"/>
  <c r="AC735" i="20"/>
  <c r="Z735" i="20"/>
  <c r="AK735" i="20"/>
  <c r="AD735" i="20"/>
  <c r="AE735" i="20"/>
  <c r="AJ735" i="20"/>
  <c r="Y735" i="20"/>
  <c r="AB735" i="20"/>
  <c r="AO735" i="20"/>
  <c r="AI735" i="20"/>
  <c r="AA735" i="20"/>
  <c r="Y731" i="20"/>
  <c r="AG731" i="20"/>
  <c r="AI731" i="20"/>
  <c r="AA731" i="20"/>
  <c r="AE731" i="20"/>
  <c r="Z731" i="20"/>
  <c r="AD731" i="20"/>
  <c r="AB731" i="20"/>
  <c r="AP731" i="20"/>
  <c r="AN731" i="20"/>
  <c r="AL731" i="20"/>
  <c r="AH731" i="20"/>
  <c r="AG727" i="20"/>
  <c r="AE727" i="20"/>
  <c r="AI727" i="20"/>
  <c r="AD727" i="20"/>
  <c r="AF727" i="20"/>
  <c r="AA727" i="20"/>
  <c r="AJ727" i="20"/>
  <c r="Y727" i="20"/>
  <c r="AC727" i="20"/>
  <c r="AB727" i="20"/>
  <c r="AN727" i="20"/>
  <c r="AK727" i="20"/>
  <c r="AB723" i="20"/>
  <c r="AL723" i="20"/>
  <c r="AI723" i="20"/>
  <c r="Z723" i="20"/>
  <c r="AN723" i="20"/>
  <c r="AC723" i="20"/>
  <c r="AP723" i="20"/>
  <c r="AK723" i="20"/>
  <c r="Y723" i="20"/>
  <c r="AD716" i="20"/>
  <c r="AG716" i="20"/>
  <c r="AA716" i="20"/>
  <c r="AL716" i="20"/>
  <c r="Z716" i="20"/>
  <c r="AN716" i="20"/>
  <c r="AK716" i="20"/>
  <c r="AE716" i="20"/>
  <c r="AP716" i="20"/>
  <c r="AI716" i="20"/>
  <c r="AF716" i="20"/>
  <c r="AJ716" i="20"/>
  <c r="AH716" i="20"/>
  <c r="Y716" i="20"/>
  <c r="AB716" i="20"/>
  <c r="AE713" i="20"/>
  <c r="AK713" i="20"/>
  <c r="AN713" i="20"/>
  <c r="AJ713" i="20"/>
  <c r="AP713" i="20"/>
  <c r="AC713" i="20"/>
  <c r="Z713" i="20"/>
  <c r="AO713" i="20"/>
  <c r="AB710" i="20"/>
  <c r="AN710" i="20"/>
  <c r="AI710" i="20"/>
  <c r="AA710" i="20"/>
  <c r="AJ710" i="20"/>
  <c r="Y710" i="20"/>
  <c r="AE710" i="20"/>
  <c r="AK710" i="20"/>
  <c r="AC710" i="20"/>
  <c r="AL710" i="20"/>
  <c r="AG710" i="20"/>
  <c r="Z710" i="20"/>
  <c r="AH706" i="20"/>
  <c r="AK706" i="20"/>
  <c r="AJ706" i="20"/>
  <c r="Z706" i="20"/>
  <c r="AI706" i="20"/>
  <c r="AG706" i="20"/>
  <c r="AE706" i="20"/>
  <c r="AP706" i="20"/>
  <c r="Y706" i="20"/>
  <c r="AF706" i="20"/>
  <c r="AC706" i="20"/>
  <c r="AD706" i="20"/>
  <c r="AD703" i="20"/>
  <c r="AJ703" i="20"/>
  <c r="AB703" i="20"/>
  <c r="AF703" i="20"/>
  <c r="AK703" i="20"/>
  <c r="AC703" i="20"/>
  <c r="AL703" i="20"/>
  <c r="AI703" i="20"/>
  <c r="AA703" i="20"/>
  <c r="AP703" i="20"/>
  <c r="AH703" i="20"/>
  <c r="AG703" i="20"/>
  <c r="AN703" i="20"/>
  <c r="Z703" i="20"/>
  <c r="AO703" i="20"/>
  <c r="AP699" i="20"/>
  <c r="AN699" i="20"/>
  <c r="AL699" i="20"/>
  <c r="AC699" i="20"/>
  <c r="AJ699" i="20"/>
  <c r="AB699" i="20"/>
  <c r="AD699" i="20"/>
  <c r="AH699" i="20"/>
  <c r="AG699" i="20"/>
  <c r="Z699" i="20"/>
  <c r="AF699" i="20"/>
  <c r="AO699" i="20"/>
  <c r="AA699" i="20"/>
  <c r="AK699" i="20"/>
  <c r="AE699" i="20"/>
  <c r="AA695" i="20"/>
  <c r="AF695" i="20"/>
  <c r="AN695" i="20"/>
  <c r="Z695" i="20"/>
  <c r="AJ695" i="20"/>
  <c r="AE695" i="20"/>
  <c r="AG695" i="20"/>
  <c r="AC695" i="20"/>
  <c r="AO695" i="20"/>
  <c r="AL695" i="20"/>
  <c r="AI695" i="20"/>
  <c r="AG691" i="20"/>
  <c r="Y691" i="20"/>
  <c r="AI691" i="20"/>
  <c r="AC691" i="20"/>
  <c r="Z691" i="20"/>
  <c r="AA691" i="20"/>
  <c r="AB691" i="20"/>
  <c r="AN691" i="20"/>
  <c r="AF691" i="20"/>
  <c r="AL691" i="20"/>
  <c r="AD691" i="20"/>
  <c r="AO691" i="20"/>
  <c r="AK691" i="20"/>
  <c r="AJ691" i="20"/>
  <c r="AE691" i="20"/>
  <c r="AH691" i="20"/>
  <c r="AF687" i="20"/>
  <c r="AH687" i="20"/>
  <c r="AB687" i="20"/>
  <c r="AE687" i="20"/>
  <c r="AC687" i="20"/>
  <c r="AD687" i="20"/>
  <c r="AK687" i="20"/>
  <c r="Z687" i="20"/>
  <c r="AJ687" i="20"/>
  <c r="AG687" i="20"/>
  <c r="AA687" i="20"/>
  <c r="AC686" i="20"/>
  <c r="AD686" i="20"/>
  <c r="Z686" i="20"/>
  <c r="AF686" i="20"/>
  <c r="AH686" i="20"/>
  <c r="AK686" i="20"/>
  <c r="AA686" i="20"/>
  <c r="AL686" i="20"/>
  <c r="AN686" i="20"/>
  <c r="AJ686" i="20"/>
  <c r="Y686" i="20"/>
  <c r="AI686" i="20"/>
  <c r="AB686" i="20"/>
  <c r="AN679" i="20"/>
  <c r="AG679" i="20"/>
  <c r="AJ679" i="20"/>
  <c r="AA679" i="20"/>
  <c r="AE679" i="20"/>
  <c r="AD679" i="20"/>
  <c r="AB679" i="20"/>
  <c r="AK679" i="20"/>
  <c r="AF679" i="20"/>
  <c r="AP679" i="20"/>
  <c r="Y679" i="20"/>
  <c r="AO679" i="20"/>
  <c r="AN674" i="20"/>
  <c r="AA674" i="20"/>
  <c r="AK674" i="20"/>
  <c r="AB674" i="20"/>
  <c r="AG674" i="20"/>
  <c r="AH674" i="20"/>
  <c r="AC674" i="20"/>
  <c r="AE674" i="20"/>
  <c r="AJ674" i="20"/>
  <c r="AO674" i="20"/>
  <c r="AL674" i="20"/>
  <c r="AP674" i="20"/>
  <c r="AF674" i="20"/>
  <c r="AD674" i="20"/>
  <c r="Z674" i="20"/>
  <c r="AI671" i="20"/>
  <c r="AG671" i="20"/>
  <c r="AC671" i="20"/>
  <c r="AJ671" i="20"/>
  <c r="AL671" i="20"/>
  <c r="Z671" i="20"/>
  <c r="AF671" i="20"/>
  <c r="AH671" i="20"/>
  <c r="Y671" i="20"/>
  <c r="AB671" i="20"/>
  <c r="AA671" i="20"/>
  <c r="AP671" i="20"/>
  <c r="AG667" i="20"/>
  <c r="AC667" i="20"/>
  <c r="AL667" i="20"/>
  <c r="AI667" i="20"/>
  <c r="Z667" i="20"/>
  <c r="AD667" i="20"/>
  <c r="AF667" i="20"/>
  <c r="AK667" i="20"/>
  <c r="AN667" i="20"/>
  <c r="AE667" i="20"/>
  <c r="AA667" i="20"/>
  <c r="Y667" i="20"/>
  <c r="AH667" i="20"/>
  <c r="AB667" i="20"/>
  <c r="AP667" i="20"/>
  <c r="AG663" i="20"/>
  <c r="AC663" i="20"/>
  <c r="AN663" i="20"/>
  <c r="AL663" i="20"/>
  <c r="AE663" i="20"/>
  <c r="Y663" i="20"/>
  <c r="AA663" i="20"/>
  <c r="AO663" i="20"/>
  <c r="AB663" i="20"/>
  <c r="AF663" i="20"/>
  <c r="AI663" i="20"/>
  <c r="AJ663" i="20"/>
  <c r="AP659" i="20"/>
  <c r="AD659" i="20"/>
  <c r="AE659" i="20"/>
  <c r="AK659" i="20"/>
  <c r="AI659" i="20"/>
  <c r="AJ659" i="20"/>
  <c r="AG659" i="20"/>
  <c r="AN659" i="20"/>
  <c r="Y659" i="20"/>
  <c r="Z659" i="20"/>
  <c r="AL659" i="20"/>
  <c r="AH659" i="20"/>
  <c r="AB659" i="20"/>
  <c r="AA659" i="20"/>
  <c r="AF659" i="20"/>
  <c r="AO659" i="20"/>
  <c r="AB656" i="20"/>
  <c r="AE656" i="20"/>
  <c r="AK656" i="20"/>
  <c r="AD656" i="20"/>
  <c r="AC656" i="20"/>
  <c r="AN656" i="20"/>
  <c r="AH656" i="20"/>
  <c r="AJ656" i="20"/>
  <c r="AO656" i="20"/>
  <c r="Z656" i="20"/>
  <c r="AF652" i="20"/>
  <c r="AC652" i="20"/>
  <c r="AD652" i="20"/>
  <c r="AH652" i="20"/>
  <c r="AJ652" i="20"/>
  <c r="AK652" i="20"/>
  <c r="Y652" i="20"/>
  <c r="AI652" i="20"/>
  <c r="AO652" i="20"/>
  <c r="Z652" i="20"/>
  <c r="AL652" i="20"/>
  <c r="AN652" i="20"/>
  <c r="AE652" i="20"/>
  <c r="AE647" i="20"/>
  <c r="Z647" i="20"/>
  <c r="AG647" i="20"/>
  <c r="AI647" i="20"/>
  <c r="AL647" i="20"/>
  <c r="AD647" i="20"/>
  <c r="AA647" i="20"/>
  <c r="AO647" i="20"/>
  <c r="AH647" i="20"/>
  <c r="AJ647" i="20"/>
  <c r="AC647" i="20"/>
  <c r="AB647" i="20"/>
  <c r="Y647" i="20"/>
  <c r="AH646" i="20"/>
  <c r="AB646" i="20"/>
  <c r="AI646" i="20"/>
  <c r="AD646" i="20"/>
  <c r="AE646" i="20"/>
  <c r="AN646" i="20"/>
  <c r="AL646" i="20"/>
  <c r="AF646" i="20"/>
  <c r="AK646" i="20"/>
  <c r="AC646" i="20"/>
  <c r="AP646" i="20"/>
  <c r="AJ646" i="20"/>
  <c r="Y646" i="20"/>
  <c r="AA646" i="20"/>
  <c r="AG646" i="20"/>
  <c r="Z639" i="20"/>
  <c r="AD639" i="20"/>
  <c r="AL639" i="20"/>
  <c r="AH639" i="20"/>
  <c r="AA639" i="20"/>
  <c r="AF639" i="20"/>
  <c r="AB639" i="20"/>
  <c r="AN639" i="20"/>
  <c r="AE639" i="20"/>
  <c r="AJ639" i="20"/>
  <c r="AI639" i="20"/>
  <c r="AC639" i="20"/>
  <c r="Y639" i="20"/>
  <c r="AN637" i="20"/>
  <c r="AI637" i="20"/>
  <c r="AH637" i="20"/>
  <c r="AL637" i="20"/>
  <c r="AD637" i="20"/>
  <c r="AE637" i="20"/>
  <c r="AK637" i="20"/>
  <c r="AF637" i="20"/>
  <c r="AO637" i="20"/>
  <c r="Y637" i="20"/>
  <c r="Z637" i="20"/>
  <c r="Z633" i="20"/>
  <c r="AI633" i="20"/>
  <c r="Y633" i="20"/>
  <c r="AK633" i="20"/>
  <c r="AG633" i="20"/>
  <c r="AE633" i="20"/>
  <c r="AA633" i="20"/>
  <c r="AN633" i="20"/>
  <c r="AD633" i="20"/>
  <c r="AO633" i="20"/>
  <c r="AF633" i="20"/>
  <c r="AH633" i="20"/>
  <c r="AB633" i="20"/>
  <c r="AL633" i="20"/>
  <c r="AN623" i="20"/>
  <c r="AH623" i="20"/>
  <c r="Y623" i="20"/>
  <c r="AE623" i="20"/>
  <c r="AA623" i="20"/>
  <c r="AG623" i="20"/>
  <c r="AC623" i="20"/>
  <c r="AP623" i="20"/>
  <c r="AI623" i="20"/>
  <c r="Z623" i="20"/>
  <c r="AF619" i="20"/>
  <c r="AC619" i="20"/>
  <c r="AL619" i="20"/>
  <c r="Y619" i="20"/>
  <c r="AP619" i="20"/>
  <c r="AA619" i="20"/>
  <c r="AE615" i="20"/>
  <c r="AB615" i="20"/>
  <c r="Y615" i="20"/>
  <c r="Z615" i="20"/>
  <c r="AL615" i="20"/>
  <c r="AH615" i="20"/>
  <c r="AN615" i="20"/>
  <c r="AP615" i="20"/>
  <c r="AK615" i="20"/>
  <c r="AA615" i="20"/>
  <c r="AP609" i="20"/>
  <c r="Z609" i="20"/>
  <c r="AA609" i="20"/>
  <c r="AC609" i="20"/>
  <c r="AN609" i="20"/>
  <c r="AB609" i="20"/>
  <c r="AD609" i="20"/>
  <c r="AJ609" i="20"/>
  <c r="AF609" i="20"/>
  <c r="AH609" i="20"/>
  <c r="AE609" i="20"/>
  <c r="AK609" i="20"/>
  <c r="Y609" i="20"/>
  <c r="AG605" i="20"/>
  <c r="AJ605" i="20"/>
  <c r="AB605" i="20"/>
  <c r="Y605" i="20"/>
  <c r="AD605" i="20"/>
  <c r="AI605" i="20"/>
  <c r="AP605" i="20"/>
  <c r="AC605" i="20"/>
  <c r="AN605" i="20"/>
  <c r="AE605" i="20"/>
  <c r="AH605" i="20"/>
  <c r="Z605" i="20"/>
  <c r="Y603" i="20"/>
  <c r="AC603" i="20"/>
  <c r="AH603" i="20"/>
  <c r="AJ603" i="20"/>
  <c r="AI603" i="20"/>
  <c r="AN603" i="20"/>
  <c r="AK603" i="20"/>
  <c r="AA603" i="20"/>
  <c r="AG603" i="20"/>
  <c r="Z603" i="20"/>
  <c r="AL603" i="20"/>
  <c r="AB603" i="20"/>
  <c r="AD603" i="20"/>
  <c r="AE603" i="20"/>
  <c r="AL599" i="20"/>
  <c r="Y599" i="20"/>
  <c r="AA599" i="20"/>
  <c r="AG599" i="20"/>
  <c r="AJ599" i="20"/>
  <c r="AH599" i="20"/>
  <c r="AN599" i="20"/>
  <c r="AD599" i="20"/>
  <c r="AK599" i="20"/>
  <c r="AI599" i="20"/>
  <c r="AG595" i="20"/>
  <c r="AB595" i="20"/>
  <c r="AF595" i="20"/>
  <c r="AJ595" i="20"/>
  <c r="AE595" i="20"/>
  <c r="AK595" i="20"/>
  <c r="AA595" i="20"/>
  <c r="AC595" i="20"/>
  <c r="Z595" i="20"/>
  <c r="AH595" i="20"/>
  <c r="AL595" i="20"/>
  <c r="AD595" i="20"/>
  <c r="Y595" i="20"/>
  <c r="AI595" i="20"/>
  <c r="AO595" i="20"/>
  <c r="AJ592" i="20"/>
  <c r="Y592" i="20"/>
  <c r="AF592" i="20"/>
  <c r="AC592" i="20"/>
  <c r="AH592" i="20"/>
  <c r="AL592" i="20"/>
  <c r="AI592" i="20"/>
  <c r="AA592" i="20"/>
  <c r="AE592" i="20"/>
  <c r="Z592" i="20"/>
  <c r="AJ587" i="20"/>
  <c r="Y587" i="20"/>
  <c r="AH587" i="20"/>
  <c r="AN587" i="20"/>
  <c r="AL587" i="20"/>
  <c r="AK587" i="20"/>
  <c r="AB587" i="20"/>
  <c r="AA587" i="20"/>
  <c r="AI587" i="20"/>
  <c r="AP587" i="20"/>
  <c r="AD587" i="20"/>
  <c r="AO587" i="20"/>
  <c r="AF587" i="20"/>
  <c r="AE587" i="20"/>
  <c r="AC587" i="20"/>
  <c r="AJ580" i="20"/>
  <c r="AC580" i="20"/>
  <c r="AB580" i="20"/>
  <c r="AN580" i="20"/>
  <c r="AA580" i="20"/>
  <c r="AL580" i="20"/>
  <c r="AG580" i="20"/>
  <c r="AE580" i="20"/>
  <c r="AO580" i="20"/>
  <c r="AH580" i="20"/>
  <c r="AD580" i="20"/>
  <c r="AK580" i="20"/>
  <c r="Z580" i="20"/>
  <c r="AP580" i="20"/>
  <c r="AL582" i="20"/>
  <c r="AG582" i="20"/>
  <c r="Z582" i="20"/>
  <c r="AF582" i="20"/>
  <c r="AK582" i="20"/>
  <c r="AD582" i="20"/>
  <c r="Y582" i="20"/>
  <c r="AN582" i="20"/>
  <c r="AI582" i="20"/>
  <c r="AA582" i="20"/>
  <c r="AE582" i="20"/>
  <c r="AO582" i="20"/>
  <c r="AH582" i="20"/>
  <c r="AB582" i="20"/>
  <c r="AI575" i="20"/>
  <c r="AC575" i="20"/>
  <c r="AE575" i="20"/>
  <c r="AH575" i="20"/>
  <c r="AL575" i="20"/>
  <c r="AF575" i="20"/>
  <c r="AN575" i="20"/>
  <c r="AO575" i="20"/>
  <c r="AK575" i="20"/>
  <c r="AP575" i="20"/>
  <c r="AD575" i="20"/>
  <c r="AD571" i="20"/>
  <c r="AB571" i="20"/>
  <c r="Z571" i="20"/>
  <c r="AG571" i="20"/>
  <c r="AL571" i="20"/>
  <c r="AN571" i="20"/>
  <c r="AA571" i="20"/>
  <c r="AC571" i="20"/>
  <c r="AF571" i="20"/>
  <c r="AP571" i="20"/>
  <c r="AH571" i="20"/>
  <c r="AK571" i="20"/>
  <c r="AE571" i="20"/>
  <c r="Y571" i="20"/>
  <c r="AJ571" i="20"/>
  <c r="AI571" i="20"/>
  <c r="AC568" i="20"/>
  <c r="AJ568" i="20"/>
  <c r="AF568" i="20"/>
  <c r="AI568" i="20"/>
  <c r="Y568" i="20"/>
  <c r="AA568" i="20"/>
  <c r="AG568" i="20"/>
  <c r="Z568" i="20"/>
  <c r="AH568" i="20"/>
  <c r="AN568" i="20"/>
  <c r="AK568" i="20"/>
  <c r="AB568" i="20"/>
  <c r="AN628" i="20"/>
  <c r="AF628" i="20"/>
  <c r="AB628" i="20"/>
  <c r="Z628" i="20"/>
  <c r="AC628" i="20"/>
  <c r="AH628" i="20"/>
  <c r="AK628" i="20"/>
  <c r="AA628" i="20"/>
  <c r="AL628" i="20"/>
  <c r="AE628" i="20"/>
  <c r="AJ628" i="20"/>
  <c r="Y628" i="20"/>
  <c r="AN563" i="20"/>
  <c r="AG563" i="20"/>
  <c r="AJ563" i="20"/>
  <c r="AK563" i="20"/>
  <c r="AA563" i="20"/>
  <c r="AE563" i="20"/>
  <c r="AB563" i="20"/>
  <c r="AC563" i="20"/>
  <c r="AL563" i="20"/>
  <c r="Y563" i="20"/>
  <c r="AI563" i="20"/>
  <c r="AB559" i="20"/>
  <c r="AD559" i="20"/>
  <c r="AG559" i="20"/>
  <c r="AA559" i="20"/>
  <c r="Y559" i="20"/>
  <c r="AC559" i="20"/>
  <c r="AF559" i="20"/>
  <c r="AL559" i="20"/>
  <c r="Z559" i="20"/>
  <c r="AH559" i="20"/>
  <c r="AO559" i="20"/>
  <c r="AN559" i="20"/>
  <c r="AK559" i="20"/>
  <c r="AP559" i="20"/>
  <c r="AJ559" i="20"/>
  <c r="Z555" i="20"/>
  <c r="AF555" i="20"/>
  <c r="Y555" i="20"/>
  <c r="AB555" i="20"/>
  <c r="AC555" i="20"/>
  <c r="AG555" i="20"/>
  <c r="AL555" i="20"/>
  <c r="AD555" i="20"/>
  <c r="AE555" i="20"/>
  <c r="AO555" i="20"/>
  <c r="AK555" i="20"/>
  <c r="AH551" i="20"/>
  <c r="AL551" i="20"/>
  <c r="Y551" i="20"/>
  <c r="AJ551" i="20"/>
  <c r="AB551" i="20"/>
  <c r="AK551" i="20"/>
  <c r="AI551" i="20"/>
  <c r="AC551" i="20"/>
  <c r="Z551" i="20"/>
  <c r="AO551" i="20"/>
  <c r="AD551" i="20"/>
  <c r="AN551" i="20"/>
  <c r="AF551" i="20"/>
  <c r="AA551" i="20"/>
  <c r="AG551" i="20"/>
  <c r="AI547" i="20"/>
  <c r="AF547" i="20"/>
  <c r="Z547" i="20"/>
  <c r="AH547" i="20"/>
  <c r="AE547" i="20"/>
  <c r="Y547" i="20"/>
  <c r="AL547" i="20"/>
  <c r="AA547" i="20"/>
  <c r="AB547" i="20"/>
  <c r="AD547" i="20"/>
  <c r="AC547" i="20"/>
  <c r="AN547" i="20"/>
  <c r="AJ547" i="20"/>
  <c r="AG547" i="20"/>
  <c r="AJ543" i="20"/>
  <c r="AH543" i="20"/>
  <c r="AB543" i="20"/>
  <c r="AF543" i="20"/>
  <c r="AN543" i="20"/>
  <c r="AG543" i="20"/>
  <c r="AA543" i="20"/>
  <c r="AL543" i="20"/>
  <c r="AC543" i="20"/>
  <c r="AD543" i="20"/>
  <c r="AI543" i="20"/>
  <c r="AO543" i="20"/>
  <c r="AJ539" i="20"/>
  <c r="AA539" i="20"/>
  <c r="Y539" i="20"/>
  <c r="AK539" i="20"/>
  <c r="AN539" i="20"/>
  <c r="AL539" i="20"/>
  <c r="AB539" i="20"/>
  <c r="AC539" i="20"/>
  <c r="AH539" i="20"/>
  <c r="AG539" i="20"/>
  <c r="AI539" i="20"/>
  <c r="AP539" i="20"/>
  <c r="AE539" i="20"/>
  <c r="AD539" i="20"/>
  <c r="Z535" i="20"/>
  <c r="AB535" i="20"/>
  <c r="AH535" i="20"/>
  <c r="AA535" i="20"/>
  <c r="Y535" i="20"/>
  <c r="AF535" i="20"/>
  <c r="AE535" i="20"/>
  <c r="AJ535" i="20"/>
  <c r="H26" i="86" s="1"/>
  <c r="K26" i="86" s="1"/>
  <c r="AP535" i="20"/>
  <c r="AC535" i="20"/>
  <c r="AK535" i="20"/>
  <c r="I26" i="86" s="1"/>
  <c r="AL535" i="20"/>
  <c r="Z532" i="20"/>
  <c r="AN532" i="20"/>
  <c r="AD532" i="20"/>
  <c r="AG532" i="20"/>
  <c r="AA532" i="20"/>
  <c r="AK532" i="20"/>
  <c r="AI532" i="20"/>
  <c r="AJ532" i="20"/>
  <c r="AO532" i="20"/>
  <c r="AC532" i="20"/>
  <c r="AF532" i="20"/>
  <c r="AB532" i="20"/>
  <c r="AE532" i="20"/>
  <c r="AB527" i="20"/>
  <c r="AL527" i="20"/>
  <c r="AC527" i="20"/>
  <c r="Y527" i="20"/>
  <c r="AI527" i="20"/>
  <c r="AJ527" i="20"/>
  <c r="AE527" i="20"/>
  <c r="AD527" i="20"/>
  <c r="Z527" i="20"/>
  <c r="AN523" i="20"/>
  <c r="AI523" i="20"/>
  <c r="AH523" i="20"/>
  <c r="AE523" i="20"/>
  <c r="AC523" i="20"/>
  <c r="Y523" i="20"/>
  <c r="AF523" i="20"/>
  <c r="AO523" i="20"/>
  <c r="AG523" i="20"/>
  <c r="AB523" i="20"/>
  <c r="AL523" i="20"/>
  <c r="AD523" i="20"/>
  <c r="Z523" i="20"/>
  <c r="AP523" i="20"/>
  <c r="AO519" i="20"/>
  <c r="AA519" i="20"/>
  <c r="AN519" i="20"/>
  <c r="AB519" i="20"/>
  <c r="Y519" i="20"/>
  <c r="AK519" i="20"/>
  <c r="AD519" i="20"/>
  <c r="AJ519" i="20"/>
  <c r="AH519" i="20"/>
  <c r="AE519" i="20"/>
  <c r="Z519" i="20"/>
  <c r="AP519" i="20"/>
  <c r="AC519" i="20"/>
  <c r="AL519" i="20"/>
  <c r="AF519" i="20"/>
  <c r="AI519" i="20"/>
  <c r="AG519" i="20"/>
  <c r="Z514" i="20"/>
  <c r="AL514" i="20"/>
  <c r="AC514" i="20"/>
  <c r="Y514" i="20"/>
  <c r="AB514" i="20"/>
  <c r="AG514" i="20"/>
  <c r="AE514" i="20"/>
  <c r="AO514" i="20"/>
  <c r="AA514" i="20"/>
  <c r="AI514" i="20"/>
  <c r="AP514" i="20"/>
  <c r="AC511" i="20"/>
  <c r="AA511" i="20"/>
  <c r="AD511" i="20"/>
  <c r="AN511" i="20"/>
  <c r="AJ511" i="20"/>
  <c r="AG511" i="20"/>
  <c r="AL511" i="20"/>
  <c r="Z511" i="20"/>
  <c r="AE511" i="20"/>
  <c r="AB511" i="20"/>
  <c r="AK511" i="20"/>
  <c r="AI511" i="20"/>
  <c r="AH511" i="20"/>
  <c r="Z507" i="20"/>
  <c r="AA507" i="20"/>
  <c r="AJ507" i="20"/>
  <c r="AN507" i="20"/>
  <c r="AK507" i="20"/>
  <c r="AD507" i="20"/>
  <c r="AL507" i="20"/>
  <c r="AE507" i="20"/>
  <c r="AO507" i="20"/>
  <c r="AI507" i="20"/>
  <c r="AP507" i="20"/>
  <c r="AH507" i="20"/>
  <c r="AG507" i="20"/>
  <c r="AK503" i="20"/>
  <c r="AB503" i="20"/>
  <c r="AA503" i="20"/>
  <c r="AH503" i="20"/>
  <c r="AI503" i="20"/>
  <c r="AF503" i="20"/>
  <c r="AG503" i="20"/>
  <c r="AC503" i="20"/>
  <c r="AE503" i="20"/>
  <c r="AO503" i="20"/>
  <c r="AN503" i="20"/>
  <c r="AD503" i="20"/>
  <c r="AP503" i="20"/>
  <c r="AL503" i="20"/>
  <c r="Z503" i="20"/>
  <c r="AB499" i="20"/>
  <c r="AL499" i="20"/>
  <c r="AE499" i="20"/>
  <c r="AJ499" i="20"/>
  <c r="Y499" i="20"/>
  <c r="AI499" i="20"/>
  <c r="AA499" i="20"/>
  <c r="AC499" i="20"/>
  <c r="AP499" i="20"/>
  <c r="AH499" i="20"/>
  <c r="AD499" i="20"/>
  <c r="AO495" i="20"/>
  <c r="AK495" i="20"/>
  <c r="Z495" i="20"/>
  <c r="AL495" i="20"/>
  <c r="AD495" i="20"/>
  <c r="AE495" i="20"/>
  <c r="AB495" i="20"/>
  <c r="AG495" i="20"/>
  <c r="AA495" i="20"/>
  <c r="AC495" i="20"/>
  <c r="AP495" i="20"/>
  <c r="Y495" i="20"/>
  <c r="AJ495" i="20"/>
  <c r="AH495" i="20"/>
  <c r="AI495" i="20"/>
  <c r="AN495" i="20"/>
  <c r="Y491" i="20"/>
  <c r="AC491" i="20"/>
  <c r="AA491" i="20"/>
  <c r="AD491" i="20"/>
  <c r="AB491" i="20"/>
  <c r="AE491" i="20"/>
  <c r="AG491" i="20"/>
  <c r="Z491" i="20"/>
  <c r="AL491" i="20"/>
  <c r="AH491" i="20"/>
  <c r="AP491" i="20"/>
  <c r="AE485" i="20"/>
  <c r="AD485" i="20"/>
  <c r="AB485" i="20"/>
  <c r="AF485" i="20"/>
  <c r="AI485" i="20"/>
  <c r="AN485" i="20"/>
  <c r="Y485" i="20"/>
  <c r="AP485" i="20"/>
  <c r="Z482" i="20"/>
  <c r="AK482" i="20"/>
  <c r="AG482" i="20"/>
  <c r="AP482" i="20"/>
  <c r="AF479" i="20"/>
  <c r="AG479" i="20"/>
  <c r="Y479" i="20"/>
  <c r="AD479" i="20"/>
  <c r="AH479" i="20"/>
  <c r="AP479" i="20"/>
  <c r="AE479" i="20"/>
  <c r="AO479" i="20"/>
  <c r="AI479" i="20"/>
  <c r="AK479" i="20"/>
  <c r="AJ479" i="20"/>
  <c r="Y474" i="20"/>
  <c r="AH474" i="20"/>
  <c r="AB474" i="20"/>
  <c r="AJ474" i="20"/>
  <c r="AL474" i="20"/>
  <c r="AG474" i="20"/>
  <c r="AA471" i="20"/>
  <c r="AI471" i="20"/>
  <c r="AL471" i="20"/>
  <c r="Z471" i="20"/>
  <c r="AP471" i="20"/>
  <c r="AH471" i="20"/>
  <c r="AO471" i="20"/>
  <c r="Z464" i="20"/>
  <c r="AG464" i="20"/>
  <c r="AL464" i="20"/>
  <c r="AI464" i="20"/>
  <c r="AK464" i="20"/>
  <c r="AL463" i="20"/>
  <c r="AF463" i="20"/>
  <c r="AG463" i="20"/>
  <c r="AD463" i="20"/>
  <c r="Z463" i="20"/>
  <c r="AN463" i="20"/>
  <c r="Y463" i="20"/>
  <c r="AC463" i="20"/>
  <c r="AJ463" i="20"/>
  <c r="AO463" i="20"/>
  <c r="AA458" i="20"/>
  <c r="AF458" i="20"/>
  <c r="AL458" i="20"/>
  <c r="AG458" i="20"/>
  <c r="AD458" i="20"/>
  <c r="AC458" i="20"/>
  <c r="Z458" i="20"/>
  <c r="AP458" i="20"/>
  <c r="AE458" i="20"/>
  <c r="AO455" i="20"/>
  <c r="AB455" i="20"/>
  <c r="AC455" i="20"/>
  <c r="AH455" i="20"/>
  <c r="AN455" i="20"/>
  <c r="AG455" i="20"/>
  <c r="AF455" i="20"/>
  <c r="AK455" i="20"/>
  <c r="AD455" i="20"/>
  <c r="Z455" i="20"/>
  <c r="AL455" i="20"/>
  <c r="AP455" i="20"/>
  <c r="AA455" i="20"/>
  <c r="AE455" i="20"/>
  <c r="AA451" i="20"/>
  <c r="AG451" i="20"/>
  <c r="AF451" i="20"/>
  <c r="AB451" i="20"/>
  <c r="Y451" i="20"/>
  <c r="AL451" i="20"/>
  <c r="AH451" i="20"/>
  <c r="AN451" i="20"/>
  <c r="AO451" i="20"/>
  <c r="AE451" i="20"/>
  <c r="AK451" i="20"/>
  <c r="AC451" i="20"/>
  <c r="AJ451" i="20"/>
  <c r="AK447" i="20"/>
  <c r="AE447" i="20"/>
  <c r="AC447" i="20"/>
  <c r="AF447" i="20"/>
  <c r="Y447" i="20"/>
  <c r="AD447" i="20"/>
  <c r="AL447" i="20"/>
  <c r="Z447" i="20"/>
  <c r="AG447" i="20"/>
  <c r="AP447" i="20"/>
  <c r="AJ447" i="20"/>
  <c r="AH447" i="20"/>
  <c r="AA447" i="20"/>
  <c r="AN447" i="20"/>
  <c r="Z445" i="20"/>
  <c r="AI445" i="20"/>
  <c r="AE445" i="20"/>
  <c r="AL445" i="20"/>
  <c r="AJ445" i="20"/>
  <c r="AD445" i="20"/>
  <c r="AN445" i="20"/>
  <c r="AA445" i="20"/>
  <c r="AG445" i="20"/>
  <c r="AO445" i="20"/>
  <c r="Y445" i="20"/>
  <c r="AN439" i="20"/>
  <c r="AB439" i="20"/>
  <c r="AA439" i="20"/>
  <c r="AK439" i="20"/>
  <c r="AH439" i="20"/>
  <c r="AI439" i="20"/>
  <c r="Z439" i="20"/>
  <c r="AE439" i="20"/>
  <c r="AL439" i="20"/>
  <c r="AP439" i="20"/>
  <c r="AJ439" i="20"/>
  <c r="AC439" i="20"/>
  <c r="AD439" i="20"/>
  <c r="Y439" i="20"/>
  <c r="AF439" i="20"/>
  <c r="AO439" i="20"/>
  <c r="Z435" i="20"/>
  <c r="AK435" i="20"/>
  <c r="AE435" i="20"/>
  <c r="AH435" i="20"/>
  <c r="AF435" i="20"/>
  <c r="AN435" i="20"/>
  <c r="AC435" i="20"/>
  <c r="AJ435" i="20"/>
  <c r="AP435" i="20"/>
  <c r="Y435" i="20"/>
  <c r="AK431" i="20"/>
  <c r="AH431" i="20"/>
  <c r="AN431" i="20"/>
  <c r="Y431" i="20"/>
  <c r="AD431" i="20"/>
  <c r="AG431" i="20"/>
  <c r="Z431" i="20"/>
  <c r="AE431" i="20"/>
  <c r="AI431" i="20"/>
  <c r="AJ431" i="20"/>
  <c r="AA431" i="20"/>
  <c r="AF431" i="20"/>
  <c r="AL431" i="20"/>
  <c r="AB427" i="20"/>
  <c r="AD427" i="20"/>
  <c r="AG427" i="20"/>
  <c r="Z427" i="20"/>
  <c r="AA427" i="20"/>
  <c r="AF427" i="20"/>
  <c r="AO427" i="20"/>
  <c r="AN427" i="20"/>
  <c r="AP427" i="20"/>
  <c r="AK427" i="20"/>
  <c r="AC427" i="20"/>
  <c r="Y427" i="20"/>
  <c r="AL423" i="20"/>
  <c r="AN423" i="20"/>
  <c r="AG423" i="20"/>
  <c r="Y423" i="20"/>
  <c r="AJ423" i="20"/>
  <c r="AD423" i="20"/>
  <c r="Z423" i="20"/>
  <c r="AE423" i="20"/>
  <c r="AB423" i="20"/>
  <c r="AI423" i="20"/>
  <c r="AF423" i="20"/>
  <c r="AK423" i="20"/>
  <c r="AA423" i="20"/>
  <c r="AP423" i="20"/>
  <c r="AC420" i="20"/>
  <c r="AI420" i="20"/>
  <c r="AG420" i="20"/>
  <c r="AA420" i="20"/>
  <c r="AL420" i="20"/>
  <c r="AD420" i="20"/>
  <c r="AE420" i="20"/>
  <c r="AJ420" i="20"/>
  <c r="AF420" i="20"/>
  <c r="AK420" i="20"/>
  <c r="AF416" i="20"/>
  <c r="AC416" i="20"/>
  <c r="Y416" i="20"/>
  <c r="AK416" i="20"/>
  <c r="AL416" i="20"/>
  <c r="AB416" i="20"/>
  <c r="AI416" i="20"/>
  <c r="AN416" i="20"/>
  <c r="AE416" i="20"/>
  <c r="AG416" i="20"/>
  <c r="AH416" i="20"/>
  <c r="AE412" i="20"/>
  <c r="AK412" i="20"/>
  <c r="AL412" i="20"/>
  <c r="AN412" i="20"/>
  <c r="AD412" i="20"/>
  <c r="AG412" i="20"/>
  <c r="AA412" i="20"/>
  <c r="AJ412" i="20"/>
  <c r="AF412" i="20"/>
  <c r="Z412" i="20"/>
  <c r="AH412" i="20"/>
  <c r="AC412" i="20"/>
  <c r="AO408" i="20"/>
  <c r="AP408" i="20"/>
  <c r="AN408" i="20"/>
  <c r="AD408" i="20"/>
  <c r="AK408" i="20"/>
  <c r="AL408" i="20"/>
  <c r="AC408" i="20"/>
  <c r="AB408" i="20"/>
  <c r="Y408" i="20"/>
  <c r="AE408" i="20"/>
  <c r="AG408" i="20"/>
  <c r="AF408" i="20"/>
  <c r="Z408" i="20"/>
  <c r="AN404" i="20"/>
  <c r="AA404" i="20"/>
  <c r="AG404" i="20"/>
  <c r="AF404" i="20"/>
  <c r="AE404" i="20"/>
  <c r="AC404" i="20"/>
  <c r="Y404" i="20"/>
  <c r="AD404" i="20"/>
  <c r="Z404" i="20"/>
  <c r="AL404" i="20"/>
  <c r="AI404" i="20"/>
  <c r="AO400" i="20"/>
  <c r="AP400" i="20"/>
  <c r="AE400" i="20"/>
  <c r="AI400" i="20"/>
  <c r="AC400" i="20"/>
  <c r="AB400" i="20"/>
  <c r="AN400" i="20"/>
  <c r="AD400" i="20"/>
  <c r="AG400" i="20"/>
  <c r="AF400" i="20"/>
  <c r="Y400" i="20"/>
  <c r="Z400" i="20"/>
  <c r="AH400" i="20"/>
  <c r="AI395" i="20"/>
  <c r="AN395" i="20"/>
  <c r="AE395" i="20"/>
  <c r="AB395" i="20"/>
  <c r="AG395" i="20"/>
  <c r="AJ395" i="20"/>
  <c r="Z395" i="20"/>
  <c r="AH395" i="20"/>
  <c r="AF395" i="20"/>
  <c r="AC395" i="20"/>
  <c r="Y395" i="20"/>
  <c r="AD395" i="20"/>
  <c r="AN392" i="20"/>
  <c r="AA392" i="20"/>
  <c r="AL392" i="20"/>
  <c r="AJ392" i="20"/>
  <c r="AF392" i="20"/>
  <c r="AB392" i="20"/>
  <c r="AH392" i="20"/>
  <c r="AD392" i="20"/>
  <c r="AG392" i="20"/>
  <c r="Y392" i="20"/>
  <c r="AI392" i="20"/>
  <c r="AJ388" i="20"/>
  <c r="AK388" i="20"/>
  <c r="AB388" i="20"/>
  <c r="AI388" i="20"/>
  <c r="AA388" i="20"/>
  <c r="AG388" i="20"/>
  <c r="AC388" i="20"/>
  <c r="AL388" i="20"/>
  <c r="AF388" i="20"/>
  <c r="Z388" i="20"/>
  <c r="AH388" i="20"/>
  <c r="Y388" i="20"/>
  <c r="AN384" i="20"/>
  <c r="AC384" i="20"/>
  <c r="AB384" i="20"/>
  <c r="AE384" i="20"/>
  <c r="AI384" i="20"/>
  <c r="AF384" i="20"/>
  <c r="AH384" i="20"/>
  <c r="AK384" i="20"/>
  <c r="AD384" i="20"/>
  <c r="AJ384" i="20"/>
  <c r="Z384" i="20"/>
  <c r="AN380" i="20"/>
  <c r="AJ380" i="20"/>
  <c r="AE380" i="20"/>
  <c r="AL380" i="20"/>
  <c r="AH380" i="20"/>
  <c r="AG380" i="20"/>
  <c r="Z380" i="20"/>
  <c r="AI380" i="20"/>
  <c r="AB380" i="20"/>
  <c r="AD380" i="20"/>
  <c r="AF380" i="20"/>
  <c r="AK380" i="20"/>
  <c r="AP376" i="20"/>
  <c r="AO376" i="20"/>
  <c r="AA376" i="20"/>
  <c r="AJ376" i="20"/>
  <c r="AF376" i="20"/>
  <c r="AE376" i="20"/>
  <c r="AH376" i="20"/>
  <c r="AL376" i="20"/>
  <c r="AC376" i="20"/>
  <c r="AN376" i="20"/>
  <c r="AD376" i="20"/>
  <c r="AB376" i="20"/>
  <c r="AK376" i="20"/>
  <c r="AP372" i="20"/>
  <c r="AN372" i="20"/>
  <c r="Y372" i="20"/>
  <c r="AC372" i="20"/>
  <c r="AE372" i="20"/>
  <c r="AK372" i="20"/>
  <c r="AI372" i="20"/>
  <c r="AH372" i="20"/>
  <c r="AA372" i="20"/>
  <c r="AD372" i="20"/>
  <c r="AJ372" i="20"/>
  <c r="AF372" i="20"/>
  <c r="AB372" i="20"/>
  <c r="AF368" i="20"/>
  <c r="AG368" i="20"/>
  <c r="AE368" i="20"/>
  <c r="AD368" i="20"/>
  <c r="AI368" i="20"/>
  <c r="AC368" i="20"/>
  <c r="AJ368" i="20"/>
  <c r="AN368" i="20"/>
  <c r="Z368" i="20"/>
  <c r="AG348" i="20"/>
  <c r="AH348" i="20"/>
  <c r="AF348" i="20"/>
  <c r="Y348" i="20"/>
  <c r="AK348" i="20"/>
  <c r="AB348" i="20"/>
  <c r="AN348" i="20"/>
  <c r="AD348" i="20"/>
  <c r="AA348" i="20"/>
  <c r="AL348" i="20"/>
  <c r="AJ348" i="20"/>
  <c r="AN361" i="20"/>
  <c r="AC361" i="20"/>
  <c r="AL361" i="20"/>
  <c r="AF361" i="20"/>
  <c r="AE361" i="20"/>
  <c r="AG361" i="20"/>
  <c r="AA361" i="20"/>
  <c r="AH361" i="20"/>
  <c r="AI361" i="20"/>
  <c r="AJ361" i="20"/>
  <c r="AD361" i="20"/>
  <c r="AF357" i="20"/>
  <c r="AN357" i="20"/>
  <c r="AE357" i="20"/>
  <c r="AD357" i="20"/>
  <c r="AJ357" i="20"/>
  <c r="AL357" i="20"/>
  <c r="AK357" i="20"/>
  <c r="AB357" i="20"/>
  <c r="AA357" i="20"/>
  <c r="AH357" i="20"/>
  <c r="Z357" i="20"/>
  <c r="AI357" i="20"/>
  <c r="AC357" i="20"/>
  <c r="AO349" i="20"/>
  <c r="AP349" i="20"/>
  <c r="AG349" i="20"/>
  <c r="AA349" i="20"/>
  <c r="AL349" i="20"/>
  <c r="AJ349" i="20"/>
  <c r="Y349" i="20"/>
  <c r="AK349" i="20"/>
  <c r="AF349" i="20"/>
  <c r="AN349" i="20"/>
  <c r="AC349" i="20"/>
  <c r="AE349" i="20"/>
  <c r="Z349" i="20"/>
  <c r="AI349" i="20"/>
  <c r="AA154" i="20"/>
  <c r="AE154" i="20"/>
  <c r="Y135" i="20"/>
  <c r="AD135" i="20"/>
  <c r="AB135" i="20"/>
  <c r="AA945" i="20"/>
  <c r="Z945" i="20"/>
  <c r="AN200" i="20"/>
  <c r="Y200" i="20"/>
  <c r="AN107" i="20"/>
  <c r="Z107" i="20"/>
  <c r="AF45" i="20"/>
  <c r="AI45" i="20"/>
  <c r="AG45" i="20"/>
  <c r="AL45" i="20"/>
  <c r="AJ45" i="20"/>
  <c r="AO45" i="20"/>
  <c r="AK47" i="20"/>
  <c r="AJ47" i="20"/>
  <c r="AG47" i="20"/>
  <c r="AH47" i="20"/>
  <c r="AA38" i="20"/>
  <c r="AH38" i="20"/>
  <c r="AB38" i="20"/>
  <c r="AA34" i="20"/>
  <c r="AO34" i="20"/>
  <c r="AB34" i="20"/>
  <c r="AI34" i="20"/>
  <c r="AH44" i="20"/>
  <c r="AD44" i="20"/>
  <c r="AP44" i="20"/>
  <c r="AA44" i="20"/>
  <c r="Z44" i="20"/>
  <c r="AG44" i="20"/>
  <c r="Z99" i="20"/>
  <c r="AO99" i="20"/>
  <c r="AJ99" i="20"/>
  <c r="AA99" i="20"/>
  <c r="AD91" i="20"/>
  <c r="AK91" i="20"/>
  <c r="AF91" i="20"/>
  <c r="AE91" i="20"/>
  <c r="AI91" i="20"/>
  <c r="AH68" i="20"/>
  <c r="AB68" i="20"/>
  <c r="Z68" i="20"/>
  <c r="AJ68" i="20"/>
  <c r="AD68" i="20"/>
  <c r="Y73" i="20"/>
  <c r="AI73" i="20"/>
  <c r="AG73" i="20"/>
  <c r="AD73" i="20"/>
  <c r="AB73" i="20"/>
  <c r="AJ78" i="20"/>
  <c r="AG78" i="20"/>
  <c r="Y78" i="20"/>
  <c r="AD78" i="20"/>
  <c r="AA93" i="20"/>
  <c r="AB93" i="20"/>
  <c r="Y93" i="20"/>
  <c r="AF93" i="20"/>
  <c r="AE93" i="20"/>
  <c r="AE86" i="20"/>
  <c r="AF86" i="20"/>
  <c r="AO86" i="20"/>
  <c r="AH86" i="20"/>
  <c r="AB1170" i="20"/>
  <c r="AI1170" i="20"/>
  <c r="AD1170" i="20"/>
  <c r="AL1170" i="20"/>
  <c r="AG1170" i="20"/>
  <c r="AN1164" i="20"/>
  <c r="AB1164" i="20"/>
  <c r="AA1164" i="20"/>
  <c r="AI1164" i="20"/>
  <c r="AG1164" i="20"/>
  <c r="AH1162" i="20"/>
  <c r="AB1162" i="20"/>
  <c r="AG1162" i="20"/>
  <c r="AC1162" i="20"/>
  <c r="AN1162" i="20"/>
  <c r="AG1158" i="20"/>
  <c r="AE1158" i="20"/>
  <c r="AA1158" i="20"/>
  <c r="AF1158" i="20"/>
  <c r="AC1155" i="20"/>
  <c r="AI1155" i="20"/>
  <c r="AB1155" i="20"/>
  <c r="AL1155" i="20"/>
  <c r="Z1155" i="20"/>
  <c r="AC1150" i="20"/>
  <c r="AH1150" i="20"/>
  <c r="AG1150" i="20"/>
  <c r="AI1150" i="20"/>
  <c r="AL1150" i="20"/>
  <c r="AN1150" i="20"/>
  <c r="AK1150" i="20"/>
  <c r="Y1145" i="20"/>
  <c r="AK1145" i="20"/>
  <c r="Z1145" i="20"/>
  <c r="AB1145" i="20"/>
  <c r="AE1145" i="20"/>
  <c r="AI1142" i="20"/>
  <c r="Y1142" i="20"/>
  <c r="AL1142" i="20"/>
  <c r="AH1142" i="20"/>
  <c r="AC1142" i="20"/>
  <c r="AN1138" i="20"/>
  <c r="AK1138" i="20"/>
  <c r="AB1138" i="20"/>
  <c r="AL1138" i="20"/>
  <c r="AF1138" i="20"/>
  <c r="AJ1134" i="20"/>
  <c r="Z1134" i="20"/>
  <c r="AH1134" i="20"/>
  <c r="AA1134" i="20"/>
  <c r="AK1134" i="20"/>
  <c r="AD1130" i="20"/>
  <c r="AN1130" i="20"/>
  <c r="Y1130" i="20"/>
  <c r="AF1130" i="20"/>
  <c r="AG1130" i="20"/>
  <c r="AF1126" i="20"/>
  <c r="Z1126" i="20"/>
  <c r="AK1126" i="20"/>
  <c r="AB1126" i="20"/>
  <c r="AD1126" i="20"/>
  <c r="Y1118" i="20"/>
  <c r="AB1118" i="20"/>
  <c r="AC1118" i="20"/>
  <c r="AE1118" i="20"/>
  <c r="AJ1118" i="20"/>
  <c r="AK1118" i="20"/>
  <c r="AF1118" i="20"/>
  <c r="AF1114" i="20"/>
  <c r="AA1114" i="20"/>
  <c r="AH1114" i="20"/>
  <c r="AD1114" i="20"/>
  <c r="AI1114" i="20"/>
  <c r="AB1114" i="20"/>
  <c r="AN1114" i="20"/>
  <c r="AG1120" i="20"/>
  <c r="Z1120" i="20"/>
  <c r="AH1120" i="20"/>
  <c r="AF1120" i="20"/>
  <c r="AB1120" i="20"/>
  <c r="AA1107" i="20"/>
  <c r="Z1107" i="20"/>
  <c r="AE1107" i="20"/>
  <c r="AF1107" i="20"/>
  <c r="AG1107" i="20"/>
  <c r="AF1091" i="20"/>
  <c r="AK1091" i="20"/>
  <c r="Y1091" i="20"/>
  <c r="AN1091" i="20"/>
  <c r="AG1091" i="20"/>
  <c r="Z1091" i="20"/>
  <c r="AH1082" i="20"/>
  <c r="AA1082" i="20"/>
  <c r="AF1082" i="20"/>
  <c r="Y1082" i="20"/>
  <c r="AN1082" i="20"/>
  <c r="AG1082" i="20"/>
  <c r="AA1077" i="20"/>
  <c r="AL1077" i="20"/>
  <c r="AB1077" i="20"/>
  <c r="AF1077" i="20"/>
  <c r="Y1077" i="20"/>
  <c r="AJ1077" i="20"/>
  <c r="Z1077" i="20"/>
  <c r="AN1074" i="20"/>
  <c r="Y1074" i="20"/>
  <c r="Z1074" i="20"/>
  <c r="AB1074" i="20"/>
  <c r="AJ1070" i="20"/>
  <c r="AN1070" i="20"/>
  <c r="AF1070" i="20"/>
  <c r="AE1070" i="20"/>
  <c r="Y1070" i="20"/>
  <c r="AA1070" i="20"/>
  <c r="AK1065" i="20"/>
  <c r="AB1065" i="20"/>
  <c r="AD1065" i="20"/>
  <c r="AI1065" i="20"/>
  <c r="AE1065" i="20"/>
  <c r="AL1065" i="20"/>
  <c r="AC1065" i="20"/>
  <c r="AO1059" i="20"/>
  <c r="Z1059" i="20"/>
  <c r="AN1059" i="20"/>
  <c r="AC1059" i="20"/>
  <c r="AD1059" i="20"/>
  <c r="AF1059" i="20"/>
  <c r="AF1056" i="20"/>
  <c r="AD1056" i="20"/>
  <c r="AE1056" i="20"/>
  <c r="AL1056" i="20"/>
  <c r="AK1056" i="20"/>
  <c r="AD1054" i="20"/>
  <c r="AK1054" i="20"/>
  <c r="Z1054" i="20"/>
  <c r="AE1054" i="20"/>
  <c r="AB1054" i="20"/>
  <c r="AF1054" i="20"/>
  <c r="AK1048" i="20"/>
  <c r="AN1048" i="20"/>
  <c r="AE1048" i="20"/>
  <c r="AL1048" i="20"/>
  <c r="Z1048" i="20"/>
  <c r="AF1048" i="20"/>
  <c r="AG1048" i="20"/>
  <c r="AA1048" i="20"/>
  <c r="AO1044" i="20"/>
  <c r="AD1044" i="20"/>
  <c r="AK1044" i="20"/>
  <c r="AI1044" i="20"/>
  <c r="Z1044" i="20"/>
  <c r="AF1044" i="20"/>
  <c r="AL1044" i="20"/>
  <c r="AC1040" i="20"/>
  <c r="AH1040" i="20"/>
  <c r="AG1040" i="20"/>
  <c r="AI1040" i="20"/>
  <c r="Z1040" i="20"/>
  <c r="AK1040" i="20"/>
  <c r="AL1040" i="20"/>
  <c r="AD1040" i="20"/>
  <c r="AD1034" i="20"/>
  <c r="AC1034" i="20"/>
  <c r="AB1034" i="20"/>
  <c r="Z1034" i="20"/>
  <c r="AN1034" i="20"/>
  <c r="AA1034" i="20"/>
  <c r="AC1030" i="20"/>
  <c r="AL1030" i="20"/>
  <c r="AH1030" i="20"/>
  <c r="AE1030" i="20"/>
  <c r="Y1030" i="20"/>
  <c r="AA1030" i="20"/>
  <c r="AD1030" i="20"/>
  <c r="Z1030" i="20"/>
  <c r="AL1026" i="20"/>
  <c r="AB1026" i="20"/>
  <c r="AF1026" i="20"/>
  <c r="AK1026" i="20"/>
  <c r="AJ1018" i="20"/>
  <c r="AA1018" i="20"/>
  <c r="AI1018" i="20"/>
  <c r="Z1018" i="20"/>
  <c r="Y1018" i="20"/>
  <c r="AD1018" i="20"/>
  <c r="AD1014" i="20"/>
  <c r="Y1014" i="20"/>
  <c r="AE1014" i="20"/>
  <c r="AA1014" i="20"/>
  <c r="AB1014" i="20"/>
  <c r="AF1014" i="20"/>
  <c r="AG1010" i="20"/>
  <c r="AN1010" i="20"/>
  <c r="AK1010" i="20"/>
  <c r="AL1010" i="20"/>
  <c r="AJ1004" i="20"/>
  <c r="AE1004" i="20"/>
  <c r="Z1004" i="20"/>
  <c r="AA1004" i="20"/>
  <c r="AH1004" i="20"/>
  <c r="AB1004" i="20"/>
  <c r="AD1004" i="20"/>
  <c r="AC1004" i="20"/>
  <c r="AE1000" i="20"/>
  <c r="AD1000" i="20"/>
  <c r="Z1000" i="20"/>
  <c r="AN1000" i="20"/>
  <c r="AJ1000" i="20"/>
  <c r="AF1000" i="20"/>
  <c r="Y1000" i="20"/>
  <c r="AN997" i="20"/>
  <c r="AF997" i="20"/>
  <c r="AD997" i="20"/>
  <c r="AL997" i="20"/>
  <c r="AJ997" i="20"/>
  <c r="AG994" i="20"/>
  <c r="AK994" i="20"/>
  <c r="AJ994" i="20"/>
  <c r="AN994" i="20"/>
  <c r="AO994" i="20"/>
  <c r="AC994" i="20"/>
  <c r="AH994" i="20"/>
  <c r="Y994" i="20"/>
  <c r="AK990" i="20"/>
  <c r="AG990" i="20"/>
  <c r="AC990" i="20"/>
  <c r="AB990" i="20"/>
  <c r="Z990" i="20"/>
  <c r="AL986" i="20"/>
  <c r="AJ986" i="20"/>
  <c r="AF986" i="20"/>
  <c r="AK986" i="20"/>
  <c r="AE986" i="20"/>
  <c r="AG986" i="20"/>
  <c r="AB986" i="20"/>
  <c r="AP981" i="20"/>
  <c r="AK981" i="20"/>
  <c r="AN981" i="20"/>
  <c r="Z981" i="20"/>
  <c r="Y981" i="20"/>
  <c r="AD981" i="20"/>
  <c r="AG981" i="20"/>
  <c r="AP977" i="20"/>
  <c r="AE977" i="20"/>
  <c r="Z977" i="20"/>
  <c r="AD977" i="20"/>
  <c r="Y977" i="20"/>
  <c r="AH977" i="20"/>
  <c r="AC973" i="20"/>
  <c r="AE973" i="20"/>
  <c r="AG973" i="20"/>
  <c r="AH973" i="20"/>
  <c r="AJ973" i="20"/>
  <c r="AL973" i="20"/>
  <c r="AL969" i="20"/>
  <c r="AE969" i="20"/>
  <c r="Y969" i="20"/>
  <c r="AA969" i="20"/>
  <c r="Z969" i="20"/>
  <c r="AH969" i="20"/>
  <c r="AO965" i="20"/>
  <c r="Y965" i="20"/>
  <c r="AF965" i="20"/>
  <c r="AL965" i="20"/>
  <c r="AD965" i="20"/>
  <c r="AA965" i="20"/>
  <c r="AC965" i="20"/>
  <c r="Z960" i="20"/>
  <c r="AI960" i="20"/>
  <c r="AJ960" i="20"/>
  <c r="AD960" i="20"/>
  <c r="AA960" i="20"/>
  <c r="AF956" i="20"/>
  <c r="AO956" i="20"/>
  <c r="AN956" i="20"/>
  <c r="AA956" i="20"/>
  <c r="AK956" i="20"/>
  <c r="AD956" i="20"/>
  <c r="AO952" i="20"/>
  <c r="AF952" i="20"/>
  <c r="AK952" i="20"/>
  <c r="AE952" i="20"/>
  <c r="Z952" i="20"/>
  <c r="AJ952" i="20"/>
  <c r="AL952" i="20"/>
  <c r="AG952" i="20"/>
  <c r="AP942" i="20"/>
  <c r="AA942" i="20"/>
  <c r="AH942" i="20"/>
  <c r="AC942" i="20"/>
  <c r="AN942" i="20"/>
  <c r="AF942" i="20"/>
  <c r="AB942" i="20"/>
  <c r="AG942" i="20"/>
  <c r="AP938" i="20"/>
  <c r="AN938" i="20"/>
  <c r="AB938" i="20"/>
  <c r="AJ938" i="20"/>
  <c r="Y938" i="20"/>
  <c r="AE938" i="20"/>
  <c r="AK938" i="20"/>
  <c r="AA931" i="20"/>
  <c r="AJ931" i="20"/>
  <c r="AF931" i="20"/>
  <c r="AE931" i="20"/>
  <c r="Z931" i="20"/>
  <c r="AK931" i="20"/>
  <c r="AL927" i="20"/>
  <c r="AA927" i="20"/>
  <c r="AB927" i="20"/>
  <c r="AI927" i="20"/>
  <c r="AC927" i="20"/>
  <c r="AL923" i="20"/>
  <c r="AJ923" i="20"/>
  <c r="AF923" i="20"/>
  <c r="AA923" i="20"/>
  <c r="AD923" i="20"/>
  <c r="Y923" i="20"/>
  <c r="AK923" i="20"/>
  <c r="AD918" i="20"/>
  <c r="AE918" i="20"/>
  <c r="Y918" i="20"/>
  <c r="AI918" i="20"/>
  <c r="AK918" i="20"/>
  <c r="AL918" i="20"/>
  <c r="AJ918" i="20"/>
  <c r="AA918" i="20"/>
  <c r="AP912" i="20"/>
  <c r="AI912" i="20"/>
  <c r="AF912" i="20"/>
  <c r="AG912" i="20"/>
  <c r="AJ912" i="20"/>
  <c r="AC912" i="20"/>
  <c r="AI911" i="20"/>
  <c r="AB911" i="20"/>
  <c r="AN911" i="20"/>
  <c r="AE911" i="20"/>
  <c r="Z911" i="20"/>
  <c r="AO895" i="20"/>
  <c r="AB895" i="20"/>
  <c r="AI895" i="20"/>
  <c r="AF895" i="20"/>
  <c r="AK895" i="20"/>
  <c r="AL891" i="20"/>
  <c r="AA891" i="20"/>
  <c r="AJ891" i="20"/>
  <c r="AC891" i="20"/>
  <c r="AN891" i="20"/>
  <c r="AF891" i="20"/>
  <c r="AG909" i="20"/>
  <c r="AH909" i="20"/>
  <c r="AA909" i="20"/>
  <c r="AK909" i="20"/>
  <c r="AF909" i="20"/>
  <c r="AI909" i="20"/>
  <c r="AB909" i="20"/>
  <c r="Y909" i="20"/>
  <c r="AH906" i="20"/>
  <c r="AB906" i="20"/>
  <c r="AA906" i="20"/>
  <c r="AE906" i="20"/>
  <c r="Y906" i="20"/>
  <c r="AC906" i="20"/>
  <c r="AG906" i="20"/>
  <c r="AD904" i="20"/>
  <c r="AC904" i="20"/>
  <c r="AF904" i="20"/>
  <c r="AL904" i="20"/>
  <c r="AD883" i="20"/>
  <c r="AJ883" i="20"/>
  <c r="AE883" i="20"/>
  <c r="AN883" i="20"/>
  <c r="AI883" i="20"/>
  <c r="AO879" i="20"/>
  <c r="AI879" i="20"/>
  <c r="Z879" i="20"/>
  <c r="AJ879" i="20"/>
  <c r="AL879" i="20"/>
  <c r="Y879" i="20"/>
  <c r="AF879" i="20"/>
  <c r="AC879" i="20"/>
  <c r="AH879" i="20"/>
  <c r="AO877" i="20"/>
  <c r="Z877" i="20"/>
  <c r="AC877" i="20"/>
  <c r="AK877" i="20"/>
  <c r="AJ877" i="20"/>
  <c r="AG877" i="20"/>
  <c r="AD877" i="20"/>
  <c r="AH877" i="20"/>
  <c r="AP873" i="20"/>
  <c r="Y873" i="20"/>
  <c r="AH873" i="20"/>
  <c r="AF873" i="20"/>
  <c r="AG873" i="20"/>
  <c r="AJ873" i="20"/>
  <c r="AE873" i="20"/>
  <c r="AD873" i="20"/>
  <c r="AO869" i="20"/>
  <c r="AK869" i="20"/>
  <c r="AF869" i="20"/>
  <c r="AA869" i="20"/>
  <c r="AI869" i="20"/>
  <c r="Y869" i="20"/>
  <c r="AG864" i="20"/>
  <c r="AC864" i="20"/>
  <c r="AF864" i="20"/>
  <c r="AP860" i="20"/>
  <c r="AE860" i="20"/>
  <c r="AL860" i="20"/>
  <c r="AI860" i="20"/>
  <c r="AJ860" i="20"/>
  <c r="AN855" i="20"/>
  <c r="AA855" i="20"/>
  <c r="AG855" i="20"/>
  <c r="AJ851" i="20"/>
  <c r="AI851" i="20"/>
  <c r="Z851" i="20"/>
  <c r="AE851" i="20"/>
  <c r="AP847" i="20"/>
  <c r="AN847" i="20"/>
  <c r="AI847" i="20"/>
  <c r="AG847" i="20"/>
  <c r="Z847" i="20"/>
  <c r="AL844" i="20"/>
  <c r="AK844" i="20"/>
  <c r="Z844" i="20"/>
  <c r="AJ844" i="20"/>
  <c r="AF840" i="20"/>
  <c r="AE840" i="20"/>
  <c r="Z840" i="20"/>
  <c r="AA836" i="20"/>
  <c r="AH836" i="20"/>
  <c r="AG836" i="20"/>
  <c r="Y836" i="20"/>
  <c r="Z832" i="20"/>
  <c r="AK832" i="20"/>
  <c r="AL832" i="20"/>
  <c r="AD832" i="20"/>
  <c r="AI826" i="20"/>
  <c r="Y826" i="20"/>
  <c r="AK826" i="20"/>
  <c r="AO823" i="20"/>
  <c r="AI823" i="20"/>
  <c r="Y823" i="20"/>
  <c r="AJ823" i="20"/>
  <c r="Z820" i="20"/>
  <c r="AE820" i="20"/>
  <c r="AA820" i="20"/>
  <c r="AD820" i="20"/>
  <c r="AG811" i="20"/>
  <c r="AC811" i="20"/>
  <c r="AK811" i="20"/>
  <c r="AE814" i="20"/>
  <c r="Z814" i="20"/>
  <c r="Y814" i="20"/>
  <c r="AI814" i="20"/>
  <c r="AL808" i="20"/>
  <c r="AD808" i="20"/>
  <c r="AA808" i="20"/>
  <c r="AK808" i="20"/>
  <c r="Y799" i="20"/>
  <c r="AK799" i="20"/>
  <c r="AC799" i="20"/>
  <c r="AB799" i="20"/>
  <c r="AP803" i="20"/>
  <c r="AB803" i="20"/>
  <c r="AC803" i="20"/>
  <c r="AD803" i="20"/>
  <c r="AK803" i="20"/>
  <c r="AP796" i="20"/>
  <c r="AB796" i="20"/>
  <c r="AH796" i="20"/>
  <c r="AC796" i="20"/>
  <c r="AP791" i="20"/>
  <c r="AI791" i="20"/>
  <c r="AJ791" i="20"/>
  <c r="AK791" i="20"/>
  <c r="AB791" i="20"/>
  <c r="AP788" i="20"/>
  <c r="AB788" i="20"/>
  <c r="AI788" i="20"/>
  <c r="AE788" i="20"/>
  <c r="AL788" i="20"/>
  <c r="AA784" i="20"/>
  <c r="AG784" i="20"/>
  <c r="AJ784" i="20"/>
  <c r="AH784" i="20"/>
  <c r="AL780" i="20"/>
  <c r="AA780" i="20"/>
  <c r="AB780" i="20"/>
  <c r="Y780" i="20"/>
  <c r="AH777" i="20"/>
  <c r="AA777" i="20"/>
  <c r="AF777" i="20"/>
  <c r="Y777" i="20"/>
  <c r="AC777" i="20"/>
  <c r="AK777" i="20"/>
  <c r="AG777" i="20"/>
  <c r="Z777" i="20"/>
  <c r="AH770" i="20"/>
  <c r="AF770" i="20"/>
  <c r="AC770" i="20"/>
  <c r="AK770" i="20"/>
  <c r="AJ770" i="20"/>
  <c r="AL770" i="20"/>
  <c r="AL768" i="20"/>
  <c r="AK768" i="20"/>
  <c r="Y768" i="20"/>
  <c r="AN768" i="20"/>
  <c r="AF768" i="20"/>
  <c r="AJ768" i="20"/>
  <c r="AL765" i="20"/>
  <c r="AE765" i="20"/>
  <c r="AK765" i="20"/>
  <c r="AN765" i="20"/>
  <c r="AJ765" i="20"/>
  <c r="AK761" i="20"/>
  <c r="AA761" i="20"/>
  <c r="Z761" i="20"/>
  <c r="Y761" i="20"/>
  <c r="AN761" i="20"/>
  <c r="AE761" i="20"/>
  <c r="AE757" i="20"/>
  <c r="AJ757" i="20"/>
  <c r="Z757" i="20"/>
  <c r="AD757" i="20"/>
  <c r="AK757" i="20"/>
  <c r="AF757" i="20"/>
  <c r="AH754" i="20"/>
  <c r="AF754" i="20"/>
  <c r="Z754" i="20"/>
  <c r="AE754" i="20"/>
  <c r="AN754" i="20"/>
  <c r="AA754" i="20"/>
  <c r="AL754" i="20"/>
  <c r="AH748" i="20"/>
  <c r="AJ748" i="20"/>
  <c r="AE748" i="20"/>
  <c r="AI748" i="20"/>
  <c r="Y748" i="20"/>
  <c r="AE745" i="20"/>
  <c r="AA745" i="20"/>
  <c r="AJ745" i="20"/>
  <c r="AN745" i="20"/>
  <c r="AC745" i="20"/>
  <c r="Z741" i="20"/>
  <c r="AN741" i="20"/>
  <c r="AK741" i="20"/>
  <c r="AA741" i="20"/>
  <c r="AJ741" i="20"/>
  <c r="AD741" i="20"/>
  <c r="AF741" i="20"/>
  <c r="AO737" i="20"/>
  <c r="AF737" i="20"/>
  <c r="AA737" i="20"/>
  <c r="AH737" i="20"/>
  <c r="Y737" i="20"/>
  <c r="AG737" i="20"/>
  <c r="AB737" i="20"/>
  <c r="AJ733" i="20"/>
  <c r="Y733" i="20"/>
  <c r="AG733" i="20"/>
  <c r="AE733" i="20"/>
  <c r="AK733" i="20"/>
  <c r="AN733" i="20"/>
  <c r="AB733" i="20"/>
  <c r="AE729" i="20"/>
  <c r="AI729" i="20"/>
  <c r="AB729" i="20"/>
  <c r="AH729" i="20"/>
  <c r="AA729" i="20"/>
  <c r="AB725" i="20"/>
  <c r="AN725" i="20"/>
  <c r="AK725" i="20"/>
  <c r="AI725" i="20"/>
  <c r="AG725" i="20"/>
  <c r="AD725" i="20"/>
  <c r="AH725" i="20"/>
  <c r="AO721" i="20"/>
  <c r="AC721" i="20"/>
  <c r="AL721" i="20"/>
  <c r="AB721" i="20"/>
  <c r="AA721" i="20"/>
  <c r="Z721" i="20"/>
  <c r="Y721" i="20"/>
  <c r="AF721" i="20"/>
  <c r="AH721" i="20"/>
  <c r="AA719" i="20"/>
  <c r="AD719" i="20"/>
  <c r="AN719" i="20"/>
  <c r="AH717" i="20"/>
  <c r="AE717" i="20"/>
  <c r="AB717" i="20"/>
  <c r="AC717" i="20"/>
  <c r="AD717" i="20"/>
  <c r="AN717" i="20"/>
  <c r="AG717" i="20"/>
  <c r="AP708" i="20"/>
  <c r="AG708" i="20"/>
  <c r="AI708" i="20"/>
  <c r="AE708" i="20"/>
  <c r="AD708" i="20"/>
  <c r="Z705" i="20"/>
  <c r="AB705" i="20"/>
  <c r="AJ705" i="20"/>
  <c r="AF705" i="20"/>
  <c r="AF701" i="20"/>
  <c r="AA701" i="20"/>
  <c r="AH701" i="20"/>
  <c r="AI701" i="20"/>
  <c r="AJ701" i="20"/>
  <c r="AN701" i="20"/>
  <c r="AB701" i="20"/>
  <c r="AN697" i="20"/>
  <c r="AB697" i="20"/>
  <c r="AI697" i="20"/>
  <c r="Z697" i="20"/>
  <c r="AF697" i="20"/>
  <c r="AO693" i="20"/>
  <c r="AA693" i="20"/>
  <c r="AD693" i="20"/>
  <c r="AC693" i="20"/>
  <c r="AB693" i="20"/>
  <c r="AO689" i="20"/>
  <c r="AE689" i="20"/>
  <c r="AL689" i="20"/>
  <c r="AK689" i="20"/>
  <c r="AG689" i="20"/>
  <c r="AA689" i="20"/>
  <c r="AK683" i="20"/>
  <c r="AD683" i="20"/>
  <c r="AG683" i="20"/>
  <c r="AH683" i="20"/>
  <c r="AJ683" i="20"/>
  <c r="AN683" i="20"/>
  <c r="Y683" i="20"/>
  <c r="AD681" i="20"/>
  <c r="AE681" i="20"/>
  <c r="Y681" i="20"/>
  <c r="AF681" i="20"/>
  <c r="AB681" i="20"/>
  <c r="AL676" i="20"/>
  <c r="AI676" i="20"/>
  <c r="AJ676" i="20"/>
  <c r="AE676" i="20"/>
  <c r="AG676" i="20"/>
  <c r="AF672" i="20"/>
  <c r="AI672" i="20"/>
  <c r="Y672" i="20"/>
  <c r="AA672" i="20"/>
  <c r="AL672" i="20"/>
  <c r="AC669" i="20"/>
  <c r="Z669" i="20"/>
  <c r="AA669" i="20"/>
  <c r="AG669" i="20"/>
  <c r="Y669" i="20"/>
  <c r="AB669" i="20"/>
  <c r="AO665" i="20"/>
  <c r="AC665" i="20"/>
  <c r="AD665" i="20"/>
  <c r="AB665" i="20"/>
  <c r="AL665" i="20"/>
  <c r="Z665" i="20"/>
  <c r="AN665" i="20"/>
  <c r="AN661" i="20"/>
  <c r="AL661" i="20"/>
  <c r="AG661" i="20"/>
  <c r="AH661" i="20"/>
  <c r="Z661" i="20"/>
  <c r="AJ661" i="20"/>
  <c r="AO657" i="20"/>
  <c r="AG657" i="20"/>
  <c r="AC657" i="20"/>
  <c r="Y657" i="20"/>
  <c r="AN657" i="20"/>
  <c r="AD657" i="20"/>
  <c r="Z657" i="20"/>
  <c r="AH657" i="20"/>
  <c r="AB653" i="20"/>
  <c r="Z653" i="20"/>
  <c r="AE653" i="20"/>
  <c r="AA653" i="20"/>
  <c r="Y653" i="20"/>
  <c r="AN649" i="20"/>
  <c r="AF649" i="20"/>
  <c r="AA649" i="20"/>
  <c r="AH649" i="20"/>
  <c r="AK649" i="20"/>
  <c r="AL649" i="20"/>
  <c r="AG644" i="20"/>
  <c r="Z644" i="20"/>
  <c r="Y644" i="20"/>
  <c r="AL644" i="20"/>
  <c r="AN644" i="20"/>
  <c r="AB644" i="20"/>
  <c r="AI644" i="20"/>
  <c r="AA641" i="20"/>
  <c r="AJ641" i="20"/>
  <c r="AL641" i="20"/>
  <c r="AI641" i="20"/>
  <c r="AC641" i="20"/>
  <c r="Y631" i="20"/>
  <c r="AI631" i="20"/>
  <c r="AL631" i="20"/>
  <c r="AC631" i="20"/>
  <c r="AN631" i="20"/>
  <c r="AK631" i="20"/>
  <c r="AJ631" i="20"/>
  <c r="AH635" i="20"/>
  <c r="AA635" i="20"/>
  <c r="AI635" i="20"/>
  <c r="Y635" i="20"/>
  <c r="AD635" i="20"/>
  <c r="AE635" i="20"/>
  <c r="AN635" i="20"/>
  <c r="AB635" i="20"/>
  <c r="AC635" i="20"/>
  <c r="AJ635" i="20"/>
  <c r="AH625" i="20"/>
  <c r="AC625" i="20"/>
  <c r="AF625" i="20"/>
  <c r="AD625" i="20"/>
  <c r="AI625" i="20"/>
  <c r="AG625" i="20"/>
  <c r="AB625" i="20"/>
  <c r="Y621" i="20"/>
  <c r="AK621" i="20"/>
  <c r="AB621" i="20"/>
  <c r="AE621" i="20"/>
  <c r="AJ621" i="20"/>
  <c r="AF621" i="20"/>
  <c r="Z617" i="20"/>
  <c r="AI617" i="20"/>
  <c r="AE617" i="20"/>
  <c r="AH617" i="20"/>
  <c r="AK617" i="20"/>
  <c r="AJ617" i="20"/>
  <c r="AL617" i="20"/>
  <c r="AA613" i="20"/>
  <c r="AN613" i="20"/>
  <c r="Y613" i="20"/>
  <c r="AG613" i="20"/>
  <c r="AB613" i="20"/>
  <c r="Z613" i="20"/>
  <c r="AK613" i="20"/>
  <c r="AB610" i="20"/>
  <c r="AN610" i="20"/>
  <c r="AK610" i="20"/>
  <c r="Z610" i="20"/>
  <c r="AH610" i="20"/>
  <c r="AA610" i="20"/>
  <c r="AF607" i="20"/>
  <c r="AJ607" i="20"/>
  <c r="AE607" i="20"/>
  <c r="AA607" i="20"/>
  <c r="Z607" i="20"/>
  <c r="Y607" i="20"/>
  <c r="AI607" i="20"/>
  <c r="AG601" i="20"/>
  <c r="AI601" i="20"/>
  <c r="AA601" i="20"/>
  <c r="AK601" i="20"/>
  <c r="Z601" i="20"/>
  <c r="Y601" i="20"/>
  <c r="AJ601" i="20"/>
  <c r="AH601" i="20"/>
  <c r="Y597" i="20"/>
  <c r="AE597" i="20"/>
  <c r="AI597" i="20"/>
  <c r="AF597" i="20"/>
  <c r="AL597" i="20"/>
  <c r="AL593" i="20"/>
  <c r="Z593" i="20"/>
  <c r="AE593" i="20"/>
  <c r="AC593" i="20"/>
  <c r="AF593" i="20"/>
  <c r="AB593" i="20"/>
  <c r="Y593" i="20"/>
  <c r="AO593" i="20"/>
  <c r="AK593" i="20"/>
  <c r="AJ593" i="20"/>
  <c r="AB589" i="20"/>
  <c r="AC589" i="20"/>
  <c r="Y589" i="20"/>
  <c r="AI589" i="20"/>
  <c r="AJ589" i="20"/>
  <c r="AP585" i="20"/>
  <c r="Y585" i="20"/>
  <c r="AE585" i="20"/>
  <c r="Z585" i="20"/>
  <c r="AB585" i="20"/>
  <c r="AL585" i="20"/>
  <c r="AH585" i="20"/>
  <c r="AF578" i="20"/>
  <c r="AL578" i="20"/>
  <c r="AE578" i="20"/>
  <c r="AI578" i="20"/>
  <c r="Z578" i="20"/>
  <c r="AJ578" i="20"/>
  <c r="AC578" i="20"/>
  <c r="AD577" i="20"/>
  <c r="AA577" i="20"/>
  <c r="AC577" i="20"/>
  <c r="AK577" i="20"/>
  <c r="AJ577" i="20"/>
  <c r="AF577" i="20"/>
  <c r="Z577" i="20"/>
  <c r="AK573" i="20"/>
  <c r="AG573" i="20"/>
  <c r="AD573" i="20"/>
  <c r="AJ573" i="20"/>
  <c r="AI569" i="20"/>
  <c r="Z569" i="20"/>
  <c r="AK569" i="20"/>
  <c r="AJ569" i="20"/>
  <c r="AE569" i="20"/>
  <c r="AL569" i="20"/>
  <c r="AP565" i="20"/>
  <c r="AG565" i="20"/>
  <c r="AE565" i="20"/>
  <c r="AB565" i="20"/>
  <c r="AI565" i="20"/>
  <c r="AJ565" i="20"/>
  <c r="AL565" i="20"/>
  <c r="AH565" i="20"/>
  <c r="AD626" i="20"/>
  <c r="AC626" i="20"/>
  <c r="AE626" i="20"/>
  <c r="AJ626" i="20"/>
  <c r="AN626" i="20"/>
  <c r="AB626" i="20"/>
  <c r="AG626" i="20"/>
  <c r="AL561" i="20"/>
  <c r="AI561" i="20"/>
  <c r="AC561" i="20"/>
  <c r="AG561" i="20"/>
  <c r="Y561" i="20"/>
  <c r="AD561" i="20"/>
  <c r="AJ561" i="20"/>
  <c r="AN557" i="20"/>
  <c r="Z557" i="20"/>
  <c r="AB557" i="20"/>
  <c r="AK557" i="20"/>
  <c r="AD557" i="20"/>
  <c r="Y552" i="20"/>
  <c r="AG552" i="20"/>
  <c r="AN552" i="20"/>
  <c r="AL552" i="20"/>
  <c r="AD552" i="20"/>
  <c r="AP549" i="20"/>
  <c r="AN549" i="20"/>
  <c r="AB549" i="20"/>
  <c r="AC549" i="20"/>
  <c r="AA549" i="20"/>
  <c r="AG549" i="20"/>
  <c r="AI549" i="20"/>
  <c r="AH549" i="20"/>
  <c r="AJ545" i="20"/>
  <c r="AB545" i="20"/>
  <c r="AH545" i="20"/>
  <c r="AK545" i="20"/>
  <c r="AF545" i="20"/>
  <c r="AD545" i="20"/>
  <c r="AC545" i="20"/>
  <c r="Y545" i="20"/>
  <c r="AD541" i="20"/>
  <c r="AH541" i="20"/>
  <c r="Z541" i="20"/>
  <c r="AN541" i="20"/>
  <c r="AL541" i="20"/>
  <c r="AJ541" i="20"/>
  <c r="Z537" i="20"/>
  <c r="AN537" i="20"/>
  <c r="AC537" i="20"/>
  <c r="AI537" i="20"/>
  <c r="AE537" i="20"/>
  <c r="AJ537" i="20"/>
  <c r="AD537" i="20"/>
  <c r="AF537" i="20"/>
  <c r="Z533" i="20"/>
  <c r="AB533" i="20"/>
  <c r="AL533" i="20"/>
  <c r="AG533" i="20"/>
  <c r="AA529" i="20"/>
  <c r="AK529" i="20"/>
  <c r="AJ529" i="20"/>
  <c r="AN529" i="20"/>
  <c r="AC529" i="20"/>
  <c r="AL529" i="20"/>
  <c r="AH529" i="20"/>
  <c r="AP529" i="20"/>
  <c r="AJ525" i="20"/>
  <c r="AK525" i="20"/>
  <c r="AC525" i="20"/>
  <c r="Z525" i="20"/>
  <c r="AB525" i="20"/>
  <c r="AA525" i="20"/>
  <c r="AI521" i="20"/>
  <c r="AF521" i="20"/>
  <c r="AE521" i="20"/>
  <c r="AJ521" i="20"/>
  <c r="AC521" i="20"/>
  <c r="AB515" i="20"/>
  <c r="AE515" i="20"/>
  <c r="AA515" i="20"/>
  <c r="Y515" i="20"/>
  <c r="AC515" i="20"/>
  <c r="Y513" i="20"/>
  <c r="AK513" i="20"/>
  <c r="AE513" i="20"/>
  <c r="AN513" i="20"/>
  <c r="AA513" i="20"/>
  <c r="AH509" i="20"/>
  <c r="AA509" i="20"/>
  <c r="AB509" i="20"/>
  <c r="AE509" i="20"/>
  <c r="AN509" i="20"/>
  <c r="Z509" i="20"/>
  <c r="AK509" i="20"/>
  <c r="AO505" i="20"/>
  <c r="AP505" i="20"/>
  <c r="Y505" i="20"/>
  <c r="AA505" i="20"/>
  <c r="AH505" i="20"/>
  <c r="Z505" i="20"/>
  <c r="AK505" i="20"/>
  <c r="AB505" i="20"/>
  <c r="AN505" i="20"/>
  <c r="AN501" i="20"/>
  <c r="AL501" i="20"/>
  <c r="Y501" i="20"/>
  <c r="AB501" i="20"/>
  <c r="Z501" i="20"/>
  <c r="AE501" i="20"/>
  <c r="AJ501" i="20"/>
  <c r="AA501" i="20"/>
  <c r="AL497" i="20"/>
  <c r="AG497" i="20"/>
  <c r="AD497" i="20"/>
  <c r="AH497" i="20"/>
  <c r="AF497" i="20"/>
  <c r="AA493" i="20"/>
  <c r="AC493" i="20"/>
  <c r="AD493" i="20"/>
  <c r="AN493" i="20"/>
  <c r="AK493" i="20"/>
  <c r="AB493" i="20"/>
  <c r="AA490" i="20"/>
  <c r="AN490" i="20"/>
  <c r="AJ490" i="20"/>
  <c r="AH490" i="20"/>
  <c r="AD490" i="20"/>
  <c r="AF490" i="20"/>
  <c r="AI490" i="20"/>
  <c r="Y486" i="20"/>
  <c r="AN486" i="20"/>
  <c r="AC486" i="20"/>
  <c r="AH486" i="20"/>
  <c r="Z486" i="20"/>
  <c r="AK486" i="20"/>
  <c r="AJ481" i="20"/>
  <c r="AH481" i="20"/>
  <c r="AK481" i="20"/>
  <c r="AG481" i="20"/>
  <c r="AE481" i="20"/>
  <c r="AA481" i="20"/>
  <c r="AF481" i="20"/>
  <c r="Z475" i="20"/>
  <c r="AE475" i="20"/>
  <c r="AH475" i="20"/>
  <c r="AJ475" i="20"/>
  <c r="AG475" i="20"/>
  <c r="AA475" i="20"/>
  <c r="AC477" i="20"/>
  <c r="AN477" i="20"/>
  <c r="AE477" i="20"/>
  <c r="AH477" i="20"/>
  <c r="AA477" i="20"/>
  <c r="AI477" i="20"/>
  <c r="Y477" i="20"/>
  <c r="AG477" i="20"/>
  <c r="AD469" i="20"/>
  <c r="AG469" i="20"/>
  <c r="AK469" i="20"/>
  <c r="Z469" i="20"/>
  <c r="AI469" i="20"/>
  <c r="AB469" i="20"/>
  <c r="AE469" i="20"/>
  <c r="AK465" i="20"/>
  <c r="AE465" i="20"/>
  <c r="Y465" i="20"/>
  <c r="AJ465" i="20"/>
  <c r="AF465" i="20"/>
  <c r="AD465" i="20"/>
  <c r="AB461" i="20"/>
  <c r="AA461" i="20"/>
  <c r="AL461" i="20"/>
  <c r="AF461" i="20"/>
  <c r="AC461" i="20"/>
  <c r="AJ457" i="20"/>
  <c r="AL457" i="20"/>
  <c r="AF457" i="20"/>
  <c r="AI457" i="20"/>
  <c r="AD457" i="20"/>
  <c r="AK457" i="20"/>
  <c r="AH453" i="20"/>
  <c r="AD453" i="20"/>
  <c r="AF453" i="20"/>
  <c r="AA453" i="20"/>
  <c r="AN453" i="20"/>
  <c r="AK453" i="20"/>
  <c r="AL453" i="20"/>
  <c r="AA449" i="20"/>
  <c r="AE449" i="20"/>
  <c r="AG449" i="20"/>
  <c r="AC449" i="20"/>
  <c r="AL449" i="20"/>
  <c r="AH444" i="20"/>
  <c r="AK444" i="20"/>
  <c r="AB444" i="20"/>
  <c r="AI444" i="20"/>
  <c r="AJ444" i="20"/>
  <c r="AF444" i="20"/>
  <c r="AL444" i="20"/>
  <c r="AO441" i="20"/>
  <c r="AI441" i="20"/>
  <c r="AC441" i="20"/>
  <c r="AA441" i="20"/>
  <c r="AL441" i="20"/>
  <c r="AH441" i="20"/>
  <c r="AE441" i="20"/>
  <c r="Y441" i="20"/>
  <c r="AK437" i="20"/>
  <c r="AN437" i="20"/>
  <c r="AB437" i="20"/>
  <c r="AD437" i="20"/>
  <c r="AI437" i="20"/>
  <c r="AF437" i="20"/>
  <c r="Z437" i="20"/>
  <c r="AJ437" i="20"/>
  <c r="AO433" i="20"/>
  <c r="AL433" i="20"/>
  <c r="AD433" i="20"/>
  <c r="AC433" i="20"/>
  <c r="AJ433" i="20"/>
  <c r="AK433" i="20"/>
  <c r="Y433" i="20"/>
  <c r="AP429" i="20"/>
  <c r="AA429" i="20"/>
  <c r="AF429" i="20"/>
  <c r="AK429" i="20"/>
  <c r="Z429" i="20"/>
  <c r="AB429" i="20"/>
  <c r="AL429" i="20"/>
  <c r="AO425" i="20"/>
  <c r="AF425" i="20"/>
  <c r="AN425" i="20"/>
  <c r="AL425" i="20"/>
  <c r="AJ425" i="20"/>
  <c r="AB425" i="20"/>
  <c r="AI425" i="20"/>
  <c r="AB422" i="20"/>
  <c r="AF422" i="20"/>
  <c r="AL422" i="20"/>
  <c r="Z422" i="20"/>
  <c r="AE418" i="20"/>
  <c r="AK418" i="20"/>
  <c r="AB418" i="20"/>
  <c r="AD418" i="20"/>
  <c r="Y414" i="20"/>
  <c r="AO414" i="20"/>
  <c r="AJ414" i="20"/>
  <c r="Z410" i="20"/>
  <c r="AP410" i="20"/>
  <c r="AN410" i="20"/>
  <c r="AF410" i="20"/>
  <c r="Z406" i="20"/>
  <c r="AK406" i="20"/>
  <c r="AA406" i="20"/>
  <c r="AP406" i="20"/>
  <c r="AA402" i="20"/>
  <c r="AF402" i="20"/>
  <c r="AI402" i="20"/>
  <c r="AJ398" i="20"/>
  <c r="AI398" i="20"/>
  <c r="AH398" i="20"/>
  <c r="AK398" i="20"/>
  <c r="AB398" i="20"/>
  <c r="AN397" i="20"/>
  <c r="AC397" i="20"/>
  <c r="AF397" i="20"/>
  <c r="AG397" i="20"/>
  <c r="AP397" i="20"/>
  <c r="AA390" i="20"/>
  <c r="AL390" i="20"/>
  <c r="Y386" i="20"/>
  <c r="AO386" i="20"/>
  <c r="AB386" i="20"/>
  <c r="AK386" i="20"/>
  <c r="AE382" i="20"/>
  <c r="AB382" i="20"/>
  <c r="AF382" i="20"/>
  <c r="AH378" i="20"/>
  <c r="AA378" i="20"/>
  <c r="AN378" i="20"/>
  <c r="AC378" i="20"/>
  <c r="AI378" i="20"/>
  <c r="AA374" i="20"/>
  <c r="AJ374" i="20"/>
  <c r="AD374" i="20"/>
  <c r="AF374" i="20"/>
  <c r="AG374" i="20"/>
  <c r="AK374" i="20"/>
  <c r="AA370" i="20"/>
  <c r="AI370" i="20"/>
  <c r="AH370" i="20"/>
  <c r="AK370" i="20"/>
  <c r="AL370" i="20"/>
  <c r="AJ366" i="20"/>
  <c r="AP366" i="20"/>
  <c r="AF366" i="20"/>
  <c r="AA366" i="20"/>
  <c r="AL366" i="20"/>
  <c r="AD363" i="20"/>
  <c r="AC363" i="20"/>
  <c r="AO363" i="20"/>
  <c r="AL363" i="20"/>
  <c r="AC359" i="20"/>
  <c r="AF359" i="20"/>
  <c r="AO359" i="20"/>
  <c r="AJ359" i="20"/>
  <c r="AB355" i="20"/>
  <c r="AF355" i="20"/>
  <c r="AA355" i="20"/>
  <c r="AL355" i="20"/>
  <c r="AN355" i="20"/>
  <c r="AF351" i="20"/>
  <c r="AD351" i="20"/>
  <c r="AO351" i="20"/>
  <c r="Z351" i="20"/>
  <c r="AE351" i="20"/>
  <c r="AH351" i="20"/>
  <c r="AH330" i="20"/>
  <c r="AC330" i="20"/>
  <c r="AO271" i="20"/>
  <c r="AB271" i="20"/>
  <c r="AT946" i="20"/>
  <c r="AT519" i="20"/>
  <c r="AT572" i="20"/>
  <c r="AT450" i="20"/>
  <c r="AT533" i="20"/>
  <c r="AT390" i="20"/>
  <c r="AT157" i="20"/>
  <c r="AT1009" i="20"/>
  <c r="AT720" i="20"/>
  <c r="AT826" i="20"/>
  <c r="AT674" i="20"/>
  <c r="AT536" i="20"/>
  <c r="AT286" i="20"/>
  <c r="AT685" i="20"/>
  <c r="AJ106" i="20"/>
  <c r="AK191" i="20"/>
  <c r="AF106" i="20"/>
  <c r="AT525" i="20"/>
  <c r="AT371" i="20"/>
  <c r="AE135" i="20"/>
  <c r="AO135" i="20"/>
  <c r="AN154" i="20"/>
  <c r="Z382" i="20"/>
  <c r="Y418" i="20"/>
  <c r="AA414" i="20"/>
  <c r="AG410" i="20"/>
  <c r="Y402" i="20"/>
  <c r="AA398" i="20"/>
  <c r="AD397" i="20"/>
  <c r="AH386" i="20"/>
  <c r="AL378" i="20"/>
  <c r="AB370" i="20"/>
  <c r="AE366" i="20"/>
  <c r="AE363" i="20"/>
  <c r="AJ355" i="20"/>
  <c r="AK351" i="20"/>
  <c r="AL178" i="20"/>
  <c r="AH418" i="20"/>
  <c r="AI422" i="20"/>
  <c r="AH414" i="20"/>
  <c r="AT418" i="20"/>
  <c r="AO378" i="20"/>
  <c r="AD406" i="20"/>
  <c r="AG418" i="20"/>
  <c r="AD410" i="20"/>
  <c r="AK402" i="20"/>
  <c r="Z397" i="20"/>
  <c r="AG386" i="20"/>
  <c r="AH374" i="20"/>
  <c r="AJ370" i="20"/>
  <c r="Z363" i="20"/>
  <c r="AD359" i="20"/>
  <c r="AN351" i="20"/>
  <c r="AK198" i="20"/>
  <c r="AP359" i="20"/>
  <c r="AO390" i="20"/>
  <c r="AP402" i="20"/>
  <c r="AC99" i="20"/>
  <c r="AI99" i="20"/>
  <c r="AT551" i="20"/>
  <c r="AN382" i="20"/>
  <c r="AA422" i="20"/>
  <c r="AE414" i="20"/>
  <c r="AN406" i="20"/>
  <c r="AF398" i="20"/>
  <c r="AD390" i="20"/>
  <c r="AE378" i="20"/>
  <c r="AL374" i="20"/>
  <c r="AI366" i="20"/>
  <c r="AH363" i="20"/>
  <c r="AC355" i="20"/>
  <c r="AC351" i="20"/>
  <c r="AI397" i="20"/>
  <c r="AT915" i="20"/>
  <c r="AP355" i="20"/>
  <c r="Y382" i="20"/>
  <c r="AL382" i="20"/>
  <c r="AP398" i="20"/>
  <c r="AP418" i="20"/>
  <c r="AF1024" i="20"/>
  <c r="Y290" i="20"/>
  <c r="AT1039" i="20"/>
  <c r="AP135" i="20"/>
  <c r="Z45" i="20"/>
  <c r="AI406" i="20"/>
  <c r="AT684" i="20"/>
  <c r="AN402" i="20"/>
  <c r="AN418" i="20"/>
  <c r="AK44" i="20"/>
  <c r="AJ44" i="20"/>
  <c r="AB47" i="20"/>
  <c r="AI47" i="20"/>
  <c r="AT857" i="20"/>
  <c r="AE45" i="20"/>
  <c r="AT426" i="20"/>
  <c r="AH237" i="20"/>
  <c r="AB945" i="20"/>
  <c r="AN135" i="20"/>
  <c r="AL154" i="20"/>
  <c r="AE359" i="20"/>
  <c r="AK366" i="20"/>
  <c r="Y378" i="20"/>
  <c r="AN390" i="20"/>
  <c r="Y397" i="20"/>
  <c r="AC406" i="20"/>
  <c r="AE422" i="20"/>
  <c r="Y34" i="20"/>
  <c r="AJ34" i="20"/>
  <c r="AN38" i="20"/>
  <c r="AK38" i="20"/>
  <c r="AC45" i="20"/>
  <c r="AB45" i="20"/>
  <c r="AT839" i="20"/>
  <c r="Y47" i="20"/>
  <c r="AT1005" i="20"/>
  <c r="AF47" i="20"/>
  <c r="AT870" i="20"/>
  <c r="AT509" i="20"/>
  <c r="AL38" i="20"/>
  <c r="AT555" i="20"/>
  <c r="AG34" i="20"/>
  <c r="AT845" i="20"/>
  <c r="AT711" i="20"/>
  <c r="AT540" i="20"/>
  <c r="AT775" i="20"/>
  <c r="AT1110" i="20"/>
  <c r="AP475" i="20"/>
  <c r="AT1097" i="20"/>
  <c r="AT40" i="20"/>
  <c r="AT747" i="20"/>
  <c r="AT759" i="20"/>
  <c r="AT1041" i="20"/>
  <c r="AJ91" i="20"/>
  <c r="AB91" i="20"/>
  <c r="AG1097" i="20"/>
  <c r="AT830" i="20"/>
  <c r="AE68" i="20"/>
  <c r="AH78" i="20"/>
  <c r="AG93" i="20"/>
  <c r="AT958" i="20"/>
  <c r="Z86" i="20"/>
  <c r="AC78" i="20"/>
  <c r="AE73" i="20"/>
  <c r="AT744" i="20"/>
  <c r="AK851" i="20"/>
  <c r="AI864" i="20"/>
  <c r="AA832" i="20"/>
  <c r="AF780" i="20"/>
  <c r="AD780" i="20"/>
  <c r="AN780" i="20"/>
  <c r="AC788" i="20"/>
  <c r="AH788" i="20"/>
  <c r="Y796" i="20"/>
  <c r="AI796" i="20"/>
  <c r="AK796" i="20"/>
  <c r="AI799" i="20"/>
  <c r="AG799" i="20"/>
  <c r="AN799" i="20"/>
  <c r="AB814" i="20"/>
  <c r="AL814" i="20"/>
  <c r="AL820" i="20"/>
  <c r="AG820" i="20"/>
  <c r="AF820" i="20"/>
  <c r="AB826" i="20"/>
  <c r="AC826" i="20"/>
  <c r="AK836" i="20"/>
  <c r="AF836" i="20"/>
  <c r="Z836" i="20"/>
  <c r="AF844" i="20"/>
  <c r="AD844" i="20"/>
  <c r="AN844" i="20"/>
  <c r="AB851" i="20"/>
  <c r="AL851" i="20"/>
  <c r="AG860" i="20"/>
  <c r="Z860" i="20"/>
  <c r="AH808" i="20"/>
  <c r="AF784" i="20"/>
  <c r="AE784" i="20"/>
  <c r="AG791" i="20"/>
  <c r="AL791" i="20"/>
  <c r="AN791" i="20"/>
  <c r="AI803" i="20"/>
  <c r="AG803" i="20"/>
  <c r="AJ808" i="20"/>
  <c r="AC808" i="20"/>
  <c r="AI808" i="20"/>
  <c r="AE811" i="20"/>
  <c r="Z811" i="20"/>
  <c r="AC823" i="20"/>
  <c r="AG823" i="20"/>
  <c r="AN823" i="20"/>
  <c r="AC832" i="20"/>
  <c r="AJ832" i="20"/>
  <c r="AK840" i="20"/>
  <c r="AL840" i="20"/>
  <c r="AN840" i="20"/>
  <c r="AD847" i="20"/>
  <c r="AB847" i="20"/>
  <c r="Y855" i="20"/>
  <c r="AD855" i="20"/>
  <c r="AE855" i="20"/>
  <c r="AL864" i="20"/>
  <c r="AK864" i="20"/>
  <c r="Z573" i="20"/>
  <c r="AJ1130" i="20"/>
  <c r="Y490" i="20"/>
  <c r="AB521" i="20"/>
  <c r="Y521" i="20"/>
  <c r="AE1077" i="20"/>
  <c r="AK965" i="20"/>
  <c r="AF1142" i="20"/>
  <c r="AK1077" i="20"/>
  <c r="Y1044" i="20"/>
  <c r="Z719" i="20"/>
  <c r="AF693" i="20"/>
  <c r="AG879" i="20"/>
  <c r="AF589" i="20"/>
  <c r="AK754" i="20"/>
  <c r="AE1091" i="20"/>
  <c r="Z918" i="20"/>
  <c r="AF569" i="20"/>
  <c r="AH891" i="20"/>
  <c r="AH923" i="20"/>
  <c r="AH705" i="20"/>
  <c r="AC469" i="20"/>
  <c r="AH990" i="20"/>
  <c r="AH912" i="20"/>
  <c r="AJ429" i="20"/>
  <c r="AL1004" i="20"/>
  <c r="AJ689" i="20"/>
  <c r="AJ895" i="20"/>
  <c r="AI557" i="20"/>
  <c r="AL909" i="20"/>
  <c r="AJ737" i="20"/>
  <c r="AF541" i="20"/>
  <c r="AB541" i="20"/>
  <c r="AC923" i="20"/>
  <c r="AE497" i="20"/>
  <c r="AD549" i="20"/>
  <c r="AD641" i="20"/>
  <c r="Y610" i="20"/>
  <c r="Y1138" i="20"/>
  <c r="AF729" i="20"/>
  <c r="AE573" i="20"/>
  <c r="AF733" i="20"/>
  <c r="AE981" i="20"/>
  <c r="AG1044" i="20"/>
  <c r="AB891" i="20"/>
  <c r="AC909" i="20"/>
  <c r="AD617" i="20"/>
  <c r="AK873" i="20"/>
  <c r="AH733" i="20"/>
  <c r="AL745" i="20"/>
  <c r="AH1054" i="20"/>
  <c r="AL1059" i="20"/>
  <c r="AL469" i="20"/>
  <c r="AJ942" i="20"/>
  <c r="AL1074" i="20"/>
  <c r="AJ1074" i="20"/>
  <c r="AL1107" i="20"/>
  <c r="Z545" i="20"/>
  <c r="AK425" i="20"/>
  <c r="AC425" i="20"/>
  <c r="AE429" i="20"/>
  <c r="AH433" i="20"/>
  <c r="AI433" i="20"/>
  <c r="AC437" i="20"/>
  <c r="AA437" i="20"/>
  <c r="AB441" i="20"/>
  <c r="AN441" i="20"/>
  <c r="AD444" i="20"/>
  <c r="AF449" i="20"/>
  <c r="AK449" i="20"/>
  <c r="Y453" i="20"/>
  <c r="AJ453" i="20"/>
  <c r="AC457" i="20"/>
  <c r="AN461" i="20"/>
  <c r="AG461" i="20"/>
  <c r="AC465" i="20"/>
  <c r="AL465" i="20"/>
  <c r="AA469" i="20"/>
  <c r="AK477" i="20"/>
  <c r="AB475" i="20"/>
  <c r="Z481" i="20"/>
  <c r="AD481" i="20"/>
  <c r="AE486" i="20"/>
  <c r="AB490" i="20"/>
  <c r="AL490" i="20"/>
  <c r="Y493" i="20"/>
  <c r="AG493" i="20"/>
  <c r="Y497" i="20"/>
  <c r="AH501" i="20"/>
  <c r="AG501" i="20"/>
  <c r="AD505" i="20"/>
  <c r="AJ505" i="20"/>
  <c r="AJ509" i="20"/>
  <c r="AD509" i="20"/>
  <c r="Z513" i="20"/>
  <c r="AH515" i="20"/>
  <c r="AD515" i="20"/>
  <c r="AH521" i="20"/>
  <c r="AE525" i="20"/>
  <c r="AN525" i="20"/>
  <c r="AE533" i="20"/>
  <c r="AK533" i="20"/>
  <c r="AA537" i="20"/>
  <c r="AJ549" i="20"/>
  <c r="Y549" i="20"/>
  <c r="AB552" i="20"/>
  <c r="AA552" i="20"/>
  <c r="AL557" i="20"/>
  <c r="AF557" i="20"/>
  <c r="AF561" i="20"/>
  <c r="AF626" i="20"/>
  <c r="AK626" i="20"/>
  <c r="Z565" i="20"/>
  <c r="Y569" i="20"/>
  <c r="AC573" i="20"/>
  <c r="AE577" i="20"/>
  <c r="AD578" i="20"/>
  <c r="AI585" i="20"/>
  <c r="AD585" i="20"/>
  <c r="AG589" i="20"/>
  <c r="AN593" i="20"/>
  <c r="AG597" i="20"/>
  <c r="AE601" i="20"/>
  <c r="AC601" i="20"/>
  <c r="AD607" i="20"/>
  <c r="AE610" i="20"/>
  <c r="AI610" i="20"/>
  <c r="AC613" i="20"/>
  <c r="AG621" i="20"/>
  <c r="AC621" i="20"/>
  <c r="AA625" i="20"/>
  <c r="AN625" i="20"/>
  <c r="AK635" i="20"/>
  <c r="AG631" i="20"/>
  <c r="AE641" i="20"/>
  <c r="AA644" i="20"/>
  <c r="AB649" i="20"/>
  <c r="AG649" i="20"/>
  <c r="AL653" i="20"/>
  <c r="AD653" i="20"/>
  <c r="AA657" i="20"/>
  <c r="AB657" i="20"/>
  <c r="AC661" i="20"/>
  <c r="AF665" i="20"/>
  <c r="AG665" i="20"/>
  <c r="AJ669" i="20"/>
  <c r="AD672" i="20"/>
  <c r="AE672" i="20"/>
  <c r="AF676" i="20"/>
  <c r="AK676" i="20"/>
  <c r="AI683" i="20"/>
  <c r="Y689" i="20"/>
  <c r="AI693" i="20"/>
  <c r="AN693" i="20"/>
  <c r="AD697" i="20"/>
  <c r="Z701" i="20"/>
  <c r="AN705" i="20"/>
  <c r="AJ708" i="20"/>
  <c r="AK717" i="20"/>
  <c r="AC719" i="20"/>
  <c r="AE721" i="20"/>
  <c r="AN721" i="20"/>
  <c r="AL725" i="20"/>
  <c r="AD729" i="20"/>
  <c r="AI733" i="20"/>
  <c r="Z737" i="20"/>
  <c r="AN737" i="20"/>
  <c r="AH741" i="20"/>
  <c r="AF745" i="20"/>
  <c r="AA748" i="20"/>
  <c r="Z748" i="20"/>
  <c r="AB754" i="20"/>
  <c r="AN757" i="20"/>
  <c r="AH761" i="20"/>
  <c r="AB761" i="20"/>
  <c r="AG765" i="20"/>
  <c r="AG768" i="20"/>
  <c r="AI768" i="20"/>
  <c r="AI770" i="20"/>
  <c r="AB777" i="20"/>
  <c r="AJ777" i="20"/>
  <c r="AE869" i="20"/>
  <c r="AN869" i="20"/>
  <c r="AI873" i="20"/>
  <c r="AA877" i="20"/>
  <c r="AK879" i="20"/>
  <c r="AF883" i="20"/>
  <c r="AA904" i="20"/>
  <c r="Y904" i="20"/>
  <c r="AI906" i="20"/>
  <c r="AD909" i="20"/>
  <c r="AG891" i="20"/>
  <c r="Z891" i="20"/>
  <c r="AC895" i="20"/>
  <c r="AK911" i="20"/>
  <c r="AB912" i="20"/>
  <c r="AH918" i="20"/>
  <c r="AN918" i="20"/>
  <c r="Z923" i="20"/>
  <c r="AK927" i="20"/>
  <c r="AN927" i="20"/>
  <c r="AD931" i="20"/>
  <c r="AL938" i="20"/>
  <c r="Z938" i="20"/>
  <c r="AI942" i="20"/>
  <c r="Y952" i="20"/>
  <c r="AG956" i="20"/>
  <c r="AI956" i="20"/>
  <c r="AF960" i="20"/>
  <c r="AN965" i="20"/>
  <c r="AC969" i="20"/>
  <c r="AN969" i="20"/>
  <c r="AB973" i="20"/>
  <c r="AK977" i="20"/>
  <c r="AJ981" i="20"/>
  <c r="AA986" i="20"/>
  <c r="AC986" i="20"/>
  <c r="Y990" i="20"/>
  <c r="AD994" i="20"/>
  <c r="Z994" i="20"/>
  <c r="AB997" i="20"/>
  <c r="AI1000" i="20"/>
  <c r="AG1000" i="20"/>
  <c r="Y1004" i="20"/>
  <c r="AD1010" i="20"/>
  <c r="AF1010" i="20"/>
  <c r="Z1014" i="20"/>
  <c r="AK1018" i="20"/>
  <c r="AC1018" i="20"/>
  <c r="AC1026" i="20"/>
  <c r="AG1030" i="20"/>
  <c r="AN1030" i="20"/>
  <c r="AE1034" i="20"/>
  <c r="AN1040" i="20"/>
  <c r="AC1044" i="20"/>
  <c r="AD1048" i="20"/>
  <c r="AJ1054" i="20"/>
  <c r="AN1054" i="20"/>
  <c r="AN1056" i="20"/>
  <c r="AB1059" i="20"/>
  <c r="AF1065" i="20"/>
  <c r="Z1070" i="20"/>
  <c r="AF1074" i="20"/>
  <c r="AD1074" i="20"/>
  <c r="AN1077" i="20"/>
  <c r="AD1082" i="20"/>
  <c r="AL1091" i="20"/>
  <c r="AD1107" i="20"/>
  <c r="Y1107" i="20"/>
  <c r="Y1120" i="20"/>
  <c r="AG1114" i="20"/>
  <c r="AH1118" i="20"/>
  <c r="AA1118" i="20"/>
  <c r="AC1126" i="20"/>
  <c r="AN1126" i="20"/>
  <c r="AI1130" i="20"/>
  <c r="AN1134" i="20"/>
  <c r="AG1138" i="20"/>
  <c r="AF1145" i="20"/>
  <c r="Y1150" i="20"/>
  <c r="Y1155" i="20"/>
  <c r="AH1158" i="20"/>
  <c r="AI1162" i="20"/>
  <c r="AE1164" i="20"/>
  <c r="Y1170" i="20"/>
  <c r="Z93" i="20"/>
  <c r="AL78" i="20"/>
  <c r="AA541" i="20"/>
  <c r="Y942" i="20"/>
  <c r="AI681" i="20"/>
  <c r="AA733" i="20"/>
  <c r="AH665" i="20"/>
  <c r="AB172" i="20"/>
  <c r="AK141" i="20"/>
  <c r="AJ141" i="20"/>
  <c r="AO141" i="20"/>
  <c r="AL152" i="20"/>
  <c r="AJ152" i="20"/>
  <c r="AL220" i="20"/>
  <c r="AJ220" i="20"/>
  <c r="AD241" i="20"/>
  <c r="AL241" i="20"/>
  <c r="AA247" i="20"/>
  <c r="AK247" i="20"/>
  <c r="AN1024" i="20"/>
  <c r="AO1024" i="20"/>
  <c r="AB1022" i="20"/>
  <c r="AD1022" i="20"/>
  <c r="AG868" i="20"/>
  <c r="AL868" i="20"/>
  <c r="AJ868" i="20"/>
  <c r="AC868" i="20"/>
  <c r="AE868" i="20"/>
  <c r="AK868" i="20"/>
  <c r="AB868" i="20"/>
  <c r="AD868" i="20"/>
  <c r="AO868" i="20"/>
  <c r="AG290" i="20"/>
  <c r="AA290" i="20"/>
  <c r="AP290" i="20"/>
  <c r="AK290" i="20"/>
  <c r="AH290" i="20"/>
  <c r="AJ286" i="20"/>
  <c r="AO286" i="20"/>
  <c r="AL286" i="20"/>
  <c r="AA286" i="20"/>
  <c r="AI286" i="20"/>
  <c r="AH286" i="20"/>
  <c r="AG286" i="20"/>
  <c r="Y286" i="20"/>
  <c r="AP191" i="20"/>
  <c r="AD191" i="20"/>
  <c r="AA191" i="20"/>
  <c r="AF191" i="20"/>
  <c r="AI191" i="20"/>
  <c r="AN191" i="20"/>
  <c r="AD172" i="20"/>
  <c r="Z172" i="20"/>
  <c r="AJ172" i="20"/>
  <c r="AG172" i="20"/>
  <c r="AN172" i="20"/>
  <c r="AL172" i="20"/>
  <c r="Y172" i="20"/>
  <c r="AH172" i="20"/>
  <c r="AB106" i="20"/>
  <c r="AI106" i="20"/>
  <c r="AH106" i="20"/>
  <c r="AG106" i="20"/>
  <c r="AR129" i="20"/>
  <c r="AT129" i="20"/>
  <c r="AR170" i="20"/>
  <c r="AT170" i="20"/>
  <c r="AR230" i="20"/>
  <c r="AT230" i="20"/>
  <c r="AR238" i="20"/>
  <c r="AT238" i="20"/>
  <c r="AR356" i="20"/>
  <c r="AT356" i="20"/>
  <c r="AR397" i="20"/>
  <c r="AT397" i="20"/>
  <c r="AR416" i="20"/>
  <c r="AT416" i="20"/>
  <c r="AR421" i="20"/>
  <c r="AT421" i="20"/>
  <c r="AR446" i="20"/>
  <c r="AT446" i="20"/>
  <c r="AR465" i="20"/>
  <c r="AT465" i="20"/>
  <c r="AR475" i="20"/>
  <c r="AT475" i="20"/>
  <c r="AR500" i="20"/>
  <c r="AT500" i="20"/>
  <c r="AR507" i="20"/>
  <c r="AT507" i="20"/>
  <c r="AR514" i="20"/>
  <c r="AT514" i="20"/>
  <c r="AR545" i="20"/>
  <c r="AT545" i="20"/>
  <c r="AR628" i="20"/>
  <c r="AT628" i="20"/>
  <c r="AR616" i="20"/>
  <c r="AT616" i="20"/>
  <c r="AR596" i="20"/>
  <c r="AT596" i="20"/>
  <c r="AR638" i="20"/>
  <c r="AT638" i="20"/>
  <c r="AR661" i="20"/>
  <c r="AT661" i="20"/>
  <c r="AR667" i="20"/>
  <c r="AT667" i="20"/>
  <c r="AR688" i="20"/>
  <c r="AT688" i="20"/>
  <c r="AR702" i="20"/>
  <c r="AT702" i="20"/>
  <c r="AR749" i="20"/>
  <c r="AT749" i="20"/>
  <c r="AR763" i="20"/>
  <c r="AT763" i="20"/>
  <c r="AR794" i="20"/>
  <c r="AT794" i="20"/>
  <c r="AR807" i="20"/>
  <c r="AT807" i="20"/>
  <c r="AR820" i="20"/>
  <c r="AT820" i="20"/>
  <c r="AR862" i="20"/>
  <c r="AT862" i="20"/>
  <c r="AR907" i="20"/>
  <c r="AT907" i="20"/>
  <c r="AR885" i="20"/>
  <c r="AT885" i="20"/>
  <c r="AR878" i="20"/>
  <c r="AT878" i="20"/>
  <c r="AR875" i="20"/>
  <c r="AT875" i="20"/>
  <c r="AR921" i="20"/>
  <c r="AT921" i="20"/>
  <c r="AR982" i="20"/>
  <c r="AT982" i="20"/>
  <c r="AR998" i="20"/>
  <c r="AT998" i="20"/>
  <c r="AR1026" i="20"/>
  <c r="AT1026" i="20"/>
  <c r="AR1034" i="20"/>
  <c r="AT1034" i="20"/>
  <c r="AR1064" i="20"/>
  <c r="AT1064" i="20"/>
  <c r="AR1070" i="20"/>
  <c r="AT1070" i="20"/>
  <c r="AR1095" i="20"/>
  <c r="AT1095" i="20"/>
  <c r="AR1102" i="20"/>
  <c r="AT1102" i="20"/>
  <c r="AR1166" i="20"/>
  <c r="AT1166" i="20"/>
  <c r="AP347" i="20"/>
  <c r="Y347" i="20"/>
  <c r="AI347" i="20"/>
  <c r="AO343" i="20"/>
  <c r="AN343" i="20"/>
  <c r="AJ343" i="20"/>
  <c r="AH343" i="20"/>
  <c r="AD343" i="20"/>
  <c r="AN339" i="20"/>
  <c r="AI339" i="20"/>
  <c r="Y339" i="20"/>
  <c r="AK335" i="20"/>
  <c r="Z335" i="20"/>
  <c r="AE335" i="20"/>
  <c r="AD335" i="20"/>
  <c r="AB331" i="20"/>
  <c r="AG331" i="20"/>
  <c r="AC331" i="20"/>
  <c r="AB327" i="20"/>
  <c r="Y327" i="20"/>
  <c r="AH327" i="20"/>
  <c r="AC327" i="20"/>
  <c r="AF323" i="20"/>
  <c r="Y323" i="20"/>
  <c r="AO319" i="20"/>
  <c r="AE319" i="20"/>
  <c r="AF319" i="20"/>
  <c r="AH319" i="20"/>
  <c r="AL319" i="20"/>
  <c r="AG315" i="20"/>
  <c r="AE315" i="20"/>
  <c r="AK315" i="20"/>
  <c r="AC312" i="20"/>
  <c r="AF312" i="20"/>
  <c r="Z312" i="20"/>
  <c r="AP308" i="20"/>
  <c r="AH308" i="20"/>
  <c r="AA308" i="20"/>
  <c r="AK308" i="20"/>
  <c r="AB308" i="20"/>
  <c r="Z308" i="20"/>
  <c r="AP303" i="20"/>
  <c r="AC303" i="20"/>
  <c r="Y303" i="20"/>
  <c r="AN303" i="20"/>
  <c r="AL303" i="20"/>
  <c r="AP299" i="20"/>
  <c r="AE299" i="20"/>
  <c r="AD299" i="20"/>
  <c r="AO295" i="20"/>
  <c r="AC295" i="20"/>
  <c r="AA295" i="20"/>
  <c r="AJ295" i="20"/>
  <c r="AD276" i="20"/>
  <c r="Y276" i="20"/>
  <c r="AG276" i="20"/>
  <c r="AG268" i="20"/>
  <c r="AE268" i="20"/>
  <c r="AF268" i="20"/>
  <c r="AJ268" i="20"/>
  <c r="AN260" i="20"/>
  <c r="AE260" i="20"/>
  <c r="AO253" i="20"/>
  <c r="AB253" i="20"/>
  <c r="AG230" i="20"/>
  <c r="AN230" i="20"/>
  <c r="AJ230" i="20"/>
  <c r="AH188" i="20"/>
  <c r="AE188" i="20"/>
  <c r="AC510" i="20"/>
  <c r="Z712" i="20"/>
  <c r="Y295" i="20"/>
  <c r="AJ303" i="20"/>
  <c r="Y183" i="20"/>
  <c r="AH183" i="20"/>
  <c r="AE174" i="20"/>
  <c r="AN174" i="20"/>
  <c r="AK179" i="20"/>
  <c r="Z184" i="20"/>
  <c r="AH184" i="20"/>
  <c r="AC184" i="20"/>
  <c r="AE199" i="20"/>
  <c r="AN218" i="20"/>
  <c r="AB218" i="20"/>
  <c r="AD224" i="20"/>
  <c r="AE228" i="20"/>
  <c r="AG228" i="20"/>
  <c r="AH248" i="20"/>
  <c r="AD248" i="20"/>
  <c r="AD258" i="20"/>
  <c r="AL264" i="20"/>
  <c r="Y264" i="20"/>
  <c r="AN264" i="20"/>
  <c r="AJ264" i="20"/>
  <c r="AN272" i="20"/>
  <c r="AJ272" i="20"/>
  <c r="AC272" i="20"/>
  <c r="AK280" i="20"/>
  <c r="AE280" i="20"/>
  <c r="AJ280" i="20"/>
  <c r="AF299" i="20"/>
  <c r="AG299" i="20"/>
  <c r="Z299" i="20"/>
  <c r="AE308" i="20"/>
  <c r="AL308" i="20"/>
  <c r="AD308" i="20"/>
  <c r="AC315" i="20"/>
  <c r="AI315" i="20"/>
  <c r="AN315" i="20"/>
  <c r="AK323" i="20"/>
  <c r="AJ335" i="20"/>
  <c r="AG335" i="20"/>
  <c r="AF335" i="20"/>
  <c r="AF343" i="20"/>
  <c r="AC343" i="20"/>
  <c r="AB295" i="20"/>
  <c r="AH312" i="20"/>
  <c r="AB188" i="20"/>
  <c r="AH230" i="20"/>
  <c r="AN253" i="20"/>
  <c r="AI260" i="20"/>
  <c r="AB260" i="20"/>
  <c r="AD268" i="20"/>
  <c r="AL268" i="20"/>
  <c r="AB276" i="20"/>
  <c r="AC276" i="20"/>
  <c r="AN295" i="20"/>
  <c r="AH295" i="20"/>
  <c r="AE303" i="20"/>
  <c r="AG303" i="20"/>
  <c r="AI312" i="20"/>
  <c r="AD312" i="20"/>
  <c r="AJ312" i="20"/>
  <c r="Z319" i="20"/>
  <c r="AK319" i="20"/>
  <c r="AE327" i="20"/>
  <c r="AK327" i="20"/>
  <c r="AF327" i="20"/>
  <c r="Y331" i="20"/>
  <c r="AA331" i="20"/>
  <c r="Z339" i="20"/>
  <c r="AE339" i="20"/>
  <c r="AC347" i="20"/>
  <c r="AJ347" i="20"/>
  <c r="AG347" i="20"/>
  <c r="AH510" i="20"/>
  <c r="AO662" i="20"/>
  <c r="AA752" i="20"/>
  <c r="AP343" i="20"/>
  <c r="AP272" i="20"/>
  <c r="AO183" i="20"/>
  <c r="AP184" i="20"/>
  <c r="AP224" i="20"/>
  <c r="AO258" i="20"/>
  <c r="AH264" i="20"/>
  <c r="AP268" i="20"/>
  <c r="AO315" i="20"/>
  <c r="AP327" i="20"/>
  <c r="AO339" i="20"/>
  <c r="AP253" i="20"/>
  <c r="AO312" i="20"/>
  <c r="AL335" i="20"/>
  <c r="AB179" i="20"/>
  <c r="AF218" i="20"/>
  <c r="AG199" i="20"/>
  <c r="AE218" i="20"/>
  <c r="AL258" i="20"/>
  <c r="AH199" i="20"/>
  <c r="AN188" i="20"/>
  <c r="Z264" i="20"/>
  <c r="AL183" i="20"/>
  <c r="AK183" i="20"/>
  <c r="AK174" i="20"/>
  <c r="AJ179" i="20"/>
  <c r="AF179" i="20"/>
  <c r="AK184" i="20"/>
  <c r="AJ188" i="20"/>
  <c r="AI199" i="20"/>
  <c r="AN199" i="20"/>
  <c r="AJ218" i="20"/>
  <c r="AB224" i="20"/>
  <c r="Z228" i="20"/>
  <c r="Y228" i="20"/>
  <c r="AK230" i="20"/>
  <c r="Y230" i="20"/>
  <c r="AI248" i="20"/>
  <c r="G46" i="86" s="1"/>
  <c r="J46" i="86" s="1"/>
  <c r="Z253" i="20"/>
  <c r="AH253" i="20"/>
  <c r="AN258" i="20"/>
  <c r="AG260" i="20"/>
  <c r="AC260" i="20"/>
  <c r="AH276" i="20"/>
  <c r="AI450" i="20"/>
  <c r="AF762" i="20"/>
  <c r="AJ594" i="20"/>
  <c r="AO510" i="20"/>
  <c r="AB542" i="20"/>
  <c r="AP199" i="20"/>
  <c r="AO303" i="20"/>
  <c r="AE709" i="20"/>
  <c r="AP183" i="20"/>
  <c r="AO184" i="20"/>
  <c r="AO224" i="20"/>
  <c r="AP258" i="20"/>
  <c r="AP264" i="20"/>
  <c r="AP280" i="20"/>
  <c r="AP315" i="20"/>
  <c r="AO327" i="20"/>
  <c r="AP339" i="20"/>
  <c r="AO179" i="20"/>
  <c r="AP218" i="20"/>
  <c r="AO335" i="20"/>
  <c r="AP312" i="20"/>
  <c r="AP335" i="20"/>
  <c r="AN224" i="20"/>
  <c r="AG224" i="20"/>
  <c r="AC258" i="20"/>
  <c r="Z199" i="20"/>
  <c r="AL276" i="20"/>
  <c r="AH258" i="20"/>
  <c r="AL253" i="20"/>
  <c r="Y272" i="20"/>
  <c r="AG183" i="20"/>
  <c r="Y174" i="20"/>
  <c r="AJ174" i="20"/>
  <c r="AH179" i="20"/>
  <c r="AL179" i="20"/>
  <c r="AF188" i="20"/>
  <c r="AD188" i="20"/>
  <c r="Y199" i="20"/>
  <c r="AC218" i="20"/>
  <c r="AA218" i="20"/>
  <c r="AA224" i="20"/>
  <c r="AJ228" i="20"/>
  <c r="AB228" i="20"/>
  <c r="AF230" i="20"/>
  <c r="AB230" i="20"/>
  <c r="AK248" i="20"/>
  <c r="I46" i="86" s="1"/>
  <c r="L46" i="86" s="1"/>
  <c r="AE253" i="20"/>
  <c r="Y253" i="20"/>
  <c r="AF258" i="20"/>
  <c r="AA260" i="20"/>
  <c r="AF260" i="20"/>
  <c r="AA276" i="20"/>
  <c r="AJ319" i="20"/>
  <c r="AI183" i="20"/>
  <c r="AL174" i="20"/>
  <c r="Z174" i="20"/>
  <c r="AE179" i="20"/>
  <c r="AI179" i="20"/>
  <c r="AB184" i="20"/>
  <c r="Y184" i="20"/>
  <c r="AD199" i="20"/>
  <c r="AB199" i="20"/>
  <c r="Y218" i="20"/>
  <c r="AL224" i="20"/>
  <c r="Y224" i="20"/>
  <c r="AK228" i="20"/>
  <c r="AN228" i="20"/>
  <c r="AG248" i="20"/>
  <c r="AE248" i="20"/>
  <c r="AI258" i="20"/>
  <c r="AG264" i="20"/>
  <c r="AK264" i="20"/>
  <c r="AB264" i="20"/>
  <c r="AG272" i="20"/>
  <c r="AA272" i="20"/>
  <c r="Z272" i="20"/>
  <c r="AI272" i="20"/>
  <c r="AC280" i="20"/>
  <c r="AI280" i="20"/>
  <c r="AH280" i="20"/>
  <c r="AA299" i="20"/>
  <c r="Y299" i="20"/>
  <c r="AL299" i="20"/>
  <c r="AJ308" i="20"/>
  <c r="AF308" i="20"/>
  <c r="AN308" i="20"/>
  <c r="Z315" i="20"/>
  <c r="AJ315" i="20"/>
  <c r="AA323" i="20"/>
  <c r="AE323" i="20"/>
  <c r="AA335" i="20"/>
  <c r="Y335" i="20"/>
  <c r="AE343" i="20"/>
  <c r="AK343" i="20"/>
  <c r="Z343" i="20"/>
  <c r="AG280" i="20"/>
  <c r="AA188" i="20"/>
  <c r="AL188" i="20"/>
  <c r="AC230" i="20"/>
  <c r="AD253" i="20"/>
  <c r="AH260" i="20"/>
  <c r="AL260" i="20"/>
  <c r="AH268" i="20"/>
  <c r="AA268" i="20"/>
  <c r="AI276" i="20"/>
  <c r="AG295" i="20"/>
  <c r="AD295" i="20"/>
  <c r="AI303" i="20"/>
  <c r="AH303" i="20"/>
  <c r="AD303" i="20"/>
  <c r="AG312" i="20"/>
  <c r="AB312" i="20"/>
  <c r="AN312" i="20"/>
  <c r="AI319" i="20"/>
  <c r="AA319" i="20"/>
  <c r="AI327" i="20"/>
  <c r="AJ327" i="20"/>
  <c r="AN327" i="20"/>
  <c r="AK331" i="20"/>
  <c r="Z331" i="20"/>
  <c r="AD339" i="20"/>
  <c r="AJ339" i="20"/>
  <c r="AL347" i="20"/>
  <c r="AD347" i="20"/>
  <c r="AI295" i="20"/>
  <c r="AA183" i="20"/>
  <c r="AC174" i="20"/>
  <c r="AN179" i="20"/>
  <c r="AG184" i="20"/>
  <c r="AN184" i="20"/>
  <c r="AA199" i="20"/>
  <c r="AC199" i="20"/>
  <c r="AD218" i="20"/>
  <c r="AJ224" i="20"/>
  <c r="AA228" i="20"/>
  <c r="AB248" i="20"/>
  <c r="AB258" i="20"/>
  <c r="AF264" i="20"/>
  <c r="AA264" i="20"/>
  <c r="AF272" i="20"/>
  <c r="AE272" i="20"/>
  <c r="AD272" i="20"/>
  <c r="AD280" i="20"/>
  <c r="Y280" i="20"/>
  <c r="AB299" i="20"/>
  <c r="AN299" i="20"/>
  <c r="AC299" i="20"/>
  <c r="Y308" i="20"/>
  <c r="AC308" i="20"/>
  <c r="AH315" i="20"/>
  <c r="AB315" i="20"/>
  <c r="AF315" i="20"/>
  <c r="AL323" i="20"/>
  <c r="AD323" i="20"/>
  <c r="AN335" i="20"/>
  <c r="AI335" i="20"/>
  <c r="AL343" i="20"/>
  <c r="AA343" i="20"/>
  <c r="Y343" i="20"/>
  <c r="AG188" i="20"/>
  <c r="AA230" i="20"/>
  <c r="AF253" i="20"/>
  <c r="AG253" i="20"/>
  <c r="AJ260" i="20"/>
  <c r="AI268" i="20"/>
  <c r="AC268" i="20"/>
  <c r="AF276" i="20"/>
  <c r="AF295" i="20"/>
  <c r="AK295" i="20"/>
  <c r="AK303" i="20"/>
  <c r="AA303" i="20"/>
  <c r="AB303" i="20"/>
  <c r="AK312" i="20"/>
  <c r="AE312" i="20"/>
  <c r="AG319" i="20"/>
  <c r="AN319" i="20"/>
  <c r="AB319" i="20"/>
  <c r="AD327" i="20"/>
  <c r="AG327" i="20"/>
  <c r="Z327" i="20"/>
  <c r="AJ331" i="20"/>
  <c r="AH331" i="20"/>
  <c r="AC339" i="20"/>
  <c r="AF339" i="20"/>
  <c r="AA347" i="20"/>
  <c r="AB347" i="20"/>
  <c r="AP41" i="20"/>
  <c r="AO41" i="20"/>
  <c r="AP53" i="20"/>
  <c r="AO53" i="20"/>
  <c r="AP652" i="20"/>
  <c r="AG652" i="20"/>
  <c r="AC464" i="20"/>
  <c r="AD464" i="20"/>
  <c r="AP392" i="20"/>
  <c r="AO392" i="20"/>
  <c r="AL368" i="20"/>
  <c r="Y368" i="20"/>
  <c r="AT274" i="20"/>
  <c r="AT188" i="20"/>
  <c r="AT224" i="20"/>
  <c r="AT412" i="20"/>
  <c r="AT302" i="20"/>
  <c r="AT246" i="20"/>
  <c r="AT154" i="20"/>
  <c r="AT220" i="20"/>
  <c r="AT82" i="20"/>
  <c r="AT268" i="20"/>
  <c r="AT739" i="20"/>
  <c r="AT217" i="20"/>
  <c r="AT261" i="20"/>
  <c r="AT295" i="20"/>
  <c r="AT258" i="20"/>
  <c r="AT175" i="20"/>
  <c r="AT148" i="20"/>
  <c r="AT375" i="20"/>
  <c r="AT382" i="20"/>
  <c r="AT291" i="20"/>
  <c r="AT347" i="20"/>
  <c r="AT352" i="20"/>
  <c r="AT300" i="20"/>
  <c r="AT834" i="20"/>
  <c r="AT333" i="20"/>
  <c r="AT97" i="20"/>
  <c r="AT255" i="20"/>
  <c r="AT136" i="20"/>
  <c r="AT252" i="20"/>
  <c r="AT319" i="20"/>
  <c r="AT337" i="20"/>
  <c r="AT206" i="20"/>
  <c r="AT364" i="20"/>
  <c r="AT379" i="20"/>
  <c r="AT342" i="20"/>
  <c r="AT102" i="20"/>
  <c r="AT308" i="20"/>
  <c r="AT959" i="20"/>
  <c r="AT694" i="20"/>
  <c r="AT591" i="20"/>
  <c r="AT722" i="20"/>
  <c r="AT1171" i="20"/>
  <c r="AT1099" i="20"/>
  <c r="AT795" i="20"/>
  <c r="AT534" i="20"/>
  <c r="AT626" i="20"/>
  <c r="AT799" i="20"/>
  <c r="AT909" i="20"/>
  <c r="AT527" i="20"/>
  <c r="AT719" i="20"/>
  <c r="AT39" i="20"/>
  <c r="AT381" i="20"/>
  <c r="AT1020" i="20"/>
  <c r="AT891" i="20"/>
  <c r="AT879" i="20"/>
  <c r="AT986" i="20"/>
  <c r="AT296" i="20"/>
  <c r="AT920" i="20"/>
  <c r="AT809" i="20"/>
  <c r="AT1088" i="20"/>
  <c r="AT963" i="20"/>
  <c r="AT990" i="20"/>
  <c r="AT1071" i="20"/>
  <c r="AT118" i="20"/>
  <c r="AT482" i="20"/>
  <c r="AT813" i="20"/>
  <c r="AT271" i="20"/>
  <c r="AT762" i="20"/>
  <c r="AT96" i="20"/>
  <c r="AT80" i="20"/>
  <c r="AT872" i="20"/>
  <c r="AT1043" i="20"/>
  <c r="AT786" i="20"/>
  <c r="AT665" i="20"/>
  <c r="AT1051" i="20"/>
  <c r="AT939" i="20"/>
  <c r="AT1120" i="20"/>
  <c r="AT44" i="20"/>
  <c r="AT191" i="20"/>
  <c r="AT195" i="20"/>
  <c r="AT278" i="20"/>
  <c r="AT52" i="20"/>
  <c r="AT200" i="20"/>
  <c r="AT72" i="20"/>
  <c r="AT226" i="20"/>
  <c r="AT209" i="20"/>
  <c r="AT35" i="20"/>
  <c r="AT113" i="20"/>
  <c r="AT162" i="20"/>
  <c r="AT203" i="20"/>
  <c r="AT122" i="20"/>
  <c r="AT242" i="20"/>
  <c r="AT107" i="20"/>
  <c r="E14" i="43"/>
  <c r="AC14" i="43" s="1"/>
  <c r="AT734" i="20"/>
  <c r="AT649" i="20"/>
  <c r="AT464" i="20"/>
  <c r="AT323" i="20"/>
  <c r="AT1140" i="20"/>
  <c r="AT1172" i="20"/>
  <c r="AT202" i="20"/>
  <c r="AT86" i="20"/>
  <c r="AT884" i="20"/>
  <c r="AT832" i="20"/>
  <c r="AT499" i="20"/>
  <c r="AT1107" i="20"/>
  <c r="AT695" i="20"/>
  <c r="AT1061" i="20"/>
  <c r="AT1025" i="20"/>
  <c r="AT1160" i="20"/>
  <c r="AT925" i="20"/>
  <c r="AT493" i="20"/>
  <c r="AT1031" i="20"/>
  <c r="AT929" i="20"/>
  <c r="AT961" i="20"/>
  <c r="AT865" i="20"/>
  <c r="AT617" i="20"/>
  <c r="AT232" i="20"/>
  <c r="AT298" i="20"/>
  <c r="AT663" i="20"/>
  <c r="AT681" i="20"/>
  <c r="AT1163" i="20"/>
  <c r="AT1159" i="20"/>
  <c r="AT817" i="20"/>
  <c r="AT1090" i="20"/>
  <c r="AT668" i="20"/>
  <c r="AT610" i="20"/>
  <c r="AT1092" i="20"/>
  <c r="AT81" i="20"/>
  <c r="CG26" i="62"/>
  <c r="CG24" i="62"/>
  <c r="E16" i="43"/>
  <c r="AC16" i="43" s="1"/>
  <c r="E17" i="43"/>
  <c r="I17" i="43" s="1"/>
  <c r="AA9" i="66"/>
  <c r="K40" i="37"/>
  <c r="AO47" i="40"/>
  <c r="AO58" i="40"/>
  <c r="AO52" i="40"/>
  <c r="C29" i="36"/>
  <c r="AO62" i="40"/>
  <c r="AO56" i="40"/>
  <c r="E41" i="40"/>
  <c r="AJ41" i="40"/>
  <c r="H35" i="40" s="1"/>
  <c r="C32" i="40"/>
  <c r="O40" i="37"/>
  <c r="G29" i="36"/>
  <c r="F29" i="36"/>
  <c r="J29" i="36"/>
  <c r="H29" i="36"/>
  <c r="D29" i="36"/>
  <c r="I29" i="36"/>
  <c r="E29" i="36"/>
  <c r="AF702" i="20"/>
  <c r="AJ702" i="20"/>
  <c r="AK690" i="20"/>
  <c r="AP690" i="20"/>
  <c r="AE658" i="20"/>
  <c r="AG658" i="20"/>
  <c r="Z632" i="20"/>
  <c r="AD632" i="20"/>
  <c r="AA618" i="20"/>
  <c r="AH618" i="20"/>
  <c r="AA604" i="20"/>
  <c r="AK604" i="20"/>
  <c r="AB562" i="20"/>
  <c r="AK562" i="20"/>
  <c r="AD538" i="20"/>
  <c r="AL538" i="20"/>
  <c r="AA518" i="20"/>
  <c r="AC518" i="20"/>
  <c r="AI470" i="20"/>
  <c r="AF470" i="20"/>
  <c r="AL466" i="20"/>
  <c r="AO466" i="20"/>
  <c r="AG459" i="20"/>
  <c r="AE459" i="20"/>
  <c r="AC430" i="20"/>
  <c r="AG430" i="20"/>
  <c r="AB430" i="20"/>
  <c r="AJ338" i="20"/>
  <c r="AO338" i="20"/>
  <c r="AG311" i="20"/>
  <c r="AH311" i="20"/>
  <c r="AB279" i="20"/>
  <c r="AE279" i="20"/>
  <c r="AP251" i="20"/>
  <c r="AI251" i="20"/>
  <c r="AK245" i="20"/>
  <c r="Z245" i="20"/>
  <c r="Z126" i="20"/>
  <c r="AI126" i="20"/>
  <c r="AK773" i="20"/>
  <c r="Y773" i="20"/>
  <c r="AG734" i="20"/>
  <c r="AN734" i="20"/>
  <c r="AK726" i="20"/>
  <c r="AJ726" i="20"/>
  <c r="AO554" i="20"/>
  <c r="AJ554" i="20"/>
  <c r="Y554" i="20"/>
  <c r="AA494" i="20"/>
  <c r="AI494" i="20"/>
  <c r="AD483" i="20"/>
  <c r="AG483" i="20"/>
  <c r="AN322" i="20"/>
  <c r="AH322" i="20"/>
  <c r="AN103" i="20"/>
  <c r="AK103" i="20"/>
  <c r="Y153" i="20"/>
  <c r="AC153" i="20"/>
  <c r="AB125" i="20"/>
  <c r="AO125" i="20"/>
  <c r="AK125" i="20"/>
  <c r="AL116" i="20"/>
  <c r="AJ116" i="20"/>
  <c r="AC116" i="20"/>
  <c r="AE1084" i="20"/>
  <c r="AH1084" i="20"/>
  <c r="AG1084" i="20"/>
  <c r="Z1084" i="20"/>
  <c r="AF1084" i="20"/>
  <c r="AI1084" i="20"/>
  <c r="AJ1084" i="20"/>
  <c r="AD1084" i="20"/>
  <c r="AA1084" i="20"/>
  <c r="AC1084" i="20"/>
  <c r="Y1084" i="20"/>
  <c r="AB1084" i="20"/>
  <c r="AD102" i="20"/>
  <c r="Z102" i="20"/>
  <c r="AF102" i="20"/>
  <c r="AK102" i="20"/>
  <c r="AF1101" i="20"/>
  <c r="AB1101" i="20"/>
  <c r="AN1101" i="20"/>
  <c r="AO1101" i="20"/>
  <c r="AE1101" i="20"/>
  <c r="AO1021" i="20"/>
  <c r="AB1021" i="20"/>
  <c r="AC1021" i="20"/>
  <c r="AF1021" i="20"/>
  <c r="AN1021" i="20"/>
  <c r="AJ1103" i="20"/>
  <c r="AD1103" i="20"/>
  <c r="AI1103" i="20"/>
  <c r="AE1103" i="20"/>
  <c r="AP1103" i="20"/>
  <c r="AO1106" i="20"/>
  <c r="AK1106" i="20"/>
  <c r="AJ1106" i="20"/>
  <c r="AD1106" i="20"/>
  <c r="AH1036" i="20"/>
  <c r="AE1036" i="20"/>
  <c r="AA1036" i="20"/>
  <c r="AN1036" i="20"/>
  <c r="AF1036" i="20"/>
  <c r="AB1036" i="20"/>
  <c r="AG1036" i="20"/>
  <c r="AD1036" i="20"/>
  <c r="AI1036" i="20"/>
  <c r="Y1036" i="20"/>
  <c r="AG1023" i="20"/>
  <c r="AI1023" i="20"/>
  <c r="AN1023" i="20"/>
  <c r="AJ1023" i="20"/>
  <c r="AA1087" i="20"/>
  <c r="AN1087" i="20"/>
  <c r="AI1087" i="20"/>
  <c r="AB1087" i="20"/>
  <c r="AC1087" i="20"/>
  <c r="AF1087" i="20"/>
  <c r="AO1085" i="20"/>
  <c r="AD1085" i="20"/>
  <c r="AH1085" i="20"/>
  <c r="AL1085" i="20"/>
  <c r="AN1086" i="20"/>
  <c r="AC1086" i="20"/>
  <c r="AB1086" i="20"/>
  <c r="AJ1086" i="20"/>
  <c r="AA1086" i="20"/>
  <c r="AD933" i="20"/>
  <c r="AA933" i="20"/>
  <c r="Y933" i="20"/>
  <c r="AB933" i="20"/>
  <c r="AE933" i="20"/>
  <c r="Z933" i="20"/>
  <c r="AH933" i="20"/>
  <c r="AF933" i="20"/>
  <c r="AK933" i="20"/>
  <c r="AG933" i="20"/>
  <c r="AC933" i="20"/>
  <c r="AN933" i="20"/>
  <c r="AE916" i="20"/>
  <c r="AH916" i="20"/>
  <c r="AJ916" i="20"/>
  <c r="AI916" i="20"/>
  <c r="AN916" i="20"/>
  <c r="AC916" i="20"/>
  <c r="AE292" i="20"/>
  <c r="AJ292" i="20"/>
  <c r="AL292" i="20"/>
  <c r="AD292" i="20"/>
  <c r="AN292" i="20"/>
  <c r="AP292" i="20"/>
  <c r="AG292" i="20"/>
  <c r="AO215" i="20"/>
  <c r="Z215" i="20"/>
  <c r="AL215" i="20"/>
  <c r="AD215" i="20"/>
  <c r="AI215" i="20"/>
  <c r="AP215" i="20"/>
  <c r="Y215" i="20"/>
  <c r="AJ215" i="20"/>
  <c r="AC215" i="20"/>
  <c r="AF215" i="20"/>
  <c r="AE215" i="20"/>
  <c r="AN215" i="20"/>
  <c r="AB215" i="20"/>
  <c r="AG215" i="20"/>
  <c r="AH215" i="20"/>
  <c r="Y134" i="20"/>
  <c r="AB134" i="20"/>
  <c r="AF134" i="20"/>
  <c r="AO134" i="20"/>
  <c r="AG134" i="20"/>
  <c r="AI193" i="20"/>
  <c r="Z193" i="20"/>
  <c r="AE193" i="20"/>
  <c r="AD193" i="20"/>
  <c r="AD192" i="20"/>
  <c r="AI192" i="20"/>
  <c r="AJ192" i="20"/>
  <c r="AP192" i="20"/>
  <c r="AG192" i="20"/>
  <c r="AB192" i="20"/>
  <c r="AK921" i="20"/>
  <c r="Y921" i="20"/>
  <c r="Z921" i="20"/>
  <c r="AF921" i="20"/>
  <c r="AL921" i="20"/>
  <c r="AJ921" i="20"/>
  <c r="AI194" i="20"/>
  <c r="AH194" i="20"/>
  <c r="AB194" i="20"/>
  <c r="AE194" i="20"/>
  <c r="AD194" i="20"/>
  <c r="AF139" i="20"/>
  <c r="AI139" i="20"/>
  <c r="AE139" i="20"/>
  <c r="AG139" i="20"/>
  <c r="AB139" i="20"/>
  <c r="Z139" i="20"/>
  <c r="AH139" i="20"/>
  <c r="AP287" i="20"/>
  <c r="AC287" i="20"/>
  <c r="AG287" i="20"/>
  <c r="AL287" i="20"/>
  <c r="AI287" i="20"/>
  <c r="AL285" i="20"/>
  <c r="AB285" i="20"/>
  <c r="Z285" i="20"/>
  <c r="AD285" i="20"/>
  <c r="AF285" i="20"/>
  <c r="AN285" i="20"/>
  <c r="AJ285" i="20"/>
  <c r="Y285" i="20"/>
  <c r="AI285" i="20"/>
  <c r="AE285" i="20"/>
  <c r="AK210" i="20"/>
  <c r="AI210" i="20"/>
  <c r="AH210" i="20"/>
  <c r="AB210" i="20"/>
  <c r="AL210" i="20"/>
  <c r="AA291" i="20"/>
  <c r="AF291" i="20"/>
  <c r="AB291" i="20"/>
  <c r="AK291" i="20"/>
  <c r="AN291" i="20"/>
  <c r="AC291" i="20"/>
  <c r="AG291" i="20"/>
  <c r="AH291" i="20"/>
  <c r="AF136" i="20"/>
  <c r="AJ136" i="20"/>
  <c r="Z136" i="20"/>
  <c r="AL136" i="20"/>
  <c r="AG136" i="20"/>
  <c r="Y136" i="20"/>
  <c r="AD136" i="20"/>
  <c r="AN136" i="20"/>
  <c r="AK136" i="20"/>
  <c r="AH136" i="20"/>
  <c r="AC136" i="20"/>
  <c r="AA136" i="20"/>
  <c r="AB136" i="20"/>
  <c r="AA283" i="20"/>
  <c r="AO283" i="20"/>
  <c r="AE283" i="20"/>
  <c r="AF283" i="20"/>
  <c r="AB147" i="20"/>
  <c r="AI147" i="20"/>
  <c r="Y147" i="20"/>
  <c r="AD147" i="20"/>
  <c r="AF147" i="20"/>
  <c r="AO288" i="20"/>
  <c r="AD288" i="20"/>
  <c r="AG288" i="20"/>
  <c r="AB288" i="20"/>
  <c r="Z288" i="20"/>
  <c r="AG205" i="20"/>
  <c r="Z205" i="20"/>
  <c r="AD205" i="20"/>
  <c r="AB205" i="20"/>
  <c r="AP293" i="20"/>
  <c r="AF293" i="20"/>
  <c r="AJ293" i="20"/>
  <c r="AN293" i="20"/>
  <c r="Y293" i="20"/>
  <c r="AD293" i="20"/>
  <c r="Z293" i="20"/>
  <c r="AG293" i="20"/>
  <c r="AK293" i="20"/>
  <c r="AB293" i="20"/>
  <c r="Z138" i="20"/>
  <c r="AP138" i="20"/>
  <c r="AO138" i="20"/>
  <c r="AF138" i="20"/>
  <c r="AI138" i="20"/>
  <c r="AK138" i="20"/>
  <c r="AH138" i="20"/>
  <c r="AD138" i="20"/>
  <c r="AB284" i="20"/>
  <c r="AC284" i="20"/>
  <c r="AK284" i="20"/>
  <c r="AG284" i="20"/>
  <c r="AH284" i="20"/>
  <c r="Y284" i="20"/>
  <c r="AB289" i="20"/>
  <c r="AD289" i="20"/>
  <c r="Y289" i="20"/>
  <c r="AL214" i="20"/>
  <c r="AN214" i="20"/>
  <c r="AD214" i="20"/>
  <c r="AG214" i="20"/>
  <c r="AI189" i="20"/>
  <c r="AB189" i="20"/>
  <c r="AA189" i="20"/>
  <c r="AF189" i="20"/>
  <c r="AJ189" i="20"/>
  <c r="AD189" i="20"/>
  <c r="AK189" i="20"/>
  <c r="AJ206" i="20"/>
  <c r="AN206" i="20"/>
  <c r="AL206" i="20"/>
  <c r="AH206" i="20"/>
  <c r="AK207" i="20"/>
  <c r="AH207" i="20"/>
  <c r="AP207" i="20"/>
  <c r="AL207" i="20"/>
  <c r="AO121" i="20"/>
  <c r="AL121" i="20"/>
  <c r="AE121" i="20"/>
  <c r="Y121" i="20"/>
  <c r="AG121" i="20"/>
  <c r="AF121" i="20"/>
  <c r="Z121" i="20"/>
  <c r="AA121" i="20"/>
  <c r="AD121" i="20"/>
  <c r="AH121" i="20"/>
  <c r="AN121" i="20"/>
  <c r="AJ208" i="20"/>
  <c r="AE208" i="20"/>
  <c r="AC208" i="20"/>
  <c r="AI208" i="20"/>
  <c r="AA208" i="20"/>
  <c r="AN208" i="20"/>
  <c r="AC211" i="20"/>
  <c r="AB211" i="20"/>
  <c r="AH211" i="20"/>
  <c r="AJ211" i="20"/>
  <c r="AN211" i="20"/>
  <c r="AD211" i="20"/>
  <c r="AH209" i="20"/>
  <c r="AN209" i="20"/>
  <c r="AK209" i="20"/>
  <c r="AA209" i="20"/>
  <c r="AI209" i="20"/>
  <c r="Y209" i="20"/>
  <c r="AJ209" i="20"/>
  <c r="AF209" i="20"/>
  <c r="AE209" i="20"/>
  <c r="AB209" i="20"/>
  <c r="AF129" i="20"/>
  <c r="AA129" i="20"/>
  <c r="AL129" i="20"/>
  <c r="AP104" i="20"/>
  <c r="AE104" i="20"/>
  <c r="AL104" i="20"/>
  <c r="AH104" i="20"/>
  <c r="AJ104" i="20"/>
  <c r="Y104" i="20"/>
  <c r="AG104" i="20"/>
  <c r="AO164" i="20"/>
  <c r="AC164" i="20"/>
  <c r="AK164" i="20"/>
  <c r="AP164" i="20"/>
  <c r="AE164" i="20"/>
  <c r="AL164" i="20"/>
  <c r="AF238" i="20"/>
  <c r="AH238" i="20"/>
  <c r="AG238" i="20"/>
  <c r="AI238" i="20"/>
  <c r="AE238" i="20"/>
  <c r="AP108" i="20"/>
  <c r="AD108" i="20"/>
  <c r="AN108" i="20"/>
  <c r="AC108" i="20"/>
  <c r="AH108" i="20"/>
  <c r="AA108" i="20"/>
  <c r="AB108" i="20"/>
  <c r="AJ131" i="20"/>
  <c r="AN131" i="20"/>
  <c r="AE131" i="20"/>
  <c r="AK131" i="20"/>
  <c r="AG131" i="20"/>
  <c r="AC131" i="20"/>
  <c r="AA131" i="20"/>
  <c r="Z131" i="20"/>
  <c r="AD160" i="20"/>
  <c r="AE160" i="20"/>
  <c r="Y160" i="20"/>
  <c r="AK160" i="20"/>
  <c r="AP160" i="20"/>
  <c r="Y167" i="20"/>
  <c r="AA167" i="20"/>
  <c r="AC167" i="20"/>
  <c r="AD167" i="20"/>
  <c r="AL167" i="20"/>
  <c r="AH167" i="20"/>
  <c r="AK167" i="20"/>
  <c r="AN167" i="20"/>
  <c r="AB167" i="20"/>
  <c r="AI167" i="20"/>
  <c r="AJ167" i="20"/>
  <c r="AO156" i="20"/>
  <c r="AC156" i="20"/>
  <c r="Y156" i="20"/>
  <c r="AG156" i="20"/>
  <c r="AK156" i="20"/>
  <c r="AN156" i="20"/>
  <c r="AI156" i="20"/>
  <c r="AE156" i="20"/>
  <c r="AL156" i="20"/>
  <c r="AB156" i="20"/>
  <c r="AF156" i="20"/>
  <c r="AO943" i="20"/>
  <c r="AH943" i="20"/>
  <c r="AI943" i="20"/>
  <c r="AN943" i="20"/>
  <c r="AK943" i="20"/>
  <c r="AA943" i="20"/>
  <c r="AJ943" i="20"/>
  <c r="AE943" i="20"/>
  <c r="AC943" i="20"/>
  <c r="AD943" i="20"/>
  <c r="AF943" i="20"/>
  <c r="AP943" i="20"/>
  <c r="AL943" i="20"/>
  <c r="Y943" i="20"/>
  <c r="AH948" i="20"/>
  <c r="Z948" i="20"/>
  <c r="AK948" i="20"/>
  <c r="AC948" i="20"/>
  <c r="AI948" i="20"/>
  <c r="AD948" i="20"/>
  <c r="AN948" i="20"/>
  <c r="Y948" i="20"/>
  <c r="AR104" i="20"/>
  <c r="AT104" i="20"/>
  <c r="AR145" i="20"/>
  <c r="AT145" i="20"/>
  <c r="AR163" i="20"/>
  <c r="AT163" i="20"/>
  <c r="AR207" i="20"/>
  <c r="AT207" i="20"/>
  <c r="AR259" i="20"/>
  <c r="AT259" i="20"/>
  <c r="AR288" i="20"/>
  <c r="AT288" i="20"/>
  <c r="AR330" i="20"/>
  <c r="AT330" i="20"/>
  <c r="AR372" i="20"/>
  <c r="AT372" i="20"/>
  <c r="AR422" i="20"/>
  <c r="AT422" i="20"/>
  <c r="AR425" i="20"/>
  <c r="AT425" i="20"/>
  <c r="AR429" i="20"/>
  <c r="AT429" i="20"/>
  <c r="AR447" i="20"/>
  <c r="AT447" i="20"/>
  <c r="AR472" i="20"/>
  <c r="AT472" i="20"/>
  <c r="AR490" i="20"/>
  <c r="AT490" i="20"/>
  <c r="AR503" i="20"/>
  <c r="AT503" i="20"/>
  <c r="AR517" i="20"/>
  <c r="AT517" i="20"/>
  <c r="AR541" i="20"/>
  <c r="AT541" i="20"/>
  <c r="AR613" i="20"/>
  <c r="AT613" i="20"/>
  <c r="AR578" i="20"/>
  <c r="AT578" i="20"/>
  <c r="AR714" i="20"/>
  <c r="AT714" i="20"/>
  <c r="AR708" i="20"/>
  <c r="AT708" i="20"/>
  <c r="AR769" i="20"/>
  <c r="AT769" i="20"/>
  <c r="AR800" i="20"/>
  <c r="AT800" i="20"/>
  <c r="AR854" i="20"/>
  <c r="AT854" i="20"/>
  <c r="AR861" i="20"/>
  <c r="AT861" i="20"/>
  <c r="AR876" i="20"/>
  <c r="AT876" i="20"/>
  <c r="AR950" i="20"/>
  <c r="AT950" i="20"/>
  <c r="AR1029" i="20"/>
  <c r="AT1029" i="20"/>
  <c r="AR1065" i="20"/>
  <c r="AT1065" i="20"/>
  <c r="AR1069" i="20"/>
  <c r="AT1069" i="20"/>
  <c r="AR1113" i="20"/>
  <c r="AT1113" i="20"/>
  <c r="AR1132" i="20"/>
  <c r="AT1132" i="20"/>
  <c r="AR1133" i="20"/>
  <c r="AT1133" i="20"/>
  <c r="AT1098" i="20"/>
  <c r="AT869" i="20"/>
  <c r="AT461" i="20"/>
  <c r="AT859" i="20"/>
  <c r="AT520" i="20"/>
  <c r="AT908" i="20"/>
  <c r="AT999" i="20"/>
  <c r="AT836" i="20"/>
  <c r="AT585" i="20"/>
  <c r="AT292" i="20"/>
  <c r="AT353" i="20"/>
  <c r="AO89" i="20"/>
  <c r="AT1117" i="20"/>
  <c r="AT953" i="20"/>
  <c r="AF125" i="20"/>
  <c r="AF126" i="20"/>
  <c r="Y752" i="20"/>
  <c r="AF694" i="20"/>
  <c r="AK622" i="20"/>
  <c r="Y558" i="20"/>
  <c r="AE488" i="20"/>
  <c r="AB442" i="20"/>
  <c r="AF267" i="20"/>
  <c r="AT633" i="20"/>
  <c r="Z502" i="20"/>
  <c r="AO581" i="20"/>
  <c r="AP668" i="20"/>
  <c r="AA685" i="20"/>
  <c r="AE579" i="20"/>
  <c r="AE259" i="20"/>
  <c r="AC177" i="20"/>
  <c r="AB516" i="20"/>
  <c r="AO658" i="20"/>
  <c r="AP773" i="20"/>
  <c r="AE734" i="20"/>
  <c r="Y225" i="20"/>
  <c r="AD470" i="20"/>
  <c r="AH654" i="20"/>
  <c r="AT249" i="20"/>
  <c r="AT965" i="20"/>
  <c r="AP1023" i="20"/>
  <c r="Y636" i="20"/>
  <c r="AJ581" i="20"/>
  <c r="AD283" i="20"/>
  <c r="Z194" i="20"/>
  <c r="AL194" i="20"/>
  <c r="AO194" i="20"/>
  <c r="AH193" i="20"/>
  <c r="AC160" i="20"/>
  <c r="AL160" i="20"/>
  <c r="AD238" i="20"/>
  <c r="AA238" i="20"/>
  <c r="AP214" i="20"/>
  <c r="AH214" i="20"/>
  <c r="AJ283" i="20"/>
  <c r="Z283" i="20"/>
  <c r="AD210" i="20"/>
  <c r="AG210" i="20"/>
  <c r="AP210" i="20"/>
  <c r="AJ193" i="20"/>
  <c r="AN193" i="20"/>
  <c r="AL193" i="20"/>
  <c r="AE1023" i="20"/>
  <c r="Y1023" i="20"/>
  <c r="AA1023" i="20"/>
  <c r="AH1103" i="20"/>
  <c r="AF1103" i="20"/>
  <c r="AG1103" i="20"/>
  <c r="AN102" i="20"/>
  <c r="Y102" i="20"/>
  <c r="AI102" i="20"/>
  <c r="AJ125" i="20"/>
  <c r="Y522" i="20"/>
  <c r="AT183" i="20"/>
  <c r="AT320" i="20"/>
  <c r="AI108" i="20"/>
  <c r="AO289" i="20"/>
  <c r="AC210" i="20"/>
  <c r="AT441" i="20"/>
  <c r="AC238" i="20"/>
  <c r="AI1021" i="20"/>
  <c r="AT1086" i="20"/>
  <c r="AT1149" i="20"/>
  <c r="AT384" i="20"/>
  <c r="AT798" i="20"/>
  <c r="AI131" i="20"/>
  <c r="Y131" i="20"/>
  <c r="AD156" i="20"/>
  <c r="AE167" i="20"/>
  <c r="AE1086" i="20"/>
  <c r="AC1101" i="20"/>
  <c r="AL211" i="20"/>
  <c r="AE206" i="20"/>
  <c r="AA138" i="20"/>
  <c r="AE287" i="20"/>
  <c r="AI134" i="20"/>
  <c r="AD1021" i="20"/>
  <c r="AB104" i="20"/>
  <c r="AD206" i="20"/>
  <c r="AE138" i="20"/>
  <c r="AI921" i="20"/>
  <c r="AN1085" i="20"/>
  <c r="AF164" i="20"/>
  <c r="AI104" i="20"/>
  <c r="Z211" i="20"/>
  <c r="AD208" i="20"/>
  <c r="AK206" i="20"/>
  <c r="Y206" i="20"/>
  <c r="AE289" i="20"/>
  <c r="AB138" i="20"/>
  <c r="AH288" i="20"/>
  <c r="AN287" i="20"/>
  <c r="AE921" i="20"/>
  <c r="AC134" i="20"/>
  <c r="AG916" i="20"/>
  <c r="AB916" i="20"/>
  <c r="Y1085" i="20"/>
  <c r="AH1021" i="20"/>
  <c r="Y1122" i="20"/>
  <c r="Y1021" i="20"/>
  <c r="AC289" i="20"/>
  <c r="AL933" i="20"/>
  <c r="AL1084" i="20"/>
  <c r="AL293" i="20"/>
  <c r="AC293" i="20"/>
  <c r="AI116" i="20"/>
  <c r="AI136" i="20"/>
  <c r="AI933" i="20"/>
  <c r="AJ1036" i="20"/>
  <c r="AA215" i="20"/>
  <c r="AJ156" i="20"/>
  <c r="AG943" i="20"/>
  <c r="AF1085" i="20"/>
  <c r="AJ287" i="20"/>
  <c r="AK1101" i="20"/>
  <c r="Z207" i="20"/>
  <c r="AE948" i="20"/>
  <c r="AT243" i="20"/>
  <c r="AT193" i="20"/>
  <c r="AT980" i="20"/>
  <c r="AT537" i="20"/>
  <c r="AT833" i="20"/>
  <c r="AT797" i="20"/>
  <c r="AT941" i="20"/>
  <c r="AT434" i="20"/>
  <c r="AT783" i="20"/>
  <c r="AD126" i="20"/>
  <c r="AI734" i="20"/>
  <c r="Y673" i="20"/>
  <c r="AA542" i="20"/>
  <c r="Y487" i="20"/>
  <c r="AN342" i="20"/>
  <c r="Y306" i="20"/>
  <c r="AF263" i="20"/>
  <c r="AC182" i="20"/>
  <c r="AI279" i="20"/>
  <c r="AO279" i="20"/>
  <c r="AH502" i="20"/>
  <c r="Y622" i="20"/>
  <c r="AB715" i="20"/>
  <c r="AI753" i="20"/>
  <c r="AB666" i="20"/>
  <c r="Z627" i="20"/>
  <c r="AK462" i="20"/>
  <c r="AC322" i="20"/>
  <c r="AK259" i="20"/>
  <c r="AH645" i="20"/>
  <c r="AT338" i="20"/>
  <c r="AP178" i="20"/>
  <c r="AN462" i="20"/>
  <c r="AC673" i="20"/>
  <c r="AF722" i="20"/>
  <c r="AA668" i="20"/>
  <c r="Y446" i="20"/>
  <c r="AH326" i="20"/>
  <c r="AC173" i="20"/>
  <c r="AT601" i="20"/>
  <c r="AP187" i="20"/>
  <c r="AO522" i="20"/>
  <c r="AC666" i="20"/>
  <c r="AT705" i="20"/>
  <c r="AO238" i="20"/>
  <c r="AO1103" i="20"/>
  <c r="AC194" i="20"/>
  <c r="AN194" i="20"/>
  <c r="AP194" i="20"/>
  <c r="AL283" i="20"/>
  <c r="AT1002" i="20"/>
  <c r="AT1054" i="20"/>
  <c r="AF160" i="20"/>
  <c r="AI160" i="20"/>
  <c r="Y238" i="20"/>
  <c r="AF214" i="20"/>
  <c r="AA214" i="20"/>
  <c r="AG283" i="20"/>
  <c r="AK283" i="20"/>
  <c r="AH283" i="20"/>
  <c r="AA210" i="20"/>
  <c r="Z210" i="20"/>
  <c r="AO210" i="20"/>
  <c r="AA193" i="20"/>
  <c r="AB193" i="20"/>
  <c r="AF193" i="20"/>
  <c r="Z1023" i="20"/>
  <c r="AC1023" i="20"/>
  <c r="AB1023" i="20"/>
  <c r="AN1103" i="20"/>
  <c r="AA1103" i="20"/>
  <c r="Z1103" i="20"/>
  <c r="AA102" i="20"/>
  <c r="AB102" i="20"/>
  <c r="AO102" i="20"/>
  <c r="Y125" i="20"/>
  <c r="AK645" i="20"/>
  <c r="AT1075" i="20"/>
  <c r="AT1137" i="20"/>
  <c r="AT1045" i="20"/>
  <c r="AT995" i="20"/>
  <c r="AT569" i="20"/>
  <c r="AF108" i="20"/>
  <c r="AT1155" i="20"/>
  <c r="AT1014" i="20"/>
  <c r="AK214" i="20"/>
  <c r="AI283" i="20"/>
  <c r="AA134" i="20"/>
  <c r="AP1021" i="20"/>
  <c r="AT334" i="20"/>
  <c r="AT1142" i="20"/>
  <c r="AF131" i="20"/>
  <c r="AE108" i="20"/>
  <c r="AH156" i="20"/>
  <c r="Y192" i="20"/>
  <c r="AK1086" i="20"/>
  <c r="AD1101" i="20"/>
  <c r="AA164" i="20"/>
  <c r="Z208" i="20"/>
  <c r="Z289" i="20"/>
  <c r="AL288" i="20"/>
  <c r="AH921" i="20"/>
  <c r="AK916" i="20"/>
  <c r="AA1021" i="20"/>
  <c r="Y211" i="20"/>
  <c r="AI206" i="20"/>
  <c r="AC288" i="20"/>
  <c r="AJ134" i="20"/>
  <c r="AK1085" i="20"/>
  <c r="AD164" i="20"/>
  <c r="Y164" i="20"/>
  <c r="AA104" i="20"/>
  <c r="AI211" i="20"/>
  <c r="AK208" i="20"/>
  <c r="AA206" i="20"/>
  <c r="AF206" i="20"/>
  <c r="AN289" i="20"/>
  <c r="AL138" i="20"/>
  <c r="Y288" i="20"/>
  <c r="AK287" i="20"/>
  <c r="AF287" i="20"/>
  <c r="AN921" i="20"/>
  <c r="AL134" i="20"/>
  <c r="AF916" i="20"/>
  <c r="AE1085" i="20"/>
  <c r="Z1085" i="20"/>
  <c r="Z1021" i="20"/>
  <c r="Z899" i="20"/>
  <c r="AT1059" i="20"/>
  <c r="AI164" i="20"/>
  <c r="AJ138" i="20"/>
  <c r="AB121" i="20"/>
  <c r="AJ164" i="20"/>
  <c r="AI293" i="20"/>
  <c r="AJ121" i="20"/>
  <c r="AE136" i="20"/>
  <c r="AJ933" i="20"/>
  <c r="AK1084" i="20"/>
  <c r="AL1036" i="20"/>
  <c r="AF167" i="20"/>
  <c r="AA156" i="20"/>
  <c r="AB943" i="20"/>
  <c r="AG1021" i="20"/>
  <c r="AN129" i="20"/>
  <c r="AA147" i="20"/>
  <c r="AO147" i="20"/>
  <c r="AP948" i="20"/>
  <c r="AT1022" i="20"/>
  <c r="AT658" i="20"/>
  <c r="AT757" i="20"/>
  <c r="AT882" i="20"/>
  <c r="AT273" i="20"/>
  <c r="AT409" i="20"/>
  <c r="AT309" i="20"/>
  <c r="AT625" i="20"/>
  <c r="AT269" i="20"/>
  <c r="AT1047" i="20"/>
  <c r="AN126" i="20"/>
  <c r="AF734" i="20"/>
  <c r="AB654" i="20"/>
  <c r="AF586" i="20"/>
  <c r="AK530" i="20"/>
  <c r="AN459" i="20"/>
  <c r="AL342" i="20"/>
  <c r="AF233" i="20"/>
  <c r="AI173" i="20"/>
  <c r="AL614" i="20"/>
  <c r="AE306" i="20"/>
  <c r="AF530" i="20"/>
  <c r="AF752" i="20"/>
  <c r="AB636" i="20"/>
  <c r="AG446" i="20"/>
  <c r="AC306" i="20"/>
  <c r="AC466" i="20"/>
  <c r="AK658" i="20"/>
  <c r="AT1145" i="20"/>
  <c r="AO259" i="20"/>
  <c r="AG586" i="20"/>
  <c r="AP709" i="20"/>
  <c r="AA581" i="20"/>
  <c r="Z306" i="20"/>
  <c r="AD562" i="20"/>
  <c r="AB685" i="20"/>
  <c r="AT1125" i="20"/>
  <c r="AT689" i="20"/>
  <c r="AP238" i="20"/>
  <c r="AT933" i="20"/>
  <c r="AH125" i="20"/>
  <c r="AT922" i="20"/>
  <c r="AT784" i="20"/>
  <c r="AJ214" i="20"/>
  <c r="AT392" i="20"/>
  <c r="AA194" i="20"/>
  <c r="AF194" i="20"/>
  <c r="AN173" i="20"/>
  <c r="AD611" i="20"/>
  <c r="AT476" i="20"/>
  <c r="AT793" i="20"/>
  <c r="AT629" i="20"/>
  <c r="AT1080" i="20"/>
  <c r="Z160" i="20"/>
  <c r="AN160" i="20"/>
  <c r="AB160" i="20"/>
  <c r="AB238" i="20"/>
  <c r="AK238" i="20"/>
  <c r="AE214" i="20"/>
  <c r="AC214" i="20"/>
  <c r="AB214" i="20"/>
  <c r="AN283" i="20"/>
  <c r="Y283" i="20"/>
  <c r="AP283" i="20"/>
  <c r="AJ210" i="20"/>
  <c r="AN210" i="20"/>
  <c r="AC193" i="20"/>
  <c r="Y193" i="20"/>
  <c r="AO193" i="20"/>
  <c r="AH1023" i="20"/>
  <c r="AD1023" i="20"/>
  <c r="AF1023" i="20"/>
  <c r="AK1103" i="20"/>
  <c r="Y1103" i="20"/>
  <c r="AE102" i="20"/>
  <c r="AH102" i="20"/>
  <c r="AC102" i="20"/>
  <c r="AP102" i="20"/>
  <c r="AG125" i="20"/>
  <c r="AT597" i="20"/>
  <c r="AG194" i="20"/>
  <c r="AT562" i="20"/>
  <c r="AT495" i="20"/>
  <c r="AP134" i="20"/>
  <c r="AT732" i="20"/>
  <c r="AE134" i="20"/>
  <c r="AG153" i="20"/>
  <c r="AT992" i="20"/>
  <c r="AT1118" i="20"/>
  <c r="AT41" i="20"/>
  <c r="AT968" i="20"/>
  <c r="AL131" i="20"/>
  <c r="AK108" i="20"/>
  <c r="AG167" i="20"/>
  <c r="Z192" i="20"/>
  <c r="AC1106" i="20"/>
  <c r="AT954" i="20"/>
  <c r="Z164" i="20"/>
  <c r="AF208" i="20"/>
  <c r="AK289" i="20"/>
  <c r="AA288" i="20"/>
  <c r="AC921" i="20"/>
  <c r="AJ1085" i="20"/>
  <c r="AG164" i="20"/>
  <c r="AG211" i="20"/>
  <c r="AA289" i="20"/>
  <c r="AB287" i="20"/>
  <c r="AD134" i="20"/>
  <c r="AE1021" i="20"/>
  <c r="AN164" i="20"/>
  <c r="AK104" i="20"/>
  <c r="AK211" i="20"/>
  <c r="AE211" i="20"/>
  <c r="AG208" i="20"/>
  <c r="AB206" i="20"/>
  <c r="AG289" i="20"/>
  <c r="AF289" i="20"/>
  <c r="AN138" i="20"/>
  <c r="AN288" i="20"/>
  <c r="Y287" i="20"/>
  <c r="AG921" i="20"/>
  <c r="AK134" i="20"/>
  <c r="AL916" i="20"/>
  <c r="AB1085" i="20"/>
  <c r="AC104" i="20"/>
  <c r="AH285" i="20"/>
  <c r="AN104" i="20"/>
  <c r="AA293" i="20"/>
  <c r="AK121" i="20"/>
  <c r="AI121" i="20"/>
  <c r="AA285" i="20"/>
  <c r="AC1036" i="20"/>
  <c r="AN1084" i="20"/>
  <c r="AJ289" i="20"/>
  <c r="Z943" i="20"/>
  <c r="Z1101" i="20"/>
  <c r="AG1101" i="20"/>
  <c r="AH205" i="20"/>
  <c r="Z425" i="20"/>
  <c r="AH631" i="20"/>
  <c r="AJ761" i="20"/>
  <c r="AI1059" i="20"/>
  <c r="AA578" i="20"/>
  <c r="Y1056" i="20"/>
  <c r="AF973" i="20"/>
  <c r="AL477" i="20"/>
  <c r="AI1118" i="20"/>
  <c r="AG453" i="20"/>
  <c r="AG721" i="20"/>
  <c r="AJ1059" i="20"/>
  <c r="AJ557" i="20"/>
  <c r="AH429" i="20"/>
  <c r="AG585" i="20"/>
  <c r="AH938" i="20"/>
  <c r="AO278" i="20"/>
  <c r="AO860" i="20"/>
  <c r="AO549" i="20"/>
  <c r="AO429" i="20"/>
  <c r="AO275" i="20"/>
  <c r="AO216" i="20"/>
  <c r="AP232" i="20"/>
  <c r="AP557" i="20"/>
  <c r="AF68" i="20"/>
  <c r="AA68" i="20"/>
  <c r="AJ73" i="20"/>
  <c r="AK73" i="20"/>
  <c r="AB78" i="20"/>
  <c r="AN78" i="20"/>
  <c r="AJ93" i="20"/>
  <c r="AL93" i="20"/>
  <c r="AD86" i="20"/>
  <c r="Y86" i="20"/>
  <c r="AH1170" i="20"/>
  <c r="AJ1170" i="20"/>
  <c r="Z1170" i="20"/>
  <c r="AC1164" i="20"/>
  <c r="Z1164" i="20"/>
  <c r="AH1164" i="20"/>
  <c r="Z1162" i="20"/>
  <c r="AL1162" i="20"/>
  <c r="AB1158" i="20"/>
  <c r="AI1158" i="20"/>
  <c r="Z1158" i="20"/>
  <c r="AK1155" i="20"/>
  <c r="AH1155" i="20"/>
  <c r="AF1155" i="20"/>
  <c r="AA1150" i="20"/>
  <c r="AE1150" i="20"/>
  <c r="Z1150" i="20"/>
  <c r="AJ1150" i="20"/>
  <c r="AN1145" i="20"/>
  <c r="AC1145" i="20"/>
  <c r="AD1145" i="20"/>
  <c r="AG1142" i="20"/>
  <c r="AA1142" i="20"/>
  <c r="AK1142" i="20"/>
  <c r="Z1138" i="20"/>
  <c r="AJ1138" i="20"/>
  <c r="AD1138" i="20"/>
  <c r="AO1134" i="20"/>
  <c r="AE1134" i="20"/>
  <c r="AF1134" i="20"/>
  <c r="AE1130" i="20"/>
  <c r="AL1130" i="20"/>
  <c r="AC1130" i="20"/>
  <c r="Z1130" i="20"/>
  <c r="AP1114" i="20"/>
  <c r="AJ1114" i="20"/>
  <c r="AI1107" i="20"/>
  <c r="AB1107" i="20"/>
  <c r="AK1107" i="20"/>
  <c r="AP1070" i="20"/>
  <c r="AG1070" i="20"/>
  <c r="AJ1026" i="20"/>
  <c r="AI1026" i="20"/>
  <c r="AO1026" i="20"/>
  <c r="AD990" i="20"/>
  <c r="AA990" i="20"/>
  <c r="AA981" i="20"/>
  <c r="AH981" i="20"/>
  <c r="AK960" i="20"/>
  <c r="AH960" i="20"/>
  <c r="Y960" i="20"/>
  <c r="AJ927" i="20"/>
  <c r="AD927" i="20"/>
  <c r="Y912" i="20"/>
  <c r="AA912" i="20"/>
  <c r="AO883" i="20"/>
  <c r="AG883" i="20"/>
  <c r="AI855" i="20"/>
  <c r="AC855" i="20"/>
  <c r="AP826" i="20"/>
  <c r="AO826" i="20"/>
  <c r="AP820" i="20"/>
  <c r="AI820" i="20"/>
  <c r="AO788" i="20"/>
  <c r="Y788" i="20"/>
  <c r="AO768" i="20"/>
  <c r="Z768" i="20"/>
  <c r="AH768" i="20"/>
  <c r="AG757" i="20"/>
  <c r="Y757" i="20"/>
  <c r="AO748" i="20"/>
  <c r="AB748" i="20"/>
  <c r="AC729" i="20"/>
  <c r="Y729" i="20"/>
  <c r="AO725" i="20"/>
  <c r="AC725" i="20"/>
  <c r="AO644" i="20"/>
  <c r="AD644" i="20"/>
  <c r="AB641" i="20"/>
  <c r="Y641" i="20"/>
  <c r="AO617" i="20"/>
  <c r="AA617" i="20"/>
  <c r="AO610" i="20"/>
  <c r="AP610" i="20"/>
  <c r="AO597" i="20"/>
  <c r="AJ597" i="20"/>
  <c r="AP577" i="20"/>
  <c r="AB577" i="20"/>
  <c r="AO569" i="20"/>
  <c r="AH569" i="20"/>
  <c r="AO561" i="20"/>
  <c r="AH561" i="20"/>
  <c r="AP525" i="20"/>
  <c r="AO525" i="20"/>
  <c r="AP515" i="20"/>
  <c r="AO515" i="20"/>
  <c r="AL515" i="20"/>
  <c r="AF515" i="20"/>
  <c r="AO513" i="20"/>
  <c r="AI513" i="20"/>
  <c r="AO486" i="20"/>
  <c r="AL486" i="20"/>
  <c r="AN475" i="20"/>
  <c r="AI475" i="20"/>
  <c r="AO477" i="20"/>
  <c r="AP477" i="20"/>
  <c r="AD477" i="20"/>
  <c r="AB477" i="20"/>
  <c r="AP461" i="20"/>
  <c r="AO461" i="20"/>
  <c r="AD461" i="20"/>
  <c r="AG352" i="20"/>
  <c r="AL352" i="20"/>
  <c r="AC352" i="20"/>
  <c r="AP345" i="20"/>
  <c r="AO345" i="20"/>
  <c r="AP321" i="20"/>
  <c r="AL321" i="20"/>
  <c r="AP317" i="20"/>
  <c r="AO317" i="20"/>
  <c r="AI297" i="20"/>
  <c r="AJ297" i="20"/>
  <c r="AP221" i="20"/>
  <c r="AO221" i="20"/>
  <c r="AP196" i="20"/>
  <c r="AH196" i="20"/>
  <c r="AG105" i="20"/>
  <c r="AT151" i="20"/>
  <c r="Y231" i="20"/>
  <c r="AH1088" i="20"/>
  <c r="AN1022" i="20"/>
  <c r="AC1024" i="20"/>
  <c r="AC152" i="20"/>
  <c r="Z1022" i="20"/>
  <c r="AP237" i="20"/>
  <c r="Y237" i="20"/>
  <c r="AG220" i="20"/>
  <c r="AB152" i="20"/>
  <c r="AG141" i="20"/>
  <c r="AL208" i="20"/>
  <c r="AK288" i="20"/>
  <c r="AC1085" i="20"/>
  <c r="AH293" i="20"/>
  <c r="Y207" i="20"/>
  <c r="AD1087" i="20"/>
  <c r="AG129" i="20"/>
  <c r="AE291" i="20"/>
  <c r="AI291" i="20"/>
  <c r="AN1106" i="20"/>
  <c r="AL1021" i="20"/>
  <c r="AF192" i="20"/>
  <c r="AL291" i="20"/>
  <c r="AN147" i="20"/>
  <c r="AI207" i="20"/>
  <c r="AL108" i="20"/>
  <c r="AB1106" i="20"/>
  <c r="AA139" i="20"/>
  <c r="AG207" i="20"/>
  <c r="AI129" i="20"/>
  <c r="AH1087" i="20"/>
  <c r="AL192" i="20"/>
  <c r="AC205" i="20"/>
  <c r="AA207" i="20"/>
  <c r="AD131" i="20"/>
  <c r="Z1087" i="20"/>
  <c r="Z292" i="20"/>
  <c r="AA205" i="20"/>
  <c r="AJ207" i="20"/>
  <c r="AB151" i="20"/>
  <c r="AG108" i="20"/>
  <c r="AO293" i="20"/>
  <c r="AO131" i="20"/>
  <c r="AO104" i="20"/>
  <c r="AP156" i="20"/>
  <c r="AI1101" i="20"/>
  <c r="AJ1101" i="20"/>
  <c r="AO1086" i="20"/>
  <c r="Y1086" i="20"/>
  <c r="AO916" i="20"/>
  <c r="AD916" i="20"/>
  <c r="Y139" i="20"/>
  <c r="AL139" i="20"/>
  <c r="AK139" i="20"/>
  <c r="AJ147" i="20"/>
  <c r="AC147" i="20"/>
  <c r="Z147" i="20"/>
  <c r="AK205" i="20"/>
  <c r="AL205" i="20"/>
  <c r="AJ284" i="20"/>
  <c r="Z284" i="20"/>
  <c r="AL189" i="20"/>
  <c r="Z189" i="20"/>
  <c r="Y189" i="20"/>
  <c r="Y129" i="20"/>
  <c r="AD129" i="20"/>
  <c r="AB129" i="20"/>
  <c r="AC129" i="20"/>
  <c r="Z129" i="20"/>
  <c r="AO948" i="20"/>
  <c r="AL948" i="20"/>
  <c r="AG948" i="20"/>
  <c r="AA948" i="20"/>
  <c r="AP1022" i="20"/>
  <c r="AE1088" i="20"/>
  <c r="AK1088" i="20"/>
  <c r="I154" i="86" s="1"/>
  <c r="L154" i="86" s="1"/>
  <c r="AN220" i="20"/>
  <c r="AD171" i="20"/>
  <c r="AE1022" i="20"/>
  <c r="AO241" i="20"/>
  <c r="AA1126" i="20"/>
  <c r="AO1126" i="20"/>
  <c r="AB1044" i="20"/>
  <c r="AJ1044" i="20"/>
  <c r="AP780" i="20"/>
  <c r="AO780" i="20"/>
  <c r="AH780" i="20"/>
  <c r="AP741" i="20"/>
  <c r="AO741" i="20"/>
  <c r="AP601" i="20"/>
  <c r="AO601" i="20"/>
  <c r="AP509" i="20"/>
  <c r="AO509" i="20"/>
  <c r="AP497" i="20"/>
  <c r="AO497" i="20"/>
  <c r="AO493" i="20"/>
  <c r="AP493" i="20"/>
  <c r="AP270" i="20"/>
  <c r="AO270" i="20"/>
  <c r="Z984" i="20"/>
  <c r="AJ984" i="20"/>
  <c r="AP144" i="20"/>
  <c r="Z144" i="20"/>
  <c r="Y144" i="20"/>
  <c r="AB144" i="20"/>
  <c r="AA144" i="20"/>
  <c r="AD142" i="20"/>
  <c r="Y142" i="20"/>
  <c r="AA142" i="20"/>
  <c r="AO239" i="20"/>
  <c r="AB239" i="20"/>
  <c r="AN239" i="20"/>
  <c r="AI239" i="20"/>
  <c r="AD239" i="20"/>
  <c r="AC239" i="20"/>
  <c r="AJ128" i="20"/>
  <c r="AL128" i="20"/>
  <c r="AA128" i="20"/>
  <c r="Y141" i="20"/>
  <c r="AH141" i="20"/>
  <c r="AN141" i="20"/>
  <c r="AD141" i="20"/>
  <c r="AA141" i="20"/>
  <c r="AK152" i="20"/>
  <c r="AP152" i="20"/>
  <c r="AA152" i="20"/>
  <c r="AO152" i="20"/>
  <c r="AE152" i="20"/>
  <c r="AA220" i="20"/>
  <c r="AP220" i="20"/>
  <c r="AH220" i="20"/>
  <c r="AI220" i="20"/>
  <c r="AD220" i="20"/>
  <c r="Y220" i="20"/>
  <c r="AG237" i="20"/>
  <c r="AO237" i="20"/>
  <c r="AD237" i="20"/>
  <c r="AK237" i="20"/>
  <c r="AB237" i="20"/>
  <c r="AP124" i="20"/>
  <c r="AC124" i="20"/>
  <c r="AH124" i="20"/>
  <c r="AJ124" i="20"/>
  <c r="AD124" i="20"/>
  <c r="AO124" i="20"/>
  <c r="AN124" i="20"/>
  <c r="AK124" i="20"/>
  <c r="Y124" i="20"/>
  <c r="AL124" i="20"/>
  <c r="AI124" i="20"/>
  <c r="AB124" i="20"/>
  <c r="AG124" i="20"/>
  <c r="AE124" i="20"/>
  <c r="AP112" i="20"/>
  <c r="Z112" i="20"/>
  <c r="AI112" i="20"/>
  <c r="AA112" i="20"/>
  <c r="AN112" i="20"/>
  <c r="AD112" i="20"/>
  <c r="AO112" i="20"/>
  <c r="AO247" i="20"/>
  <c r="AD247" i="20"/>
  <c r="Y247" i="20"/>
  <c r="AH247" i="20"/>
  <c r="AL247" i="20"/>
  <c r="AP113" i="20"/>
  <c r="AI113" i="20"/>
  <c r="AA113" i="20"/>
  <c r="AN113" i="20"/>
  <c r="AK113" i="20"/>
  <c r="AO113" i="20"/>
  <c r="AP151" i="20"/>
  <c r="AF151" i="20"/>
  <c r="AN151" i="20"/>
  <c r="AI151" i="20"/>
  <c r="AJ151" i="20"/>
  <c r="Z151" i="20"/>
  <c r="AA151" i="20"/>
  <c r="AO151" i="20"/>
  <c r="AD151" i="20"/>
  <c r="AE151" i="20"/>
  <c r="Y151" i="20"/>
  <c r="AH151" i="20"/>
  <c r="AL151" i="20"/>
  <c r="AA105" i="20"/>
  <c r="AB105" i="20"/>
  <c r="AL105" i="20"/>
  <c r="AJ105" i="20"/>
  <c r="AI105" i="20"/>
  <c r="AC105" i="20"/>
  <c r="AE105" i="20"/>
  <c r="AP105" i="20"/>
  <c r="AN105" i="20"/>
  <c r="Z105" i="20"/>
  <c r="AK105" i="20"/>
  <c r="AP244" i="20"/>
  <c r="AF244" i="20"/>
  <c r="AD244" i="20"/>
  <c r="AK244" i="20"/>
  <c r="Y244" i="20"/>
  <c r="AA244" i="20"/>
  <c r="AC244" i="20"/>
  <c r="AJ244" i="20"/>
  <c r="AO244" i="20"/>
  <c r="AL244" i="20"/>
  <c r="AG244" i="20"/>
  <c r="AH244" i="20"/>
  <c r="AJ241" i="20"/>
  <c r="Z241" i="20"/>
  <c r="AK241" i="20"/>
  <c r="Y241" i="20"/>
  <c r="AP241" i="20"/>
  <c r="AE241" i="20"/>
  <c r="AA241" i="20"/>
  <c r="AH241" i="20"/>
  <c r="AN241" i="20"/>
  <c r="AB241" i="20"/>
  <c r="AG241" i="20"/>
  <c r="AC241" i="20"/>
  <c r="AP1109" i="20"/>
  <c r="AO1109" i="20"/>
  <c r="Y1109" i="20"/>
  <c r="Z1109" i="20"/>
  <c r="AA1109" i="20"/>
  <c r="AF1109" i="20"/>
  <c r="AP1024" i="20"/>
  <c r="AI1024" i="20"/>
  <c r="AB1024" i="20"/>
  <c r="Y1024" i="20"/>
  <c r="AL1024" i="20"/>
  <c r="AG1022" i="20"/>
  <c r="AH1022" i="20"/>
  <c r="AI1022" i="20"/>
  <c r="AF1088" i="20"/>
  <c r="AG1088" i="20"/>
  <c r="AO1088" i="20"/>
  <c r="AD81" i="20"/>
  <c r="AE81" i="20"/>
  <c r="Z1088" i="20"/>
  <c r="AG1024" i="20"/>
  <c r="Y1088" i="20"/>
  <c r="AB1088" i="20"/>
  <c r="AC220" i="20"/>
  <c r="AP141" i="20"/>
  <c r="AF1022" i="20"/>
  <c r="AK1024" i="20"/>
  <c r="AF220" i="20"/>
  <c r="AD1088" i="20"/>
  <c r="AA1022" i="20"/>
  <c r="AK1022" i="20"/>
  <c r="Z1024" i="20"/>
  <c r="AI237" i="20"/>
  <c r="AA237" i="20"/>
  <c r="Z237" i="20"/>
  <c r="AB220" i="20"/>
  <c r="Z220" i="20"/>
  <c r="AH152" i="20"/>
  <c r="AF152" i="20"/>
  <c r="Z152" i="20"/>
  <c r="AI141" i="20"/>
  <c r="AC141" i="20"/>
  <c r="AB141" i="20"/>
  <c r="AI1109" i="20"/>
  <c r="AD1109" i="20"/>
  <c r="Y113" i="20"/>
  <c r="AB247" i="20"/>
  <c r="AJ247" i="20"/>
  <c r="Z113" i="20"/>
  <c r="AG247" i="20"/>
  <c r="Y112" i="20"/>
  <c r="AN247" i="20"/>
  <c r="AF113" i="20"/>
  <c r="AF124" i="20"/>
  <c r="AC151" i="20"/>
  <c r="AE244" i="20"/>
  <c r="AG151" i="20"/>
  <c r="AP247" i="20"/>
  <c r="AD1024" i="20"/>
  <c r="AC1088" i="20"/>
  <c r="AJ1088" i="20"/>
  <c r="H154" i="86" s="1"/>
  <c r="AO220" i="20"/>
  <c r="AJ1022" i="20"/>
  <c r="Y152" i="20"/>
  <c r="AL1088" i="20"/>
  <c r="AL1022" i="20"/>
  <c r="AC1022" i="20"/>
  <c r="AA1024" i="20"/>
  <c r="AL237" i="20"/>
  <c r="AE237" i="20"/>
  <c r="AJ237" i="20"/>
  <c r="AK220" i="20"/>
  <c r="AN152" i="20"/>
  <c r="AI152" i="20"/>
  <c r="AE141" i="20"/>
  <c r="Z141" i="20"/>
  <c r="AF141" i="20"/>
  <c r="AN1109" i="20"/>
  <c r="AE1109" i="20"/>
  <c r="AK1109" i="20"/>
  <c r="AC113" i="20"/>
  <c r="AC247" i="20"/>
  <c r="AH113" i="20"/>
  <c r="Z247" i="20"/>
  <c r="AF247" i="20"/>
  <c r="AH112" i="20"/>
  <c r="AI247" i="20"/>
  <c r="AF112" i="20"/>
  <c r="AA124" i="20"/>
  <c r="AD105" i="20"/>
  <c r="Z244" i="20"/>
  <c r="AB244" i="20"/>
  <c r="AI244" i="20"/>
  <c r="AF241" i="20"/>
  <c r="AG152" i="20"/>
  <c r="AJ1109" i="20"/>
  <c r="AL1109" i="20"/>
  <c r="AG1109" i="20"/>
  <c r="AG113" i="20"/>
  <c r="AL112" i="20"/>
  <c r="AB113" i="20"/>
  <c r="AG112" i="20"/>
  <c r="AD113" i="20"/>
  <c r="AJ113" i="20"/>
  <c r="AE247" i="20"/>
  <c r="AK112" i="20"/>
  <c r="AJ112" i="20"/>
  <c r="AE112" i="20"/>
  <c r="Z124" i="20"/>
  <c r="AH105" i="20"/>
  <c r="AI241" i="20"/>
  <c r="AN244" i="20"/>
  <c r="AO105" i="20"/>
  <c r="AT1035" i="20"/>
  <c r="AT947" i="20"/>
  <c r="AN39" i="20"/>
  <c r="AG42" i="20"/>
  <c r="AA524" i="20"/>
  <c r="AN1041" i="20"/>
  <c r="AI96" i="20"/>
  <c r="AD959" i="20"/>
  <c r="AD340" i="20"/>
  <c r="AD1117" i="20"/>
  <c r="Y417" i="20"/>
  <c r="AH1043" i="20"/>
  <c r="AP1043" i="20"/>
  <c r="AI1013" i="20"/>
  <c r="AP1013" i="20"/>
  <c r="AO876" i="20"/>
  <c r="AN876" i="20"/>
  <c r="AG664" i="20"/>
  <c r="AL664" i="20"/>
  <c r="Z650" i="20"/>
  <c r="AJ650" i="20"/>
  <c r="AJ588" i="20"/>
  <c r="AK588" i="20"/>
  <c r="AD159" i="20"/>
  <c r="AI159" i="20"/>
  <c r="AA161" i="20"/>
  <c r="Z161" i="20"/>
  <c r="AA166" i="20"/>
  <c r="AJ166" i="20"/>
  <c r="AC155" i="20"/>
  <c r="AN155" i="20"/>
  <c r="AC243" i="20"/>
  <c r="AE243" i="20"/>
  <c r="AK1055" i="20"/>
  <c r="Z1055" i="20"/>
  <c r="AH863" i="20"/>
  <c r="AP863" i="20"/>
  <c r="AI859" i="20"/>
  <c r="AG859" i="20"/>
  <c r="AG640" i="20"/>
  <c r="AD640" i="20"/>
  <c r="AB564" i="20"/>
  <c r="Y564" i="20"/>
  <c r="AF296" i="20"/>
  <c r="AL296" i="20"/>
  <c r="AC60" i="20"/>
  <c r="AC37" i="20"/>
  <c r="AL119" i="20"/>
  <c r="AO854" i="20"/>
  <c r="AN235" i="20"/>
  <c r="AD620" i="20"/>
  <c r="AT686" i="20"/>
  <c r="AT645" i="20"/>
  <c r="AT653" i="20"/>
  <c r="AT402" i="20"/>
  <c r="AT487" i="20"/>
  <c r="AT445" i="20"/>
  <c r="AT36" i="20"/>
  <c r="AT239" i="20"/>
  <c r="AT1042" i="20"/>
  <c r="AT265" i="20"/>
  <c r="AT912" i="20"/>
  <c r="Z125" i="20"/>
  <c r="AC645" i="20"/>
  <c r="AC627" i="20"/>
  <c r="AC538" i="20"/>
  <c r="AL502" i="20"/>
  <c r="AB466" i="20"/>
  <c r="AN430" i="20"/>
  <c r="AE254" i="20"/>
  <c r="AK522" i="20"/>
  <c r="AG715" i="20"/>
  <c r="AP762" i="20"/>
  <c r="AK762" i="20"/>
  <c r="AA712" i="20"/>
  <c r="AN658" i="20"/>
  <c r="AC586" i="20"/>
  <c r="AE538" i="20"/>
  <c r="AC698" i="20"/>
  <c r="AT518" i="20"/>
  <c r="AE446" i="20"/>
  <c r="Z636" i="20"/>
  <c r="AF773" i="20"/>
  <c r="AT204" i="20"/>
  <c r="AF426" i="20"/>
  <c r="AN259" i="20"/>
  <c r="AI462" i="20"/>
  <c r="AF715" i="20"/>
  <c r="AT573" i="20"/>
  <c r="AT565" i="20"/>
  <c r="AT621" i="20"/>
  <c r="AO107" i="20"/>
  <c r="AA125" i="20"/>
  <c r="AT938" i="20"/>
  <c r="AT985" i="20"/>
  <c r="AT221" i="20"/>
  <c r="AT983" i="20"/>
  <c r="AT133" i="20"/>
  <c r="AA149" i="20"/>
  <c r="AT815" i="20"/>
  <c r="AT988" i="20"/>
  <c r="AT1106" i="20"/>
  <c r="AT177" i="20"/>
  <c r="AT90" i="20"/>
  <c r="AT313" i="20"/>
  <c r="AL880" i="20"/>
  <c r="AE874" i="20"/>
  <c r="G48" i="86"/>
  <c r="J48" i="86" s="1"/>
  <c r="AT218" i="20"/>
  <c r="AT229" i="20"/>
  <c r="AT149" i="20"/>
  <c r="AP36" i="20"/>
  <c r="AO36" i="20"/>
  <c r="AL74" i="20"/>
  <c r="AC74" i="20"/>
  <c r="AK769" i="20"/>
  <c r="AE769" i="20"/>
  <c r="AB769" i="20"/>
  <c r="AC763" i="20"/>
  <c r="AA763" i="20"/>
  <c r="AG763" i="20"/>
  <c r="AF763" i="20"/>
  <c r="AP759" i="20"/>
  <c r="AO759" i="20"/>
  <c r="AL759" i="20"/>
  <c r="AI755" i="20"/>
  <c r="AG755" i="20"/>
  <c r="AH755" i="20"/>
  <c r="Y755" i="20"/>
  <c r="AN747" i="20"/>
  <c r="Y747" i="20"/>
  <c r="AL747" i="20"/>
  <c r="AC747" i="20"/>
  <c r="Z747" i="20"/>
  <c r="Y739" i="20"/>
  <c r="AC739" i="20"/>
  <c r="AK739" i="20"/>
  <c r="AH739" i="20"/>
  <c r="AG739" i="20"/>
  <c r="AF731" i="20"/>
  <c r="AK731" i="20"/>
  <c r="AC731" i="20"/>
  <c r="AJ731" i="20"/>
  <c r="AF723" i="20"/>
  <c r="AJ723" i="20"/>
  <c r="AD723" i="20"/>
  <c r="AH723" i="20"/>
  <c r="AG723" i="20"/>
  <c r="AO716" i="20"/>
  <c r="AC716" i="20"/>
  <c r="AF713" i="20"/>
  <c r="AI713" i="20"/>
  <c r="AA713" i="20"/>
  <c r="AH713" i="20"/>
  <c r="AB713" i="20"/>
  <c r="AB706" i="20"/>
  <c r="AN706" i="20"/>
  <c r="AL706" i="20"/>
  <c r="AH695" i="20"/>
  <c r="Y695" i="20"/>
  <c r="AB695" i="20"/>
  <c r="Y687" i="20"/>
  <c r="AI687" i="20"/>
  <c r="AC679" i="20"/>
  <c r="Z679" i="20"/>
  <c r="AH679" i="20"/>
  <c r="AE671" i="20"/>
  <c r="AN671" i="20"/>
  <c r="AH663" i="20"/>
  <c r="Z663" i="20"/>
  <c r="AD663" i="20"/>
  <c r="AG656" i="20"/>
  <c r="Y656" i="20"/>
  <c r="AN647" i="20"/>
  <c r="AF647" i="20"/>
  <c r="AK647" i="20"/>
  <c r="AP639" i="20"/>
  <c r="AK639" i="20"/>
  <c r="AG637" i="20"/>
  <c r="AJ637" i="20"/>
  <c r="AA637" i="20"/>
  <c r="AD623" i="20"/>
  <c r="AJ623" i="20"/>
  <c r="AG615" i="20"/>
  <c r="AC615" i="20"/>
  <c r="AJ615" i="20"/>
  <c r="AD615" i="20"/>
  <c r="AL605" i="20"/>
  <c r="AA605" i="20"/>
  <c r="AE599" i="20"/>
  <c r="Z599" i="20"/>
  <c r="AN592" i="20"/>
  <c r="AG592" i="20"/>
  <c r="AD592" i="20"/>
  <c r="AK592" i="20"/>
  <c r="AF580" i="20"/>
  <c r="Y580" i="20"/>
  <c r="AJ575" i="20"/>
  <c r="AA575" i="20"/>
  <c r="Z575" i="20"/>
  <c r="Y575" i="20"/>
  <c r="AO568" i="20"/>
  <c r="AE568" i="20"/>
  <c r="AD568" i="20"/>
  <c r="AL568" i="20"/>
  <c r="AO563" i="20"/>
  <c r="AF563" i="20"/>
  <c r="AD563" i="20"/>
  <c r="Z563" i="20"/>
  <c r="AH563" i="20"/>
  <c r="AP555" i="20"/>
  <c r="AJ555" i="20"/>
  <c r="AI555" i="20"/>
  <c r="AA555" i="20"/>
  <c r="AE543" i="20"/>
  <c r="Z543" i="20"/>
  <c r="Y543" i="20"/>
  <c r="AK543" i="20"/>
  <c r="AN535" i="20"/>
  <c r="AD535" i="20"/>
  <c r="AG535" i="20"/>
  <c r="AH527" i="20"/>
  <c r="AA527" i="20"/>
  <c r="AK527" i="20"/>
  <c r="AF527" i="20"/>
  <c r="AJ523" i="20"/>
  <c r="AK523" i="20"/>
  <c r="AA523" i="20"/>
  <c r="AD514" i="20"/>
  <c r="AK514" i="20"/>
  <c r="AH514" i="20"/>
  <c r="AN514" i="20"/>
  <c r="AF507" i="20"/>
  <c r="Y507" i="20"/>
  <c r="AC507" i="20"/>
  <c r="AB507" i="20"/>
  <c r="AN499" i="20"/>
  <c r="AF499" i="20"/>
  <c r="AG499" i="20"/>
  <c r="Z499" i="20"/>
  <c r="AK491" i="20"/>
  <c r="AF491" i="20"/>
  <c r="AJ491" i="20"/>
  <c r="AI482" i="20"/>
  <c r="AJ482" i="20"/>
  <c r="AI458" i="20"/>
  <c r="AK458" i="20"/>
  <c r="AH458" i="20"/>
  <c r="AB458" i="20"/>
  <c r="Y458" i="20"/>
  <c r="AI451" i="20"/>
  <c r="Z451" i="20"/>
  <c r="AD451" i="20"/>
  <c r="AP445" i="20"/>
  <c r="AB445" i="20"/>
  <c r="AH445" i="20"/>
  <c r="AF445" i="20"/>
  <c r="AD435" i="20"/>
  <c r="AA435" i="20"/>
  <c r="AG435" i="20"/>
  <c r="AL435" i="20"/>
  <c r="AB435" i="20"/>
  <c r="AI427" i="20"/>
  <c r="AE427" i="20"/>
  <c r="AJ427" i="20"/>
  <c r="AL427" i="20"/>
  <c r="AP420" i="20"/>
  <c r="AO420" i="20"/>
  <c r="AP404" i="20"/>
  <c r="AJ404" i="20"/>
  <c r="AO384" i="20"/>
  <c r="AP384" i="20"/>
  <c r="AO348" i="20"/>
  <c r="AE348" i="20"/>
  <c r="AP361" i="20"/>
  <c r="AO361" i="20"/>
  <c r="AF347" i="20"/>
  <c r="Z347" i="20"/>
  <c r="AK347" i="20"/>
  <c r="AH347" i="20"/>
  <c r="AA339" i="20"/>
  <c r="AL339" i="20"/>
  <c r="AG339" i="20"/>
  <c r="AK339" i="20"/>
  <c r="AF331" i="20"/>
  <c r="AI331" i="20"/>
  <c r="AN331" i="20"/>
  <c r="AE331" i="20"/>
  <c r="AL280" i="20"/>
  <c r="Z280" i="20"/>
  <c r="I48" i="86"/>
  <c r="L48" i="86" s="1"/>
  <c r="G16" i="86"/>
  <c r="J16" i="86" s="1"/>
  <c r="I49" i="86"/>
  <c r="L49" i="86" s="1"/>
  <c r="H138" i="86"/>
  <c r="K138" i="86" s="1"/>
  <c r="G49" i="86"/>
  <c r="J49" i="86" s="1"/>
  <c r="I161" i="86"/>
  <c r="L161" i="86" s="1"/>
  <c r="I86" i="86"/>
  <c r="L86" i="86" s="1"/>
  <c r="AE77" i="20"/>
  <c r="AO77" i="20"/>
  <c r="AE76" i="20"/>
  <c r="AB76" i="20"/>
  <c r="AN70" i="20"/>
  <c r="AJ70" i="20"/>
  <c r="AP71" i="20"/>
  <c r="AI71" i="20"/>
  <c r="AJ79" i="20"/>
  <c r="AL79" i="20"/>
  <c r="Y1167" i="20"/>
  <c r="AG1167" i="20"/>
  <c r="AF1159" i="20"/>
  <c r="AI1159" i="20"/>
  <c r="AO1154" i="20"/>
  <c r="AJ1154" i="20"/>
  <c r="Y1146" i="20"/>
  <c r="AH1146" i="20"/>
  <c r="AE1146" i="20"/>
  <c r="AB1135" i="20"/>
  <c r="Y1135" i="20"/>
  <c r="AI1135" i="20"/>
  <c r="AD1115" i="20"/>
  <c r="AL1115" i="20"/>
  <c r="AE1083" i="20"/>
  <c r="AI1083" i="20"/>
  <c r="AH1071" i="20"/>
  <c r="AD1071" i="20"/>
  <c r="AE1031" i="20"/>
  <c r="AH1031" i="20"/>
  <c r="Y998" i="20"/>
  <c r="AN998" i="20"/>
  <c r="AB970" i="20"/>
  <c r="AL970" i="20"/>
  <c r="AN970" i="20"/>
  <c r="AK961" i="20"/>
  <c r="AE961" i="20"/>
  <c r="Z953" i="20"/>
  <c r="AB953" i="20"/>
  <c r="AC913" i="20"/>
  <c r="AN913" i="20"/>
  <c r="AN886" i="20"/>
  <c r="Y886" i="20"/>
  <c r="AA901" i="20"/>
  <c r="AH901" i="20"/>
  <c r="AI870" i="20"/>
  <c r="Y870" i="20"/>
  <c r="AE830" i="20"/>
  <c r="AC830" i="20"/>
  <c r="AF775" i="20"/>
  <c r="AL775" i="20"/>
  <c r="AC775" i="20"/>
  <c r="Y766" i="20"/>
  <c r="AD766" i="20"/>
  <c r="AB766" i="20"/>
  <c r="AO758" i="20"/>
  <c r="AC758" i="20"/>
  <c r="AD758" i="20"/>
  <c r="AO753" i="20"/>
  <c r="AN753" i="20"/>
  <c r="AP753" i="20"/>
  <c r="AP746" i="20"/>
  <c r="AH746" i="20"/>
  <c r="AJ746" i="20"/>
  <c r="AF742" i="20"/>
  <c r="AA742" i="20"/>
  <c r="AJ742" i="20"/>
  <c r="Y742" i="20"/>
  <c r="AH738" i="20"/>
  <c r="AE738" i="20"/>
  <c r="AD738" i="20"/>
  <c r="AJ738" i="20"/>
  <c r="AK730" i="20"/>
  <c r="AN730" i="20"/>
  <c r="Y730" i="20"/>
  <c r="AL730" i="20"/>
  <c r="AO730" i="20"/>
  <c r="AA726" i="20"/>
  <c r="AD726" i="20"/>
  <c r="Y722" i="20"/>
  <c r="AP722" i="20"/>
  <c r="Z722" i="20"/>
  <c r="AD712" i="20"/>
  <c r="AP712" i="20"/>
  <c r="AI712" i="20"/>
  <c r="Y709" i="20"/>
  <c r="Z709" i="20"/>
  <c r="AC718" i="20"/>
  <c r="Y718" i="20"/>
  <c r="AB718" i="20"/>
  <c r="AI718" i="20"/>
  <c r="AC702" i="20"/>
  <c r="AP702" i="20"/>
  <c r="AE698" i="20"/>
  <c r="AI698" i="20"/>
  <c r="AJ698" i="20"/>
  <c r="AA694" i="20"/>
  <c r="AK694" i="20"/>
  <c r="AJ694" i="20"/>
  <c r="AN684" i="20"/>
  <c r="AE684" i="20"/>
  <c r="AK684" i="20"/>
  <c r="AJ684" i="20"/>
  <c r="AI684" i="20"/>
  <c r="AL685" i="20"/>
  <c r="AP685" i="20"/>
  <c r="AH685" i="20"/>
  <c r="AA677" i="20"/>
  <c r="AI677" i="20"/>
  <c r="AO677" i="20"/>
  <c r="AH677" i="20"/>
  <c r="Z677" i="20"/>
  <c r="AP673" i="20"/>
  <c r="AE673" i="20"/>
  <c r="AJ668" i="20"/>
  <c r="AE668" i="20"/>
  <c r="AH662" i="20"/>
  <c r="AD662" i="20"/>
  <c r="AA662" i="20"/>
  <c r="AL658" i="20"/>
  <c r="AF658" i="20"/>
  <c r="AA658" i="20"/>
  <c r="AO651" i="20"/>
  <c r="AB651" i="20"/>
  <c r="AP645" i="20"/>
  <c r="AG645" i="20"/>
  <c r="AA645" i="20"/>
  <c r="AO642" i="20"/>
  <c r="AB642" i="20"/>
  <c r="AF642" i="20"/>
  <c r="AF638" i="20"/>
  <c r="AG638" i="20"/>
  <c r="AH632" i="20"/>
  <c r="AE632" i="20"/>
  <c r="AC618" i="20"/>
  <c r="AI618" i="20"/>
  <c r="AL618" i="20"/>
  <c r="AL611" i="20"/>
  <c r="AE611" i="20"/>
  <c r="AC611" i="20"/>
  <c r="AJ604" i="20"/>
  <c r="AL604" i="20"/>
  <c r="AP604" i="20"/>
  <c r="AK602" i="20"/>
  <c r="AF602" i="20"/>
  <c r="AN598" i="20"/>
  <c r="AB598" i="20"/>
  <c r="AK594" i="20"/>
  <c r="AH594" i="20"/>
  <c r="AI594" i="20"/>
  <c r="AN594" i="20"/>
  <c r="AD591" i="20"/>
  <c r="AO591" i="20"/>
  <c r="AB591" i="20"/>
  <c r="AF579" i="20"/>
  <c r="AP579" i="20"/>
  <c r="AC574" i="20"/>
  <c r="AL574" i="20"/>
  <c r="AH574" i="20"/>
  <c r="AN570" i="20"/>
  <c r="AP570" i="20"/>
  <c r="AH570" i="20"/>
  <c r="AK570" i="20"/>
  <c r="AD567" i="20"/>
  <c r="AJ567" i="20"/>
  <c r="Z567" i="20"/>
  <c r="AP567" i="20"/>
  <c r="AN567" i="20"/>
  <c r="AG558" i="20"/>
  <c r="AH558" i="20"/>
  <c r="AE550" i="20"/>
  <c r="AD550" i="20"/>
  <c r="AG550" i="20"/>
  <c r="AN550" i="20"/>
  <c r="AI546" i="20"/>
  <c r="AF546" i="20"/>
  <c r="Z546" i="20"/>
  <c r="AO546" i="20"/>
  <c r="AD542" i="20"/>
  <c r="AI542" i="20"/>
  <c r="AO534" i="20"/>
  <c r="Z534" i="20"/>
  <c r="AF534" i="20"/>
  <c r="AH534" i="20"/>
  <c r="AL526" i="20"/>
  <c r="AA526" i="20"/>
  <c r="AJ526" i="20"/>
  <c r="AP526" i="20"/>
  <c r="AJ518" i="20"/>
  <c r="AF518" i="20"/>
  <c r="AL518" i="20"/>
  <c r="AG516" i="20"/>
  <c r="AE516" i="20"/>
  <c r="Y516" i="20"/>
  <c r="AB510" i="20"/>
  <c r="AL510" i="20"/>
  <c r="AP506" i="20"/>
  <c r="AB506" i="20"/>
  <c r="AK506" i="20"/>
  <c r="AI506" i="20"/>
  <c r="AA498" i="20"/>
  <c r="AD498" i="20"/>
  <c r="AJ494" i="20"/>
  <c r="AC494" i="20"/>
  <c r="AG494" i="20"/>
  <c r="AA488" i="20"/>
  <c r="AL488" i="20"/>
  <c r="AP487" i="20"/>
  <c r="AA487" i="20"/>
  <c r="AB483" i="20"/>
  <c r="Y483" i="20"/>
  <c r="AO483" i="20"/>
  <c r="AK478" i="20"/>
  <c r="AE478" i="20"/>
  <c r="AP478" i="20"/>
  <c r="AC472" i="20"/>
  <c r="AL472" i="20"/>
  <c r="Y470" i="20"/>
  <c r="AJ470" i="20"/>
  <c r="AN470" i="20"/>
  <c r="AK466" i="20"/>
  <c r="AE466" i="20"/>
  <c r="AC459" i="20"/>
  <c r="AD459" i="20"/>
  <c r="AL454" i="20"/>
  <c r="Y454" i="20"/>
  <c r="AD450" i="20"/>
  <c r="Y450" i="20"/>
  <c r="AK450" i="20"/>
  <c r="Z438" i="20"/>
  <c r="AO438" i="20"/>
  <c r="AJ438" i="20"/>
  <c r="AA438" i="20"/>
  <c r="AH434" i="20"/>
  <c r="Y434" i="20"/>
  <c r="AN434" i="20"/>
  <c r="AP434" i="20"/>
  <c r="AK434" i="20"/>
  <c r="AO430" i="20"/>
  <c r="AD430" i="20"/>
  <c r="AH430" i="20"/>
  <c r="AO379" i="20"/>
  <c r="AN379" i="20"/>
  <c r="AG353" i="20"/>
  <c r="AB353" i="20"/>
  <c r="AO346" i="20"/>
  <c r="AA346" i="20"/>
  <c r="AI346" i="20"/>
  <c r="Z342" i="20"/>
  <c r="Y342" i="20"/>
  <c r="AG338" i="20"/>
  <c r="AF338" i="20"/>
  <c r="AL334" i="20"/>
  <c r="AA334" i="20"/>
  <c r="AK334" i="20"/>
  <c r="AJ330" i="20"/>
  <c r="AP330" i="20"/>
  <c r="AL330" i="20"/>
  <c r="AB330" i="20"/>
  <c r="AG330" i="20"/>
  <c r="AC326" i="20"/>
  <c r="AP326" i="20"/>
  <c r="AO322" i="20"/>
  <c r="AA322" i="20"/>
  <c r="AF318" i="20"/>
  <c r="AC318" i="20"/>
  <c r="AH318" i="20"/>
  <c r="AN307" i="20"/>
  <c r="AI307" i="20"/>
  <c r="AJ311" i="20"/>
  <c r="AI311" i="20"/>
  <c r="AK311" i="20"/>
  <c r="AC302" i="20"/>
  <c r="AG302" i="20"/>
  <c r="AJ302" i="20"/>
  <c r="Z302" i="20"/>
  <c r="AF298" i="20"/>
  <c r="AO298" i="20"/>
  <c r="AO294" i="20"/>
  <c r="Y294" i="20"/>
  <c r="AK294" i="20"/>
  <c r="AJ294" i="20"/>
  <c r="AF273" i="20"/>
  <c r="AI273" i="20"/>
  <c r="AD273" i="20"/>
  <c r="AG271" i="20"/>
  <c r="AJ271" i="20"/>
  <c r="AI271" i="20"/>
  <c r="AP267" i="20"/>
  <c r="AC267" i="20"/>
  <c r="AK267" i="20"/>
  <c r="AJ263" i="20"/>
  <c r="AC263" i="20"/>
  <c r="AN251" i="20"/>
  <c r="AE251" i="20"/>
  <c r="AI245" i="20"/>
  <c r="AJ245" i="20"/>
  <c r="AN245" i="20"/>
  <c r="AJ233" i="20"/>
  <c r="AK233" i="20"/>
  <c r="AG233" i="20"/>
  <c r="AO233" i="20"/>
  <c r="AH225" i="20"/>
  <c r="AP225" i="20"/>
  <c r="AG226" i="20"/>
  <c r="AF226" i="20"/>
  <c r="Z226" i="20"/>
  <c r="AE226" i="20"/>
  <c r="AL217" i="20"/>
  <c r="AC217" i="20"/>
  <c r="AP198" i="20"/>
  <c r="Y198" i="20"/>
  <c r="AD187" i="20"/>
  <c r="AB187" i="20"/>
  <c r="AI177" i="20"/>
  <c r="Z177" i="20"/>
  <c r="AE177" i="20"/>
  <c r="Y177" i="20"/>
  <c r="AJ178" i="20"/>
  <c r="AG178" i="20"/>
  <c r="Z273" i="20"/>
  <c r="AI298" i="20"/>
  <c r="AH506" i="20"/>
  <c r="Y668" i="20"/>
  <c r="AG752" i="20"/>
  <c r="AC546" i="20"/>
  <c r="AJ198" i="20"/>
  <c r="AB627" i="20"/>
  <c r="AJ690" i="20"/>
  <c r="AI632" i="20"/>
  <c r="AP798" i="20"/>
  <c r="Z277" i="20"/>
  <c r="Y98" i="20"/>
  <c r="Y1078" i="20"/>
  <c r="AF924" i="20"/>
  <c r="AG69" i="20"/>
  <c r="AF452" i="20"/>
  <c r="AG624" i="20"/>
  <c r="Y989" i="20"/>
  <c r="Y908" i="20"/>
  <c r="AD1113" i="20"/>
  <c r="AC779" i="20"/>
  <c r="AO779" i="20"/>
  <c r="Y760" i="20"/>
  <c r="AI760" i="20"/>
  <c r="AE750" i="20"/>
  <c r="AJ750" i="20"/>
  <c r="AB751" i="20"/>
  <c r="AG751" i="20"/>
  <c r="Z736" i="20"/>
  <c r="AH736" i="20"/>
  <c r="AI736" i="20"/>
  <c r="AC724" i="20"/>
  <c r="AA724" i="20"/>
  <c r="AL714" i="20"/>
  <c r="Y714" i="20"/>
  <c r="AI714" i="20"/>
  <c r="G52" i="86" s="1"/>
  <c r="J52" i="86" s="1"/>
  <c r="Y700" i="20"/>
  <c r="AD700" i="20"/>
  <c r="AN682" i="20"/>
  <c r="AF682" i="20"/>
  <c r="Y675" i="20"/>
  <c r="AL675" i="20"/>
  <c r="AE675" i="20"/>
  <c r="AD670" i="20"/>
  <c r="AA670" i="20"/>
  <c r="AH660" i="20"/>
  <c r="AF660" i="20"/>
  <c r="AP648" i="20"/>
  <c r="AJ648" i="20"/>
  <c r="AG643" i="20"/>
  <c r="AE643" i="20"/>
  <c r="AE630" i="20"/>
  <c r="Z630" i="20"/>
  <c r="AB630" i="20"/>
  <c r="AP620" i="20"/>
  <c r="AO620" i="20"/>
  <c r="AJ620" i="20"/>
  <c r="AG620" i="20"/>
  <c r="AB620" i="20"/>
  <c r="AF620" i="20"/>
  <c r="AE620" i="20"/>
  <c r="AN620" i="20"/>
  <c r="Z620" i="20"/>
  <c r="AA620" i="20"/>
  <c r="AL620" i="20"/>
  <c r="AI620" i="20"/>
  <c r="AC620" i="20"/>
  <c r="AH620" i="20"/>
  <c r="Z616" i="20"/>
  <c r="AG616" i="20"/>
  <c r="AE608" i="20"/>
  <c r="AG608" i="20"/>
  <c r="AB600" i="20"/>
  <c r="AE600" i="20"/>
  <c r="AD590" i="20"/>
  <c r="AC590" i="20"/>
  <c r="AD576" i="20"/>
  <c r="AH576" i="20"/>
  <c r="AB572" i="20"/>
  <c r="AD572" i="20"/>
  <c r="AH566" i="20"/>
  <c r="AL566" i="20"/>
  <c r="AG566" i="20"/>
  <c r="AB556" i="20"/>
  <c r="AG556" i="20"/>
  <c r="AK548" i="20"/>
  <c r="AB548" i="20"/>
  <c r="AG540" i="20"/>
  <c r="AL540" i="20"/>
  <c r="Z531" i="20"/>
  <c r="AA531" i="20"/>
  <c r="AE528" i="20"/>
  <c r="AJ528" i="20"/>
  <c r="AK517" i="20"/>
  <c r="AC517" i="20"/>
  <c r="AL512" i="20"/>
  <c r="Z512" i="20"/>
  <c r="Y508" i="20"/>
  <c r="AB508" i="20"/>
  <c r="AG508" i="20"/>
  <c r="AC492" i="20"/>
  <c r="Y492" i="20"/>
  <c r="AF489" i="20"/>
  <c r="AA489" i="20"/>
  <c r="AA484" i="20"/>
  <c r="AK484" i="20"/>
  <c r="AA473" i="20"/>
  <c r="AN473" i="20"/>
  <c r="AG468" i="20"/>
  <c r="Y468" i="20"/>
  <c r="AI460" i="20"/>
  <c r="AL460" i="20"/>
  <c r="AE460" i="20"/>
  <c r="AD440" i="20"/>
  <c r="Y440" i="20"/>
  <c r="AN440" i="20"/>
  <c r="AF436" i="20"/>
  <c r="AP436" i="20"/>
  <c r="AD436" i="20"/>
  <c r="AH432" i="20"/>
  <c r="AN432" i="20"/>
  <c r="AF324" i="20"/>
  <c r="AD324" i="20"/>
  <c r="AG265" i="20"/>
  <c r="AB265" i="20"/>
  <c r="AL262" i="20"/>
  <c r="Z262" i="20"/>
  <c r="AA262" i="20"/>
  <c r="AB249" i="20"/>
  <c r="AL249" i="20"/>
  <c r="AF249" i="20"/>
  <c r="AK204" i="20"/>
  <c r="AE204" i="20"/>
  <c r="AK185" i="20"/>
  <c r="AB185" i="20"/>
  <c r="AO117" i="20"/>
  <c r="AH117" i="20"/>
  <c r="AI117" i="20"/>
  <c r="AB117" i="20"/>
  <c r="AF117" i="20"/>
  <c r="AJ117" i="20"/>
  <c r="AA117" i="20"/>
  <c r="AE117" i="20"/>
  <c r="AK117" i="20"/>
  <c r="AL117" i="20"/>
  <c r="AP117" i="20"/>
  <c r="AN117" i="20"/>
  <c r="Y117" i="20"/>
  <c r="AC117" i="20"/>
  <c r="Z117" i="20"/>
  <c r="AG117" i="20"/>
  <c r="AD117" i="20"/>
  <c r="AN932" i="20"/>
  <c r="AF932" i="20"/>
  <c r="AL964" i="20"/>
  <c r="AC964" i="20"/>
  <c r="AK1095" i="20"/>
  <c r="AN1095" i="20"/>
  <c r="Y1095" i="20"/>
  <c r="Z119" i="20"/>
  <c r="AA119" i="20"/>
  <c r="AO119" i="20"/>
  <c r="Y240" i="20"/>
  <c r="AG240" i="20"/>
  <c r="AI33" i="20"/>
  <c r="AA33" i="20"/>
  <c r="AC33" i="20"/>
  <c r="AE33" i="20"/>
  <c r="AL46" i="20"/>
  <c r="AG46" i="20"/>
  <c r="Z46" i="20"/>
  <c r="AH46" i="20"/>
  <c r="Y46" i="20"/>
  <c r="AG60" i="20"/>
  <c r="AN60" i="20"/>
  <c r="AJ60" i="20"/>
  <c r="AA60" i="20"/>
  <c r="AN37" i="20"/>
  <c r="Z37" i="20"/>
  <c r="AG37" i="20"/>
  <c r="AB37" i="20"/>
  <c r="AF42" i="20"/>
  <c r="AL42" i="20"/>
  <c r="AI42" i="20"/>
  <c r="Z39" i="20"/>
  <c r="AC39" i="20"/>
  <c r="AB39" i="20"/>
  <c r="AI90" i="20"/>
  <c r="AD90" i="20"/>
  <c r="AP90" i="20"/>
  <c r="AF75" i="20"/>
  <c r="Z75" i="20"/>
  <c r="Y75" i="20"/>
  <c r="Y97" i="20"/>
  <c r="AK97" i="20"/>
  <c r="AO97" i="20"/>
  <c r="AO1169" i="20"/>
  <c r="AI1169" i="20"/>
  <c r="AA1161" i="20"/>
  <c r="Y1161" i="20"/>
  <c r="AH1149" i="20"/>
  <c r="AC1149" i="20"/>
  <c r="AA1144" i="20"/>
  <c r="AC1144" i="20"/>
  <c r="AN1141" i="20"/>
  <c r="AL1141" i="20"/>
  <c r="AN1137" i="20"/>
  <c r="AF1137" i="20"/>
  <c r="AJ1125" i="20"/>
  <c r="AG1125" i="20"/>
  <c r="AI1119" i="20"/>
  <c r="AB1119" i="20"/>
  <c r="AJ1105" i="20"/>
  <c r="AP1105" i="20"/>
  <c r="AF1105" i="20"/>
  <c r="AH1090" i="20"/>
  <c r="AG1090" i="20"/>
  <c r="Z1068" i="20"/>
  <c r="AN1068" i="20"/>
  <c r="AO1068" i="20"/>
  <c r="AA1051" i="20"/>
  <c r="AB1051" i="20"/>
  <c r="AJ1039" i="20"/>
  <c r="AB1039" i="20"/>
  <c r="AO1039" i="20"/>
  <c r="AC1033" i="20"/>
  <c r="AH1033" i="20"/>
  <c r="AO1033" i="20"/>
  <c r="AP1017" i="20"/>
  <c r="AE1017" i="20"/>
  <c r="AN1003" i="20"/>
  <c r="AP1003" i="20"/>
  <c r="AD1003" i="20"/>
  <c r="AP993" i="20"/>
  <c r="AA993" i="20"/>
  <c r="AO980" i="20"/>
  <c r="AI980" i="20"/>
  <c r="Z972" i="20"/>
  <c r="Y972" i="20"/>
  <c r="AO963" i="20"/>
  <c r="Z963" i="20"/>
  <c r="AP963" i="20"/>
  <c r="Y955" i="20"/>
  <c r="AO955" i="20"/>
  <c r="AO951" i="20"/>
  <c r="AA951" i="20"/>
  <c r="AF937" i="20"/>
  <c r="AO937" i="20"/>
  <c r="AJ937" i="20"/>
  <c r="AN937" i="20"/>
  <c r="AO930" i="20"/>
  <c r="AJ930" i="20"/>
  <c r="AL926" i="20"/>
  <c r="AD926" i="20"/>
  <c r="Z922" i="20"/>
  <c r="AD922" i="20"/>
  <c r="AH917" i="20"/>
  <c r="AC917" i="20"/>
  <c r="AF882" i="20"/>
  <c r="AJ882" i="20"/>
  <c r="AE902" i="20"/>
  <c r="AG902" i="20"/>
  <c r="AA872" i="20"/>
  <c r="AO872" i="20"/>
  <c r="AJ843" i="20"/>
  <c r="AC843" i="20"/>
  <c r="AC819" i="20"/>
  <c r="AO819" i="20"/>
  <c r="AD797" i="20"/>
  <c r="AO797" i="20"/>
  <c r="AD795" i="20"/>
  <c r="AO795" i="20"/>
  <c r="Z385" i="20"/>
  <c r="AA385" i="20"/>
  <c r="AK377" i="20"/>
  <c r="AF377" i="20"/>
  <c r="AP358" i="20"/>
  <c r="AG358" i="20"/>
  <c r="AD332" i="20"/>
  <c r="AH332" i="20"/>
  <c r="AI329" i="20"/>
  <c r="Y329" i="20"/>
  <c r="AG316" i="20"/>
  <c r="AE316" i="20"/>
  <c r="AD304" i="20"/>
  <c r="AB304" i="20"/>
  <c r="AI281" i="20"/>
  <c r="AJ281" i="20"/>
  <c r="AN269" i="20"/>
  <c r="AL269" i="20"/>
  <c r="AF256" i="20"/>
  <c r="AA256" i="20"/>
  <c r="AI256" i="20"/>
  <c r="AE227" i="20"/>
  <c r="AI227" i="20"/>
  <c r="AA227" i="20"/>
  <c r="AB175" i="20"/>
  <c r="AJ175" i="20"/>
  <c r="Y165" i="20"/>
  <c r="AI165" i="20"/>
  <c r="AN773" i="20"/>
  <c r="AE746" i="20"/>
  <c r="AC684" i="20"/>
  <c r="AN662" i="20"/>
  <c r="AG632" i="20"/>
  <c r="AD602" i="20"/>
  <c r="AG574" i="20"/>
  <c r="AB546" i="20"/>
  <c r="AN522" i="20"/>
  <c r="Z498" i="20"/>
  <c r="AH472" i="20"/>
  <c r="AL446" i="20"/>
  <c r="AK426" i="20"/>
  <c r="AF330" i="20"/>
  <c r="AA318" i="20"/>
  <c r="AL298" i="20"/>
  <c r="AE267" i="20"/>
  <c r="AI254" i="20"/>
  <c r="AE225" i="20"/>
  <c r="AN187" i="20"/>
  <c r="AE178" i="20"/>
  <c r="AH306" i="20"/>
  <c r="AA758" i="20"/>
  <c r="AI662" i="20"/>
  <c r="AJ579" i="20"/>
  <c r="AC632" i="20"/>
  <c r="AL627" i="20"/>
  <c r="AA594" i="20"/>
  <c r="AK638" i="20"/>
  <c r="AD438" i="20"/>
  <c r="AN478" i="20"/>
  <c r="AP518" i="20"/>
  <c r="AA627" i="20"/>
  <c r="AP594" i="20"/>
  <c r="AF651" i="20"/>
  <c r="AL690" i="20"/>
  <c r="AB730" i="20"/>
  <c r="AD39" i="20"/>
  <c r="AF60" i="20"/>
  <c r="AE654" i="20"/>
  <c r="AI598" i="20"/>
  <c r="AD558" i="20"/>
  <c r="AA522" i="20"/>
  <c r="AI472" i="20"/>
  <c r="AD442" i="20"/>
  <c r="AL338" i="20"/>
  <c r="Z311" i="20"/>
  <c r="AD271" i="20"/>
  <c r="AA254" i="20"/>
  <c r="Y217" i="20"/>
  <c r="AE173" i="20"/>
  <c r="AJ522" i="20"/>
  <c r="Z618" i="20"/>
  <c r="AP182" i="20"/>
  <c r="AP334" i="20"/>
  <c r="AB462" i="20"/>
  <c r="AJ498" i="20"/>
  <c r="AP538" i="20"/>
  <c r="AO574" i="20"/>
  <c r="AP636" i="20"/>
  <c r="AG698" i="20"/>
  <c r="AG742" i="20"/>
  <c r="AP37" i="20"/>
  <c r="AC773" i="20"/>
  <c r="AG651" i="20"/>
  <c r="AE562" i="20"/>
  <c r="AC483" i="20"/>
  <c r="AI330" i="20"/>
  <c r="AA271" i="20"/>
  <c r="AH187" i="20"/>
  <c r="AL470" i="20"/>
  <c r="AO302" i="20"/>
  <c r="Z442" i="20"/>
  <c r="AL516" i="20"/>
  <c r="AL570" i="20"/>
  <c r="AK642" i="20"/>
  <c r="AO694" i="20"/>
  <c r="Z758" i="20"/>
  <c r="AO46" i="20"/>
  <c r="AO850" i="20"/>
  <c r="AO1058" i="20"/>
  <c r="AO1080" i="20"/>
  <c r="AH182" i="20"/>
  <c r="AC342" i="20"/>
  <c r="AE426" i="20"/>
  <c r="Z581" i="20"/>
  <c r="AA773" i="20"/>
  <c r="AI932" i="20"/>
  <c r="AG932" i="20"/>
  <c r="AH450" i="20"/>
  <c r="AK738" i="20"/>
  <c r="AP76" i="20"/>
  <c r="AP1073" i="20"/>
  <c r="AP915" i="20"/>
  <c r="AE779" i="20"/>
  <c r="AK181" i="20"/>
  <c r="AI935" i="20"/>
  <c r="AF966" i="20"/>
  <c r="AD316" i="20"/>
  <c r="AL500" i="20"/>
  <c r="AG584" i="20"/>
  <c r="AI670" i="20"/>
  <c r="AN898" i="20"/>
  <c r="AA219" i="20"/>
  <c r="Y620" i="20"/>
  <c r="AJ680" i="20"/>
  <c r="AN830" i="20"/>
  <c r="AO103" i="20"/>
  <c r="AD103" i="20"/>
  <c r="Z103" i="20"/>
  <c r="AL103" i="20"/>
  <c r="AI103" i="20"/>
  <c r="AG103" i="20"/>
  <c r="AA103" i="20"/>
  <c r="AE103" i="20"/>
  <c r="AC103" i="20"/>
  <c r="AF103" i="20"/>
  <c r="AB103" i="20"/>
  <c r="AL153" i="20"/>
  <c r="AN153" i="20"/>
  <c r="AJ153" i="20"/>
  <c r="Z153" i="20"/>
  <c r="AF153" i="20"/>
  <c r="AH153" i="20"/>
  <c r="AE153" i="20"/>
  <c r="AB153" i="20"/>
  <c r="AP153" i="20"/>
  <c r="AK153" i="20"/>
  <c r="AA153" i="20"/>
  <c r="AN125" i="20"/>
  <c r="AI125" i="20"/>
  <c r="AC125" i="20"/>
  <c r="AP116" i="20"/>
  <c r="AO116" i="20"/>
  <c r="AE116" i="20"/>
  <c r="AG116" i="20"/>
  <c r="AA116" i="20"/>
  <c r="Z116" i="20"/>
  <c r="AF116" i="20"/>
  <c r="AK116" i="20"/>
  <c r="AB116" i="20"/>
  <c r="AD116" i="20"/>
  <c r="AH116" i="20"/>
  <c r="AN116" i="20"/>
  <c r="AP1062" i="20"/>
  <c r="AO1062" i="20"/>
  <c r="AD1062" i="20"/>
  <c r="AF1062" i="20"/>
  <c r="Y1062" i="20"/>
  <c r="AJ1062" i="20"/>
  <c r="AG1062" i="20"/>
  <c r="AC1062" i="20"/>
  <c r="Z1062" i="20"/>
  <c r="AB1062" i="20"/>
  <c r="AI1062" i="20"/>
  <c r="AH1062" i="20"/>
  <c r="AE1062" i="20"/>
  <c r="AA1062" i="20"/>
  <c r="Y945" i="20"/>
  <c r="AN945" i="20"/>
  <c r="AK200" i="20"/>
  <c r="AO200" i="20"/>
  <c r="AI143" i="20"/>
  <c r="AL143" i="20"/>
  <c r="AJ150" i="20"/>
  <c r="AI150" i="20"/>
  <c r="AG946" i="20"/>
  <c r="AD946" i="20"/>
  <c r="Y171" i="20"/>
  <c r="AE171" i="20"/>
  <c r="AK1062" i="20"/>
  <c r="Y103" i="20"/>
  <c r="AD153" i="20"/>
  <c r="AI153" i="20"/>
  <c r="AP103" i="20"/>
  <c r="AK115" i="20"/>
  <c r="AO115" i="20"/>
  <c r="AG166" i="20"/>
  <c r="AN166" i="20"/>
  <c r="AF166" i="20"/>
  <c r="AJ155" i="20"/>
  <c r="AD155" i="20"/>
  <c r="AO243" i="20"/>
  <c r="AH243" i="20"/>
  <c r="Z222" i="20"/>
  <c r="AJ222" i="20"/>
  <c r="AK222" i="20"/>
  <c r="AK89" i="20"/>
  <c r="AN89" i="20"/>
  <c r="Y115" i="20"/>
  <c r="AA222" i="20"/>
  <c r="AP243" i="20"/>
  <c r="Z155" i="20"/>
  <c r="AC115" i="20"/>
  <c r="AJ103" i="20"/>
  <c r="AH103" i="20"/>
  <c r="AN1062" i="20"/>
  <c r="Y116" i="20"/>
  <c r="AT380" i="20"/>
  <c r="AT388" i="20"/>
  <c r="AP91" i="20"/>
  <c r="AO91" i="20"/>
  <c r="AL73" i="20"/>
  <c r="AA73" i="20"/>
  <c r="AP78" i="20"/>
  <c r="Z78" i="20"/>
  <c r="AA78" i="20"/>
  <c r="AC93" i="20"/>
  <c r="AK93" i="20"/>
  <c r="AA1170" i="20"/>
  <c r="AK1170" i="20"/>
  <c r="AF1170" i="20"/>
  <c r="AE1170" i="20"/>
  <c r="AP1164" i="20"/>
  <c r="AF1164" i="20"/>
  <c r="Y1164" i="20"/>
  <c r="AL1164" i="20"/>
  <c r="AF1162" i="20"/>
  <c r="AD1162" i="20"/>
  <c r="AK1162" i="20"/>
  <c r="AA1162" i="20"/>
  <c r="AC1158" i="20"/>
  <c r="Y1158" i="20"/>
  <c r="AN1158" i="20"/>
  <c r="AL1158" i="20"/>
  <c r="AN1155" i="20"/>
  <c r="AE1155" i="20"/>
  <c r="AJ1155" i="20"/>
  <c r="AA1155" i="20"/>
  <c r="AP1145" i="20"/>
  <c r="AO1145" i="20"/>
  <c r="AO1138" i="20"/>
  <c r="AP1138" i="20"/>
  <c r="AA1138" i="20"/>
  <c r="AP1107" i="20"/>
  <c r="AO1107" i="20"/>
  <c r="AH1077" i="20"/>
  <c r="AG1077" i="20"/>
  <c r="AO1070" i="20"/>
  <c r="AH1070" i="20"/>
  <c r="AL1070" i="20"/>
  <c r="AO1065" i="20"/>
  <c r="AJ1065" i="20"/>
  <c r="AI1056" i="20"/>
  <c r="AB1056" i="20"/>
  <c r="AP1054" i="20"/>
  <c r="AI1054" i="20"/>
  <c r="AO1034" i="20"/>
  <c r="AG1034" i="20"/>
  <c r="AL1034" i="20"/>
  <c r="AI1034" i="20"/>
  <c r="AE1026" i="20"/>
  <c r="Z1026" i="20"/>
  <c r="AO1018" i="20"/>
  <c r="AP1018" i="20"/>
  <c r="AL1018" i="20"/>
  <c r="AE1018" i="20"/>
  <c r="AP1014" i="20"/>
  <c r="AJ1014" i="20"/>
  <c r="AP1004" i="20"/>
  <c r="AO1004" i="20"/>
  <c r="AH1000" i="20"/>
  <c r="AO1000" i="20"/>
  <c r="AO997" i="20"/>
  <c r="AK997" i="20"/>
  <c r="AH997" i="20"/>
  <c r="AL977" i="20"/>
  <c r="AO977" i="20"/>
  <c r="AO969" i="20"/>
  <c r="AD969" i="20"/>
  <c r="AP965" i="20"/>
  <c r="AJ965" i="20"/>
  <c r="AC956" i="20"/>
  <c r="AP956" i="20"/>
  <c r="Z956" i="20"/>
  <c r="AP931" i="20"/>
  <c r="AO931" i="20"/>
  <c r="AG931" i="20"/>
  <c r="AP923" i="20"/>
  <c r="AO923" i="20"/>
  <c r="AG923" i="20"/>
  <c r="AO918" i="20"/>
  <c r="AP918" i="20"/>
  <c r="AA911" i="20"/>
  <c r="Y911" i="20"/>
  <c r="AP895" i="20"/>
  <c r="AA895" i="20"/>
  <c r="AE895" i="20"/>
  <c r="AK891" i="20"/>
  <c r="AO891" i="20"/>
  <c r="AO904" i="20"/>
  <c r="AP904" i="20"/>
  <c r="AA883" i="20"/>
  <c r="Z883" i="20"/>
  <c r="AC883" i="20"/>
  <c r="AO873" i="20"/>
  <c r="AC873" i="20"/>
  <c r="AL873" i="20"/>
  <c r="AP869" i="20"/>
  <c r="AJ869" i="20"/>
  <c r="AP864" i="20"/>
  <c r="AO864" i="20"/>
  <c r="AP844" i="20"/>
  <c r="AO844" i="20"/>
  <c r="AJ840" i="20"/>
  <c r="AP840" i="20"/>
  <c r="AO840" i="20"/>
  <c r="AO836" i="20"/>
  <c r="AP836" i="20"/>
  <c r="AP814" i="20"/>
  <c r="AO814" i="20"/>
  <c r="AO808" i="20"/>
  <c r="AP808" i="20"/>
  <c r="AP799" i="20"/>
  <c r="AO799" i="20"/>
  <c r="AO777" i="20"/>
  <c r="AI777" i="20"/>
  <c r="AP765" i="20"/>
  <c r="AO765" i="20"/>
  <c r="Z765" i="20"/>
  <c r="AP757" i="20"/>
  <c r="AO757" i="20"/>
  <c r="AI745" i="20"/>
  <c r="AP745" i="20"/>
  <c r="AP737" i="20"/>
  <c r="AL737" i="20"/>
  <c r="AP719" i="20"/>
  <c r="AG719" i="20"/>
  <c r="AP653" i="20"/>
  <c r="AO653" i="20"/>
  <c r="AI653" i="20"/>
  <c r="AP649" i="20"/>
  <c r="AO649" i="20"/>
  <c r="AP641" i="20"/>
  <c r="AO641" i="20"/>
  <c r="AG617" i="20"/>
  <c r="AF617" i="20"/>
  <c r="AP613" i="20"/>
  <c r="AH613" i="20"/>
  <c r="AO613" i="20"/>
  <c r="AP607" i="20"/>
  <c r="AO607" i="20"/>
  <c r="AL607" i="20"/>
  <c r="AP597" i="20"/>
  <c r="AA597" i="20"/>
  <c r="Z597" i="20"/>
  <c r="AP593" i="20"/>
  <c r="AD593" i="20"/>
  <c r="AP589" i="20"/>
  <c r="AO589" i="20"/>
  <c r="AO585" i="20"/>
  <c r="AK585" i="20"/>
  <c r="AP578" i="20"/>
  <c r="AO578" i="20"/>
  <c r="AG578" i="20"/>
  <c r="AP573" i="20"/>
  <c r="AO573" i="20"/>
  <c r="Y573" i="20"/>
  <c r="AH573" i="20"/>
  <c r="AP569" i="20"/>
  <c r="AG569" i="20"/>
  <c r="AO565" i="20"/>
  <c r="Y565" i="20"/>
  <c r="AP626" i="20"/>
  <c r="AO626" i="20"/>
  <c r="AP561" i="20"/>
  <c r="AA561" i="20"/>
  <c r="AO557" i="20"/>
  <c r="AH557" i="20"/>
  <c r="AP552" i="20"/>
  <c r="AO552" i="20"/>
  <c r="AP545" i="20"/>
  <c r="AO545" i="20"/>
  <c r="AP541" i="20"/>
  <c r="AO541" i="20"/>
  <c r="AE541" i="20"/>
  <c r="AP521" i="20"/>
  <c r="AO521" i="20"/>
  <c r="AL521" i="20"/>
  <c r="AP513" i="20"/>
  <c r="AJ513" i="20"/>
  <c r="AP501" i="20"/>
  <c r="AO501" i="20"/>
  <c r="AO490" i="20"/>
  <c r="AP490" i="20"/>
  <c r="AP486" i="20"/>
  <c r="AJ486" i="20"/>
  <c r="AP481" i="20"/>
  <c r="AO481" i="20"/>
  <c r="AI481" i="20"/>
  <c r="AO469" i="20"/>
  <c r="AP469" i="20"/>
  <c r="AF469" i="20"/>
  <c r="AP465" i="20"/>
  <c r="AO465" i="20"/>
  <c r="AP457" i="20"/>
  <c r="AO457" i="20"/>
  <c r="AH457" i="20"/>
  <c r="AP449" i="20"/>
  <c r="AO449" i="20"/>
  <c r="AH449" i="20"/>
  <c r="AI449" i="20"/>
  <c r="AP444" i="20"/>
  <c r="AO444" i="20"/>
  <c r="AP437" i="20"/>
  <c r="AO437" i="20"/>
  <c r="AP433" i="20"/>
  <c r="AE433" i="20"/>
  <c r="AP425" i="20"/>
  <c r="AH425" i="20"/>
  <c r="AK352" i="20"/>
  <c r="AE352" i="20"/>
  <c r="AJ352" i="20"/>
  <c r="AH352" i="20"/>
  <c r="AP341" i="20"/>
  <c r="AO341" i="20"/>
  <c r="AH341" i="20"/>
  <c r="AP333" i="20"/>
  <c r="AO333" i="20"/>
  <c r="AE333" i="20"/>
  <c r="AO325" i="20"/>
  <c r="AP325" i="20"/>
  <c r="AO321" i="20"/>
  <c r="AK321" i="20"/>
  <c r="AP314" i="20"/>
  <c r="AO314" i="20"/>
  <c r="AP310" i="20"/>
  <c r="AO310" i="20"/>
  <c r="AO300" i="20"/>
  <c r="AP300" i="20"/>
  <c r="AP297" i="20"/>
  <c r="AO297" i="20"/>
  <c r="AL297" i="20"/>
  <c r="Z297" i="20"/>
  <c r="AP282" i="20"/>
  <c r="AH282" i="20"/>
  <c r="AO266" i="20"/>
  <c r="AP266" i="20"/>
  <c r="AP261" i="20"/>
  <c r="AO261" i="20"/>
  <c r="AP255" i="20"/>
  <c r="AO255" i="20"/>
  <c r="AO236" i="20"/>
  <c r="AP236" i="20"/>
  <c r="AP223" i="20"/>
  <c r="AO223" i="20"/>
  <c r="AO180" i="20"/>
  <c r="AP180" i="20"/>
  <c r="AP176" i="20"/>
  <c r="AO176" i="20"/>
  <c r="AP169" i="20"/>
  <c r="AO169" i="20"/>
  <c r="AT1077" i="20"/>
  <c r="AO1054" i="20"/>
  <c r="AP879" i="20"/>
  <c r="AP1026" i="20"/>
  <c r="AO984" i="20"/>
  <c r="AK984" i="20"/>
  <c r="Y984" i="20"/>
  <c r="AA984" i="20"/>
  <c r="AG984" i="20"/>
  <c r="AO1084" i="20"/>
  <c r="AP1084" i="20"/>
  <c r="AP1101" i="20"/>
  <c r="AL1101" i="20"/>
  <c r="AP1106" i="20"/>
  <c r="AH1106" i="20"/>
  <c r="AA1106" i="20"/>
  <c r="AI1106" i="20"/>
  <c r="Z1106" i="20"/>
  <c r="AP1036" i="20"/>
  <c r="AO1036" i="20"/>
  <c r="AP1087" i="20"/>
  <c r="AO1087" i="20"/>
  <c r="Y1087" i="20"/>
  <c r="AG1087" i="20"/>
  <c r="AJ1087" i="20"/>
  <c r="AP1085" i="20"/>
  <c r="AA1085" i="20"/>
  <c r="AP1086" i="20"/>
  <c r="AF1086" i="20"/>
  <c r="AL1086" i="20"/>
  <c r="AD1086" i="20"/>
  <c r="AP933" i="20"/>
  <c r="AO933" i="20"/>
  <c r="AH292" i="20"/>
  <c r="AC292" i="20"/>
  <c r="AI292" i="20"/>
  <c r="AA292" i="20"/>
  <c r="AF292" i="20"/>
  <c r="AO192" i="20"/>
  <c r="AH192" i="20"/>
  <c r="AN192" i="20"/>
  <c r="AE192" i="20"/>
  <c r="AK192" i="20"/>
  <c r="AO921" i="20"/>
  <c r="AP921" i="20"/>
  <c r="AD921" i="20"/>
  <c r="AP139" i="20"/>
  <c r="AO139" i="20"/>
  <c r="AC139" i="20"/>
  <c r="AJ139" i="20"/>
  <c r="AN139" i="20"/>
  <c r="AP285" i="20"/>
  <c r="AO285" i="20"/>
  <c r="AP291" i="20"/>
  <c r="AO291" i="20"/>
  <c r="Z291" i="20"/>
  <c r="AD291" i="20"/>
  <c r="AJ291" i="20"/>
  <c r="AP136" i="20"/>
  <c r="AO136" i="20"/>
  <c r="AG147" i="20"/>
  <c r="AK147" i="20"/>
  <c r="AE147" i="20"/>
  <c r="AH147" i="20"/>
  <c r="AP288" i="20"/>
  <c r="AI288" i="20"/>
  <c r="AO205" i="20"/>
  <c r="AP205" i="20"/>
  <c r="Y205" i="20"/>
  <c r="AF205" i="20"/>
  <c r="AJ205" i="20"/>
  <c r="AI205" i="20"/>
  <c r="AP284" i="20"/>
  <c r="AO284" i="20"/>
  <c r="AA284" i="20"/>
  <c r="AL284" i="20"/>
  <c r="AN284" i="20"/>
  <c r="AD284" i="20"/>
  <c r="AE284" i="20"/>
  <c r="AF284" i="20"/>
  <c r="AP289" i="20"/>
  <c r="AI289" i="20"/>
  <c r="AP189" i="20"/>
  <c r="AE189" i="20"/>
  <c r="AH189" i="20"/>
  <c r="AN189" i="20"/>
  <c r="AP206" i="20"/>
  <c r="AO206" i="20"/>
  <c r="AO207" i="20"/>
  <c r="AB207" i="20"/>
  <c r="AC207" i="20"/>
  <c r="AE207" i="20"/>
  <c r="AF207" i="20"/>
  <c r="AN207" i="20"/>
  <c r="AP208" i="20"/>
  <c r="AO208" i="20"/>
  <c r="AO209" i="20"/>
  <c r="AP209" i="20"/>
  <c r="AG209" i="20"/>
  <c r="AD209" i="20"/>
  <c r="AC209" i="20"/>
  <c r="AL209" i="20"/>
  <c r="AK129" i="20"/>
  <c r="AE129" i="20"/>
  <c r="AJ129" i="20"/>
  <c r="AH129" i="20"/>
  <c r="AO108" i="20"/>
  <c r="Y108" i="20"/>
  <c r="AJ108" i="20"/>
  <c r="Z108" i="20"/>
  <c r="AP167" i="20"/>
  <c r="AO167" i="20"/>
  <c r="AJ948" i="20"/>
  <c r="AF948" i="20"/>
  <c r="AB948" i="20"/>
  <c r="AP868" i="20"/>
  <c r="Y868" i="20"/>
  <c r="Z868" i="20"/>
  <c r="AA868" i="20"/>
  <c r="AF868" i="20"/>
  <c r="AP286" i="20"/>
  <c r="AF286" i="20"/>
  <c r="AN286" i="20"/>
  <c r="AE286" i="20"/>
  <c r="Z286" i="20"/>
  <c r="AC286" i="20"/>
  <c r="AK286" i="20"/>
  <c r="Z191" i="20"/>
  <c r="AL191" i="20"/>
  <c r="AG191" i="20"/>
  <c r="AP172" i="20"/>
  <c r="AF172" i="20"/>
  <c r="AE172" i="20"/>
  <c r="AK172" i="20"/>
  <c r="AA172" i="20"/>
  <c r="AP106" i="20"/>
  <c r="AO106" i="20"/>
  <c r="AN127" i="20"/>
  <c r="Y1101" i="20"/>
  <c r="AA1101" i="20"/>
  <c r="AH1101" i="20"/>
  <c r="AE1087" i="20"/>
  <c r="Z1086" i="20"/>
  <c r="AH984" i="20"/>
  <c r="AA916" i="20"/>
  <c r="AL1087" i="20"/>
  <c r="AB292" i="20"/>
  <c r="AG1106" i="20"/>
  <c r="AH1086" i="20"/>
  <c r="AC192" i="20"/>
  <c r="Y291" i="20"/>
  <c r="AN984" i="20"/>
  <c r="Y1106" i="20"/>
  <c r="AG1086" i="20"/>
  <c r="Y292" i="20"/>
  <c r="AA921" i="20"/>
  <c r="AH287" i="20"/>
  <c r="AL147" i="20"/>
  <c r="AC189" i="20"/>
  <c r="AJ288" i="20"/>
  <c r="AI284" i="20"/>
  <c r="AG189" i="20"/>
  <c r="AD207" i="20"/>
  <c r="AL1106" i="20"/>
  <c r="AN205" i="20"/>
  <c r="AK292" i="20"/>
  <c r="AO127" i="20"/>
  <c r="AO287" i="20"/>
  <c r="AO189" i="20"/>
  <c r="AO292" i="20"/>
  <c r="AP121" i="20"/>
  <c r="AP147" i="20"/>
  <c r="AP944" i="20"/>
  <c r="AO944" i="20"/>
  <c r="AA944" i="20"/>
  <c r="AH944" i="20"/>
  <c r="AB944" i="20"/>
  <c r="AJ944" i="20"/>
  <c r="AE944" i="20"/>
  <c r="AF944" i="20"/>
  <c r="Z944" i="20"/>
  <c r="AG944" i="20"/>
  <c r="Y944" i="20"/>
  <c r="AN944" i="20"/>
  <c r="AL944" i="20"/>
  <c r="AC944" i="20"/>
  <c r="AI944" i="20"/>
  <c r="AK944" i="20"/>
  <c r="AF945" i="20"/>
  <c r="AD945" i="20"/>
  <c r="AJ945" i="20"/>
  <c r="AC945" i="20"/>
  <c r="AK945" i="20"/>
  <c r="AI945" i="20"/>
  <c r="AG945" i="20"/>
  <c r="AP145" i="20"/>
  <c r="AO145" i="20"/>
  <c r="AD145" i="20"/>
  <c r="AF145" i="20"/>
  <c r="AI145" i="20"/>
  <c r="Y145" i="20"/>
  <c r="AB145" i="20"/>
  <c r="AG145" i="20"/>
  <c r="AL145" i="20"/>
  <c r="Z145" i="20"/>
  <c r="AK145" i="20"/>
  <c r="AJ145" i="20"/>
  <c r="AE145" i="20"/>
  <c r="AP212" i="20"/>
  <c r="AL212" i="20"/>
  <c r="Y212" i="20"/>
  <c r="AN212" i="20"/>
  <c r="AO212" i="20"/>
  <c r="AF212" i="20"/>
  <c r="Z212" i="20"/>
  <c r="AB212" i="20"/>
  <c r="AD212" i="20"/>
  <c r="AH212" i="20"/>
  <c r="AI212" i="20"/>
  <c r="AC212" i="20"/>
  <c r="AE212" i="20"/>
  <c r="AA212" i="20"/>
  <c r="AJ212" i="20"/>
  <c r="Z168" i="20"/>
  <c r="AB168" i="20"/>
  <c r="AI168" i="20"/>
  <c r="AJ168" i="20"/>
  <c r="AD168" i="20"/>
  <c r="AN168" i="20"/>
  <c r="Y168" i="20"/>
  <c r="AE168" i="20"/>
  <c r="AL168" i="20"/>
  <c r="AK168" i="20"/>
  <c r="AF168" i="20"/>
  <c r="AG168" i="20"/>
  <c r="AA168" i="20"/>
  <c r="AH168" i="20"/>
  <c r="AC168" i="20"/>
  <c r="AO246" i="20"/>
  <c r="AB246" i="20"/>
  <c r="AA246" i="20"/>
  <c r="AK246" i="20"/>
  <c r="AN246" i="20"/>
  <c r="AP246" i="20"/>
  <c r="AI246" i="20"/>
  <c r="AE246" i="20"/>
  <c r="AD246" i="20"/>
  <c r="AH246" i="20"/>
  <c r="AC246" i="20"/>
  <c r="AL246" i="20"/>
  <c r="AF246" i="20"/>
  <c r="AG246" i="20"/>
  <c r="Z246" i="20"/>
  <c r="Y246" i="20"/>
  <c r="AJ246" i="20"/>
  <c r="AG133" i="20"/>
  <c r="AD133" i="20"/>
  <c r="Z133" i="20"/>
  <c r="AP133" i="20"/>
  <c r="AO133" i="20"/>
  <c r="AN133" i="20"/>
  <c r="AH133" i="20"/>
  <c r="AF133" i="20"/>
  <c r="AI133" i="20"/>
  <c r="Y133" i="20"/>
  <c r="AB133" i="20"/>
  <c r="AC133" i="20"/>
  <c r="AA133" i="20"/>
  <c r="AK133" i="20"/>
  <c r="AJ133" i="20"/>
  <c r="AE133" i="20"/>
  <c r="AL133" i="20"/>
  <c r="AR383" i="20"/>
  <c r="AT383" i="20"/>
  <c r="AR458" i="20"/>
  <c r="AT458" i="20"/>
  <c r="AR516" i="20"/>
  <c r="AT516" i="20"/>
  <c r="AR631" i="20"/>
  <c r="AT631" i="20"/>
  <c r="AR609" i="20"/>
  <c r="AT609" i="20"/>
  <c r="Z43" i="20"/>
  <c r="AH43" i="20"/>
  <c r="AL43" i="20"/>
  <c r="AI43" i="20"/>
  <c r="AC43" i="20"/>
  <c r="Y43" i="20"/>
  <c r="AA43" i="20"/>
  <c r="AJ43" i="20"/>
  <c r="AN43" i="20"/>
  <c r="AG43" i="20"/>
  <c r="AD43" i="20"/>
  <c r="AK43" i="20"/>
  <c r="AP43" i="20"/>
  <c r="AO48" i="20"/>
  <c r="AH48" i="20"/>
  <c r="AF48" i="20"/>
  <c r="AE48" i="20"/>
  <c r="AJ48" i="20"/>
  <c r="AC48" i="20"/>
  <c r="AB48" i="20"/>
  <c r="AK48" i="20"/>
  <c r="AD48" i="20"/>
  <c r="AL48" i="20"/>
  <c r="AA48" i="20"/>
  <c r="Y48" i="20"/>
  <c r="AP48" i="20"/>
  <c r="AN48" i="20"/>
  <c r="AA35" i="20"/>
  <c r="AI35" i="20"/>
  <c r="AJ35" i="20"/>
  <c r="AK35" i="20"/>
  <c r="AG35" i="20"/>
  <c r="Z35" i="20"/>
  <c r="AB35" i="20"/>
  <c r="AH35" i="20"/>
  <c r="AP35" i="20"/>
  <c r="AN35" i="20"/>
  <c r="AL35" i="20"/>
  <c r="AC35" i="20"/>
  <c r="AO35" i="20"/>
  <c r="AD35" i="20"/>
  <c r="Y35" i="20"/>
  <c r="AE35" i="20"/>
  <c r="Z40" i="20"/>
  <c r="AF40" i="20"/>
  <c r="AK40" i="20"/>
  <c r="AG40" i="20"/>
  <c r="AH40" i="20"/>
  <c r="AA40" i="20"/>
  <c r="AI40" i="20"/>
  <c r="AL40" i="20"/>
  <c r="AB40" i="20"/>
  <c r="AN40" i="20"/>
  <c r="Y40" i="20"/>
  <c r="AE40" i="20"/>
  <c r="AJ40" i="20"/>
  <c r="AO40" i="20"/>
  <c r="AF77" i="20"/>
  <c r="AL77" i="20"/>
  <c r="AG77" i="20"/>
  <c r="AN77" i="20"/>
  <c r="AI77" i="20"/>
  <c r="Z77" i="20"/>
  <c r="AB77" i="20"/>
  <c r="AC77" i="20"/>
  <c r="AJ77" i="20"/>
  <c r="AK77" i="20"/>
  <c r="AH77" i="20"/>
  <c r="AA77" i="20"/>
  <c r="Y77" i="20"/>
  <c r="Y76" i="20"/>
  <c r="Z76" i="20"/>
  <c r="AK76" i="20"/>
  <c r="AI76" i="20"/>
  <c r="AC76" i="20"/>
  <c r="AN76" i="20"/>
  <c r="AJ76" i="20"/>
  <c r="AO76" i="20"/>
  <c r="AA76" i="20"/>
  <c r="AF76" i="20"/>
  <c r="AG76" i="20"/>
  <c r="AH76" i="20"/>
  <c r="AP70" i="20"/>
  <c r="AO70" i="20"/>
  <c r="AI70" i="20"/>
  <c r="AB70" i="20"/>
  <c r="Y70" i="20"/>
  <c r="AA70" i="20"/>
  <c r="AC70" i="20"/>
  <c r="AF70" i="20"/>
  <c r="Z70" i="20"/>
  <c r="AL70" i="20"/>
  <c r="AG70" i="20"/>
  <c r="AK70" i="20"/>
  <c r="AE70" i="20"/>
  <c r="AH70" i="20"/>
  <c r="AO71" i="20"/>
  <c r="Z71" i="20"/>
  <c r="AB71" i="20"/>
  <c r="AC71" i="20"/>
  <c r="AF71" i="20"/>
  <c r="AA71" i="20"/>
  <c r="AK71" i="20"/>
  <c r="AD71" i="20"/>
  <c r="AJ71" i="20"/>
  <c r="AE71" i="20"/>
  <c r="AL71" i="20"/>
  <c r="AG71" i="20"/>
  <c r="AP79" i="20"/>
  <c r="AO79" i="20"/>
  <c r="AD79" i="20"/>
  <c r="AN79" i="20"/>
  <c r="AI79" i="20"/>
  <c r="AA79" i="20"/>
  <c r="AK79" i="20"/>
  <c r="AE79" i="20"/>
  <c r="Y79" i="20"/>
  <c r="AH79" i="20"/>
  <c r="AC79" i="20"/>
  <c r="AF79" i="20"/>
  <c r="AG79" i="20"/>
  <c r="AB79" i="20"/>
  <c r="Z79" i="20"/>
  <c r="AP94" i="20"/>
  <c r="AO94" i="20"/>
  <c r="AK94" i="20"/>
  <c r="AC94" i="20"/>
  <c r="Z94" i="20"/>
  <c r="AA94" i="20"/>
  <c r="AL94" i="20"/>
  <c r="AG94" i="20"/>
  <c r="AB94" i="20"/>
  <c r="AE94" i="20"/>
  <c r="AN94" i="20"/>
  <c r="AD94" i="20"/>
  <c r="AF94" i="20"/>
  <c r="Y94" i="20"/>
  <c r="AJ94" i="20"/>
  <c r="AP98" i="20"/>
  <c r="AO98" i="20"/>
  <c r="AN98" i="20"/>
  <c r="AL98" i="20"/>
  <c r="AI98" i="20"/>
  <c r="Z98" i="20"/>
  <c r="AH98" i="20"/>
  <c r="AD98" i="20"/>
  <c r="AK98" i="20"/>
  <c r="AA98" i="20"/>
  <c r="AF98" i="20"/>
  <c r="AC98" i="20"/>
  <c r="AJ98" i="20"/>
  <c r="AP1171" i="20"/>
  <c r="AO1171" i="20"/>
  <c r="AG1171" i="20"/>
  <c r="AJ1171" i="20"/>
  <c r="AE1171" i="20"/>
  <c r="AN1171" i="20"/>
  <c r="AD1171" i="20"/>
  <c r="AA1171" i="20"/>
  <c r="Z1171" i="20"/>
  <c r="AL1171" i="20"/>
  <c r="Y1171" i="20"/>
  <c r="AH1171" i="20"/>
  <c r="AF1171" i="20"/>
  <c r="AC1171" i="20"/>
  <c r="AP1167" i="20"/>
  <c r="AO1167" i="20"/>
  <c r="AH1167" i="20"/>
  <c r="AA1167" i="20"/>
  <c r="AE1167" i="20"/>
  <c r="AC1167" i="20"/>
  <c r="AL1167" i="20"/>
  <c r="AJ1167" i="20"/>
  <c r="AB1167" i="20"/>
  <c r="AN1167" i="20"/>
  <c r="AF1167" i="20"/>
  <c r="Z1167" i="20"/>
  <c r="AD1167" i="20"/>
  <c r="AI1167" i="20"/>
  <c r="AP1163" i="20"/>
  <c r="AO1163" i="20"/>
  <c r="AN1163" i="20"/>
  <c r="Z1163" i="20"/>
  <c r="AJ1163" i="20"/>
  <c r="AE1163" i="20"/>
  <c r="AF1163" i="20"/>
  <c r="AL1163" i="20"/>
  <c r="AB1163" i="20"/>
  <c r="AH1163" i="20"/>
  <c r="Y1163" i="20"/>
  <c r="AD1163" i="20"/>
  <c r="AI1163" i="20"/>
  <c r="AA1163" i="20"/>
  <c r="AP1159" i="20"/>
  <c r="AO1159" i="20"/>
  <c r="AG1159" i="20"/>
  <c r="AN1159" i="20"/>
  <c r="Y1159" i="20"/>
  <c r="Z1159" i="20"/>
  <c r="AJ1159" i="20"/>
  <c r="AK1159" i="20"/>
  <c r="AC1159" i="20"/>
  <c r="AH1159" i="20"/>
  <c r="AE1159" i="20"/>
  <c r="AA1159" i="20"/>
  <c r="AD1159" i="20"/>
  <c r="AB1159" i="20"/>
  <c r="AP1154" i="20"/>
  <c r="AG1154" i="20"/>
  <c r="Y1154" i="20"/>
  <c r="AI1154" i="20"/>
  <c r="Z1154" i="20"/>
  <c r="AA1154" i="20"/>
  <c r="AL1154" i="20"/>
  <c r="AH1154" i="20"/>
  <c r="AN1154" i="20"/>
  <c r="AE1154" i="20"/>
  <c r="AC1154" i="20"/>
  <c r="AK1154" i="20"/>
  <c r="AP1152" i="20"/>
  <c r="AO1152" i="20"/>
  <c r="AN1152" i="20"/>
  <c r="AG1152" i="20"/>
  <c r="AC1152" i="20"/>
  <c r="AK1152" i="20"/>
  <c r="AE1152" i="20"/>
  <c r="AH1152" i="20"/>
  <c r="AA1152" i="20"/>
  <c r="AB1152" i="20"/>
  <c r="AJ1152" i="20"/>
  <c r="AL1152" i="20"/>
  <c r="Z1152" i="20"/>
  <c r="AD1152" i="20"/>
  <c r="AP1146" i="20"/>
  <c r="AN1146" i="20"/>
  <c r="AA1146" i="20"/>
  <c r="AF1146" i="20"/>
  <c r="AG1146" i="20"/>
  <c r="AO1146" i="20"/>
  <c r="AB1146" i="20"/>
  <c r="AL1146" i="20"/>
  <c r="AI1146" i="20"/>
  <c r="AJ1146" i="20"/>
  <c r="AD1146" i="20"/>
  <c r="AK1146" i="20"/>
  <c r="Z1146" i="20"/>
  <c r="AP1143" i="20"/>
  <c r="AO1143" i="20"/>
  <c r="AJ1143" i="20"/>
  <c r="AI1143" i="20"/>
  <c r="AH1143" i="20"/>
  <c r="AG1143" i="20"/>
  <c r="AC1143" i="20"/>
  <c r="AN1143" i="20"/>
  <c r="AB1143" i="20"/>
  <c r="AK1143" i="20"/>
  <c r="AD1143" i="20"/>
  <c r="AF1143" i="20"/>
  <c r="AA1143" i="20"/>
  <c r="Z1143" i="20"/>
  <c r="AL1143" i="20"/>
  <c r="Y1143" i="20"/>
  <c r="AP1139" i="20"/>
  <c r="AO1139" i="20"/>
  <c r="AE1139" i="20"/>
  <c r="AN1139" i="20"/>
  <c r="Z1139" i="20"/>
  <c r="AA1139" i="20"/>
  <c r="AJ1139" i="20"/>
  <c r="AL1139" i="20"/>
  <c r="AH1139" i="20"/>
  <c r="AI1139" i="20"/>
  <c r="AK1139" i="20"/>
  <c r="AG1139" i="20"/>
  <c r="AC1139" i="20"/>
  <c r="Y1139" i="20"/>
  <c r="AD1139" i="20"/>
  <c r="AO1135" i="20"/>
  <c r="AL1135" i="20"/>
  <c r="AP1135" i="20"/>
  <c r="AE1135" i="20"/>
  <c r="AK1135" i="20"/>
  <c r="AN1135" i="20"/>
  <c r="AD1135" i="20"/>
  <c r="AF1135" i="20"/>
  <c r="AA1135" i="20"/>
  <c r="AJ1135" i="20"/>
  <c r="Z1135" i="20"/>
  <c r="AP1131" i="20"/>
  <c r="AA1131" i="20"/>
  <c r="AB1131" i="20"/>
  <c r="AC1131" i="20"/>
  <c r="AD1131" i="20"/>
  <c r="AF1131" i="20"/>
  <c r="AL1131" i="20"/>
  <c r="AO1131" i="20"/>
  <c r="AJ1131" i="20"/>
  <c r="Z1131" i="20"/>
  <c r="AK1131" i="20"/>
  <c r="AE1131" i="20"/>
  <c r="AG1131" i="20"/>
  <c r="AN1131" i="20"/>
  <c r="AH1131" i="20"/>
  <c r="AP1127" i="20"/>
  <c r="AO1127" i="20"/>
  <c r="AH1127" i="20"/>
  <c r="AA1127" i="20"/>
  <c r="AK1127" i="20"/>
  <c r="AG1127" i="20"/>
  <c r="Z1127" i="20"/>
  <c r="AE1127" i="20"/>
  <c r="AD1127" i="20"/>
  <c r="Y1127" i="20"/>
  <c r="AB1127" i="20"/>
  <c r="AL1127" i="20"/>
  <c r="AC1127" i="20"/>
  <c r="AJ1127" i="20"/>
  <c r="AF1127" i="20"/>
  <c r="AP1122" i="20"/>
  <c r="AO1122" i="20"/>
  <c r="AG1122" i="20"/>
  <c r="AC1122" i="20"/>
  <c r="AD1122" i="20"/>
  <c r="AB1122" i="20"/>
  <c r="AI1122" i="20"/>
  <c r="AF1122" i="20"/>
  <c r="AH1122" i="20"/>
  <c r="AA1122" i="20"/>
  <c r="AJ1122" i="20"/>
  <c r="AN1122" i="20"/>
  <c r="AK1122" i="20"/>
  <c r="AP1115" i="20"/>
  <c r="AO1115" i="20"/>
  <c r="AG1115" i="20"/>
  <c r="AC1115" i="20"/>
  <c r="Z1115" i="20"/>
  <c r="AE1115" i="20"/>
  <c r="AI1115" i="20"/>
  <c r="AH1115" i="20"/>
  <c r="AN1115" i="20"/>
  <c r="AB1115" i="20"/>
  <c r="AF1115" i="20"/>
  <c r="AA1115" i="20"/>
  <c r="Y1115" i="20"/>
  <c r="AJ1115" i="20"/>
  <c r="AK1115" i="20"/>
  <c r="AP1121" i="20"/>
  <c r="AK1121" i="20"/>
  <c r="AH1121" i="20"/>
  <c r="AD1121" i="20"/>
  <c r="Y1121" i="20"/>
  <c r="AA1121" i="20"/>
  <c r="AF1121" i="20"/>
  <c r="AO1121" i="20"/>
  <c r="AC1121" i="20"/>
  <c r="AI1121" i="20"/>
  <c r="AB1121" i="20"/>
  <c r="AE1121" i="20"/>
  <c r="AL1121" i="20"/>
  <c r="AP1110" i="20"/>
  <c r="AO1110" i="20"/>
  <c r="Y1110" i="20"/>
  <c r="AB1110" i="20"/>
  <c r="AF1110" i="20"/>
  <c r="AK1110" i="20"/>
  <c r="AC1110" i="20"/>
  <c r="Z1110" i="20"/>
  <c r="AN1110" i="20"/>
  <c r="AA1110" i="20"/>
  <c r="AI1110" i="20"/>
  <c r="AE1110" i="20"/>
  <c r="AJ1110" i="20"/>
  <c r="AH1110" i="20"/>
  <c r="AP1092" i="20"/>
  <c r="AO1092" i="20"/>
  <c r="AN1092" i="20"/>
  <c r="AC1092" i="20"/>
  <c r="AD1092" i="20"/>
  <c r="Y1092" i="20"/>
  <c r="AA1092" i="20"/>
  <c r="AL1092" i="20"/>
  <c r="AF1092" i="20"/>
  <c r="AJ1092" i="20"/>
  <c r="AE1092" i="20"/>
  <c r="Z1092" i="20"/>
  <c r="AG1092" i="20"/>
  <c r="AI1092" i="20"/>
  <c r="AP1083" i="20"/>
  <c r="AJ1083" i="20"/>
  <c r="AF1083" i="20"/>
  <c r="AK1083" i="20"/>
  <c r="AH1083" i="20"/>
  <c r="AL1083" i="20"/>
  <c r="AN1083" i="20"/>
  <c r="Z1083" i="20"/>
  <c r="AD1083" i="20"/>
  <c r="AB1083" i="20"/>
  <c r="AG1083" i="20"/>
  <c r="AO1083" i="20"/>
  <c r="AA1083" i="20"/>
  <c r="Y1083" i="20"/>
  <c r="AP1078" i="20"/>
  <c r="AO1078" i="20"/>
  <c r="AL1078" i="20"/>
  <c r="AG1078" i="20"/>
  <c r="AF1078" i="20"/>
  <c r="AC1078" i="20"/>
  <c r="AN1078" i="20"/>
  <c r="AE1078" i="20"/>
  <c r="AI1078" i="20"/>
  <c r="AD1078" i="20"/>
  <c r="AH1078" i="20"/>
  <c r="AB1078" i="20"/>
  <c r="AK1078" i="20"/>
  <c r="AP1075" i="20"/>
  <c r="AO1075" i="20"/>
  <c r="AD1075" i="20"/>
  <c r="AH1075" i="20"/>
  <c r="AI1075" i="20"/>
  <c r="AE1075" i="20"/>
  <c r="Z1075" i="20"/>
  <c r="AF1075" i="20"/>
  <c r="AB1075" i="20"/>
  <c r="Y1075" i="20"/>
  <c r="AG1075" i="20"/>
  <c r="AA1075" i="20"/>
  <c r="AJ1075" i="20"/>
  <c r="AL1075" i="20"/>
  <c r="AP1071" i="20"/>
  <c r="AO1071" i="20"/>
  <c r="AN1071" i="20"/>
  <c r="AB1071" i="20"/>
  <c r="AE1071" i="20"/>
  <c r="AF1071" i="20"/>
  <c r="AL1071" i="20"/>
  <c r="Y1071" i="20"/>
  <c r="Z1071" i="20"/>
  <c r="AJ1071" i="20"/>
  <c r="AG1071" i="20"/>
  <c r="AA1071" i="20"/>
  <c r="AI1071" i="20"/>
  <c r="AP1066" i="20"/>
  <c r="AC1066" i="20"/>
  <c r="AB1066" i="20"/>
  <c r="Y1066" i="20"/>
  <c r="AJ1066" i="20"/>
  <c r="Z1066" i="20"/>
  <c r="AO1066" i="20"/>
  <c r="AI1066" i="20"/>
  <c r="AL1066" i="20"/>
  <c r="AA1066" i="20"/>
  <c r="AD1066" i="20"/>
  <c r="AE1066" i="20"/>
  <c r="AN1066" i="20"/>
  <c r="AK1066" i="20"/>
  <c r="AP1061" i="20"/>
  <c r="AA1061" i="20"/>
  <c r="AK1061" i="20"/>
  <c r="AE1061" i="20"/>
  <c r="AB1061" i="20"/>
  <c r="AO1061" i="20"/>
  <c r="AJ1061" i="20"/>
  <c r="Z1061" i="20"/>
  <c r="AF1061" i="20"/>
  <c r="AC1061" i="20"/>
  <c r="AL1061" i="20"/>
  <c r="AH1061" i="20"/>
  <c r="AG1061" i="20"/>
  <c r="Y1061" i="20"/>
  <c r="AO1057" i="20"/>
  <c r="AJ1057" i="20"/>
  <c r="AH1057" i="20"/>
  <c r="AP1057" i="20"/>
  <c r="AB1057" i="20"/>
  <c r="AA1057" i="20"/>
  <c r="AE1057" i="20"/>
  <c r="AL1057" i="20"/>
  <c r="AN1057" i="20"/>
  <c r="AD1057" i="20"/>
  <c r="AI1057" i="20"/>
  <c r="AC1057" i="20"/>
  <c r="AF1057" i="20"/>
  <c r="AG1057" i="20"/>
  <c r="AP1052" i="20"/>
  <c r="AO1052" i="20"/>
  <c r="AJ1052" i="20"/>
  <c r="AG1052" i="20"/>
  <c r="AH1052" i="20"/>
  <c r="AC1052" i="20"/>
  <c r="AF1052" i="20"/>
  <c r="AL1052" i="20"/>
  <c r="AK1052" i="20"/>
  <c r="AN1052" i="20"/>
  <c r="AA1052" i="20"/>
  <c r="Z1052" i="20"/>
  <c r="AB1052" i="20"/>
  <c r="AI1052" i="20"/>
  <c r="AO1049" i="20"/>
  <c r="AP1049" i="20"/>
  <c r="AI1049" i="20"/>
  <c r="AC1049" i="20"/>
  <c r="AF1049" i="20"/>
  <c r="AH1049" i="20"/>
  <c r="AD1049" i="20"/>
  <c r="AB1049" i="20"/>
  <c r="AE1049" i="20"/>
  <c r="AN1049" i="20"/>
  <c r="Y1049" i="20"/>
  <c r="AA1049" i="20"/>
  <c r="AK1049" i="20"/>
  <c r="AP1045" i="20"/>
  <c r="AO1045" i="20"/>
  <c r="AI1045" i="20"/>
  <c r="AD1045" i="20"/>
  <c r="AB1045" i="20"/>
  <c r="AH1045" i="20"/>
  <c r="AE1045" i="20"/>
  <c r="AG1045" i="20"/>
  <c r="AA1045" i="20"/>
  <c r="AJ1045" i="20"/>
  <c r="Z1045" i="20"/>
  <c r="AL1045" i="20"/>
  <c r="AF1045" i="20"/>
  <c r="Y1045" i="20"/>
  <c r="AP1041" i="20"/>
  <c r="AA1041" i="20"/>
  <c r="AO1041" i="20"/>
  <c r="AI1041" i="20"/>
  <c r="AF1041" i="20"/>
  <c r="Y1041" i="20"/>
  <c r="Z1041" i="20"/>
  <c r="AD1041" i="20"/>
  <c r="AH1041" i="20"/>
  <c r="AJ1041" i="20"/>
  <c r="AC1041" i="20"/>
  <c r="AK1041" i="20"/>
  <c r="AG1041" i="20"/>
  <c r="AL1041" i="20"/>
  <c r="AP1037" i="20"/>
  <c r="AO1037" i="20"/>
  <c r="Z1037" i="20"/>
  <c r="AI1037" i="20"/>
  <c r="AJ1037" i="20"/>
  <c r="AD1037" i="20"/>
  <c r="AH1037" i="20"/>
  <c r="AB1037" i="20"/>
  <c r="AN1037" i="20"/>
  <c r="Y1037" i="20"/>
  <c r="AC1037" i="20"/>
  <c r="AL1037" i="20"/>
  <c r="AA1037" i="20"/>
  <c r="AG1037" i="20"/>
  <c r="AP1031" i="20"/>
  <c r="AO1031" i="20"/>
  <c r="AB1031" i="20"/>
  <c r="AN1031" i="20"/>
  <c r="AA1031" i="20"/>
  <c r="AL1031" i="20"/>
  <c r="AI1031" i="20"/>
  <c r="Z1031" i="20"/>
  <c r="AF1031" i="20"/>
  <c r="AG1031" i="20"/>
  <c r="AD1031" i="20"/>
  <c r="AC1031" i="20"/>
  <c r="AJ1031" i="20"/>
  <c r="Y1031" i="20"/>
  <c r="AP1027" i="20"/>
  <c r="AN1027" i="20"/>
  <c r="AI1027" i="20"/>
  <c r="Y1027" i="20"/>
  <c r="AO1027" i="20"/>
  <c r="AG1027" i="20"/>
  <c r="AD1027" i="20"/>
  <c r="Z1027" i="20"/>
  <c r="AE1027" i="20"/>
  <c r="AJ1027" i="20"/>
  <c r="AC1027" i="20"/>
  <c r="AF1027" i="20"/>
  <c r="AB1027" i="20"/>
  <c r="AP1019" i="20"/>
  <c r="AO1019" i="20"/>
  <c r="AD1019" i="20"/>
  <c r="AC1019" i="20"/>
  <c r="AG1019" i="20"/>
  <c r="AE1019" i="20"/>
  <c r="AL1019" i="20"/>
  <c r="AN1019" i="20"/>
  <c r="AH1019" i="20"/>
  <c r="AA1019" i="20"/>
  <c r="AF1019" i="20"/>
  <c r="AJ1019" i="20"/>
  <c r="Y1019" i="20"/>
  <c r="AK1019" i="20"/>
  <c r="AI1019" i="20"/>
  <c r="AI1015" i="20"/>
  <c r="AO1015" i="20"/>
  <c r="AC1015" i="20"/>
  <c r="AE1015" i="20"/>
  <c r="AP1015" i="20"/>
  <c r="Z1015" i="20"/>
  <c r="AD1015" i="20"/>
  <c r="AL1015" i="20"/>
  <c r="AJ1015" i="20"/>
  <c r="AG1015" i="20"/>
  <c r="AH1015" i="20"/>
  <c r="AN1015" i="20"/>
  <c r="Y1015" i="20"/>
  <c r="AK1015" i="20"/>
  <c r="AP1011" i="20"/>
  <c r="AO1011" i="20"/>
  <c r="AH1011" i="20"/>
  <c r="AK1011" i="20"/>
  <c r="Z1011" i="20"/>
  <c r="AG1011" i="20"/>
  <c r="AI1011" i="20"/>
  <c r="AD1011" i="20"/>
  <c r="AN1011" i="20"/>
  <c r="AE1011" i="20"/>
  <c r="AL1011" i="20"/>
  <c r="Y1011" i="20"/>
  <c r="AB1011" i="20"/>
  <c r="AJ1011" i="20"/>
  <c r="AP1007" i="20"/>
  <c r="AO1007" i="20"/>
  <c r="Y1007" i="20"/>
  <c r="AL1007" i="20"/>
  <c r="AK1007" i="20"/>
  <c r="AA1007" i="20"/>
  <c r="AJ1007" i="20"/>
  <c r="AC1007" i="20"/>
  <c r="AF1007" i="20"/>
  <c r="AD1007" i="20"/>
  <c r="AI1007" i="20"/>
  <c r="AN1007" i="20"/>
  <c r="AE1007" i="20"/>
  <c r="Z1007" i="20"/>
  <c r="AG1007" i="20"/>
  <c r="AP1001" i="20"/>
  <c r="AO1001" i="20"/>
  <c r="AN1001" i="20"/>
  <c r="AI1001" i="20"/>
  <c r="Y1001" i="20"/>
  <c r="AB1001" i="20"/>
  <c r="AK1001" i="20"/>
  <c r="AL1001" i="20"/>
  <c r="AD1001" i="20"/>
  <c r="AA1001" i="20"/>
  <c r="AF1001" i="20"/>
  <c r="AG1001" i="20"/>
  <c r="AC1001" i="20"/>
  <c r="Z1001" i="20"/>
  <c r="AP998" i="20"/>
  <c r="AL998" i="20"/>
  <c r="AE998" i="20"/>
  <c r="AB998" i="20"/>
  <c r="Z998" i="20"/>
  <c r="AK998" i="20"/>
  <c r="AI998" i="20"/>
  <c r="AO998" i="20"/>
  <c r="AD998" i="20"/>
  <c r="AC998" i="20"/>
  <c r="AA998" i="20"/>
  <c r="AG998" i="20"/>
  <c r="AH998" i="20"/>
  <c r="AO1005" i="20"/>
  <c r="AP1005" i="20"/>
  <c r="AN1005" i="20"/>
  <c r="AF1005" i="20"/>
  <c r="AH1005" i="20"/>
  <c r="AG1005" i="20"/>
  <c r="Y1005" i="20"/>
  <c r="AC1005" i="20"/>
  <c r="AK1005" i="20"/>
  <c r="Z1005" i="20"/>
  <c r="AB1005" i="20"/>
  <c r="AI1005" i="20"/>
  <c r="AE1005" i="20"/>
  <c r="AD1005" i="20"/>
  <c r="AP991" i="20"/>
  <c r="AO991" i="20"/>
  <c r="AA991" i="20"/>
  <c r="AC991" i="20"/>
  <c r="AB991" i="20"/>
  <c r="AN991" i="20"/>
  <c r="AE991" i="20"/>
  <c r="AF991" i="20"/>
  <c r="AH991" i="20"/>
  <c r="AD991" i="20"/>
  <c r="AL991" i="20"/>
  <c r="Y991" i="20"/>
  <c r="Z991" i="20"/>
  <c r="AP987" i="20"/>
  <c r="AO987" i="20"/>
  <c r="AF987" i="20"/>
  <c r="AJ987" i="20"/>
  <c r="AA987" i="20"/>
  <c r="Z987" i="20"/>
  <c r="AI987" i="20"/>
  <c r="AL987" i="20"/>
  <c r="AB987" i="20"/>
  <c r="AC987" i="20"/>
  <c r="AH987" i="20"/>
  <c r="AD987" i="20"/>
  <c r="AE987" i="20"/>
  <c r="AN987" i="20"/>
  <c r="Y987" i="20"/>
  <c r="AP982" i="20"/>
  <c r="AJ982" i="20"/>
  <c r="Z982" i="20"/>
  <c r="AF982" i="20"/>
  <c r="AK982" i="20"/>
  <c r="AO982" i="20"/>
  <c r="AN982" i="20"/>
  <c r="AH982" i="20"/>
  <c r="AE982" i="20"/>
  <c r="AA982" i="20"/>
  <c r="AL982" i="20"/>
  <c r="AB982" i="20"/>
  <c r="Y982" i="20"/>
  <c r="AC982" i="20"/>
  <c r="AI982" i="20"/>
  <c r="AO978" i="20"/>
  <c r="AP978" i="20"/>
  <c r="AI978" i="20"/>
  <c r="AH978" i="20"/>
  <c r="AF978" i="20"/>
  <c r="AJ978" i="20"/>
  <c r="AK978" i="20"/>
  <c r="Y978" i="20"/>
  <c r="AE978" i="20"/>
  <c r="AA978" i="20"/>
  <c r="AL978" i="20"/>
  <c r="AC978" i="20"/>
  <c r="Z978" i="20"/>
  <c r="AD978" i="20"/>
  <c r="AP974" i="20"/>
  <c r="AG974" i="20"/>
  <c r="AK974" i="20"/>
  <c r="AB974" i="20"/>
  <c r="AJ974" i="20"/>
  <c r="AO974" i="20"/>
  <c r="AA974" i="20"/>
  <c r="AF974" i="20"/>
  <c r="AL974" i="20"/>
  <c r="Y974" i="20"/>
  <c r="AI974" i="20"/>
  <c r="Z974" i="20"/>
  <c r="AH974" i="20"/>
  <c r="AE974" i="20"/>
  <c r="AD974" i="20"/>
  <c r="AO970" i="20"/>
  <c r="AI970" i="20"/>
  <c r="AD970" i="20"/>
  <c r="AC970" i="20"/>
  <c r="AJ970" i="20"/>
  <c r="AG970" i="20"/>
  <c r="Y970" i="20"/>
  <c r="AH970" i="20"/>
  <c r="AP970" i="20"/>
  <c r="AE970" i="20"/>
  <c r="AK970" i="20"/>
  <c r="AF970" i="20"/>
  <c r="Z970" i="20"/>
  <c r="AP966" i="20"/>
  <c r="AO966" i="20"/>
  <c r="AB966" i="20"/>
  <c r="AN966" i="20"/>
  <c r="AA966" i="20"/>
  <c r="AI966" i="20"/>
  <c r="AE966" i="20"/>
  <c r="Z966" i="20"/>
  <c r="AH966" i="20"/>
  <c r="AC966" i="20"/>
  <c r="Y966" i="20"/>
  <c r="AG966" i="20"/>
  <c r="AL966" i="20"/>
  <c r="AK966" i="20"/>
  <c r="AN961" i="20"/>
  <c r="Y961" i="20"/>
  <c r="AF961" i="20"/>
  <c r="AL961" i="20"/>
  <c r="AC961" i="20"/>
  <c r="AJ961" i="20"/>
  <c r="Z961" i="20"/>
  <c r="AD961" i="20"/>
  <c r="AH961" i="20"/>
  <c r="AI961" i="20"/>
  <c r="AG961" i="20"/>
  <c r="AP957" i="20"/>
  <c r="AO957" i="20"/>
  <c r="AI957" i="20"/>
  <c r="AB957" i="20"/>
  <c r="AE957" i="20"/>
  <c r="AF957" i="20"/>
  <c r="AA957" i="20"/>
  <c r="AK957" i="20"/>
  <c r="AH957" i="20"/>
  <c r="Y957" i="20"/>
  <c r="Z957" i="20"/>
  <c r="AL957" i="20"/>
  <c r="AJ957" i="20"/>
  <c r="AG957" i="20"/>
  <c r="AN957" i="20"/>
  <c r="AP953" i="20"/>
  <c r="AO953" i="20"/>
  <c r="AG953" i="20"/>
  <c r="Y953" i="20"/>
  <c r="AD953" i="20"/>
  <c r="AJ953" i="20"/>
  <c r="AF953" i="20"/>
  <c r="AA953" i="20"/>
  <c r="AI953" i="20"/>
  <c r="AN953" i="20"/>
  <c r="AH953" i="20"/>
  <c r="AK953" i="20"/>
  <c r="AE953" i="20"/>
  <c r="AP949" i="20"/>
  <c r="AO949" i="20"/>
  <c r="AL949" i="20"/>
  <c r="AG949" i="20"/>
  <c r="AD949" i="20"/>
  <c r="AC949" i="20"/>
  <c r="AI949" i="20"/>
  <c r="AN949" i="20"/>
  <c r="Z949" i="20"/>
  <c r="AK949" i="20"/>
  <c r="AA949" i="20"/>
  <c r="AB949" i="20"/>
  <c r="AE949" i="20"/>
  <c r="AJ949" i="20"/>
  <c r="AH949" i="20"/>
  <c r="AP939" i="20"/>
  <c r="AO939" i="20"/>
  <c r="AK939" i="20"/>
  <c r="AI939" i="20"/>
  <c r="AB939" i="20"/>
  <c r="AE939" i="20"/>
  <c r="AL939" i="20"/>
  <c r="AC939" i="20"/>
  <c r="AA939" i="20"/>
  <c r="AN939" i="20"/>
  <c r="AD939" i="20"/>
  <c r="Y939" i="20"/>
  <c r="AG939" i="20"/>
  <c r="Z939" i="20"/>
  <c r="AP935" i="20"/>
  <c r="AO935" i="20"/>
  <c r="AJ935" i="20"/>
  <c r="AG935" i="20"/>
  <c r="AE935" i="20"/>
  <c r="AH935" i="20"/>
  <c r="AF935" i="20"/>
  <c r="AC935" i="20"/>
  <c r="Y935" i="20"/>
  <c r="AD935" i="20"/>
  <c r="AN935" i="20"/>
  <c r="Z935" i="20"/>
  <c r="AL935" i="20"/>
  <c r="AP928" i="20"/>
  <c r="AO928" i="20"/>
  <c r="AG928" i="20"/>
  <c r="AL928" i="20"/>
  <c r="AA928" i="20"/>
  <c r="AK928" i="20"/>
  <c r="AE928" i="20"/>
  <c r="Y928" i="20"/>
  <c r="AN928" i="20"/>
  <c r="AB928" i="20"/>
  <c r="AJ928" i="20"/>
  <c r="AD928" i="20"/>
  <c r="Z928" i="20"/>
  <c r="AH928" i="20"/>
  <c r="AI928" i="20"/>
  <c r="AC928" i="20"/>
  <c r="AO924" i="20"/>
  <c r="AP924" i="20"/>
  <c r="AI924" i="20"/>
  <c r="AC924" i="20"/>
  <c r="AH924" i="20"/>
  <c r="AD924" i="20"/>
  <c r="AL924" i="20"/>
  <c r="Y924" i="20"/>
  <c r="AK924" i="20"/>
  <c r="AA924" i="20"/>
  <c r="AE924" i="20"/>
  <c r="AB924" i="20"/>
  <c r="AG924" i="20"/>
  <c r="AP919" i="20"/>
  <c r="AL919" i="20"/>
  <c r="AO919" i="20"/>
  <c r="AD919" i="20"/>
  <c r="AN919" i="20"/>
  <c r="AI919" i="20"/>
  <c r="AK919" i="20"/>
  <c r="AJ919" i="20"/>
  <c r="AC919" i="20"/>
  <c r="AG919" i="20"/>
  <c r="AB919" i="20"/>
  <c r="Y919" i="20"/>
  <c r="AF919" i="20"/>
  <c r="AH919" i="20"/>
  <c r="AE919" i="20"/>
  <c r="AP913" i="20"/>
  <c r="AO913" i="20"/>
  <c r="AE913" i="20"/>
  <c r="AF913" i="20"/>
  <c r="AG913" i="20"/>
  <c r="Z913" i="20"/>
  <c r="AA913" i="20"/>
  <c r="AJ913" i="20"/>
  <c r="AL913" i="20"/>
  <c r="AI913" i="20"/>
  <c r="Y913" i="20"/>
  <c r="AB913" i="20"/>
  <c r="AH913" i="20"/>
  <c r="AD913" i="20"/>
  <c r="AP899" i="20"/>
  <c r="AO899" i="20"/>
  <c r="AI899" i="20"/>
  <c r="AD899" i="20"/>
  <c r="AB899" i="20"/>
  <c r="Y899" i="20"/>
  <c r="AL899" i="20"/>
  <c r="AG899" i="20"/>
  <c r="AA899" i="20"/>
  <c r="AC899" i="20"/>
  <c r="AE899" i="20"/>
  <c r="AN899" i="20"/>
  <c r="AH899" i="20"/>
  <c r="AK899" i="20"/>
  <c r="AP896" i="20"/>
  <c r="AA896" i="20"/>
  <c r="AN896" i="20"/>
  <c r="AF896" i="20"/>
  <c r="AK896" i="20"/>
  <c r="Y896" i="20"/>
  <c r="AJ896" i="20"/>
  <c r="AL896" i="20"/>
  <c r="AO896" i="20"/>
  <c r="AI896" i="20"/>
  <c r="Z896" i="20"/>
  <c r="AD896" i="20"/>
  <c r="AC896" i="20"/>
  <c r="AB896" i="20"/>
  <c r="AG896" i="20"/>
  <c r="AO892" i="20"/>
  <c r="AP892" i="20"/>
  <c r="AK892" i="20"/>
  <c r="AI892" i="20"/>
  <c r="AE892" i="20"/>
  <c r="Y892" i="20"/>
  <c r="AL892" i="20"/>
  <c r="AF892" i="20"/>
  <c r="Z892" i="20"/>
  <c r="AH892" i="20"/>
  <c r="AD892" i="20"/>
  <c r="AA892" i="20"/>
  <c r="AN892" i="20"/>
  <c r="AB892" i="20"/>
  <c r="AC892" i="20"/>
  <c r="AP889" i="20"/>
  <c r="AI889" i="20"/>
  <c r="AO889" i="20"/>
  <c r="AJ889" i="20"/>
  <c r="AL889" i="20"/>
  <c r="AH889" i="20"/>
  <c r="AD889" i="20"/>
  <c r="AC889" i="20"/>
  <c r="AK889" i="20"/>
  <c r="AA889" i="20"/>
  <c r="AG889" i="20"/>
  <c r="AN889" i="20"/>
  <c r="Y889" i="20"/>
  <c r="AB889" i="20"/>
  <c r="AJ888" i="20"/>
  <c r="AO888" i="20"/>
  <c r="AI888" i="20"/>
  <c r="AD888" i="20"/>
  <c r="Y888" i="20"/>
  <c r="AH888" i="20"/>
  <c r="AP888" i="20"/>
  <c r="AL888" i="20"/>
  <c r="AC888" i="20"/>
  <c r="AG888" i="20"/>
  <c r="AK888" i="20"/>
  <c r="AE888" i="20"/>
  <c r="Z888" i="20"/>
  <c r="AF888" i="20"/>
  <c r="AB888" i="20"/>
  <c r="AP886" i="20"/>
  <c r="AO886" i="20"/>
  <c r="AA886" i="20"/>
  <c r="AE886" i="20"/>
  <c r="AD886" i="20"/>
  <c r="AH886" i="20"/>
  <c r="AJ886" i="20"/>
  <c r="AK886" i="20"/>
  <c r="AL886" i="20"/>
  <c r="AI886" i="20"/>
  <c r="Z886" i="20"/>
  <c r="AB886" i="20"/>
  <c r="AC886" i="20"/>
  <c r="AG886" i="20"/>
  <c r="AP884" i="20"/>
  <c r="AO884" i="20"/>
  <c r="AG884" i="20"/>
  <c r="AI884" i="20"/>
  <c r="Z884" i="20"/>
  <c r="AJ884" i="20"/>
  <c r="AE884" i="20"/>
  <c r="AA884" i="20"/>
  <c r="AF884" i="20"/>
  <c r="AK884" i="20"/>
  <c r="AD884" i="20"/>
  <c r="AB884" i="20"/>
  <c r="AC884" i="20"/>
  <c r="AH884" i="20"/>
  <c r="AN884" i="20"/>
  <c r="AP880" i="20"/>
  <c r="AO880" i="20"/>
  <c r="AE880" i="20"/>
  <c r="AB880" i="20"/>
  <c r="AG880" i="20"/>
  <c r="AK880" i="20"/>
  <c r="AD880" i="20"/>
  <c r="AA880" i="20"/>
  <c r="AJ880" i="20"/>
  <c r="AI880" i="20"/>
  <c r="AN880" i="20"/>
  <c r="AH880" i="20"/>
  <c r="Y880" i="20"/>
  <c r="AC880" i="20"/>
  <c r="AP901" i="20"/>
  <c r="AO901" i="20"/>
  <c r="AD901" i="20"/>
  <c r="AI901" i="20"/>
  <c r="AN901" i="20"/>
  <c r="AK901" i="20"/>
  <c r="AF901" i="20"/>
  <c r="Z901" i="20"/>
  <c r="Y901" i="20"/>
  <c r="AE901" i="20"/>
  <c r="AG901" i="20"/>
  <c r="AC901" i="20"/>
  <c r="AL901" i="20"/>
  <c r="AB901" i="20"/>
  <c r="AP874" i="20"/>
  <c r="AJ874" i="20"/>
  <c r="AG874" i="20"/>
  <c r="AC874" i="20"/>
  <c r="AF874" i="20"/>
  <c r="AO874" i="20"/>
  <c r="AD874" i="20"/>
  <c r="AB874" i="20"/>
  <c r="AH874" i="20"/>
  <c r="Y874" i="20"/>
  <c r="AA874" i="20"/>
  <c r="AL874" i="20"/>
  <c r="Z874" i="20"/>
  <c r="AO870" i="20"/>
  <c r="AP870" i="20"/>
  <c r="Z870" i="20"/>
  <c r="AK870" i="20"/>
  <c r="AH870" i="20"/>
  <c r="AL870" i="20"/>
  <c r="AG870" i="20"/>
  <c r="AF870" i="20"/>
  <c r="AB870" i="20"/>
  <c r="AE870" i="20"/>
  <c r="AC870" i="20"/>
  <c r="AJ870" i="20"/>
  <c r="AD870" i="20"/>
  <c r="AP865" i="20"/>
  <c r="AO865" i="20"/>
  <c r="AJ865" i="20"/>
  <c r="AC865" i="20"/>
  <c r="AA865" i="20"/>
  <c r="AN865" i="20"/>
  <c r="AF865" i="20"/>
  <c r="AG865" i="20"/>
  <c r="AD865" i="20"/>
  <c r="Z865" i="20"/>
  <c r="AB865" i="20"/>
  <c r="Y865" i="20"/>
  <c r="AK865" i="20"/>
  <c r="AE865" i="20"/>
  <c r="AH865" i="20"/>
  <c r="AL865" i="20"/>
  <c r="AI865" i="20"/>
  <c r="AP861" i="20"/>
  <c r="AF861" i="20"/>
  <c r="AO861" i="20"/>
  <c r="AH861" i="20"/>
  <c r="AJ861" i="20"/>
  <c r="AD861" i="20"/>
  <c r="AE861" i="20"/>
  <c r="AC861" i="20"/>
  <c r="Y861" i="20"/>
  <c r="AG861" i="20"/>
  <c r="AN861" i="20"/>
  <c r="AK861" i="20"/>
  <c r="AA861" i="20"/>
  <c r="AB861" i="20"/>
  <c r="Z861" i="20"/>
  <c r="AP856" i="20"/>
  <c r="AH856" i="20"/>
  <c r="AI856" i="20"/>
  <c r="AF856" i="20"/>
  <c r="AJ856" i="20"/>
  <c r="Y856" i="20"/>
  <c r="AD856" i="20"/>
  <c r="Z856" i="20"/>
  <c r="AO856" i="20"/>
  <c r="AN856" i="20"/>
  <c r="AA856" i="20"/>
  <c r="AB856" i="20"/>
  <c r="AL856" i="20"/>
  <c r="AG856" i="20"/>
  <c r="AK856" i="20"/>
  <c r="AO852" i="20"/>
  <c r="AL852" i="20"/>
  <c r="AK852" i="20"/>
  <c r="AH852" i="20"/>
  <c r="AI852" i="20"/>
  <c r="AF852" i="20"/>
  <c r="AP852" i="20"/>
  <c r="AC852" i="20"/>
  <c r="Z852" i="20"/>
  <c r="AB852" i="20"/>
  <c r="AG852" i="20"/>
  <c r="Y852" i="20"/>
  <c r="AD852" i="20"/>
  <c r="AN852" i="20"/>
  <c r="AJ852" i="20"/>
  <c r="AP848" i="20"/>
  <c r="AH848" i="20"/>
  <c r="AN848" i="20"/>
  <c r="AK848" i="20"/>
  <c r="Z848" i="20"/>
  <c r="AL848" i="20"/>
  <c r="AG848" i="20"/>
  <c r="AD848" i="20"/>
  <c r="AB848" i="20"/>
  <c r="AC848" i="20"/>
  <c r="AA848" i="20"/>
  <c r="AE848" i="20"/>
  <c r="AF848" i="20"/>
  <c r="AJ848" i="20"/>
  <c r="AI848" i="20"/>
  <c r="Y858" i="20"/>
  <c r="AD858" i="20"/>
  <c r="AC858" i="20"/>
  <c r="AI858" i="20"/>
  <c r="AA858" i="20"/>
  <c r="AK858" i="20"/>
  <c r="AB858" i="20"/>
  <c r="AG858" i="20"/>
  <c r="AN858" i="20"/>
  <c r="AF858" i="20"/>
  <c r="AJ858" i="20"/>
  <c r="AL858" i="20"/>
  <c r="Z858" i="20"/>
  <c r="AE858" i="20"/>
  <c r="AH858" i="20"/>
  <c r="AP841" i="20"/>
  <c r="AO841" i="20"/>
  <c r="Y841" i="20"/>
  <c r="AH841" i="20"/>
  <c r="AB841" i="20"/>
  <c r="AK841" i="20"/>
  <c r="AJ841" i="20"/>
  <c r="AE841" i="20"/>
  <c r="AI841" i="20"/>
  <c r="Z841" i="20"/>
  <c r="AL841" i="20"/>
  <c r="AD841" i="20"/>
  <c r="AF841" i="20"/>
  <c r="AA841" i="20"/>
  <c r="AC841" i="20"/>
  <c r="AG841" i="20"/>
  <c r="AF837" i="20"/>
  <c r="Z837" i="20"/>
  <c r="AL837" i="20"/>
  <c r="AD837" i="20"/>
  <c r="AI837" i="20"/>
  <c r="AH837" i="20"/>
  <c r="AJ837" i="20"/>
  <c r="AA837" i="20"/>
  <c r="AN837" i="20"/>
  <c r="AG837" i="20"/>
  <c r="AK837" i="20"/>
  <c r="AE837" i="20"/>
  <c r="Y837" i="20"/>
  <c r="AC837" i="20"/>
  <c r="AP833" i="20"/>
  <c r="AL833" i="20"/>
  <c r="AH833" i="20"/>
  <c r="AO833" i="20"/>
  <c r="AG833" i="20"/>
  <c r="AE833" i="20"/>
  <c r="AF833" i="20"/>
  <c r="Y833" i="20"/>
  <c r="AJ833" i="20"/>
  <c r="AI833" i="20"/>
  <c r="Z833" i="20"/>
  <c r="AK833" i="20"/>
  <c r="AA833" i="20"/>
  <c r="AB833" i="20"/>
  <c r="AN833" i="20"/>
  <c r="AD833" i="20"/>
  <c r="AC833" i="20"/>
  <c r="AL830" i="20"/>
  <c r="AD830" i="20"/>
  <c r="AG830" i="20"/>
  <c r="AJ830" i="20"/>
  <c r="AB830" i="20"/>
  <c r="Y830" i="20"/>
  <c r="AF830" i="20"/>
  <c r="AI830" i="20"/>
  <c r="AK830" i="20"/>
  <c r="AH830" i="20"/>
  <c r="AA830" i="20"/>
  <c r="Z830" i="20"/>
  <c r="AP824" i="20"/>
  <c r="AB824" i="20"/>
  <c r="AH824" i="20"/>
  <c r="AK824" i="20"/>
  <c r="AC824" i="20"/>
  <c r="Y824" i="20"/>
  <c r="AG824" i="20"/>
  <c r="AL824" i="20"/>
  <c r="AI824" i="20"/>
  <c r="AD824" i="20"/>
  <c r="AF824" i="20"/>
  <c r="AE824" i="20"/>
  <c r="AA824" i="20"/>
  <c r="AN824" i="20"/>
  <c r="AJ824" i="20"/>
  <c r="AK821" i="20"/>
  <c r="Y821" i="20"/>
  <c r="AB821" i="20"/>
  <c r="AF821" i="20"/>
  <c r="AL821" i="20"/>
  <c r="AH821" i="20"/>
  <c r="AJ821" i="20"/>
  <c r="AC821" i="20"/>
  <c r="Z821" i="20"/>
  <c r="AN821" i="20"/>
  <c r="AI821" i="20"/>
  <c r="AG821" i="20"/>
  <c r="AA821" i="20"/>
  <c r="AE821" i="20"/>
  <c r="AD821" i="20"/>
  <c r="AP817" i="20"/>
  <c r="AJ817" i="20"/>
  <c r="AE817" i="20"/>
  <c r="AF817" i="20"/>
  <c r="AI817" i="20"/>
  <c r="AA817" i="20"/>
  <c r="AC817" i="20"/>
  <c r="Z817" i="20"/>
  <c r="AH817" i="20"/>
  <c r="AG817" i="20"/>
  <c r="Y817" i="20"/>
  <c r="AK817" i="20"/>
  <c r="AB817" i="20"/>
  <c r="AD817" i="20"/>
  <c r="AL817" i="20"/>
  <c r="Z815" i="20"/>
  <c r="AF815" i="20"/>
  <c r="AJ815" i="20"/>
  <c r="AC815" i="20"/>
  <c r="AK815" i="20"/>
  <c r="AG815" i="20"/>
  <c r="AD815" i="20"/>
  <c r="AI815" i="20"/>
  <c r="AN815" i="20"/>
  <c r="AE815" i="20"/>
  <c r="AA815" i="20"/>
  <c r="Y815" i="20"/>
  <c r="AH815" i="20"/>
  <c r="AL815" i="20"/>
  <c r="AP812" i="20"/>
  <c r="AL812" i="20"/>
  <c r="AI812" i="20"/>
  <c r="AA812" i="20"/>
  <c r="AG812" i="20"/>
  <c r="Z812" i="20"/>
  <c r="AC812" i="20"/>
  <c r="AB812" i="20"/>
  <c r="AE812" i="20"/>
  <c r="Y812" i="20"/>
  <c r="AJ812" i="20"/>
  <c r="AK812" i="20"/>
  <c r="AF812" i="20"/>
  <c r="AN812" i="20"/>
  <c r="AL806" i="20"/>
  <c r="AN806" i="20"/>
  <c r="AK806" i="20"/>
  <c r="AB806" i="20"/>
  <c r="Z806" i="20"/>
  <c r="AI806" i="20"/>
  <c r="AE806" i="20"/>
  <c r="AC806" i="20"/>
  <c r="Y806" i="20"/>
  <c r="AD806" i="20"/>
  <c r="AH806" i="20"/>
  <c r="AF806" i="20"/>
  <c r="AJ806" i="20"/>
  <c r="AG806" i="20"/>
  <c r="AA806" i="20"/>
  <c r="AP804" i="20"/>
  <c r="AJ804" i="20"/>
  <c r="AO804" i="20"/>
  <c r="AL804" i="20"/>
  <c r="AB804" i="20"/>
  <c r="Z804" i="20"/>
  <c r="AH804" i="20"/>
  <c r="AN804" i="20"/>
  <c r="AI804" i="20"/>
  <c r="AF804" i="20"/>
  <c r="Y804" i="20"/>
  <c r="AD804" i="20"/>
  <c r="AC804" i="20"/>
  <c r="AE804" i="20"/>
  <c r="AK804" i="20"/>
  <c r="AA804" i="20"/>
  <c r="AI801" i="20"/>
  <c r="Z801" i="20"/>
  <c r="AL801" i="20"/>
  <c r="AK801" i="20"/>
  <c r="AE801" i="20"/>
  <c r="AD801" i="20"/>
  <c r="AC801" i="20"/>
  <c r="AJ801" i="20"/>
  <c r="AG801" i="20"/>
  <c r="AF801" i="20"/>
  <c r="Y801" i="20"/>
  <c r="AH801" i="20"/>
  <c r="AA801" i="20"/>
  <c r="AN801" i="20"/>
  <c r="AP792" i="20"/>
  <c r="AH792" i="20"/>
  <c r="AK792" i="20"/>
  <c r="Y792" i="20"/>
  <c r="AF792" i="20"/>
  <c r="AB792" i="20"/>
  <c r="AE792" i="20"/>
  <c r="AG792" i="20"/>
  <c r="AD792" i="20"/>
  <c r="AA792" i="20"/>
  <c r="AN792" i="20"/>
  <c r="AJ792" i="20"/>
  <c r="AL792" i="20"/>
  <c r="AI792" i="20"/>
  <c r="AC792" i="20"/>
  <c r="Z792" i="20"/>
  <c r="AA794" i="20"/>
  <c r="Z794" i="20"/>
  <c r="Y794" i="20"/>
  <c r="AC794" i="20"/>
  <c r="AB794" i="20"/>
  <c r="AK794" i="20"/>
  <c r="AJ794" i="20"/>
  <c r="AE794" i="20"/>
  <c r="AF794" i="20"/>
  <c r="AD794" i="20"/>
  <c r="AG794" i="20"/>
  <c r="AL794" i="20"/>
  <c r="AI794" i="20"/>
  <c r="AH794" i="20"/>
  <c r="AO785" i="20"/>
  <c r="AL785" i="20"/>
  <c r="Z785" i="20"/>
  <c r="AN785" i="20"/>
  <c r="AF785" i="20"/>
  <c r="AD785" i="20"/>
  <c r="AK785" i="20"/>
  <c r="AJ785" i="20"/>
  <c r="AI785" i="20"/>
  <c r="AC785" i="20"/>
  <c r="AE785" i="20"/>
  <c r="AB785" i="20"/>
  <c r="AG785" i="20"/>
  <c r="AA785" i="20"/>
  <c r="AO781" i="20"/>
  <c r="AP781" i="20"/>
  <c r="AE781" i="20"/>
  <c r="AK781" i="20"/>
  <c r="AI781" i="20"/>
  <c r="AL781" i="20"/>
  <c r="AN781" i="20"/>
  <c r="Y781" i="20"/>
  <c r="AA781" i="20"/>
  <c r="AF781" i="20"/>
  <c r="Z781" i="20"/>
  <c r="AD781" i="20"/>
  <c r="AG781" i="20"/>
  <c r="AB781" i="20"/>
  <c r="AJ781" i="20"/>
  <c r="AI775" i="20"/>
  <c r="AP775" i="20"/>
  <c r="AD775" i="20"/>
  <c r="AN775" i="20"/>
  <c r="AO775" i="20"/>
  <c r="Z775" i="20"/>
  <c r="AJ773" i="20"/>
  <c r="Z773" i="20"/>
  <c r="AO773" i="20"/>
  <c r="AH773" i="20"/>
  <c r="AB773" i="20"/>
  <c r="AE773" i="20"/>
  <c r="AG766" i="20"/>
  <c r="AN766" i="20"/>
  <c r="AO766" i="20"/>
  <c r="Z766" i="20"/>
  <c r="AE766" i="20"/>
  <c r="AL766" i="20"/>
  <c r="AP766" i="20"/>
  <c r="AJ766" i="20"/>
  <c r="AD762" i="20"/>
  <c r="AJ762" i="20"/>
  <c r="AI762" i="20"/>
  <c r="Y762" i="20"/>
  <c r="AH762" i="20"/>
  <c r="AN762" i="20"/>
  <c r="AL762" i="20"/>
  <c r="AJ758" i="20"/>
  <c r="AB758" i="20"/>
  <c r="AI758" i="20"/>
  <c r="AN758" i="20"/>
  <c r="AE758" i="20"/>
  <c r="AP758" i="20"/>
  <c r="Z753" i="20"/>
  <c r="Y753" i="20"/>
  <c r="AH753" i="20"/>
  <c r="AD753" i="20"/>
  <c r="Z752" i="20"/>
  <c r="AO752" i="20"/>
  <c r="AC752" i="20"/>
  <c r="AK752" i="20"/>
  <c r="AD752" i="20"/>
  <c r="AN752" i="20"/>
  <c r="AP752" i="20"/>
  <c r="AC746" i="20"/>
  <c r="AB746" i="20"/>
  <c r="AF746" i="20"/>
  <c r="AO746" i="20"/>
  <c r="AK746" i="20"/>
  <c r="AI742" i="20"/>
  <c r="Z742" i="20"/>
  <c r="AK742" i="20"/>
  <c r="AO742" i="20"/>
  <c r="AE742" i="20"/>
  <c r="AL742" i="20"/>
  <c r="AN742" i="20"/>
  <c r="AB742" i="20"/>
  <c r="AL738" i="20"/>
  <c r="AB738" i="20"/>
  <c r="AN738" i="20"/>
  <c r="Y738" i="20"/>
  <c r="AP738" i="20"/>
  <c r="AC738" i="20"/>
  <c r="AA734" i="20"/>
  <c r="AP734" i="20"/>
  <c r="AK734" i="20"/>
  <c r="AJ734" i="20"/>
  <c r="Z734" i="20"/>
  <c r="AD734" i="20"/>
  <c r="AL734" i="20"/>
  <c r="AI730" i="20"/>
  <c r="AH730" i="20"/>
  <c r="AG730" i="20"/>
  <c r="AD730" i="20"/>
  <c r="Z730" i="20"/>
  <c r="AC730" i="20"/>
  <c r="AJ730" i="20"/>
  <c r="AG726" i="20"/>
  <c r="AP726" i="20"/>
  <c r="AH726" i="20"/>
  <c r="AB726" i="20"/>
  <c r="AC726" i="20"/>
  <c r="AE722" i="20"/>
  <c r="AJ722" i="20"/>
  <c r="AD722" i="20"/>
  <c r="AL722" i="20"/>
  <c r="AG722" i="20"/>
  <c r="AI722" i="20"/>
  <c r="AC722" i="20"/>
  <c r="AJ715" i="20"/>
  <c r="AH715" i="20"/>
  <c r="AO715" i="20"/>
  <c r="AA715" i="20"/>
  <c r="Z715" i="20"/>
  <c r="AJ712" i="20"/>
  <c r="AC712" i="20"/>
  <c r="AF712" i="20"/>
  <c r="AK712" i="20"/>
  <c r="AG712" i="20"/>
  <c r="AN712" i="20"/>
  <c r="AL709" i="20"/>
  <c r="AJ709" i="20"/>
  <c r="AH709" i="20"/>
  <c r="AG709" i="20"/>
  <c r="AB709" i="20"/>
  <c r="AL718" i="20"/>
  <c r="AN718" i="20"/>
  <c r="AH718" i="20"/>
  <c r="AK718" i="20"/>
  <c r="AP718" i="20"/>
  <c r="AE718" i="20"/>
  <c r="Z718" i="20"/>
  <c r="AG718" i="20"/>
  <c r="AA702" i="20"/>
  <c r="Y702" i="20"/>
  <c r="AK702" i="20"/>
  <c r="AG702" i="20"/>
  <c r="AB702" i="20"/>
  <c r="AF698" i="20"/>
  <c r="AO698" i="20"/>
  <c r="Z698" i="20"/>
  <c r="Y698" i="20"/>
  <c r="AC694" i="20"/>
  <c r="AN694" i="20"/>
  <c r="AH694" i="20"/>
  <c r="AI694" i="20"/>
  <c r="AB694" i="20"/>
  <c r="AI690" i="20"/>
  <c r="AB690" i="20"/>
  <c r="AE690" i="20"/>
  <c r="AF690" i="20"/>
  <c r="AH690" i="20"/>
  <c r="AN690" i="20"/>
  <c r="Z690" i="20"/>
  <c r="AA684" i="20"/>
  <c r="AL684" i="20"/>
  <c r="AP684" i="20"/>
  <c r="Z684" i="20"/>
  <c r="AG684" i="20"/>
  <c r="Z685" i="20"/>
  <c r="Y685" i="20"/>
  <c r="AN685" i="20"/>
  <c r="AO685" i="20"/>
  <c r="AD685" i="20"/>
  <c r="AF685" i="20"/>
  <c r="AC685" i="20"/>
  <c r="AG685" i="20"/>
  <c r="AJ677" i="20"/>
  <c r="AD677" i="20"/>
  <c r="AF677" i="20"/>
  <c r="AL677" i="20"/>
  <c r="AG677" i="20"/>
  <c r="AG673" i="20"/>
  <c r="AO673" i="20"/>
  <c r="AB673" i="20"/>
  <c r="AF673" i="20"/>
  <c r="AL673" i="20"/>
  <c r="AA673" i="20"/>
  <c r="AH673" i="20"/>
  <c r="Z668" i="20"/>
  <c r="AN668" i="20"/>
  <c r="AB668" i="20"/>
  <c r="AL668" i="20"/>
  <c r="AH666" i="20"/>
  <c r="AI666" i="20"/>
  <c r="Z666" i="20"/>
  <c r="AP666" i="20"/>
  <c r="AJ666" i="20"/>
  <c r="AL666" i="20"/>
  <c r="AA666" i="20"/>
  <c r="AE666" i="20"/>
  <c r="AO666" i="20"/>
  <c r="AG666" i="20"/>
  <c r="Y666" i="20"/>
  <c r="AC662" i="20"/>
  <c r="AG662" i="20"/>
  <c r="AJ662" i="20"/>
  <c r="AE662" i="20"/>
  <c r="AP662" i="20"/>
  <c r="AF662" i="20"/>
  <c r="AH658" i="20"/>
  <c r="AC658" i="20"/>
  <c r="Y658" i="20"/>
  <c r="AB658" i="20"/>
  <c r="Z658" i="20"/>
  <c r="AA654" i="20"/>
  <c r="Y654" i="20"/>
  <c r="AO654" i="20"/>
  <c r="AK654" i="20"/>
  <c r="Z654" i="20"/>
  <c r="AF654" i="20"/>
  <c r="AJ654" i="20"/>
  <c r="AC654" i="20"/>
  <c r="AD651" i="20"/>
  <c r="AH651" i="20"/>
  <c r="AL651" i="20"/>
  <c r="Z651" i="20"/>
  <c r="AE651" i="20"/>
  <c r="AN651" i="20"/>
  <c r="AE645" i="20"/>
  <c r="AI645" i="20"/>
  <c r="AB645" i="20"/>
  <c r="AO645" i="20"/>
  <c r="AL645" i="20"/>
  <c r="AN645" i="20"/>
  <c r="AG642" i="20"/>
  <c r="Y642" i="20"/>
  <c r="AL642" i="20"/>
  <c r="AD642" i="20"/>
  <c r="AC642" i="20"/>
  <c r="AJ642" i="20"/>
  <c r="AH642" i="20"/>
  <c r="Z642" i="20"/>
  <c r="AC638" i="20"/>
  <c r="AE638" i="20"/>
  <c r="AA638" i="20"/>
  <c r="Z638" i="20"/>
  <c r="AP638" i="20"/>
  <c r="AD638" i="20"/>
  <c r="AJ638" i="20"/>
  <c r="AO636" i="20"/>
  <c r="AK636" i="20"/>
  <c r="AD636" i="20"/>
  <c r="AE636" i="20"/>
  <c r="Y632" i="20"/>
  <c r="AN632" i="20"/>
  <c r="AJ632" i="20"/>
  <c r="AP632" i="20"/>
  <c r="AL632" i="20"/>
  <c r="AF632" i="20"/>
  <c r="AI622" i="20"/>
  <c r="AL622" i="20"/>
  <c r="AA622" i="20"/>
  <c r="AJ622" i="20"/>
  <c r="Z622" i="20"/>
  <c r="AO622" i="20"/>
  <c r="AG622" i="20"/>
  <c r="AB622" i="20"/>
  <c r="AB618" i="20"/>
  <c r="AN618" i="20"/>
  <c r="AO618" i="20"/>
  <c r="Y618" i="20"/>
  <c r="AP618" i="20"/>
  <c r="AE614" i="20"/>
  <c r="AH614" i="20"/>
  <c r="AK614" i="20"/>
  <c r="AP614" i="20"/>
  <c r="AA614" i="20"/>
  <c r="AN614" i="20"/>
  <c r="AI614" i="20"/>
  <c r="Z614" i="20"/>
  <c r="AJ611" i="20"/>
  <c r="AP611" i="20"/>
  <c r="AG611" i="20"/>
  <c r="AF611" i="20"/>
  <c r="AH611" i="20"/>
  <c r="AO611" i="20"/>
  <c r="AD604" i="20"/>
  <c r="AG604" i="20"/>
  <c r="AN604" i="20"/>
  <c r="Z604" i="20"/>
  <c r="AO604" i="20"/>
  <c r="AC604" i="20"/>
  <c r="AH604" i="20"/>
  <c r="AE604" i="20"/>
  <c r="AI604" i="20"/>
  <c r="AI602" i="20"/>
  <c r="AJ602" i="20"/>
  <c r="Z602" i="20"/>
  <c r="AP602" i="20"/>
  <c r="AE602" i="20"/>
  <c r="AA602" i="20"/>
  <c r="AC602" i="20"/>
  <c r="AB602" i="20"/>
  <c r="AJ598" i="20"/>
  <c r="AC598" i="20"/>
  <c r="AG598" i="20"/>
  <c r="AH598" i="20"/>
  <c r="Y598" i="20"/>
  <c r="AP598" i="20"/>
  <c r="AK598" i="20"/>
  <c r="AD598" i="20"/>
  <c r="AB594" i="20"/>
  <c r="AG594" i="20"/>
  <c r="AC594" i="20"/>
  <c r="AE591" i="20"/>
  <c r="AP591" i="20"/>
  <c r="Y591" i="20"/>
  <c r="AN591" i="20"/>
  <c r="AG591" i="20"/>
  <c r="AH591" i="20"/>
  <c r="AK591" i="20"/>
  <c r="AH586" i="20"/>
  <c r="AJ586" i="20"/>
  <c r="AK586" i="20"/>
  <c r="AP586" i="20"/>
  <c r="AB586" i="20"/>
  <c r="AE586" i="20"/>
  <c r="AI586" i="20"/>
  <c r="AA579" i="20"/>
  <c r="AN579" i="20"/>
  <c r="AB579" i="20"/>
  <c r="AD579" i="20"/>
  <c r="Z579" i="20"/>
  <c r="AK579" i="20"/>
  <c r="AI581" i="20"/>
  <c r="AH581" i="20"/>
  <c r="AD581" i="20"/>
  <c r="AP581" i="20"/>
  <c r="Y581" i="20"/>
  <c r="AF581" i="20"/>
  <c r="AF574" i="20"/>
  <c r="AJ574" i="20"/>
  <c r="AE574" i="20"/>
  <c r="AK574" i="20"/>
  <c r="AB574" i="20"/>
  <c r="AD574" i="20"/>
  <c r="AB570" i="20"/>
  <c r="AF570" i="20"/>
  <c r="AA570" i="20"/>
  <c r="AJ570" i="20"/>
  <c r="AK567" i="20"/>
  <c r="AB567" i="20"/>
  <c r="AO567" i="20"/>
  <c r="Y567" i="20"/>
  <c r="AI567" i="20"/>
  <c r="AH567" i="20"/>
  <c r="AE567" i="20"/>
  <c r="AI627" i="20"/>
  <c r="AF627" i="20"/>
  <c r="Y627" i="20"/>
  <c r="AK627" i="20"/>
  <c r="AN562" i="20"/>
  <c r="AL562" i="20"/>
  <c r="AO562" i="20"/>
  <c r="AF562" i="20"/>
  <c r="Z562" i="20"/>
  <c r="AA562" i="20"/>
  <c r="Y562" i="20"/>
  <c r="AC562" i="20"/>
  <c r="AP562" i="20"/>
  <c r="AE558" i="20"/>
  <c r="Z558" i="20"/>
  <c r="AJ558" i="20"/>
  <c r="AC558" i="20"/>
  <c r="AO558" i="20"/>
  <c r="AA558" i="20"/>
  <c r="AL558" i="20"/>
  <c r="AN558" i="20"/>
  <c r="AE554" i="20"/>
  <c r="AG554" i="20"/>
  <c r="AK554" i="20"/>
  <c r="AL554" i="20"/>
  <c r="AI554" i="20"/>
  <c r="AD554" i="20"/>
  <c r="AC554" i="20"/>
  <c r="AF554" i="20"/>
  <c r="Y550" i="20"/>
  <c r="AC550" i="20"/>
  <c r="AK550" i="20"/>
  <c r="AP550" i="20"/>
  <c r="AD546" i="20"/>
  <c r="AG546" i="20"/>
  <c r="AN546" i="20"/>
  <c r="AC542" i="20"/>
  <c r="AO542" i="20"/>
  <c r="Z542" i="20"/>
  <c r="AG542" i="20"/>
  <c r="AF542" i="20"/>
  <c r="AE542" i="20"/>
  <c r="AP542" i="20"/>
  <c r="Y542" i="20"/>
  <c r="AL542" i="20"/>
  <c r="Z538" i="20"/>
  <c r="AG538" i="20"/>
  <c r="AA538" i="20"/>
  <c r="Y538" i="20"/>
  <c r="AJ538" i="20"/>
  <c r="AF538" i="20"/>
  <c r="AC534" i="20"/>
  <c r="Y534" i="20"/>
  <c r="AJ534" i="20"/>
  <c r="AD534" i="20"/>
  <c r="AG534" i="20"/>
  <c r="AB534" i="20"/>
  <c r="AE534" i="20"/>
  <c r="AA534" i="20"/>
  <c r="AN530" i="20"/>
  <c r="AD530" i="20"/>
  <c r="Y530" i="20"/>
  <c r="AO530" i="20"/>
  <c r="AG530" i="20"/>
  <c r="AH530" i="20"/>
  <c r="AA530" i="20"/>
  <c r="AD526" i="20"/>
  <c r="AB526" i="20"/>
  <c r="Z526" i="20"/>
  <c r="AO526" i="20"/>
  <c r="AH526" i="20"/>
  <c r="AG526" i="20"/>
  <c r="Y526" i="20"/>
  <c r="AN526" i="20"/>
  <c r="AP522" i="20"/>
  <c r="AI522" i="20"/>
  <c r="AG522" i="20"/>
  <c r="AE522" i="20"/>
  <c r="Z522" i="20"/>
  <c r="AB522" i="20"/>
  <c r="AB518" i="20"/>
  <c r="AH518" i="20"/>
  <c r="AN518" i="20"/>
  <c r="Z516" i="20"/>
  <c r="AO516" i="20"/>
  <c r="AD516" i="20"/>
  <c r="AK516" i="20"/>
  <c r="AN516" i="20"/>
  <c r="AF516" i="20"/>
  <c r="AC516" i="20"/>
  <c r="AP516" i="20"/>
  <c r="AI516" i="20"/>
  <c r="AJ510" i="20"/>
  <c r="AE510" i="20"/>
  <c r="AD510" i="20"/>
  <c r="Y510" i="20"/>
  <c r="Z510" i="20"/>
  <c r="AD506" i="20"/>
  <c r="AL506" i="20"/>
  <c r="AC506" i="20"/>
  <c r="AJ506" i="20"/>
  <c r="AF506" i="20"/>
  <c r="AO506" i="20"/>
  <c r="AD502" i="20"/>
  <c r="AF502" i="20"/>
  <c r="AP502" i="20"/>
  <c r="AK502" i="20"/>
  <c r="AC502" i="20"/>
  <c r="AN498" i="20"/>
  <c r="AO498" i="20"/>
  <c r="AI498" i="20"/>
  <c r="Y498" i="20"/>
  <c r="AK498" i="20"/>
  <c r="AC498" i="20"/>
  <c r="AF498" i="20"/>
  <c r="AL494" i="20"/>
  <c r="AK494" i="20"/>
  <c r="AB494" i="20"/>
  <c r="AE494" i="20"/>
  <c r="AH494" i="20"/>
  <c r="AO494" i="20"/>
  <c r="AF494" i="20"/>
  <c r="AN494" i="20"/>
  <c r="AD488" i="20"/>
  <c r="AH488" i="20"/>
  <c r="AJ488" i="20"/>
  <c r="Y488" i="20"/>
  <c r="AN488" i="20"/>
  <c r="AK488" i="20"/>
  <c r="AI488" i="20"/>
  <c r="AF488" i="20"/>
  <c r="AL487" i="20"/>
  <c r="AI487" i="20"/>
  <c r="AN487" i="20"/>
  <c r="AH487" i="20"/>
  <c r="AK487" i="20"/>
  <c r="Z483" i="20"/>
  <c r="AH483" i="20"/>
  <c r="AP483" i="20"/>
  <c r="AA483" i="20"/>
  <c r="AL483" i="20"/>
  <c r="AN483" i="20"/>
  <c r="AG478" i="20"/>
  <c r="AC478" i="20"/>
  <c r="AO478" i="20"/>
  <c r="AI478" i="20"/>
  <c r="Y478" i="20"/>
  <c r="AA478" i="20"/>
  <c r="Z478" i="20"/>
  <c r="AE472" i="20"/>
  <c r="AD472" i="20"/>
  <c r="AP472" i="20"/>
  <c r="AG472" i="20"/>
  <c r="AA472" i="20"/>
  <c r="Z472" i="20"/>
  <c r="AK470" i="20"/>
  <c r="AO470" i="20"/>
  <c r="AH470" i="20"/>
  <c r="AB470" i="20"/>
  <c r="AC470" i="20"/>
  <c r="AP470" i="20"/>
  <c r="AD466" i="20"/>
  <c r="Y466" i="20"/>
  <c r="AI466" i="20"/>
  <c r="AG466" i="20"/>
  <c r="AN466" i="20"/>
  <c r="AE462" i="20"/>
  <c r="Z462" i="20"/>
  <c r="AD462" i="20"/>
  <c r="AL462" i="20"/>
  <c r="AF462" i="20"/>
  <c r="AC462" i="20"/>
  <c r="AG462" i="20"/>
  <c r="AK459" i="20"/>
  <c r="AF459" i="20"/>
  <c r="AL459" i="20"/>
  <c r="AJ459" i="20"/>
  <c r="AH459" i="20"/>
  <c r="AP459" i="20"/>
  <c r="Y459" i="20"/>
  <c r="AA459" i="20"/>
  <c r="AD454" i="20"/>
  <c r="AI454" i="20"/>
  <c r="AK454" i="20"/>
  <c r="Z454" i="20"/>
  <c r="AO454" i="20"/>
  <c r="AG454" i="20"/>
  <c r="AF454" i="20"/>
  <c r="AE454" i="20"/>
  <c r="AC454" i="20"/>
  <c r="AG450" i="20"/>
  <c r="AP450" i="20"/>
  <c r="AB450" i="20"/>
  <c r="AL450" i="20"/>
  <c r="AB446" i="20"/>
  <c r="AJ446" i="20"/>
  <c r="AK446" i="20"/>
  <c r="AP446" i="20"/>
  <c r="AA446" i="20"/>
  <c r="AF446" i="20"/>
  <c r="Z446" i="20"/>
  <c r="AD446" i="20"/>
  <c r="AA442" i="20"/>
  <c r="AL442" i="20"/>
  <c r="AH442" i="20"/>
  <c r="AP442" i="20"/>
  <c r="AK442" i="20"/>
  <c r="AE442" i="20"/>
  <c r="AB438" i="20"/>
  <c r="AC438" i="20"/>
  <c r="AE438" i="20"/>
  <c r="AK438" i="20"/>
  <c r="AH438" i="20"/>
  <c r="AN438" i="20"/>
  <c r="AI438" i="20"/>
  <c r="AE434" i="20"/>
  <c r="AO434" i="20"/>
  <c r="AC434" i="20"/>
  <c r="AG434" i="20"/>
  <c r="AF434" i="20"/>
  <c r="Z434" i="20"/>
  <c r="Y430" i="20"/>
  <c r="AF430" i="20"/>
  <c r="AK430" i="20"/>
  <c r="AL430" i="20"/>
  <c r="AI430" i="20"/>
  <c r="AG426" i="20"/>
  <c r="AA426" i="20"/>
  <c r="AI426" i="20"/>
  <c r="Z426" i="20"/>
  <c r="AC426" i="20"/>
  <c r="AN426" i="20"/>
  <c r="Y426" i="20"/>
  <c r="AE419" i="20"/>
  <c r="AA419" i="20"/>
  <c r="Z419" i="20"/>
  <c r="AK419" i="20"/>
  <c r="Y419" i="20"/>
  <c r="AG419" i="20"/>
  <c r="AB419" i="20"/>
  <c r="AH419" i="20"/>
  <c r="AP419" i="20"/>
  <c r="AF419" i="20"/>
  <c r="AI419" i="20"/>
  <c r="AL419" i="20"/>
  <c r="AO419" i="20"/>
  <c r="AD419" i="20"/>
  <c r="AJ419" i="20"/>
  <c r="AN419" i="20"/>
  <c r="AB415" i="20"/>
  <c r="AG415" i="20"/>
  <c r="AE415" i="20"/>
  <c r="AH415" i="20"/>
  <c r="AL415" i="20"/>
  <c r="AI415" i="20"/>
  <c r="AC415" i="20"/>
  <c r="AK415" i="20"/>
  <c r="AA415" i="20"/>
  <c r="AD415" i="20"/>
  <c r="AF415" i="20"/>
  <c r="AN415" i="20"/>
  <c r="Y415" i="20"/>
  <c r="AJ415" i="20"/>
  <c r="Z415" i="20"/>
  <c r="AP415" i="20"/>
  <c r="AH411" i="20"/>
  <c r="AG411" i="20"/>
  <c r="AJ411" i="20"/>
  <c r="Y411" i="20"/>
  <c r="AI411" i="20"/>
  <c r="AL411" i="20"/>
  <c r="AF411" i="20"/>
  <c r="AD411" i="20"/>
  <c r="AO411" i="20"/>
  <c r="AA411" i="20"/>
  <c r="AK411" i="20"/>
  <c r="AC411" i="20"/>
  <c r="AE411" i="20"/>
  <c r="AB411" i="20"/>
  <c r="Z411" i="20"/>
  <c r="AJ407" i="20"/>
  <c r="AC407" i="20"/>
  <c r="AG407" i="20"/>
  <c r="AH407" i="20"/>
  <c r="AE407" i="20"/>
  <c r="AB407" i="20"/>
  <c r="AA407" i="20"/>
  <c r="AL407" i="20"/>
  <c r="Z407" i="20"/>
  <c r="Y407" i="20"/>
  <c r="AN407" i="20"/>
  <c r="AD407" i="20"/>
  <c r="AF407" i="20"/>
  <c r="AK407" i="20"/>
  <c r="AP407" i="20"/>
  <c r="AO403" i="20"/>
  <c r="AD403" i="20"/>
  <c r="AC403" i="20"/>
  <c r="AF403" i="20"/>
  <c r="AA403" i="20"/>
  <c r="AB403" i="20"/>
  <c r="AK403" i="20"/>
  <c r="Y403" i="20"/>
  <c r="AL403" i="20"/>
  <c r="AP403" i="20"/>
  <c r="AG403" i="20"/>
  <c r="Z403" i="20"/>
  <c r="AE403" i="20"/>
  <c r="AI403" i="20"/>
  <c r="AN403" i="20"/>
  <c r="AH403" i="20"/>
  <c r="AG399" i="20"/>
  <c r="AD399" i="20"/>
  <c r="AC399" i="20"/>
  <c r="AL399" i="20"/>
  <c r="Y399" i="20"/>
  <c r="AH399" i="20"/>
  <c r="Z399" i="20"/>
  <c r="AN399" i="20"/>
  <c r="AB399" i="20"/>
  <c r="AE399" i="20"/>
  <c r="AI399" i="20"/>
  <c r="AA399" i="20"/>
  <c r="AK399" i="20"/>
  <c r="AJ399" i="20"/>
  <c r="AP399" i="20"/>
  <c r="AF399" i="20"/>
  <c r="Z394" i="20"/>
  <c r="AB394" i="20"/>
  <c r="AF394" i="20"/>
  <c r="AC394" i="20"/>
  <c r="AK394" i="20"/>
  <c r="AN394" i="20"/>
  <c r="AG394" i="20"/>
  <c r="AE394" i="20"/>
  <c r="Y394" i="20"/>
  <c r="AH394" i="20"/>
  <c r="AI394" i="20"/>
  <c r="AL394" i="20"/>
  <c r="AP394" i="20"/>
  <c r="AD394" i="20"/>
  <c r="AA394" i="20"/>
  <c r="AJ394" i="20"/>
  <c r="Y391" i="20"/>
  <c r="AN391" i="20"/>
  <c r="AF391" i="20"/>
  <c r="AA391" i="20"/>
  <c r="AD391" i="20"/>
  <c r="AC391" i="20"/>
  <c r="Z391" i="20"/>
  <c r="AB391" i="20"/>
  <c r="AG391" i="20"/>
  <c r="AP391" i="20"/>
  <c r="AK391" i="20"/>
  <c r="AE391" i="20"/>
  <c r="AL391" i="20"/>
  <c r="AJ391" i="20"/>
  <c r="AI391" i="20"/>
  <c r="AO391" i="20"/>
  <c r="AB387" i="20"/>
  <c r="AH387" i="20"/>
  <c r="AC387" i="20"/>
  <c r="AA387" i="20"/>
  <c r="AK387" i="20"/>
  <c r="AD387" i="20"/>
  <c r="AE387" i="20"/>
  <c r="AL387" i="20"/>
  <c r="AI387" i="20"/>
  <c r="AN387" i="20"/>
  <c r="Z387" i="20"/>
  <c r="AO387" i="20"/>
  <c r="AJ387" i="20"/>
  <c r="AG387" i="20"/>
  <c r="Y387" i="20"/>
  <c r="AL383" i="20"/>
  <c r="AB383" i="20"/>
  <c r="AK383" i="20"/>
  <c r="AI383" i="20"/>
  <c r="AH383" i="20"/>
  <c r="AC383" i="20"/>
  <c r="AN383" i="20"/>
  <c r="AE383" i="20"/>
  <c r="Y383" i="20"/>
  <c r="AO383" i="20"/>
  <c r="AG383" i="20"/>
  <c r="AA383" i="20"/>
  <c r="AD383" i="20"/>
  <c r="AJ383" i="20"/>
  <c r="AF383" i="20"/>
  <c r="AP383" i="20"/>
  <c r="AB379" i="20"/>
  <c r="AE379" i="20"/>
  <c r="Z379" i="20"/>
  <c r="AC379" i="20"/>
  <c r="AJ379" i="20"/>
  <c r="AF379" i="20"/>
  <c r="AD379" i="20"/>
  <c r="AG379" i="20"/>
  <c r="AH379" i="20"/>
  <c r="AI379" i="20"/>
  <c r="AK379" i="20"/>
  <c r="Y379" i="20"/>
  <c r="AP379" i="20"/>
  <c r="AL379" i="20"/>
  <c r="AA379" i="20"/>
  <c r="AH375" i="20"/>
  <c r="AK375" i="20"/>
  <c r="AL375" i="20"/>
  <c r="AA375" i="20"/>
  <c r="Z375" i="20"/>
  <c r="AD375" i="20"/>
  <c r="Y375" i="20"/>
  <c r="AB375" i="20"/>
  <c r="AE375" i="20"/>
  <c r="AO375" i="20"/>
  <c r="AN375" i="20"/>
  <c r="AF375" i="20"/>
  <c r="AI375" i="20"/>
  <c r="AJ375" i="20"/>
  <c r="AC375" i="20"/>
  <c r="AG375" i="20"/>
  <c r="AG371" i="20"/>
  <c r="AB371" i="20"/>
  <c r="Z371" i="20"/>
  <c r="Y371" i="20"/>
  <c r="AI371" i="20"/>
  <c r="AL371" i="20"/>
  <c r="AF371" i="20"/>
  <c r="AJ371" i="20"/>
  <c r="AC371" i="20"/>
  <c r="AD371" i="20"/>
  <c r="AK371" i="20"/>
  <c r="AH371" i="20"/>
  <c r="AA371" i="20"/>
  <c r="AE371" i="20"/>
  <c r="AO371" i="20"/>
  <c r="AO367" i="20"/>
  <c r="AB367" i="20"/>
  <c r="AF367" i="20"/>
  <c r="AI367" i="20"/>
  <c r="AE367" i="20"/>
  <c r="AD367" i="20"/>
  <c r="AK367" i="20"/>
  <c r="AJ367" i="20"/>
  <c r="AA367" i="20"/>
  <c r="AL367" i="20"/>
  <c r="AN367" i="20"/>
  <c r="AC367" i="20"/>
  <c r="AH367" i="20"/>
  <c r="Z367" i="20"/>
  <c r="AG367" i="20"/>
  <c r="AH364" i="20"/>
  <c r="AJ364" i="20"/>
  <c r="AD364" i="20"/>
  <c r="AG364" i="20"/>
  <c r="AN364" i="20"/>
  <c r="AF364" i="20"/>
  <c r="AB364" i="20"/>
  <c r="AI364" i="20"/>
  <c r="AK364" i="20"/>
  <c r="AO364" i="20"/>
  <c r="AE364" i="20"/>
  <c r="AA364" i="20"/>
  <c r="Y364" i="20"/>
  <c r="AP364" i="20"/>
  <c r="AL364" i="20"/>
  <c r="Z364" i="20"/>
  <c r="AN360" i="20"/>
  <c r="AL360" i="20"/>
  <c r="AG360" i="20"/>
  <c r="AA360" i="20"/>
  <c r="AD360" i="20"/>
  <c r="AJ360" i="20"/>
  <c r="AF360" i="20"/>
  <c r="Y360" i="20"/>
  <c r="AC360" i="20"/>
  <c r="AP360" i="20"/>
  <c r="AB360" i="20"/>
  <c r="AK360" i="20"/>
  <c r="AO360" i="20"/>
  <c r="AE360" i="20"/>
  <c r="AH360" i="20"/>
  <c r="AI356" i="20"/>
  <c r="AC356" i="20"/>
  <c r="Z356" i="20"/>
  <c r="AB356" i="20"/>
  <c r="AG356" i="20"/>
  <c r="AF356" i="20"/>
  <c r="AE356" i="20"/>
  <c r="AK356" i="20"/>
  <c r="AA356" i="20"/>
  <c r="AL356" i="20"/>
  <c r="AH356" i="20"/>
  <c r="AN356" i="20"/>
  <c r="AJ356" i="20"/>
  <c r="Y356" i="20"/>
  <c r="AO356" i="20"/>
  <c r="AD356" i="20"/>
  <c r="AP356" i="20"/>
  <c r="AP353" i="20"/>
  <c r="AO353" i="20"/>
  <c r="AE353" i="20"/>
  <c r="Z353" i="20"/>
  <c r="AK353" i="20"/>
  <c r="AF353" i="20"/>
  <c r="AC353" i="20"/>
  <c r="AH353" i="20"/>
  <c r="AJ353" i="20"/>
  <c r="AA353" i="20"/>
  <c r="AN353" i="20"/>
  <c r="Y353" i="20"/>
  <c r="AL353" i="20"/>
  <c r="AD353" i="20"/>
  <c r="AO350" i="20"/>
  <c r="AP350" i="20"/>
  <c r="AJ350" i="20"/>
  <c r="AC350" i="20"/>
  <c r="AG350" i="20"/>
  <c r="AH350" i="20"/>
  <c r="AA350" i="20"/>
  <c r="AE350" i="20"/>
  <c r="AN350" i="20"/>
  <c r="AD350" i="20"/>
  <c r="AF350" i="20"/>
  <c r="Y350" i="20"/>
  <c r="AL350" i="20"/>
  <c r="AK350" i="20"/>
  <c r="AI350" i="20"/>
  <c r="Z350" i="20"/>
  <c r="AE346" i="20"/>
  <c r="AB346" i="20"/>
  <c r="AN346" i="20"/>
  <c r="AD346" i="20"/>
  <c r="AP346" i="20"/>
  <c r="AC346" i="20"/>
  <c r="AK346" i="20"/>
  <c r="AJ346" i="20"/>
  <c r="AF346" i="20"/>
  <c r="AG342" i="20"/>
  <c r="AB342" i="20"/>
  <c r="AK342" i="20"/>
  <c r="AO342" i="20"/>
  <c r="AI342" i="20"/>
  <c r="AE342" i="20"/>
  <c r="Y338" i="20"/>
  <c r="AB338" i="20"/>
  <c r="AK338" i="20"/>
  <c r="AE338" i="20"/>
  <c r="AD338" i="20"/>
  <c r="Z338" i="20"/>
  <c r="AG334" i="20"/>
  <c r="AB334" i="20"/>
  <c r="AE334" i="20"/>
  <c r="AO334" i="20"/>
  <c r="AC334" i="20"/>
  <c r="AI334" i="20"/>
  <c r="AF334" i="20"/>
  <c r="Y334" i="20"/>
  <c r="Y330" i="20"/>
  <c r="AK330" i="20"/>
  <c r="AO330" i="20"/>
  <c r="AA330" i="20"/>
  <c r="AN330" i="20"/>
  <c r="AL326" i="20"/>
  <c r="Z326" i="20"/>
  <c r="AN326" i="20"/>
  <c r="AF326" i="20"/>
  <c r="Y326" i="20"/>
  <c r="AI326" i="20"/>
  <c r="AE326" i="20"/>
  <c r="AB322" i="20"/>
  <c r="AI322" i="20"/>
  <c r="Y322" i="20"/>
  <c r="AD322" i="20"/>
  <c r="AJ322" i="20"/>
  <c r="AL322" i="20"/>
  <c r="AE322" i="20"/>
  <c r="AD318" i="20"/>
  <c r="AK318" i="20"/>
  <c r="AB318" i="20"/>
  <c r="AN318" i="20"/>
  <c r="AI318" i="20"/>
  <c r="AP318" i="20"/>
  <c r="Z318" i="20"/>
  <c r="Y307" i="20"/>
  <c r="AA307" i="20"/>
  <c r="AP307" i="20"/>
  <c r="AH307" i="20"/>
  <c r="AG307" i="20"/>
  <c r="AK307" i="20"/>
  <c r="AF307" i="20"/>
  <c r="AE311" i="20"/>
  <c r="AP311" i="20"/>
  <c r="AC311" i="20"/>
  <c r="AL311" i="20"/>
  <c r="AF311" i="20"/>
  <c r="AJ306" i="20"/>
  <c r="AL306" i="20"/>
  <c r="AA306" i="20"/>
  <c r="AP306" i="20"/>
  <c r="AI306" i="20"/>
  <c r="AK306" i="20"/>
  <c r="AN306" i="20"/>
  <c r="AA302" i="20"/>
  <c r="AL302" i="20"/>
  <c r="Y302" i="20"/>
  <c r="AD302" i="20"/>
  <c r="AF302" i="20"/>
  <c r="AH302" i="20"/>
  <c r="AP302" i="20"/>
  <c r="AE302" i="20"/>
  <c r="AC298" i="20"/>
  <c r="AJ298" i="20"/>
  <c r="Z298" i="20"/>
  <c r="AH298" i="20"/>
  <c r="AK298" i="20"/>
  <c r="Y298" i="20"/>
  <c r="AA298" i="20"/>
  <c r="Z294" i="20"/>
  <c r="AN294" i="20"/>
  <c r="AF294" i="20"/>
  <c r="AA294" i="20"/>
  <c r="AC294" i="20"/>
  <c r="AL294" i="20"/>
  <c r="AE294" i="20"/>
  <c r="AC279" i="20"/>
  <c r="Z279" i="20"/>
  <c r="AN279" i="20"/>
  <c r="AD279" i="20"/>
  <c r="AA279" i="20"/>
  <c r="AH279" i="20"/>
  <c r="AK273" i="20"/>
  <c r="AO273" i="20"/>
  <c r="AE273" i="20"/>
  <c r="Y273" i="20"/>
  <c r="AH273" i="20"/>
  <c r="AN273" i="20"/>
  <c r="AP273" i="20"/>
  <c r="AL271" i="20"/>
  <c r="AE271" i="20"/>
  <c r="Y271" i="20"/>
  <c r="AF271" i="20"/>
  <c r="AC271" i="20"/>
  <c r="Y267" i="20"/>
  <c r="AI267" i="20"/>
  <c r="AH267" i="20"/>
  <c r="AJ267" i="20"/>
  <c r="AG267" i="20"/>
  <c r="AN267" i="20"/>
  <c r="Y263" i="20"/>
  <c r="Z263" i="20"/>
  <c r="AK263" i="20"/>
  <c r="AP263" i="20"/>
  <c r="AE263" i="20"/>
  <c r="AB263" i="20"/>
  <c r="AG263" i="20"/>
  <c r="Y259" i="20"/>
  <c r="AF259" i="20"/>
  <c r="AH259" i="20"/>
  <c r="AP259" i="20"/>
  <c r="Z259" i="20"/>
  <c r="AG259" i="20"/>
  <c r="AA259" i="20"/>
  <c r="AB259" i="20"/>
  <c r="AN254" i="20"/>
  <c r="AH254" i="20"/>
  <c r="AP254" i="20"/>
  <c r="AG254" i="20"/>
  <c r="AB254" i="20"/>
  <c r="Z254" i="20"/>
  <c r="AF251" i="20"/>
  <c r="AJ251" i="20"/>
  <c r="AD251" i="20"/>
  <c r="AK251" i="20"/>
  <c r="Y251" i="20"/>
  <c r="AO251" i="20"/>
  <c r="AB251" i="20"/>
  <c r="AF245" i="20"/>
  <c r="AO245" i="20"/>
  <c r="AE245" i="20"/>
  <c r="AG245" i="20"/>
  <c r="AB245" i="20"/>
  <c r="AC245" i="20"/>
  <c r="Y245" i="20"/>
  <c r="AA245" i="20"/>
  <c r="AN233" i="20"/>
  <c r="AH233" i="20"/>
  <c r="AB233" i="20"/>
  <c r="AD233" i="20"/>
  <c r="AE233" i="20"/>
  <c r="AI233" i="20"/>
  <c r="AC225" i="20"/>
  <c r="AI225" i="20"/>
  <c r="AD225" i="20"/>
  <c r="AA225" i="20"/>
  <c r="AB225" i="20"/>
  <c r="AO225" i="20"/>
  <c r="AK225" i="20"/>
  <c r="AD226" i="20"/>
  <c r="AB226" i="20"/>
  <c r="AP226" i="20"/>
  <c r="AI226" i="20"/>
  <c r="AA226" i="20"/>
  <c r="AK226" i="20"/>
  <c r="AL226" i="20"/>
  <c r="AJ217" i="20"/>
  <c r="AP217" i="20"/>
  <c r="AG217" i="20"/>
  <c r="Z217" i="20"/>
  <c r="AK217" i="20"/>
  <c r="AB217" i="20"/>
  <c r="AA217" i="20"/>
  <c r="AH217" i="20"/>
  <c r="AC198" i="20"/>
  <c r="AH198" i="20"/>
  <c r="AL198" i="20"/>
  <c r="AI198" i="20"/>
  <c r="AG198" i="20"/>
  <c r="AN198" i="20"/>
  <c r="AI187" i="20"/>
  <c r="AC187" i="20"/>
  <c r="AK187" i="20"/>
  <c r="Z187" i="20"/>
  <c r="Y187" i="20"/>
  <c r="AF187" i="20"/>
  <c r="AF182" i="20"/>
  <c r="AJ182" i="20"/>
  <c r="AN182" i="20"/>
  <c r="AO182" i="20"/>
  <c r="AI182" i="20"/>
  <c r="AL182" i="20"/>
  <c r="AE182" i="20"/>
  <c r="AN177" i="20"/>
  <c r="AO177" i="20"/>
  <c r="AK177" i="20"/>
  <c r="AF177" i="20"/>
  <c r="AL177" i="20"/>
  <c r="AP177" i="20"/>
  <c r="AA177" i="20"/>
  <c r="AL173" i="20"/>
  <c r="AA173" i="20"/>
  <c r="AG173" i="20"/>
  <c r="Z173" i="20"/>
  <c r="AD173" i="20"/>
  <c r="AH173" i="20"/>
  <c r="AF178" i="20"/>
  <c r="Y178" i="20"/>
  <c r="AB178" i="20"/>
  <c r="AD178" i="20"/>
  <c r="AI178" i="20"/>
  <c r="AO126" i="20"/>
  <c r="AP126" i="20"/>
  <c r="AJ126" i="20"/>
  <c r="AB126" i="20"/>
  <c r="AC126" i="20"/>
  <c r="AO1104" i="20"/>
  <c r="AH1104" i="20"/>
  <c r="AJ1104" i="20"/>
  <c r="AB1104" i="20"/>
  <c r="AF1104" i="20"/>
  <c r="AC1104" i="20"/>
  <c r="AK1104" i="20"/>
  <c r="AL1104" i="20"/>
  <c r="AP1104" i="20"/>
  <c r="AI1104" i="20"/>
  <c r="AN1104" i="20"/>
  <c r="AA1104" i="20"/>
  <c r="Y1104" i="20"/>
  <c r="Z1104" i="20"/>
  <c r="AG1104" i="20"/>
  <c r="AD1104" i="20"/>
  <c r="AE1097" i="20"/>
  <c r="AO1097" i="20"/>
  <c r="AD1097" i="20"/>
  <c r="AH1097" i="20"/>
  <c r="AP1097" i="20"/>
  <c r="AF1097" i="20"/>
  <c r="AL1097" i="20"/>
  <c r="Z1097" i="20"/>
  <c r="AI1097" i="20"/>
  <c r="AC1097" i="20"/>
  <c r="AN1097" i="20"/>
  <c r="AB1097" i="20"/>
  <c r="Y1097" i="20"/>
  <c r="AA1097" i="20"/>
  <c r="AJ1097" i="20"/>
  <c r="AJ146" i="20"/>
  <c r="AI146" i="20"/>
  <c r="AA146" i="20"/>
  <c r="AH146" i="20"/>
  <c r="AK146" i="20"/>
  <c r="AP146" i="20"/>
  <c r="Y146" i="20"/>
  <c r="AG146" i="20"/>
  <c r="AO140" i="20"/>
  <c r="AP140" i="20"/>
  <c r="Y140" i="20"/>
  <c r="AH140" i="20"/>
  <c r="AB140" i="20"/>
  <c r="AJ140" i="20"/>
  <c r="AD140" i="20"/>
  <c r="AE140" i="20"/>
  <c r="AN140" i="20"/>
  <c r="AL140" i="20"/>
  <c r="Z140" i="20"/>
  <c r="AC140" i="20"/>
  <c r="AG140" i="20"/>
  <c r="AA140" i="20"/>
  <c r="AI140" i="20"/>
  <c r="AF140" i="20"/>
  <c r="AK140" i="20"/>
  <c r="AP203" i="20"/>
  <c r="AE203" i="20"/>
  <c r="AO203" i="20"/>
  <c r="AC203" i="20"/>
  <c r="AA203" i="20"/>
  <c r="AG203" i="20"/>
  <c r="AH203" i="20"/>
  <c r="Z203" i="20"/>
  <c r="AI203" i="20"/>
  <c r="AK203" i="20"/>
  <c r="AB203" i="20"/>
  <c r="AF203" i="20"/>
  <c r="AD203" i="20"/>
  <c r="Y203" i="20"/>
  <c r="AL203" i="20"/>
  <c r="AJ203" i="20"/>
  <c r="AP201" i="20"/>
  <c r="AK201" i="20"/>
  <c r="AO201" i="20"/>
  <c r="AC201" i="20"/>
  <c r="AA201" i="20"/>
  <c r="AE201" i="20"/>
  <c r="AF201" i="20"/>
  <c r="AL201" i="20"/>
  <c r="AI201" i="20"/>
  <c r="AN201" i="20"/>
  <c r="AH201" i="20"/>
  <c r="AJ201" i="20"/>
  <c r="AB201" i="20"/>
  <c r="Y201" i="20"/>
  <c r="AG201" i="20"/>
  <c r="AD201" i="20"/>
  <c r="Z201" i="20"/>
  <c r="AJ197" i="20"/>
  <c r="Z197" i="20"/>
  <c r="AB197" i="20"/>
  <c r="AN197" i="20"/>
  <c r="AO197" i="20"/>
  <c r="AK197" i="20"/>
  <c r="AD197" i="20"/>
  <c r="AG197" i="20"/>
  <c r="AF197" i="20"/>
  <c r="Y197" i="20"/>
  <c r="AA197" i="20"/>
  <c r="AI197" i="20"/>
  <c r="AL197" i="20"/>
  <c r="AH197" i="20"/>
  <c r="AE197" i="20"/>
  <c r="AK137" i="20"/>
  <c r="AL137" i="20"/>
  <c r="AG137" i="20"/>
  <c r="AH137" i="20"/>
  <c r="AF137" i="20"/>
  <c r="Z137" i="20"/>
  <c r="AO137" i="20"/>
  <c r="AC137" i="20"/>
  <c r="AC200" i="20"/>
  <c r="AI200" i="20"/>
  <c r="AG200" i="20"/>
  <c r="Z200" i="20"/>
  <c r="AB200" i="20"/>
  <c r="AH200" i="20"/>
  <c r="AD200" i="20"/>
  <c r="AP143" i="20"/>
  <c r="AJ143" i="20"/>
  <c r="AN143" i="20"/>
  <c r="Z143" i="20"/>
  <c r="AK143" i="20"/>
  <c r="AB143" i="20"/>
  <c r="AE143" i="20"/>
  <c r="Y143" i="20"/>
  <c r="AF143" i="20"/>
  <c r="AA143" i="20"/>
  <c r="AH143" i="20"/>
  <c r="AC143" i="20"/>
  <c r="AD143" i="20"/>
  <c r="AO143" i="20"/>
  <c r="AG143" i="20"/>
  <c r="AP148" i="20"/>
  <c r="AO148" i="20"/>
  <c r="Y148" i="20"/>
  <c r="AF148" i="20"/>
  <c r="AJ148" i="20"/>
  <c r="AG148" i="20"/>
  <c r="AK148" i="20"/>
  <c r="AN148" i="20"/>
  <c r="AB148" i="20"/>
  <c r="AH148" i="20"/>
  <c r="Z148" i="20"/>
  <c r="AI148" i="20"/>
  <c r="AE148" i="20"/>
  <c r="AL148" i="20"/>
  <c r="AD148" i="20"/>
  <c r="AA148" i="20"/>
  <c r="AC149" i="20"/>
  <c r="AN149" i="20"/>
  <c r="AL149" i="20"/>
  <c r="AI149" i="20"/>
  <c r="AK149" i="20"/>
  <c r="AO149" i="20"/>
  <c r="AF149" i="20"/>
  <c r="AP149" i="20"/>
  <c r="AJ149" i="20"/>
  <c r="AP170" i="20"/>
  <c r="AN170" i="20"/>
  <c r="Y170" i="20"/>
  <c r="AJ170" i="20"/>
  <c r="AK170" i="20"/>
  <c r="AB170" i="20"/>
  <c r="AD170" i="20"/>
  <c r="AI170" i="20"/>
  <c r="AG170" i="20"/>
  <c r="AH170" i="20"/>
  <c r="AO170" i="20"/>
  <c r="AF170" i="20"/>
  <c r="Z170" i="20"/>
  <c r="AA170" i="20"/>
  <c r="AE170" i="20"/>
  <c r="AC170" i="20"/>
  <c r="AL170" i="20"/>
  <c r="AO190" i="20"/>
  <c r="AG190" i="20"/>
  <c r="AP190" i="20"/>
  <c r="AC190" i="20"/>
  <c r="Z190" i="20"/>
  <c r="AB190" i="20"/>
  <c r="AE190" i="20"/>
  <c r="Y190" i="20"/>
  <c r="AD190" i="20"/>
  <c r="AL190" i="20"/>
  <c r="AK190" i="20"/>
  <c r="AN190" i="20"/>
  <c r="AA190" i="20"/>
  <c r="AH190" i="20"/>
  <c r="AI190" i="20"/>
  <c r="AF190" i="20"/>
  <c r="AC150" i="20"/>
  <c r="AH150" i="20"/>
  <c r="AN150" i="20"/>
  <c r="AE150" i="20"/>
  <c r="AB150" i="20"/>
  <c r="AO150" i="20"/>
  <c r="AG150" i="20"/>
  <c r="AA150" i="20"/>
  <c r="AO110" i="20"/>
  <c r="AP110" i="20"/>
  <c r="AB110" i="20"/>
  <c r="AK110" i="20"/>
  <c r="AL110" i="20"/>
  <c r="AI110" i="20"/>
  <c r="Y110" i="20"/>
  <c r="AC110" i="20"/>
  <c r="AJ110" i="20"/>
  <c r="AF110" i="20"/>
  <c r="AN110" i="20"/>
  <c r="AH110" i="20"/>
  <c r="AD110" i="20"/>
  <c r="AA110" i="20"/>
  <c r="Z110" i="20"/>
  <c r="AG110" i="20"/>
  <c r="AB107" i="20"/>
  <c r="Y107" i="20"/>
  <c r="AG107" i="20"/>
  <c r="AE107" i="20"/>
  <c r="AI107" i="20"/>
  <c r="AA107" i="20"/>
  <c r="AD107" i="20"/>
  <c r="AJ107" i="20"/>
  <c r="AO162" i="20"/>
  <c r="AF162" i="20"/>
  <c r="AH162" i="20"/>
  <c r="Z162" i="20"/>
  <c r="AJ162" i="20"/>
  <c r="AD162" i="20"/>
  <c r="AP162" i="20"/>
  <c r="AE162" i="20"/>
  <c r="AK162" i="20"/>
  <c r="AC162" i="20"/>
  <c r="AN162" i="20"/>
  <c r="AA162" i="20"/>
  <c r="AB162" i="20"/>
  <c r="Y162" i="20"/>
  <c r="AI162" i="20"/>
  <c r="AG162" i="20"/>
  <c r="AO234" i="20"/>
  <c r="AB234" i="20"/>
  <c r="AC234" i="20"/>
  <c r="Y234" i="20"/>
  <c r="AN234" i="20"/>
  <c r="AI234" i="20"/>
  <c r="Z234" i="20"/>
  <c r="AF234" i="20"/>
  <c r="AP234" i="20"/>
  <c r="AG234" i="20"/>
  <c r="AD234" i="20"/>
  <c r="AH234" i="20"/>
  <c r="AK234" i="20"/>
  <c r="AJ234" i="20"/>
  <c r="AA234" i="20"/>
  <c r="AL234" i="20"/>
  <c r="AE234" i="20"/>
  <c r="AE158" i="20"/>
  <c r="AH158" i="20"/>
  <c r="AL158" i="20"/>
  <c r="AN158" i="20"/>
  <c r="Y158" i="20"/>
  <c r="AK158" i="20"/>
  <c r="AD158" i="20"/>
  <c r="AI158" i="20"/>
  <c r="AA158" i="20"/>
  <c r="AJ158" i="20"/>
  <c r="Z158" i="20"/>
  <c r="AF158" i="20"/>
  <c r="AB158" i="20"/>
  <c r="AP111" i="20"/>
  <c r="AL111" i="20"/>
  <c r="Y111" i="20"/>
  <c r="AD111" i="20"/>
  <c r="AI111" i="20"/>
  <c r="AK111" i="20"/>
  <c r="AO111" i="20"/>
  <c r="AE111" i="20"/>
  <c r="AC111" i="20"/>
  <c r="AB111" i="20"/>
  <c r="AG111" i="20"/>
  <c r="AF111" i="20"/>
  <c r="AN111" i="20"/>
  <c r="AJ111" i="20"/>
  <c r="AH132" i="20"/>
  <c r="AP132" i="20"/>
  <c r="AA132" i="20"/>
  <c r="AD132" i="20"/>
  <c r="AB132" i="20"/>
  <c r="AE132" i="20"/>
  <c r="AJ132" i="20"/>
  <c r="AC132" i="20"/>
  <c r="AI132" i="20"/>
  <c r="AO132" i="20"/>
  <c r="AF132" i="20"/>
  <c r="AG132" i="20"/>
  <c r="Z132" i="20"/>
  <c r="AK132" i="20"/>
  <c r="Y132" i="20"/>
  <c r="AP109" i="20"/>
  <c r="AO109" i="20"/>
  <c r="AG109" i="20"/>
  <c r="AE109" i="20"/>
  <c r="AD109" i="20"/>
  <c r="AN109" i="20"/>
  <c r="Y109" i="20"/>
  <c r="AK109" i="20"/>
  <c r="AA109" i="20"/>
  <c r="AB109" i="20"/>
  <c r="AI109" i="20"/>
  <c r="AH109" i="20"/>
  <c r="AJ109" i="20"/>
  <c r="AL109" i="20"/>
  <c r="Z109" i="20"/>
  <c r="AF109" i="20"/>
  <c r="Y130" i="20"/>
  <c r="AD130" i="20"/>
  <c r="AO130" i="20"/>
  <c r="AK130" i="20"/>
  <c r="AI130" i="20"/>
  <c r="AB130" i="20"/>
  <c r="AA130" i="20"/>
  <c r="AP130" i="20"/>
  <c r="AL130" i="20"/>
  <c r="AN130" i="20"/>
  <c r="AH130" i="20"/>
  <c r="AJ130" i="20"/>
  <c r="AC130" i="20"/>
  <c r="AG130" i="20"/>
  <c r="Z130" i="20"/>
  <c r="AF130" i="20"/>
  <c r="Y946" i="20"/>
  <c r="AL946" i="20"/>
  <c r="AN946" i="20"/>
  <c r="AP946" i="20"/>
  <c r="AO946" i="20"/>
  <c r="AC946" i="20"/>
  <c r="AH946" i="20"/>
  <c r="AE946" i="20"/>
  <c r="AB946" i="20"/>
  <c r="AK946" i="20"/>
  <c r="Z946" i="20"/>
  <c r="AF946" i="20"/>
  <c r="AI946" i="20"/>
  <c r="AJ946" i="20"/>
  <c r="AA946" i="20"/>
  <c r="AJ947" i="20"/>
  <c r="AF947" i="20"/>
  <c r="AB947" i="20"/>
  <c r="AI947" i="20"/>
  <c r="AD947" i="20"/>
  <c r="Y947" i="20"/>
  <c r="AK947" i="20"/>
  <c r="AC947" i="20"/>
  <c r="AP947" i="20"/>
  <c r="AN947" i="20"/>
  <c r="AG947" i="20"/>
  <c r="Z947" i="20"/>
  <c r="AL947" i="20"/>
  <c r="AO947" i="20"/>
  <c r="AH947" i="20"/>
  <c r="AA947" i="20"/>
  <c r="AP213" i="20"/>
  <c r="AO213" i="20"/>
  <c r="AC213" i="20"/>
  <c r="AK213" i="20"/>
  <c r="AF213" i="20"/>
  <c r="AA213" i="20"/>
  <c r="AI213" i="20"/>
  <c r="Y213" i="20"/>
  <c r="AG213" i="20"/>
  <c r="AE213" i="20"/>
  <c r="AH213" i="20"/>
  <c r="AJ213" i="20"/>
  <c r="AN213" i="20"/>
  <c r="AD213" i="20"/>
  <c r="Z213" i="20"/>
  <c r="AB213" i="20"/>
  <c r="AP202" i="20"/>
  <c r="AG202" i="20"/>
  <c r="AB202" i="20"/>
  <c r="AN202" i="20"/>
  <c r="AE202" i="20"/>
  <c r="AL202" i="20"/>
  <c r="Y202" i="20"/>
  <c r="AA202" i="20"/>
  <c r="AI202" i="20"/>
  <c r="Z202" i="20"/>
  <c r="AO202" i="20"/>
  <c r="AD202" i="20"/>
  <c r="AC202" i="20"/>
  <c r="AF202" i="20"/>
  <c r="AK202" i="20"/>
  <c r="AJ202" i="20"/>
  <c r="AH202" i="20"/>
  <c r="AO171" i="20"/>
  <c r="AC171" i="20"/>
  <c r="AI171" i="20"/>
  <c r="AP171" i="20"/>
  <c r="AK171" i="20"/>
  <c r="Z171" i="20"/>
  <c r="AL171" i="20"/>
  <c r="AA171" i="20"/>
  <c r="AP114" i="20"/>
  <c r="AN114" i="20"/>
  <c r="AI114" i="20"/>
  <c r="AL114" i="20"/>
  <c r="AO114" i="20"/>
  <c r="AG114" i="20"/>
  <c r="AD114" i="20"/>
  <c r="AK114" i="20"/>
  <c r="AA114" i="20"/>
  <c r="Y114" i="20"/>
  <c r="AF114" i="20"/>
  <c r="Z114" i="20"/>
  <c r="AJ114" i="20"/>
  <c r="AC114" i="20"/>
  <c r="AE114" i="20"/>
  <c r="AH114" i="20"/>
  <c r="AN231" i="20"/>
  <c r="AB231" i="20"/>
  <c r="AA231" i="20"/>
  <c r="AC231" i="20"/>
  <c r="AH231" i="20"/>
  <c r="AD231" i="20"/>
  <c r="AG231" i="20"/>
  <c r="AF231" i="20"/>
  <c r="AP84" i="20"/>
  <c r="AO84" i="20"/>
  <c r="AL81" i="20"/>
  <c r="AB81" i="20"/>
  <c r="AA81" i="20"/>
  <c r="AO81" i="20"/>
  <c r="AC81" i="20"/>
  <c r="AK81" i="20"/>
  <c r="Z82" i="20"/>
  <c r="AP82" i="20"/>
  <c r="AA82" i="20"/>
  <c r="Y82" i="20"/>
  <c r="AN82" i="20"/>
  <c r="AR161" i="20"/>
  <c r="AT161" i="20"/>
  <c r="AR253" i="20"/>
  <c r="AT253" i="20"/>
  <c r="AR290" i="20"/>
  <c r="AT290" i="20"/>
  <c r="AR322" i="20"/>
  <c r="AT322" i="20"/>
  <c r="AR370" i="20"/>
  <c r="AT370" i="20"/>
  <c r="G125" i="86"/>
  <c r="J125" i="86" s="1"/>
  <c r="G122" i="86"/>
  <c r="H108" i="86"/>
  <c r="K108" i="86" s="1"/>
  <c r="AN81" i="20"/>
  <c r="Z231" i="20"/>
  <c r="AP231" i="20"/>
  <c r="AF81" i="20"/>
  <c r="AE231" i="20"/>
  <c r="AT165" i="20"/>
  <c r="AH81" i="20"/>
  <c r="AE126" i="20"/>
  <c r="AH126" i="20"/>
  <c r="Y126" i="20"/>
  <c r="AH712" i="20"/>
  <c r="AB775" i="20"/>
  <c r="AK766" i="20"/>
  <c r="AE753" i="20"/>
  <c r="AH742" i="20"/>
  <c r="AC734" i="20"/>
  <c r="AL726" i="20"/>
  <c r="AB712" i="20"/>
  <c r="AE702" i="20"/>
  <c r="AC690" i="20"/>
  <c r="Y677" i="20"/>
  <c r="AG668" i="20"/>
  <c r="AK662" i="20"/>
  <c r="AK651" i="20"/>
  <c r="AN638" i="20"/>
  <c r="AK632" i="20"/>
  <c r="AJ614" i="20"/>
  <c r="AN602" i="20"/>
  <c r="AE594" i="20"/>
  <c r="Y579" i="20"/>
  <c r="Y570" i="20"/>
  <c r="AE627" i="20"/>
  <c r="AB554" i="20"/>
  <c r="AE546" i="20"/>
  <c r="AB538" i="20"/>
  <c r="AC526" i="20"/>
  <c r="Z518" i="20"/>
  <c r="AG506" i="20"/>
  <c r="AH498" i="20"/>
  <c r="AG488" i="20"/>
  <c r="AD478" i="20"/>
  <c r="AG470" i="20"/>
  <c r="AB459" i="20"/>
  <c r="AA450" i="20"/>
  <c r="AG438" i="20"/>
  <c r="AA430" i="20"/>
  <c r="AL426" i="20"/>
  <c r="AA342" i="20"/>
  <c r="AC338" i="20"/>
  <c r="AE330" i="20"/>
  <c r="AA326" i="20"/>
  <c r="AE318" i="20"/>
  <c r="AN311" i="20"/>
  <c r="AK302" i="20"/>
  <c r="AB298" i="20"/>
  <c r="AJ279" i="20"/>
  <c r="AK271" i="20"/>
  <c r="AB267" i="20"/>
  <c r="AC259" i="20"/>
  <c r="AD254" i="20"/>
  <c r="AG251" i="20"/>
  <c r="AC233" i="20"/>
  <c r="AL225" i="20"/>
  <c r="AF217" i="20"/>
  <c r="AA198" i="20"/>
  <c r="Y182" i="20"/>
  <c r="AJ177" i="20"/>
  <c r="AJ173" i="20"/>
  <c r="AJ627" i="20"/>
  <c r="AJ342" i="20"/>
  <c r="AL550" i="20"/>
  <c r="AH775" i="20"/>
  <c r="AG758" i="20"/>
  <c r="AD690" i="20"/>
  <c r="AJ636" i="20"/>
  <c r="AE712" i="20"/>
  <c r="AI766" i="20"/>
  <c r="AJ430" i="20"/>
  <c r="AL279" i="20"/>
  <c r="AH636" i="20"/>
  <c r="AA591" i="20"/>
  <c r="AK715" i="20"/>
  <c r="AT174" i="20"/>
  <c r="AO263" i="20"/>
  <c r="AO326" i="20"/>
  <c r="AL438" i="20"/>
  <c r="AH454" i="20"/>
  <c r="AP454" i="20"/>
  <c r="AP466" i="20"/>
  <c r="AJ478" i="20"/>
  <c r="AO488" i="20"/>
  <c r="AN502" i="20"/>
  <c r="AI518" i="20"/>
  <c r="AB530" i="20"/>
  <c r="AK546" i="20"/>
  <c r="AP546" i="20"/>
  <c r="AP558" i="20"/>
  <c r="AO627" i="20"/>
  <c r="AE581" i="20"/>
  <c r="AL594" i="20"/>
  <c r="AF604" i="20"/>
  <c r="AN622" i="20"/>
  <c r="AI638" i="20"/>
  <c r="AA651" i="20"/>
  <c r="AP651" i="20"/>
  <c r="AF668" i="20"/>
  <c r="AO668" i="20"/>
  <c r="AA690" i="20"/>
  <c r="AF718" i="20"/>
  <c r="AL715" i="20"/>
  <c r="AF730" i="20"/>
  <c r="AD746" i="20"/>
  <c r="AE762" i="20"/>
  <c r="AO762" i="20"/>
  <c r="AJ39" i="20"/>
  <c r="AI39" i="20"/>
  <c r="AI60" i="20"/>
  <c r="AH60" i="20"/>
  <c r="AD773" i="20"/>
  <c r="Y758" i="20"/>
  <c r="AA746" i="20"/>
  <c r="AI738" i="20"/>
  <c r="Y726" i="20"/>
  <c r="AN709" i="20"/>
  <c r="AB698" i="20"/>
  <c r="AH684" i="20"/>
  <c r="AK673" i="20"/>
  <c r="AD666" i="20"/>
  <c r="AC651" i="20"/>
  <c r="AB638" i="20"/>
  <c r="AH622" i="20"/>
  <c r="AA611" i="20"/>
  <c r="AE598" i="20"/>
  <c r="AD586" i="20"/>
  <c r="AE570" i="20"/>
  <c r="AG562" i="20"/>
  <c r="AA550" i="20"/>
  <c r="AN538" i="20"/>
  <c r="AE530" i="20"/>
  <c r="AE518" i="20"/>
  <c r="Y506" i="20"/>
  <c r="AL498" i="20"/>
  <c r="Z487" i="20"/>
  <c r="AB472" i="20"/>
  <c r="Z459" i="20"/>
  <c r="AN446" i="20"/>
  <c r="AF438" i="20"/>
  <c r="AE430" i="20"/>
  <c r="Y346" i="20"/>
  <c r="AA338" i="20"/>
  <c r="Z334" i="20"/>
  <c r="AK326" i="20"/>
  <c r="AG318" i="20"/>
  <c r="AD307" i="20"/>
  <c r="AN302" i="20"/>
  <c r="AE298" i="20"/>
  <c r="AB273" i="20"/>
  <c r="Z271" i="20"/>
  <c r="AA263" i="20"/>
  <c r="AD259" i="20"/>
  <c r="AF254" i="20"/>
  <c r="AH245" i="20"/>
  <c r="AA233" i="20"/>
  <c r="AH226" i="20"/>
  <c r="AN217" i="20"/>
  <c r="AL187" i="20"/>
  <c r="AG182" i="20"/>
  <c r="AB173" i="20"/>
  <c r="AH178" i="20"/>
  <c r="AI726" i="20"/>
  <c r="AL638" i="20"/>
  <c r="AC709" i="20"/>
  <c r="AI658" i="20"/>
  <c r="AL602" i="20"/>
  <c r="AL746" i="20"/>
  <c r="AH638" i="20"/>
  <c r="AC614" i="20"/>
  <c r="AL694" i="20"/>
  <c r="AJ618" i="20"/>
  <c r="AL752" i="20"/>
  <c r="AH522" i="20"/>
  <c r="AA698" i="20"/>
  <c r="AD618" i="20"/>
  <c r="AO198" i="20"/>
  <c r="AP233" i="20"/>
  <c r="AP294" i="20"/>
  <c r="AO311" i="20"/>
  <c r="AH346" i="20"/>
  <c r="Z430" i="20"/>
  <c r="AC446" i="20"/>
  <c r="AA462" i="20"/>
  <c r="AK472" i="20"/>
  <c r="AG487" i="20"/>
  <c r="AO487" i="20"/>
  <c r="AP498" i="20"/>
  <c r="AI510" i="20"/>
  <c r="AK526" i="20"/>
  <c r="AK538" i="20"/>
  <c r="AH554" i="20"/>
  <c r="AA567" i="20"/>
  <c r="AI574" i="20"/>
  <c r="AA586" i="20"/>
  <c r="AG602" i="20"/>
  <c r="AO614" i="20"/>
  <c r="Y645" i="20"/>
  <c r="AD658" i="20"/>
  <c r="AP658" i="20"/>
  <c r="Y684" i="20"/>
  <c r="AD698" i="20"/>
  <c r="AF709" i="20"/>
  <c r="AE726" i="20"/>
  <c r="AC742" i="20"/>
  <c r="AF753" i="20"/>
  <c r="AI773" i="20"/>
  <c r="AK37" i="20"/>
  <c r="AF37" i="20"/>
  <c r="AG775" i="20"/>
  <c r="AB762" i="20"/>
  <c r="AG746" i="20"/>
  <c r="AA738" i="20"/>
  <c r="Z726" i="20"/>
  <c r="AD715" i="20"/>
  <c r="AK698" i="20"/>
  <c r="AE685" i="20"/>
  <c r="AC668" i="20"/>
  <c r="AI651" i="20"/>
  <c r="AF636" i="20"/>
  <c r="AK618" i="20"/>
  <c r="Z598" i="20"/>
  <c r="AG579" i="20"/>
  <c r="AD627" i="20"/>
  <c r="AJ550" i="20"/>
  <c r="AJ542" i="20"/>
  <c r="AF526" i="20"/>
  <c r="AA506" i="20"/>
  <c r="AD494" i="20"/>
  <c r="AK483" i="20"/>
  <c r="Z466" i="20"/>
  <c r="AC450" i="20"/>
  <c r="AD434" i="20"/>
  <c r="AF342" i="20"/>
  <c r="AH334" i="20"/>
  <c r="AB326" i="20"/>
  <c r="Z307" i="20"/>
  <c r="AF306" i="20"/>
  <c r="AH294" i="20"/>
  <c r="AC273" i="20"/>
  <c r="AL267" i="20"/>
  <c r="AK254" i="20"/>
  <c r="AH251" i="20"/>
  <c r="AG225" i="20"/>
  <c r="AI217" i="20"/>
  <c r="AG187" i="20"/>
  <c r="AH177" i="20"/>
  <c r="AN178" i="20"/>
  <c r="AL702" i="20"/>
  <c r="AL478" i="20"/>
  <c r="AD570" i="20"/>
  <c r="AG518" i="20"/>
  <c r="AJ442" i="20"/>
  <c r="AJ546" i="20"/>
  <c r="Y611" i="20"/>
  <c r="AO187" i="20"/>
  <c r="AP245" i="20"/>
  <c r="AO267" i="20"/>
  <c r="AO307" i="20"/>
  <c r="AP338" i="20"/>
  <c r="AP426" i="20"/>
  <c r="AI442" i="20"/>
  <c r="AE450" i="20"/>
  <c r="AI459" i="20"/>
  <c r="Z470" i="20"/>
  <c r="Z494" i="20"/>
  <c r="Z506" i="20"/>
  <c r="AJ516" i="20"/>
  <c r="AI534" i="20"/>
  <c r="AN542" i="20"/>
  <c r="AO550" i="20"/>
  <c r="AG570" i="20"/>
  <c r="AO570" i="20"/>
  <c r="AO579" i="20"/>
  <c r="AA598" i="20"/>
  <c r="AN611" i="20"/>
  <c r="AE618" i="20"/>
  <c r="AO632" i="20"/>
  <c r="AP642" i="20"/>
  <c r="AP654" i="20"/>
  <c r="AB677" i="20"/>
  <c r="AP677" i="20"/>
  <c r="AG694" i="20"/>
  <c r="AN702" i="20"/>
  <c r="AO712" i="20"/>
  <c r="AO722" i="20"/>
  <c r="AF738" i="20"/>
  <c r="AI752" i="20"/>
  <c r="AL758" i="20"/>
  <c r="AK775" i="20"/>
  <c r="AH42" i="20"/>
  <c r="AC46" i="20"/>
  <c r="AH33" i="20"/>
  <c r="AL33" i="20"/>
  <c r="AF171" i="20"/>
  <c r="AT449" i="20"/>
  <c r="Z81" i="20"/>
  <c r="AH171" i="20"/>
  <c r="AG115" i="20"/>
  <c r="AH107" i="20"/>
  <c r="AP137" i="20"/>
  <c r="AJ487" i="20"/>
  <c r="AO538" i="20"/>
  <c r="AP1137" i="20"/>
  <c r="AO415" i="20"/>
  <c r="AO1009" i="20"/>
  <c r="AP97" i="20"/>
  <c r="AD76" i="20"/>
  <c r="AN627" i="20"/>
  <c r="Z450" i="20"/>
  <c r="AC307" i="20"/>
  <c r="AC178" i="20"/>
  <c r="AH702" i="20"/>
  <c r="AA932" i="20"/>
  <c r="AB146" i="20"/>
  <c r="AG177" i="20"/>
  <c r="Z182" i="20"/>
  <c r="AL254" i="20"/>
  <c r="AN271" i="20"/>
  <c r="AD306" i="20"/>
  <c r="AL318" i="20"/>
  <c r="AJ334" i="20"/>
  <c r="AF466" i="20"/>
  <c r="AE483" i="20"/>
  <c r="AN506" i="20"/>
  <c r="Z550" i="20"/>
  <c r="AF567" i="20"/>
  <c r="AN586" i="20"/>
  <c r="Z611" i="20"/>
  <c r="AK668" i="20"/>
  <c r="Y690" i="20"/>
  <c r="AN715" i="20"/>
  <c r="AE715" i="20"/>
  <c r="AJ752" i="20"/>
  <c r="Y734" i="20"/>
  <c r="AA470" i="20"/>
  <c r="AN222" i="20"/>
  <c r="AJ137" i="20"/>
  <c r="Y119" i="20"/>
  <c r="AN171" i="20"/>
  <c r="AN243" i="20"/>
  <c r="AA155" i="20"/>
  <c r="AK155" i="20"/>
  <c r="AL166" i="20"/>
  <c r="AC107" i="20"/>
  <c r="AD150" i="20"/>
  <c r="AP150" i="20"/>
  <c r="AH149" i="20"/>
  <c r="AE200" i="20"/>
  <c r="AP200" i="20"/>
  <c r="AI137" i="20"/>
  <c r="AE146" i="20"/>
  <c r="Z146" i="20"/>
  <c r="AH945" i="20"/>
  <c r="AL945" i="20"/>
  <c r="AO945" i="20"/>
  <c r="AB198" i="20"/>
  <c r="AL259" i="20"/>
  <c r="AE307" i="20"/>
  <c r="AN338" i="20"/>
  <c r="AB454" i="20"/>
  <c r="AK510" i="20"/>
  <c r="AN554" i="20"/>
  <c r="AB614" i="20"/>
  <c r="AI654" i="20"/>
  <c r="AO702" i="20"/>
  <c r="Z762" i="20"/>
  <c r="AD77" i="20"/>
  <c r="AO43" i="20"/>
  <c r="AI360" i="20"/>
  <c r="AO407" i="20"/>
  <c r="AP1119" i="20"/>
  <c r="AE43" i="20"/>
  <c r="Y518" i="20"/>
  <c r="AD718" i="20"/>
  <c r="AL213" i="20"/>
  <c r="AP411" i="20"/>
  <c r="AD709" i="20"/>
  <c r="AC40" i="20"/>
  <c r="AN229" i="20"/>
  <c r="AH71" i="20"/>
  <c r="AC109" i="20"/>
  <c r="AI94" i="20"/>
  <c r="AD70" i="20"/>
  <c r="AC145" i="20"/>
  <c r="AC158" i="20"/>
  <c r="AA111" i="20"/>
  <c r="Z1049" i="20"/>
  <c r="AH1066" i="20"/>
  <c r="AL953" i="20"/>
  <c r="AC1071" i="20"/>
  <c r="AJ901" i="20"/>
  <c r="AB1015" i="20"/>
  <c r="AH1027" i="20"/>
  <c r="AL1049" i="20"/>
  <c r="Z880" i="20"/>
  <c r="AF1011" i="20"/>
  <c r="Z1057" i="20"/>
  <c r="AJ1078" i="20"/>
  <c r="AJ998" i="20"/>
  <c r="AA870" i="20"/>
  <c r="AK874" i="20"/>
  <c r="AF886" i="20"/>
  <c r="Z889" i="20"/>
  <c r="AJ892" i="20"/>
  <c r="AF899" i="20"/>
  <c r="Z919" i="20"/>
  <c r="AN924" i="20"/>
  <c r="AB935" i="20"/>
  <c r="AF949" i="20"/>
  <c r="AC957" i="20"/>
  <c r="AD966" i="20"/>
  <c r="AC974" i="20"/>
  <c r="AD982" i="20"/>
  <c r="AK991" i="20"/>
  <c r="AA1005" i="20"/>
  <c r="AH1001" i="20"/>
  <c r="AA1011" i="20"/>
  <c r="Z1019" i="20"/>
  <c r="AA1027" i="20"/>
  <c r="AK1037" i="20"/>
  <c r="AK1045" i="20"/>
  <c r="Y1052" i="20"/>
  <c r="AD1061" i="20"/>
  <c r="AG1066" i="20"/>
  <c r="AK1075" i="20"/>
  <c r="AC1083" i="20"/>
  <c r="AG1110" i="20"/>
  <c r="AN1121" i="20"/>
  <c r="AL1122" i="20"/>
  <c r="AI1131" i="20"/>
  <c r="AB1139" i="20"/>
  <c r="AI1152" i="20"/>
  <c r="AD1154" i="20"/>
  <c r="AL1159" i="20"/>
  <c r="AG1163" i="20"/>
  <c r="AI1171" i="20"/>
  <c r="Z48" i="20"/>
  <c r="AF35" i="20"/>
  <c r="AI353" i="20"/>
  <c r="AE98" i="20"/>
  <c r="AE856" i="20"/>
  <c r="AC781" i="20"/>
  <c r="AG804" i="20"/>
  <c r="Z824" i="20"/>
  <c r="Y848" i="20"/>
  <c r="AD944" i="20"/>
  <c r="AK212" i="20"/>
  <c r="Y367" i="20"/>
  <c r="AC419" i="20"/>
  <c r="AN371" i="20"/>
  <c r="AN411" i="20"/>
  <c r="AD1052" i="20"/>
  <c r="AD812" i="20"/>
  <c r="AE110" i="20"/>
  <c r="AL162" i="20"/>
  <c r="AO33" i="20"/>
  <c r="Y33" i="20"/>
  <c r="AG33" i="20"/>
  <c r="AF33" i="20"/>
  <c r="AP33" i="20"/>
  <c r="AN33" i="20"/>
  <c r="AK33" i="20"/>
  <c r="Z33" i="20"/>
  <c r="AO60" i="20"/>
  <c r="AL60" i="20"/>
  <c r="AD60" i="20"/>
  <c r="AK60" i="20"/>
  <c r="Z60" i="20"/>
  <c r="AP42" i="20"/>
  <c r="AC42" i="20"/>
  <c r="AD42" i="20"/>
  <c r="AN42" i="20"/>
  <c r="AA42" i="20"/>
  <c r="Z42" i="20"/>
  <c r="AB42" i="20"/>
  <c r="AO100" i="20"/>
  <c r="AP100" i="20"/>
  <c r="Z100" i="20"/>
  <c r="AG100" i="20"/>
  <c r="AE100" i="20"/>
  <c r="AJ100" i="20"/>
  <c r="AK100" i="20"/>
  <c r="AD100" i="20"/>
  <c r="AI100" i="20"/>
  <c r="AL100" i="20"/>
  <c r="AN100" i="20"/>
  <c r="AH100" i="20"/>
  <c r="AF100" i="20"/>
  <c r="Y100" i="20"/>
  <c r="AA100" i="20"/>
  <c r="AE69" i="20"/>
  <c r="AL69" i="20"/>
  <c r="Y69" i="20"/>
  <c r="AJ69" i="20"/>
  <c r="AP69" i="20"/>
  <c r="AF69" i="20"/>
  <c r="AK69" i="20"/>
  <c r="AH69" i="20"/>
  <c r="AI69" i="20"/>
  <c r="AN69" i="20"/>
  <c r="AA69" i="20"/>
  <c r="AD69" i="20"/>
  <c r="AO69" i="20"/>
  <c r="Z69" i="20"/>
  <c r="AB97" i="20"/>
  <c r="AH97" i="20"/>
  <c r="AF97" i="20"/>
  <c r="AC97" i="20"/>
  <c r="AD97" i="20"/>
  <c r="AL97" i="20"/>
  <c r="AN97" i="20"/>
  <c r="AG97" i="20"/>
  <c r="Z97" i="20"/>
  <c r="AA97" i="20"/>
  <c r="AJ97" i="20"/>
  <c r="AI97" i="20"/>
  <c r="AK88" i="20"/>
  <c r="I47" i="86" s="1"/>
  <c r="L47" i="86" s="1"/>
  <c r="AL88" i="20"/>
  <c r="AA88" i="20"/>
  <c r="Y88" i="20"/>
  <c r="AJ88" i="20"/>
  <c r="H47" i="86" s="1"/>
  <c r="K47" i="86" s="1"/>
  <c r="AC88" i="20"/>
  <c r="AG88" i="20"/>
  <c r="Z88" i="20"/>
  <c r="AN88" i="20"/>
  <c r="AH88" i="20"/>
  <c r="AD88" i="20"/>
  <c r="AE88" i="20"/>
  <c r="AB88" i="20"/>
  <c r="AF88" i="20"/>
  <c r="AP88" i="20"/>
  <c r="Y1166" i="20"/>
  <c r="AC1166" i="20"/>
  <c r="AN1166" i="20"/>
  <c r="AL1166" i="20"/>
  <c r="AD1166" i="20"/>
  <c r="AJ1166" i="20"/>
  <c r="AG1166" i="20"/>
  <c r="AI1166" i="20"/>
  <c r="AK1166" i="20"/>
  <c r="AP1166" i="20"/>
  <c r="AF1166" i="20"/>
  <c r="AB1166" i="20"/>
  <c r="AA1166" i="20"/>
  <c r="Z1166" i="20"/>
  <c r="AE1166" i="20"/>
  <c r="AE1157" i="20"/>
  <c r="AK1157" i="20"/>
  <c r="AA1157" i="20"/>
  <c r="AF1157" i="20"/>
  <c r="AN1157" i="20"/>
  <c r="AC1157" i="20"/>
  <c r="AP1157" i="20"/>
  <c r="Z1157" i="20"/>
  <c r="AD1157" i="20"/>
  <c r="AJ1157" i="20"/>
  <c r="Y1157" i="20"/>
  <c r="AL1157" i="20"/>
  <c r="AB1157" i="20"/>
  <c r="AI1157" i="20"/>
  <c r="AO1157" i="20"/>
  <c r="Z1149" i="20"/>
  <c r="Y1149" i="20"/>
  <c r="AI1149" i="20"/>
  <c r="AN1149" i="20"/>
  <c r="AK1149" i="20"/>
  <c r="AA1149" i="20"/>
  <c r="AE1149" i="20"/>
  <c r="AG1149" i="20"/>
  <c r="AO1149" i="20"/>
  <c r="AB1149" i="20"/>
  <c r="AL1149" i="20"/>
  <c r="AJ1149" i="20"/>
  <c r="AF1149" i="20"/>
  <c r="AD1149" i="20"/>
  <c r="AP1141" i="20"/>
  <c r="AG1141" i="20"/>
  <c r="AC1141" i="20"/>
  <c r="AH1141" i="20"/>
  <c r="AK1141" i="20"/>
  <c r="AB1141" i="20"/>
  <c r="AI1141" i="20"/>
  <c r="Y1141" i="20"/>
  <c r="AJ1141" i="20"/>
  <c r="Z1141" i="20"/>
  <c r="AA1141" i="20"/>
  <c r="AD1141" i="20"/>
  <c r="AF1141" i="20"/>
  <c r="AE1141" i="20"/>
  <c r="AO1141" i="20"/>
  <c r="AO1137" i="20"/>
  <c r="AI1137" i="20"/>
  <c r="AK1137" i="20"/>
  <c r="AE1137" i="20"/>
  <c r="AD1137" i="20"/>
  <c r="AJ1137" i="20"/>
  <c r="AA1137" i="20"/>
  <c r="Z1137" i="20"/>
  <c r="AH1137" i="20"/>
  <c r="AG1137" i="20"/>
  <c r="AB1137" i="20"/>
  <c r="AC1137" i="20"/>
  <c r="AL1137" i="20"/>
  <c r="Y1137" i="20"/>
  <c r="AP1129" i="20"/>
  <c r="AG1129" i="20"/>
  <c r="AC1129" i="20"/>
  <c r="AI1129" i="20"/>
  <c r="AD1129" i="20"/>
  <c r="Y1129" i="20"/>
  <c r="AB1129" i="20"/>
  <c r="AJ1129" i="20"/>
  <c r="AL1129" i="20"/>
  <c r="AF1129" i="20"/>
  <c r="AE1129" i="20"/>
  <c r="AA1129" i="20"/>
  <c r="AK1129" i="20"/>
  <c r="AH1129" i="20"/>
  <c r="AO1129" i="20"/>
  <c r="AO1117" i="20"/>
  <c r="AI1117" i="20"/>
  <c r="AC1117" i="20"/>
  <c r="AE1117" i="20"/>
  <c r="AJ1117" i="20"/>
  <c r="AH1117" i="20"/>
  <c r="AK1117" i="20"/>
  <c r="Z1117" i="20"/>
  <c r="AN1117" i="20"/>
  <c r="AA1117" i="20"/>
  <c r="AB1117" i="20"/>
  <c r="AF1117" i="20"/>
  <c r="Y1117" i="20"/>
  <c r="AP1117" i="20"/>
  <c r="AG1117" i="20"/>
  <c r="AJ1119" i="20"/>
  <c r="AE1119" i="20"/>
  <c r="AK1119" i="20"/>
  <c r="AG1119" i="20"/>
  <c r="AL1119" i="20"/>
  <c r="AD1119" i="20"/>
  <c r="AC1119" i="20"/>
  <c r="AA1119" i="20"/>
  <c r="AN1119" i="20"/>
  <c r="Y1119" i="20"/>
  <c r="Z1119" i="20"/>
  <c r="AH1119" i="20"/>
  <c r="AO1119" i="20"/>
  <c r="AN1090" i="20"/>
  <c r="Y1090" i="20"/>
  <c r="AJ1090" i="20"/>
  <c r="AP1090" i="20"/>
  <c r="AA1090" i="20"/>
  <c r="AI1090" i="20"/>
  <c r="AL1090" i="20"/>
  <c r="AK1090" i="20"/>
  <c r="AO1090" i="20"/>
  <c r="AB1090" i="20"/>
  <c r="AF1090" i="20"/>
  <c r="AD1090" i="20"/>
  <c r="AC1090" i="20"/>
  <c r="AE1090" i="20"/>
  <c r="Z1090" i="20"/>
  <c r="AP1081" i="20"/>
  <c r="AN1081" i="20"/>
  <c r="AF1081" i="20"/>
  <c r="AH1081" i="20"/>
  <c r="AL1081" i="20"/>
  <c r="AC1081" i="20"/>
  <c r="AB1081" i="20"/>
  <c r="Z1081" i="20"/>
  <c r="Y1081" i="20"/>
  <c r="AA1081" i="20"/>
  <c r="AJ1081" i="20"/>
  <c r="AD1081" i="20"/>
  <c r="AK1081" i="20"/>
  <c r="AG1081" i="20"/>
  <c r="AO1081" i="20"/>
  <c r="AH1068" i="20"/>
  <c r="AI1068" i="20"/>
  <c r="AL1068" i="20"/>
  <c r="AJ1068" i="20"/>
  <c r="AC1068" i="20"/>
  <c r="AK1068" i="20"/>
  <c r="AD1068" i="20"/>
  <c r="AB1068" i="20"/>
  <c r="AE1068" i="20"/>
  <c r="AG1068" i="20"/>
  <c r="Y1068" i="20"/>
  <c r="AA1068" i="20"/>
  <c r="AP1068" i="20"/>
  <c r="AF1068" i="20"/>
  <c r="AE1055" i="20"/>
  <c r="Y1055" i="20"/>
  <c r="AJ1055" i="20"/>
  <c r="AH1055" i="20"/>
  <c r="AG1055" i="20"/>
  <c r="AC1055" i="20"/>
  <c r="AA1055" i="20"/>
  <c r="AL1055" i="20"/>
  <c r="AO1055" i="20"/>
  <c r="AD1055" i="20"/>
  <c r="AN1055" i="20"/>
  <c r="AF1055" i="20"/>
  <c r="AB1055" i="20"/>
  <c r="AI1055" i="20"/>
  <c r="AP1047" i="20"/>
  <c r="Z1047" i="20"/>
  <c r="AC1047" i="20"/>
  <c r="Y1047" i="20"/>
  <c r="AA1047" i="20"/>
  <c r="AD1047" i="20"/>
  <c r="AG1047" i="20"/>
  <c r="AO1047" i="20"/>
  <c r="AL1047" i="20"/>
  <c r="AB1047" i="20"/>
  <c r="AH1047" i="20"/>
  <c r="AF1047" i="20"/>
  <c r="AI1047" i="20"/>
  <c r="AE1047" i="20"/>
  <c r="AK1047" i="20"/>
  <c r="AN1047" i="20"/>
  <c r="AN1039" i="20"/>
  <c r="AK1039" i="20"/>
  <c r="AD1039" i="20"/>
  <c r="Y1039" i="20"/>
  <c r="AI1039" i="20"/>
  <c r="AL1039" i="20"/>
  <c r="AP1039" i="20"/>
  <c r="AE1039" i="20"/>
  <c r="AG1039" i="20"/>
  <c r="AC1039" i="20"/>
  <c r="AH1039" i="20"/>
  <c r="AA1039" i="20"/>
  <c r="Z1039" i="20"/>
  <c r="AF1039" i="20"/>
  <c r="AI1029" i="20"/>
  <c r="AL1029" i="20"/>
  <c r="AE1029" i="20"/>
  <c r="AN1029" i="20"/>
  <c r="AA1029" i="20"/>
  <c r="AC1029" i="20"/>
  <c r="AD1029" i="20"/>
  <c r="AH1029" i="20"/>
  <c r="Y1029" i="20"/>
  <c r="AO1029" i="20"/>
  <c r="AB1029" i="20"/>
  <c r="AK1029" i="20"/>
  <c r="AF1029" i="20"/>
  <c r="Z1029" i="20"/>
  <c r="AP1029" i="20"/>
  <c r="AJ1029" i="20"/>
  <c r="AO1025" i="20"/>
  <c r="AC1025" i="20"/>
  <c r="AK1025" i="20"/>
  <c r="AN1025" i="20"/>
  <c r="AI1025" i="20"/>
  <c r="AE1025" i="20"/>
  <c r="Z1025" i="20"/>
  <c r="AP1025" i="20"/>
  <c r="AG1025" i="20"/>
  <c r="AB1025" i="20"/>
  <c r="AD1025" i="20"/>
  <c r="AF1025" i="20"/>
  <c r="AJ1025" i="20"/>
  <c r="AL1025" i="20"/>
  <c r="AA1025" i="20"/>
  <c r="AC1013" i="20"/>
  <c r="AE1013" i="20"/>
  <c r="AB1013" i="20"/>
  <c r="AD1013" i="20"/>
  <c r="AL1013" i="20"/>
  <c r="Y1013" i="20"/>
  <c r="AA1013" i="20"/>
  <c r="Z1013" i="20"/>
  <c r="AH1013" i="20"/>
  <c r="AN1013" i="20"/>
  <c r="AK1013" i="20"/>
  <c r="AF1013" i="20"/>
  <c r="AG1013" i="20"/>
  <c r="AO1013" i="20"/>
  <c r="AG1003" i="20"/>
  <c r="AC1003" i="20"/>
  <c r="Y1003" i="20"/>
  <c r="AO1003" i="20"/>
  <c r="AF1003" i="20"/>
  <c r="AE1003" i="20"/>
  <c r="AL1003" i="20"/>
  <c r="AH1003" i="20"/>
  <c r="AA1003" i="20"/>
  <c r="AB1003" i="20"/>
  <c r="AK1003" i="20"/>
  <c r="AJ1003" i="20"/>
  <c r="Z1003" i="20"/>
  <c r="AI1003" i="20"/>
  <c r="AL993" i="20"/>
  <c r="AI993" i="20"/>
  <c r="AC993" i="20"/>
  <c r="AD993" i="20"/>
  <c r="AG993" i="20"/>
  <c r="AK993" i="20"/>
  <c r="AH993" i="20"/>
  <c r="Z993" i="20"/>
  <c r="AE993" i="20"/>
  <c r="AN993" i="20"/>
  <c r="Y993" i="20"/>
  <c r="AJ993" i="20"/>
  <c r="AF993" i="20"/>
  <c r="AO993" i="20"/>
  <c r="AK985" i="20"/>
  <c r="AI985" i="20"/>
  <c r="AE985" i="20"/>
  <c r="AL985" i="20"/>
  <c r="AD985" i="20"/>
  <c r="Z985" i="20"/>
  <c r="AP985" i="20"/>
  <c r="AF985" i="20"/>
  <c r="AJ985" i="20"/>
  <c r="AB985" i="20"/>
  <c r="AA985" i="20"/>
  <c r="AH985" i="20"/>
  <c r="AG985" i="20"/>
  <c r="AN985" i="20"/>
  <c r="Y985" i="20"/>
  <c r="AO985" i="20"/>
  <c r="AB976" i="20"/>
  <c r="AE976" i="20"/>
  <c r="AL976" i="20"/>
  <c r="AN976" i="20"/>
  <c r="AJ976" i="20"/>
  <c r="AK976" i="20"/>
  <c r="AI976" i="20"/>
  <c r="AA976" i="20"/>
  <c r="AP976" i="20"/>
  <c r="AD976" i="20"/>
  <c r="AC976" i="20"/>
  <c r="Y976" i="20"/>
  <c r="AH976" i="20"/>
  <c r="AG976" i="20"/>
  <c r="Z976" i="20"/>
  <c r="AI968" i="20"/>
  <c r="Y968" i="20"/>
  <c r="AG968" i="20"/>
  <c r="Z968" i="20"/>
  <c r="AE968" i="20"/>
  <c r="AP968" i="20"/>
  <c r="AH968" i="20"/>
  <c r="AJ968" i="20"/>
  <c r="AF968" i="20"/>
  <c r="AB968" i="20"/>
  <c r="AO968" i="20"/>
  <c r="AC968" i="20"/>
  <c r="AL968" i="20"/>
  <c r="AD968" i="20"/>
  <c r="AK968" i="20"/>
  <c r="AJ959" i="20"/>
  <c r="AA959" i="20"/>
  <c r="AB959" i="20"/>
  <c r="AC959" i="20"/>
  <c r="AI959" i="20"/>
  <c r="Y959" i="20"/>
  <c r="AL959" i="20"/>
  <c r="AP959" i="20"/>
  <c r="AN959" i="20"/>
  <c r="Z959" i="20"/>
  <c r="AE959" i="20"/>
  <c r="AG959" i="20"/>
  <c r="AH959" i="20"/>
  <c r="AO959" i="20"/>
  <c r="AK959" i="20"/>
  <c r="AN951" i="20"/>
  <c r="AC951" i="20"/>
  <c r="AG951" i="20"/>
  <c r="AH951" i="20"/>
  <c r="AP951" i="20"/>
  <c r="AF951" i="20"/>
  <c r="Y951" i="20"/>
  <c r="AJ951" i="20"/>
  <c r="AI951" i="20"/>
  <c r="AK951" i="20"/>
  <c r="AB951" i="20"/>
  <c r="AE951" i="20"/>
  <c r="AD951" i="20"/>
  <c r="Z951" i="20"/>
  <c r="AL937" i="20"/>
  <c r="AE937" i="20"/>
  <c r="AK937" i="20"/>
  <c r="AH937" i="20"/>
  <c r="AP937" i="20"/>
  <c r="AA937" i="20"/>
  <c r="AD937" i="20"/>
  <c r="Z937" i="20"/>
  <c r="AB937" i="20"/>
  <c r="Y937" i="20"/>
  <c r="AG937" i="20"/>
  <c r="AI937" i="20"/>
  <c r="AC937" i="20"/>
  <c r="AK926" i="20"/>
  <c r="AJ926" i="20"/>
  <c r="AA926" i="20"/>
  <c r="AI926" i="20"/>
  <c r="AB926" i="20"/>
  <c r="Z926" i="20"/>
  <c r="AE926" i="20"/>
  <c r="AN926" i="20"/>
  <c r="Y926" i="20"/>
  <c r="AC926" i="20"/>
  <c r="AF926" i="20"/>
  <c r="AO926" i="20"/>
  <c r="AP926" i="20"/>
  <c r="AH926" i="20"/>
  <c r="AD917" i="20"/>
  <c r="Z917" i="20"/>
  <c r="AL917" i="20"/>
  <c r="AF917" i="20"/>
  <c r="AJ917" i="20"/>
  <c r="Y917" i="20"/>
  <c r="AP917" i="20"/>
  <c r="AG917" i="20"/>
  <c r="AI917" i="20"/>
  <c r="AB917" i="20"/>
  <c r="AN917" i="20"/>
  <c r="AA917" i="20"/>
  <c r="AK917" i="20"/>
  <c r="AO917" i="20"/>
  <c r="AE917" i="20"/>
  <c r="AP898" i="20"/>
  <c r="Z898" i="20"/>
  <c r="Y898" i="20"/>
  <c r="AI898" i="20"/>
  <c r="AA898" i="20"/>
  <c r="AC898" i="20"/>
  <c r="AO898" i="20"/>
  <c r="AL898" i="20"/>
  <c r="AK898" i="20"/>
  <c r="AD898" i="20"/>
  <c r="AJ898" i="20"/>
  <c r="AF898" i="20"/>
  <c r="AE898" i="20"/>
  <c r="AH898" i="20"/>
  <c r="AP910" i="20"/>
  <c r="AN910" i="20"/>
  <c r="AC910" i="20"/>
  <c r="AA910" i="20"/>
  <c r="AD910" i="20"/>
  <c r="AE910" i="20"/>
  <c r="Z910" i="20"/>
  <c r="AJ910" i="20"/>
  <c r="AO910" i="20"/>
  <c r="AB910" i="20"/>
  <c r="Y910" i="20"/>
  <c r="AK910" i="20"/>
  <c r="AH910" i="20"/>
  <c r="AG910" i="20"/>
  <c r="AI910" i="20"/>
  <c r="AL910" i="20"/>
  <c r="AI905" i="20"/>
  <c r="AB905" i="20"/>
  <c r="AE905" i="20"/>
  <c r="AO905" i="20"/>
  <c r="AK905" i="20"/>
  <c r="AG905" i="20"/>
  <c r="AF905" i="20"/>
  <c r="AP905" i="20"/>
  <c r="Z905" i="20"/>
  <c r="AC905" i="20"/>
  <c r="AJ905" i="20"/>
  <c r="AL905" i="20"/>
  <c r="AA905" i="20"/>
  <c r="AH905" i="20"/>
  <c r="AD905" i="20"/>
  <c r="AP882" i="20"/>
  <c r="AO882" i="20"/>
  <c r="AE882" i="20"/>
  <c r="AL882" i="20"/>
  <c r="Z882" i="20"/>
  <c r="AN882" i="20"/>
  <c r="AG882" i="20"/>
  <c r="AB882" i="20"/>
  <c r="Y882" i="20"/>
  <c r="AK882" i="20"/>
  <c r="AH882" i="20"/>
  <c r="AD882" i="20"/>
  <c r="AA882" i="20"/>
  <c r="AI882" i="20"/>
  <c r="AC882" i="20"/>
  <c r="AP876" i="20"/>
  <c r="AK876" i="20"/>
  <c r="AD876" i="20"/>
  <c r="AG876" i="20"/>
  <c r="Y876" i="20"/>
  <c r="AF876" i="20"/>
  <c r="AL876" i="20"/>
  <c r="AH876" i="20"/>
  <c r="AB876" i="20"/>
  <c r="AC876" i="20"/>
  <c r="AE876" i="20"/>
  <c r="AI876" i="20"/>
  <c r="AJ876" i="20"/>
  <c r="Z876" i="20"/>
  <c r="AE867" i="20"/>
  <c r="AG867" i="20"/>
  <c r="Y867" i="20"/>
  <c r="AI867" i="20"/>
  <c r="AD867" i="20"/>
  <c r="AK867" i="20"/>
  <c r="AB867" i="20"/>
  <c r="Z867" i="20"/>
  <c r="AP867" i="20"/>
  <c r="AA867" i="20"/>
  <c r="AL867" i="20"/>
  <c r="AN867" i="20"/>
  <c r="AH867" i="20"/>
  <c r="AJ867" i="20"/>
  <c r="AC867" i="20"/>
  <c r="AD859" i="20"/>
  <c r="Y859" i="20"/>
  <c r="AC859" i="20"/>
  <c r="AE859" i="20"/>
  <c r="AB859" i="20"/>
  <c r="AK859" i="20"/>
  <c r="AN859" i="20"/>
  <c r="AF859" i="20"/>
  <c r="Z859" i="20"/>
  <c r="AP859" i="20"/>
  <c r="AL859" i="20"/>
  <c r="AJ859" i="20"/>
  <c r="AO859" i="20"/>
  <c r="AA859" i="20"/>
  <c r="AH859" i="20"/>
  <c r="Y846" i="20"/>
  <c r="AA846" i="20"/>
  <c r="AN846" i="20"/>
  <c r="AC846" i="20"/>
  <c r="AI846" i="20"/>
  <c r="AE846" i="20"/>
  <c r="AJ846" i="20"/>
  <c r="AK846" i="20"/>
  <c r="AF846" i="20"/>
  <c r="AL846" i="20"/>
  <c r="AD846" i="20"/>
  <c r="AG846" i="20"/>
  <c r="Z846" i="20"/>
  <c r="AH846" i="20"/>
  <c r="AB846" i="20"/>
  <c r="AP846" i="20"/>
  <c r="AK843" i="20"/>
  <c r="Y843" i="20"/>
  <c r="AA843" i="20"/>
  <c r="Z843" i="20"/>
  <c r="AI843" i="20"/>
  <c r="AD843" i="20"/>
  <c r="AB843" i="20"/>
  <c r="AF843" i="20"/>
  <c r="AP843" i="20"/>
  <c r="AH843" i="20"/>
  <c r="AE843" i="20"/>
  <c r="AG843" i="20"/>
  <c r="AL843" i="20"/>
  <c r="AO843" i="20"/>
  <c r="AN843" i="20"/>
  <c r="AE835" i="20"/>
  <c r="Z835" i="20"/>
  <c r="AD835" i="20"/>
  <c r="AK835" i="20"/>
  <c r="AI835" i="20"/>
  <c r="AJ835" i="20"/>
  <c r="AP835" i="20"/>
  <c r="AC835" i="20"/>
  <c r="Y835" i="20"/>
  <c r="AL835" i="20"/>
  <c r="AN835" i="20"/>
  <c r="AA835" i="20"/>
  <c r="AB835" i="20"/>
  <c r="AH835" i="20"/>
  <c r="AF835" i="20"/>
  <c r="AG835" i="20"/>
  <c r="AE825" i="20"/>
  <c r="AK825" i="20"/>
  <c r="I45" i="86" s="1"/>
  <c r="L45" i="86" s="1"/>
  <c r="AN825" i="20"/>
  <c r="AA825" i="20"/>
  <c r="AC825" i="20"/>
  <c r="AL825" i="20"/>
  <c r="AB825" i="20"/>
  <c r="AG825" i="20"/>
  <c r="Z825" i="20"/>
  <c r="AJ825" i="20"/>
  <c r="H45" i="86" s="1"/>
  <c r="AI825" i="20"/>
  <c r="G45" i="86" s="1"/>
  <c r="J45" i="86" s="1"/>
  <c r="AO825" i="20"/>
  <c r="AD825" i="20"/>
  <c r="AP825" i="20"/>
  <c r="AE819" i="20"/>
  <c r="AD819" i="20"/>
  <c r="AA819" i="20"/>
  <c r="Y819" i="20"/>
  <c r="AJ819" i="20"/>
  <c r="H42" i="86" s="1"/>
  <c r="K42" i="86" s="1"/>
  <c r="AH819" i="20"/>
  <c r="AF819" i="20"/>
  <c r="AP819" i="20"/>
  <c r="AL819" i="20"/>
  <c r="Z819" i="20"/>
  <c r="AG819" i="20"/>
  <c r="AN819" i="20"/>
  <c r="AI819" i="20"/>
  <c r="G42" i="86" s="1"/>
  <c r="J42" i="86" s="1"/>
  <c r="AK819" i="20"/>
  <c r="I42" i="86" s="1"/>
  <c r="L42" i="86" s="1"/>
  <c r="AB819" i="20"/>
  <c r="AK813" i="20"/>
  <c r="AD813" i="20"/>
  <c r="AI813" i="20"/>
  <c r="Y813" i="20"/>
  <c r="AF813" i="20"/>
  <c r="AG813" i="20"/>
  <c r="AJ813" i="20"/>
  <c r="AE813" i="20"/>
  <c r="AC813" i="20"/>
  <c r="AB813" i="20"/>
  <c r="AN813" i="20"/>
  <c r="AO813" i="20"/>
  <c r="AA813" i="20"/>
  <c r="Z813" i="20"/>
  <c r="AP813" i="20"/>
  <c r="AC798" i="20"/>
  <c r="AE798" i="20"/>
  <c r="AH798" i="20"/>
  <c r="AI798" i="20"/>
  <c r="AF798" i="20"/>
  <c r="AB798" i="20"/>
  <c r="AL798" i="20"/>
  <c r="AO798" i="20"/>
  <c r="AG798" i="20"/>
  <c r="AN798" i="20"/>
  <c r="AD798" i="20"/>
  <c r="AK798" i="20"/>
  <c r="Z798" i="20"/>
  <c r="Y798" i="20"/>
  <c r="AA798" i="20"/>
  <c r="AP795" i="20"/>
  <c r="AK795" i="20"/>
  <c r="AA795" i="20"/>
  <c r="AJ795" i="20"/>
  <c r="AF795" i="20"/>
  <c r="Y795" i="20"/>
  <c r="AB795" i="20"/>
  <c r="AC795" i="20"/>
  <c r="AG795" i="20"/>
  <c r="Z795" i="20"/>
  <c r="AH795" i="20"/>
  <c r="AL795" i="20"/>
  <c r="AN795" i="20"/>
  <c r="AI795" i="20"/>
  <c r="AE795" i="20"/>
  <c r="AN787" i="20"/>
  <c r="AD787" i="20"/>
  <c r="AJ787" i="20"/>
  <c r="AG787" i="20"/>
  <c r="AE787" i="20"/>
  <c r="AI787" i="20"/>
  <c r="AB787" i="20"/>
  <c r="AC787" i="20"/>
  <c r="Z787" i="20"/>
  <c r="AL787" i="20"/>
  <c r="AH787" i="20"/>
  <c r="AF787" i="20"/>
  <c r="AK787" i="20"/>
  <c r="AO787" i="20"/>
  <c r="AA787" i="20"/>
  <c r="AI779" i="20"/>
  <c r="AD779" i="20"/>
  <c r="Y779" i="20"/>
  <c r="AH779" i="20"/>
  <c r="AA779" i="20"/>
  <c r="AF779" i="20"/>
  <c r="AN779" i="20"/>
  <c r="AL779" i="20"/>
  <c r="AJ779" i="20"/>
  <c r="AG779" i="20"/>
  <c r="AB779" i="20"/>
  <c r="AK779" i="20"/>
  <c r="Z779" i="20"/>
  <c r="AP779" i="20"/>
  <c r="AP774" i="20"/>
  <c r="Z774" i="20"/>
  <c r="AG774" i="20"/>
  <c r="AF774" i="20"/>
  <c r="AA774" i="20"/>
  <c r="AC774" i="20"/>
  <c r="AO774" i="20"/>
  <c r="AI774" i="20"/>
  <c r="AH774" i="20"/>
  <c r="AE774" i="20"/>
  <c r="AD774" i="20"/>
  <c r="AN774" i="20"/>
  <c r="AL774" i="20"/>
  <c r="AK774" i="20"/>
  <c r="Y774" i="20"/>
  <c r="AP764" i="20"/>
  <c r="AO764" i="20"/>
  <c r="AL764" i="20"/>
  <c r="AG764" i="20"/>
  <c r="AB764" i="20"/>
  <c r="AK764" i="20"/>
  <c r="AC764" i="20"/>
  <c r="E28" i="37" s="1"/>
  <c r="Y764" i="20"/>
  <c r="Z764" i="20"/>
  <c r="AJ764" i="20"/>
  <c r="AN764" i="20"/>
  <c r="AD764" i="20"/>
  <c r="F28" i="37" s="1"/>
  <c r="AE764" i="20"/>
  <c r="AH764" i="20"/>
  <c r="AF764" i="20"/>
  <c r="AA764" i="20"/>
  <c r="AP756" i="20"/>
  <c r="AN756" i="20"/>
  <c r="AC756" i="20"/>
  <c r="AB756" i="20"/>
  <c r="AH756" i="20"/>
  <c r="AK756" i="20"/>
  <c r="AF756" i="20"/>
  <c r="AL756" i="20"/>
  <c r="Z756" i="20"/>
  <c r="AI756" i="20"/>
  <c r="AJ756" i="20"/>
  <c r="AO756" i="20"/>
  <c r="AG756" i="20"/>
  <c r="AE756" i="20"/>
  <c r="AD756" i="20"/>
  <c r="AP751" i="20"/>
  <c r="AO751" i="20"/>
  <c r="Z751" i="20"/>
  <c r="Y751" i="20"/>
  <c r="AL751" i="20"/>
  <c r="AC751" i="20"/>
  <c r="AA751" i="20"/>
  <c r="AI751" i="20"/>
  <c r="AD751" i="20"/>
  <c r="AH751" i="20"/>
  <c r="AF751" i="20"/>
  <c r="AE751" i="20"/>
  <c r="AK751" i="20"/>
  <c r="AJ751" i="20"/>
  <c r="AN751" i="20"/>
  <c r="AO736" i="20"/>
  <c r="AP736" i="20"/>
  <c r="AE736" i="20"/>
  <c r="AD736" i="20"/>
  <c r="AL736" i="20"/>
  <c r="AJ736" i="20"/>
  <c r="AC736" i="20"/>
  <c r="AB736" i="20"/>
  <c r="AK736" i="20"/>
  <c r="AF736" i="20"/>
  <c r="AG736" i="20"/>
  <c r="Y736" i="20"/>
  <c r="AN736" i="20"/>
  <c r="AA736" i="20"/>
  <c r="AC728" i="20"/>
  <c r="AO728" i="20"/>
  <c r="AJ728" i="20"/>
  <c r="AD728" i="20"/>
  <c r="AG728" i="20"/>
  <c r="Z728" i="20"/>
  <c r="Y728" i="20"/>
  <c r="AI728" i="20"/>
  <c r="AP728" i="20"/>
  <c r="AB728" i="20"/>
  <c r="AE728" i="20"/>
  <c r="AF728" i="20"/>
  <c r="AH728" i="20"/>
  <c r="AA728" i="20"/>
  <c r="AL728" i="20"/>
  <c r="AO720" i="20"/>
  <c r="AP720" i="20"/>
  <c r="AA720" i="20"/>
  <c r="AD720" i="20"/>
  <c r="AC720" i="20"/>
  <c r="AI720" i="20"/>
  <c r="AB720" i="20"/>
  <c r="AH720" i="20"/>
  <c r="AG720" i="20"/>
  <c r="AK720" i="20"/>
  <c r="AF720" i="20"/>
  <c r="AE720" i="20"/>
  <c r="Z720" i="20"/>
  <c r="Y720" i="20"/>
  <c r="AJ720" i="20"/>
  <c r="AN720" i="20"/>
  <c r="AO711" i="20"/>
  <c r="AP711" i="20"/>
  <c r="Z711" i="20"/>
  <c r="AN711" i="20"/>
  <c r="AJ711" i="20"/>
  <c r="AG711" i="20"/>
  <c r="AK711" i="20"/>
  <c r="AA711" i="20"/>
  <c r="AD711" i="20"/>
  <c r="AC711" i="20"/>
  <c r="AL711" i="20"/>
  <c r="AE711" i="20"/>
  <c r="AH711" i="20"/>
  <c r="AI711" i="20"/>
  <c r="AP704" i="20"/>
  <c r="AI704" i="20"/>
  <c r="AA704" i="20"/>
  <c r="Y704" i="20"/>
  <c r="AB704" i="20"/>
  <c r="AN704" i="20"/>
  <c r="Z704" i="20"/>
  <c r="AK704" i="20"/>
  <c r="AO704" i="20"/>
  <c r="AL704" i="20"/>
  <c r="AD704" i="20"/>
  <c r="AG704" i="20"/>
  <c r="AJ704" i="20"/>
  <c r="AC704" i="20"/>
  <c r="AE704" i="20"/>
  <c r="AH704" i="20"/>
  <c r="AO696" i="20"/>
  <c r="AP696" i="20"/>
  <c r="AB696" i="20"/>
  <c r="AF696" i="20"/>
  <c r="AD696" i="20"/>
  <c r="AA696" i="20"/>
  <c r="AC696" i="20"/>
  <c r="AJ696" i="20"/>
  <c r="AE696" i="20"/>
  <c r="AL696" i="20"/>
  <c r="AH696" i="20"/>
  <c r="AI696" i="20"/>
  <c r="Y696" i="20"/>
  <c r="AK696" i="20"/>
  <c r="Z696" i="20"/>
  <c r="AP688" i="20"/>
  <c r="AD688" i="20"/>
  <c r="AB688" i="20"/>
  <c r="AH688" i="20"/>
  <c r="AL688" i="20"/>
  <c r="AN688" i="20"/>
  <c r="Z688" i="20"/>
  <c r="AK688" i="20"/>
  <c r="AJ688" i="20"/>
  <c r="AI688" i="20"/>
  <c r="AA688" i="20"/>
  <c r="AC688" i="20"/>
  <c r="Y688" i="20"/>
  <c r="AE688" i="20"/>
  <c r="AG688" i="20"/>
  <c r="AO688" i="20"/>
  <c r="AP680" i="20"/>
  <c r="AO680" i="20"/>
  <c r="AE680" i="20"/>
  <c r="AD680" i="20"/>
  <c r="AL680" i="20"/>
  <c r="AG680" i="20"/>
  <c r="AA680" i="20"/>
  <c r="AH680" i="20"/>
  <c r="AC680" i="20"/>
  <c r="AN680" i="20"/>
  <c r="AB680" i="20"/>
  <c r="AI680" i="20"/>
  <c r="Z680" i="20"/>
  <c r="Y680" i="20"/>
  <c r="AF680" i="20"/>
  <c r="AO678" i="20"/>
  <c r="AI678" i="20"/>
  <c r="AF678" i="20"/>
  <c r="AC678" i="20"/>
  <c r="AN678" i="20"/>
  <c r="AD678" i="20"/>
  <c r="Y678" i="20"/>
  <c r="AP678" i="20"/>
  <c r="AJ678" i="20"/>
  <c r="AK678" i="20"/>
  <c r="AH678" i="20"/>
  <c r="Z678" i="20"/>
  <c r="AL678" i="20"/>
  <c r="AB678" i="20"/>
  <c r="AA678" i="20"/>
  <c r="AP664" i="20"/>
  <c r="AJ664" i="20"/>
  <c r="AO664" i="20"/>
  <c r="AN664" i="20"/>
  <c r="AC664" i="20"/>
  <c r="AE664" i="20"/>
  <c r="AI664" i="20"/>
  <c r="AD664" i="20"/>
  <c r="AF664" i="20"/>
  <c r="Y664" i="20"/>
  <c r="Z664" i="20"/>
  <c r="AA664" i="20"/>
  <c r="AK664" i="20"/>
  <c r="AH664" i="20"/>
  <c r="AB664" i="20"/>
  <c r="AP655" i="20"/>
  <c r="AO655" i="20"/>
  <c r="AN655" i="20"/>
  <c r="AG655" i="20"/>
  <c r="Z655" i="20"/>
  <c r="AH655" i="20"/>
  <c r="AK655" i="20"/>
  <c r="AC655" i="20"/>
  <c r="AE655" i="20"/>
  <c r="AD655" i="20"/>
  <c r="AA655" i="20"/>
  <c r="AJ655" i="20"/>
  <c r="AB655" i="20"/>
  <c r="Y655" i="20"/>
  <c r="AI655" i="20"/>
  <c r="AO648" i="20"/>
  <c r="AC648" i="20"/>
  <c r="AK648" i="20"/>
  <c r="AB648" i="20"/>
  <c r="AI648" i="20"/>
  <c r="AN648" i="20"/>
  <c r="Y648" i="20"/>
  <c r="AF648" i="20"/>
  <c r="AG648" i="20"/>
  <c r="AL648" i="20"/>
  <c r="AE648" i="20"/>
  <c r="AA648" i="20"/>
  <c r="AD648" i="20"/>
  <c r="AH648" i="20"/>
  <c r="Z648" i="20"/>
  <c r="AP640" i="20"/>
  <c r="AI640" i="20"/>
  <c r="Y640" i="20"/>
  <c r="AB640" i="20"/>
  <c r="AH640" i="20"/>
  <c r="AN640" i="20"/>
  <c r="AE640" i="20"/>
  <c r="AF640" i="20"/>
  <c r="AO640" i="20"/>
  <c r="AK640" i="20"/>
  <c r="AA640" i="20"/>
  <c r="AJ640" i="20"/>
  <c r="AL640" i="20"/>
  <c r="AC640" i="20"/>
  <c r="Z640" i="20"/>
  <c r="AP634" i="20"/>
  <c r="AO634" i="20"/>
  <c r="AI634" i="20"/>
  <c r="AE634" i="20"/>
  <c r="Z634" i="20"/>
  <c r="AL634" i="20"/>
  <c r="AG634" i="20"/>
  <c r="AA634" i="20"/>
  <c r="AN634" i="20"/>
  <c r="AF634" i="20"/>
  <c r="AB634" i="20"/>
  <c r="AC634" i="20"/>
  <c r="AD634" i="20"/>
  <c r="AK634" i="20"/>
  <c r="AJ634" i="20"/>
  <c r="AH634" i="20"/>
  <c r="AH616" i="20"/>
  <c r="AL616" i="20"/>
  <c r="Y616" i="20"/>
  <c r="AD616" i="20"/>
  <c r="AB616" i="20"/>
  <c r="AF616" i="20"/>
  <c r="AC616" i="20"/>
  <c r="AN616" i="20"/>
  <c r="AE616" i="20"/>
  <c r="AJ616" i="20"/>
  <c r="AA616" i="20"/>
  <c r="AK616" i="20"/>
  <c r="AO608" i="20"/>
  <c r="AN608" i="20"/>
  <c r="AB608" i="20"/>
  <c r="AK608" i="20"/>
  <c r="AD608" i="20"/>
  <c r="AI608" i="20"/>
  <c r="AC608" i="20"/>
  <c r="AF608" i="20"/>
  <c r="AH608" i="20"/>
  <c r="AL608" i="20"/>
  <c r="Z608" i="20"/>
  <c r="AA608" i="20"/>
  <c r="Y608" i="20"/>
  <c r="AP596" i="20"/>
  <c r="AO596" i="20"/>
  <c r="AJ596" i="20"/>
  <c r="AH596" i="20"/>
  <c r="AL596" i="20"/>
  <c r="AA596" i="20"/>
  <c r="Y596" i="20"/>
  <c r="AE596" i="20"/>
  <c r="AI596" i="20"/>
  <c r="AN596" i="20"/>
  <c r="AF596" i="20"/>
  <c r="AG596" i="20"/>
  <c r="AC596" i="20"/>
  <c r="Z596" i="20"/>
  <c r="AK596" i="20"/>
  <c r="AD596" i="20"/>
  <c r="AN588" i="20"/>
  <c r="AG588" i="20"/>
  <c r="Z588" i="20"/>
  <c r="AA588" i="20"/>
  <c r="AF588" i="20"/>
  <c r="AC588" i="20"/>
  <c r="AE588" i="20"/>
  <c r="Y588" i="20"/>
  <c r="AI588" i="20"/>
  <c r="AH588" i="20"/>
  <c r="AD588" i="20"/>
  <c r="AB588" i="20"/>
  <c r="AL588" i="20"/>
  <c r="AN583" i="20"/>
  <c r="AL583" i="20"/>
  <c r="AH583" i="20"/>
  <c r="AG583" i="20"/>
  <c r="AB583" i="20"/>
  <c r="AK583" i="20"/>
  <c r="AF583" i="20"/>
  <c r="Y583" i="20"/>
  <c r="AC583" i="20"/>
  <c r="AJ583" i="20"/>
  <c r="AI583" i="20"/>
  <c r="AD583" i="20"/>
  <c r="AE583" i="20"/>
  <c r="AA583" i="20"/>
  <c r="AP572" i="20"/>
  <c r="AE572" i="20"/>
  <c r="AL572" i="20"/>
  <c r="AI572" i="20"/>
  <c r="AH572" i="20"/>
  <c r="AJ572" i="20"/>
  <c r="AF572" i="20"/>
  <c r="AN572" i="20"/>
  <c r="AK572" i="20"/>
  <c r="Y572" i="20"/>
  <c r="AA572" i="20"/>
  <c r="Z572" i="20"/>
  <c r="AG572" i="20"/>
  <c r="AC572" i="20"/>
  <c r="AG629" i="20"/>
  <c r="AK629" i="20"/>
  <c r="AE629" i="20"/>
  <c r="AJ629" i="20"/>
  <c r="AH629" i="20"/>
  <c r="AN629" i="20"/>
  <c r="AD629" i="20"/>
  <c r="AA629" i="20"/>
  <c r="AF629" i="20"/>
  <c r="Y629" i="20"/>
  <c r="AI629" i="20"/>
  <c r="AB629" i="20"/>
  <c r="AL629" i="20"/>
  <c r="Z629" i="20"/>
  <c r="AI560" i="20"/>
  <c r="AA560" i="20"/>
  <c r="AF560" i="20"/>
  <c r="AJ560" i="20"/>
  <c r="AB560" i="20"/>
  <c r="AC560" i="20"/>
  <c r="AG560" i="20"/>
  <c r="AN560" i="20"/>
  <c r="Y560" i="20"/>
  <c r="AD560" i="20"/>
  <c r="AE560" i="20"/>
  <c r="AH560" i="20"/>
  <c r="AK560" i="20"/>
  <c r="AO553" i="20"/>
  <c r="AP553" i="20"/>
  <c r="AL553" i="20"/>
  <c r="AD553" i="20"/>
  <c r="AG553" i="20"/>
  <c r="AI553" i="20"/>
  <c r="AC553" i="20"/>
  <c r="Z553" i="20"/>
  <c r="AJ553" i="20"/>
  <c r="AB553" i="20"/>
  <c r="AK553" i="20"/>
  <c r="AE553" i="20"/>
  <c r="AF553" i="20"/>
  <c r="AH553" i="20"/>
  <c r="AN553" i="20"/>
  <c r="AA553" i="20"/>
  <c r="Y544" i="20"/>
  <c r="AG544" i="20"/>
  <c r="AJ544" i="20"/>
  <c r="AL544" i="20"/>
  <c r="Z544" i="20"/>
  <c r="AA544" i="20"/>
  <c r="AI544" i="20"/>
  <c r="AN544" i="20"/>
  <c r="AB544" i="20"/>
  <c r="AK544" i="20"/>
  <c r="AC544" i="20"/>
  <c r="AD544" i="20"/>
  <c r="AF544" i="20"/>
  <c r="AO536" i="20"/>
  <c r="AK536" i="20"/>
  <c r="Y536" i="20"/>
  <c r="AA536" i="20"/>
  <c r="Z536" i="20"/>
  <c r="AE536" i="20"/>
  <c r="AH536" i="20"/>
  <c r="AN536" i="20"/>
  <c r="AG536" i="20"/>
  <c r="AL536" i="20"/>
  <c r="AC536" i="20"/>
  <c r="AB536" i="20"/>
  <c r="AJ536" i="20"/>
  <c r="AI536" i="20"/>
  <c r="AF536" i="20"/>
  <c r="AP528" i="20"/>
  <c r="AO528" i="20"/>
  <c r="AI528" i="20"/>
  <c r="Z528" i="20"/>
  <c r="AD528" i="20"/>
  <c r="AN528" i="20"/>
  <c r="AG528" i="20"/>
  <c r="AF528" i="20"/>
  <c r="AH528" i="20"/>
  <c r="AL528" i="20"/>
  <c r="AC528" i="20"/>
  <c r="AK528" i="20"/>
  <c r="Y528" i="20"/>
  <c r="AA528" i="20"/>
  <c r="AB528" i="20"/>
  <c r="AP520" i="20"/>
  <c r="AO520" i="20"/>
  <c r="AN520" i="20"/>
  <c r="AH520" i="20"/>
  <c r="AK520" i="20"/>
  <c r="AA520" i="20"/>
  <c r="AD520" i="20"/>
  <c r="AC520" i="20"/>
  <c r="Z520" i="20"/>
  <c r="AB520" i="20"/>
  <c r="AJ520" i="20"/>
  <c r="AE520" i="20"/>
  <c r="Y520" i="20"/>
  <c r="AF520" i="20"/>
  <c r="AL520" i="20"/>
  <c r="AI520" i="20"/>
  <c r="AP512" i="20"/>
  <c r="AA512" i="20"/>
  <c r="Y512" i="20"/>
  <c r="AG512" i="20"/>
  <c r="AB512" i="20"/>
  <c r="AH512" i="20"/>
  <c r="AI512" i="20"/>
  <c r="AJ512" i="20"/>
  <c r="AK512" i="20"/>
  <c r="AE512" i="20"/>
  <c r="AC512" i="20"/>
  <c r="AF512" i="20"/>
  <c r="AD512" i="20"/>
  <c r="AN512" i="20"/>
  <c r="AO504" i="20"/>
  <c r="AP504" i="20"/>
  <c r="AI504" i="20"/>
  <c r="Y504" i="20"/>
  <c r="AJ504" i="20"/>
  <c r="AA504" i="20"/>
  <c r="AG504" i="20"/>
  <c r="AE504" i="20"/>
  <c r="AH504" i="20"/>
  <c r="AC504" i="20"/>
  <c r="AL504" i="20"/>
  <c r="AN504" i="20"/>
  <c r="AB504" i="20"/>
  <c r="AK504" i="20"/>
  <c r="AF504" i="20"/>
  <c r="AD504" i="20"/>
  <c r="AP496" i="20"/>
  <c r="AI496" i="20"/>
  <c r="AO496" i="20"/>
  <c r="AK496" i="20"/>
  <c r="AB496" i="20"/>
  <c r="AC496" i="20"/>
  <c r="AG496" i="20"/>
  <c r="AE496" i="20"/>
  <c r="AL496" i="20"/>
  <c r="AD496" i="20"/>
  <c r="AJ496" i="20"/>
  <c r="AN496" i="20"/>
  <c r="AF496" i="20"/>
  <c r="Z496" i="20"/>
  <c r="AP489" i="20"/>
  <c r="AL489" i="20"/>
  <c r="AK489" i="20"/>
  <c r="Z489" i="20"/>
  <c r="AG489" i="20"/>
  <c r="AD489" i="20"/>
  <c r="AE489" i="20"/>
  <c r="AI489" i="20"/>
  <c r="AO489" i="20"/>
  <c r="AC489" i="20"/>
  <c r="AH489" i="20"/>
  <c r="AJ489" i="20"/>
  <c r="AN489" i="20"/>
  <c r="AB489" i="20"/>
  <c r="Y489" i="20"/>
  <c r="AN480" i="20"/>
  <c r="Z480" i="20"/>
  <c r="AL480" i="20"/>
  <c r="AB480" i="20"/>
  <c r="AC480" i="20"/>
  <c r="AD480" i="20"/>
  <c r="Y480" i="20"/>
  <c r="AH480" i="20"/>
  <c r="AK480" i="20"/>
  <c r="AE480" i="20"/>
  <c r="AG480" i="20"/>
  <c r="AA480" i="20"/>
  <c r="AF480" i="20"/>
  <c r="AO476" i="20"/>
  <c r="AP476" i="20"/>
  <c r="AH476" i="20"/>
  <c r="AJ476" i="20"/>
  <c r="AG476" i="20"/>
  <c r="Z476" i="20"/>
  <c r="AI476" i="20"/>
  <c r="AL476" i="20"/>
  <c r="Y476" i="20"/>
  <c r="AE476" i="20"/>
  <c r="AA476" i="20"/>
  <c r="AK476" i="20"/>
  <c r="AB476" i="20"/>
  <c r="AD476" i="20"/>
  <c r="AF476" i="20"/>
  <c r="AO467" i="20"/>
  <c r="AP467" i="20"/>
  <c r="AF467" i="20"/>
  <c r="AK467" i="20"/>
  <c r="AB467" i="20"/>
  <c r="AA467" i="20"/>
  <c r="AJ467" i="20"/>
  <c r="AC467" i="20"/>
  <c r="AH467" i="20"/>
  <c r="Y467" i="20"/>
  <c r="AN467" i="20"/>
  <c r="Z467" i="20"/>
  <c r="AE467" i="20"/>
  <c r="AI467" i="20"/>
  <c r="AD467" i="20"/>
  <c r="AL467" i="20"/>
  <c r="AJ456" i="20"/>
  <c r="AC456" i="20"/>
  <c r="AE456" i="20"/>
  <c r="AH456" i="20"/>
  <c r="AF456" i="20"/>
  <c r="AD456" i="20"/>
  <c r="AN456" i="20"/>
  <c r="AG456" i="20"/>
  <c r="AL456" i="20"/>
  <c r="AK456" i="20"/>
  <c r="AI456" i="20"/>
  <c r="Y456" i="20"/>
  <c r="AB456" i="20"/>
  <c r="AO448" i="20"/>
  <c r="AH448" i="20"/>
  <c r="AD448" i="20"/>
  <c r="AF448" i="20"/>
  <c r="AA448" i="20"/>
  <c r="AJ448" i="20"/>
  <c r="AN448" i="20"/>
  <c r="AE448" i="20"/>
  <c r="Y448" i="20"/>
  <c r="Z448" i="20"/>
  <c r="AB448" i="20"/>
  <c r="AK448" i="20"/>
  <c r="AL448" i="20"/>
  <c r="AC448" i="20"/>
  <c r="AP440" i="20"/>
  <c r="AF440" i="20"/>
  <c r="AC440" i="20"/>
  <c r="AK440" i="20"/>
  <c r="AH440" i="20"/>
  <c r="AI440" i="20"/>
  <c r="AB440" i="20"/>
  <c r="AJ440" i="20"/>
  <c r="AO440" i="20"/>
  <c r="AG440" i="20"/>
  <c r="Z440" i="20"/>
  <c r="AE440" i="20"/>
  <c r="AA440" i="20"/>
  <c r="AL440" i="20"/>
  <c r="AO432" i="20"/>
  <c r="AP432" i="20"/>
  <c r="Y432" i="20"/>
  <c r="AD432" i="20"/>
  <c r="AJ432" i="20"/>
  <c r="AL432" i="20"/>
  <c r="Z432" i="20"/>
  <c r="AK432" i="20"/>
  <c r="AB432" i="20"/>
  <c r="AI432" i="20"/>
  <c r="AA432" i="20"/>
  <c r="AG432" i="20"/>
  <c r="AF432" i="20"/>
  <c r="AP424" i="20"/>
  <c r="AO424" i="20"/>
  <c r="AB424" i="20"/>
  <c r="AK424" i="20"/>
  <c r="I133" i="86" s="1"/>
  <c r="L133" i="86" s="1"/>
  <c r="AF424" i="20"/>
  <c r="AH424" i="20"/>
  <c r="AJ424" i="20"/>
  <c r="H133" i="86" s="1"/>
  <c r="K133" i="86" s="1"/>
  <c r="AC424" i="20"/>
  <c r="AG424" i="20"/>
  <c r="Y424" i="20"/>
  <c r="AA424" i="20"/>
  <c r="AE424" i="20"/>
  <c r="AN424" i="20"/>
  <c r="Z424" i="20"/>
  <c r="AL424" i="20"/>
  <c r="AP417" i="20"/>
  <c r="AO417" i="20"/>
  <c r="AA417" i="20"/>
  <c r="AC417" i="20"/>
  <c r="Z417" i="20"/>
  <c r="AG417" i="20"/>
  <c r="AE417" i="20"/>
  <c r="AD417" i="20"/>
  <c r="AB417" i="20"/>
  <c r="AF417" i="20"/>
  <c r="AK417" i="20"/>
  <c r="AH417" i="20"/>
  <c r="AL417" i="20"/>
  <c r="AI417" i="20"/>
  <c r="AP405" i="20"/>
  <c r="AO405" i="20"/>
  <c r="AI405" i="20"/>
  <c r="AN405" i="20"/>
  <c r="AC405" i="20"/>
  <c r="AE405" i="20"/>
  <c r="AK405" i="20"/>
  <c r="AF405" i="20"/>
  <c r="AG405" i="20"/>
  <c r="AH405" i="20"/>
  <c r="AD405" i="20"/>
  <c r="AB405" i="20"/>
  <c r="AA405" i="20"/>
  <c r="AJ405" i="20"/>
  <c r="AL405" i="20"/>
  <c r="AO396" i="20"/>
  <c r="AP396" i="20"/>
  <c r="AG396" i="20"/>
  <c r="AF396" i="20"/>
  <c r="AH396" i="20"/>
  <c r="Y396" i="20"/>
  <c r="AE396" i="20"/>
  <c r="AN396" i="20"/>
  <c r="AD396" i="20"/>
  <c r="Z396" i="20"/>
  <c r="AC396" i="20"/>
  <c r="AL396" i="20"/>
  <c r="AJ396" i="20"/>
  <c r="AA396" i="20"/>
  <c r="AK396" i="20"/>
  <c r="AI396" i="20"/>
  <c r="AO389" i="20"/>
  <c r="AP389" i="20"/>
  <c r="AH389" i="20"/>
  <c r="AE389" i="20"/>
  <c r="AK389" i="20"/>
  <c r="AC389" i="20"/>
  <c r="AF389" i="20"/>
  <c r="AI389" i="20"/>
  <c r="Y389" i="20"/>
  <c r="AL389" i="20"/>
  <c r="AD389" i="20"/>
  <c r="AG389" i="20"/>
  <c r="AN389" i="20"/>
  <c r="AA389" i="20"/>
  <c r="AJ389" i="20"/>
  <c r="AB389" i="20"/>
  <c r="AP381" i="20"/>
  <c r="AO381" i="20"/>
  <c r="AD381" i="20"/>
  <c r="Z381" i="20"/>
  <c r="AI381" i="20"/>
  <c r="AH381" i="20"/>
  <c r="AE381" i="20"/>
  <c r="AB381" i="20"/>
  <c r="AL381" i="20"/>
  <c r="AC381" i="20"/>
  <c r="AJ381" i="20"/>
  <c r="AN381" i="20"/>
  <c r="Y381" i="20"/>
  <c r="AK381" i="20"/>
  <c r="AG381" i="20"/>
  <c r="AA381" i="20"/>
  <c r="AP369" i="20"/>
  <c r="AO369" i="20"/>
  <c r="AK369" i="20"/>
  <c r="AB369" i="20"/>
  <c r="AE369" i="20"/>
  <c r="Z369" i="20"/>
  <c r="AJ369" i="20"/>
  <c r="AC369" i="20"/>
  <c r="AD369" i="20"/>
  <c r="AI369" i="20"/>
  <c r="Y369" i="20"/>
  <c r="AH369" i="20"/>
  <c r="AN369" i="20"/>
  <c r="AG369" i="20"/>
  <c r="AL369" i="20"/>
  <c r="AN344" i="20"/>
  <c r="Y344" i="20"/>
  <c r="AD344" i="20"/>
  <c r="AJ344" i="20"/>
  <c r="AH344" i="20"/>
  <c r="AB344" i="20"/>
  <c r="AA344" i="20"/>
  <c r="Z344" i="20"/>
  <c r="AC344" i="20"/>
  <c r="AF344" i="20"/>
  <c r="AK344" i="20"/>
  <c r="AG344" i="20"/>
  <c r="AL344" i="20"/>
  <c r="AE344" i="20"/>
  <c r="AO336" i="20"/>
  <c r="AP336" i="20"/>
  <c r="AH336" i="20"/>
  <c r="AK336" i="20"/>
  <c r="AB336" i="20"/>
  <c r="AF336" i="20"/>
  <c r="AD336" i="20"/>
  <c r="Z336" i="20"/>
  <c r="Y336" i="20"/>
  <c r="AG336" i="20"/>
  <c r="AC336" i="20"/>
  <c r="AE336" i="20"/>
  <c r="AA336" i="20"/>
  <c r="AL336" i="20"/>
  <c r="AI336" i="20"/>
  <c r="AO329" i="20"/>
  <c r="AP329" i="20"/>
  <c r="AH329" i="20"/>
  <c r="AD329" i="20"/>
  <c r="AL329" i="20"/>
  <c r="AK329" i="20"/>
  <c r="AN329" i="20"/>
  <c r="AE329" i="20"/>
  <c r="AC329" i="20"/>
  <c r="AB329" i="20"/>
  <c r="AG329" i="20"/>
  <c r="AA329" i="20"/>
  <c r="AF329" i="20"/>
  <c r="AJ329" i="20"/>
  <c r="Z329" i="20"/>
  <c r="AD320" i="20"/>
  <c r="AE320" i="20"/>
  <c r="AB320" i="20"/>
  <c r="AN320" i="20"/>
  <c r="AG320" i="20"/>
  <c r="AF320" i="20"/>
  <c r="AL320" i="20"/>
  <c r="AK320" i="20"/>
  <c r="AJ320" i="20"/>
  <c r="AC320" i="20"/>
  <c r="AI320" i="20"/>
  <c r="AA320" i="20"/>
  <c r="AH320" i="20"/>
  <c r="Y320" i="20"/>
  <c r="AP313" i="20"/>
  <c r="AO313" i="20"/>
  <c r="AN313" i="20"/>
  <c r="AG313" i="20"/>
  <c r="AE313" i="20"/>
  <c r="AI313" i="20"/>
  <c r="Z313" i="20"/>
  <c r="AJ313" i="20"/>
  <c r="AD313" i="20"/>
  <c r="Y313" i="20"/>
  <c r="AC313" i="20"/>
  <c r="AH313" i="20"/>
  <c r="AK313" i="20"/>
  <c r="AA313" i="20"/>
  <c r="AB313" i="20"/>
  <c r="AO304" i="20"/>
  <c r="AP304" i="20"/>
  <c r="AI304" i="20"/>
  <c r="Y304" i="20"/>
  <c r="Z304" i="20"/>
  <c r="AL304" i="20"/>
  <c r="AK304" i="20"/>
  <c r="AC304" i="20"/>
  <c r="AH304" i="20"/>
  <c r="AE304" i="20"/>
  <c r="AG304" i="20"/>
  <c r="AN304" i="20"/>
  <c r="AJ304" i="20"/>
  <c r="AA304" i="20"/>
  <c r="AP296" i="20"/>
  <c r="AO296" i="20"/>
  <c r="AD296" i="20"/>
  <c r="AK296" i="20"/>
  <c r="Y296" i="20"/>
  <c r="AJ296" i="20"/>
  <c r="AN296" i="20"/>
  <c r="AI296" i="20"/>
  <c r="AG296" i="20"/>
  <c r="AH296" i="20"/>
  <c r="AA296" i="20"/>
  <c r="AC296" i="20"/>
  <c r="Z296" i="20"/>
  <c r="AE296" i="20"/>
  <c r="AD277" i="20"/>
  <c r="AF277" i="20"/>
  <c r="AE277" i="20"/>
  <c r="AA277" i="20"/>
  <c r="AN277" i="20"/>
  <c r="Y277" i="20"/>
  <c r="AI277" i="20"/>
  <c r="AC277" i="20"/>
  <c r="AK277" i="20"/>
  <c r="AB277" i="20"/>
  <c r="AJ277" i="20"/>
  <c r="AH277" i="20"/>
  <c r="AO269" i="20"/>
  <c r="AP269" i="20"/>
  <c r="AK269" i="20"/>
  <c r="I145" i="86" s="1"/>
  <c r="L145" i="86" s="1"/>
  <c r="Z269" i="20"/>
  <c r="AC269" i="20"/>
  <c r="AG269" i="20"/>
  <c r="AJ269" i="20"/>
  <c r="AB269" i="20"/>
  <c r="AE269" i="20"/>
  <c r="AD269" i="20"/>
  <c r="Y269" i="20"/>
  <c r="AI269" i="20"/>
  <c r="AA269" i="20"/>
  <c r="AH269" i="20"/>
  <c r="AF269" i="20"/>
  <c r="AC262" i="20"/>
  <c r="AF262" i="20"/>
  <c r="AH262" i="20"/>
  <c r="Y262" i="20"/>
  <c r="AB262" i="20"/>
  <c r="AN262" i="20"/>
  <c r="AJ262" i="20"/>
  <c r="AE262" i="20"/>
  <c r="AD262" i="20"/>
  <c r="AI262" i="20"/>
  <c r="AG262" i="20"/>
  <c r="AK262" i="20"/>
  <c r="AF252" i="20"/>
  <c r="AH252" i="20"/>
  <c r="AE252" i="20"/>
  <c r="AL252" i="20"/>
  <c r="AK252" i="20"/>
  <c r="AN252" i="20"/>
  <c r="AA252" i="20"/>
  <c r="AJ252" i="20"/>
  <c r="AI252" i="20"/>
  <c r="AD252" i="20"/>
  <c r="AC252" i="20"/>
  <c r="Z252" i="20"/>
  <c r="AP249" i="20"/>
  <c r="AO249" i="20"/>
  <c r="AH249" i="20"/>
  <c r="AG249" i="20"/>
  <c r="Y249" i="20"/>
  <c r="Z249" i="20"/>
  <c r="AC249" i="20"/>
  <c r="AD249" i="20"/>
  <c r="AI249" i="20"/>
  <c r="AN249" i="20"/>
  <c r="AJ249" i="20"/>
  <c r="AE249" i="20"/>
  <c r="AK249" i="20"/>
  <c r="AA249" i="20"/>
  <c r="AO229" i="20"/>
  <c r="AP229" i="20"/>
  <c r="Y229" i="20"/>
  <c r="AJ229" i="20"/>
  <c r="AK229" i="20"/>
  <c r="AF229" i="20"/>
  <c r="AC229" i="20"/>
  <c r="AH229" i="20"/>
  <c r="Z229" i="20"/>
  <c r="AA229" i="20"/>
  <c r="AD229" i="20"/>
  <c r="AL229" i="20"/>
  <c r="AE229" i="20"/>
  <c r="AB229" i="20"/>
  <c r="AP227" i="20"/>
  <c r="AO227" i="20"/>
  <c r="AF227" i="20"/>
  <c r="Y227" i="20"/>
  <c r="AL227" i="20"/>
  <c r="AK227" i="20"/>
  <c r="AB227" i="20"/>
  <c r="AN227" i="20"/>
  <c r="AH227" i="20"/>
  <c r="Z227" i="20"/>
  <c r="AJ227" i="20"/>
  <c r="AD227" i="20"/>
  <c r="AC227" i="20"/>
  <c r="AG227" i="20"/>
  <c r="AP219" i="20"/>
  <c r="AO219" i="20"/>
  <c r="AE219" i="20"/>
  <c r="AC219" i="20"/>
  <c r="AI219" i="20"/>
  <c r="AG219" i="20"/>
  <c r="AN219" i="20"/>
  <c r="Y219" i="20"/>
  <c r="AD219" i="20"/>
  <c r="Z219" i="20"/>
  <c r="AB219" i="20"/>
  <c r="AH219" i="20"/>
  <c r="AK219" i="20"/>
  <c r="AO204" i="20"/>
  <c r="AP204" i="20"/>
  <c r="AA204" i="20"/>
  <c r="Y204" i="20"/>
  <c r="AG204" i="20"/>
  <c r="AC204" i="20"/>
  <c r="AB204" i="20"/>
  <c r="AD204" i="20"/>
  <c r="AL204" i="20"/>
  <c r="Z204" i="20"/>
  <c r="AN204" i="20"/>
  <c r="AF204" i="20"/>
  <c r="AI204" i="20"/>
  <c r="AP195" i="20"/>
  <c r="AO195" i="20"/>
  <c r="Z195" i="20"/>
  <c r="AJ195" i="20"/>
  <c r="AI195" i="20"/>
  <c r="AF195" i="20"/>
  <c r="AH195" i="20"/>
  <c r="Y195" i="20"/>
  <c r="AD195" i="20"/>
  <c r="AA195" i="20"/>
  <c r="AE195" i="20"/>
  <c r="AL195" i="20"/>
  <c r="AC195" i="20"/>
  <c r="AG195" i="20"/>
  <c r="AB195" i="20"/>
  <c r="AN195" i="20"/>
  <c r="AD185" i="20"/>
  <c r="AI185" i="20"/>
  <c r="AE185" i="20"/>
  <c r="AL185" i="20"/>
  <c r="AN185" i="20"/>
  <c r="AC185" i="20"/>
  <c r="Z185" i="20"/>
  <c r="AH185" i="20"/>
  <c r="AA185" i="20"/>
  <c r="AG185" i="20"/>
  <c r="Y185" i="20"/>
  <c r="AJ185" i="20"/>
  <c r="AO181" i="20"/>
  <c r="AP181" i="20"/>
  <c r="AC181" i="20"/>
  <c r="Z181" i="20"/>
  <c r="AF181" i="20"/>
  <c r="AB181" i="20"/>
  <c r="AL181" i="20"/>
  <c r="AD181" i="20"/>
  <c r="AN181" i="20"/>
  <c r="AI181" i="20"/>
  <c r="AJ181" i="20"/>
  <c r="AE181" i="20"/>
  <c r="Y181" i="20"/>
  <c r="AG181" i="20"/>
  <c r="AP175" i="20"/>
  <c r="AF175" i="20"/>
  <c r="AK175" i="20"/>
  <c r="Y175" i="20"/>
  <c r="AC175" i="20"/>
  <c r="AA175" i="20"/>
  <c r="AH175" i="20"/>
  <c r="AD175" i="20"/>
  <c r="Z175" i="20"/>
  <c r="AE175" i="20"/>
  <c r="AL175" i="20"/>
  <c r="AG175" i="20"/>
  <c r="AN175" i="20"/>
  <c r="AE165" i="20"/>
  <c r="AL165" i="20"/>
  <c r="AJ165" i="20"/>
  <c r="AD165" i="20"/>
  <c r="Z165" i="20"/>
  <c r="AH165" i="20"/>
  <c r="AF165" i="20"/>
  <c r="AA165" i="20"/>
  <c r="AN165" i="20"/>
  <c r="AC165" i="20"/>
  <c r="AK165" i="20"/>
  <c r="AB165" i="20"/>
  <c r="AO1035" i="20"/>
  <c r="AP1035" i="20"/>
  <c r="AC1035" i="20"/>
  <c r="AD1035" i="20"/>
  <c r="AI1035" i="20"/>
  <c r="AB1035" i="20"/>
  <c r="AF1035" i="20"/>
  <c r="AG1035" i="20"/>
  <c r="AL1035" i="20"/>
  <c r="AN1035" i="20"/>
  <c r="AA1035" i="20"/>
  <c r="AK1035" i="20"/>
  <c r="AJ1035" i="20"/>
  <c r="AE1035" i="20"/>
  <c r="Y1035" i="20"/>
  <c r="AH1035" i="20"/>
  <c r="AL1099" i="20"/>
  <c r="AI1099" i="20"/>
  <c r="AB1099" i="20"/>
  <c r="AG1099" i="20"/>
  <c r="AN1099" i="20"/>
  <c r="AC1099" i="20"/>
  <c r="AF1099" i="20"/>
  <c r="Z1099" i="20"/>
  <c r="AE1099" i="20"/>
  <c r="AD1099" i="20"/>
  <c r="AH1099" i="20"/>
  <c r="AK1099" i="20"/>
  <c r="Y1099" i="20"/>
  <c r="AA1099" i="20"/>
  <c r="Y932" i="20"/>
  <c r="Z932" i="20"/>
  <c r="AH932" i="20"/>
  <c r="AL932" i="20"/>
  <c r="AK932" i="20"/>
  <c r="AD932" i="20"/>
  <c r="AC932" i="20"/>
  <c r="AO932" i="20"/>
  <c r="AE932" i="20"/>
  <c r="AJ932" i="20"/>
  <c r="AB1111" i="20"/>
  <c r="AF1111" i="20"/>
  <c r="AJ1111" i="20"/>
  <c r="AA1111" i="20"/>
  <c r="AG1111" i="20"/>
  <c r="AL1111" i="20"/>
  <c r="Z1111" i="20"/>
  <c r="Y1111" i="20"/>
  <c r="AH1111" i="20"/>
  <c r="AN1111" i="20"/>
  <c r="AD1111" i="20"/>
  <c r="AC1111" i="20"/>
  <c r="AI1111" i="20"/>
  <c r="AE1111" i="20"/>
  <c r="AK1111" i="20"/>
  <c r="AC1094" i="20"/>
  <c r="AD1094" i="20"/>
  <c r="AJ1094" i="20"/>
  <c r="Z1094" i="20"/>
  <c r="Y1094" i="20"/>
  <c r="AH1094" i="20"/>
  <c r="AG1094" i="20"/>
  <c r="AI1094" i="20"/>
  <c r="AB1094" i="20"/>
  <c r="AK1094" i="20"/>
  <c r="AL1094" i="20"/>
  <c r="AN1094" i="20"/>
  <c r="AF1094" i="20"/>
  <c r="AP964" i="20"/>
  <c r="AO964" i="20"/>
  <c r="Y964" i="20"/>
  <c r="AH964" i="20"/>
  <c r="AI964" i="20"/>
  <c r="AJ964" i="20"/>
  <c r="Z964" i="20"/>
  <c r="AK964" i="20"/>
  <c r="AG964" i="20"/>
  <c r="AD964" i="20"/>
  <c r="AE964" i="20"/>
  <c r="AB964" i="20"/>
  <c r="AN964" i="20"/>
  <c r="AF964" i="20"/>
  <c r="AA964" i="20"/>
  <c r="AA1095" i="20"/>
  <c r="AD1095" i="20"/>
  <c r="AB1095" i="20"/>
  <c r="AG1095" i="20"/>
  <c r="AJ1095" i="20"/>
  <c r="AE1095" i="20"/>
  <c r="AC1095" i="20"/>
  <c r="AI1095" i="20"/>
  <c r="AO1095" i="20"/>
  <c r="AO120" i="20"/>
  <c r="AP120" i="20"/>
  <c r="AF120" i="20"/>
  <c r="AN120" i="20"/>
  <c r="AJ120" i="20"/>
  <c r="AA120" i="20"/>
  <c r="AL120" i="20"/>
  <c r="AI120" i="20"/>
  <c r="AH120" i="20"/>
  <c r="AC120" i="20"/>
  <c r="AD120" i="20"/>
  <c r="Y120" i="20"/>
  <c r="AB120" i="20"/>
  <c r="AG120" i="20"/>
  <c r="AK120" i="20"/>
  <c r="AD119" i="20"/>
  <c r="AH119" i="20"/>
  <c r="AG119" i="20"/>
  <c r="AF119" i="20"/>
  <c r="AJ119" i="20"/>
  <c r="AN119" i="20"/>
  <c r="AE119" i="20"/>
  <c r="AB119" i="20"/>
  <c r="AP159" i="20"/>
  <c r="AL159" i="20"/>
  <c r="AC159" i="20"/>
  <c r="AA159" i="20"/>
  <c r="AN159" i="20"/>
  <c r="AO159" i="20"/>
  <c r="AJ159" i="20"/>
  <c r="AG159" i="20"/>
  <c r="AK159" i="20"/>
  <c r="Y159" i="20"/>
  <c r="Z159" i="20"/>
  <c r="AB159" i="20"/>
  <c r="AE159" i="20"/>
  <c r="AF159" i="20"/>
  <c r="AG161" i="20"/>
  <c r="AO161" i="20"/>
  <c r="AK161" i="20"/>
  <c r="AE161" i="20"/>
  <c r="AL161" i="20"/>
  <c r="AF161" i="20"/>
  <c r="AB161" i="20"/>
  <c r="AI161" i="20"/>
  <c r="Y161" i="20"/>
  <c r="AC161" i="20"/>
  <c r="AN161" i="20"/>
  <c r="AH161" i="20"/>
  <c r="AD161" i="20"/>
  <c r="AJ161" i="20"/>
  <c r="AP161" i="20"/>
  <c r="AP240" i="20"/>
  <c r="AO240" i="20"/>
  <c r="AE240" i="20"/>
  <c r="AK240" i="20"/>
  <c r="AL240" i="20"/>
  <c r="AC240" i="20"/>
  <c r="AN240" i="20"/>
  <c r="AF240" i="20"/>
  <c r="AH240" i="20"/>
  <c r="AB240" i="20"/>
  <c r="AD240" i="20"/>
  <c r="AI240" i="20"/>
  <c r="Z240" i="20"/>
  <c r="AA240" i="20"/>
  <c r="AJ240" i="20"/>
  <c r="Z115" i="20"/>
  <c r="AH115" i="20"/>
  <c r="AL115" i="20"/>
  <c r="AN115" i="20"/>
  <c r="AF115" i="20"/>
  <c r="AI115" i="20"/>
  <c r="AA115" i="20"/>
  <c r="AE115" i="20"/>
  <c r="AD115" i="20"/>
  <c r="AP166" i="20"/>
  <c r="AO166" i="20"/>
  <c r="AC166" i="20"/>
  <c r="Y166" i="20"/>
  <c r="AE166" i="20"/>
  <c r="AD166" i="20"/>
  <c r="AK166" i="20"/>
  <c r="AB166" i="20"/>
  <c r="AG155" i="20"/>
  <c r="Y155" i="20"/>
  <c r="AI155" i="20"/>
  <c r="AO155" i="20"/>
  <c r="AH155" i="20"/>
  <c r="AE155" i="20"/>
  <c r="AB155" i="20"/>
  <c r="AF242" i="20"/>
  <c r="AG242" i="20"/>
  <c r="AN242" i="20"/>
  <c r="AB242" i="20"/>
  <c r="AI242" i="20"/>
  <c r="AP242" i="20"/>
  <c r="Z242" i="20"/>
  <c r="AC242" i="20"/>
  <c r="AH242" i="20"/>
  <c r="AL242" i="20"/>
  <c r="AA242" i="20"/>
  <c r="AK242" i="20"/>
  <c r="AD242" i="20"/>
  <c r="AJ242" i="20"/>
  <c r="AE242" i="20"/>
  <c r="AB243" i="20"/>
  <c r="AJ243" i="20"/>
  <c r="Y243" i="20"/>
  <c r="AA243" i="20"/>
  <c r="AL243" i="20"/>
  <c r="AG243" i="20"/>
  <c r="AK243" i="20"/>
  <c r="AL222" i="20"/>
  <c r="AC222" i="20"/>
  <c r="AG222" i="20"/>
  <c r="Y222" i="20"/>
  <c r="AI222" i="20"/>
  <c r="AH222" i="20"/>
  <c r="AO222" i="20"/>
  <c r="AE222" i="20"/>
  <c r="AD222" i="20"/>
  <c r="AE1098" i="20"/>
  <c r="AB1098" i="20"/>
  <c r="AJ1098" i="20"/>
  <c r="AG1098" i="20"/>
  <c r="AF1098" i="20"/>
  <c r="AI1098" i="20"/>
  <c r="AA1098" i="20"/>
  <c r="AD1098" i="20"/>
  <c r="Z1098" i="20"/>
  <c r="AP1098" i="20"/>
  <c r="AK1098" i="20"/>
  <c r="Y1098" i="20"/>
  <c r="AL1098" i="20"/>
  <c r="AN1098" i="20"/>
  <c r="AC1098" i="20"/>
  <c r="AH1098" i="20"/>
  <c r="AP1096" i="20"/>
  <c r="AO1096" i="20"/>
  <c r="AI1096" i="20"/>
  <c r="AF1096" i="20"/>
  <c r="AG1096" i="20"/>
  <c r="AH1096" i="20"/>
  <c r="Y1096" i="20"/>
  <c r="AK1096" i="20"/>
  <c r="AB1096" i="20"/>
  <c r="AJ1096" i="20"/>
  <c r="AC1096" i="20"/>
  <c r="AD1096" i="20"/>
  <c r="AE1096" i="20"/>
  <c r="AL1096" i="20"/>
  <c r="AN1096" i="20"/>
  <c r="Z1096" i="20"/>
  <c r="AN934" i="20"/>
  <c r="AH934" i="20"/>
  <c r="AB934" i="20"/>
  <c r="AO934" i="20"/>
  <c r="AF934" i="20"/>
  <c r="Z934" i="20"/>
  <c r="AJ934" i="20"/>
  <c r="AA934" i="20"/>
  <c r="AE934" i="20"/>
  <c r="AL934" i="20"/>
  <c r="AD934" i="20"/>
  <c r="AG934" i="20"/>
  <c r="AK934" i="20"/>
  <c r="AI934" i="20"/>
  <c r="AC934" i="20"/>
  <c r="AP934" i="20"/>
  <c r="AP123" i="20"/>
  <c r="Y123" i="20"/>
  <c r="AN123" i="20"/>
  <c r="AB123" i="20"/>
  <c r="AE123" i="20"/>
  <c r="Z123" i="20"/>
  <c r="AJ123" i="20"/>
  <c r="AD123" i="20"/>
  <c r="AK123" i="20"/>
  <c r="AH123" i="20"/>
  <c r="AI123" i="20"/>
  <c r="AC123" i="20"/>
  <c r="AO123" i="20"/>
  <c r="AF123" i="20"/>
  <c r="AA123" i="20"/>
  <c r="AG123" i="20"/>
  <c r="AC163" i="20"/>
  <c r="AK163" i="20"/>
  <c r="AH163" i="20"/>
  <c r="AD163" i="20"/>
  <c r="AJ163" i="20"/>
  <c r="AA163" i="20"/>
  <c r="Z163" i="20"/>
  <c r="AF163" i="20"/>
  <c r="AE163" i="20"/>
  <c r="Y163" i="20"/>
  <c r="AI163" i="20"/>
  <c r="AN163" i="20"/>
  <c r="AL163" i="20"/>
  <c r="AG163" i="20"/>
  <c r="AB163" i="20"/>
  <c r="AP89" i="20"/>
  <c r="AJ89" i="20"/>
  <c r="AC89" i="20"/>
  <c r="AI89" i="20"/>
  <c r="AB89" i="20"/>
  <c r="AH89" i="20"/>
  <c r="AG89" i="20"/>
  <c r="Z89" i="20"/>
  <c r="AA89" i="20"/>
  <c r="AE89" i="20"/>
  <c r="AD89" i="20"/>
  <c r="AF89" i="20"/>
  <c r="AL89" i="20"/>
  <c r="AP46" i="20"/>
  <c r="AE46" i="20"/>
  <c r="AK46" i="20"/>
  <c r="AI46" i="20"/>
  <c r="AJ46" i="20"/>
  <c r="AD46" i="20"/>
  <c r="AN46" i="20"/>
  <c r="AO37" i="20"/>
  <c r="AI37" i="20"/>
  <c r="AE37" i="20"/>
  <c r="AA37" i="20"/>
  <c r="AD37" i="20"/>
  <c r="Y39" i="20"/>
  <c r="AP39" i="20"/>
  <c r="AF39" i="20"/>
  <c r="AL39" i="20"/>
  <c r="AA39" i="20"/>
  <c r="AH39" i="20"/>
  <c r="AB90" i="20"/>
  <c r="AH90" i="20"/>
  <c r="AA90" i="20"/>
  <c r="Y90" i="20"/>
  <c r="AG90" i="20"/>
  <c r="AC90" i="20"/>
  <c r="AK90" i="20"/>
  <c r="Z90" i="20"/>
  <c r="AL90" i="20"/>
  <c r="AJ90" i="20"/>
  <c r="AE90" i="20"/>
  <c r="AF90" i="20"/>
  <c r="AN90" i="20"/>
  <c r="AO90" i="20"/>
  <c r="AJ75" i="20"/>
  <c r="AG75" i="20"/>
  <c r="AK75" i="20"/>
  <c r="AH75" i="20"/>
  <c r="AA75" i="20"/>
  <c r="AD75" i="20"/>
  <c r="AL75" i="20"/>
  <c r="AP75" i="20"/>
  <c r="AI75" i="20"/>
  <c r="AB75" i="20"/>
  <c r="AE75" i="20"/>
  <c r="AO75" i="20"/>
  <c r="AN75" i="20"/>
  <c r="AC75" i="20"/>
  <c r="AF96" i="20"/>
  <c r="Y96" i="20"/>
  <c r="AC96" i="20"/>
  <c r="AE96" i="20"/>
  <c r="AN96" i="20"/>
  <c r="Z96" i="20"/>
  <c r="AO96" i="20"/>
  <c r="AH96" i="20"/>
  <c r="AG96" i="20"/>
  <c r="AA96" i="20"/>
  <c r="AJ96" i="20"/>
  <c r="AB96" i="20"/>
  <c r="AK96" i="20"/>
  <c r="AP1169" i="20"/>
  <c r="AE1169" i="20"/>
  <c r="AL1169" i="20"/>
  <c r="Y1169" i="20"/>
  <c r="AH1169" i="20"/>
  <c r="AC1169" i="20"/>
  <c r="Z1169" i="20"/>
  <c r="AA1169" i="20"/>
  <c r="AG1169" i="20"/>
  <c r="AN1169" i="20"/>
  <c r="AF1169" i="20"/>
  <c r="AK1169" i="20"/>
  <c r="AB1169" i="20"/>
  <c r="AJ1169" i="20"/>
  <c r="AP1161" i="20"/>
  <c r="Z1161" i="20"/>
  <c r="AH1161" i="20"/>
  <c r="AG1161" i="20"/>
  <c r="AO1161" i="20"/>
  <c r="AE1161" i="20"/>
  <c r="AJ1161" i="20"/>
  <c r="AD1161" i="20"/>
  <c r="AB1161" i="20"/>
  <c r="AC1161" i="20"/>
  <c r="AN1161" i="20"/>
  <c r="AI1161" i="20"/>
  <c r="AF1161" i="20"/>
  <c r="AL1161" i="20"/>
  <c r="AK1161" i="20"/>
  <c r="AP1153" i="20"/>
  <c r="AF1153" i="20"/>
  <c r="AA1153" i="20"/>
  <c r="AH1153" i="20"/>
  <c r="AE1153" i="20"/>
  <c r="Z1153" i="20"/>
  <c r="AL1153" i="20"/>
  <c r="AD1153" i="20"/>
  <c r="AJ1153" i="20"/>
  <c r="Y1153" i="20"/>
  <c r="AC1153" i="20"/>
  <c r="AK1153" i="20"/>
  <c r="AG1153" i="20"/>
  <c r="AI1153" i="20"/>
  <c r="AO1144" i="20"/>
  <c r="AH1144" i="20"/>
  <c r="AG1144" i="20"/>
  <c r="AF1144" i="20"/>
  <c r="AB1144" i="20"/>
  <c r="AP1144" i="20"/>
  <c r="AK1144" i="20"/>
  <c r="AD1144" i="20"/>
  <c r="Z1144" i="20"/>
  <c r="Y1144" i="20"/>
  <c r="AE1144" i="20"/>
  <c r="AI1144" i="20"/>
  <c r="AL1144" i="20"/>
  <c r="AN1144" i="20"/>
  <c r="AJ1133" i="20"/>
  <c r="AD1133" i="20"/>
  <c r="AA1133" i="20"/>
  <c r="Y1133" i="20"/>
  <c r="AK1133" i="20"/>
  <c r="AC1133" i="20"/>
  <c r="AB1133" i="20"/>
  <c r="AN1133" i="20"/>
  <c r="Z1133" i="20"/>
  <c r="AI1133" i="20"/>
  <c r="AG1133" i="20"/>
  <c r="AH1133" i="20"/>
  <c r="AP1133" i="20"/>
  <c r="AL1133" i="20"/>
  <c r="AF1133" i="20"/>
  <c r="AP1125" i="20"/>
  <c r="AO1125" i="20"/>
  <c r="AF1125" i="20"/>
  <c r="AB1125" i="20"/>
  <c r="Z1125" i="20"/>
  <c r="AL1125" i="20"/>
  <c r="AA1125" i="20"/>
  <c r="AI1125" i="20"/>
  <c r="Y1125" i="20"/>
  <c r="AC1125" i="20"/>
  <c r="AK1125" i="20"/>
  <c r="AN1125" i="20"/>
  <c r="AH1125" i="20"/>
  <c r="AE1125" i="20"/>
  <c r="AD1125" i="20"/>
  <c r="AP1113" i="20"/>
  <c r="Y1113" i="20"/>
  <c r="AJ1113" i="20"/>
  <c r="AL1113" i="20"/>
  <c r="AI1113" i="20"/>
  <c r="AF1113" i="20"/>
  <c r="AK1113" i="20"/>
  <c r="AG1113" i="20"/>
  <c r="AB1113" i="20"/>
  <c r="AC1113" i="20"/>
  <c r="AA1113" i="20"/>
  <c r="AN1113" i="20"/>
  <c r="Z1113" i="20"/>
  <c r="AE1113" i="20"/>
  <c r="AH1113" i="20"/>
  <c r="AO1105" i="20"/>
  <c r="AN1105" i="20"/>
  <c r="AA1105" i="20"/>
  <c r="AC1105" i="20"/>
  <c r="AL1105" i="20"/>
  <c r="AB1105" i="20"/>
  <c r="AG1105" i="20"/>
  <c r="AE1105" i="20"/>
  <c r="AH1105" i="20"/>
  <c r="AI1105" i="20"/>
  <c r="Y1105" i="20"/>
  <c r="AD1105" i="20"/>
  <c r="Z1105" i="20"/>
  <c r="AI1080" i="20"/>
  <c r="AF1080" i="20"/>
  <c r="Y1080" i="20"/>
  <c r="AL1080" i="20"/>
  <c r="AC1080" i="20"/>
  <c r="AG1080" i="20"/>
  <c r="AB1080" i="20"/>
  <c r="AE1080" i="20"/>
  <c r="AJ1080" i="20"/>
  <c r="AN1080" i="20"/>
  <c r="AA1080" i="20"/>
  <c r="AK1080" i="20"/>
  <c r="AH1080" i="20"/>
  <c r="AP1080" i="20"/>
  <c r="AD1080" i="20"/>
  <c r="AO1073" i="20"/>
  <c r="AI1073" i="20"/>
  <c r="Z1073" i="20"/>
  <c r="AE1073" i="20"/>
  <c r="AF1073" i="20"/>
  <c r="AC1073" i="20"/>
  <c r="AD1073" i="20"/>
  <c r="AH1073" i="20"/>
  <c r="AA1073" i="20"/>
  <c r="AL1073" i="20"/>
  <c r="AK1073" i="20"/>
  <c r="AG1073" i="20"/>
  <c r="AJ1073" i="20"/>
  <c r="AB1073" i="20"/>
  <c r="AP1064" i="20"/>
  <c r="AB1064" i="20"/>
  <c r="AL1064" i="20"/>
  <c r="AG1064" i="20"/>
  <c r="AN1064" i="20"/>
  <c r="AC1064" i="20"/>
  <c r="AH1064" i="20"/>
  <c r="AO1064" i="20"/>
  <c r="AE1064" i="20"/>
  <c r="Y1064" i="20"/>
  <c r="AK1064" i="20"/>
  <c r="AI1064" i="20"/>
  <c r="Z1064" i="20"/>
  <c r="AA1064" i="20"/>
  <c r="AJ1064" i="20"/>
  <c r="AF1064" i="20"/>
  <c r="AP1058" i="20"/>
  <c r="AC1058" i="20"/>
  <c r="AG1058" i="20"/>
  <c r="AK1058" i="20"/>
  <c r="AB1058" i="20"/>
  <c r="AN1058" i="20"/>
  <c r="AE1058" i="20"/>
  <c r="AJ1058" i="20"/>
  <c r="AH1058" i="20"/>
  <c r="AA1058" i="20"/>
  <c r="AD1058" i="20"/>
  <c r="AL1058" i="20"/>
  <c r="AI1058" i="20"/>
  <c r="Z1058" i="20"/>
  <c r="AI1051" i="20"/>
  <c r="AF1051" i="20"/>
  <c r="AC1051" i="20"/>
  <c r="Z1051" i="20"/>
  <c r="AE1051" i="20"/>
  <c r="AL1051" i="20"/>
  <c r="AO1051" i="20"/>
  <c r="AD1051" i="20"/>
  <c r="Y1051" i="20"/>
  <c r="AN1051" i="20"/>
  <c r="AK1051" i="20"/>
  <c r="AH1051" i="20"/>
  <c r="AJ1051" i="20"/>
  <c r="AG1051" i="20"/>
  <c r="AP1051" i="20"/>
  <c r="AO1043" i="20"/>
  <c r="AC1043" i="20"/>
  <c r="AE1043" i="20"/>
  <c r="AF1043" i="20"/>
  <c r="AJ1043" i="20"/>
  <c r="AB1043" i="20"/>
  <c r="AK1043" i="20"/>
  <c r="AL1043" i="20"/>
  <c r="AD1043" i="20"/>
  <c r="AA1043" i="20"/>
  <c r="AN1043" i="20"/>
  <c r="AG1043" i="20"/>
  <c r="Z1043" i="20"/>
  <c r="AI1043" i="20"/>
  <c r="AP1033" i="20"/>
  <c r="AN1033" i="20"/>
  <c r="AF1033" i="20"/>
  <c r="AA1033" i="20"/>
  <c r="AD1033" i="20"/>
  <c r="Y1033" i="20"/>
  <c r="AI1033" i="20"/>
  <c r="AE1033" i="20"/>
  <c r="AB1033" i="20"/>
  <c r="AK1033" i="20"/>
  <c r="AL1033" i="20"/>
  <c r="AG1033" i="20"/>
  <c r="Z1033" i="20"/>
  <c r="AJ1033" i="20"/>
  <c r="AN1017" i="20"/>
  <c r="AJ1017" i="20"/>
  <c r="AD1017" i="20"/>
  <c r="AG1017" i="20"/>
  <c r="AC1017" i="20"/>
  <c r="AH1017" i="20"/>
  <c r="AO1017" i="20"/>
  <c r="AK1017" i="20"/>
  <c r="AF1017" i="20"/>
  <c r="AA1017" i="20"/>
  <c r="Y1017" i="20"/>
  <c r="AL1017" i="20"/>
  <c r="Z1017" i="20"/>
  <c r="AI1017" i="20"/>
  <c r="AJ1009" i="20"/>
  <c r="AN1009" i="20"/>
  <c r="Y1009" i="20"/>
  <c r="Z1009" i="20"/>
  <c r="AL1009" i="20"/>
  <c r="AA1009" i="20"/>
  <c r="AC1009" i="20"/>
  <c r="AB1009" i="20"/>
  <c r="AI1009" i="20"/>
  <c r="AE1009" i="20"/>
  <c r="AP1009" i="20"/>
  <c r="AD1009" i="20"/>
  <c r="AF1009" i="20"/>
  <c r="AH1009" i="20"/>
  <c r="AK1009" i="20"/>
  <c r="AN1006" i="20"/>
  <c r="AC1006" i="20"/>
  <c r="Z1006" i="20"/>
  <c r="AB1006" i="20"/>
  <c r="AH1006" i="20"/>
  <c r="Y1006" i="20"/>
  <c r="AE1006" i="20"/>
  <c r="AI1006" i="20"/>
  <c r="AG1006" i="20"/>
  <c r="AO1006" i="20"/>
  <c r="AA1006" i="20"/>
  <c r="AK1006" i="20"/>
  <c r="AF1006" i="20"/>
  <c r="AL1006" i="20"/>
  <c r="AP1006" i="20"/>
  <c r="AJ1006" i="20"/>
  <c r="AL996" i="20"/>
  <c r="AA996" i="20"/>
  <c r="AH996" i="20"/>
  <c r="AP996" i="20"/>
  <c r="AI996" i="20"/>
  <c r="AE996" i="20"/>
  <c r="AB996" i="20"/>
  <c r="AO996" i="20"/>
  <c r="AK996" i="20"/>
  <c r="AJ996" i="20"/>
  <c r="AC996" i="20"/>
  <c r="Y996" i="20"/>
  <c r="AD996" i="20"/>
  <c r="Z996" i="20"/>
  <c r="AG996" i="20"/>
  <c r="AE989" i="20"/>
  <c r="AB989" i="20"/>
  <c r="AN989" i="20"/>
  <c r="Z989" i="20"/>
  <c r="AC989" i="20"/>
  <c r="AJ989" i="20"/>
  <c r="AK989" i="20"/>
  <c r="AL989" i="20"/>
  <c r="AD989" i="20"/>
  <c r="AA989" i="20"/>
  <c r="AG989" i="20"/>
  <c r="AO989" i="20"/>
  <c r="AH989" i="20"/>
  <c r="AF989" i="20"/>
  <c r="AP989" i="20"/>
  <c r="AN980" i="20"/>
  <c r="AF980" i="20"/>
  <c r="AE980" i="20"/>
  <c r="AH980" i="20"/>
  <c r="AP980" i="20"/>
  <c r="AK980" i="20"/>
  <c r="AG980" i="20"/>
  <c r="Y980" i="20"/>
  <c r="AL980" i="20"/>
  <c r="AA980" i="20"/>
  <c r="Z980" i="20"/>
  <c r="AC980" i="20"/>
  <c r="AJ980" i="20"/>
  <c r="AB980" i="20"/>
  <c r="AI972" i="20"/>
  <c r="AD972" i="20"/>
  <c r="AH972" i="20"/>
  <c r="AA972" i="20"/>
  <c r="AG972" i="20"/>
  <c r="AL972" i="20"/>
  <c r="AJ972" i="20"/>
  <c r="AE972" i="20"/>
  <c r="AC972" i="20"/>
  <c r="AB972" i="20"/>
  <c r="AN972" i="20"/>
  <c r="AK972" i="20"/>
  <c r="AF972" i="20"/>
  <c r="AO972" i="20"/>
  <c r="AI963" i="20"/>
  <c r="Y963" i="20"/>
  <c r="AC963" i="20"/>
  <c r="AD963" i="20"/>
  <c r="AN963" i="20"/>
  <c r="AB963" i="20"/>
  <c r="AE963" i="20"/>
  <c r="AK963" i="20"/>
  <c r="AH963" i="20"/>
  <c r="AJ963" i="20"/>
  <c r="AA963" i="20"/>
  <c r="AG963" i="20"/>
  <c r="AL963" i="20"/>
  <c r="AP955" i="20"/>
  <c r="AN955" i="20"/>
  <c r="AD955" i="20"/>
  <c r="AI955" i="20"/>
  <c r="AC955" i="20"/>
  <c r="Z955" i="20"/>
  <c r="AK955" i="20"/>
  <c r="AJ955" i="20"/>
  <c r="AG955" i="20"/>
  <c r="AE955" i="20"/>
  <c r="AH955" i="20"/>
  <c r="AF955" i="20"/>
  <c r="AA955" i="20"/>
  <c r="AL955" i="20"/>
  <c r="AB955" i="20"/>
  <c r="AL941" i="20"/>
  <c r="AD941" i="20"/>
  <c r="AB941" i="20"/>
  <c r="AJ941" i="20"/>
  <c r="AN941" i="20"/>
  <c r="AF941" i="20"/>
  <c r="AA941" i="20"/>
  <c r="AI941" i="20"/>
  <c r="AC941" i="20"/>
  <c r="AO941" i="20"/>
  <c r="Z941" i="20"/>
  <c r="AK941" i="20"/>
  <c r="AH941" i="20"/>
  <c r="AG941" i="20"/>
  <c r="AP941" i="20"/>
  <c r="AP930" i="20"/>
  <c r="AC930" i="20"/>
  <c r="Y930" i="20"/>
  <c r="Z930" i="20"/>
  <c r="AF930" i="20"/>
  <c r="AE930" i="20"/>
  <c r="AK930" i="20"/>
  <c r="AI930" i="20"/>
  <c r="AA930" i="20"/>
  <c r="AG930" i="20"/>
  <c r="AL930" i="20"/>
  <c r="AN930" i="20"/>
  <c r="AH930" i="20"/>
  <c r="AB930" i="20"/>
  <c r="AD930" i="20"/>
  <c r="AN922" i="20"/>
  <c r="AC922" i="20"/>
  <c r="AL922" i="20"/>
  <c r="AG922" i="20"/>
  <c r="AH922" i="20"/>
  <c r="AF922" i="20"/>
  <c r="AO922" i="20"/>
  <c r="AK922" i="20"/>
  <c r="AB922" i="20"/>
  <c r="Y922" i="20"/>
  <c r="AI922" i="20"/>
  <c r="AE922" i="20"/>
  <c r="AA922" i="20"/>
  <c r="AJ922" i="20"/>
  <c r="AK915" i="20"/>
  <c r="AD915" i="20"/>
  <c r="AC915" i="20"/>
  <c r="Z915" i="20"/>
  <c r="AL915" i="20"/>
  <c r="AB915" i="20"/>
  <c r="AF915" i="20"/>
  <c r="AH915" i="20"/>
  <c r="AN915" i="20"/>
  <c r="AI915" i="20"/>
  <c r="AG915" i="20"/>
  <c r="Y915" i="20"/>
  <c r="AJ915" i="20"/>
  <c r="AO915" i="20"/>
  <c r="AO894" i="20"/>
  <c r="AB894" i="20"/>
  <c r="Y894" i="20"/>
  <c r="AC894" i="20"/>
  <c r="AI894" i="20"/>
  <c r="AE894" i="20"/>
  <c r="AG894" i="20"/>
  <c r="AP894" i="20"/>
  <c r="AJ894" i="20"/>
  <c r="AH894" i="20"/>
  <c r="AD894" i="20"/>
  <c r="AL894" i="20"/>
  <c r="AN894" i="20"/>
  <c r="AF894" i="20"/>
  <c r="Z894" i="20"/>
  <c r="AA894" i="20"/>
  <c r="AP908" i="20"/>
  <c r="AN908" i="20"/>
  <c r="AA908" i="20"/>
  <c r="AJ908" i="20"/>
  <c r="AH908" i="20"/>
  <c r="Z908" i="20"/>
  <c r="AD908" i="20"/>
  <c r="AC908" i="20"/>
  <c r="AK908" i="20"/>
  <c r="AL908" i="20"/>
  <c r="AO908" i="20"/>
  <c r="AI908" i="20"/>
  <c r="AF908" i="20"/>
  <c r="AE908" i="20"/>
  <c r="AG908" i="20"/>
  <c r="AC903" i="20"/>
  <c r="AJ903" i="20"/>
  <c r="AA903" i="20"/>
  <c r="AD903" i="20"/>
  <c r="AF903" i="20"/>
  <c r="AI903" i="20"/>
  <c r="AB903" i="20"/>
  <c r="AL903" i="20"/>
  <c r="Z903" i="20"/>
  <c r="AH903" i="20"/>
  <c r="AN903" i="20"/>
  <c r="AE903" i="20"/>
  <c r="AK903" i="20"/>
  <c r="AP903" i="20"/>
  <c r="Y903" i="20"/>
  <c r="AN902" i="20"/>
  <c r="AA902" i="20"/>
  <c r="AH902" i="20"/>
  <c r="Z902" i="20"/>
  <c r="AK902" i="20"/>
  <c r="AB902" i="20"/>
  <c r="AD902" i="20"/>
  <c r="AO902" i="20"/>
  <c r="Y902" i="20"/>
  <c r="AL902" i="20"/>
  <c r="AI902" i="20"/>
  <c r="AJ902" i="20"/>
  <c r="AF902" i="20"/>
  <c r="AC902" i="20"/>
  <c r="AP902" i="20"/>
  <c r="AI872" i="20"/>
  <c r="AC872" i="20"/>
  <c r="AK872" i="20"/>
  <c r="Y872" i="20"/>
  <c r="AF872" i="20"/>
  <c r="AL872" i="20"/>
  <c r="AG872" i="20"/>
  <c r="AD872" i="20"/>
  <c r="AJ872" i="20"/>
  <c r="AP872" i="20"/>
  <c r="Z872" i="20"/>
  <c r="AN872" i="20"/>
  <c r="AB872" i="20"/>
  <c r="AE872" i="20"/>
  <c r="AH872" i="20"/>
  <c r="AI863" i="20"/>
  <c r="AN863" i="20"/>
  <c r="Y863" i="20"/>
  <c r="AF863" i="20"/>
  <c r="AJ863" i="20"/>
  <c r="AB863" i="20"/>
  <c r="Z863" i="20"/>
  <c r="AG863" i="20"/>
  <c r="AK863" i="20"/>
  <c r="AE863" i="20"/>
  <c r="AD863" i="20"/>
  <c r="AA863" i="20"/>
  <c r="AL863" i="20"/>
  <c r="AC863" i="20"/>
  <c r="AA854" i="20"/>
  <c r="AH854" i="20"/>
  <c r="AF854" i="20"/>
  <c r="AJ854" i="20"/>
  <c r="AK854" i="20"/>
  <c r="AI854" i="20"/>
  <c r="Y854" i="20"/>
  <c r="AC854" i="20"/>
  <c r="AE854" i="20"/>
  <c r="Z854" i="20"/>
  <c r="AB854" i="20"/>
  <c r="AD854" i="20"/>
  <c r="AL854" i="20"/>
  <c r="AN854" i="20"/>
  <c r="AP854" i="20"/>
  <c r="AN850" i="20"/>
  <c r="AF850" i="20"/>
  <c r="Y850" i="20"/>
  <c r="AD850" i="20"/>
  <c r="AI850" i="20"/>
  <c r="AL850" i="20"/>
  <c r="AK850" i="20"/>
  <c r="AH850" i="20"/>
  <c r="AE850" i="20"/>
  <c r="AG850" i="20"/>
  <c r="AJ850" i="20"/>
  <c r="Z850" i="20"/>
  <c r="AC850" i="20"/>
  <c r="AB850" i="20"/>
  <c r="AP850" i="20"/>
  <c r="AP839" i="20"/>
  <c r="AE839" i="20"/>
  <c r="AB839" i="20"/>
  <c r="AJ839" i="20"/>
  <c r="AK839" i="20"/>
  <c r="AA839" i="20"/>
  <c r="AD839" i="20"/>
  <c r="AI839" i="20"/>
  <c r="AL839" i="20"/>
  <c r="AH839" i="20"/>
  <c r="AC839" i="20"/>
  <c r="AG839" i="20"/>
  <c r="Y839" i="20"/>
  <c r="AN839" i="20"/>
  <c r="AF839" i="20"/>
  <c r="AO839" i="20"/>
  <c r="AD831" i="20"/>
  <c r="AA831" i="20"/>
  <c r="AJ831" i="20"/>
  <c r="AC831" i="20"/>
  <c r="AI831" i="20"/>
  <c r="Z831" i="20"/>
  <c r="AL831" i="20"/>
  <c r="AB831" i="20"/>
  <c r="AK831" i="20"/>
  <c r="AO831" i="20"/>
  <c r="Y831" i="20"/>
  <c r="AF831" i="20"/>
  <c r="AG831" i="20"/>
  <c r="AH831" i="20"/>
  <c r="AN831" i="20"/>
  <c r="AE822" i="20"/>
  <c r="AI822" i="20"/>
  <c r="Y822" i="20"/>
  <c r="AB822" i="20"/>
  <c r="AD822" i="20"/>
  <c r="AJ822" i="20"/>
  <c r="AL822" i="20"/>
  <c r="AK822" i="20"/>
  <c r="AG822" i="20"/>
  <c r="Z822" i="20"/>
  <c r="AN822" i="20"/>
  <c r="AO822" i="20"/>
  <c r="AH822" i="20"/>
  <c r="AA822" i="20"/>
  <c r="AP822" i="20"/>
  <c r="AF816" i="20"/>
  <c r="AJ816" i="20"/>
  <c r="Y816" i="20"/>
  <c r="AC816" i="20"/>
  <c r="AI816" i="20"/>
  <c r="AH816" i="20"/>
  <c r="AG816" i="20"/>
  <c r="AE816" i="20"/>
  <c r="AL816" i="20"/>
  <c r="AN816" i="20"/>
  <c r="AK816" i="20"/>
  <c r="AD816" i="20"/>
  <c r="AB816" i="20"/>
  <c r="Z816" i="20"/>
  <c r="AO816" i="20"/>
  <c r="AA816" i="20"/>
  <c r="AC800" i="20"/>
  <c r="AF800" i="20"/>
  <c r="AB800" i="20"/>
  <c r="AL800" i="20"/>
  <c r="AI800" i="20"/>
  <c r="AJ800" i="20"/>
  <c r="AG800" i="20"/>
  <c r="AO800" i="20"/>
  <c r="AE800" i="20"/>
  <c r="AA800" i="20"/>
  <c r="AD800" i="20"/>
  <c r="AP800" i="20"/>
  <c r="Z800" i="20"/>
  <c r="AN800" i="20"/>
  <c r="AK800" i="20"/>
  <c r="Y800" i="20"/>
  <c r="AF797" i="20"/>
  <c r="AA797" i="20"/>
  <c r="AK797" i="20"/>
  <c r="AL797" i="20"/>
  <c r="AE797" i="20"/>
  <c r="AI797" i="20"/>
  <c r="AH797" i="20"/>
  <c r="AN797" i="20"/>
  <c r="AG797" i="20"/>
  <c r="Z797" i="20"/>
  <c r="AC797" i="20"/>
  <c r="AB797" i="20"/>
  <c r="AP797" i="20"/>
  <c r="Y797" i="20"/>
  <c r="AJ797" i="20"/>
  <c r="Y790" i="20"/>
  <c r="AJ790" i="20"/>
  <c r="AB790" i="20"/>
  <c r="AN790" i="20"/>
  <c r="AI790" i="20"/>
  <c r="AC790" i="20"/>
  <c r="AA790" i="20"/>
  <c r="AK790" i="20"/>
  <c r="AE790" i="20"/>
  <c r="AH790" i="20"/>
  <c r="AL790" i="20"/>
  <c r="AF790" i="20"/>
  <c r="Z790" i="20"/>
  <c r="AO790" i="20"/>
  <c r="AG790" i="20"/>
  <c r="AP790" i="20"/>
  <c r="AD790" i="20"/>
  <c r="Y783" i="20"/>
  <c r="Z783" i="20"/>
  <c r="AD783" i="20"/>
  <c r="AC783" i="20"/>
  <c r="AA783" i="20"/>
  <c r="AH783" i="20"/>
  <c r="AF783" i="20"/>
  <c r="AN783" i="20"/>
  <c r="AI783" i="20"/>
  <c r="AE783" i="20"/>
  <c r="AG783" i="20"/>
  <c r="AL783" i="20"/>
  <c r="AK783" i="20"/>
  <c r="AO783" i="20"/>
  <c r="AJ783" i="20"/>
  <c r="AP776" i="20"/>
  <c r="AO776" i="20"/>
  <c r="AF776" i="20"/>
  <c r="AL776" i="20"/>
  <c r="Y776" i="20"/>
  <c r="AK776" i="20"/>
  <c r="Z776" i="20"/>
  <c r="AA776" i="20"/>
  <c r="AJ776" i="20"/>
  <c r="AB776" i="20"/>
  <c r="AC776" i="20"/>
  <c r="AD776" i="20"/>
  <c r="AE776" i="20"/>
  <c r="AH776" i="20"/>
  <c r="AI776" i="20"/>
  <c r="AN776" i="20"/>
  <c r="AP772" i="20"/>
  <c r="AO772" i="20"/>
  <c r="AA772" i="20"/>
  <c r="AE772" i="20"/>
  <c r="AG772" i="20"/>
  <c r="AD772" i="20"/>
  <c r="AF772" i="20"/>
  <c r="AB772" i="20"/>
  <c r="AI772" i="20"/>
  <c r="Y772" i="20"/>
  <c r="Z772" i="20"/>
  <c r="AL772" i="20"/>
  <c r="AC772" i="20"/>
  <c r="AH772" i="20"/>
  <c r="AJ772" i="20"/>
  <c r="AO760" i="20"/>
  <c r="AP760" i="20"/>
  <c r="AE760" i="20"/>
  <c r="AF760" i="20"/>
  <c r="AL760" i="20"/>
  <c r="AN760" i="20"/>
  <c r="AA760" i="20"/>
  <c r="AH760" i="20"/>
  <c r="AJ760" i="20"/>
  <c r="AB760" i="20"/>
  <c r="AD760" i="20"/>
  <c r="Z760" i="20"/>
  <c r="AK760" i="20"/>
  <c r="AC760" i="20"/>
  <c r="AO750" i="20"/>
  <c r="Y750" i="20"/>
  <c r="AP750" i="20"/>
  <c r="AH750" i="20"/>
  <c r="AK750" i="20"/>
  <c r="Z750" i="20"/>
  <c r="AA750" i="20"/>
  <c r="AI750" i="20"/>
  <c r="AF750" i="20"/>
  <c r="AB750" i="20"/>
  <c r="AN750" i="20"/>
  <c r="AL750" i="20"/>
  <c r="AG750" i="20"/>
  <c r="AC750" i="20"/>
  <c r="AP744" i="20"/>
  <c r="AO744" i="20"/>
  <c r="AE744" i="20"/>
  <c r="AF744" i="20"/>
  <c r="AL744" i="20"/>
  <c r="AG744" i="20"/>
  <c r="AI744" i="20"/>
  <c r="AH744" i="20"/>
  <c r="AK744" i="20"/>
  <c r="AB744" i="20"/>
  <c r="AD744" i="20"/>
  <c r="Z744" i="20"/>
  <c r="AC744" i="20"/>
  <c r="Y744" i="20"/>
  <c r="AJ744" i="20"/>
  <c r="AF740" i="20"/>
  <c r="Y740" i="20"/>
  <c r="AA740" i="20"/>
  <c r="AH740" i="20"/>
  <c r="AO740" i="20"/>
  <c r="AN740" i="20"/>
  <c r="AK740" i="20"/>
  <c r="AG740" i="20"/>
  <c r="AP740" i="20"/>
  <c r="AE740" i="20"/>
  <c r="AL740" i="20"/>
  <c r="AD740" i="20"/>
  <c r="AJ740" i="20"/>
  <c r="AC740" i="20"/>
  <c r="AI740" i="20"/>
  <c r="Z740" i="20"/>
  <c r="AP732" i="20"/>
  <c r="AO732" i="20"/>
  <c r="Z732" i="20"/>
  <c r="AC732" i="20"/>
  <c r="AG732" i="20"/>
  <c r="AI732" i="20"/>
  <c r="Y732" i="20"/>
  <c r="AL732" i="20"/>
  <c r="AH732" i="20"/>
  <c r="AN732" i="20"/>
  <c r="AJ732" i="20"/>
  <c r="AK732" i="20"/>
  <c r="AA732" i="20"/>
  <c r="AD732" i="20"/>
  <c r="AE732" i="20"/>
  <c r="AF732" i="20"/>
  <c r="AP724" i="20"/>
  <c r="AO724" i="20"/>
  <c r="AN724" i="20"/>
  <c r="AI724" i="20"/>
  <c r="AL724" i="20"/>
  <c r="AE724" i="20"/>
  <c r="AK724" i="20"/>
  <c r="AG724" i="20"/>
  <c r="AB724" i="20"/>
  <c r="Z724" i="20"/>
  <c r="AJ724" i="20"/>
  <c r="Y724" i="20"/>
  <c r="AF724" i="20"/>
  <c r="AH724" i="20"/>
  <c r="AD724" i="20"/>
  <c r="AP714" i="20"/>
  <c r="AO714" i="20"/>
  <c r="AN714" i="20"/>
  <c r="AG714" i="20"/>
  <c r="AF714" i="20"/>
  <c r="AB714" i="20"/>
  <c r="AK714" i="20"/>
  <c r="I52" i="86" s="1"/>
  <c r="L52" i="86" s="1"/>
  <c r="AA714" i="20"/>
  <c r="AC714" i="20"/>
  <c r="AE714" i="20"/>
  <c r="AJ714" i="20"/>
  <c r="H52" i="86" s="1"/>
  <c r="K52" i="86" s="1"/>
  <c r="Z714" i="20"/>
  <c r="AH714" i="20"/>
  <c r="AD714" i="20"/>
  <c r="AO707" i="20"/>
  <c r="Y707" i="20"/>
  <c r="AP707" i="20"/>
  <c r="AD707" i="20"/>
  <c r="AK707" i="20"/>
  <c r="I41" i="86" s="1"/>
  <c r="L41" i="86" s="1"/>
  <c r="AJ707" i="20"/>
  <c r="H41" i="86" s="1"/>
  <c r="K41" i="86" s="1"/>
  <c r="AN707" i="20"/>
  <c r="AB707" i="20"/>
  <c r="AF707" i="20"/>
  <c r="AE707" i="20"/>
  <c r="AI707" i="20"/>
  <c r="G41" i="86" s="1"/>
  <c r="AG707" i="20"/>
  <c r="AC707" i="20"/>
  <c r="AH707" i="20"/>
  <c r="AL707" i="20"/>
  <c r="AP700" i="20"/>
  <c r="AO700" i="20"/>
  <c r="AC700" i="20"/>
  <c r="AE700" i="20"/>
  <c r="AA700" i="20"/>
  <c r="AJ700" i="20"/>
  <c r="AI700" i="20"/>
  <c r="Z700" i="20"/>
  <c r="AF700" i="20"/>
  <c r="AB700" i="20"/>
  <c r="AN700" i="20"/>
  <c r="AG700" i="20"/>
  <c r="AL700" i="20"/>
  <c r="AK700" i="20"/>
  <c r="AH700" i="20"/>
  <c r="AP692" i="20"/>
  <c r="AO692" i="20"/>
  <c r="AN692" i="20"/>
  <c r="Z692" i="20"/>
  <c r="AK692" i="20"/>
  <c r="AD692" i="20"/>
  <c r="AB692" i="20"/>
  <c r="AJ692" i="20"/>
  <c r="AI692" i="20"/>
  <c r="AA692" i="20"/>
  <c r="AE692" i="20"/>
  <c r="AC692" i="20"/>
  <c r="AF692" i="20"/>
  <c r="Y692" i="20"/>
  <c r="AL692" i="20"/>
  <c r="AP682" i="20"/>
  <c r="AO682" i="20"/>
  <c r="Z682" i="20"/>
  <c r="AC682" i="20"/>
  <c r="AA682" i="20"/>
  <c r="AB682" i="20"/>
  <c r="Y682" i="20"/>
  <c r="AH682" i="20"/>
  <c r="AJ682" i="20"/>
  <c r="AL682" i="20"/>
  <c r="AK682" i="20"/>
  <c r="AE682" i="20"/>
  <c r="AI682" i="20"/>
  <c r="AG682" i="20"/>
  <c r="AP675" i="20"/>
  <c r="AN675" i="20"/>
  <c r="Z675" i="20"/>
  <c r="AG675" i="20"/>
  <c r="AJ675" i="20"/>
  <c r="AO675" i="20"/>
  <c r="AF675" i="20"/>
  <c r="AI675" i="20"/>
  <c r="AA675" i="20"/>
  <c r="AC675" i="20"/>
  <c r="AD675" i="20"/>
  <c r="AK675" i="20"/>
  <c r="AB675" i="20"/>
  <c r="AP670" i="20"/>
  <c r="AO670" i="20"/>
  <c r="AF670" i="20"/>
  <c r="AB670" i="20"/>
  <c r="AH670" i="20"/>
  <c r="Z670" i="20"/>
  <c r="AL670" i="20"/>
  <c r="AN670" i="20"/>
  <c r="AC670" i="20"/>
  <c r="AG670" i="20"/>
  <c r="Y670" i="20"/>
  <c r="AJ670" i="20"/>
  <c r="AE670" i="20"/>
  <c r="AK670" i="20"/>
  <c r="AP660" i="20"/>
  <c r="AO660" i="20"/>
  <c r="AI660" i="20"/>
  <c r="AB660" i="20"/>
  <c r="AA660" i="20"/>
  <c r="AC660" i="20"/>
  <c r="AJ660" i="20"/>
  <c r="AD660" i="20"/>
  <c r="Y660" i="20"/>
  <c r="AN660" i="20"/>
  <c r="AG660" i="20"/>
  <c r="AL660" i="20"/>
  <c r="Z660" i="20"/>
  <c r="AK660" i="20"/>
  <c r="AP650" i="20"/>
  <c r="AO650" i="20"/>
  <c r="AK650" i="20"/>
  <c r="AC650" i="20"/>
  <c r="AF650" i="20"/>
  <c r="AH650" i="20"/>
  <c r="AI650" i="20"/>
  <c r="AD650" i="20"/>
  <c r="AB650" i="20"/>
  <c r="AN650" i="20"/>
  <c r="AA650" i="20"/>
  <c r="AL650" i="20"/>
  <c r="Y650" i="20"/>
  <c r="AE650" i="20"/>
  <c r="AO643" i="20"/>
  <c r="Y643" i="20"/>
  <c r="AP643" i="20"/>
  <c r="AL643" i="20"/>
  <c r="AD643" i="20"/>
  <c r="AK643" i="20"/>
  <c r="AH643" i="20"/>
  <c r="AC643" i="20"/>
  <c r="AB643" i="20"/>
  <c r="AN643" i="20"/>
  <c r="AI643" i="20"/>
  <c r="AJ643" i="20"/>
  <c r="Z643" i="20"/>
  <c r="AA643" i="20"/>
  <c r="AP630" i="20"/>
  <c r="AO630" i="20"/>
  <c r="AK630" i="20"/>
  <c r="AN630" i="20"/>
  <c r="AC630" i="20"/>
  <c r="AA630" i="20"/>
  <c r="AI630" i="20"/>
  <c r="AF630" i="20"/>
  <c r="AL630" i="20"/>
  <c r="AD630" i="20"/>
  <c r="AJ630" i="20"/>
  <c r="Y630" i="20"/>
  <c r="AG630" i="20"/>
  <c r="AH630" i="20"/>
  <c r="AO624" i="20"/>
  <c r="AN624" i="20"/>
  <c r="Z624" i="20"/>
  <c r="Y624" i="20"/>
  <c r="AL624" i="20"/>
  <c r="AP624" i="20"/>
  <c r="AD624" i="20"/>
  <c r="AC624" i="20"/>
  <c r="AB624" i="20"/>
  <c r="AI624" i="20"/>
  <c r="AA624" i="20"/>
  <c r="AF624" i="20"/>
  <c r="AJ624" i="20"/>
  <c r="AE624" i="20"/>
  <c r="AP612" i="20"/>
  <c r="AN612" i="20"/>
  <c r="AH612" i="20"/>
  <c r="AE612" i="20"/>
  <c r="AF612" i="20"/>
  <c r="AK612" i="20"/>
  <c r="AB612" i="20"/>
  <c r="Y612" i="20"/>
  <c r="Z612" i="20"/>
  <c r="AC612" i="20"/>
  <c r="AD612" i="20"/>
  <c r="AA612" i="20"/>
  <c r="AJ612" i="20"/>
  <c r="AI612" i="20"/>
  <c r="AL612" i="20"/>
  <c r="AP606" i="20"/>
  <c r="AI606" i="20"/>
  <c r="AC606" i="20"/>
  <c r="AE606" i="20"/>
  <c r="AK606" i="20"/>
  <c r="AL606" i="20"/>
  <c r="AG606" i="20"/>
  <c r="AJ606" i="20"/>
  <c r="AH606" i="20"/>
  <c r="AB606" i="20"/>
  <c r="Y606" i="20"/>
  <c r="AA606" i="20"/>
  <c r="Z606" i="20"/>
  <c r="AJ600" i="20"/>
  <c r="Z600" i="20"/>
  <c r="AF600" i="20"/>
  <c r="AC600" i="20"/>
  <c r="AA600" i="20"/>
  <c r="AK600" i="20"/>
  <c r="AL600" i="20"/>
  <c r="AH600" i="20"/>
  <c r="AG600" i="20"/>
  <c r="AN600" i="20"/>
  <c r="Y600" i="20"/>
  <c r="AI600" i="20"/>
  <c r="AB590" i="20"/>
  <c r="AA590" i="20"/>
  <c r="AN590" i="20"/>
  <c r="AI590" i="20"/>
  <c r="AE590" i="20"/>
  <c r="AH590" i="20"/>
  <c r="AF590" i="20"/>
  <c r="Y590" i="20"/>
  <c r="AK590" i="20"/>
  <c r="Z590" i="20"/>
  <c r="AL590" i="20"/>
  <c r="AJ590" i="20"/>
  <c r="AP584" i="20"/>
  <c r="AI584" i="20"/>
  <c r="AC584" i="20"/>
  <c r="Y584" i="20"/>
  <c r="AH584" i="20"/>
  <c r="AN584" i="20"/>
  <c r="Z584" i="20"/>
  <c r="AA584" i="20"/>
  <c r="AJ584" i="20"/>
  <c r="AL584" i="20"/>
  <c r="AF584" i="20"/>
  <c r="AB584" i="20"/>
  <c r="AE584" i="20"/>
  <c r="AO576" i="20"/>
  <c r="AP576" i="20"/>
  <c r="AE576" i="20"/>
  <c r="Z576" i="20"/>
  <c r="AJ576" i="20"/>
  <c r="Y576" i="20"/>
  <c r="AL576" i="20"/>
  <c r="AN576" i="20"/>
  <c r="AF576" i="20"/>
  <c r="AI576" i="20"/>
  <c r="AA576" i="20"/>
  <c r="AB576" i="20"/>
  <c r="AK576" i="20"/>
  <c r="AG576" i="20"/>
  <c r="AP566" i="20"/>
  <c r="AC566" i="20"/>
  <c r="AD566" i="20"/>
  <c r="AB566" i="20"/>
  <c r="AN566" i="20"/>
  <c r="AF566" i="20"/>
  <c r="AE566" i="20"/>
  <c r="AO566" i="20"/>
  <c r="Z566" i="20"/>
  <c r="AI566" i="20"/>
  <c r="Y566" i="20"/>
  <c r="AA566" i="20"/>
  <c r="AK566" i="20"/>
  <c r="AJ566" i="20"/>
  <c r="AG564" i="20"/>
  <c r="AE564" i="20"/>
  <c r="AA564" i="20"/>
  <c r="AL564" i="20"/>
  <c r="AF564" i="20"/>
  <c r="Z564" i="20"/>
  <c r="AI564" i="20"/>
  <c r="AJ564" i="20"/>
  <c r="AC564" i="20"/>
  <c r="AD564" i="20"/>
  <c r="AK564" i="20"/>
  <c r="AH564" i="20"/>
  <c r="AP556" i="20"/>
  <c r="AJ556" i="20"/>
  <c r="Y556" i="20"/>
  <c r="AI556" i="20"/>
  <c r="Z556" i="20"/>
  <c r="AA556" i="20"/>
  <c r="AD556" i="20"/>
  <c r="AH556" i="20"/>
  <c r="AN556" i="20"/>
  <c r="AF556" i="20"/>
  <c r="AC556" i="20"/>
  <c r="AL556" i="20"/>
  <c r="AE556" i="20"/>
  <c r="AP548" i="20"/>
  <c r="AA548" i="20"/>
  <c r="AE548" i="20"/>
  <c r="AJ548" i="20"/>
  <c r="AI548" i="20"/>
  <c r="AD548" i="20"/>
  <c r="AF548" i="20"/>
  <c r="AN548" i="20"/>
  <c r="Y548" i="20"/>
  <c r="Z548" i="20"/>
  <c r="AG548" i="20"/>
  <c r="AC548" i="20"/>
  <c r="AL548" i="20"/>
  <c r="AP540" i="20"/>
  <c r="AO540" i="20"/>
  <c r="AE540" i="20"/>
  <c r="AC540" i="20"/>
  <c r="AA540" i="20"/>
  <c r="AJ540" i="20"/>
  <c r="Z540" i="20"/>
  <c r="AF540" i="20"/>
  <c r="AH540" i="20"/>
  <c r="Y540" i="20"/>
  <c r="AN540" i="20"/>
  <c r="AD540" i="20"/>
  <c r="AI540" i="20"/>
  <c r="AB540" i="20"/>
  <c r="AP531" i="20"/>
  <c r="AO531" i="20"/>
  <c r="AJ531" i="20"/>
  <c r="AD531" i="20"/>
  <c r="AH531" i="20"/>
  <c r="AB531" i="20"/>
  <c r="AC531" i="20"/>
  <c r="AF531" i="20"/>
  <c r="Y531" i="20"/>
  <c r="AE531" i="20"/>
  <c r="AI531" i="20"/>
  <c r="AG531" i="20"/>
  <c r="AN531" i="20"/>
  <c r="AL531" i="20"/>
  <c r="Y524" i="20"/>
  <c r="AK524" i="20"/>
  <c r="AE524" i="20"/>
  <c r="AG524" i="20"/>
  <c r="AD524" i="20"/>
  <c r="AH524" i="20"/>
  <c r="AC524" i="20"/>
  <c r="AI524" i="20"/>
  <c r="AL524" i="20"/>
  <c r="AN524" i="20"/>
  <c r="AJ524" i="20"/>
  <c r="AF524" i="20"/>
  <c r="AO517" i="20"/>
  <c r="Z517" i="20"/>
  <c r="AJ517" i="20"/>
  <c r="AB517" i="20"/>
  <c r="AG517" i="20"/>
  <c r="AE517" i="20"/>
  <c r="AP517" i="20"/>
  <c r="AN517" i="20"/>
  <c r="AF517" i="20"/>
  <c r="AL517" i="20"/>
  <c r="AI517" i="20"/>
  <c r="AA517" i="20"/>
  <c r="AD517" i="20"/>
  <c r="AH517" i="20"/>
  <c r="AL508" i="20"/>
  <c r="AN508" i="20"/>
  <c r="AC508" i="20"/>
  <c r="AH508" i="20"/>
  <c r="AA508" i="20"/>
  <c r="AJ508" i="20"/>
  <c r="AK508" i="20"/>
  <c r="AE508" i="20"/>
  <c r="AD508" i="20"/>
  <c r="AI508" i="20"/>
  <c r="Z508" i="20"/>
  <c r="AF508" i="20"/>
  <c r="AN500" i="20"/>
  <c r="AB500" i="20"/>
  <c r="AK500" i="20"/>
  <c r="AI500" i="20"/>
  <c r="AC500" i="20"/>
  <c r="AF500" i="20"/>
  <c r="Y500" i="20"/>
  <c r="AH500" i="20"/>
  <c r="AJ500" i="20"/>
  <c r="AD500" i="20"/>
  <c r="AE500" i="20"/>
  <c r="Z500" i="20"/>
  <c r="AK492" i="20"/>
  <c r="AD492" i="20"/>
  <c r="AE492" i="20"/>
  <c r="AJ492" i="20"/>
  <c r="AG492" i="20"/>
  <c r="AF492" i="20"/>
  <c r="AI492" i="20"/>
  <c r="Z492" i="20"/>
  <c r="AL492" i="20"/>
  <c r="AB492" i="20"/>
  <c r="AN492" i="20"/>
  <c r="AH492" i="20"/>
  <c r="AP484" i="20"/>
  <c r="AO484" i="20"/>
  <c r="AC484" i="20"/>
  <c r="AD484" i="20"/>
  <c r="AN484" i="20"/>
  <c r="AL484" i="20"/>
  <c r="AI484" i="20"/>
  <c r="Y484" i="20"/>
  <c r="AH484" i="20"/>
  <c r="AF484" i="20"/>
  <c r="AB484" i="20"/>
  <c r="AG484" i="20"/>
  <c r="AE484" i="20"/>
  <c r="Z484" i="20"/>
  <c r="AJ484" i="20"/>
  <c r="AO473" i="20"/>
  <c r="AB473" i="20"/>
  <c r="Z473" i="20"/>
  <c r="Y473" i="20"/>
  <c r="AG473" i="20"/>
  <c r="AL473" i="20"/>
  <c r="AK473" i="20"/>
  <c r="AH473" i="20"/>
  <c r="AF473" i="20"/>
  <c r="AE473" i="20"/>
  <c r="AJ473" i="20"/>
  <c r="AF468" i="20"/>
  <c r="AI468" i="20"/>
  <c r="AD468" i="20"/>
  <c r="AN468" i="20"/>
  <c r="AB468" i="20"/>
  <c r="AE468" i="20"/>
  <c r="AH468" i="20"/>
  <c r="AA468" i="20"/>
  <c r="AJ468" i="20"/>
  <c r="Z468" i="20"/>
  <c r="AC468" i="20"/>
  <c r="AK468" i="20"/>
  <c r="AP460" i="20"/>
  <c r="AO460" i="20"/>
  <c r="AF460" i="20"/>
  <c r="Y460" i="20"/>
  <c r="AJ460" i="20"/>
  <c r="AA460" i="20"/>
  <c r="AB460" i="20"/>
  <c r="AK460" i="20"/>
  <c r="Z460" i="20"/>
  <c r="AN460" i="20"/>
  <c r="AH460" i="20"/>
  <c r="AG460" i="20"/>
  <c r="AC460" i="20"/>
  <c r="AD460" i="20"/>
  <c r="AP452" i="20"/>
  <c r="AO452" i="20"/>
  <c r="AH452" i="20"/>
  <c r="Y452" i="20"/>
  <c r="AC452" i="20"/>
  <c r="AB452" i="20"/>
  <c r="AA452" i="20"/>
  <c r="AJ452" i="20"/>
  <c r="AN452" i="20"/>
  <c r="AI452" i="20"/>
  <c r="AL452" i="20"/>
  <c r="AK452" i="20"/>
  <c r="AD452" i="20"/>
  <c r="AG452" i="20"/>
  <c r="AP443" i="20"/>
  <c r="AO443" i="20"/>
  <c r="AL443" i="20"/>
  <c r="AB443" i="20"/>
  <c r="AC443" i="20"/>
  <c r="AI443" i="20"/>
  <c r="AN443" i="20"/>
  <c r="AG443" i="20"/>
  <c r="AD443" i="20"/>
  <c r="AK443" i="20"/>
  <c r="AH443" i="20"/>
  <c r="AF443" i="20"/>
  <c r="AA443" i="20"/>
  <c r="AJ443" i="20"/>
  <c r="Z443" i="20"/>
  <c r="AE443" i="20"/>
  <c r="AO436" i="20"/>
  <c r="AB436" i="20"/>
  <c r="AK436" i="20"/>
  <c r="AH436" i="20"/>
  <c r="AG436" i="20"/>
  <c r="AE436" i="20"/>
  <c r="Z436" i="20"/>
  <c r="AN436" i="20"/>
  <c r="AJ436" i="20"/>
  <c r="AL436" i="20"/>
  <c r="Y436" i="20"/>
  <c r="AA436" i="20"/>
  <c r="AI436" i="20"/>
  <c r="AC436" i="20"/>
  <c r="AP428" i="20"/>
  <c r="AO428" i="20"/>
  <c r="AN428" i="20"/>
  <c r="Z428" i="20"/>
  <c r="AI428" i="20"/>
  <c r="AG428" i="20"/>
  <c r="AF428" i="20"/>
  <c r="Y428" i="20"/>
  <c r="AL428" i="20"/>
  <c r="AB428" i="20"/>
  <c r="AH428" i="20"/>
  <c r="AE428" i="20"/>
  <c r="AJ428" i="20"/>
  <c r="AD428" i="20"/>
  <c r="AA428" i="20"/>
  <c r="AC428" i="20"/>
  <c r="AP421" i="20"/>
  <c r="AO421" i="20"/>
  <c r="AB421" i="20"/>
  <c r="AE421" i="20"/>
  <c r="Y421" i="20"/>
  <c r="AF421" i="20"/>
  <c r="AC421" i="20"/>
  <c r="AI421" i="20"/>
  <c r="AN421" i="20"/>
  <c r="AK421" i="20"/>
  <c r="AJ421" i="20"/>
  <c r="AG421" i="20"/>
  <c r="AL421" i="20"/>
  <c r="AA421" i="20"/>
  <c r="AH421" i="20"/>
  <c r="AD421" i="20"/>
  <c r="Z421" i="20"/>
  <c r="AP413" i="20"/>
  <c r="AO413" i="20"/>
  <c r="AI413" i="20"/>
  <c r="AA413" i="20"/>
  <c r="AD413" i="20"/>
  <c r="AN413" i="20"/>
  <c r="AF413" i="20"/>
  <c r="AJ413" i="20"/>
  <c r="AL413" i="20"/>
  <c r="AG413" i="20"/>
  <c r="Z413" i="20"/>
  <c r="AH413" i="20"/>
  <c r="Y413" i="20"/>
  <c r="AC413" i="20"/>
  <c r="AB413" i="20"/>
  <c r="AK413" i="20"/>
  <c r="AO409" i="20"/>
  <c r="AG409" i="20"/>
  <c r="AJ409" i="20"/>
  <c r="AP409" i="20"/>
  <c r="Y409" i="20"/>
  <c r="AD409" i="20"/>
  <c r="AL409" i="20"/>
  <c r="AC409" i="20"/>
  <c r="AF409" i="20"/>
  <c r="Z409" i="20"/>
  <c r="AE409" i="20"/>
  <c r="AI409" i="20"/>
  <c r="AA409" i="20"/>
  <c r="AK409" i="20"/>
  <c r="AH409" i="20"/>
  <c r="AN409" i="20"/>
  <c r="AP401" i="20"/>
  <c r="AO401" i="20"/>
  <c r="AL401" i="20"/>
  <c r="AH401" i="20"/>
  <c r="AI401" i="20"/>
  <c r="AC401" i="20"/>
  <c r="Z401" i="20"/>
  <c r="Y401" i="20"/>
  <c r="AJ401" i="20"/>
  <c r="AN401" i="20"/>
  <c r="AB401" i="20"/>
  <c r="AD401" i="20"/>
  <c r="AK401" i="20"/>
  <c r="AG401" i="20"/>
  <c r="AA401" i="20"/>
  <c r="AE401" i="20"/>
  <c r="AD393" i="20"/>
  <c r="AL393" i="20"/>
  <c r="AB393" i="20"/>
  <c r="AG393" i="20"/>
  <c r="AN393" i="20"/>
  <c r="AC393" i="20"/>
  <c r="AE393" i="20"/>
  <c r="Y393" i="20"/>
  <c r="Z393" i="20"/>
  <c r="AJ393" i="20"/>
  <c r="AF393" i="20"/>
  <c r="AP393" i="20"/>
  <c r="AK393" i="20"/>
  <c r="AH393" i="20"/>
  <c r="AA393" i="20"/>
  <c r="AP385" i="20"/>
  <c r="AO385" i="20"/>
  <c r="AJ385" i="20"/>
  <c r="AL385" i="20"/>
  <c r="AE385" i="20"/>
  <c r="AI385" i="20"/>
  <c r="AN385" i="20"/>
  <c r="AB385" i="20"/>
  <c r="AD385" i="20"/>
  <c r="AF385" i="20"/>
  <c r="AC385" i="20"/>
  <c r="AG385" i="20"/>
  <c r="Y385" i="20"/>
  <c r="AH385" i="20"/>
  <c r="AK385" i="20"/>
  <c r="AP377" i="20"/>
  <c r="AD377" i="20"/>
  <c r="AH377" i="20"/>
  <c r="AC377" i="20"/>
  <c r="AL377" i="20"/>
  <c r="AA377" i="20"/>
  <c r="AN377" i="20"/>
  <c r="Y377" i="20"/>
  <c r="AJ377" i="20"/>
  <c r="AG377" i="20"/>
  <c r="AO377" i="20"/>
  <c r="AE377" i="20"/>
  <c r="Z377" i="20"/>
  <c r="AI377" i="20"/>
  <c r="AB377" i="20"/>
  <c r="AJ373" i="20"/>
  <c r="AK373" i="20"/>
  <c r="AG373" i="20"/>
  <c r="AD373" i="20"/>
  <c r="AI373" i="20"/>
  <c r="AF373" i="20"/>
  <c r="Z373" i="20"/>
  <c r="AO373" i="20"/>
  <c r="AC373" i="20"/>
  <c r="AA373" i="20"/>
  <c r="AH373" i="20"/>
  <c r="AL373" i="20"/>
  <c r="AB373" i="20"/>
  <c r="AN373" i="20"/>
  <c r="AE373" i="20"/>
  <c r="AP373" i="20"/>
  <c r="Y365" i="20"/>
  <c r="AK365" i="20"/>
  <c r="AE365" i="20"/>
  <c r="AL365" i="20"/>
  <c r="AJ365" i="20"/>
  <c r="AC365" i="20"/>
  <c r="AD365" i="20"/>
  <c r="AN365" i="20"/>
  <c r="AI365" i="20"/>
  <c r="AB365" i="20"/>
  <c r="AA365" i="20"/>
  <c r="AG365" i="20"/>
  <c r="AH365" i="20"/>
  <c r="Z365" i="20"/>
  <c r="AP362" i="20"/>
  <c r="AO362" i="20"/>
  <c r="AA362" i="20"/>
  <c r="AN362" i="20"/>
  <c r="AC362" i="20"/>
  <c r="Z362" i="20"/>
  <c r="AE362" i="20"/>
  <c r="AD362" i="20"/>
  <c r="AK362" i="20"/>
  <c r="AI362" i="20"/>
  <c r="AG362" i="20"/>
  <c r="AH362" i="20"/>
  <c r="AJ362" i="20"/>
  <c r="AB362" i="20"/>
  <c r="AF362" i="20"/>
  <c r="AO358" i="20"/>
  <c r="AD358" i="20"/>
  <c r="AC358" i="20"/>
  <c r="AN358" i="20"/>
  <c r="Y358" i="20"/>
  <c r="AE358" i="20"/>
  <c r="Z358" i="20"/>
  <c r="AA358" i="20"/>
  <c r="AK358" i="20"/>
  <c r="AB358" i="20"/>
  <c r="AH358" i="20"/>
  <c r="AI358" i="20"/>
  <c r="AF358" i="20"/>
  <c r="AL358" i="20"/>
  <c r="AJ358" i="20"/>
  <c r="AP340" i="20"/>
  <c r="AO340" i="20"/>
  <c r="Y340" i="20"/>
  <c r="AJ340" i="20"/>
  <c r="AG340" i="20"/>
  <c r="AI340" i="20"/>
  <c r="AL340" i="20"/>
  <c r="AF340" i="20"/>
  <c r="AK340" i="20"/>
  <c r="AC340" i="20"/>
  <c r="AN340" i="20"/>
  <c r="AB340" i="20"/>
  <c r="Z340" i="20"/>
  <c r="AP332" i="20"/>
  <c r="AO332" i="20"/>
  <c r="AF332" i="20"/>
  <c r="AG332" i="20"/>
  <c r="AL332" i="20"/>
  <c r="AA332" i="20"/>
  <c r="Z332" i="20"/>
  <c r="Y332" i="20"/>
  <c r="AN332" i="20"/>
  <c r="AI332" i="20"/>
  <c r="AE332" i="20"/>
  <c r="AC332" i="20"/>
  <c r="AK332" i="20"/>
  <c r="AB332" i="20"/>
  <c r="AP324" i="20"/>
  <c r="AK324" i="20"/>
  <c r="AC324" i="20"/>
  <c r="AH324" i="20"/>
  <c r="Y324" i="20"/>
  <c r="AN324" i="20"/>
  <c r="AA324" i="20"/>
  <c r="Z324" i="20"/>
  <c r="AO324" i="20"/>
  <c r="AE324" i="20"/>
  <c r="AL324" i="20"/>
  <c r="AB324" i="20"/>
  <c r="AG324" i="20"/>
  <c r="AJ324" i="20"/>
  <c r="AO316" i="20"/>
  <c r="AI316" i="20"/>
  <c r="AF316" i="20"/>
  <c r="AN316" i="20"/>
  <c r="Y316" i="20"/>
  <c r="AC316" i="20"/>
  <c r="AK316" i="20"/>
  <c r="AH316" i="20"/>
  <c r="AB316" i="20"/>
  <c r="AL316" i="20"/>
  <c r="Z316" i="20"/>
  <c r="AJ316" i="20"/>
  <c r="AA316" i="20"/>
  <c r="AN309" i="20"/>
  <c r="AF309" i="20"/>
  <c r="AB309" i="20"/>
  <c r="AE309" i="20"/>
  <c r="Y309" i="20"/>
  <c r="Z309" i="20"/>
  <c r="AL309" i="20"/>
  <c r="AH309" i="20"/>
  <c r="AK309" i="20"/>
  <c r="AI309" i="20"/>
  <c r="AA309" i="20"/>
  <c r="AC309" i="20"/>
  <c r="AD309" i="20"/>
  <c r="AJ309" i="20"/>
  <c r="AA301" i="20"/>
  <c r="AB301" i="20"/>
  <c r="AG301" i="20"/>
  <c r="AD301" i="20"/>
  <c r="AI301" i="20"/>
  <c r="AN301" i="20"/>
  <c r="AE301" i="20"/>
  <c r="AF301" i="20"/>
  <c r="AK301" i="20"/>
  <c r="AH301" i="20"/>
  <c r="AJ301" i="20"/>
  <c r="Z301" i="20"/>
  <c r="Y301" i="20"/>
  <c r="AO281" i="20"/>
  <c r="AP281" i="20"/>
  <c r="AK281" i="20"/>
  <c r="AF281" i="20"/>
  <c r="AA281" i="20"/>
  <c r="Z281" i="20"/>
  <c r="AN281" i="20"/>
  <c r="AE281" i="20"/>
  <c r="AC281" i="20"/>
  <c r="AH281" i="20"/>
  <c r="AG281" i="20"/>
  <c r="AB281" i="20"/>
  <c r="AD281" i="20"/>
  <c r="AL281" i="20"/>
  <c r="Y281" i="20"/>
  <c r="AH274" i="20"/>
  <c r="Z274" i="20"/>
  <c r="AC274" i="20"/>
  <c r="AI274" i="20"/>
  <c r="AF274" i="20"/>
  <c r="AL274" i="20"/>
  <c r="AN274" i="20"/>
  <c r="AA274" i="20"/>
  <c r="AK274" i="20"/>
  <c r="AD274" i="20"/>
  <c r="AJ274" i="20"/>
  <c r="AG274" i="20"/>
  <c r="AE274" i="20"/>
  <c r="AP265" i="20"/>
  <c r="AC265" i="20"/>
  <c r="AA265" i="20"/>
  <c r="AH265" i="20"/>
  <c r="AI265" i="20"/>
  <c r="Y265" i="20"/>
  <c r="Z265" i="20"/>
  <c r="AN265" i="20"/>
  <c r="AJ265" i="20"/>
  <c r="AF265" i="20"/>
  <c r="AL265" i="20"/>
  <c r="AD265" i="20"/>
  <c r="AE265" i="20"/>
  <c r="AN256" i="20"/>
  <c r="AE256" i="20"/>
  <c r="AG256" i="20"/>
  <c r="Y256" i="20"/>
  <c r="Z256" i="20"/>
  <c r="AB256" i="20"/>
  <c r="AH256" i="20"/>
  <c r="AL256" i="20"/>
  <c r="AC256" i="20"/>
  <c r="AD256" i="20"/>
  <c r="AJ256" i="20"/>
  <c r="AK256" i="20"/>
  <c r="AP235" i="20"/>
  <c r="AO235" i="20"/>
  <c r="AL235" i="20"/>
  <c r="AI235" i="20"/>
  <c r="AE235" i="20"/>
  <c r="AA235" i="20"/>
  <c r="AC235" i="20"/>
  <c r="AB235" i="20"/>
  <c r="AD235" i="20"/>
  <c r="AF235" i="20"/>
  <c r="AJ235" i="20"/>
  <c r="AK235" i="20"/>
  <c r="AH235" i="20"/>
  <c r="Y235" i="20"/>
  <c r="Z235" i="20"/>
  <c r="AG81" i="20"/>
  <c r="AI81" i="20"/>
  <c r="AL231" i="20"/>
  <c r="AF146" i="20"/>
  <c r="AK126" i="20"/>
  <c r="AA126" i="20"/>
  <c r="AG126" i="20"/>
  <c r="AG773" i="20"/>
  <c r="AK758" i="20"/>
  <c r="Y746" i="20"/>
  <c r="Z738" i="20"/>
  <c r="AE730" i="20"/>
  <c r="AI715" i="20"/>
  <c r="AA718" i="20"/>
  <c r="AD694" i="20"/>
  <c r="AB684" i="20"/>
  <c r="AC677" i="20"/>
  <c r="AF666" i="20"/>
  <c r="AG654" i="20"/>
  <c r="Z645" i="20"/>
  <c r="AG636" i="20"/>
  <c r="AG618" i="20"/>
  <c r="AB611" i="20"/>
  <c r="AF598" i="20"/>
  <c r="Z586" i="20"/>
  <c r="AN574" i="20"/>
  <c r="AC567" i="20"/>
  <c r="AB558" i="20"/>
  <c r="AI550" i="20"/>
  <c r="AK542" i="20"/>
  <c r="Z530" i="20"/>
  <c r="AF522" i="20"/>
  <c r="AF510" i="20"/>
  <c r="AJ502" i="20"/>
  <c r="Y494" i="20"/>
  <c r="AF483" i="20"/>
  <c r="Y472" i="20"/>
  <c r="Y462" i="20"/>
  <c r="AN450" i="20"/>
  <c r="AN442" i="20"/>
  <c r="AA434" i="20"/>
  <c r="AJ426" i="20"/>
  <c r="AL346" i="20"/>
  <c r="AH338" i="20"/>
  <c r="AD334" i="20"/>
  <c r="AG326" i="20"/>
  <c r="Z322" i="20"/>
  <c r="AL307" i="20"/>
  <c r="AG306" i="20"/>
  <c r="AN298" i="20"/>
  <c r="Y279" i="20"/>
  <c r="AA273" i="20"/>
  <c r="AH271" i="20"/>
  <c r="AI263" i="20"/>
  <c r="AI259" i="20"/>
  <c r="AL251" i="20"/>
  <c r="AL245" i="20"/>
  <c r="Z225" i="20"/>
  <c r="AC226" i="20"/>
  <c r="AF198" i="20"/>
  <c r="AJ187" i="20"/>
  <c r="AB182" i="20"/>
  <c r="Y173" i="20"/>
  <c r="AK178" i="20"/>
  <c r="AJ318" i="20"/>
  <c r="AL567" i="20"/>
  <c r="AH579" i="20"/>
  <c r="AC591" i="20"/>
  <c r="AA762" i="20"/>
  <c r="AI502" i="20"/>
  <c r="AL698" i="20"/>
  <c r="Z702" i="20"/>
  <c r="AL530" i="20"/>
  <c r="AJ472" i="20"/>
  <c r="Z591" i="20"/>
  <c r="AA636" i="20"/>
  <c r="AD684" i="20"/>
  <c r="AP279" i="20"/>
  <c r="AP342" i="20"/>
  <c r="AP438" i="20"/>
  <c r="AJ454" i="20"/>
  <c r="AH466" i="20"/>
  <c r="AF478" i="20"/>
  <c r="Z488" i="20"/>
  <c r="AA502" i="20"/>
  <c r="AO502" i="20"/>
  <c r="AO518" i="20"/>
  <c r="AJ530" i="20"/>
  <c r="AL546" i="20"/>
  <c r="AI558" i="20"/>
  <c r="AG627" i="20"/>
  <c r="AC581" i="20"/>
  <c r="Y594" i="20"/>
  <c r="AO594" i="20"/>
  <c r="AC622" i="20"/>
  <c r="AP622" i="20"/>
  <c r="AO638" i="20"/>
  <c r="AJ651" i="20"/>
  <c r="AL662" i="20"/>
  <c r="AI668" i="20"/>
  <c r="AG690" i="20"/>
  <c r="AO690" i="20"/>
  <c r="AO718" i="20"/>
  <c r="AP715" i="20"/>
  <c r="AP730" i="20"/>
  <c r="AN746" i="20"/>
  <c r="AC762" i="20"/>
  <c r="AG39" i="20"/>
  <c r="AE39" i="20"/>
  <c r="AO39" i="20"/>
  <c r="AB60" i="20"/>
  <c r="Y60" i="20"/>
  <c r="AP60" i="20"/>
  <c r="AE42" i="20"/>
  <c r="Y775" i="20"/>
  <c r="AC766" i="20"/>
  <c r="AB753" i="20"/>
  <c r="AG738" i="20"/>
  <c r="AA730" i="20"/>
  <c r="AA722" i="20"/>
  <c r="AD702" i="20"/>
  <c r="Z694" i="20"/>
  <c r="AK685" i="20"/>
  <c r="AH668" i="20"/>
  <c r="AN654" i="20"/>
  <c r="AD645" i="20"/>
  <c r="AA632" i="20"/>
  <c r="Y614" i="20"/>
  <c r="Y602" i="20"/>
  <c r="AF591" i="20"/>
  <c r="Y574" i="20"/>
  <c r="AG567" i="20"/>
  <c r="Z554" i="20"/>
  <c r="AH546" i="20"/>
  <c r="AN534" i="20"/>
  <c r="AL522" i="20"/>
  <c r="AN510" i="20"/>
  <c r="Y502" i="20"/>
  <c r="AB488" i="20"/>
  <c r="AB478" i="20"/>
  <c r="AE470" i="20"/>
  <c r="AF450" i="20"/>
  <c r="Y442" i="20"/>
  <c r="AB434" i="20"/>
  <c r="AD426" i="20"/>
  <c r="AD342" i="20"/>
  <c r="AN334" i="20"/>
  <c r="AD330" i="20"/>
  <c r="AF322" i="20"/>
  <c r="AJ307" i="20"/>
  <c r="AB311" i="20"/>
  <c r="AD298" i="20"/>
  <c r="AD294" i="20"/>
  <c r="AJ273" i="20"/>
  <c r="AA267" i="20"/>
  <c r="AD263" i="20"/>
  <c r="AJ254" i="20"/>
  <c r="Z251" i="20"/>
  <c r="Y233" i="20"/>
  <c r="AF225" i="20"/>
  <c r="AD217" i="20"/>
  <c r="AD198" i="20"/>
  <c r="AA187" i="20"/>
  <c r="AB177" i="20"/>
  <c r="AK173" i="20"/>
  <c r="AJ562" i="20"/>
  <c r="AI611" i="20"/>
  <c r="AL534" i="20"/>
  <c r="AI294" i="20"/>
  <c r="AB581" i="20"/>
  <c r="AI673" i="20"/>
  <c r="AJ462" i="20"/>
  <c r="AL753" i="20"/>
  <c r="AH462" i="20"/>
  <c r="AH478" i="20"/>
  <c r="AK722" i="20"/>
  <c r="AN581" i="20"/>
  <c r="AO178" i="20"/>
  <c r="AO226" i="20"/>
  <c r="AP271" i="20"/>
  <c r="AD311" i="20"/>
  <c r="AP322" i="20"/>
  <c r="AP430" i="20"/>
  <c r="AO446" i="20"/>
  <c r="AO462" i="20"/>
  <c r="AN472" i="20"/>
  <c r="AD487" i="20"/>
  <c r="AB498" i="20"/>
  <c r="AG510" i="20"/>
  <c r="AP510" i="20"/>
  <c r="AH538" i="20"/>
  <c r="AA554" i="20"/>
  <c r="AP554" i="20"/>
  <c r="AA574" i="20"/>
  <c r="AP574" i="20"/>
  <c r="AO586" i="20"/>
  <c r="AD614" i="20"/>
  <c r="AC636" i="20"/>
  <c r="AF645" i="20"/>
  <c r="AJ658" i="20"/>
  <c r="AN673" i="20"/>
  <c r="AO684" i="20"/>
  <c r="AP698" i="20"/>
  <c r="AO709" i="20"/>
  <c r="AO726" i="20"/>
  <c r="AP742" i="20"/>
  <c r="AJ753" i="20"/>
  <c r="AL773" i="20"/>
  <c r="AH37" i="20"/>
  <c r="Y37" i="20"/>
  <c r="AJ37" i="20"/>
  <c r="AF766" i="20"/>
  <c r="AK753" i="20"/>
  <c r="AD742" i="20"/>
  <c r="AB734" i="20"/>
  <c r="AH722" i="20"/>
  <c r="AA709" i="20"/>
  <c r="Y694" i="20"/>
  <c r="AK677" i="20"/>
  <c r="AB662" i="20"/>
  <c r="AN642" i="20"/>
  <c r="AF622" i="20"/>
  <c r="Y604" i="20"/>
  <c r="AD594" i="20"/>
  <c r="AC570" i="20"/>
  <c r="AF558" i="20"/>
  <c r="AA546" i="20"/>
  <c r="AI530" i="20"/>
  <c r="AK518" i="20"/>
  <c r="AE502" i="20"/>
  <c r="AE487" i="20"/>
  <c r="AF472" i="20"/>
  <c r="AN454" i="20"/>
  <c r="AF442" i="20"/>
  <c r="AB426" i="20"/>
  <c r="AI338" i="20"/>
  <c r="Z330" i="20"/>
  <c r="AG322" i="20"/>
  <c r="AA311" i="20"/>
  <c r="AB302" i="20"/>
  <c r="AG279" i="20"/>
  <c r="AD267" i="20"/>
  <c r="AH263" i="20"/>
  <c r="Y254" i="20"/>
  <c r="AD245" i="20"/>
  <c r="AJ226" i="20"/>
  <c r="Z198" i="20"/>
  <c r="AA182" i="20"/>
  <c r="AF173" i="20"/>
  <c r="AI642" i="20"/>
  <c r="AC530" i="20"/>
  <c r="AI526" i="20"/>
  <c r="AJ483" i="20"/>
  <c r="AB550" i="20"/>
  <c r="AC753" i="20"/>
  <c r="AI709" i="20"/>
  <c r="AL586" i="20"/>
  <c r="AL591" i="20"/>
  <c r="AH752" i="20"/>
  <c r="AD622" i="20"/>
  <c r="AC487" i="20"/>
  <c r="AO173" i="20"/>
  <c r="AO217" i="20"/>
  <c r="AO254" i="20"/>
  <c r="AP298" i="20"/>
  <c r="AO318" i="20"/>
  <c r="AI434" i="20"/>
  <c r="AG442" i="20"/>
  <c r="AO450" i="20"/>
  <c r="AO459" i="20"/>
  <c r="AI483" i="20"/>
  <c r="AP494" i="20"/>
  <c r="AA516" i="20"/>
  <c r="AD522" i="20"/>
  <c r="AP534" i="20"/>
  <c r="AH550" i="20"/>
  <c r="AI562" i="20"/>
  <c r="AI570" i="20"/>
  <c r="AC579" i="20"/>
  <c r="AJ591" i="20"/>
  <c r="AO598" i="20"/>
  <c r="AF618" i="20"/>
  <c r="AB632" i="20"/>
  <c r="AE642" i="20"/>
  <c r="AD654" i="20"/>
  <c r="AN666" i="20"/>
  <c r="AN677" i="20"/>
  <c r="AJ685" i="20"/>
  <c r="AP694" i="20"/>
  <c r="AL712" i="20"/>
  <c r="AN722" i="20"/>
  <c r="AO734" i="20"/>
  <c r="AO738" i="20"/>
  <c r="AF758" i="20"/>
  <c r="AH766" i="20"/>
  <c r="AJ775" i="20"/>
  <c r="Y42" i="20"/>
  <c r="AK42" i="20"/>
  <c r="AO42" i="20"/>
  <c r="AB46" i="20"/>
  <c r="AF46" i="20"/>
  <c r="AJ33" i="20"/>
  <c r="AB33" i="20"/>
  <c r="AB171" i="20"/>
  <c r="AP155" i="20"/>
  <c r="AP107" i="20"/>
  <c r="AP1095" i="20"/>
  <c r="AP77" i="20"/>
  <c r="AP783" i="20"/>
  <c r="AP367" i="20"/>
  <c r="AJ1013" i="20"/>
  <c r="AO863" i="20"/>
  <c r="AO976" i="20"/>
  <c r="AO1166" i="20"/>
  <c r="AD673" i="20"/>
  <c r="AC488" i="20"/>
  <c r="AC251" i="20"/>
  <c r="Z662" i="20"/>
  <c r="AK150" i="20"/>
  <c r="Z178" i="20"/>
  <c r="AK182" i="20"/>
  <c r="AJ225" i="20"/>
  <c r="AN263" i="20"/>
  <c r="AK279" i="20"/>
  <c r="Y311" i="20"/>
  <c r="AJ326" i="20"/>
  <c r="AL434" i="20"/>
  <c r="AA466" i="20"/>
  <c r="AB502" i="20"/>
  <c r="AD518" i="20"/>
  <c r="AH562" i="20"/>
  <c r="AK581" i="20"/>
  <c r="Z594" i="20"/>
  <c r="Y651" i="20"/>
  <c r="AE677" i="20"/>
  <c r="AN698" i="20"/>
  <c r="Y715" i="20"/>
  <c r="AF726" i="20"/>
  <c r="AH758" i="20"/>
  <c r="AB604" i="20"/>
  <c r="AA251" i="20"/>
  <c r="AI636" i="20"/>
  <c r="Z1095" i="20"/>
  <c r="Z243" i="20"/>
  <c r="AB222" i="20"/>
  <c r="AF222" i="20"/>
  <c r="AI243" i="20"/>
  <c r="AF243" i="20"/>
  <c r="AD243" i="20"/>
  <c r="AL155" i="20"/>
  <c r="AF155" i="20"/>
  <c r="AH166" i="20"/>
  <c r="AI166" i="20"/>
  <c r="AJ115" i="20"/>
  <c r="AP115" i="20"/>
  <c r="AK107" i="20"/>
  <c r="Z150" i="20"/>
  <c r="Y150" i="20"/>
  <c r="AC119" i="20"/>
  <c r="AK119" i="20"/>
  <c r="AE149" i="20"/>
  <c r="AG149" i="20"/>
  <c r="AF200" i="20"/>
  <c r="AA200" i="20"/>
  <c r="AN137" i="20"/>
  <c r="AA137" i="20"/>
  <c r="AD146" i="20"/>
  <c r="AL146" i="20"/>
  <c r="AE945" i="20"/>
  <c r="AP945" i="20"/>
  <c r="AF1095" i="20"/>
  <c r="AP932" i="20"/>
  <c r="Y226" i="20"/>
  <c r="AG294" i="20"/>
  <c r="AK322" i="20"/>
  <c r="AH446" i="20"/>
  <c r="AF487" i="20"/>
  <c r="AI538" i="20"/>
  <c r="AH602" i="20"/>
  <c r="AN636" i="20"/>
  <c r="Z673" i="20"/>
  <c r="AI746" i="20"/>
  <c r="AE775" i="20"/>
  <c r="AL76" i="20"/>
  <c r="AB306" i="20"/>
  <c r="AG498" i="20"/>
  <c r="AO1153" i="20"/>
  <c r="AP387" i="20"/>
  <c r="AP787" i="20"/>
  <c r="AP831" i="20"/>
  <c r="AO867" i="20"/>
  <c r="AP922" i="20"/>
  <c r="AP972" i="20"/>
  <c r="AP1055" i="20"/>
  <c r="AP96" i="20"/>
  <c r="AP40" i="20"/>
  <c r="AC442" i="20"/>
  <c r="AO1098" i="20"/>
  <c r="AO82" i="20"/>
  <c r="AT432" i="20"/>
  <c r="AH813" i="20"/>
  <c r="Y825" i="20"/>
  <c r="AF867" i="20"/>
  <c r="AI175" i="20"/>
  <c r="AJ219" i="20"/>
  <c r="AG252" i="20"/>
  <c r="AH94" i="20"/>
  <c r="AL132" i="20"/>
  <c r="AE130" i="20"/>
  <c r="AN132" i="20"/>
  <c r="AH181" i="20"/>
  <c r="AH204" i="20"/>
  <c r="AG229" i="20"/>
  <c r="AB252" i="20"/>
  <c r="AL277" i="20"/>
  <c r="AB98" i="20"/>
  <c r="Y71" i="20"/>
  <c r="AN145" i="20"/>
  <c r="Z120" i="20"/>
  <c r="AA145" i="20"/>
  <c r="AE1001" i="20"/>
  <c r="AF1037" i="20"/>
  <c r="AH939" i="20"/>
  <c r="AJ1005" i="20"/>
  <c r="AG991" i="20"/>
  <c r="AC1045" i="20"/>
  <c r="AJ1121" i="20"/>
  <c r="AI874" i="20"/>
  <c r="AG978" i="20"/>
  <c r="AH1092" i="20"/>
  <c r="AL1110" i="20"/>
  <c r="AN870" i="20"/>
  <c r="Y884" i="20"/>
  <c r="AA888" i="20"/>
  <c r="AE889" i="20"/>
  <c r="AE896" i="20"/>
  <c r="AK913" i="20"/>
  <c r="Z924" i="20"/>
  <c r="AA935" i="20"/>
  <c r="AJ939" i="20"/>
  <c r="AC953" i="20"/>
  <c r="AA961" i="20"/>
  <c r="AA970" i="20"/>
  <c r="AB978" i="20"/>
  <c r="AG987" i="20"/>
  <c r="AJ991" i="20"/>
  <c r="AF998" i="20"/>
  <c r="AB1007" i="20"/>
  <c r="AA1015" i="20"/>
  <c r="AK1027" i="20"/>
  <c r="AK1031" i="20"/>
  <c r="AE1041" i="20"/>
  <c r="AG1049" i="20"/>
  <c r="AK1057" i="20"/>
  <c r="AN1061" i="20"/>
  <c r="AK1071" i="20"/>
  <c r="Z1078" i="20"/>
  <c r="AB1092" i="20"/>
  <c r="AG1121" i="20"/>
  <c r="AE1122" i="20"/>
  <c r="AN1127" i="20"/>
  <c r="AC1135" i="20"/>
  <c r="AC1146" i="20"/>
  <c r="AF1152" i="20"/>
  <c r="AB1154" i="20"/>
  <c r="AC1163" i="20"/>
  <c r="AK1167" i="20"/>
  <c r="AB1171" i="20"/>
  <c r="AL96" i="20"/>
  <c r="AE97" i="20"/>
  <c r="AC69" i="20"/>
  <c r="AG48" i="20"/>
  <c r="AI88" i="20"/>
  <c r="G47" i="86" s="1"/>
  <c r="J47" i="86" s="1"/>
  <c r="AD750" i="20"/>
  <c r="AH340" i="20"/>
  <c r="AH496" i="20"/>
  <c r="AK265" i="20"/>
  <c r="AB296" i="20"/>
  <c r="AF304" i="20"/>
  <c r="AI324" i="20"/>
  <c r="AJ332" i="20"/>
  <c r="AE340" i="20"/>
  <c r="AD424" i="20"/>
  <c r="AC432" i="20"/>
  <c r="AI448" i="20"/>
  <c r="Z452" i="20"/>
  <c r="AL468" i="20"/>
  <c r="AI473" i="20"/>
  <c r="AA492" i="20"/>
  <c r="AG500" i="20"/>
  <c r="Y517" i="20"/>
  <c r="Z524" i="20"/>
  <c r="AK531" i="20"/>
  <c r="AH548" i="20"/>
  <c r="AK556" i="20"/>
  <c r="AN564" i="20"/>
  <c r="AC576" i="20"/>
  <c r="AK584" i="20"/>
  <c r="AG590" i="20"/>
  <c r="AJ608" i="20"/>
  <c r="AI616" i="20"/>
  <c r="AK624" i="20"/>
  <c r="AF643" i="20"/>
  <c r="AG650" i="20"/>
  <c r="AE660" i="20"/>
  <c r="AH675" i="20"/>
  <c r="AD682" i="20"/>
  <c r="AG692" i="20"/>
  <c r="Z707" i="20"/>
  <c r="AN728" i="20"/>
  <c r="AN744" i="20"/>
  <c r="AJ774" i="20"/>
  <c r="AA876" i="20"/>
  <c r="Y905" i="20"/>
  <c r="AB898" i="20"/>
  <c r="AG926" i="20"/>
  <c r="AL951" i="20"/>
  <c r="AF963" i="20"/>
  <c r="AD980" i="20"/>
  <c r="AN996" i="20"/>
  <c r="AH1025" i="20"/>
  <c r="Y1043" i="20"/>
  <c r="AF1058" i="20"/>
  <c r="AI1081" i="20"/>
  <c r="AF1119" i="20"/>
  <c r="AN1129" i="20"/>
  <c r="AB1153" i="20"/>
  <c r="AD1169" i="20"/>
  <c r="AC100" i="20"/>
  <c r="AJ204" i="20"/>
  <c r="Y252" i="20"/>
  <c r="AB274" i="20"/>
  <c r="AC301" i="20"/>
  <c r="AF313" i="20"/>
  <c r="AJ336" i="20"/>
  <c r="AK428" i="20"/>
  <c r="Z456" i="20"/>
  <c r="AN476" i="20"/>
  <c r="AA496" i="20"/>
  <c r="AG520" i="20"/>
  <c r="AH544" i="20"/>
  <c r="AL560" i="20"/>
  <c r="Z583" i="20"/>
  <c r="AD606" i="20"/>
  <c r="Y634" i="20"/>
  <c r="AF655" i="20"/>
  <c r="AG678" i="20"/>
  <c r="AG696" i="20"/>
  <c r="AB711" i="20"/>
  <c r="AB732" i="20"/>
  <c r="AA756" i="20"/>
  <c r="AN772" i="20"/>
  <c r="AG903" i="20"/>
  <c r="AE915" i="20"/>
  <c r="Y941" i="20"/>
  <c r="AN968" i="20"/>
  <c r="AB993" i="20"/>
  <c r="AB1017" i="20"/>
  <c r="AJ1047" i="20"/>
  <c r="Y1073" i="20"/>
  <c r="AK1105" i="20"/>
  <c r="AE1133" i="20"/>
  <c r="AH1157" i="20"/>
  <c r="AN71" i="20"/>
  <c r="AC856" i="20"/>
  <c r="AE852" i="20"/>
  <c r="AL362" i="20"/>
  <c r="AA369" i="20"/>
  <c r="AF381" i="20"/>
  <c r="AI393" i="20"/>
  <c r="Y405" i="20"/>
  <c r="AN417" i="20"/>
  <c r="AN794" i="20"/>
  <c r="AB815" i="20"/>
  <c r="AB837" i="20"/>
  <c r="AL861" i="20"/>
  <c r="AG1135" i="20"/>
  <c r="AH159" i="20"/>
  <c r="AH391" i="20"/>
  <c r="AB783" i="20"/>
  <c r="AE831" i="20"/>
  <c r="AF387" i="20"/>
  <c r="AH825" i="20"/>
  <c r="AB43" i="20"/>
  <c r="Z1035" i="20"/>
  <c r="AE947" i="20"/>
  <c r="AO812" i="20"/>
  <c r="AO242" i="20"/>
  <c r="AR677" i="20"/>
  <c r="AT677" i="20"/>
  <c r="AR699" i="20"/>
  <c r="AT699" i="20"/>
  <c r="AR743" i="20"/>
  <c r="AT743" i="20"/>
  <c r="AR806" i="20"/>
  <c r="AT806" i="20"/>
  <c r="AR822" i="20"/>
  <c r="AT822" i="20"/>
  <c r="AR819" i="20"/>
  <c r="AT819" i="20"/>
  <c r="AR852" i="20"/>
  <c r="AT852" i="20"/>
  <c r="AR848" i="20"/>
  <c r="AT848" i="20"/>
  <c r="AR864" i="20"/>
  <c r="AT864" i="20"/>
  <c r="AR888" i="20"/>
  <c r="AT888" i="20"/>
  <c r="AR927" i="20"/>
  <c r="AT927" i="20"/>
  <c r="AR935" i="20"/>
  <c r="AT935" i="20"/>
  <c r="AT1016" i="20"/>
  <c r="AR1019" i="20"/>
  <c r="AT1019" i="20"/>
  <c r="AR1023" i="20"/>
  <c r="AT1023" i="20"/>
  <c r="AR1037" i="20"/>
  <c r="AT1037" i="20"/>
  <c r="AR1060" i="20"/>
  <c r="AT1060" i="20"/>
  <c r="AT137" i="20"/>
  <c r="AT180" i="20"/>
  <c r="AT117" i="20"/>
  <c r="AT701" i="20"/>
  <c r="AR30" i="20"/>
  <c r="AR53" i="20"/>
  <c r="AT53" i="20"/>
  <c r="AR100" i="20"/>
  <c r="AT100" i="20"/>
  <c r="AR70" i="20"/>
  <c r="AT70" i="20"/>
  <c r="AR75" i="20"/>
  <c r="AT75" i="20"/>
  <c r="I75" i="86"/>
  <c r="L75" i="86" s="1"/>
  <c r="G76" i="86"/>
  <c r="J76" i="86" s="1"/>
  <c r="AR89" i="20"/>
  <c r="AT89" i="20"/>
  <c r="AR93" i="20"/>
  <c r="AT93" i="20"/>
  <c r="AR101" i="20"/>
  <c r="AT101" i="20"/>
  <c r="AR108" i="20"/>
  <c r="AT108" i="20"/>
  <c r="AR121" i="20"/>
  <c r="AT121" i="20"/>
  <c r="AR125" i="20"/>
  <c r="AT125" i="20"/>
  <c r="AR130" i="20"/>
  <c r="AT130" i="20"/>
  <c r="AR144" i="20"/>
  <c r="AT144" i="20"/>
  <c r="AR153" i="20"/>
  <c r="AT153" i="20"/>
  <c r="AR158" i="20"/>
  <c r="AT158" i="20"/>
  <c r="AR167" i="20"/>
  <c r="AT167" i="20"/>
  <c r="AR169" i="20"/>
  <c r="AT169" i="20"/>
  <c r="AR173" i="20"/>
  <c r="AT173" i="20"/>
  <c r="AR190" i="20"/>
  <c r="AT190" i="20"/>
  <c r="AR199" i="20"/>
  <c r="AT199" i="20"/>
  <c r="AR205" i="20"/>
  <c r="AT205" i="20"/>
  <c r="AR213" i="20"/>
  <c r="AT213" i="20"/>
  <c r="AR223" i="20"/>
  <c r="AT223" i="20"/>
  <c r="AR245" i="20"/>
  <c r="AT245" i="20"/>
  <c r="AR250" i="20"/>
  <c r="AT250" i="20"/>
  <c r="AR262" i="20"/>
  <c r="AT262" i="20"/>
  <c r="AR280" i="20"/>
  <c r="AT280" i="20"/>
  <c r="AR287" i="20"/>
  <c r="AT287" i="20"/>
  <c r="AR297" i="20"/>
  <c r="AT297" i="20"/>
  <c r="AR316" i="20"/>
  <c r="AT316" i="20"/>
  <c r="AR304" i="20"/>
  <c r="AT304" i="20"/>
  <c r="AR326" i="20"/>
  <c r="AT326" i="20"/>
  <c r="AR343" i="20"/>
  <c r="AT343" i="20"/>
  <c r="AR376" i="20"/>
  <c r="AT376" i="20"/>
  <c r="AR361" i="20"/>
  <c r="AT361" i="20"/>
  <c r="AR357" i="20"/>
  <c r="AT357" i="20"/>
  <c r="AR349" i="20"/>
  <c r="AT349" i="20"/>
  <c r="AR394" i="20"/>
  <c r="AT394" i="20"/>
  <c r="AR405" i="20"/>
  <c r="AT405" i="20"/>
  <c r="AR417" i="20"/>
  <c r="AT417" i="20"/>
  <c r="AR451" i="20"/>
  <c r="AT451" i="20"/>
  <c r="AR454" i="20"/>
  <c r="AT454" i="20"/>
  <c r="AR468" i="20"/>
  <c r="AT468" i="20"/>
  <c r="AR481" i="20"/>
  <c r="AT481" i="20"/>
  <c r="AR505" i="20"/>
  <c r="AT505" i="20"/>
  <c r="AR510" i="20"/>
  <c r="AT510" i="20"/>
  <c r="AR512" i="20"/>
  <c r="AT512" i="20"/>
  <c r="AR526" i="20"/>
  <c r="AT526" i="20"/>
  <c r="AR529" i="20"/>
  <c r="AT529" i="20"/>
  <c r="AR530" i="20"/>
  <c r="AT530" i="20"/>
  <c r="AR542" i="20"/>
  <c r="AT542" i="20"/>
  <c r="AR557" i="20"/>
  <c r="AT557" i="20"/>
  <c r="AR637" i="20"/>
  <c r="AT637" i="20"/>
  <c r="AR593" i="20"/>
  <c r="AT593" i="20"/>
  <c r="AR589" i="20"/>
  <c r="AT589" i="20"/>
  <c r="AR577" i="20"/>
  <c r="AT577" i="20"/>
  <c r="AR642" i="20"/>
  <c r="AT642" i="20"/>
  <c r="AR647" i="20"/>
  <c r="AT647" i="20"/>
  <c r="AR657" i="20"/>
  <c r="AT657" i="20"/>
  <c r="AR675" i="20"/>
  <c r="AT675" i="20"/>
  <c r="AR678" i="20"/>
  <c r="AT678" i="20"/>
  <c r="AR693" i="20"/>
  <c r="AT693" i="20"/>
  <c r="AR703" i="20"/>
  <c r="AT703" i="20"/>
  <c r="AR717" i="20"/>
  <c r="AT717" i="20"/>
  <c r="AR721" i="20"/>
  <c r="AT721" i="20"/>
  <c r="AR728" i="20"/>
  <c r="AT728" i="20"/>
  <c r="AR724" i="20"/>
  <c r="AT724" i="20"/>
  <c r="AR736" i="20"/>
  <c r="AT736" i="20"/>
  <c r="AR741" i="20"/>
  <c r="AT741" i="20"/>
  <c r="AR750" i="20"/>
  <c r="AT750" i="20"/>
  <c r="AR751" i="20"/>
  <c r="AT751" i="20"/>
  <c r="AR755" i="20"/>
  <c r="AT755" i="20"/>
  <c r="AR766" i="20"/>
  <c r="AT766" i="20"/>
  <c r="AR771" i="20"/>
  <c r="AT771" i="20"/>
  <c r="AR767" i="20"/>
  <c r="AT767" i="20"/>
  <c r="AR789" i="20"/>
  <c r="AT789" i="20"/>
  <c r="AR812" i="20"/>
  <c r="AT812" i="20"/>
  <c r="AR824" i="20"/>
  <c r="AT824" i="20"/>
  <c r="AR821" i="20"/>
  <c r="AT821" i="20"/>
  <c r="AR829" i="20"/>
  <c r="AT829" i="20"/>
  <c r="AR843" i="20"/>
  <c r="AT843" i="20"/>
  <c r="AR850" i="20"/>
  <c r="AT850" i="20"/>
  <c r="AR846" i="20"/>
  <c r="AT846" i="20"/>
  <c r="AR873" i="20"/>
  <c r="AT873" i="20"/>
  <c r="AR898" i="20"/>
  <c r="AT898" i="20"/>
  <c r="AR894" i="20"/>
  <c r="AT894" i="20"/>
  <c r="AR905" i="20"/>
  <c r="AT905" i="20"/>
  <c r="AR903" i="20"/>
  <c r="AT903" i="20"/>
  <c r="AR916" i="20"/>
  <c r="AT916" i="20"/>
  <c r="AT348" i="20"/>
  <c r="AT277" i="20"/>
  <c r="AT437" i="20"/>
  <c r="AT413" i="20"/>
  <c r="AT553" i="20"/>
  <c r="AT344" i="20"/>
  <c r="AT368" i="20"/>
  <c r="AT115" i="20"/>
  <c r="AT607" i="20"/>
  <c r="AR1068" i="20"/>
  <c r="AT1068" i="20"/>
  <c r="AR1081" i="20"/>
  <c r="AT1081" i="20"/>
  <c r="AR1103" i="20"/>
  <c r="AT1103" i="20"/>
  <c r="AR1123" i="20"/>
  <c r="AT1123" i="20"/>
  <c r="AR1128" i="20"/>
  <c r="AT1128" i="20"/>
  <c r="AR1157" i="20"/>
  <c r="AT1157" i="20"/>
  <c r="AB619" i="20"/>
  <c r="AE619" i="20"/>
  <c r="AG619" i="20"/>
  <c r="AD619" i="20"/>
  <c r="AH619" i="20"/>
  <c r="AO619" i="20"/>
  <c r="AN619" i="20"/>
  <c r="AK619" i="20"/>
  <c r="AJ619" i="20"/>
  <c r="AI619" i="20"/>
  <c r="AL621" i="20"/>
  <c r="AI621" i="20"/>
  <c r="AN621" i="20"/>
  <c r="AP621" i="20"/>
  <c r="AO621" i="20"/>
  <c r="AI1134" i="20"/>
  <c r="AH965" i="20"/>
  <c r="AI1091" i="20"/>
  <c r="AL942" i="20"/>
  <c r="AG1059" i="20"/>
  <c r="AJ649" i="20"/>
  <c r="AH956" i="20"/>
  <c r="AH404" i="20"/>
  <c r="AO1114" i="20"/>
  <c r="AO1164" i="20"/>
  <c r="AO847" i="20"/>
  <c r="AO820" i="20"/>
  <c r="AO791" i="20"/>
  <c r="AO404" i="20"/>
  <c r="AO372" i="20"/>
  <c r="AP348" i="20"/>
  <c r="AP891" i="20"/>
  <c r="AP997" i="20"/>
  <c r="AP1044" i="20"/>
  <c r="AR974" i="20"/>
  <c r="AT974" i="20"/>
  <c r="AR1010" i="20"/>
  <c r="AT1010" i="20"/>
  <c r="AR1100" i="20"/>
  <c r="AT1100" i="20"/>
  <c r="AR1108" i="20"/>
  <c r="AT1108" i="20"/>
  <c r="AP68" i="20"/>
  <c r="AO68" i="20"/>
  <c r="AK68" i="20"/>
  <c r="AG68" i="20"/>
  <c r="AO78" i="20"/>
  <c r="AK78" i="20"/>
  <c r="AI78" i="20"/>
  <c r="AP86" i="20"/>
  <c r="AI86" i="20"/>
  <c r="AK86" i="20"/>
  <c r="AP1170" i="20"/>
  <c r="AO1170" i="20"/>
  <c r="AO1158" i="20"/>
  <c r="AP1158" i="20"/>
  <c r="AP1142" i="20"/>
  <c r="AO1142" i="20"/>
  <c r="AP1134" i="20"/>
  <c r="AG1134" i="20"/>
  <c r="AP1126" i="20"/>
  <c r="AH1126" i="20"/>
  <c r="AE1126" i="20"/>
  <c r="AO1120" i="20"/>
  <c r="AP1120" i="20"/>
  <c r="AL1120" i="20"/>
  <c r="AK1120" i="20"/>
  <c r="AP1091" i="20"/>
  <c r="AO1091" i="20"/>
  <c r="AB1082" i="20"/>
  <c r="AP1082" i="20"/>
  <c r="AO1082" i="20"/>
  <c r="AC1074" i="20"/>
  <c r="AK1074" i="20"/>
  <c r="AH1074" i="20"/>
  <c r="AP1065" i="20"/>
  <c r="AH1065" i="20"/>
  <c r="AP1059" i="20"/>
  <c r="AK1059" i="20"/>
  <c r="AP1056" i="20"/>
  <c r="AO1056" i="20"/>
  <c r="Z1056" i="20"/>
  <c r="AJ1056" i="20"/>
  <c r="AP1048" i="20"/>
  <c r="AO1048" i="20"/>
  <c r="AP1040" i="20"/>
  <c r="AO1040" i="20"/>
  <c r="AJ1040" i="20"/>
  <c r="AP1034" i="20"/>
  <c r="AJ1034" i="20"/>
  <c r="AP1030" i="20"/>
  <c r="AO1030" i="20"/>
  <c r="AP1010" i="20"/>
  <c r="AO1010" i="20"/>
  <c r="AJ1010" i="20"/>
  <c r="AP1000" i="20"/>
  <c r="AC1000" i="20"/>
  <c r="AP994" i="20"/>
  <c r="AB994" i="20"/>
  <c r="AL994" i="20"/>
  <c r="AP990" i="20"/>
  <c r="AO990" i="20"/>
  <c r="AP986" i="20"/>
  <c r="AO986" i="20"/>
  <c r="AH986" i="20"/>
  <c r="AO981" i="20"/>
  <c r="AL981" i="20"/>
  <c r="AP973" i="20"/>
  <c r="AO973" i="20"/>
  <c r="AK973" i="20"/>
  <c r="AP969" i="20"/>
  <c r="AJ969" i="20"/>
  <c r="AP960" i="20"/>
  <c r="AO960" i="20"/>
  <c r="AL960" i="20"/>
  <c r="AP952" i="20"/>
  <c r="AB952" i="20"/>
  <c r="AO942" i="20"/>
  <c r="AK942" i="20"/>
  <c r="AO938" i="20"/>
  <c r="AI938" i="20"/>
  <c r="AP927" i="20"/>
  <c r="AO927" i="20"/>
  <c r="AH927" i="20"/>
  <c r="AO912" i="20"/>
  <c r="Z912" i="20"/>
  <c r="AP911" i="20"/>
  <c r="AO911" i="20"/>
  <c r="AJ911" i="20"/>
  <c r="AO909" i="20"/>
  <c r="AP909" i="20"/>
  <c r="AP906" i="20"/>
  <c r="AO906" i="20"/>
  <c r="Z906" i="20"/>
  <c r="AN904" i="20"/>
  <c r="AJ904" i="20"/>
  <c r="AP883" i="20"/>
  <c r="AL883" i="20"/>
  <c r="AP877" i="20"/>
  <c r="AL877" i="20"/>
  <c r="AN877" i="20"/>
  <c r="AP855" i="20"/>
  <c r="AO855" i="20"/>
  <c r="AP851" i="20"/>
  <c r="AO851" i="20"/>
  <c r="AP832" i="20"/>
  <c r="AO832" i="20"/>
  <c r="AO811" i="20"/>
  <c r="AP811" i="20"/>
  <c r="AO803" i="20"/>
  <c r="AJ803" i="20"/>
  <c r="AP784" i="20"/>
  <c r="AO784" i="20"/>
  <c r="AP770" i="20"/>
  <c r="AO770" i="20"/>
  <c r="AP768" i="20"/>
  <c r="AC768" i="20"/>
  <c r="AP761" i="20"/>
  <c r="AO761" i="20"/>
  <c r="AF761" i="20"/>
  <c r="AG761" i="20"/>
  <c r="AP754" i="20"/>
  <c r="AO754" i="20"/>
  <c r="AP748" i="20"/>
  <c r="AK748" i="20"/>
  <c r="AF748" i="20"/>
  <c r="AO745" i="20"/>
  <c r="AB745" i="20"/>
  <c r="AP733" i="20"/>
  <c r="AO733" i="20"/>
  <c r="AD733" i="20"/>
  <c r="AP729" i="20"/>
  <c r="AO729" i="20"/>
  <c r="AP725" i="20"/>
  <c r="Z725" i="20"/>
  <c r="AP721" i="20"/>
  <c r="AI721" i="20"/>
  <c r="AP644" i="20"/>
  <c r="AH644" i="20"/>
  <c r="AO631" i="20"/>
  <c r="AP631" i="20"/>
  <c r="AB631" i="20"/>
  <c r="AP635" i="20"/>
  <c r="AO635" i="20"/>
  <c r="AL635" i="20"/>
  <c r="AP625" i="20"/>
  <c r="AO625" i="20"/>
  <c r="AO527" i="20"/>
  <c r="AG527" i="20"/>
  <c r="AO447" i="20"/>
  <c r="AI447" i="20"/>
  <c r="AP416" i="20"/>
  <c r="AO416" i="20"/>
  <c r="AP412" i="20"/>
  <c r="AO412" i="20"/>
  <c r="AP395" i="20"/>
  <c r="AO395" i="20"/>
  <c r="AO388" i="20"/>
  <c r="AP388" i="20"/>
  <c r="AP380" i="20"/>
  <c r="AO380" i="20"/>
  <c r="AP368" i="20"/>
  <c r="AO368" i="20"/>
  <c r="AP357" i="20"/>
  <c r="AO357" i="20"/>
  <c r="AP276" i="20"/>
  <c r="AO276" i="20"/>
  <c r="AO848" i="20"/>
  <c r="AO817" i="20"/>
  <c r="AO606" i="20"/>
  <c r="AO548" i="20"/>
  <c r="AP316" i="20"/>
  <c r="AP448" i="20"/>
  <c r="AP536" i="20"/>
  <c r="AP608" i="20"/>
  <c r="AP858" i="20"/>
  <c r="AO858" i="20"/>
  <c r="AP837" i="20"/>
  <c r="AO837" i="20"/>
  <c r="AO830" i="20"/>
  <c r="AP830" i="20"/>
  <c r="AP821" i="20"/>
  <c r="AO821" i="20"/>
  <c r="AP815" i="20"/>
  <c r="AO815" i="20"/>
  <c r="AP806" i="20"/>
  <c r="AO806" i="20"/>
  <c r="AP801" i="20"/>
  <c r="AO801" i="20"/>
  <c r="AP794" i="20"/>
  <c r="AO794" i="20"/>
  <c r="AP785" i="20"/>
  <c r="AH785" i="20"/>
  <c r="AP616" i="20"/>
  <c r="AO616" i="20"/>
  <c r="AP600" i="20"/>
  <c r="AO600" i="20"/>
  <c r="AO590" i="20"/>
  <c r="AP590" i="20"/>
  <c r="AP588" i="20"/>
  <c r="AO588" i="20"/>
  <c r="AP560" i="20"/>
  <c r="AO560" i="20"/>
  <c r="AP544" i="20"/>
  <c r="AO544" i="20"/>
  <c r="AP524" i="20"/>
  <c r="AO524" i="20"/>
  <c r="AP508" i="20"/>
  <c r="AO508" i="20"/>
  <c r="AP500" i="20"/>
  <c r="AO500" i="20"/>
  <c r="AP492" i="20"/>
  <c r="AO492" i="20"/>
  <c r="AP480" i="20"/>
  <c r="AJ480" i="20"/>
  <c r="AO480" i="20"/>
  <c r="AP473" i="20"/>
  <c r="AD473" i="20"/>
  <c r="AO468" i="20"/>
  <c r="AP468" i="20"/>
  <c r="AP456" i="20"/>
  <c r="AO456" i="20"/>
  <c r="AO365" i="20"/>
  <c r="AP365" i="20"/>
  <c r="AP344" i="20"/>
  <c r="AO344" i="20"/>
  <c r="AO320" i="20"/>
  <c r="AP320" i="20"/>
  <c r="AP309" i="20"/>
  <c r="AO309" i="20"/>
  <c r="AP301" i="20"/>
  <c r="AO301" i="20"/>
  <c r="AP277" i="20"/>
  <c r="AO277" i="20"/>
  <c r="AO274" i="20"/>
  <c r="AP274" i="20"/>
  <c r="AP262" i="20"/>
  <c r="AO262" i="20"/>
  <c r="AO256" i="20"/>
  <c r="AP256" i="20"/>
  <c r="AP252" i="20"/>
  <c r="AO252" i="20"/>
  <c r="AP185" i="20"/>
  <c r="AO185" i="20"/>
  <c r="AO1099" i="20"/>
  <c r="AJ1099" i="20"/>
  <c r="AP1099" i="20"/>
  <c r="AP1111" i="20"/>
  <c r="AO1111" i="20"/>
  <c r="AP1094" i="20"/>
  <c r="AO1094" i="20"/>
  <c r="AE1094" i="20"/>
  <c r="AA1094" i="20"/>
  <c r="O39" i="37"/>
  <c r="AO824" i="20"/>
  <c r="AO792" i="20"/>
  <c r="AO612" i="20"/>
  <c r="AO556" i="20"/>
  <c r="AO512" i="20"/>
  <c r="AP73" i="20"/>
  <c r="AO73" i="20"/>
  <c r="AP93" i="20"/>
  <c r="AO93" i="20"/>
  <c r="AP1162" i="20"/>
  <c r="AO1162" i="20"/>
  <c r="AO1155" i="20"/>
  <c r="AP1155" i="20"/>
  <c r="AP1150" i="20"/>
  <c r="AO1150" i="20"/>
  <c r="AO1130" i="20"/>
  <c r="AP1130" i="20"/>
  <c r="AP1118" i="20"/>
  <c r="AO1118" i="20"/>
  <c r="AP1077" i="20"/>
  <c r="AO1077" i="20"/>
  <c r="AP1074" i="20"/>
  <c r="AO1074" i="20"/>
  <c r="AP168" i="20"/>
  <c r="AO168" i="20"/>
  <c r="AO453" i="20"/>
  <c r="AP453" i="20"/>
  <c r="AO211" i="20"/>
  <c r="AP211" i="20"/>
  <c r="AO129" i="20"/>
  <c r="AP129" i="20"/>
  <c r="AR38" i="20"/>
  <c r="AR34" i="20"/>
  <c r="AT34" i="20"/>
  <c r="AR119" i="20"/>
  <c r="AT119" i="20"/>
  <c r="AR124" i="20"/>
  <c r="AT124" i="20"/>
  <c r="AR141" i="20"/>
  <c r="AT141" i="20"/>
  <c r="AR146" i="20"/>
  <c r="AT146" i="20"/>
  <c r="AR396" i="20"/>
  <c r="AT396" i="20"/>
  <c r="AR406" i="20"/>
  <c r="AT406" i="20"/>
  <c r="AR415" i="20"/>
  <c r="AT415" i="20"/>
  <c r="AR456" i="20"/>
  <c r="AT456" i="20"/>
  <c r="AR523" i="20"/>
  <c r="AT523" i="20"/>
  <c r="AR539" i="20"/>
  <c r="AT539" i="20"/>
  <c r="AR554" i="20"/>
  <c r="AT554" i="20"/>
  <c r="AR559" i="20"/>
  <c r="AT559" i="20"/>
  <c r="AR619" i="20"/>
  <c r="AT619" i="20"/>
  <c r="AR605" i="20"/>
  <c r="AT605" i="20"/>
  <c r="AR595" i="20"/>
  <c r="AT595" i="20"/>
  <c r="AR587" i="20"/>
  <c r="AT587" i="20"/>
  <c r="AR580" i="20"/>
  <c r="AT580" i="20"/>
  <c r="AR582" i="20"/>
  <c r="AT582" i="20"/>
  <c r="AR575" i="20"/>
  <c r="AT575" i="20"/>
  <c r="AR568" i="20"/>
  <c r="AT568" i="20"/>
  <c r="AR640" i="20"/>
  <c r="AT640" i="20"/>
  <c r="AR652" i="20"/>
  <c r="AT652" i="20"/>
  <c r="AR673" i="20"/>
  <c r="AT673" i="20"/>
  <c r="AR687" i="20"/>
  <c r="AT687" i="20"/>
  <c r="AR697" i="20"/>
  <c r="AT697" i="20"/>
  <c r="AR715" i="20"/>
  <c r="AT715" i="20"/>
  <c r="AR726" i="20"/>
  <c r="AT726" i="20"/>
  <c r="AR752" i="20"/>
  <c r="AT752" i="20"/>
  <c r="AR754" i="20"/>
  <c r="AT754" i="20"/>
  <c r="AR758" i="20"/>
  <c r="AT758" i="20"/>
  <c r="AR777" i="20"/>
  <c r="AT777" i="20"/>
  <c r="AR770" i="20"/>
  <c r="AT770" i="20"/>
  <c r="AR768" i="20"/>
  <c r="AT768" i="20"/>
  <c r="AR778" i="20"/>
  <c r="AT778" i="20"/>
  <c r="AR791" i="20"/>
  <c r="AT791" i="20"/>
  <c r="AR804" i="20"/>
  <c r="AT804" i="20"/>
  <c r="AR816" i="20"/>
  <c r="AT816" i="20"/>
  <c r="AR838" i="20"/>
  <c r="AT838" i="20"/>
  <c r="AR841" i="20"/>
  <c r="AT841" i="20"/>
  <c r="AR856" i="20"/>
  <c r="AT856" i="20"/>
  <c r="AR858" i="20"/>
  <c r="AT858" i="20"/>
  <c r="AR867" i="20"/>
  <c r="AT867" i="20"/>
  <c r="AR899" i="20"/>
  <c r="AT899" i="20"/>
  <c r="AR896" i="20"/>
  <c r="AT896" i="20"/>
  <c r="AR889" i="20"/>
  <c r="AT889" i="20"/>
  <c r="AR886" i="20"/>
  <c r="AT886" i="20"/>
  <c r="AR880" i="20"/>
  <c r="AT880" i="20"/>
  <c r="AR901" i="20"/>
  <c r="AT901" i="20"/>
  <c r="AR874" i="20"/>
  <c r="AT874" i="20"/>
  <c r="AR914" i="20"/>
  <c r="AT914" i="20"/>
  <c r="AR918" i="20"/>
  <c r="AT918" i="20"/>
  <c r="AR923" i="20"/>
  <c r="AT923" i="20"/>
  <c r="AR943" i="20"/>
  <c r="AT943" i="20"/>
  <c r="AR945" i="20"/>
  <c r="AT945" i="20"/>
  <c r="AR952" i="20"/>
  <c r="AT952" i="20"/>
  <c r="AR978" i="20"/>
  <c r="AT978" i="20"/>
  <c r="AR981" i="20"/>
  <c r="AT981" i="20"/>
  <c r="AR1004" i="20"/>
  <c r="AT1004" i="20"/>
  <c r="AR997" i="20"/>
  <c r="AT997" i="20"/>
  <c r="AR994" i="20"/>
  <c r="AT994" i="20"/>
  <c r="AR1012" i="20"/>
  <c r="AT1012" i="20"/>
  <c r="AR1008" i="20"/>
  <c r="AT1008" i="20"/>
  <c r="AR1027" i="20"/>
  <c r="AT1027" i="20"/>
  <c r="AR1038" i="20"/>
  <c r="AT1038" i="20"/>
  <c r="AR1052" i="20"/>
  <c r="AT1052" i="20"/>
  <c r="AR1063" i="20"/>
  <c r="AT1063" i="20"/>
  <c r="AR1073" i="20"/>
  <c r="AT1073" i="20"/>
  <c r="AR1091" i="20"/>
  <c r="AT1091" i="20"/>
  <c r="AR1094" i="20"/>
  <c r="AT1094" i="20"/>
  <c r="AR1115" i="20"/>
  <c r="AT1115" i="20"/>
  <c r="AR1130" i="20"/>
  <c r="AT1130" i="20"/>
  <c r="AR1135" i="20"/>
  <c r="AT1135" i="20"/>
  <c r="AR1139" i="20"/>
  <c r="AT1139" i="20"/>
  <c r="AR1144" i="20"/>
  <c r="AT1144" i="20"/>
  <c r="AR1151" i="20"/>
  <c r="AT1151" i="20"/>
  <c r="AR1153" i="20"/>
  <c r="AT1153" i="20"/>
  <c r="AR1165" i="20"/>
  <c r="AT1165" i="20"/>
  <c r="AT1168" i="20"/>
  <c r="AR79" i="20"/>
  <c r="AT79" i="20"/>
  <c r="AR92" i="20"/>
  <c r="AT92" i="20"/>
  <c r="AR112" i="20"/>
  <c r="AT112" i="20"/>
  <c r="AR185" i="20"/>
  <c r="AT185" i="20"/>
  <c r="AR186" i="20"/>
  <c r="AT186" i="20"/>
  <c r="AR227" i="20"/>
  <c r="AT227" i="20"/>
  <c r="AR237" i="20"/>
  <c r="AT237" i="20"/>
  <c r="AR257" i="20"/>
  <c r="AT257" i="20"/>
  <c r="AR294" i="20"/>
  <c r="AT294" i="20"/>
  <c r="AR318" i="20"/>
  <c r="AT318" i="20"/>
  <c r="AR329" i="20"/>
  <c r="AT329" i="20"/>
  <c r="AR355" i="20"/>
  <c r="AT355" i="20"/>
  <c r="AR351" i="20"/>
  <c r="AT351" i="20"/>
  <c r="AR404" i="20"/>
  <c r="AT404" i="20"/>
  <c r="AR410" i="20"/>
  <c r="AT410" i="20"/>
  <c r="AR420" i="20"/>
  <c r="AT420" i="20"/>
  <c r="AR463" i="20"/>
  <c r="AT463" i="20"/>
  <c r="AR470" i="20"/>
  <c r="AT470" i="20"/>
  <c r="AR479" i="20"/>
  <c r="AT479" i="20"/>
  <c r="AR535" i="20"/>
  <c r="AT535" i="20"/>
  <c r="AR563" i="20"/>
  <c r="AT563" i="20"/>
  <c r="AR635" i="20"/>
  <c r="AT635" i="20"/>
  <c r="AR623" i="20"/>
  <c r="AT623" i="20"/>
  <c r="AR615" i="20"/>
  <c r="AT615" i="20"/>
  <c r="AR592" i="20"/>
  <c r="AT592" i="20"/>
  <c r="AT106" i="20"/>
  <c r="AH232" i="14"/>
  <c r="H73" i="86"/>
  <c r="K73" i="86" s="1"/>
  <c r="I125" i="86"/>
  <c r="L125" i="86" s="1"/>
  <c r="AT311" i="20"/>
  <c r="H109" i="86"/>
  <c r="K109" i="86" s="1"/>
  <c r="AT436" i="20"/>
  <c r="AT691" i="20"/>
  <c r="AT735" i="20"/>
  <c r="AT156" i="20"/>
  <c r="AT603" i="20"/>
  <c r="AT571" i="20"/>
  <c r="AT282" i="20"/>
  <c r="AT746" i="20"/>
  <c r="AT444" i="20"/>
  <c r="AT197" i="20"/>
  <c r="AT788" i="20"/>
  <c r="AT438" i="20"/>
  <c r="H75" i="86"/>
  <c r="K75" i="86" s="1"/>
  <c r="AR76" i="20"/>
  <c r="I104" i="86"/>
  <c r="L104" i="86" s="1"/>
  <c r="I122" i="86"/>
  <c r="L122" i="86" s="1"/>
  <c r="H84" i="86"/>
  <c r="K84" i="86" s="1"/>
  <c r="H74" i="86"/>
  <c r="K74" i="86" s="1"/>
  <c r="G73" i="86"/>
  <c r="J73" i="86" s="1"/>
  <c r="AR95" i="20"/>
  <c r="AT95" i="20"/>
  <c r="AR171" i="20"/>
  <c r="AT171" i="20"/>
  <c r="AR179" i="20"/>
  <c r="AT179" i="20"/>
  <c r="AR215" i="20"/>
  <c r="AT215" i="20"/>
  <c r="AR275" i="20"/>
  <c r="AT275" i="20"/>
  <c r="AR267" i="20"/>
  <c r="AT267" i="20"/>
  <c r="AR263" i="20"/>
  <c r="AT263" i="20"/>
  <c r="AR307" i="20"/>
  <c r="AT307" i="20"/>
  <c r="AR374" i="20"/>
  <c r="AT374" i="20"/>
  <c r="AR363" i="20"/>
  <c r="AT363" i="20"/>
  <c r="AR423" i="20"/>
  <c r="AT423" i="20"/>
  <c r="AR427" i="20"/>
  <c r="AT427" i="20"/>
  <c r="AR473" i="20"/>
  <c r="AT473" i="20"/>
  <c r="AR484" i="20"/>
  <c r="AT484" i="20"/>
  <c r="AR488" i="20"/>
  <c r="AT488" i="20"/>
  <c r="AR497" i="20"/>
  <c r="AT497" i="20"/>
  <c r="AR531" i="20"/>
  <c r="AT531" i="20"/>
  <c r="AR546" i="20"/>
  <c r="AT546" i="20"/>
  <c r="AR599" i="20"/>
  <c r="AT599" i="20"/>
  <c r="AR666" i="20"/>
  <c r="AT666" i="20"/>
  <c r="I84" i="86"/>
  <c r="L84" i="86" s="1"/>
  <c r="H125" i="86"/>
  <c r="K125" i="86" s="1"/>
  <c r="AT378" i="20"/>
  <c r="I76" i="86"/>
  <c r="L76" i="86" s="1"/>
  <c r="AT660" i="20"/>
  <c r="AT71" i="20"/>
  <c r="AT285" i="20"/>
  <c r="AT211" i="20"/>
  <c r="AT346" i="20"/>
  <c r="AT656" i="20"/>
  <c r="AT501" i="20"/>
  <c r="AT139" i="20"/>
  <c r="AT801" i="20"/>
  <c r="AR99" i="20"/>
  <c r="AT99" i="20"/>
  <c r="AR201" i="20"/>
  <c r="AT201" i="20"/>
  <c r="AR210" i="20"/>
  <c r="AT210" i="20"/>
  <c r="AR244" i="20"/>
  <c r="AT244" i="20"/>
  <c r="AR293" i="20"/>
  <c r="AT293" i="20"/>
  <c r="AR321" i="20"/>
  <c r="AT321" i="20"/>
  <c r="AR317" i="20"/>
  <c r="AT317" i="20"/>
  <c r="AR350" i="20"/>
  <c r="AT350" i="20"/>
  <c r="AR389" i="20"/>
  <c r="AT389" i="20"/>
  <c r="AR393" i="20"/>
  <c r="AT393" i="20"/>
  <c r="AR496" i="20"/>
  <c r="AT496" i="20"/>
  <c r="AR513" i="20"/>
  <c r="AT513" i="20"/>
  <c r="AR543" i="20"/>
  <c r="AT543" i="20"/>
  <c r="AR552" i="20"/>
  <c r="AT552" i="20"/>
  <c r="AR556" i="20"/>
  <c r="AT556" i="20"/>
  <c r="AR646" i="20"/>
  <c r="AT646" i="20"/>
  <c r="AR654" i="20"/>
  <c r="AT654" i="20"/>
  <c r="AR690" i="20"/>
  <c r="AT690" i="20"/>
  <c r="AR709" i="20"/>
  <c r="AT709" i="20"/>
  <c r="AR911" i="20"/>
  <c r="AT911" i="20"/>
  <c r="AR996" i="20"/>
  <c r="AT996" i="20"/>
  <c r="AR1011" i="20"/>
  <c r="AT1011" i="20"/>
  <c r="AR1007" i="20"/>
  <c r="AT1007" i="20"/>
  <c r="AR1056" i="20"/>
  <c r="AT1056" i="20"/>
  <c r="AR1084" i="20"/>
  <c r="AT1084" i="20"/>
  <c r="AR1122" i="20"/>
  <c r="AT1122" i="20"/>
  <c r="AR1119" i="20"/>
  <c r="AT1119" i="20"/>
  <c r="AT123" i="20"/>
  <c r="H86" i="86"/>
  <c r="G108" i="86"/>
  <c r="J108" i="86" s="1"/>
  <c r="G75" i="86"/>
  <c r="J75" i="86" s="1"/>
  <c r="AT176" i="20"/>
  <c r="AT1072" i="20"/>
  <c r="H61" i="86"/>
  <c r="K61" i="86" s="1"/>
  <c r="AT704" i="20"/>
  <c r="G61" i="86"/>
  <c r="J61" i="86" s="1"/>
  <c r="AT1040" i="20"/>
  <c r="G161" i="86"/>
  <c r="J161" i="86" s="1"/>
  <c r="I105" i="86"/>
  <c r="L105" i="86" s="1"/>
  <c r="AT764" i="20"/>
  <c r="AT564" i="20"/>
  <c r="H161" i="86"/>
  <c r="K161" i="86" s="1"/>
  <c r="AT1057" i="20"/>
  <c r="H48" i="86"/>
  <c r="AT1156" i="20"/>
  <c r="AT1003" i="20"/>
  <c r="AT400" i="20"/>
  <c r="AT602" i="20"/>
  <c r="AT634" i="20"/>
  <c r="AT993" i="20"/>
  <c r="AT1167" i="20"/>
  <c r="AT1062" i="20"/>
  <c r="AT1101" i="20"/>
  <c r="AT1021" i="20"/>
  <c r="AT443" i="20"/>
  <c r="AT469" i="20"/>
  <c r="AT756" i="20"/>
  <c r="AT91" i="20"/>
  <c r="AT579" i="20"/>
  <c r="AT166" i="20"/>
  <c r="AT214" i="20"/>
  <c r="AT312" i="20"/>
  <c r="AT279" i="20"/>
  <c r="AT37" i="20"/>
  <c r="AT98" i="20"/>
  <c r="AT111" i="20"/>
  <c r="AT248" i="20"/>
  <c r="AH93" i="14"/>
  <c r="AR33" i="20"/>
  <c r="AR60" i="20"/>
  <c r="AR42" i="20"/>
  <c r="AT42" i="20"/>
  <c r="AR69" i="20"/>
  <c r="AT69" i="20"/>
  <c r="AR73" i="20"/>
  <c r="AT73" i="20"/>
  <c r="I109" i="86"/>
  <c r="L109" i="86" s="1"/>
  <c r="I73" i="86"/>
  <c r="L73" i="86" s="1"/>
  <c r="I16" i="86"/>
  <c r="L16" i="86" s="1"/>
  <c r="H38" i="86"/>
  <c r="K38" i="86" s="1"/>
  <c r="G86" i="86"/>
  <c r="J86" i="86" s="1"/>
  <c r="G138" i="86"/>
  <c r="J138" i="86" s="1"/>
  <c r="I74" i="86"/>
  <c r="L74" i="86" s="1"/>
  <c r="G104" i="86"/>
  <c r="J104" i="86" s="1"/>
  <c r="H104" i="86"/>
  <c r="K104" i="86" s="1"/>
  <c r="G84" i="86"/>
  <c r="H16" i="86"/>
  <c r="K16" i="86" s="1"/>
  <c r="I38" i="86"/>
  <c r="I108" i="86"/>
  <c r="L108" i="86" s="1"/>
  <c r="H122" i="86"/>
  <c r="K122" i="86" s="1"/>
  <c r="I61" i="86"/>
  <c r="L61" i="86" s="1"/>
  <c r="G109" i="86"/>
  <c r="J109" i="86" s="1"/>
  <c r="H105" i="86"/>
  <c r="K105" i="86" s="1"/>
  <c r="G38" i="86"/>
  <c r="J38" i="86" s="1"/>
  <c r="H49" i="86"/>
  <c r="G74" i="86"/>
  <c r="J74" i="86" s="1"/>
  <c r="H76" i="86"/>
  <c r="I138" i="86"/>
  <c r="L138" i="86" s="1"/>
  <c r="G105" i="86"/>
  <c r="AR78" i="20"/>
  <c r="AT78" i="20"/>
  <c r="AR88" i="20"/>
  <c r="AT88" i="20"/>
  <c r="AR94" i="20"/>
  <c r="AT94" i="20"/>
  <c r="AR105" i="20"/>
  <c r="AT105" i="20"/>
  <c r="AR116" i="20"/>
  <c r="AT116" i="20"/>
  <c r="AR120" i="20"/>
  <c r="AT120" i="20"/>
  <c r="AR126" i="20"/>
  <c r="AR131" i="20"/>
  <c r="AT131" i="20"/>
  <c r="AR138" i="20"/>
  <c r="AT138" i="20"/>
  <c r="AR143" i="20"/>
  <c r="AT143" i="20"/>
  <c r="AR140" i="20"/>
  <c r="AT140" i="20"/>
  <c r="AR150" i="20"/>
  <c r="AT150" i="20"/>
  <c r="AR152" i="20"/>
  <c r="AT152" i="20"/>
  <c r="AR155" i="20"/>
  <c r="AT155" i="20"/>
  <c r="AR159" i="20"/>
  <c r="AT159" i="20"/>
  <c r="AR164" i="20"/>
  <c r="AT164" i="20"/>
  <c r="AR168" i="20"/>
  <c r="AT168" i="20"/>
  <c r="AR181" i="20"/>
  <c r="AT181" i="20"/>
  <c r="AR184" i="20"/>
  <c r="AT184" i="20"/>
  <c r="AR189" i="20"/>
  <c r="AT189" i="20"/>
  <c r="AR196" i="20"/>
  <c r="AT196" i="20"/>
  <c r="AR198" i="20"/>
  <c r="AT198" i="20"/>
  <c r="AR212" i="20"/>
  <c r="AT212" i="20"/>
  <c r="AR216" i="20"/>
  <c r="AT216" i="20"/>
  <c r="AR222" i="20"/>
  <c r="AT222" i="20"/>
  <c r="AR228" i="20"/>
  <c r="AT228" i="20"/>
  <c r="AR231" i="20"/>
  <c r="AT231" i="20"/>
  <c r="AR236" i="20"/>
  <c r="AT236" i="20"/>
  <c r="AR240" i="20"/>
  <c r="AT240" i="20"/>
  <c r="AR251" i="20"/>
  <c r="AT251" i="20"/>
  <c r="AR260" i="20"/>
  <c r="AT260" i="20"/>
  <c r="AR256" i="20"/>
  <c r="AT256" i="20"/>
  <c r="AR281" i="20"/>
  <c r="AT281" i="20"/>
  <c r="AR283" i="20"/>
  <c r="AT283" i="20"/>
  <c r="AR289" i="20"/>
  <c r="AT289" i="20"/>
  <c r="AR299" i="20"/>
  <c r="AT299" i="20"/>
  <c r="AR314" i="20"/>
  <c r="AT314" i="20"/>
  <c r="AR305" i="20"/>
  <c r="AT305" i="20"/>
  <c r="AR339" i="20"/>
  <c r="AT339" i="20"/>
  <c r="AR335" i="20"/>
  <c r="AT335" i="20"/>
  <c r="AR340" i="20"/>
  <c r="AT340" i="20"/>
  <c r="AH109" i="14"/>
  <c r="AT414" i="20"/>
  <c r="AT467" i="20"/>
  <c r="AT358" i="20"/>
  <c r="AT485" i="20"/>
  <c r="AT664" i="20"/>
  <c r="AT748" i="20"/>
  <c r="AT532" i="20"/>
  <c r="AT408" i="20"/>
  <c r="AT729" i="20"/>
  <c r="AT776" i="20"/>
  <c r="AT369" i="20"/>
  <c r="AT831" i="20"/>
  <c r="AT682" i="20"/>
  <c r="AT742" i="20"/>
  <c r="AT651" i="20"/>
  <c r="AR385" i="20"/>
  <c r="AT385" i="20"/>
  <c r="AR435" i="20"/>
  <c r="AT435" i="20"/>
  <c r="AR452" i="20"/>
  <c r="AT452" i="20"/>
  <c r="AR491" i="20"/>
  <c r="AT491" i="20"/>
  <c r="AR498" i="20"/>
  <c r="AT498" i="20"/>
  <c r="AR504" i="20"/>
  <c r="AT504" i="20"/>
  <c r="AR521" i="20"/>
  <c r="AT521" i="20"/>
  <c r="AR528" i="20"/>
  <c r="AT528" i="20"/>
  <c r="AR538" i="20"/>
  <c r="AT538" i="20"/>
  <c r="AR630" i="20"/>
  <c r="AT630" i="20"/>
  <c r="AR611" i="20"/>
  <c r="AT611" i="20"/>
  <c r="AR598" i="20"/>
  <c r="AT598" i="20"/>
  <c r="AR594" i="20"/>
  <c r="AT594" i="20"/>
  <c r="AR586" i="20"/>
  <c r="AT586" i="20"/>
  <c r="AR581" i="20"/>
  <c r="AT581" i="20"/>
  <c r="AR570" i="20"/>
  <c r="AT570" i="20"/>
  <c r="AR670" i="20"/>
  <c r="AT670" i="20"/>
  <c r="AR676" i="20"/>
  <c r="AT676" i="20"/>
  <c r="AR679" i="20"/>
  <c r="AT679" i="20"/>
  <c r="AR718" i="20"/>
  <c r="AT718" i="20"/>
  <c r="AR725" i="20"/>
  <c r="AT725" i="20"/>
  <c r="AR737" i="20"/>
  <c r="AT737" i="20"/>
  <c r="AR740" i="20"/>
  <c r="AT740" i="20"/>
  <c r="AR785" i="20"/>
  <c r="AT785" i="20"/>
  <c r="AR808" i="20"/>
  <c r="AT808" i="20"/>
  <c r="AR810" i="20"/>
  <c r="AT810" i="20"/>
  <c r="AR827" i="20"/>
  <c r="AT827" i="20"/>
  <c r="AR818" i="20"/>
  <c r="AT818" i="20"/>
  <c r="AR855" i="20"/>
  <c r="AT855" i="20"/>
  <c r="AR851" i="20"/>
  <c r="AT851" i="20"/>
  <c r="AR860" i="20"/>
  <c r="AT860" i="20"/>
  <c r="AR906" i="20"/>
  <c r="AT906" i="20"/>
  <c r="AR883" i="20"/>
  <c r="AT883" i="20"/>
  <c r="AR928" i="20"/>
  <c r="AT928" i="20"/>
  <c r="AR936" i="20"/>
  <c r="AT936" i="20"/>
  <c r="AR944" i="20"/>
  <c r="AT944" i="20"/>
  <c r="AR951" i="20"/>
  <c r="AT951" i="20"/>
  <c r="AR955" i="20"/>
  <c r="AT955" i="20"/>
  <c r="AR964" i="20"/>
  <c r="AT964" i="20"/>
  <c r="AR972" i="20"/>
  <c r="AT972" i="20"/>
  <c r="AR975" i="20"/>
  <c r="AT975" i="20"/>
  <c r="AR1006" i="20"/>
  <c r="AT1006" i="20"/>
  <c r="AR989" i="20"/>
  <c r="AT989" i="20"/>
  <c r="AR1028" i="20"/>
  <c r="AT1028" i="20"/>
  <c r="AR1036" i="20"/>
  <c r="AT1036" i="20"/>
  <c r="AR1048" i="20"/>
  <c r="AT1048" i="20"/>
  <c r="AR1076" i="20"/>
  <c r="AT1076" i="20"/>
  <c r="AR1078" i="20"/>
  <c r="AT1078" i="20"/>
  <c r="AR1093" i="20"/>
  <c r="AT1093" i="20"/>
  <c r="AR1148" i="20"/>
  <c r="AT1148" i="20"/>
  <c r="AR1152" i="20"/>
  <c r="AT1152" i="20"/>
  <c r="AR354" i="20"/>
  <c r="AT354" i="20"/>
  <c r="AR345" i="20"/>
  <c r="AT345" i="20"/>
  <c r="AR395" i="20"/>
  <c r="AT395" i="20"/>
  <c r="AR403" i="20"/>
  <c r="AT403" i="20"/>
  <c r="AT567" i="20"/>
  <c r="AT558" i="20"/>
  <c r="AT365" i="20"/>
  <c r="AT511" i="20"/>
  <c r="AT548" i="20"/>
  <c r="AT574" i="20"/>
  <c r="AT373" i="20"/>
  <c r="AT477" i="20"/>
  <c r="AT698" i="20"/>
  <c r="AT419" i="20"/>
  <c r="AT455" i="20"/>
  <c r="AT462" i="20"/>
  <c r="AT639" i="20"/>
  <c r="AT622" i="20"/>
  <c r="AT847" i="20"/>
  <c r="AT522" i="20"/>
  <c r="AT863" i="20"/>
  <c r="AT844" i="20"/>
  <c r="AR103" i="20"/>
  <c r="AT103" i="20"/>
  <c r="AR208" i="20"/>
  <c r="AT208" i="20"/>
  <c r="AR219" i="20"/>
  <c r="AT219" i="20"/>
  <c r="AR225" i="20"/>
  <c r="AT225" i="20"/>
  <c r="AR254" i="20"/>
  <c r="AT254" i="20"/>
  <c r="AR284" i="20"/>
  <c r="AT284" i="20"/>
  <c r="AR306" i="20"/>
  <c r="AT306" i="20"/>
  <c r="AR336" i="20"/>
  <c r="AT336" i="20"/>
  <c r="AR341" i="20"/>
  <c r="AT341" i="20"/>
  <c r="AR366" i="20"/>
  <c r="AT366" i="20"/>
  <c r="AR359" i="20"/>
  <c r="AT359" i="20"/>
  <c r="AR453" i="20"/>
  <c r="AT453" i="20"/>
  <c r="AR506" i="20"/>
  <c r="AT506" i="20"/>
  <c r="AR508" i="20"/>
  <c r="AT508" i="20"/>
  <c r="AR627" i="20"/>
  <c r="AT627" i="20"/>
  <c r="AR683" i="20"/>
  <c r="AT683" i="20"/>
  <c r="AR710" i="20"/>
  <c r="AT710" i="20"/>
  <c r="AR706" i="20"/>
  <c r="AT706" i="20"/>
  <c r="AR730" i="20"/>
  <c r="AT730" i="20"/>
  <c r="AR781" i="20"/>
  <c r="AT781" i="20"/>
  <c r="AR825" i="20"/>
  <c r="AT825" i="20"/>
  <c r="AR892" i="20"/>
  <c r="AT892" i="20"/>
  <c r="AR931" i="20"/>
  <c r="AT931" i="20"/>
  <c r="AR956" i="20"/>
  <c r="AT956" i="20"/>
  <c r="AR970" i="20"/>
  <c r="AT970" i="20"/>
  <c r="AR966" i="20"/>
  <c r="AT966" i="20"/>
  <c r="AR976" i="20"/>
  <c r="AT976" i="20"/>
  <c r="AR1000" i="20"/>
  <c r="AT1000" i="20"/>
  <c r="AR1033" i="20"/>
  <c r="AT1033" i="20"/>
  <c r="AR1049" i="20"/>
  <c r="AT1049" i="20"/>
  <c r="AR1082" i="20"/>
  <c r="AT1082" i="20"/>
  <c r="AR1087" i="20"/>
  <c r="AT1087" i="20"/>
  <c r="AT77" i="20"/>
  <c r="AT247" i="20"/>
  <c r="AT332" i="20"/>
  <c r="AT324" i="20"/>
  <c r="AT398" i="20"/>
  <c r="AT127" i="20"/>
  <c r="AT192" i="20"/>
  <c r="AT386" i="20"/>
  <c r="AT132" i="20"/>
  <c r="AT391" i="20"/>
  <c r="AT550" i="20"/>
  <c r="AT544" i="20"/>
  <c r="AT680" i="20"/>
  <c r="AT301" i="20"/>
  <c r="AH276" i="14"/>
  <c r="AH59" i="14"/>
  <c r="AH248" i="14"/>
  <c r="AH227" i="14"/>
  <c r="AH271" i="14"/>
  <c r="AH186" i="14"/>
  <c r="AH123" i="14"/>
  <c r="AH267" i="14"/>
  <c r="AH13" i="14"/>
  <c r="AH279" i="14"/>
  <c r="AT110" i="20"/>
  <c r="AT241" i="20"/>
  <c r="AT85" i="20"/>
  <c r="AR85" i="20"/>
  <c r="AT74" i="20"/>
  <c r="AR74" i="20"/>
  <c r="AT114" i="20"/>
  <c r="AR114" i="20"/>
  <c r="AT128" i="20"/>
  <c r="AR128" i="20"/>
  <c r="AT134" i="20"/>
  <c r="AR134" i="20"/>
  <c r="AT178" i="20"/>
  <c r="AR178" i="20"/>
  <c r="AT934" i="20"/>
  <c r="AR934" i="20"/>
  <c r="AT84" i="20"/>
  <c r="AR84" i="20"/>
  <c r="AT68" i="20"/>
  <c r="AR68" i="20"/>
  <c r="AT135" i="20"/>
  <c r="AR135" i="20"/>
  <c r="AT160" i="20"/>
  <c r="AR160" i="20"/>
  <c r="AT194" i="20"/>
  <c r="AR194" i="20"/>
  <c r="AT643" i="20"/>
  <c r="AR643" i="20"/>
  <c r="AT712" i="20"/>
  <c r="AR712" i="20"/>
  <c r="AT1111" i="20"/>
  <c r="AR1111" i="20"/>
  <c r="AP961" i="20"/>
  <c r="AO961" i="20"/>
  <c r="AB719" i="20"/>
  <c r="AF719" i="20"/>
  <c r="AI719" i="20"/>
  <c r="AP717" i="20"/>
  <c r="AO717" i="20"/>
  <c r="AJ717" i="20"/>
  <c r="AI717" i="20"/>
  <c r="AL717" i="20"/>
  <c r="AA717" i="20"/>
  <c r="AB708" i="20"/>
  <c r="AC708" i="20"/>
  <c r="AL708" i="20"/>
  <c r="Z708" i="20"/>
  <c r="Y708" i="20"/>
  <c r="AP705" i="20"/>
  <c r="AA705" i="20"/>
  <c r="AG705" i="20"/>
  <c r="AI705" i="20"/>
  <c r="AP701" i="20"/>
  <c r="AO701" i="20"/>
  <c r="AD701" i="20"/>
  <c r="AL701" i="20"/>
  <c r="AC701" i="20"/>
  <c r="AP697" i="20"/>
  <c r="AO697" i="20"/>
  <c r="AC697" i="20"/>
  <c r="AL697" i="20"/>
  <c r="Y697" i="20"/>
  <c r="AA697" i="20"/>
  <c r="AP693" i="20"/>
  <c r="AE693" i="20"/>
  <c r="Y693" i="20"/>
  <c r="AH693" i="20"/>
  <c r="AK693" i="20"/>
  <c r="AP689" i="20"/>
  <c r="AF689" i="20"/>
  <c r="AI689" i="20"/>
  <c r="AC689" i="20"/>
  <c r="AB689" i="20"/>
  <c r="AP683" i="20"/>
  <c r="AO683" i="20"/>
  <c r="AL683" i="20"/>
  <c r="AA683" i="20"/>
  <c r="AF683" i="20"/>
  <c r="AO681" i="20"/>
  <c r="AJ681" i="20"/>
  <c r="AK681" i="20"/>
  <c r="AC681" i="20"/>
  <c r="AP676" i="20"/>
  <c r="Y676" i="20"/>
  <c r="Z676" i="20"/>
  <c r="AH676" i="20"/>
  <c r="AB676" i="20"/>
  <c r="AP672" i="20"/>
  <c r="Z672" i="20"/>
  <c r="AB672" i="20"/>
  <c r="AK672" i="20"/>
  <c r="AP669" i="20"/>
  <c r="AO669" i="20"/>
  <c r="AP661" i="20"/>
  <c r="AO661" i="20"/>
  <c r="Y661" i="20"/>
  <c r="AP657" i="20"/>
  <c r="AL657" i="20"/>
  <c r="AJ657" i="20"/>
  <c r="AP583" i="20"/>
  <c r="AO583" i="20"/>
  <c r="AP629" i="20"/>
  <c r="AO629" i="20"/>
  <c r="AP564" i="20"/>
  <c r="AO564" i="20"/>
  <c r="AP537" i="20"/>
  <c r="AO537" i="20"/>
  <c r="AP533" i="20"/>
  <c r="AO533" i="20"/>
  <c r="AH533" i="20"/>
  <c r="Y529" i="20"/>
  <c r="AE529" i="20"/>
  <c r="Z529" i="20"/>
  <c r="AH485" i="20"/>
  <c r="AG485" i="20"/>
  <c r="AJ485" i="20"/>
  <c r="AL485" i="20"/>
  <c r="AE482" i="20"/>
  <c r="AF482" i="20"/>
  <c r="Y482" i="20"/>
  <c r="AC482" i="20"/>
  <c r="AB479" i="20"/>
  <c r="AL479" i="20"/>
  <c r="Z479" i="20"/>
  <c r="AF474" i="20"/>
  <c r="AK474" i="20"/>
  <c r="Z474" i="20"/>
  <c r="AB471" i="20"/>
  <c r="AN471" i="20"/>
  <c r="AG471" i="20"/>
  <c r="AJ471" i="20"/>
  <c r="AP464" i="20"/>
  <c r="AA464" i="20"/>
  <c r="AH464" i="20"/>
  <c r="Y464" i="20"/>
  <c r="AP463" i="20"/>
  <c r="AA463" i="20"/>
  <c r="AE463" i="20"/>
  <c r="AB463" i="20"/>
  <c r="AI463" i="20"/>
  <c r="AH323" i="20"/>
  <c r="AN323" i="20"/>
  <c r="AG323" i="20"/>
  <c r="AB323" i="20"/>
  <c r="AP165" i="20"/>
  <c r="AO165" i="20"/>
  <c r="AN464" i="20"/>
  <c r="AF464" i="20"/>
  <c r="AI474" i="20"/>
  <c r="AC474" i="20"/>
  <c r="AN474" i="20"/>
  <c r="AD482" i="20"/>
  <c r="AB482" i="20"/>
  <c r="AL482" i="20"/>
  <c r="AI533" i="20"/>
  <c r="AJ665" i="20"/>
  <c r="Y525" i="20"/>
  <c r="AJ653" i="20"/>
  <c r="AI525" i="20"/>
  <c r="AL681" i="20"/>
  <c r="AL719" i="20"/>
  <c r="AL669" i="20"/>
  <c r="AO719" i="20"/>
  <c r="AO676" i="20"/>
  <c r="AO708" i="20"/>
  <c r="AO584" i="20"/>
  <c r="AP823" i="20"/>
  <c r="AP665" i="20"/>
  <c r="AC323" i="20"/>
  <c r="Z323" i="20"/>
  <c r="AJ323" i="20"/>
  <c r="AK463" i="20"/>
  <c r="AH463" i="20"/>
  <c r="AK471" i="20"/>
  <c r="AF471" i="20"/>
  <c r="Y471" i="20"/>
  <c r="AC479" i="20"/>
  <c r="AA479" i="20"/>
  <c r="AN479" i="20"/>
  <c r="AK485" i="20"/>
  <c r="AC485" i="20"/>
  <c r="AA474" i="20"/>
  <c r="AE464" i="20"/>
  <c r="AJ464" i="20"/>
  <c r="AB464" i="20"/>
  <c r="AE474" i="20"/>
  <c r="AD474" i="20"/>
  <c r="AH482" i="20"/>
  <c r="AA482" i="20"/>
  <c r="AN482" i="20"/>
  <c r="AB961" i="20"/>
  <c r="AH697" i="20"/>
  <c r="AI529" i="20"/>
  <c r="AH681" i="20"/>
  <c r="AD661" i="20"/>
  <c r="AC533" i="20"/>
  <c r="AJ697" i="20"/>
  <c r="AO30" i="20"/>
  <c r="AO705" i="20"/>
  <c r="AO672" i="20"/>
  <c r="AO572" i="20"/>
  <c r="AO175" i="20"/>
  <c r="AO265" i="20"/>
  <c r="AP681" i="20"/>
  <c r="AL82" i="20"/>
  <c r="N12" i="37" s="1"/>
  <c r="AI82" i="20"/>
  <c r="K12" i="37" s="1"/>
  <c r="AG82" i="20"/>
  <c r="I12" i="37" s="1"/>
  <c r="AO163" i="20"/>
  <c r="AP163" i="20"/>
  <c r="AP158" i="20"/>
  <c r="AO158" i="20"/>
  <c r="AC82" i="20"/>
  <c r="E12" i="37" s="1"/>
  <c r="AK82" i="20"/>
  <c r="M12" i="37" s="1"/>
  <c r="AE82" i="20"/>
  <c r="G12" i="37" s="1"/>
  <c r="G40" i="37"/>
  <c r="AB82" i="20"/>
  <c r="D12" i="37" s="1"/>
  <c r="AD82" i="20"/>
  <c r="F12" i="37" s="1"/>
  <c r="AF82" i="20"/>
  <c r="H12" i="37" s="1"/>
  <c r="AH82" i="20"/>
  <c r="J12" i="37" s="1"/>
  <c r="AJ82" i="20"/>
  <c r="L12" i="37" s="1"/>
  <c r="AH21" i="14"/>
  <c r="AH105" i="14"/>
  <c r="AH8" i="14"/>
  <c r="AH149" i="14"/>
  <c r="AH85" i="14"/>
  <c r="AH230" i="14"/>
  <c r="AH17" i="14"/>
  <c r="AH165" i="14"/>
  <c r="AH55" i="14"/>
  <c r="AH62" i="14"/>
  <c r="AH60" i="14"/>
  <c r="AH14" i="14"/>
  <c r="AH107" i="14"/>
  <c r="AH201" i="14"/>
  <c r="AH211" i="14"/>
  <c r="AH73" i="14"/>
  <c r="AH43" i="14"/>
  <c r="AH112" i="14"/>
  <c r="AH216" i="14"/>
  <c r="AH122" i="14"/>
  <c r="AH179" i="14"/>
  <c r="AH234" i="14"/>
  <c r="AH238" i="14"/>
  <c r="AH275" i="14"/>
  <c r="AH155" i="14"/>
  <c r="AH45" i="14"/>
  <c r="AH30" i="14"/>
  <c r="AH34" i="14"/>
  <c r="AH138" i="14"/>
  <c r="AH148" i="14"/>
  <c r="AH250" i="14"/>
  <c r="AH207" i="14"/>
  <c r="AH152" i="14"/>
  <c r="AH199" i="14"/>
  <c r="AH108" i="14"/>
  <c r="AH74" i="14"/>
  <c r="AH193" i="14"/>
  <c r="AH160" i="14"/>
  <c r="AH268" i="14"/>
  <c r="AH277" i="14"/>
  <c r="AH233" i="14"/>
  <c r="AH28" i="14"/>
  <c r="AH197" i="14"/>
  <c r="AH158" i="14"/>
  <c r="AH162" i="14"/>
  <c r="AH80" i="14"/>
  <c r="AH202" i="14"/>
  <c r="AH178" i="14"/>
  <c r="AH244" i="14"/>
  <c r="AH24" i="14"/>
  <c r="AH116" i="14"/>
  <c r="AH270" i="14"/>
  <c r="AH52" i="14"/>
  <c r="AH75" i="14"/>
  <c r="AH47" i="14"/>
  <c r="AH51" i="14"/>
  <c r="AH77" i="14"/>
  <c r="AH236" i="14"/>
  <c r="AH58" i="14"/>
  <c r="AH71" i="14"/>
  <c r="CG21" i="62"/>
  <c r="CG23" i="62"/>
  <c r="CG27" i="62"/>
  <c r="CG25" i="62"/>
  <c r="AH92" i="14"/>
  <c r="AH12" i="14"/>
  <c r="AH20" i="14"/>
  <c r="AH44" i="14"/>
  <c r="AH70" i="14"/>
  <c r="CG28" i="62"/>
  <c r="K39" i="37"/>
  <c r="AO53" i="40"/>
  <c r="E32" i="40"/>
  <c r="C41" i="40"/>
  <c r="AK41" i="40"/>
  <c r="I35" i="40" s="1"/>
  <c r="AM41" i="40"/>
  <c r="AO51" i="40"/>
  <c r="AO65" i="40"/>
  <c r="AO54" i="40"/>
  <c r="AO55" i="40"/>
  <c r="AO63" i="40"/>
  <c r="AO50" i="40"/>
  <c r="AO64" i="40"/>
  <c r="AO61" i="40"/>
  <c r="AO60" i="40"/>
  <c r="AO59" i="40"/>
  <c r="AO57" i="40"/>
  <c r="C30" i="37"/>
  <c r="X6" i="66"/>
  <c r="X26" i="66" s="1"/>
  <c r="AO48" i="40"/>
  <c r="D41" i="40"/>
  <c r="AG9" i="66"/>
  <c r="Z10" i="66" s="1"/>
  <c r="N13" i="43"/>
  <c r="R13" i="43" s="1"/>
  <c r="AL41" i="40"/>
  <c r="J35" i="40" s="1"/>
  <c r="L13" i="36"/>
  <c r="O13" i="36" s="1"/>
  <c r="C55" i="37"/>
  <c r="D32" i="40"/>
  <c r="G39" i="37"/>
  <c r="B29" i="36"/>
  <c r="Y26" i="66"/>
  <c r="AC26" i="66" s="1"/>
  <c r="AO49" i="40"/>
  <c r="B55" i="37"/>
  <c r="B30" i="37"/>
  <c r="D49" i="40"/>
  <c r="E47" i="40"/>
  <c r="E48" i="40"/>
  <c r="E46" i="40"/>
  <c r="C49" i="40"/>
  <c r="AC12" i="43"/>
  <c r="I12" i="43"/>
  <c r="I41" i="40"/>
  <c r="I48" i="40"/>
  <c r="I47" i="40"/>
  <c r="I46" i="40"/>
  <c r="I45" i="40"/>
  <c r="H48" i="40"/>
  <c r="I43" i="40"/>
  <c r="H41" i="40"/>
  <c r="H46" i="40"/>
  <c r="H45" i="40"/>
  <c r="H44" i="40"/>
  <c r="H43" i="40"/>
  <c r="H42" i="40"/>
  <c r="I44" i="40"/>
  <c r="I42" i="40"/>
  <c r="H47" i="40"/>
  <c r="F26" i="37" l="1"/>
  <c r="G26" i="37"/>
  <c r="G28" i="37"/>
  <c r="D28" i="37"/>
  <c r="D16" i="37"/>
  <c r="E20" i="37"/>
  <c r="G18" i="37"/>
  <c r="M10" i="36"/>
  <c r="K10" i="36" s="1"/>
  <c r="M26" i="36"/>
  <c r="K26" i="36" s="1"/>
  <c r="N26" i="36" s="1"/>
  <c r="AF168" i="14"/>
  <c r="AH168" i="14" s="1"/>
  <c r="V245" i="19"/>
  <c r="AH117" i="14"/>
  <c r="M15" i="36"/>
  <c r="K15" i="36" s="1"/>
  <c r="AH242" i="14"/>
  <c r="AH100" i="14"/>
  <c r="M17" i="36"/>
  <c r="K17" i="36" s="1"/>
  <c r="N17" i="36" s="1"/>
  <c r="M20" i="36"/>
  <c r="K20" i="36" s="1"/>
  <c r="N20" i="36" s="1"/>
  <c r="M9" i="36"/>
  <c r="K9" i="36" s="1"/>
  <c r="N9" i="36" s="1"/>
  <c r="M25" i="36"/>
  <c r="K25" i="36" s="1"/>
  <c r="N25" i="36" s="1"/>
  <c r="M16" i="36"/>
  <c r="K16" i="36" s="1"/>
  <c r="N16" i="36" s="1"/>
  <c r="M24" i="36"/>
  <c r="K24" i="36" s="1"/>
  <c r="N24" i="36" s="1"/>
  <c r="AA20" i="66" s="1"/>
  <c r="AH29" i="14"/>
  <c r="M28" i="36"/>
  <c r="K28" i="36" s="1"/>
  <c r="N28" i="36" s="1"/>
  <c r="M18" i="36"/>
  <c r="K18" i="36" s="1"/>
  <c r="N18" i="36" s="1"/>
  <c r="M21" i="36"/>
  <c r="K21" i="36" s="1"/>
  <c r="N21" i="36" s="1"/>
  <c r="AA17" i="66" s="1"/>
  <c r="AH180" i="14"/>
  <c r="M27" i="36"/>
  <c r="K27" i="36" s="1"/>
  <c r="AH83" i="14"/>
  <c r="M19" i="36"/>
  <c r="K19" i="36" s="1"/>
  <c r="N19" i="36" s="1"/>
  <c r="AA15" i="66" s="1"/>
  <c r="AH96" i="14"/>
  <c r="M14" i="36"/>
  <c r="K14" i="36" s="1"/>
  <c r="N14" i="36" s="1"/>
  <c r="AH46" i="14"/>
  <c r="M8" i="36"/>
  <c r="K8" i="36" s="1"/>
  <c r="N8" i="36" s="1"/>
  <c r="AA4" i="66" s="1"/>
  <c r="AH40" i="14"/>
  <c r="M23" i="36"/>
  <c r="K23" i="36" s="1"/>
  <c r="N23" i="36" s="1"/>
  <c r="AH281" i="14"/>
  <c r="M11" i="36"/>
  <c r="K11" i="36" s="1"/>
  <c r="AH111" i="14"/>
  <c r="M12" i="36"/>
  <c r="K12" i="36" s="1"/>
  <c r="AH5" i="14"/>
  <c r="M22" i="36"/>
  <c r="K22" i="36" s="1"/>
  <c r="N22" i="36" s="1"/>
  <c r="K35" i="40"/>
  <c r="AN31" i="40"/>
  <c r="AO70" i="40"/>
  <c r="E29" i="37"/>
  <c r="F11" i="37"/>
  <c r="G22" i="37"/>
  <c r="D24" i="37"/>
  <c r="F24" i="37"/>
  <c r="E19" i="37"/>
  <c r="F22" i="37"/>
  <c r="F27" i="37"/>
  <c r="E17" i="37"/>
  <c r="H17" i="37"/>
  <c r="F25" i="37"/>
  <c r="D10" i="37"/>
  <c r="D8" i="37"/>
  <c r="D20" i="37"/>
  <c r="E23" i="37"/>
  <c r="E24" i="37"/>
  <c r="E25" i="37"/>
  <c r="D9" i="37"/>
  <c r="G11" i="37"/>
  <c r="F19" i="37"/>
  <c r="E21" i="37"/>
  <c r="D29" i="37"/>
  <c r="D19" i="37"/>
  <c r="G17" i="37"/>
  <c r="G10" i="37"/>
  <c r="G15" i="37"/>
  <c r="D26" i="37"/>
  <c r="D15" i="37"/>
  <c r="H15" i="37"/>
  <c r="E16" i="37"/>
  <c r="F16" i="37"/>
  <c r="E18" i="37"/>
  <c r="F20" i="37"/>
  <c r="F23" i="37"/>
  <c r="D23" i="37"/>
  <c r="G23" i="37"/>
  <c r="F10" i="37"/>
  <c r="G16" i="37"/>
  <c r="E11" i="37"/>
  <c r="G9" i="37"/>
  <c r="D25" i="37"/>
  <c r="E9" i="37"/>
  <c r="D11" i="37"/>
  <c r="E22" i="37"/>
  <c r="G21" i="37"/>
  <c r="D21" i="37"/>
  <c r="D22" i="37"/>
  <c r="F29" i="37"/>
  <c r="G24" i="37"/>
  <c r="G29" i="37"/>
  <c r="G27" i="37"/>
  <c r="D17" i="37"/>
  <c r="E27" i="37"/>
  <c r="E10" i="37"/>
  <c r="F15" i="37"/>
  <c r="H16" i="37"/>
  <c r="F18" i="37"/>
  <c r="D18" i="37"/>
  <c r="G20" i="37"/>
  <c r="E15" i="37"/>
  <c r="E26" i="37"/>
  <c r="F9" i="37"/>
  <c r="F21" i="37"/>
  <c r="G19" i="37"/>
  <c r="D27" i="37"/>
  <c r="F17" i="37"/>
  <c r="G25" i="37"/>
  <c r="G67" i="86"/>
  <c r="J67" i="86" s="1"/>
  <c r="I54" i="86"/>
  <c r="L54" i="86" s="1"/>
  <c r="AG26" i="66"/>
  <c r="Z26" i="66" s="1"/>
  <c r="AC21" i="43"/>
  <c r="H119" i="86"/>
  <c r="K119" i="86" s="1"/>
  <c r="J16" i="37"/>
  <c r="O12" i="43"/>
  <c r="P12" i="43" s="1"/>
  <c r="S12" i="43" s="1"/>
  <c r="H54" i="86"/>
  <c r="K54" i="86" s="1"/>
  <c r="I132" i="86"/>
  <c r="L132" i="86" s="1"/>
  <c r="G54" i="86"/>
  <c r="J54" i="86" s="1"/>
  <c r="I44" i="86"/>
  <c r="L44" i="86" s="1"/>
  <c r="H43" i="86"/>
  <c r="K43" i="86" s="1"/>
  <c r="I40" i="86"/>
  <c r="L40" i="86" s="1"/>
  <c r="I130" i="86"/>
  <c r="L130" i="86" s="1"/>
  <c r="I43" i="86"/>
  <c r="L43" i="86" s="1"/>
  <c r="G77" i="86"/>
  <c r="J77" i="86" s="1"/>
  <c r="H77" i="86"/>
  <c r="K77" i="86" s="1"/>
  <c r="G40" i="86"/>
  <c r="J40" i="86" s="1"/>
  <c r="G81" i="86"/>
  <c r="J81" i="86" s="1"/>
  <c r="I83" i="86"/>
  <c r="L83" i="86" s="1"/>
  <c r="I129" i="86"/>
  <c r="L129" i="86" s="1"/>
  <c r="I119" i="86"/>
  <c r="L119" i="86" s="1"/>
  <c r="I66" i="86"/>
  <c r="L66" i="86" s="1"/>
  <c r="G27" i="86"/>
  <c r="J27" i="86" s="1"/>
  <c r="I18" i="43"/>
  <c r="AC15" i="43"/>
  <c r="G66" i="86"/>
  <c r="J66" i="86" s="1"/>
  <c r="I8" i="86"/>
  <c r="L8" i="86" s="1"/>
  <c r="AC13" i="43"/>
  <c r="H40" i="86"/>
  <c r="K40" i="86" s="1"/>
  <c r="K28" i="37"/>
  <c r="G62" i="86"/>
  <c r="J62" i="86" s="1"/>
  <c r="G119" i="86"/>
  <c r="J119" i="86" s="1"/>
  <c r="G50" i="86"/>
  <c r="J50" i="86" s="1"/>
  <c r="I7" i="86"/>
  <c r="L7" i="86" s="1"/>
  <c r="G85" i="86"/>
  <c r="J85" i="86" s="1"/>
  <c r="H59" i="86"/>
  <c r="K59" i="86" s="1"/>
  <c r="G152" i="86"/>
  <c r="J152" i="86" s="1"/>
  <c r="I68" i="86"/>
  <c r="L68" i="86" s="1"/>
  <c r="G123" i="86"/>
  <c r="J123" i="86" s="1"/>
  <c r="I11" i="37"/>
  <c r="I94" i="86"/>
  <c r="L94" i="86" s="1"/>
  <c r="I111" i="86"/>
  <c r="L111" i="86" s="1"/>
  <c r="I158" i="86"/>
  <c r="L158" i="86" s="1"/>
  <c r="M18" i="37"/>
  <c r="H129" i="86"/>
  <c r="K129" i="86" s="1"/>
  <c r="G5" i="86"/>
  <c r="J5" i="86" s="1"/>
  <c r="I77" i="86"/>
  <c r="L77" i="86" s="1"/>
  <c r="G94" i="86"/>
  <c r="J94" i="86" s="1"/>
  <c r="H81" i="86"/>
  <c r="K81" i="86" s="1"/>
  <c r="I163" i="86"/>
  <c r="L163" i="86" s="1"/>
  <c r="G22" i="86"/>
  <c r="J22" i="86" s="1"/>
  <c r="H130" i="86"/>
  <c r="K130" i="86" s="1"/>
  <c r="H100" i="86"/>
  <c r="K100" i="86" s="1"/>
  <c r="I81" i="86"/>
  <c r="L81" i="86" s="1"/>
  <c r="H8" i="86"/>
  <c r="K8" i="86" s="1"/>
  <c r="H50" i="86"/>
  <c r="K50" i="86" s="1"/>
  <c r="I143" i="86"/>
  <c r="L143" i="86" s="1"/>
  <c r="H53" i="86"/>
  <c r="K53" i="86" s="1"/>
  <c r="H22" i="86"/>
  <c r="K22" i="86" s="1"/>
  <c r="I5" i="86"/>
  <c r="L5" i="86" s="1"/>
  <c r="L11" i="37"/>
  <c r="I16" i="43"/>
  <c r="I14" i="43"/>
  <c r="E42" i="40"/>
  <c r="G110" i="86"/>
  <c r="J110" i="86" s="1"/>
  <c r="D38" i="37"/>
  <c r="G38" i="37" s="1"/>
  <c r="H94" i="86"/>
  <c r="K94" i="86" s="1"/>
  <c r="I120" i="86"/>
  <c r="L120" i="86" s="1"/>
  <c r="G163" i="86"/>
  <c r="J163" i="86" s="1"/>
  <c r="G132" i="86"/>
  <c r="J132" i="86" s="1"/>
  <c r="H90" i="86"/>
  <c r="K90" i="86" s="1"/>
  <c r="G7" i="86"/>
  <c r="J7" i="86" s="1"/>
  <c r="H164" i="86"/>
  <c r="K164" i="86" s="1"/>
  <c r="H39" i="86"/>
  <c r="K39" i="86" s="1"/>
  <c r="H155" i="86"/>
  <c r="K155" i="86" s="1"/>
  <c r="H44" i="86"/>
  <c r="K44" i="86" s="1"/>
  <c r="G87" i="86"/>
  <c r="J87" i="86" s="1"/>
  <c r="I159" i="86"/>
  <c r="L159" i="86" s="1"/>
  <c r="H68" i="86"/>
  <c r="K68" i="86" s="1"/>
  <c r="H38" i="37"/>
  <c r="K38" i="37" s="1"/>
  <c r="H120" i="86"/>
  <c r="K120" i="86" s="1"/>
  <c r="G90" i="86"/>
  <c r="J90" i="86" s="1"/>
  <c r="H118" i="86"/>
  <c r="K118" i="86" s="1"/>
  <c r="I50" i="86"/>
  <c r="L50" i="86" s="1"/>
  <c r="I71" i="86"/>
  <c r="L71" i="86" s="1"/>
  <c r="G11" i="86"/>
  <c r="J11" i="86" s="1"/>
  <c r="G115" i="86"/>
  <c r="J115" i="86" s="1"/>
  <c r="H82" i="86"/>
  <c r="K82" i="86" s="1"/>
  <c r="G130" i="86"/>
  <c r="J130" i="86" s="1"/>
  <c r="H87" i="86"/>
  <c r="K87" i="86" s="1"/>
  <c r="K18" i="37"/>
  <c r="G118" i="86"/>
  <c r="J118" i="86" s="1"/>
  <c r="I21" i="86"/>
  <c r="L21" i="86" s="1"/>
  <c r="G168" i="86"/>
  <c r="J168" i="86" s="1"/>
  <c r="G141" i="86"/>
  <c r="J141" i="86" s="1"/>
  <c r="H2" i="86"/>
  <c r="K2" i="86" s="1"/>
  <c r="K26" i="37"/>
  <c r="H13" i="86"/>
  <c r="K13" i="86" s="1"/>
  <c r="G56" i="86"/>
  <c r="J56" i="86" s="1"/>
  <c r="I123" i="86"/>
  <c r="L123" i="86" s="1"/>
  <c r="H97" i="86"/>
  <c r="K97" i="86" s="1"/>
  <c r="H28" i="37"/>
  <c r="I65" i="86"/>
  <c r="L65" i="86" s="1"/>
  <c r="I51" i="86"/>
  <c r="L51" i="86" s="1"/>
  <c r="G129" i="86"/>
  <c r="J129" i="86" s="1"/>
  <c r="H29" i="86"/>
  <c r="K29" i="86" s="1"/>
  <c r="G83" i="86"/>
  <c r="J83" i="86" s="1"/>
  <c r="H62" i="86"/>
  <c r="K62" i="86" s="1"/>
  <c r="H152" i="86"/>
  <c r="K152" i="86" s="1"/>
  <c r="M28" i="37"/>
  <c r="G58" i="86"/>
  <c r="J58" i="86" s="1"/>
  <c r="I151" i="86"/>
  <c r="L151" i="86" s="1"/>
  <c r="H58" i="86"/>
  <c r="K58" i="86" s="1"/>
  <c r="H7" i="86"/>
  <c r="K7" i="86" s="1"/>
  <c r="G96" i="86"/>
  <c r="J96" i="86" s="1"/>
  <c r="D47" i="37"/>
  <c r="G47" i="37" s="1"/>
  <c r="G53" i="86"/>
  <c r="J53" i="86" s="1"/>
  <c r="H71" i="86"/>
  <c r="K71" i="86" s="1"/>
  <c r="I12" i="86"/>
  <c r="L12" i="86" s="1"/>
  <c r="H19" i="86"/>
  <c r="K19" i="86" s="1"/>
  <c r="G120" i="86"/>
  <c r="J120" i="86" s="1"/>
  <c r="G68" i="86"/>
  <c r="J68" i="86" s="1"/>
  <c r="H95" i="86"/>
  <c r="K95" i="86" s="1"/>
  <c r="H51" i="86"/>
  <c r="K51" i="86" s="1"/>
  <c r="G164" i="86"/>
  <c r="J164" i="86" s="1"/>
  <c r="H27" i="86"/>
  <c r="K27" i="86" s="1"/>
  <c r="H5" i="86"/>
  <c r="K5" i="86" s="1"/>
  <c r="G43" i="86"/>
  <c r="J43" i="86" s="1"/>
  <c r="I90" i="86"/>
  <c r="L90" i="86" s="1"/>
  <c r="I62" i="86"/>
  <c r="L62" i="86" s="1"/>
  <c r="I22" i="86"/>
  <c r="L22" i="86" s="1"/>
  <c r="G158" i="86"/>
  <c r="J158" i="86" s="1"/>
  <c r="G64" i="86"/>
  <c r="J64" i="86" s="1"/>
  <c r="M22" i="37"/>
  <c r="G82" i="86"/>
  <c r="J82" i="86" s="1"/>
  <c r="H163" i="86"/>
  <c r="K163" i="86" s="1"/>
  <c r="I70" i="86"/>
  <c r="L70" i="86" s="1"/>
  <c r="D53" i="37"/>
  <c r="G53" i="37" s="1"/>
  <c r="I2" i="86"/>
  <c r="L2" i="86" s="1"/>
  <c r="I101" i="86"/>
  <c r="L101" i="86" s="1"/>
  <c r="G155" i="86"/>
  <c r="J155" i="86" s="1"/>
  <c r="K11" i="37"/>
  <c r="G51" i="86"/>
  <c r="J51" i="86" s="1"/>
  <c r="I135" i="86"/>
  <c r="L135" i="86" s="1"/>
  <c r="G140" i="86"/>
  <c r="J140" i="86" s="1"/>
  <c r="H43" i="37"/>
  <c r="K43" i="37" s="1"/>
  <c r="I127" i="86"/>
  <c r="L127" i="86" s="1"/>
  <c r="G143" i="86"/>
  <c r="J143" i="86" s="1"/>
  <c r="J28" i="37"/>
  <c r="H143" i="86"/>
  <c r="K143" i="86" s="1"/>
  <c r="H156" i="86"/>
  <c r="K156" i="86" s="1"/>
  <c r="H11" i="86"/>
  <c r="K11" i="86" s="1"/>
  <c r="H65" i="86"/>
  <c r="K65" i="86" s="1"/>
  <c r="H132" i="86"/>
  <c r="K132" i="86" s="1"/>
  <c r="I142" i="86"/>
  <c r="L142" i="86" s="1"/>
  <c r="H135" i="86"/>
  <c r="K135" i="86" s="1"/>
  <c r="H83" i="86"/>
  <c r="K83" i="86" s="1"/>
  <c r="I39" i="86"/>
  <c r="L39" i="86" s="1"/>
  <c r="N22" i="37"/>
  <c r="H110" i="86"/>
  <c r="K110" i="86" s="1"/>
  <c r="G160" i="86"/>
  <c r="J160" i="86" s="1"/>
  <c r="G145" i="86"/>
  <c r="J145" i="86" s="1"/>
  <c r="I56" i="86"/>
  <c r="L56" i="86" s="1"/>
  <c r="H24" i="86"/>
  <c r="K24" i="86" s="1"/>
  <c r="I6" i="86"/>
  <c r="L6" i="86" s="1"/>
  <c r="G24" i="86"/>
  <c r="J24" i="86" s="1"/>
  <c r="I99" i="86"/>
  <c r="L99" i="86" s="1"/>
  <c r="G117" i="86"/>
  <c r="J117" i="86" s="1"/>
  <c r="L27" i="37"/>
  <c r="K20" i="37"/>
  <c r="G127" i="86"/>
  <c r="J127" i="86" s="1"/>
  <c r="G159" i="86"/>
  <c r="J159" i="86" s="1"/>
  <c r="H114" i="86"/>
  <c r="K114" i="86" s="1"/>
  <c r="I97" i="86"/>
  <c r="L97" i="86" s="1"/>
  <c r="G71" i="86"/>
  <c r="J71" i="86" s="1"/>
  <c r="K24" i="37"/>
  <c r="I88" i="86"/>
  <c r="L88" i="86" s="1"/>
  <c r="H85" i="86"/>
  <c r="K85" i="86" s="1"/>
  <c r="H53" i="37"/>
  <c r="K53" i="37" s="1"/>
  <c r="M11" i="37"/>
  <c r="H66" i="86"/>
  <c r="K66" i="86" s="1"/>
  <c r="N11" i="37"/>
  <c r="J26" i="37"/>
  <c r="N26" i="37"/>
  <c r="H121" i="86"/>
  <c r="K121" i="86" s="1"/>
  <c r="G100" i="86"/>
  <c r="J100" i="86" s="1"/>
  <c r="L53" i="37"/>
  <c r="O53" i="37" s="1"/>
  <c r="I28" i="37"/>
  <c r="G6" i="86"/>
  <c r="J6" i="86" s="1"/>
  <c r="I110" i="86"/>
  <c r="L110" i="86" s="1"/>
  <c r="D43" i="37"/>
  <c r="G43" i="37" s="1"/>
  <c r="L28" i="37"/>
  <c r="H6" i="86"/>
  <c r="K6" i="86" s="1"/>
  <c r="M26" i="37"/>
  <c r="H115" i="86"/>
  <c r="K115" i="86" s="1"/>
  <c r="L22" i="37"/>
  <c r="G44" i="86"/>
  <c r="J44" i="86" s="1"/>
  <c r="H88" i="86"/>
  <c r="K88" i="86" s="1"/>
  <c r="G13" i="86"/>
  <c r="J13" i="86" s="1"/>
  <c r="H126" i="86"/>
  <c r="K126" i="86" s="1"/>
  <c r="N28" i="37"/>
  <c r="G65" i="86"/>
  <c r="J65" i="86" s="1"/>
  <c r="G80" i="86"/>
  <c r="J80" i="86" s="1"/>
  <c r="H149" i="86"/>
  <c r="K149" i="86" s="1"/>
  <c r="H15" i="86"/>
  <c r="K15" i="86" s="1"/>
  <c r="I27" i="86"/>
  <c r="L27" i="86" s="1"/>
  <c r="M48" i="86"/>
  <c r="AA13" i="66"/>
  <c r="M49" i="86"/>
  <c r="L17" i="36"/>
  <c r="O17" i="36" s="1"/>
  <c r="AC17" i="43"/>
  <c r="AC19" i="43"/>
  <c r="L16" i="36"/>
  <c r="O16" i="36" s="1"/>
  <c r="C42" i="40"/>
  <c r="L18" i="36"/>
  <c r="O18" i="36" s="1"/>
  <c r="AC20" i="43"/>
  <c r="AA21" i="66"/>
  <c r="L10" i="36"/>
  <c r="O10" i="36" s="1"/>
  <c r="L25" i="36"/>
  <c r="O25" i="36" s="1"/>
  <c r="I166" i="86"/>
  <c r="L166" i="86" s="1"/>
  <c r="H19" i="37"/>
  <c r="J22" i="37"/>
  <c r="I64" i="86"/>
  <c r="L64" i="86" s="1"/>
  <c r="G151" i="86"/>
  <c r="J151" i="86" s="1"/>
  <c r="I9" i="86"/>
  <c r="L9" i="86" s="1"/>
  <c r="I106" i="86"/>
  <c r="L106" i="86" s="1"/>
  <c r="I15" i="86"/>
  <c r="L15" i="86" s="1"/>
  <c r="H98" i="86"/>
  <c r="K98" i="86" s="1"/>
  <c r="G121" i="86"/>
  <c r="J121" i="86" s="1"/>
  <c r="I53" i="86"/>
  <c r="L53" i="86" s="1"/>
  <c r="G59" i="86"/>
  <c r="J59" i="86" s="1"/>
  <c r="I16" i="37"/>
  <c r="J10" i="37"/>
  <c r="I36" i="86"/>
  <c r="L36" i="86" s="1"/>
  <c r="G99" i="86"/>
  <c r="J99" i="86" s="1"/>
  <c r="I165" i="86"/>
  <c r="L165" i="86" s="1"/>
  <c r="G28" i="86"/>
  <c r="J28" i="86" s="1"/>
  <c r="L19" i="37"/>
  <c r="G128" i="86"/>
  <c r="J128" i="86" s="1"/>
  <c r="H36" i="37"/>
  <c r="K36" i="37" s="1"/>
  <c r="H35" i="86"/>
  <c r="K35" i="86" s="1"/>
  <c r="H21" i="37"/>
  <c r="J25" i="37"/>
  <c r="I59" i="86"/>
  <c r="L59" i="86" s="1"/>
  <c r="H148" i="86"/>
  <c r="K148" i="86" s="1"/>
  <c r="K25" i="37"/>
  <c r="I155" i="86"/>
  <c r="L155" i="86" s="1"/>
  <c r="H111" i="86"/>
  <c r="K111" i="86" s="1"/>
  <c r="N16" i="37"/>
  <c r="I164" i="86"/>
  <c r="L164" i="86" s="1"/>
  <c r="I55" i="86"/>
  <c r="L55" i="86" s="1"/>
  <c r="G124" i="86"/>
  <c r="J124" i="86" s="1"/>
  <c r="M9" i="37"/>
  <c r="G131" i="86"/>
  <c r="J131" i="86" s="1"/>
  <c r="G21" i="86"/>
  <c r="J21" i="86" s="1"/>
  <c r="G106" i="86"/>
  <c r="J106" i="86" s="1"/>
  <c r="I96" i="86"/>
  <c r="L96" i="86" s="1"/>
  <c r="H3" i="86"/>
  <c r="K3" i="86" s="1"/>
  <c r="H141" i="86"/>
  <c r="I141" i="86"/>
  <c r="L141" i="86" s="1"/>
  <c r="G149" i="86"/>
  <c r="J149" i="86" s="1"/>
  <c r="K19" i="37"/>
  <c r="H167" i="86"/>
  <c r="K167" i="86" s="1"/>
  <c r="J19" i="37"/>
  <c r="I87" i="86"/>
  <c r="L87" i="86" s="1"/>
  <c r="I168" i="86"/>
  <c r="L168" i="86" s="1"/>
  <c r="H4" i="86"/>
  <c r="K4" i="86" s="1"/>
  <c r="H134" i="86"/>
  <c r="K134" i="86" s="1"/>
  <c r="M25" i="37"/>
  <c r="H137" i="86"/>
  <c r="K137" i="86" s="1"/>
  <c r="H14" i="86"/>
  <c r="K14" i="86" s="1"/>
  <c r="G14" i="86"/>
  <c r="J14" i="86" s="1"/>
  <c r="D41" i="37"/>
  <c r="G41" i="37" s="1"/>
  <c r="H24" i="37"/>
  <c r="G88" i="86"/>
  <c r="J88" i="86" s="1"/>
  <c r="G167" i="86"/>
  <c r="J167" i="86" s="1"/>
  <c r="H96" i="86"/>
  <c r="K96" i="86" s="1"/>
  <c r="I4" i="86"/>
  <c r="L4" i="86" s="1"/>
  <c r="H151" i="86"/>
  <c r="K151" i="86" s="1"/>
  <c r="H147" i="86"/>
  <c r="K147" i="86" s="1"/>
  <c r="I147" i="86"/>
  <c r="L147" i="86" s="1"/>
  <c r="H63" i="86"/>
  <c r="K63" i="86" s="1"/>
  <c r="L25" i="37"/>
  <c r="H56" i="86"/>
  <c r="K56" i="86" s="1"/>
  <c r="I28" i="86"/>
  <c r="L28" i="86" s="1"/>
  <c r="I93" i="86"/>
  <c r="L93" i="86" s="1"/>
  <c r="G126" i="86"/>
  <c r="J126" i="86" s="1"/>
  <c r="H158" i="86"/>
  <c r="K158" i="86" s="1"/>
  <c r="I72" i="86"/>
  <c r="L72" i="86" s="1"/>
  <c r="H30" i="86"/>
  <c r="K30" i="86" s="1"/>
  <c r="G114" i="86"/>
  <c r="J114" i="86" s="1"/>
  <c r="I152" i="86"/>
  <c r="L152" i="86" s="1"/>
  <c r="H91" i="86"/>
  <c r="K91" i="86" s="1"/>
  <c r="I18" i="86"/>
  <c r="L18" i="86" s="1"/>
  <c r="G72" i="86"/>
  <c r="J72" i="86" s="1"/>
  <c r="G12" i="86"/>
  <c r="J12" i="86" s="1"/>
  <c r="I10" i="86"/>
  <c r="L10" i="86" s="1"/>
  <c r="H102" i="86"/>
  <c r="K102" i="86" s="1"/>
  <c r="I100" i="86"/>
  <c r="L100" i="86" s="1"/>
  <c r="I34" i="86"/>
  <c r="L34" i="86" s="1"/>
  <c r="H150" i="86"/>
  <c r="K150" i="86" s="1"/>
  <c r="I58" i="86"/>
  <c r="L58" i="86" s="1"/>
  <c r="I103" i="86"/>
  <c r="L103" i="86" s="1"/>
  <c r="G10" i="86"/>
  <c r="J10" i="86" s="1"/>
  <c r="H78" i="86"/>
  <c r="K78" i="86" s="1"/>
  <c r="G34" i="86"/>
  <c r="J34" i="86" s="1"/>
  <c r="D54" i="37"/>
  <c r="G54" i="37" s="1"/>
  <c r="I107" i="86"/>
  <c r="L107" i="86" s="1"/>
  <c r="G55" i="86"/>
  <c r="J55" i="86" s="1"/>
  <c r="G2" i="86"/>
  <c r="J2" i="86" s="1"/>
  <c r="I148" i="86"/>
  <c r="L148" i="86" s="1"/>
  <c r="J20" i="37"/>
  <c r="G4" i="86"/>
  <c r="J4" i="86" s="1"/>
  <c r="G98" i="86"/>
  <c r="J98" i="86" s="1"/>
  <c r="L51" i="37"/>
  <c r="O51" i="37" s="1"/>
  <c r="G162" i="86"/>
  <c r="J162" i="86" s="1"/>
  <c r="G70" i="86"/>
  <c r="J70" i="86" s="1"/>
  <c r="G112" i="86"/>
  <c r="J112" i="86" s="1"/>
  <c r="H166" i="86"/>
  <c r="K166" i="86" s="1"/>
  <c r="G103" i="86"/>
  <c r="J103" i="86" s="1"/>
  <c r="G153" i="86"/>
  <c r="J153" i="86" s="1"/>
  <c r="H32" i="86"/>
  <c r="K32" i="86" s="1"/>
  <c r="H165" i="86"/>
  <c r="K165" i="86" s="1"/>
  <c r="H145" i="86"/>
  <c r="K145" i="86" s="1"/>
  <c r="G23" i="86"/>
  <c r="J23" i="86" s="1"/>
  <c r="I167" i="86"/>
  <c r="L167" i="86" s="1"/>
  <c r="J11" i="37"/>
  <c r="I37" i="86"/>
  <c r="L37" i="86" s="1"/>
  <c r="J18" i="37"/>
  <c r="I114" i="86"/>
  <c r="L114" i="86" s="1"/>
  <c r="H101" i="86"/>
  <c r="K101" i="86" s="1"/>
  <c r="H128" i="86"/>
  <c r="K128" i="86" s="1"/>
  <c r="I91" i="86"/>
  <c r="L91" i="86" s="1"/>
  <c r="G33" i="86"/>
  <c r="J33" i="86" s="1"/>
  <c r="L38" i="37"/>
  <c r="O38" i="37" s="1"/>
  <c r="H139" i="86"/>
  <c r="K139" i="86" s="1"/>
  <c r="I24" i="86"/>
  <c r="L24" i="86" s="1"/>
  <c r="H99" i="86"/>
  <c r="K99" i="86" s="1"/>
  <c r="I102" i="86"/>
  <c r="L102" i="86" s="1"/>
  <c r="G63" i="86"/>
  <c r="J63" i="86" s="1"/>
  <c r="N23" i="37"/>
  <c r="H92" i="86"/>
  <c r="K92" i="86" s="1"/>
  <c r="L47" i="37"/>
  <c r="O47" i="37" s="1"/>
  <c r="H112" i="86"/>
  <c r="K112" i="86" s="1"/>
  <c r="H107" i="86"/>
  <c r="G35" i="86"/>
  <c r="J35" i="86" s="1"/>
  <c r="G102" i="86"/>
  <c r="J102" i="86" s="1"/>
  <c r="N29" i="37"/>
  <c r="H162" i="86"/>
  <c r="K162" i="86" s="1"/>
  <c r="N20" i="37"/>
  <c r="G93" i="86"/>
  <c r="J93" i="86" s="1"/>
  <c r="I89" i="86"/>
  <c r="L89" i="86" s="1"/>
  <c r="H23" i="86"/>
  <c r="K23" i="86" s="1"/>
  <c r="D36" i="37"/>
  <c r="G36" i="37" s="1"/>
  <c r="H10" i="37"/>
  <c r="I134" i="86"/>
  <c r="L134" i="86" s="1"/>
  <c r="H27" i="37"/>
  <c r="I126" i="86"/>
  <c r="L126" i="86" s="1"/>
  <c r="I121" i="86"/>
  <c r="L121" i="86" s="1"/>
  <c r="I156" i="86"/>
  <c r="L156" i="86" s="1"/>
  <c r="M29" i="37"/>
  <c r="I33" i="86"/>
  <c r="L33" i="86" s="1"/>
  <c r="G134" i="86"/>
  <c r="J134" i="86" s="1"/>
  <c r="G69" i="86"/>
  <c r="J69" i="86" s="1"/>
  <c r="G97" i="86"/>
  <c r="I118" i="86"/>
  <c r="L118" i="86" s="1"/>
  <c r="H45" i="37"/>
  <c r="K45" i="37" s="1"/>
  <c r="G25" i="86"/>
  <c r="J25" i="86" s="1"/>
  <c r="N15" i="37"/>
  <c r="H37" i="37"/>
  <c r="K37" i="37" s="1"/>
  <c r="H127" i="86"/>
  <c r="H37" i="86"/>
  <c r="K37" i="86" s="1"/>
  <c r="G39" i="86"/>
  <c r="J39" i="86" s="1"/>
  <c r="H55" i="86"/>
  <c r="K55" i="86" s="1"/>
  <c r="D45" i="37"/>
  <c r="G45" i="37" s="1"/>
  <c r="I25" i="86"/>
  <c r="L25" i="86" s="1"/>
  <c r="H131" i="86"/>
  <c r="K131" i="86" s="1"/>
  <c r="G15" i="86"/>
  <c r="J15" i="86" s="1"/>
  <c r="G3" i="86"/>
  <c r="J3" i="86" s="1"/>
  <c r="M20" i="37"/>
  <c r="D37" i="37"/>
  <c r="G37" i="37" s="1"/>
  <c r="I112" i="86"/>
  <c r="L112" i="86" s="1"/>
  <c r="L15" i="37"/>
  <c r="I11" i="86"/>
  <c r="L11" i="86" s="1"/>
  <c r="I117" i="86"/>
  <c r="L117" i="86" s="1"/>
  <c r="I63" i="86"/>
  <c r="L63" i="86" s="1"/>
  <c r="I150" i="86"/>
  <c r="L150" i="86" s="1"/>
  <c r="M15" i="37"/>
  <c r="G111" i="86"/>
  <c r="I139" i="86"/>
  <c r="L139" i="86" s="1"/>
  <c r="I162" i="86"/>
  <c r="L162" i="86" s="1"/>
  <c r="I131" i="86"/>
  <c r="L131" i="86" s="1"/>
  <c r="G147" i="86"/>
  <c r="J147" i="86" s="1"/>
  <c r="N9" i="37"/>
  <c r="G9" i="86"/>
  <c r="J9" i="86" s="1"/>
  <c r="H57" i="86"/>
  <c r="K57" i="86" s="1"/>
  <c r="G36" i="86"/>
  <c r="J36" i="86" s="1"/>
  <c r="H136" i="86"/>
  <c r="K136" i="86" s="1"/>
  <c r="H29" i="37"/>
  <c r="I128" i="86"/>
  <c r="L128" i="86" s="1"/>
  <c r="H168" i="86"/>
  <c r="K168" i="86" s="1"/>
  <c r="I95" i="86"/>
  <c r="L95" i="86" s="1"/>
  <c r="H160" i="86"/>
  <c r="K160" i="86" s="1"/>
  <c r="H33" i="86"/>
  <c r="K33" i="86" s="1"/>
  <c r="H67" i="86"/>
  <c r="K67" i="86" s="1"/>
  <c r="I140" i="86"/>
  <c r="L140" i="86" s="1"/>
  <c r="D52" i="37"/>
  <c r="G52" i="37" s="1"/>
  <c r="G107" i="86"/>
  <c r="J107" i="86" s="1"/>
  <c r="H72" i="86"/>
  <c r="K72" i="86" s="1"/>
  <c r="I3" i="86"/>
  <c r="L3" i="86" s="1"/>
  <c r="G113" i="86"/>
  <c r="J113" i="86" s="1"/>
  <c r="H159" i="86"/>
  <c r="K159" i="86" s="1"/>
  <c r="G150" i="86"/>
  <c r="J150" i="86" s="1"/>
  <c r="H153" i="86"/>
  <c r="K153" i="86" s="1"/>
  <c r="I144" i="86"/>
  <c r="L144" i="86" s="1"/>
  <c r="N25" i="37"/>
  <c r="G95" i="86"/>
  <c r="J95" i="86" s="1"/>
  <c r="M10" i="37"/>
  <c r="G57" i="86"/>
  <c r="J57" i="86" s="1"/>
  <c r="L17" i="37"/>
  <c r="D50" i="37"/>
  <c r="G50" i="37" s="1"/>
  <c r="I136" i="86"/>
  <c r="L136" i="86" s="1"/>
  <c r="G60" i="86"/>
  <c r="J60" i="86" s="1"/>
  <c r="I113" i="86"/>
  <c r="L113" i="86" s="1"/>
  <c r="G116" i="86"/>
  <c r="J116" i="86" s="1"/>
  <c r="H117" i="86"/>
  <c r="G20" i="86"/>
  <c r="J20" i="86" s="1"/>
  <c r="G89" i="86"/>
  <c r="J89" i="86" s="1"/>
  <c r="I98" i="86"/>
  <c r="L98" i="86" s="1"/>
  <c r="G137" i="86"/>
  <c r="J137" i="86" s="1"/>
  <c r="D44" i="37"/>
  <c r="G44" i="37" s="1"/>
  <c r="H10" i="86"/>
  <c r="K10" i="86" s="1"/>
  <c r="H20" i="37"/>
  <c r="H70" i="86"/>
  <c r="K70" i="86" s="1"/>
  <c r="I92" i="86"/>
  <c r="L92" i="86" s="1"/>
  <c r="G29" i="86"/>
  <c r="J29" i="86" s="1"/>
  <c r="H51" i="37"/>
  <c r="K51" i="37" s="1"/>
  <c r="I57" i="86"/>
  <c r="L57" i="86" s="1"/>
  <c r="I149" i="86"/>
  <c r="L149" i="86" s="1"/>
  <c r="I13" i="86"/>
  <c r="L13" i="86" s="1"/>
  <c r="G166" i="86"/>
  <c r="J166" i="86" s="1"/>
  <c r="G157" i="86"/>
  <c r="J157" i="86" s="1"/>
  <c r="H89" i="86"/>
  <c r="K89" i="86" s="1"/>
  <c r="M19" i="37"/>
  <c r="H25" i="37"/>
  <c r="K21" i="37"/>
  <c r="I69" i="86"/>
  <c r="L69" i="86" s="1"/>
  <c r="I35" i="86"/>
  <c r="L35" i="86" s="1"/>
  <c r="G32" i="86"/>
  <c r="J32" i="86" s="1"/>
  <c r="H124" i="86"/>
  <c r="K124" i="86" s="1"/>
  <c r="I160" i="86"/>
  <c r="L160" i="86" s="1"/>
  <c r="I67" i="86"/>
  <c r="L67" i="86" s="1"/>
  <c r="I82" i="86"/>
  <c r="L82" i="86" s="1"/>
  <c r="G148" i="86"/>
  <c r="J148" i="86" s="1"/>
  <c r="H25" i="86"/>
  <c r="K25" i="86" s="1"/>
  <c r="I85" i="86"/>
  <c r="L85" i="86" s="1"/>
  <c r="N18" i="37"/>
  <c r="I115" i="86"/>
  <c r="L115" i="86" s="1"/>
  <c r="H157" i="86"/>
  <c r="K157" i="86" s="1"/>
  <c r="G79" i="86"/>
  <c r="J79" i="86" s="1"/>
  <c r="I79" i="86"/>
  <c r="L79" i="86" s="1"/>
  <c r="I22" i="37"/>
  <c r="I25" i="37"/>
  <c r="I23" i="86"/>
  <c r="L23" i="86" s="1"/>
  <c r="K10" i="37"/>
  <c r="D51" i="37"/>
  <c r="G51" i="37" s="1"/>
  <c r="G91" i="86"/>
  <c r="J91" i="86" s="1"/>
  <c r="G142" i="86"/>
  <c r="J142" i="86" s="1"/>
  <c r="I116" i="86"/>
  <c r="L116" i="86" s="1"/>
  <c r="H79" i="86"/>
  <c r="K79" i="86" s="1"/>
  <c r="G78" i="86"/>
  <c r="J78" i="86" s="1"/>
  <c r="H26" i="37"/>
  <c r="I26" i="37"/>
  <c r="I60" i="86"/>
  <c r="L60" i="86" s="1"/>
  <c r="H21" i="86"/>
  <c r="K21" i="86" s="1"/>
  <c r="G146" i="86"/>
  <c r="J146" i="86" s="1"/>
  <c r="G101" i="86"/>
  <c r="J101" i="86" s="1"/>
  <c r="H106" i="86"/>
  <c r="K106" i="86" s="1"/>
  <c r="G156" i="86"/>
  <c r="J156" i="86" s="1"/>
  <c r="H64" i="86"/>
  <c r="K64" i="86" s="1"/>
  <c r="I29" i="86"/>
  <c r="L29" i="86" s="1"/>
  <c r="J27" i="37"/>
  <c r="J9" i="37"/>
  <c r="J15" i="37"/>
  <c r="J29" i="37"/>
  <c r="I29" i="37"/>
  <c r="I10" i="37"/>
  <c r="I15" i="37"/>
  <c r="I19" i="37"/>
  <c r="I9" i="37"/>
  <c r="I17" i="37"/>
  <c r="I23" i="37"/>
  <c r="I20" i="37"/>
  <c r="L49" i="37"/>
  <c r="O49" i="37" s="1"/>
  <c r="L41" i="37"/>
  <c r="O41" i="37" s="1"/>
  <c r="L46" i="37"/>
  <c r="O46" i="37" s="1"/>
  <c r="L37" i="37"/>
  <c r="O37" i="37" s="1"/>
  <c r="L50" i="37"/>
  <c r="O50" i="37" s="1"/>
  <c r="L43" i="37"/>
  <c r="O43" i="37" s="1"/>
  <c r="L45" i="37"/>
  <c r="O45" i="37" s="1"/>
  <c r="H49" i="37"/>
  <c r="K49" i="37" s="1"/>
  <c r="H54" i="37"/>
  <c r="K54" i="37" s="1"/>
  <c r="H46" i="37"/>
  <c r="K46" i="37" s="1"/>
  <c r="H48" i="37"/>
  <c r="K48" i="37" s="1"/>
  <c r="H44" i="37"/>
  <c r="K44" i="37" s="1"/>
  <c r="H50" i="37"/>
  <c r="K50" i="37" s="1"/>
  <c r="M17" i="86"/>
  <c r="M86" i="86"/>
  <c r="K49" i="86"/>
  <c r="K48" i="86"/>
  <c r="M26" i="86"/>
  <c r="M125" i="86"/>
  <c r="K86" i="86"/>
  <c r="M122" i="86"/>
  <c r="M75" i="86"/>
  <c r="J122" i="86"/>
  <c r="M16" i="86"/>
  <c r="L24" i="37"/>
  <c r="H116" i="86"/>
  <c r="K116" i="86" s="1"/>
  <c r="L54" i="37"/>
  <c r="O54" i="37" s="1"/>
  <c r="H20" i="86"/>
  <c r="K20" i="86" s="1"/>
  <c r="H18" i="86"/>
  <c r="K18" i="86" s="1"/>
  <c r="H80" i="86"/>
  <c r="N10" i="37"/>
  <c r="H9" i="86"/>
  <c r="K9" i="86" s="1"/>
  <c r="L9" i="37"/>
  <c r="L26" i="86"/>
  <c r="M73" i="86"/>
  <c r="M108" i="86"/>
  <c r="M61" i="86"/>
  <c r="G144" i="86"/>
  <c r="J144" i="86" s="1"/>
  <c r="L42" i="37"/>
  <c r="O42" i="37" s="1"/>
  <c r="I146" i="86"/>
  <c r="L146" i="86" s="1"/>
  <c r="H35" i="37"/>
  <c r="K35" i="37" s="1"/>
  <c r="N24" i="37"/>
  <c r="H146" i="86"/>
  <c r="K146" i="86" s="1"/>
  <c r="I20" i="86"/>
  <c r="L20" i="86" s="1"/>
  <c r="G18" i="86"/>
  <c r="J18" i="86" s="1"/>
  <c r="H41" i="37"/>
  <c r="K41" i="37" s="1"/>
  <c r="L26" i="37"/>
  <c r="L16" i="37"/>
  <c r="H140" i="86"/>
  <c r="K140" i="86" s="1"/>
  <c r="I78" i="86"/>
  <c r="L78" i="86" s="1"/>
  <c r="G30" i="86"/>
  <c r="J30" i="86" s="1"/>
  <c r="I80" i="86"/>
  <c r="L80" i="86" s="1"/>
  <c r="L20" i="37"/>
  <c r="H47" i="37"/>
  <c r="K47" i="37" s="1"/>
  <c r="J24" i="37"/>
  <c r="N19" i="37"/>
  <c r="G136" i="86"/>
  <c r="J136" i="86" s="1"/>
  <c r="I157" i="86"/>
  <c r="L157" i="86" s="1"/>
  <c r="H11" i="37"/>
  <c r="M16" i="37"/>
  <c r="L18" i="37"/>
  <c r="L10" i="37"/>
  <c r="I153" i="86"/>
  <c r="L153" i="86" s="1"/>
  <c r="J23" i="37"/>
  <c r="M104" i="86"/>
  <c r="M133" i="86"/>
  <c r="K9" i="37"/>
  <c r="L48" i="37"/>
  <c r="O48" i="37" s="1"/>
  <c r="M21" i="37"/>
  <c r="K15" i="37"/>
  <c r="I30" i="86"/>
  <c r="L30" i="86" s="1"/>
  <c r="H123" i="86"/>
  <c r="K123" i="86" s="1"/>
  <c r="K27" i="37"/>
  <c r="G139" i="86"/>
  <c r="J139" i="86" s="1"/>
  <c r="L44" i="37"/>
  <c r="O44" i="37" s="1"/>
  <c r="H9" i="37"/>
  <c r="G165" i="86"/>
  <c r="J165" i="86" s="1"/>
  <c r="H69" i="86"/>
  <c r="K69" i="86" s="1"/>
  <c r="D49" i="37"/>
  <c r="G49" i="37" s="1"/>
  <c r="H28" i="86"/>
  <c r="K28" i="86" s="1"/>
  <c r="K45" i="86"/>
  <c r="M45" i="86"/>
  <c r="L36" i="37"/>
  <c r="O36" i="37" s="1"/>
  <c r="H113" i="86"/>
  <c r="K113" i="86" s="1"/>
  <c r="K29" i="37"/>
  <c r="H18" i="37"/>
  <c r="I32" i="86"/>
  <c r="L32" i="86" s="1"/>
  <c r="H52" i="37"/>
  <c r="K52" i="37" s="1"/>
  <c r="I24" i="37"/>
  <c r="M109" i="86"/>
  <c r="D46" i="37"/>
  <c r="G46" i="37" s="1"/>
  <c r="I8" i="37"/>
  <c r="I21" i="37"/>
  <c r="I124" i="86"/>
  <c r="L124" i="86" s="1"/>
  <c r="I27" i="37"/>
  <c r="H34" i="86"/>
  <c r="K34" i="86" s="1"/>
  <c r="H22" i="37"/>
  <c r="M105" i="86"/>
  <c r="M84" i="86"/>
  <c r="M27" i="37"/>
  <c r="H142" i="86"/>
  <c r="K142" i="86" s="1"/>
  <c r="M24" i="37"/>
  <c r="H93" i="86"/>
  <c r="L52" i="37"/>
  <c r="O52" i="37" s="1"/>
  <c r="N21" i="37"/>
  <c r="M46" i="86"/>
  <c r="J21" i="37"/>
  <c r="J84" i="86"/>
  <c r="M47" i="86"/>
  <c r="G92" i="86"/>
  <c r="J92" i="86" s="1"/>
  <c r="N27" i="37"/>
  <c r="K22" i="37"/>
  <c r="K16" i="37"/>
  <c r="G37" i="86"/>
  <c r="J37" i="86" s="1"/>
  <c r="I18" i="37"/>
  <c r="M138" i="86"/>
  <c r="I14" i="86"/>
  <c r="L35" i="37"/>
  <c r="O35" i="37" s="1"/>
  <c r="K17" i="37"/>
  <c r="D35" i="37"/>
  <c r="G35" i="37" s="1"/>
  <c r="D42" i="37"/>
  <c r="G42" i="37" s="1"/>
  <c r="H8" i="37"/>
  <c r="M154" i="86"/>
  <c r="M42" i="86"/>
  <c r="K154" i="86"/>
  <c r="M41" i="86"/>
  <c r="J41" i="86"/>
  <c r="M76" i="86"/>
  <c r="K76" i="86"/>
  <c r="M38" i="86"/>
  <c r="L38" i="86"/>
  <c r="M52" i="86"/>
  <c r="M161" i="86"/>
  <c r="J105" i="86"/>
  <c r="M74" i="86"/>
  <c r="F18" i="43"/>
  <c r="G18" i="43" s="1"/>
  <c r="F12" i="43"/>
  <c r="F16" i="43"/>
  <c r="G16" i="43" s="1"/>
  <c r="F14" i="43"/>
  <c r="G14" i="43" s="1"/>
  <c r="M31" i="86"/>
  <c r="F13" i="43"/>
  <c r="G13" i="43" s="1"/>
  <c r="J13" i="43" s="1"/>
  <c r="F17" i="43"/>
  <c r="AD17" i="43" s="1"/>
  <c r="AE17" i="43" s="1"/>
  <c r="AA14" i="66"/>
  <c r="AA22" i="66"/>
  <c r="N8" i="37"/>
  <c r="F8" i="37"/>
  <c r="H23" i="37"/>
  <c r="D48" i="37"/>
  <c r="G48" i="37" s="1"/>
  <c r="N17" i="37"/>
  <c r="L21" i="37"/>
  <c r="H36" i="86"/>
  <c r="G8" i="86"/>
  <c r="G135" i="86"/>
  <c r="K23" i="37"/>
  <c r="E8" i="37"/>
  <c r="H42" i="37"/>
  <c r="H144" i="86"/>
  <c r="F15" i="43"/>
  <c r="G15" i="43" s="1"/>
  <c r="L23" i="37"/>
  <c r="H103" i="86"/>
  <c r="I137" i="86"/>
  <c r="L137" i="86" s="1"/>
  <c r="M8" i="37"/>
  <c r="M23" i="37"/>
  <c r="L29" i="37"/>
  <c r="H12" i="86"/>
  <c r="M17" i="37"/>
  <c r="I19" i="86"/>
  <c r="L19" i="86" s="1"/>
  <c r="G8" i="37"/>
  <c r="J17" i="37"/>
  <c r="K8" i="37"/>
  <c r="L8" i="37"/>
  <c r="H60" i="86"/>
  <c r="J8" i="37"/>
  <c r="G19" i="86"/>
  <c r="O13" i="43"/>
  <c r="AD20" i="43" s="1"/>
  <c r="AE20" i="43" s="1"/>
  <c r="L8" i="36"/>
  <c r="O8" i="36" s="1"/>
  <c r="O15" i="43"/>
  <c r="AD21" i="43" s="1"/>
  <c r="AE21" i="43" s="1"/>
  <c r="AD26" i="66"/>
  <c r="D42" i="40"/>
  <c r="AA24" i="66"/>
  <c r="AA5" i="66"/>
  <c r="L9" i="36"/>
  <c r="O9" i="36" s="1"/>
  <c r="AA16" i="66"/>
  <c r="AA10" i="66"/>
  <c r="L14" i="36"/>
  <c r="O14" i="36" s="1"/>
  <c r="AA18" i="66"/>
  <c r="AA12" i="66"/>
  <c r="AB26" i="66"/>
  <c r="H34" i="40"/>
  <c r="E49" i="40"/>
  <c r="AA19" i="66"/>
  <c r="L23" i="36"/>
  <c r="O23" i="36" s="1"/>
  <c r="I49" i="40"/>
  <c r="H49" i="40"/>
  <c r="L26" i="36" l="1"/>
  <c r="O26" i="36" s="1"/>
  <c r="N11" i="36"/>
  <c r="AA7" i="66" s="1"/>
  <c r="L11" i="36"/>
  <c r="O11" i="36" s="1"/>
  <c r="N15" i="36"/>
  <c r="AA11" i="66" s="1"/>
  <c r="L15" i="36"/>
  <c r="O15" i="36" s="1"/>
  <c r="L22" i="36"/>
  <c r="O22" i="36" s="1"/>
  <c r="L19" i="36"/>
  <c r="O19" i="36" s="1"/>
  <c r="L21" i="36"/>
  <c r="O21" i="36" s="1"/>
  <c r="L20" i="36"/>
  <c r="O20" i="36" s="1"/>
  <c r="N12" i="36"/>
  <c r="AA8" i="66" s="1"/>
  <c r="L12" i="36"/>
  <c r="O12" i="36" s="1"/>
  <c r="N27" i="36"/>
  <c r="AA23" i="66" s="1"/>
  <c r="L27" i="36"/>
  <c r="O27" i="36" s="1"/>
  <c r="N10" i="36"/>
  <c r="AA6" i="66" s="1"/>
  <c r="L28" i="36"/>
  <c r="O28" i="36" s="1"/>
  <c r="M7" i="36"/>
  <c r="K7" i="36" s="1"/>
  <c r="K29" i="36" s="1"/>
  <c r="N29" i="36" s="1"/>
  <c r="AA25" i="66" s="1"/>
  <c r="L24" i="36"/>
  <c r="O24" i="36" s="1"/>
  <c r="Z16" i="43"/>
  <c r="AA16" i="43" s="1"/>
  <c r="J16" i="43"/>
  <c r="G12" i="43"/>
  <c r="J12" i="43" s="1"/>
  <c r="AD12" i="43"/>
  <c r="AE12" i="43" s="1"/>
  <c r="M54" i="86"/>
  <c r="M40" i="86"/>
  <c r="J18" i="43"/>
  <c r="M111" i="86"/>
  <c r="M119" i="86"/>
  <c r="M83" i="86"/>
  <c r="M77" i="86"/>
  <c r="M81" i="86"/>
  <c r="M163" i="86"/>
  <c r="M94" i="86"/>
  <c r="M5" i="86"/>
  <c r="J14" i="43"/>
  <c r="M27" i="86"/>
  <c r="M130" i="86"/>
  <c r="M129" i="86"/>
  <c r="M90" i="86"/>
  <c r="M7" i="86"/>
  <c r="M120" i="86"/>
  <c r="M53" i="86"/>
  <c r="M50" i="86"/>
  <c r="M22" i="86"/>
  <c r="M68" i="86"/>
  <c r="Z15" i="43"/>
  <c r="AA15" i="43" s="1"/>
  <c r="J15" i="43"/>
  <c r="M143" i="86"/>
  <c r="M152" i="86"/>
  <c r="M62" i="86"/>
  <c r="M158" i="86"/>
  <c r="M71" i="86"/>
  <c r="M43" i="86"/>
  <c r="M51" i="86"/>
  <c r="M132" i="86"/>
  <c r="M110" i="86"/>
  <c r="M164" i="86"/>
  <c r="M56" i="86"/>
  <c r="M151" i="86"/>
  <c r="M14" i="86"/>
  <c r="M97" i="86"/>
  <c r="M44" i="86"/>
  <c r="M65" i="86"/>
  <c r="M58" i="86"/>
  <c r="M155" i="86"/>
  <c r="M127" i="86"/>
  <c r="M6" i="86"/>
  <c r="M88" i="86"/>
  <c r="M114" i="86"/>
  <c r="M66" i="86"/>
  <c r="K127" i="86"/>
  <c r="M100" i="86"/>
  <c r="M126" i="86"/>
  <c r="M141" i="86"/>
  <c r="M96" i="86"/>
  <c r="J97" i="86"/>
  <c r="M131" i="86"/>
  <c r="M99" i="86"/>
  <c r="M2" i="86"/>
  <c r="M128" i="86"/>
  <c r="M87" i="86"/>
  <c r="M39" i="86"/>
  <c r="M112" i="86"/>
  <c r="M29" i="86"/>
  <c r="M21" i="86"/>
  <c r="M106" i="86"/>
  <c r="M89" i="86"/>
  <c r="K141" i="86"/>
  <c r="M149" i="86"/>
  <c r="M67" i="86"/>
  <c r="M91" i="86"/>
  <c r="M59" i="86"/>
  <c r="M15" i="86"/>
  <c r="J111" i="86"/>
  <c r="M24" i="86"/>
  <c r="M85" i="86"/>
  <c r="M118" i="86"/>
  <c r="M168" i="86"/>
  <c r="M165" i="86"/>
  <c r="M98" i="86"/>
  <c r="M159" i="86"/>
  <c r="M101" i="86"/>
  <c r="M10" i="86"/>
  <c r="M55" i="86"/>
  <c r="M147" i="86"/>
  <c r="M63" i="86"/>
  <c r="M117" i="86"/>
  <c r="M107" i="86"/>
  <c r="K117" i="86"/>
  <c r="K107" i="86"/>
  <c r="M33" i="86"/>
  <c r="M79" i="86"/>
  <c r="M13" i="86"/>
  <c r="M95" i="86"/>
  <c r="M121" i="86"/>
  <c r="M167" i="86"/>
  <c r="M70" i="86"/>
  <c r="M57" i="86"/>
  <c r="M82" i="86"/>
  <c r="M72" i="86"/>
  <c r="M4" i="86"/>
  <c r="M145" i="86"/>
  <c r="M148" i="86"/>
  <c r="M166" i="86"/>
  <c r="M160" i="86"/>
  <c r="M78" i="86"/>
  <c r="M156" i="86"/>
  <c r="M23" i="86"/>
  <c r="M162" i="86"/>
  <c r="M35" i="86"/>
  <c r="M150" i="86"/>
  <c r="M11" i="86"/>
  <c r="M134" i="86"/>
  <c r="M153" i="86"/>
  <c r="M25" i="86"/>
  <c r="M3" i="86"/>
  <c r="M102" i="86"/>
  <c r="M115" i="86"/>
  <c r="M18" i="86"/>
  <c r="M64" i="86"/>
  <c r="M139" i="86"/>
  <c r="M80" i="86"/>
  <c r="I30" i="37"/>
  <c r="O55" i="37"/>
  <c r="M92" i="86"/>
  <c r="M28" i="86"/>
  <c r="K80" i="86"/>
  <c r="M32" i="86"/>
  <c r="G55" i="37"/>
  <c r="D55" i="37"/>
  <c r="F30" i="37"/>
  <c r="M20" i="86"/>
  <c r="M136" i="86"/>
  <c r="M140" i="86"/>
  <c r="L14" i="86"/>
  <c r="M37" i="86"/>
  <c r="M123" i="86"/>
  <c r="L55" i="37"/>
  <c r="M146" i="86"/>
  <c r="M9" i="86"/>
  <c r="M69" i="86"/>
  <c r="G30" i="37"/>
  <c r="M30" i="86"/>
  <c r="D30" i="37"/>
  <c r="M113" i="86"/>
  <c r="H30" i="37"/>
  <c r="M124" i="86"/>
  <c r="M157" i="86"/>
  <c r="M116" i="86"/>
  <c r="J30" i="37"/>
  <c r="M142" i="86"/>
  <c r="M93" i="86"/>
  <c r="K93" i="86"/>
  <c r="M34" i="86"/>
  <c r="L30" i="37"/>
  <c r="K30" i="37"/>
  <c r="N30" i="37"/>
  <c r="AD16" i="43"/>
  <c r="AE16" i="43" s="1"/>
  <c r="Z14" i="43"/>
  <c r="AA14" i="43" s="1"/>
  <c r="AD14" i="43"/>
  <c r="AE14" i="43" s="1"/>
  <c r="AD13" i="43"/>
  <c r="AE13" i="43" s="1"/>
  <c r="AD18" i="43"/>
  <c r="AE18" i="43" s="1"/>
  <c r="Z18" i="43"/>
  <c r="AA18" i="43" s="1"/>
  <c r="Z13" i="43"/>
  <c r="AA13" i="43" s="1"/>
  <c r="G17" i="43"/>
  <c r="M137" i="86"/>
  <c r="AD15" i="43"/>
  <c r="AE15" i="43" s="1"/>
  <c r="J19" i="86"/>
  <c r="M19" i="86"/>
  <c r="K144" i="86"/>
  <c r="M144" i="86"/>
  <c r="K36" i="86"/>
  <c r="M36" i="86"/>
  <c r="M30" i="37"/>
  <c r="K42" i="37"/>
  <c r="K55" i="37" s="1"/>
  <c r="H55" i="37"/>
  <c r="K60" i="86"/>
  <c r="M60" i="86"/>
  <c r="K12" i="86"/>
  <c r="M12" i="86"/>
  <c r="J135" i="86"/>
  <c r="M135" i="86"/>
  <c r="M103" i="86"/>
  <c r="K103" i="86"/>
  <c r="E30" i="37"/>
  <c r="M8" i="86"/>
  <c r="J8" i="86"/>
  <c r="P13" i="43"/>
  <c r="S13" i="43" s="1"/>
  <c r="AD19" i="43"/>
  <c r="AE19" i="43" s="1"/>
  <c r="Z19" i="43"/>
  <c r="AA19" i="43" s="1"/>
  <c r="P15" i="43"/>
  <c r="Z21" i="43" s="1"/>
  <c r="AA21" i="43" s="1"/>
  <c r="L7" i="36" l="1"/>
  <c r="O7" i="36" s="1"/>
  <c r="O29" i="36" s="1"/>
  <c r="N7" i="36"/>
  <c r="AA3" i="66" s="1"/>
  <c r="AA26" i="66" s="1"/>
  <c r="M29" i="36"/>
  <c r="Z12" i="43"/>
  <c r="AA12" i="43" s="1"/>
  <c r="Z17" i="43"/>
  <c r="AA17" i="43" s="1"/>
  <c r="J17" i="43"/>
  <c r="Z20" i="43"/>
  <c r="AA20" i="43" s="1"/>
  <c r="S15" i="43"/>
  <c r="L29" i="36" l="1"/>
</calcChain>
</file>

<file path=xl/sharedStrings.xml><?xml version="1.0" encoding="utf-8"?>
<sst xmlns="http://schemas.openxmlformats.org/spreadsheetml/2006/main" count="20857" uniqueCount="1730">
  <si>
    <t>Township</t>
  </si>
  <si>
    <t>Longitude</t>
  </si>
  <si>
    <t>HH</t>
  </si>
  <si>
    <t>Total</t>
  </si>
  <si>
    <t>MMR001CMP050</t>
  </si>
  <si>
    <t>Bhamo</t>
  </si>
  <si>
    <t>AD-2000 Tharthana Compound</t>
  </si>
  <si>
    <t>MMR001CMP051</t>
  </si>
  <si>
    <t>Mu-yin Baptist Church</t>
  </si>
  <si>
    <t>MMR001CMP153</t>
  </si>
  <si>
    <t>Daw Hpum Yang Ninghtawn</t>
  </si>
  <si>
    <t>MMR001CMP163</t>
  </si>
  <si>
    <t>Host Families</t>
  </si>
  <si>
    <t>MMR001CMP052</t>
  </si>
  <si>
    <t>Htoi San Church</t>
  </si>
  <si>
    <t>MMR001CMP048</t>
  </si>
  <si>
    <t>Kannar Yeik Thar</t>
  </si>
  <si>
    <t>MMR001CMP049</t>
  </si>
  <si>
    <t>Lisu Boarding-House</t>
  </si>
  <si>
    <t>MMR001CMP054</t>
  </si>
  <si>
    <t>Nant Hlaing Church</t>
  </si>
  <si>
    <t>MMR001CMP047</t>
  </si>
  <si>
    <t>Robert Church</t>
  </si>
  <si>
    <t>MMR001CMP055</t>
  </si>
  <si>
    <t>Ta Gun Taing Monastery (Shwe Kyi Na)</t>
  </si>
  <si>
    <t>MMR001CMP053</t>
  </si>
  <si>
    <t>Yoe Kyi Monastery</t>
  </si>
  <si>
    <t>Chipwi</t>
  </si>
  <si>
    <t>Chipwi KBC camp</t>
  </si>
  <si>
    <t>MMR001CMP043</t>
  </si>
  <si>
    <t>MMR001CMP042</t>
  </si>
  <si>
    <t>MMR001CMP046</t>
  </si>
  <si>
    <t>Gant Gwin</t>
  </si>
  <si>
    <t>MMR001CMP045</t>
  </si>
  <si>
    <t xml:space="preserve">Lan Jaw </t>
  </si>
  <si>
    <t>Lawk Hkawng Ginwang</t>
  </si>
  <si>
    <t>MMR001CMP044</t>
  </si>
  <si>
    <t>Women's Affairs Association Building</t>
  </si>
  <si>
    <t>MMR001CMP173</t>
  </si>
  <si>
    <t>Anglican Church, Hmaw Si Sar</t>
  </si>
  <si>
    <t>MMR001CMP176</t>
  </si>
  <si>
    <t>AG Church, Hmaw Si Sa</t>
  </si>
  <si>
    <t>MMR001CMP190</t>
  </si>
  <si>
    <t>AG Church, Maw Wan</t>
  </si>
  <si>
    <t>Hmaw Wan, Anglican</t>
  </si>
  <si>
    <t>MMR001CMP191</t>
  </si>
  <si>
    <t>MMR001CMP192</t>
  </si>
  <si>
    <t>MMR001CMP170</t>
  </si>
  <si>
    <t>Away Yar Rama Monastery, Ka Day village</t>
  </si>
  <si>
    <t>MMR001CMP092</t>
  </si>
  <si>
    <t xml:space="preserve">Aye Mya Tharyar Church of Christ </t>
  </si>
  <si>
    <t>MMR001CMP169</t>
  </si>
  <si>
    <t>Baptist Church, Hmaw Si Sar(Lon Khin)</t>
  </si>
  <si>
    <t>MMR001CMP094</t>
  </si>
  <si>
    <t>Mashi Kahtawng Baptist  Church</t>
  </si>
  <si>
    <t>MMR001CMP189</t>
  </si>
  <si>
    <t>Hmaw Wan, Baptist Christian Church</t>
  </si>
  <si>
    <t>MMR001CMP188</t>
  </si>
  <si>
    <t>Baptist Church, Naung Hmee VT</t>
  </si>
  <si>
    <t>MMR001CMP172</t>
  </si>
  <si>
    <t>Baptist Church, Sai Ra village</t>
  </si>
  <si>
    <t>MMR001CMP179</t>
  </si>
  <si>
    <t>5 Ward Baptist Church(lon Khin)</t>
  </si>
  <si>
    <t>MMR001CMP185</t>
  </si>
  <si>
    <t>Ward 2 Cahotlic Church, Seik Mu</t>
  </si>
  <si>
    <t>MMR001CMP093</t>
  </si>
  <si>
    <t>Mashi Kahtawng Catholic Church</t>
  </si>
  <si>
    <t>MMR001CMP090</t>
  </si>
  <si>
    <t>Maw Wan, Catholic Church</t>
  </si>
  <si>
    <t>MMR001CMP086</t>
  </si>
  <si>
    <t>Chin(Zomi) Baptist Church</t>
  </si>
  <si>
    <t>MMR001CMP109</t>
  </si>
  <si>
    <t>Chin Church, Seik Mu</t>
  </si>
  <si>
    <t>MMR001CMP175</t>
  </si>
  <si>
    <t>Wrad(5) Christian Association</t>
  </si>
  <si>
    <t>MMR001CMP174</t>
  </si>
  <si>
    <t>Dhama Rakhita, Nyein Chan Tar Yar Ward(Lon Khin)</t>
  </si>
  <si>
    <t>MMR001CMP180</t>
  </si>
  <si>
    <t>Ei Wan Gali Asso., Ward 1, Seik Mu</t>
  </si>
  <si>
    <t>MMR001CMP096</t>
  </si>
  <si>
    <t>Mashi Kahtawng Evangelical Church</t>
  </si>
  <si>
    <t>MMR001CMP186</t>
  </si>
  <si>
    <t>Free Christian Asso., Ward 1, Seik Mu</t>
  </si>
  <si>
    <t>MMR001CMP085</t>
  </si>
  <si>
    <t>Maw Wan, Kachin Baptist Church</t>
  </si>
  <si>
    <t>MMR001CMP084</t>
  </si>
  <si>
    <t>Maw Wan, Kyauk Hlaing Gu Pagoda Compound</t>
  </si>
  <si>
    <t>MMR001CMP148</t>
  </si>
  <si>
    <t>Hlaing Naung Baptist</t>
  </si>
  <si>
    <t>MMR001CMP181</t>
  </si>
  <si>
    <t>Lisu Baptist Church, Maw Shan Vil,. Seik Mu</t>
  </si>
  <si>
    <t>MMR001CMP167</t>
  </si>
  <si>
    <t>Lisu Baptist Church, Maw Wan Ward</t>
  </si>
  <si>
    <t>MMR001CMP107</t>
  </si>
  <si>
    <t>Ma Mon Buddhist Monastery</t>
  </si>
  <si>
    <t>MMR001CMP104</t>
  </si>
  <si>
    <t>San Kyel, Masoe Yein Monestry</t>
  </si>
  <si>
    <t>MMR001CMP178</t>
  </si>
  <si>
    <t>May Di Ka Rama Monastery(Lon Khin)</t>
  </si>
  <si>
    <t>MMR001CMP091</t>
  </si>
  <si>
    <t>Maw Wan, Mu-yin Baptist Church</t>
  </si>
  <si>
    <t>MMR001CMP098</t>
  </si>
  <si>
    <t>Mashi Kahtawng Municipal Dammar Yone</t>
  </si>
  <si>
    <t>MMR001CMP088</t>
  </si>
  <si>
    <t>Maw Wan, Myo Oo Pagoda</t>
  </si>
  <si>
    <t>MMR001CMP099</t>
  </si>
  <si>
    <t>Mashi Kahtawng Myo Oo Taw Ya Monestry</t>
  </si>
  <si>
    <t>MMR001CMP103</t>
  </si>
  <si>
    <t>Nant Ma Hpit Catholic Church</t>
  </si>
  <si>
    <t>MMR001CMP082</t>
  </si>
  <si>
    <t xml:space="preserve">Nga Pyaw Taw Baptist Nursery School </t>
  </si>
  <si>
    <t>MMR001CMP083</t>
  </si>
  <si>
    <t>Nga Pyaw Taw Roman Catholic Church</t>
  </si>
  <si>
    <t>MMR001CMP102</t>
  </si>
  <si>
    <t>Parami, Charity Office, MyoMa Quarter</t>
  </si>
  <si>
    <t>MMR001CMP095</t>
  </si>
  <si>
    <t>Mashi Kahtawng Rakhine traditional group</t>
  </si>
  <si>
    <t>MMR001CMP182</t>
  </si>
  <si>
    <t>Rawan Baptist Church, Maw Shan Vil., Seik Mu</t>
  </si>
  <si>
    <t>MMR001CMP168</t>
  </si>
  <si>
    <t>5 Ward RC Church(lon Khin)</t>
  </si>
  <si>
    <t>MMR001CMP108</t>
  </si>
  <si>
    <t>Sa Baw Sarsana Parla Monastery</t>
  </si>
  <si>
    <t>MMR001CMP183</t>
  </si>
  <si>
    <t>Sai Nai Baptish Church, Maw Shan Vil., Seki Mu</t>
  </si>
  <si>
    <t>MMR001CMP184</t>
  </si>
  <si>
    <t xml:space="preserve">Ward 2 Sai Taung Baptist Church, Seik Mu </t>
  </si>
  <si>
    <t>MMR001CMP171</t>
  </si>
  <si>
    <t>1 Ward, Sein Yadanar Company(Lon Khin)</t>
  </si>
  <si>
    <t>MMR001CMP100</t>
  </si>
  <si>
    <t>Mashi Kahtawng Shan Traditional Monestry</t>
  </si>
  <si>
    <t>MMR001CMP110</t>
  </si>
  <si>
    <t>Tar Ma Hkan Buddhist Monastery, Haung Par</t>
  </si>
  <si>
    <t>MMR001CMP101</t>
  </si>
  <si>
    <t>Thiri Mingalar Manizay Yone, Myoma Quarter</t>
  </si>
  <si>
    <t>MMR001CMP106</t>
  </si>
  <si>
    <t>Maw Si Zar, Thiriyardanar Sein, Damma Compound, Lone Khin</t>
  </si>
  <si>
    <t>MMR001CMP097</t>
  </si>
  <si>
    <t>Mashi Kahtawng Yaung Chi Oo Thi la shin Monestry</t>
  </si>
  <si>
    <t>MMR001CMP105</t>
  </si>
  <si>
    <t>Yumar Baptist Church</t>
  </si>
  <si>
    <t>MMR001CMP177</t>
  </si>
  <si>
    <t>Muring Baptist Church, Awng Ra, Wa Ra Zut VT</t>
  </si>
  <si>
    <t>MMR001CMP074</t>
  </si>
  <si>
    <t>Khaunglanhpu</t>
  </si>
  <si>
    <t>La Ja</t>
  </si>
  <si>
    <t>Kutkai</t>
  </si>
  <si>
    <t>MMR015CMP006</t>
  </si>
  <si>
    <t>MMR015CMP007</t>
  </si>
  <si>
    <t xml:space="preserve">Nam Hpak Ka Mare </t>
  </si>
  <si>
    <t>MMR001CMP066</t>
  </si>
  <si>
    <t>Mansi</t>
  </si>
  <si>
    <t>Mansi Baptist Church</t>
  </si>
  <si>
    <t>MMR001CMP132</t>
  </si>
  <si>
    <t>Man Wing Catholic Church</t>
  </si>
  <si>
    <t>MMR001CMP134</t>
  </si>
  <si>
    <t>Man Wing Host Families</t>
  </si>
  <si>
    <t>MMR001CMP135</t>
  </si>
  <si>
    <t>Lung Kawk  ( Hka Hkye Zup)</t>
  </si>
  <si>
    <t>MMR001CMP133</t>
  </si>
  <si>
    <t>Man Wing Baptist Church</t>
  </si>
  <si>
    <t>MMR001CMP136</t>
  </si>
  <si>
    <t>Nam Hka Mare (west of Man Wing)</t>
  </si>
  <si>
    <t>MMR001CMP137</t>
  </si>
  <si>
    <t>Nam Lim Pa - Scattered IDPs in forest</t>
  </si>
  <si>
    <t>MMR015CMP009</t>
  </si>
  <si>
    <t>Manton</t>
  </si>
  <si>
    <t>Mandung - Jinghpaw</t>
  </si>
  <si>
    <t>MMR015CMP010</t>
  </si>
  <si>
    <t>Howa</t>
  </si>
  <si>
    <t>MMR015CMP011</t>
  </si>
  <si>
    <t>Nam Hkyet</t>
  </si>
  <si>
    <t>MMR001CMP078</t>
  </si>
  <si>
    <t>Mogaung</t>
  </si>
  <si>
    <t xml:space="preserve">Kyun Taw Baptist Church </t>
  </si>
  <si>
    <t>MMR001CMP077</t>
  </si>
  <si>
    <t>Mang Hawng Baptist Church</t>
  </si>
  <si>
    <t>MMR001CMP079</t>
  </si>
  <si>
    <t xml:space="preserve">Nat Gyi Kone Baptist Church </t>
  </si>
  <si>
    <t>MMR001CMP080</t>
  </si>
  <si>
    <t>Mohnyin</t>
  </si>
  <si>
    <t xml:space="preserve">St. Patrick Catholic Church </t>
  </si>
  <si>
    <t>MMR001CMP081</t>
  </si>
  <si>
    <t>Nant Mun</t>
  </si>
  <si>
    <t>MMR001CMP071</t>
  </si>
  <si>
    <t>Momauk</t>
  </si>
  <si>
    <t>Loi Je Baptist Church</t>
  </si>
  <si>
    <t>MMR001CMP129</t>
  </si>
  <si>
    <t xml:space="preserve">Bum Tsit Pa </t>
  </si>
  <si>
    <t>MMR001CMP070</t>
  </si>
  <si>
    <t>Loi Je Lisu Camp</t>
  </si>
  <si>
    <t>MMR001CMP123</t>
  </si>
  <si>
    <t xml:space="preserve">Dum Bung </t>
  </si>
  <si>
    <t>MMR001CMP122</t>
  </si>
  <si>
    <t xml:space="preserve">Hpun Lum Yang </t>
  </si>
  <si>
    <t>MMR001CMP121</t>
  </si>
  <si>
    <t xml:space="preserve">Je Yang Hka </t>
  </si>
  <si>
    <t>MMR001CMP128</t>
  </si>
  <si>
    <t xml:space="preserve">Lana Zup Ja </t>
  </si>
  <si>
    <t>MMR001CMP064</t>
  </si>
  <si>
    <t xml:space="preserve">Mai Khat </t>
  </si>
  <si>
    <t>MMR001CMP062</t>
  </si>
  <si>
    <t>Man Bung Catholic compound</t>
  </si>
  <si>
    <t>MMR001CMP063</t>
  </si>
  <si>
    <t xml:space="preserve">Man Nawng </t>
  </si>
  <si>
    <t>Man Ting</t>
  </si>
  <si>
    <t>MMR001CMP058</t>
  </si>
  <si>
    <t>Mandalay Monestry</t>
  </si>
  <si>
    <t>MMR001CMP056</t>
  </si>
  <si>
    <t>Momauk Baptist Church</t>
  </si>
  <si>
    <t>MMR001CMP057</t>
  </si>
  <si>
    <t>Momauk Catholic Church (St. Patrick)</t>
  </si>
  <si>
    <t>MMR001CMP061</t>
  </si>
  <si>
    <t xml:space="preserve">Myo Thit </t>
  </si>
  <si>
    <t>MMR001CMP131</t>
  </si>
  <si>
    <t xml:space="preserve">Nhkawng Pa </t>
  </si>
  <si>
    <t>MMR001CMP059</t>
  </si>
  <si>
    <t>Ni Thaw Ka Monestry</t>
  </si>
  <si>
    <t>MMR001CMP126</t>
  </si>
  <si>
    <t xml:space="preserve">Pa Kahtawng </t>
  </si>
  <si>
    <t>MMR001CMP065</t>
  </si>
  <si>
    <t xml:space="preserve">Phar Kay/Nant Waing </t>
  </si>
  <si>
    <t>MMR001CMP069</t>
  </si>
  <si>
    <t>Loi Je Catholic Church</t>
  </si>
  <si>
    <t>MMR001CMP073</t>
  </si>
  <si>
    <t xml:space="preserve">Seng Ja </t>
  </si>
  <si>
    <t>MMR001CMP060</t>
  </si>
  <si>
    <t xml:space="preserve">Tarli </t>
  </si>
  <si>
    <t>MMR001CMP072</t>
  </si>
  <si>
    <t xml:space="preserve">Nyaung Na Pin </t>
  </si>
  <si>
    <t>Muse</t>
  </si>
  <si>
    <t>Hpai Kawng Mare</t>
  </si>
  <si>
    <t>MMR015CMP012</t>
  </si>
  <si>
    <t xml:space="preserve">Munekoe Pa (Giwang) - Hka San (Mung  Go  Pa ) </t>
  </si>
  <si>
    <t>MMR015CMP005</t>
  </si>
  <si>
    <t xml:space="preserve">Mung Baw </t>
  </si>
  <si>
    <t>MMR001CMP001</t>
  </si>
  <si>
    <t>Myitkyina</t>
  </si>
  <si>
    <t>Tat Kone Baptist Church</t>
  </si>
  <si>
    <t>MMR001CMP015</t>
  </si>
  <si>
    <t>Le Kone Bethlehem Church</t>
  </si>
  <si>
    <t>MMR001CMP023</t>
  </si>
  <si>
    <t>MMR001CMP012</t>
  </si>
  <si>
    <t>Du Kahtawng Qtr. 14</t>
  </si>
  <si>
    <t>MMR001CMP010</t>
  </si>
  <si>
    <t>Du Kahtawng Qtr. 4</t>
  </si>
  <si>
    <t>MMR001CMP011</t>
  </si>
  <si>
    <t>Du Kahtawng Qtr. 5</t>
  </si>
  <si>
    <t>MMR001CMP004</t>
  </si>
  <si>
    <t>Tat Kone Emanuel Church</t>
  </si>
  <si>
    <t>MMR001CMP003</t>
  </si>
  <si>
    <t>Tat Kone Galile Baptist Church</t>
  </si>
  <si>
    <t>MMR001CMP018</t>
  </si>
  <si>
    <t>Jan Mai Kawng Baptist Church</t>
  </si>
  <si>
    <t>MMR001CMP019</t>
  </si>
  <si>
    <t>Jan Mai Kawng Catholic Church</t>
  </si>
  <si>
    <t>MMR001CMP013</t>
  </si>
  <si>
    <t>Kyun Pin Thar Baptist Church</t>
  </si>
  <si>
    <t>MMR001CMP016</t>
  </si>
  <si>
    <t>Maliyang Baptist Church</t>
  </si>
  <si>
    <t>MMR001CMP008</t>
  </si>
  <si>
    <t>Man Hkring Baptist Church</t>
  </si>
  <si>
    <t>MMR001CMP020</t>
  </si>
  <si>
    <t>Maw Hpawng Hka Nan Baptist Church</t>
  </si>
  <si>
    <t>MMR001CMP021</t>
  </si>
  <si>
    <t>Maw Hpawng Lhaovo Baptist Church</t>
  </si>
  <si>
    <t>MMR001CMP017</t>
  </si>
  <si>
    <t>Myay Myint Baptist Church</t>
  </si>
  <si>
    <t>MMR001CMP002</t>
  </si>
  <si>
    <t xml:space="preserve">Njang Dung Baptist Church </t>
  </si>
  <si>
    <t>MMR001CMP024</t>
  </si>
  <si>
    <t>Nan Kway St. John Catholic Church</t>
  </si>
  <si>
    <t>MMR001CMP162</t>
  </si>
  <si>
    <t>Pa Dauk Myaing(Pa La Na)</t>
  </si>
  <si>
    <t>MMR001CMP005</t>
  </si>
  <si>
    <t>Tat Kone San Pya Baptist Church</t>
  </si>
  <si>
    <t>MMR001CMP006</t>
  </si>
  <si>
    <t>Shatapru Sut Ngai Tawng</t>
  </si>
  <si>
    <t>MMR001CMP007</t>
  </si>
  <si>
    <t>Shatapru Thida Aye Baptist Church</t>
  </si>
  <si>
    <t>MMR001CMP009</t>
  </si>
  <si>
    <t>Shwe Zet Baptist Church</t>
  </si>
  <si>
    <t>MMR001CMP022</t>
  </si>
  <si>
    <t>Wun Tho Buddhist Monastery</t>
  </si>
  <si>
    <t>MMR001CMP014</t>
  </si>
  <si>
    <t xml:space="preserve">Le Kone Ziun Baptist Church </t>
  </si>
  <si>
    <t>MMR001CMP152</t>
  </si>
  <si>
    <t xml:space="preserve">Nawng Ing (Indawgyi) Baptist Church  </t>
  </si>
  <si>
    <t>MMR015CMP001</t>
  </si>
  <si>
    <t>Namhkan</t>
  </si>
  <si>
    <t>Nam Hkam (KBC Jaw Wang)</t>
  </si>
  <si>
    <t>MMR015CMP004</t>
  </si>
  <si>
    <t>Nam Hkam - Nay Win Ni (Palawng)</t>
  </si>
  <si>
    <t>MMR015CMP002</t>
  </si>
  <si>
    <t xml:space="preserve">Nam Hkam Malut Jak </t>
  </si>
  <si>
    <t>MMR015CMP003</t>
  </si>
  <si>
    <t xml:space="preserve">Mung Ding Pa </t>
  </si>
  <si>
    <t>MMR015CMP014</t>
  </si>
  <si>
    <t>Namtu</t>
  </si>
  <si>
    <t>MMR001CMP075</t>
  </si>
  <si>
    <t>Puta-O</t>
  </si>
  <si>
    <t>Tote Tan Ward</t>
  </si>
  <si>
    <t>Shwegu</t>
  </si>
  <si>
    <t>MMR001CMP147</t>
  </si>
  <si>
    <t>Lawk Awng Mare D. (Sinbo Area)</t>
  </si>
  <si>
    <t>MMR001CMP067</t>
  </si>
  <si>
    <t>Shwe Gu Baptist Church</t>
  </si>
  <si>
    <t>MMR001CMP068</t>
  </si>
  <si>
    <t>Shwe Gu Catholic Church</t>
  </si>
  <si>
    <t>MMR001CMP036</t>
  </si>
  <si>
    <t>Waingmaw</t>
  </si>
  <si>
    <t>Waingmaw Baptist Zonal Office</t>
  </si>
  <si>
    <t>MMR001CMP028</t>
  </si>
  <si>
    <t xml:space="preserve">Hkat Cho </t>
  </si>
  <si>
    <t>MMR001CMP117</t>
  </si>
  <si>
    <t>MMR001CMP038</t>
  </si>
  <si>
    <t>Waingmaw AG Church</t>
  </si>
  <si>
    <t>MMR001CMP032</t>
  </si>
  <si>
    <t>Qtr. 2 Lhaovo Baptist Church</t>
  </si>
  <si>
    <t>MMR001CMP027</t>
  </si>
  <si>
    <t>Mading Baptist Church</t>
  </si>
  <si>
    <t>MMR001CMP119</t>
  </si>
  <si>
    <t xml:space="preserve">Maga Yang </t>
  </si>
  <si>
    <t>MMR001CMP040</t>
  </si>
  <si>
    <t>Maina KBC (Bawng Ring)</t>
  </si>
  <si>
    <t>MMR001CMP039</t>
  </si>
  <si>
    <t>Maina Lawang Baptist Church</t>
  </si>
  <si>
    <t>MMR001CMP031</t>
  </si>
  <si>
    <t>Maina AG Church</t>
  </si>
  <si>
    <t>MMR001CMP029</t>
  </si>
  <si>
    <t>Maina Catholic Church (St. Joseph)</t>
  </si>
  <si>
    <t>MMR001CMP118</t>
  </si>
  <si>
    <t>Manau Compound</t>
  </si>
  <si>
    <t>MMR001CMP113</t>
  </si>
  <si>
    <t>Border Post 8</t>
  </si>
  <si>
    <t>MMR001CMP115</t>
  </si>
  <si>
    <t>Hkau Shau (BP 12)</t>
  </si>
  <si>
    <t>MMR001CMP030</t>
  </si>
  <si>
    <t>Qtr. 3 Mu-yin  Baptist Church</t>
  </si>
  <si>
    <t>MMR001CMP149</t>
  </si>
  <si>
    <t>Laiza Muklum Hpyen  Yen Mungshawa ni</t>
  </si>
  <si>
    <t>MMR001CMP025</t>
  </si>
  <si>
    <t>Qtr. 2 Myoma Baptist Church</t>
  </si>
  <si>
    <t>MMR001CMP033</t>
  </si>
  <si>
    <t>Nawng Hee Village</t>
  </si>
  <si>
    <t>MMR001CMP120</t>
  </si>
  <si>
    <t>MMR001CMP041</t>
  </si>
  <si>
    <t>Shing Jai</t>
  </si>
  <si>
    <t>MMR001CMP037</t>
  </si>
  <si>
    <t>Thargaya Lisu Baptist Church</t>
  </si>
  <si>
    <t>MMR001CMP026</t>
  </si>
  <si>
    <t>Qtr. 4 Monestry (Thargaya Thayett Taw)</t>
  </si>
  <si>
    <t>MMR001CMP116</t>
  </si>
  <si>
    <t xml:space="preserve">Woi Chyai </t>
  </si>
  <si>
    <t>MMR001CMP160</t>
  </si>
  <si>
    <t>Post 6 Camp</t>
  </si>
  <si>
    <t>MMR001CMP111</t>
  </si>
  <si>
    <t>MMR001CMP114</t>
  </si>
  <si>
    <t>Border Post 10</t>
  </si>
  <si>
    <t>MMR001CMP035</t>
  </si>
  <si>
    <t>MMR001CMP034</t>
  </si>
  <si>
    <t>Nam Hkawng</t>
  </si>
  <si>
    <t>MMR001CMP146</t>
  </si>
  <si>
    <t>Injangyang</t>
  </si>
  <si>
    <t>Hpare Hkyer - BP6</t>
  </si>
  <si>
    <t>Lhaovao Baptist Church (LBC)</t>
  </si>
  <si>
    <t>Phan Khar Kone</t>
  </si>
  <si>
    <t xml:space="preserve">Mungji Pa Dabang (RC Church)         </t>
  </si>
  <si>
    <t>Mine Yu Lay village</t>
  </si>
  <si>
    <t>Kutkai downtown (KBC Church)</t>
  </si>
  <si>
    <t>Kutkai downtown (RC Church)</t>
  </si>
  <si>
    <t xml:space="preserve">Mungji Pa Dabang (Baptist Church)         </t>
  </si>
  <si>
    <t>Kone Khem Camp</t>
  </si>
  <si>
    <t>Zup Aung Camp</t>
  </si>
  <si>
    <t>Nam Hkam Catholic Church ( St. Thomas I)</t>
  </si>
  <si>
    <t>Nam Hkam Catholic Church ( St. Thomas II)</t>
  </si>
  <si>
    <t>MMR001CMP193</t>
  </si>
  <si>
    <t>MMR001CMP194</t>
  </si>
  <si>
    <t>MMR001CMP195</t>
  </si>
  <si>
    <t>Mong Kar</t>
  </si>
  <si>
    <t>Kachin</t>
  </si>
  <si>
    <t>Rakhine</t>
  </si>
  <si>
    <t>MMR015CMP015</t>
  </si>
  <si>
    <t>MMR015CMP016</t>
  </si>
  <si>
    <t>MMR015CMP017</t>
  </si>
  <si>
    <t>MMR015CMP018</t>
  </si>
  <si>
    <t>MMR015CMP019</t>
  </si>
  <si>
    <t>MMR015CMP020</t>
  </si>
  <si>
    <t>MMR015CMP022</t>
  </si>
  <si>
    <t>MMR015CMP024</t>
  </si>
  <si>
    <t>MMR001CMP196</t>
  </si>
  <si>
    <t>MMR001CMP197</t>
  </si>
  <si>
    <t>MMR001CMP198</t>
  </si>
  <si>
    <t>MMR001CMP199</t>
  </si>
  <si>
    <t>Camp Name</t>
  </si>
  <si>
    <t>State</t>
  </si>
  <si>
    <t>Collective Center</t>
  </si>
  <si>
    <t>Individual (non hosted)</t>
  </si>
  <si>
    <t>Planned Camp</t>
  </si>
  <si>
    <t>Privately Hosted</t>
  </si>
  <si>
    <t>Self Settled Camp</t>
  </si>
  <si>
    <t>Type of Accomodation</t>
  </si>
  <si>
    <t>Organization</t>
  </si>
  <si>
    <t>Hygiene Family Kit</t>
  </si>
  <si>
    <t>NFI Core Kit</t>
  </si>
  <si>
    <t>Women's Sanitary Kit</t>
  </si>
  <si>
    <t>Mosquito Nets</t>
  </si>
  <si>
    <t>Tarpaulins</t>
  </si>
  <si>
    <t>Stock in Balance</t>
  </si>
  <si>
    <t>Date Updated</t>
  </si>
  <si>
    <t>Pipeline</t>
  </si>
  <si>
    <t>ETA</t>
  </si>
  <si>
    <t>Distribution Date</t>
  </si>
  <si>
    <t>Implementing Partner</t>
  </si>
  <si>
    <t>Row Labels</t>
  </si>
  <si>
    <t>Grand Total</t>
  </si>
  <si>
    <t>Population</t>
  </si>
  <si>
    <t>CAMPS SUMMARY</t>
  </si>
  <si>
    <t>DETAILED CAMP LIST</t>
  </si>
  <si>
    <t>CLUSTER REPORT</t>
  </si>
  <si>
    <t>(Select State)</t>
  </si>
  <si>
    <t>Temporary Shelter Planned</t>
  </si>
  <si>
    <t>Temporary Shelter Built</t>
  </si>
  <si>
    <t>Temporary Shelter Under Construction</t>
  </si>
  <si>
    <t>SHELTER PROGRESS</t>
  </si>
  <si>
    <t>Total # of HH</t>
  </si>
  <si>
    <t>Total # of Population</t>
  </si>
  <si>
    <t xml:space="preserve"> Coverage (in Pop)</t>
  </si>
  <si>
    <t>Tents Distributed</t>
  </si>
  <si>
    <t>Permanent Shelter Built</t>
  </si>
  <si>
    <t>Permament Shelter Under Construction</t>
  </si>
  <si>
    <t>Permanent Shelter Planned</t>
  </si>
  <si>
    <t>Coverage (HH)</t>
  </si>
  <si>
    <t>NFI TRACKING SHEET</t>
  </si>
  <si>
    <t>Blanket</t>
  </si>
  <si>
    <t>Kitchen Set</t>
  </si>
  <si>
    <t>Dist.</t>
  </si>
  <si>
    <t>Gap (HH)</t>
  </si>
  <si>
    <t>Months</t>
  </si>
  <si>
    <t>Instock</t>
  </si>
  <si>
    <t>Coverage</t>
  </si>
  <si>
    <t># of IDP</t>
  </si>
  <si>
    <t># of camps by Size of Population</t>
  </si>
  <si>
    <t>Dashboards</t>
  </si>
  <si>
    <t>Myanmar</t>
  </si>
  <si>
    <t>CCCM</t>
  </si>
  <si>
    <t>Shelter</t>
  </si>
  <si>
    <t>NFI</t>
  </si>
  <si>
    <t>3W</t>
  </si>
  <si>
    <t>Contact List</t>
  </si>
  <si>
    <t>Report &amp; Analysis</t>
  </si>
  <si>
    <t>UNHCR</t>
  </si>
  <si>
    <t>DRC</t>
  </si>
  <si>
    <t>Quantity/HH</t>
  </si>
  <si>
    <t>Hygiene Kit</t>
  </si>
  <si>
    <t>Sanitary Kit</t>
  </si>
  <si>
    <t>Tarpaulin</t>
  </si>
  <si>
    <t>NFI DISTRIBUTION BY TOWNSHIP</t>
  </si>
  <si>
    <t>KBSS</t>
  </si>
  <si>
    <t>KBC</t>
  </si>
  <si>
    <t>SHELTER SUMMARY BY AGENCY</t>
  </si>
  <si>
    <t>NFI_Hygiene_Stock</t>
  </si>
  <si>
    <t>NFI_Core_Stock</t>
  </si>
  <si>
    <t>NFI_Sanitary_Stock</t>
  </si>
  <si>
    <t>NFI_Tarpaulin_Stock</t>
  </si>
  <si>
    <t>NFI_Blanket_Stock</t>
  </si>
  <si>
    <t>NFI_Kitchen_Stock</t>
  </si>
  <si>
    <t>NFI_Tarpaulin_Pipeline</t>
  </si>
  <si>
    <t>NFI_Blanket_Pipeline</t>
  </si>
  <si>
    <t>NFI_Kitchen_Pipeline</t>
  </si>
  <si>
    <t>NFI_Mosquito_Stock</t>
  </si>
  <si>
    <t>NFI_Hygiene_Pipeline</t>
  </si>
  <si>
    <t>NFI_Core_Pipeline</t>
  </si>
  <si>
    <t>NFI_Sanitary_Pipeline</t>
  </si>
  <si>
    <t>NFI_Mosquito_Pipeline</t>
  </si>
  <si>
    <t>NFI_Blanket_Track</t>
  </si>
  <si>
    <t>NFI_Hygiene_Track</t>
  </si>
  <si>
    <t>NFI_Kitchen_Track</t>
  </si>
  <si>
    <t>NFI_Mosquito_Track</t>
  </si>
  <si>
    <t>NFI_Core_Track</t>
  </si>
  <si>
    <t>NFI_Sanitary_Track</t>
  </si>
  <si>
    <t>NFI_Tarpaulin_Track</t>
  </si>
  <si>
    <t>Mosquito Net</t>
  </si>
  <si>
    <t>Complemantary Kit</t>
  </si>
  <si>
    <t>Label</t>
  </si>
  <si>
    <t>Stock</t>
  </si>
  <si>
    <t>Distribution</t>
  </si>
  <si>
    <t>NB</t>
  </si>
  <si>
    <t>Expiration (month)</t>
  </si>
  <si>
    <t>Avg</t>
  </si>
  <si>
    <t>Source</t>
  </si>
  <si>
    <t>Method</t>
  </si>
  <si>
    <t>Not Accessible</t>
  </si>
  <si>
    <t>Accessible by All</t>
  </si>
  <si>
    <t>Accessibility Restricted</t>
  </si>
  <si>
    <t>Comment</t>
  </si>
  <si>
    <t>Accessibility</t>
  </si>
  <si>
    <t>Status</t>
  </si>
  <si>
    <t>Camp_Acessibility</t>
  </si>
  <si>
    <t>Open</t>
  </si>
  <si>
    <t>Update Date</t>
  </si>
  <si>
    <t>Covered</t>
  </si>
  <si>
    <t>Gap - HH</t>
  </si>
  <si>
    <t>Ind. Not covered</t>
  </si>
  <si>
    <t>Shalom</t>
  </si>
  <si>
    <t>KMSS</t>
  </si>
  <si>
    <t xml:space="preserve">    </t>
  </si>
  <si>
    <t xml:space="preserve">  </t>
  </si>
  <si>
    <t>Pipeline Stock Tracking</t>
  </si>
  <si>
    <t>CampName</t>
  </si>
  <si>
    <t>GCA</t>
  </si>
  <si>
    <t>Aung Thar Church</t>
  </si>
  <si>
    <t>NGCA</t>
  </si>
  <si>
    <t>Zomee Baptist Church camp, Hmaw Wan</t>
  </si>
  <si>
    <t>MMR001CMP201</t>
  </si>
  <si>
    <t xml:space="preserve">Lagatyan </t>
  </si>
  <si>
    <t>MMR001CMP202</t>
  </si>
  <si>
    <t>Mung Ding Pa  (Boarder)</t>
  </si>
  <si>
    <t>MMR001CMP203</t>
  </si>
  <si>
    <t>MMR001CMP204</t>
  </si>
  <si>
    <t>Khun Sint Village</t>
  </si>
  <si>
    <t>MMR001CMP200</t>
  </si>
  <si>
    <t>VillageWard_Name</t>
  </si>
  <si>
    <t>District</t>
  </si>
  <si>
    <t>MMR001</t>
  </si>
  <si>
    <t>MMR001D002</t>
  </si>
  <si>
    <t>Hpakant</t>
  </si>
  <si>
    <t>MMR001009</t>
  </si>
  <si>
    <t>MMR001D003</t>
  </si>
  <si>
    <t>MMR001010</t>
  </si>
  <si>
    <t>MMR001D001</t>
  </si>
  <si>
    <t>MMR001002</t>
  </si>
  <si>
    <t>MMR001012</t>
  </si>
  <si>
    <t>MMR001005</t>
  </si>
  <si>
    <t>MMR001001</t>
  </si>
  <si>
    <t>MMR015</t>
  </si>
  <si>
    <t>MMR015D002</t>
  </si>
  <si>
    <t>MMR015009</t>
  </si>
  <si>
    <t>MMR001013</t>
  </si>
  <si>
    <t>MMR001011</t>
  </si>
  <si>
    <t>Kyaukme</t>
  </si>
  <si>
    <t>MMR015D003</t>
  </si>
  <si>
    <t>MMR015019</t>
  </si>
  <si>
    <t>MMR015011</t>
  </si>
  <si>
    <t>MMR001008</t>
  </si>
  <si>
    <t>MMR001D004</t>
  </si>
  <si>
    <t>MMR001018</t>
  </si>
  <si>
    <t>MMR001003</t>
  </si>
  <si>
    <t>MMR015010</t>
  </si>
  <si>
    <t>MMR015015</t>
  </si>
  <si>
    <t>MMR001007</t>
  </si>
  <si>
    <t>MMR001014</t>
  </si>
  <si>
    <t>Shan_North</t>
  </si>
  <si>
    <t>Camp</t>
  </si>
  <si>
    <t>Hygiene</t>
  </si>
  <si>
    <t>Core</t>
  </si>
  <si>
    <t>Sanitary</t>
  </si>
  <si>
    <t>Pcode</t>
  </si>
  <si>
    <t>Lat.</t>
  </si>
  <si>
    <t>Long.</t>
  </si>
  <si>
    <t>Y</t>
  </si>
  <si>
    <t>X</t>
  </si>
  <si>
    <t>HS</t>
  </si>
  <si>
    <t>Pop</t>
  </si>
  <si>
    <t>Column1</t>
  </si>
  <si>
    <t>Kachin/Shan</t>
  </si>
  <si>
    <t>27.00</t>
  </si>
  <si>
    <t>96.00</t>
  </si>
  <si>
    <t>World Vision</t>
  </si>
  <si>
    <t>Oxfam</t>
  </si>
  <si>
    <t># of HH</t>
  </si>
  <si>
    <t>IRRC</t>
  </si>
  <si>
    <t xml:space="preserve">UNHCR </t>
  </si>
  <si>
    <t>Dum Bung</t>
  </si>
  <si>
    <t>N_cps</t>
  </si>
  <si>
    <t># of IDPs</t>
  </si>
  <si>
    <t>Plastic Bucket</t>
  </si>
  <si>
    <t>Plastic Mat</t>
  </si>
  <si>
    <t>NFI_Plastic_Bucket_Track</t>
  </si>
  <si>
    <t>NFI_Plastic_Mat_Track</t>
  </si>
  <si>
    <t>NFI_Plastic_Bucket_Stock</t>
  </si>
  <si>
    <t>NFI_Plastic_Mat_Stock</t>
  </si>
  <si>
    <t>NFI_Plastic_Bucket_Pipeline</t>
  </si>
  <si>
    <t>NFI_Plastic_Mat_Pipeline</t>
  </si>
  <si>
    <t>Items (Direct and through Kits)</t>
  </si>
  <si>
    <t>Kachin &amp; Northern Shan CCCM Dashboard</t>
  </si>
  <si>
    <t>1k - 5k</t>
  </si>
  <si>
    <t>5k-10k</t>
  </si>
  <si>
    <t>1k-5k</t>
  </si>
  <si>
    <t>Kachin &amp; Northern Shan Shelter Coverage &amp; Gaps</t>
  </si>
  <si>
    <t>Kachin NFI Coverage &amp; Gaps</t>
  </si>
  <si>
    <t>Caritas</t>
  </si>
  <si>
    <t>Nam Tu RC</t>
  </si>
  <si>
    <t>Narte</t>
  </si>
  <si>
    <t>Mosquito net</t>
  </si>
  <si>
    <t>(All)</t>
  </si>
  <si>
    <t>Unknown</t>
  </si>
  <si>
    <t>Seik Mu</t>
  </si>
  <si>
    <t>MMR001009003</t>
  </si>
  <si>
    <t>Maw Shan</t>
  </si>
  <si>
    <t xml:space="preserve"> </t>
  </si>
  <si>
    <t>Sai Taung (Ywar Haung)</t>
  </si>
  <si>
    <t>Hpakan Town</t>
  </si>
  <si>
    <t>MMR001009701</t>
  </si>
  <si>
    <t>Hnget Pyaw Taw Ward</t>
  </si>
  <si>
    <t>MMR001009701502</t>
  </si>
  <si>
    <t>Maw Wam Ward</t>
  </si>
  <si>
    <t>MMR001009701501</t>
  </si>
  <si>
    <t>Nam Ma Hpyit</t>
  </si>
  <si>
    <t>MMR001009002</t>
  </si>
  <si>
    <t>Nam Ma Phyit, COC</t>
  </si>
  <si>
    <t>Lone Khin</t>
  </si>
  <si>
    <t>MMR001009001</t>
  </si>
  <si>
    <t>Hmaw Si Zar</t>
  </si>
  <si>
    <t>Ma Sut Yang</t>
  </si>
  <si>
    <t>Nam Mun</t>
  </si>
  <si>
    <t>MMR001007016</t>
  </si>
  <si>
    <t>Nawng Mi</t>
  </si>
  <si>
    <t>MMR001009008</t>
  </si>
  <si>
    <t>Nawng Myi</t>
  </si>
  <si>
    <t>Shwegu Town</t>
  </si>
  <si>
    <t>MMR001011701</t>
  </si>
  <si>
    <t>MMR001011701504</t>
  </si>
  <si>
    <t>Hkat Shu</t>
  </si>
  <si>
    <t>MMR001002003</t>
  </si>
  <si>
    <t>Mung Ding Pa</t>
  </si>
  <si>
    <t>MMR001013038</t>
  </si>
  <si>
    <t>Nam Lin Pa</t>
  </si>
  <si>
    <t>MMR001013037</t>
  </si>
  <si>
    <t>Mogaung Town</t>
  </si>
  <si>
    <t>MMR001008701</t>
  </si>
  <si>
    <t>Nawng Kaing Htaw</t>
  </si>
  <si>
    <t>MMR001008002</t>
  </si>
  <si>
    <t>Ma Haung</t>
  </si>
  <si>
    <t>Nat Gyi Kone Ward</t>
  </si>
  <si>
    <t>MMR001008701506</t>
  </si>
  <si>
    <t>Bhamo Town</t>
  </si>
  <si>
    <t>MMR001010701</t>
  </si>
  <si>
    <t>Shwe Kyee Nar Ward</t>
  </si>
  <si>
    <t>MMR001010701513</t>
  </si>
  <si>
    <t>Nyaung Pin Ward</t>
  </si>
  <si>
    <t>MMR001010701508</t>
  </si>
  <si>
    <t>Pauk Kone Ward</t>
  </si>
  <si>
    <t>MMR001010701506</t>
  </si>
  <si>
    <t>Han Te</t>
  </si>
  <si>
    <t>MMR001010024</t>
  </si>
  <si>
    <t>Hpan Hkar Kone</t>
  </si>
  <si>
    <t>Maw Hpawng</t>
  </si>
  <si>
    <t>MMR001001007</t>
  </si>
  <si>
    <t>Mansi Town</t>
  </si>
  <si>
    <t>MMR001013701</t>
  </si>
  <si>
    <t>Kawng Yar Ward</t>
  </si>
  <si>
    <t>MMR001013701504</t>
  </si>
  <si>
    <t>Nam Hlaing</t>
  </si>
  <si>
    <t>MMR001010015</t>
  </si>
  <si>
    <t>Man Nawng</t>
  </si>
  <si>
    <t>MMR001012014</t>
  </si>
  <si>
    <t>Man Pon</t>
  </si>
  <si>
    <t>MMR001012001</t>
  </si>
  <si>
    <t>Man Wein</t>
  </si>
  <si>
    <t>MMR001013021</t>
  </si>
  <si>
    <t>Momauk Town</t>
  </si>
  <si>
    <t>MMR001012701</t>
  </si>
  <si>
    <t>Ah Lin Kawng Ward</t>
  </si>
  <si>
    <t>MMR001012701502</t>
  </si>
  <si>
    <t>Nawng Hee</t>
  </si>
  <si>
    <t>Kyay Nan Waing Ward</t>
  </si>
  <si>
    <t>MMR001012701503</t>
  </si>
  <si>
    <t>Nam Koi</t>
  </si>
  <si>
    <t>MMR001001005</t>
  </si>
  <si>
    <t>Myitkyina Town</t>
  </si>
  <si>
    <t>MMR001001701</t>
  </si>
  <si>
    <t>Jan Mai Kawng</t>
  </si>
  <si>
    <t>Myay Myint Ward</t>
  </si>
  <si>
    <t>MMR001001701517</t>
  </si>
  <si>
    <t>Tat Kone Ward</t>
  </si>
  <si>
    <t>MMR001001701520</t>
  </si>
  <si>
    <t>Du Ka Htaung Ward</t>
  </si>
  <si>
    <t>MMR001001701504</t>
  </si>
  <si>
    <t>N Jang Dung</t>
  </si>
  <si>
    <t>Si Tar Pu Ward</t>
  </si>
  <si>
    <t>MMR001001701521</t>
  </si>
  <si>
    <t>Kachin Su Ward</t>
  </si>
  <si>
    <t>MMR001001701509</t>
  </si>
  <si>
    <t>Kyun Pin Thar Ward</t>
  </si>
  <si>
    <t>MMR001001701510</t>
  </si>
  <si>
    <t>Lel Kone Ward</t>
  </si>
  <si>
    <t>MMR001001701525</t>
  </si>
  <si>
    <t>Man Khein Ward</t>
  </si>
  <si>
    <t>MMR001001701519</t>
  </si>
  <si>
    <t>Shwe Set Ward</t>
  </si>
  <si>
    <t>MMR001001701518</t>
  </si>
  <si>
    <t>Mai Na</t>
  </si>
  <si>
    <t>MMR001002006</t>
  </si>
  <si>
    <t>Waingmaw Town</t>
  </si>
  <si>
    <t>MMR001002701</t>
  </si>
  <si>
    <t>No (4) Ward</t>
  </si>
  <si>
    <t>MMR001002701504</t>
  </si>
  <si>
    <t>Aye Mya Thar Yar Ward</t>
  </si>
  <si>
    <t>MMR001009701504</t>
  </si>
  <si>
    <t>Ma Shi Ka Htaung Ward</t>
  </si>
  <si>
    <t>MMR001009701505</t>
  </si>
  <si>
    <t>Myo Ma Ward</t>
  </si>
  <si>
    <t>MMR001009701503</t>
  </si>
  <si>
    <t>Hpar Kei (Dawthponeyan Sub-township)</t>
  </si>
  <si>
    <t>MMR001012046</t>
  </si>
  <si>
    <t>Hpar Kei</t>
  </si>
  <si>
    <t>Ma Mon</t>
  </si>
  <si>
    <t>Pa La Na Sa Khan Myar</t>
  </si>
  <si>
    <t>MMR001001003</t>
  </si>
  <si>
    <t>Pi Tauk Myaing</t>
  </si>
  <si>
    <t>Haung Par</t>
  </si>
  <si>
    <t>MMR001009004</t>
  </si>
  <si>
    <t>No (3) Ward</t>
  </si>
  <si>
    <t>MMR001002701503</t>
  </si>
  <si>
    <t>No (2) Ward</t>
  </si>
  <si>
    <t>MMR001002701502</t>
  </si>
  <si>
    <t>Saga Pa (Sadung Sub-township)</t>
  </si>
  <si>
    <t>Mading</t>
  </si>
  <si>
    <t>MMR001002001</t>
  </si>
  <si>
    <t>Mading/Hka Kun</t>
  </si>
  <si>
    <t>Mong Yu</t>
  </si>
  <si>
    <t>Nam Hpat Kar</t>
  </si>
  <si>
    <t>Nam Hpat Kar (Ho Pon + Pang Sa Lorp)</t>
  </si>
  <si>
    <t>Zee Wone Gawt</t>
  </si>
  <si>
    <t>MMR001012023</t>
  </si>
  <si>
    <t>Nam Sang Yang</t>
  </si>
  <si>
    <t>MMR001002024</t>
  </si>
  <si>
    <t>Kutkai Town</t>
  </si>
  <si>
    <t>MMR015011701</t>
  </si>
  <si>
    <t>No (5) Ward</t>
  </si>
  <si>
    <t>MMR015011701505</t>
  </si>
  <si>
    <t>MMR015011701503</t>
  </si>
  <si>
    <t>In Baw Mai Kyin (Dawthponeyan Sub-township)</t>
  </si>
  <si>
    <t>MMR001012042</t>
  </si>
  <si>
    <t>Hpun Lum Yang</t>
  </si>
  <si>
    <t>La Gat Dawt</t>
  </si>
  <si>
    <t>MMR001013027</t>
  </si>
  <si>
    <t>Dum Buk</t>
  </si>
  <si>
    <t>MMR001013014</t>
  </si>
  <si>
    <t>Man Mawn</t>
  </si>
  <si>
    <t>MMR001013022</t>
  </si>
  <si>
    <t>In Ba Pa</t>
  </si>
  <si>
    <t>MMR001013012</t>
  </si>
  <si>
    <t>La Na</t>
  </si>
  <si>
    <t>Ba Lawng Kawng (Lwegel Sub-township)</t>
  </si>
  <si>
    <t>MMR001012030</t>
  </si>
  <si>
    <t>Hpa Lum</t>
  </si>
  <si>
    <t>Nawng Si Paw</t>
  </si>
  <si>
    <t>MMR001002013</t>
  </si>
  <si>
    <t>Nawng Hkam</t>
  </si>
  <si>
    <t>MMR015010010</t>
  </si>
  <si>
    <t>Lwegel Town</t>
  </si>
  <si>
    <t>MMR001012702</t>
  </si>
  <si>
    <t>Sa Ma</t>
  </si>
  <si>
    <t>MMR001002031</t>
  </si>
  <si>
    <t>Nar Gu</t>
  </si>
  <si>
    <t>Aung Zay Yar Ward</t>
  </si>
  <si>
    <t>MMR001012702505</t>
  </si>
  <si>
    <t>Ku Day</t>
  </si>
  <si>
    <t>Kawng Hsa (Lwegel Sub-township)</t>
  </si>
  <si>
    <t>MMR001012033</t>
  </si>
  <si>
    <t>Mai Gyar Yang</t>
  </si>
  <si>
    <t>Hpawt Dawt</t>
  </si>
  <si>
    <t>MMR001002032</t>
  </si>
  <si>
    <t>Kar Lai Kone Hsar</t>
  </si>
  <si>
    <t>MMR015011005</t>
  </si>
  <si>
    <t>Kar Lai</t>
  </si>
  <si>
    <t>MMR001002040</t>
  </si>
  <si>
    <t>Saga Pa</t>
  </si>
  <si>
    <t>Waw Shung (Kan Paik Ti Sub-township)</t>
  </si>
  <si>
    <t>MMR001002035</t>
  </si>
  <si>
    <t>Shan Kyaing</t>
  </si>
  <si>
    <t>Hpai Kawng (Pang Hseng-Kyu Koke Sub-township</t>
  </si>
  <si>
    <t>MMR015009031</t>
  </si>
  <si>
    <t>Hpai Kawng</t>
  </si>
  <si>
    <t>Lashio</t>
  </si>
  <si>
    <t>MMR015D001</t>
  </si>
  <si>
    <t>Hseni</t>
  </si>
  <si>
    <t>MMR015002</t>
  </si>
  <si>
    <t>Nar Tee</t>
  </si>
  <si>
    <t>MMR015002029</t>
  </si>
  <si>
    <t>La Ja Ga</t>
  </si>
  <si>
    <t>MMR001018021</t>
  </si>
  <si>
    <t>Long Waun Nam Rein (Tarmoenye Sub-township)</t>
  </si>
  <si>
    <t>MMR015011050</t>
  </si>
  <si>
    <t>Mai Pong (Shu See)</t>
  </si>
  <si>
    <t>Lang Jaw (Pang War Sub-township)</t>
  </si>
  <si>
    <t>MMR001005022</t>
  </si>
  <si>
    <t>Lang Jaw</t>
  </si>
  <si>
    <t>Chipwi Town</t>
  </si>
  <si>
    <t>MMR001005701</t>
  </si>
  <si>
    <t>Hpa Re (Pang War Sub-township)</t>
  </si>
  <si>
    <t>MMR001005026</t>
  </si>
  <si>
    <t>Hpa Re Waw Jang</t>
  </si>
  <si>
    <t>Tar Li</t>
  </si>
  <si>
    <t>MMR001012021</t>
  </si>
  <si>
    <t>Myo Thit</t>
  </si>
  <si>
    <t>MMR001012010</t>
  </si>
  <si>
    <t>Puta-O Town</t>
  </si>
  <si>
    <t>MMR001014701</t>
  </si>
  <si>
    <t>Lai Zar</t>
  </si>
  <si>
    <t>Urban</t>
  </si>
  <si>
    <t>Rit Law</t>
  </si>
  <si>
    <t>Man Ping (Ping) (Dawthponeyan Sub-township)</t>
  </si>
  <si>
    <t>MMR001012052</t>
  </si>
  <si>
    <t>Man Ping</t>
  </si>
  <si>
    <t>Sumprabum</t>
  </si>
  <si>
    <t>MMR001015</t>
  </si>
  <si>
    <t>Sumprabum Town</t>
  </si>
  <si>
    <t>MMR001015701</t>
  </si>
  <si>
    <t>MMR001CMP206</t>
  </si>
  <si>
    <t>IDP Boarding School, A Len Bum</t>
  </si>
  <si>
    <t>MMR001CMP208</t>
  </si>
  <si>
    <t>Man Gyat (Monekoe Sub-township)</t>
  </si>
  <si>
    <t>Gwum Hsan</t>
  </si>
  <si>
    <t>Namtu Town</t>
  </si>
  <si>
    <t>MMR015015701</t>
  </si>
  <si>
    <t>Namtu Ward</t>
  </si>
  <si>
    <t>MMR015015701501</t>
  </si>
  <si>
    <t>Nam Tu Baptist</t>
  </si>
  <si>
    <t>Mandung - RC</t>
  </si>
  <si>
    <t>MMR015CMP209</t>
  </si>
  <si>
    <t>MMR015CMP210</t>
  </si>
  <si>
    <t>Column Labels</t>
  </si>
  <si>
    <t>Sum of Total</t>
  </si>
  <si>
    <t># Distributed</t>
  </si>
  <si>
    <t>% Distributed</t>
  </si>
  <si>
    <t># In Stock</t>
  </si>
  <si>
    <t>% In Stock</t>
  </si>
  <si>
    <t># Requirement</t>
  </si>
  <si>
    <t>% Requirement</t>
  </si>
  <si>
    <t># Pipeline</t>
  </si>
  <si>
    <t>% Pipeline</t>
  </si>
  <si>
    <t># Remaining Need</t>
  </si>
  <si>
    <t>% Remaining Need</t>
  </si>
  <si>
    <t>MMR015CMP139</t>
  </si>
  <si>
    <t>MMR015CMP207</t>
  </si>
  <si>
    <t>Total # of HH (In camps)</t>
  </si>
  <si>
    <t>Total # of Population (In camps)</t>
  </si>
  <si>
    <t>RRD</t>
  </si>
  <si>
    <t>IP</t>
  </si>
  <si>
    <t>Closed</t>
  </si>
  <si>
    <t>Changed to closed</t>
  </si>
  <si>
    <t xml:space="preserve">This IDP are registered in Nam Lim pa (Boarder) (MMR001CMP204). We should not calculate this number in total. </t>
  </si>
  <si>
    <t>Metta</t>
  </si>
  <si>
    <t>CC</t>
  </si>
  <si>
    <t>KBC Zonal</t>
  </si>
  <si>
    <t>Misereor</t>
  </si>
  <si>
    <t>Yedai Foundation</t>
  </si>
  <si>
    <t>Kachin Total</t>
  </si>
  <si>
    <t>Altitude</t>
  </si>
  <si>
    <t>Type of Location</t>
  </si>
  <si>
    <t>Opening Date</t>
  </si>
  <si>
    <t>MMR001CMP211</t>
  </si>
  <si>
    <t>Rural</t>
  </si>
  <si>
    <t>Forest/bush</t>
  </si>
  <si>
    <t>Kachin &amp; Northern Shan States - IDPs Location List</t>
  </si>
  <si>
    <t>(blank)</t>
  </si>
  <si>
    <t>HoH</t>
  </si>
  <si>
    <t>Individual</t>
  </si>
  <si>
    <t>ACTED</t>
  </si>
  <si>
    <t>MMR001CMP210</t>
  </si>
  <si>
    <t>Pan Wa</t>
  </si>
  <si>
    <t>Nam Lim Pa</t>
  </si>
  <si>
    <t>Nam Lim Pa    (Boarding School)</t>
  </si>
  <si>
    <t>MMR001CMP209</t>
  </si>
  <si>
    <t>Sum of HH</t>
  </si>
  <si>
    <t>Thu Kha Waddy</t>
  </si>
  <si>
    <t>MMR001CMP212</t>
  </si>
  <si>
    <t>Man Kawng</t>
  </si>
  <si>
    <t>Mai Bat</t>
  </si>
  <si>
    <t>MMR001013018</t>
  </si>
  <si>
    <t>MMR001CMP213</t>
  </si>
  <si>
    <t>Man Kawng Catholic Church</t>
  </si>
  <si>
    <t>Man Kawng Baptist Church</t>
  </si>
  <si>
    <t>Ban Hkung Yang</t>
  </si>
  <si>
    <t>Ban Hkung Yang (Boarding School)</t>
  </si>
  <si>
    <t>MMR001CMP214</t>
  </si>
  <si>
    <t>MMR001CMP215</t>
  </si>
  <si>
    <t>MMR001CMP216</t>
  </si>
  <si>
    <t>Ban Hkung (School)</t>
  </si>
  <si>
    <t>MMR001CMP217</t>
  </si>
  <si>
    <t>IDPs scattered in South Mansi</t>
  </si>
  <si>
    <t>Maing Khaung</t>
  </si>
  <si>
    <t>MMR001CMP218</t>
  </si>
  <si>
    <t>Si Hkan Gyi</t>
  </si>
  <si>
    <t>MMR001CMP219</t>
  </si>
  <si>
    <t>Update from OCHA Data (2 Jan 2014)</t>
  </si>
  <si>
    <t>Naung Khaing</t>
  </si>
  <si>
    <t>MMR001CMP220</t>
  </si>
  <si>
    <t>Machanbaw</t>
  </si>
  <si>
    <t>MMR001016</t>
  </si>
  <si>
    <t>Machanbaw - KBC</t>
  </si>
  <si>
    <t>MMR001CMP221</t>
  </si>
  <si>
    <t>MMR001CMP222</t>
  </si>
  <si>
    <t>St. Patrick Church, Bhamo</t>
  </si>
  <si>
    <t>RRD Office</t>
  </si>
  <si>
    <t>Warra Zup</t>
  </si>
  <si>
    <t>MRCS</t>
  </si>
  <si>
    <t>DFID</t>
  </si>
  <si>
    <t>SC&amp;L Group</t>
  </si>
  <si>
    <t>Shan Community</t>
  </si>
  <si>
    <t>Chipwe CM</t>
  </si>
  <si>
    <t>Solidarities</t>
  </si>
  <si>
    <t>Bomb Blast Victims</t>
  </si>
  <si>
    <t>Je Gau  (+ WaRaPa )</t>
  </si>
  <si>
    <t>Kat Hmaw Zut Baptist Church</t>
  </si>
  <si>
    <t>Lawng Hkang</t>
  </si>
  <si>
    <t>Le Pyin - Kar Gyi Winn</t>
  </si>
  <si>
    <t>Le Pyin Christian Church</t>
  </si>
  <si>
    <t xml:space="preserve">Mai Ja Yang Gat Pa </t>
  </si>
  <si>
    <t xml:space="preserve">Mai Ja Yang Ung Lung </t>
  </si>
  <si>
    <t>Na Ti (Koe Kant Traditional school)</t>
  </si>
  <si>
    <t>Nant Yar Baptist Church</t>
  </si>
  <si>
    <t>Pamati Kayan</t>
  </si>
  <si>
    <t>Pan Ma Tee</t>
  </si>
  <si>
    <t>Shan Ywar Monestary Camp</t>
  </si>
  <si>
    <t>S_Pcode</t>
  </si>
  <si>
    <t>D_Pcode</t>
  </si>
  <si>
    <t>T_Pcode</t>
  </si>
  <si>
    <t>VillageTracKTown</t>
  </si>
  <si>
    <t>VTT_Pcode</t>
  </si>
  <si>
    <t>VW_Pcode</t>
  </si>
  <si>
    <t>CP_Pcode</t>
  </si>
  <si>
    <t>Responsible Agency</t>
  </si>
  <si>
    <t>CM/FP</t>
  </si>
  <si>
    <t>Close (Source: OCHA)</t>
  </si>
  <si>
    <t>Galeng</t>
  </si>
  <si>
    <t>Galeng (Kachin)</t>
  </si>
  <si>
    <t>MMR015CMP211</t>
  </si>
  <si>
    <t>Galeng (Palaung)</t>
  </si>
  <si>
    <t>MMR015CMP212</t>
  </si>
  <si>
    <t>Indawgyi</t>
  </si>
  <si>
    <t>Close: Duplicate Camp (MMR015CMP020 - Zup Aung Camp) 21-Jan-14</t>
  </si>
  <si>
    <t>Close: Duplicate Camp (MMR015CMP015 - Kone Khem Camp) 21-Jan-14</t>
  </si>
  <si>
    <t>Closed: Source UNHCR-Bhamo</t>
  </si>
  <si>
    <t>UNOCHA</t>
  </si>
  <si>
    <t>Closed : Source, OCHA</t>
  </si>
  <si>
    <t>Count of CP_Pcode</t>
  </si>
  <si>
    <t>MMR001CMP223</t>
  </si>
  <si>
    <t>Maing Khaung Catholic Church</t>
  </si>
  <si>
    <t>Source OCHA</t>
  </si>
  <si>
    <t>MDCG</t>
  </si>
  <si>
    <t xml:space="preserve">
</t>
  </si>
  <si>
    <t>Style0</t>
  </si>
  <si>
    <t xml:space="preserve"> 
&lt;StyleMap id="m_ylw-pushpin"&gt;
  &lt;Pair&gt;
   &lt;key&gt;normal&lt;/key&gt;
   &lt;styleUrl&gt;#style1&lt;/styleUrl&gt;
  &lt;/Pair&gt;
  &lt;Pair&gt;
   &lt;key&gt;highlight&lt;/key&gt;
   &lt;styleUrl&gt;#style2&lt;/styleUrl&gt;
  &lt;/Pair&gt;
  &lt;Pair&gt;
   &lt;key&gt;highlight&lt;/key&gt;
   &lt;styleUrl&gt;#style3&lt;/styleUrl&gt;
  &lt;/Pair&gt;
  &lt;Pair&gt;
   &lt;key&gt;highlight&lt;/key&gt;
   &lt;styleUrl&gt;#style4&lt;/styleUrl&gt;
  &lt;/Pair&gt;
&lt;Pair&gt;
   &lt;key&gt;highlight&lt;/key&gt;
   &lt;styleUrl&gt;#style5&lt;/styleUrl&gt;
  &lt;/Pair&gt;
 &lt;/StyleMap&gt;
</t>
  </si>
  <si>
    <t>Filepath</t>
  </si>
  <si>
    <t>Folder_Name1</t>
  </si>
  <si>
    <t xml:space="preserve"> &lt;Folder&gt;
  &lt;name&gt;</t>
  </si>
  <si>
    <t>Style1</t>
  </si>
  <si>
    <t xml:space="preserve">
 &lt;Style id="Style1"&gt;
  &lt;IconStyle&gt;
   &lt;color&gt;ffffff00&lt;/color&gt;
   &lt;scale&gt;0.5&lt;/scale&gt;
   &lt;Icon&gt;
    &lt;href&gt;http://maps.google.com/mapfiles/kml/shapes/man.png&lt;/href&gt;
   &lt;/Icon&gt;
   &lt;hotSpot x="0.5" y="0" xunits="fraction" yunits="fraction"/&gt;
  &lt;/IconStyle&gt;
  &lt;LabelStyle&gt;
   &lt;color&gt;ffffff00&lt;/color&gt;
   &lt;scale&gt;0.6&lt;/scale&gt;
  &lt;/LabelStyle&gt;
  &lt;ListStyle&gt;
  &lt;/ListStyle&gt;
 &lt;/Style&gt;
</t>
  </si>
  <si>
    <t xml:space="preserve">    &lt;styleUrl&gt;#Style1&lt;/styleUrl&gt;
</t>
  </si>
  <si>
    <t>Document name</t>
  </si>
  <si>
    <t>Folder_Name2</t>
  </si>
  <si>
    <t xml:space="preserve">&lt;/name&gt;
   </t>
  </si>
  <si>
    <t>Style2</t>
  </si>
  <si>
    <t xml:space="preserve"> 
&lt;Style id="Style2"&gt;
  &lt;IconStyle&gt;
   &lt;color&gt;ff00ffff&lt;/color&gt;
   &lt;scale&gt;0.5&lt;/scale&gt;
   &lt;Icon&gt;
    &lt;href&gt;http://maps.google.com/mapfiles/kml/shapes/man.png&lt;/href&gt;
   &lt;/Icon&gt;
   &lt;hotSpot x="0.5" y="0" xunits="fraction" yunits="fraction"/&gt;
  &lt;/IconStyle&gt;
  &lt;LabelStyle&gt;
   &lt;color&gt;ff00ffff&lt;/color&gt;
   &lt;scale&gt;0.6&lt;/scale&gt;
  &lt;/LabelStyle&gt;
  &lt;ListStyle&gt;
  &lt;/ListStyle&gt;
 &lt;/Style&gt;
</t>
  </si>
  <si>
    <t xml:space="preserve">    &lt;styleUrl&gt;#Style2&lt;/styleUrl&gt;
</t>
  </si>
  <si>
    <t>Folder_Name3</t>
  </si>
  <si>
    <t xml:space="preserve">
  &lt;/Folder&gt;</t>
  </si>
  <si>
    <t>Style3</t>
  </si>
  <si>
    <t xml:space="preserve"> 
&lt;Style id="Style3"&gt;
  &lt;IconStyle&gt;
   &lt;color&gt;ffffff00&lt;/color&gt;
   &lt;scale&gt;0.5&lt;/scale&gt;
   &lt;Icon&gt;
    &lt;href&gt;http://maps.google.com/mapfiles/kml/shapes/homegardenbusiness.png&lt;/href&gt;
   &lt;/Icon&gt;
   &lt;hotSpot x="0.5" y="0" xunits="fraction" yunits="fraction"/&gt;
  &lt;/IconStyle&gt;
  &lt;LabelStyle&gt;
   &lt;color&gt;ffffff00&lt;/color&gt;
   &lt;scale&gt;0.6&lt;/scale&gt;
  &lt;/LabelStyle&gt;
  &lt;ListStyle&gt;
  &lt;/ListStyle&gt;
 &lt;/Style&gt;
</t>
  </si>
  <si>
    <t xml:space="preserve">    &lt;styleUrl&gt;#Style3&lt;/styleUrl&gt;
</t>
  </si>
  <si>
    <t>File Header
Code fragment 1</t>
  </si>
  <si>
    <t>&lt;?xml version="1.0" encoding="UTF-8"?&gt;
&lt;kml xmlns="http://earth.google.com/kml/2.0"&gt;
&lt;Document&gt;
   &lt;name&gt;</t>
  </si>
  <si>
    <t>Style4</t>
  </si>
  <si>
    <t xml:space="preserve"> 
&lt;Style id="Style4"&gt;
  &lt;IconStyle&gt;
   &lt;color&gt;ff00ffff&lt;/color&gt;
   &lt;scale&gt;0.5&lt;/scale&gt;
   &lt;Icon&gt;
    &lt;href&gt;http://maps.google.com/mapfiles/kml/shapes/homegardenbusiness.png&lt;/href&gt;
   &lt;/Icon&gt;
   &lt;hotSpot x="0.5" y="0" xunits="fraction" yunits="fraction"/&gt;
  &lt;/IconStyle&gt;
  &lt;LabelStyle&gt;
   &lt;color&gt;ff00ffff&lt;/color&gt;
   &lt;scale&gt;0.6&lt;/scale&gt;
  &lt;/LabelStyle&gt;
  &lt;ListStyle&gt;
  &lt;/ListStyle&gt;
 &lt;/Style&gt;
</t>
  </si>
  <si>
    <t xml:space="preserve">    &lt;styleUrl&gt;#Style4&lt;/styleUrl&gt;
</t>
  </si>
  <si>
    <t>File Header
Code fragment 2</t>
  </si>
  <si>
    <t>&lt;/name&gt;</t>
  </si>
  <si>
    <t>Style5</t>
  </si>
  <si>
    <t xml:space="preserve"> 
&lt;Style id="Style4"&gt;
  &lt;IconStyle&gt;
   &lt;color&gt;ff00ffff&lt;/color&gt;
   &lt;scale&gt;0.4&lt;/scale&gt;
   &lt;Icon&gt;
    &lt;href&gt;http://maps.google.com/mapfiles/kml/shapes/placemark_square.png&lt;/href&gt;
   &lt;/Icon&gt;
   &lt;hotSpot x="0.5" y="0" xunits="fraction" yunits="fraction"/&gt;
  &lt;/IconStyle&gt;
  &lt;LabelStyle&gt;
   &lt;color&gt;ff00ffff&lt;/color&gt;
   &lt;scale&gt;0.6&lt;/scale&gt;
  &lt;/LabelStyle&gt;
  &lt;ListStyle&gt;
  &lt;/ListStyle&gt;
 &lt;/Style&gt;
</t>
  </si>
  <si>
    <t xml:space="preserve">    &lt;styleUrl&gt;#Style5&lt;/styleUrl&gt;
</t>
  </si>
  <si>
    <t>Placemark
Code fragment 1</t>
  </si>
  <si>
    <t xml:space="preserve">   &lt;Placemark&gt;
      &lt;name&gt;</t>
  </si>
  <si>
    <t>Placemark
Code fragment 2</t>
  </si>
  <si>
    <t xml:space="preserve">&lt;/name&gt;
</t>
  </si>
  <si>
    <t xml:space="preserve">      &lt;Point&gt;
         &lt;coordinates&gt;</t>
  </si>
  <si>
    <t>Placemark
Code fragment 3</t>
  </si>
  <si>
    <t>,0&lt;/coordinates&gt;
      &lt;/Point&gt;
      &lt;description&gt;&lt;![CDATA[</t>
  </si>
  <si>
    <t>Placemark
Code fragment 4</t>
  </si>
  <si>
    <t>]]&gt;&lt;/description&gt;
   &lt;/Placemark&gt;</t>
  </si>
  <si>
    <t>Footer</t>
  </si>
  <si>
    <t>&lt;/Document&gt;
&lt;/kml&gt;</t>
  </si>
  <si>
    <t>Boarding School</t>
  </si>
  <si>
    <t>Winter Clothes Adult</t>
  </si>
  <si>
    <t>NFI_Winter_Clothes_Adult_Track</t>
  </si>
  <si>
    <t>NFI_Winter_Clothes_Adult_Stock</t>
  </si>
  <si>
    <t>NFI_Winter_Clothes_Adult_Pipeline</t>
  </si>
  <si>
    <t>Winter Clothes Children</t>
  </si>
  <si>
    <t>NFI_Winter_Clothes_Children_Track</t>
  </si>
  <si>
    <t>NFI_Winter_Clothes_Children_Stock</t>
  </si>
  <si>
    <t>NFI_Winter_Clothes_Children_Pipeline</t>
  </si>
  <si>
    <t>Winter Items Other</t>
  </si>
  <si>
    <t>NFI_Winter_Items_Other_Track</t>
  </si>
  <si>
    <t>NFI_Winter_Items_Other_Stock</t>
  </si>
  <si>
    <t>NFI_Winter_Items_Other_Pipeline</t>
  </si>
  <si>
    <t xml:space="preserve">Winter Clothes Adult </t>
  </si>
  <si>
    <t xml:space="preserve">Winter Clothes Children </t>
  </si>
  <si>
    <t xml:space="preserve">Winter Items Other </t>
  </si>
  <si>
    <t>LDO</t>
  </si>
  <si>
    <t># of Locations</t>
  </si>
  <si>
    <t>Renovated</t>
  </si>
  <si>
    <t>Planned Renovation</t>
  </si>
  <si>
    <t>Sum of Coverage</t>
  </si>
  <si>
    <t/>
  </si>
  <si>
    <t>1-100</t>
  </si>
  <si>
    <t>100-1k</t>
  </si>
  <si>
    <t>Closed. Rellocated to Man Win and La Ga Yaung</t>
  </si>
  <si>
    <t>Closed. Duplicate with Maing Khaung.</t>
  </si>
  <si>
    <t>Closed. Same with (Namhkan St. Thomas 1)</t>
  </si>
  <si>
    <t>Closed. Same with (Nam Hkam Catholic Church  St. Thomas II)</t>
  </si>
  <si>
    <t>Close. Same with Kutkai Down Town RC. Source UNHCR Bhamo</t>
  </si>
  <si>
    <t>Closed. Rellocated next to AD 2000 Tharthana Compound and CCCM is under AD 2000</t>
  </si>
  <si>
    <t>Closed. Rellocated to Tharthana Ahlin Yaung.</t>
  </si>
  <si>
    <t>MMR001CMP224</t>
  </si>
  <si>
    <t>Saw Zam</t>
  </si>
  <si>
    <t>MMR001CMP225</t>
  </si>
  <si>
    <t>Tharthana Ahlin Yaung New Monastery</t>
  </si>
  <si>
    <t>Closed. Source Cluster Coordinator</t>
  </si>
  <si>
    <t>Close. According to RRC's info, this camp does not include in reported list.</t>
  </si>
  <si>
    <t>MMR015009036</t>
  </si>
  <si>
    <t>Man Nway (Pang Hseng (Kyu Koke)) Sub-township</t>
  </si>
  <si>
    <t>Nam Hkawng Khu</t>
  </si>
  <si>
    <t>Save the Children</t>
  </si>
  <si>
    <t>WPN</t>
  </si>
  <si>
    <t>Lang Taung</t>
  </si>
  <si>
    <t>MMR001014009</t>
  </si>
  <si>
    <t>Nawng Hkaing</t>
  </si>
  <si>
    <t>Doke Tan Ward</t>
  </si>
  <si>
    <t>MMR001014701509</t>
  </si>
  <si>
    <t>Bum Tsit Pa Camp II</t>
  </si>
  <si>
    <t>MMR001CMP226</t>
  </si>
  <si>
    <t>Plan-Myanmar</t>
  </si>
  <si>
    <t>CRC</t>
  </si>
  <si>
    <t>Move to Nant Ma Hpit Catholic Church.</t>
  </si>
  <si>
    <t>Inn Lel Yan</t>
  </si>
  <si>
    <t>Inn Lel Yan - Host Families</t>
  </si>
  <si>
    <t>MMR001CMP227</t>
  </si>
  <si>
    <t>Closed. Move to Bum Tist Pa II and Man Wing. HH113/Pop837</t>
  </si>
  <si>
    <t>Comments</t>
  </si>
  <si>
    <t>Only one HH left, included in Lon Khin Baptist distribution list.</t>
  </si>
  <si>
    <t>Closed.Moved to Na Ma Pyit KBC.</t>
  </si>
  <si>
    <t>Closed.</t>
  </si>
  <si>
    <t>Muse Town</t>
  </si>
  <si>
    <t>MMR015009701</t>
  </si>
  <si>
    <t>Ho Mun Ward</t>
  </si>
  <si>
    <t>MMR015009701504</t>
  </si>
  <si>
    <t>Muse Baptist Church</t>
  </si>
  <si>
    <t>MMR015CMP213</t>
  </si>
  <si>
    <t>Nam Hkam (KBC Jaw Wang) II</t>
  </si>
  <si>
    <t>MMR015CMP214</t>
  </si>
  <si>
    <t>MMR015010002</t>
  </si>
  <si>
    <t>Ho Nar</t>
  </si>
  <si>
    <t>Pang Long</t>
  </si>
  <si>
    <t>MMR015CMP215</t>
  </si>
  <si>
    <t>Man Wing Catholic Church II</t>
  </si>
  <si>
    <t>MMR001CMP228</t>
  </si>
  <si>
    <t>Muse Catholic Church</t>
  </si>
  <si>
    <t>MMR015CMP216</t>
  </si>
  <si>
    <t>Hpakant Baptist Church, Nam Ma Hpit</t>
  </si>
  <si>
    <t>MMR001CMP229</t>
  </si>
  <si>
    <t>Namhkan - Pang Long KBC</t>
  </si>
  <si>
    <t>Mone Paw Nam Chet (Zay) (Pang Hseng (Kyu Koke)) Sub-township</t>
  </si>
  <si>
    <t>MMR015009033</t>
  </si>
  <si>
    <t>Mone Paw Nam Chet</t>
  </si>
  <si>
    <t>Man Pying (Pang Hseng (Kyu Koke)) Sub-township</t>
  </si>
  <si>
    <t>MMR015009038</t>
  </si>
  <si>
    <t>Hawwa</t>
  </si>
  <si>
    <t>MMR001012013</t>
  </si>
  <si>
    <t>Khon Sint</t>
  </si>
  <si>
    <t>P1</t>
  </si>
  <si>
    <t>P2</t>
  </si>
  <si>
    <t>P3</t>
  </si>
  <si>
    <t>Priority</t>
  </si>
  <si>
    <t>Ind</t>
  </si>
  <si>
    <t>WC_Adult_Gap</t>
  </si>
  <si>
    <t>WI_Other_Gap</t>
  </si>
  <si>
    <t>WC_Child_Gap</t>
  </si>
  <si>
    <t>Sum of WC_Adult_Gap</t>
  </si>
  <si>
    <t>Sum of WC_Child_Gap</t>
  </si>
  <si>
    <t>Sum of WI_Other_Gap</t>
  </si>
  <si>
    <t>Check1</t>
  </si>
  <si>
    <t>KMSS-BMO</t>
  </si>
  <si>
    <t>KMSS-MYT</t>
  </si>
  <si>
    <t>Planned Distribution</t>
  </si>
  <si>
    <t>No</t>
  </si>
  <si>
    <t>P4</t>
  </si>
  <si>
    <t>ICRC</t>
  </si>
  <si>
    <t>Man Wing Baptist Church Cultural Compound</t>
  </si>
  <si>
    <t>MMR001CMP230</t>
  </si>
  <si>
    <t>FSD</t>
  </si>
  <si>
    <t>Closed. Duplicate with (Nawng Ing (Indawgyi) Baptist Church)</t>
  </si>
  <si>
    <t>COC</t>
  </si>
  <si>
    <t>Closed. Source: Save The Children</t>
  </si>
  <si>
    <t>MMR015CMP217</t>
  </si>
  <si>
    <t>Mungji Pa Dabang (Catholic Church)</t>
  </si>
  <si>
    <t>Chipwi KBC Camp</t>
  </si>
  <si>
    <t>CRCS</t>
  </si>
  <si>
    <t>CpPcode</t>
  </si>
  <si>
    <t>Accomodation</t>
  </si>
  <si>
    <t>ResponsibleAgency</t>
  </si>
  <si>
    <t>HouseHold</t>
  </si>
  <si>
    <t>Change to Host Families. Source: Programme Unit.</t>
  </si>
  <si>
    <t>used in warehouse</t>
  </si>
  <si>
    <t>Winter Blanket</t>
  </si>
  <si>
    <t>NFI_Winter_Blanket_Track</t>
  </si>
  <si>
    <t>NFI_Winter_Blanket_Stock</t>
  </si>
  <si>
    <t>NFI_Winter_Blanket_Pipeline</t>
  </si>
  <si>
    <t>In 2014, this school is no longer accepting the lower grade students.</t>
  </si>
  <si>
    <t>Closed. Source: UNHCR-Bhamo. (5-Nov-2014 During the yesterday GCM meeting, it is noted from WFP that the Tharthana Ahlin Yaung New Monastery, MMR001CMP224, is closed already. Some families are still remained staying with host family and WFP is still providing them with regular food supplies.)</t>
  </si>
  <si>
    <t>Chipwi Total</t>
  </si>
  <si>
    <t>Waingmaw Total</t>
  </si>
  <si>
    <t>Closed. Population relocated to Man Bung Catholic Compound (MMR001CMP062)</t>
  </si>
  <si>
    <t>Ku Day Maw KBC</t>
  </si>
  <si>
    <t>MMR001CMP231</t>
  </si>
  <si>
    <t>(Multiple Items)</t>
  </si>
  <si>
    <t>Land Status</t>
  </si>
  <si>
    <t>Shelter Possible</t>
  </si>
  <si>
    <t>Sum of Shelter Possible</t>
  </si>
  <si>
    <t>Shelter Gap</t>
  </si>
  <si>
    <t>Sum of Shelter Gap</t>
  </si>
  <si>
    <t>Nam Si In (Karmaing Sub-township)</t>
  </si>
  <si>
    <t>Mohnyin Town</t>
  </si>
  <si>
    <t>Ma Hkan Tee</t>
  </si>
  <si>
    <t>MMR015009013</t>
  </si>
  <si>
    <t>MMR015019701</t>
  </si>
  <si>
    <t>opening_date</t>
  </si>
  <si>
    <t>Hygiene Kit_LS</t>
  </si>
  <si>
    <t>NFI Core Kit_LS</t>
  </si>
  <si>
    <t>Sanitary Kit_LS</t>
  </si>
  <si>
    <t>Mosquito net_LS</t>
  </si>
  <si>
    <t>Tarpaulin_LS</t>
  </si>
  <si>
    <t>Kitchen Set_LS</t>
  </si>
  <si>
    <t>Blanket_LS</t>
  </si>
  <si>
    <t>Plastic Bucket _LS</t>
  </si>
  <si>
    <t>Plastic  Mat_LS</t>
  </si>
  <si>
    <t>Winter Clothes Adult_LS</t>
  </si>
  <si>
    <t>Winter Clothes Children_LS</t>
  </si>
  <si>
    <t>Winter Items Other_LS</t>
  </si>
  <si>
    <t>Winter Blanket_LS</t>
  </si>
  <si>
    <t>Report_Date</t>
  </si>
  <si>
    <t>NFI_Monitor_Date</t>
  </si>
  <si>
    <t>Winter</t>
  </si>
  <si>
    <t>#Household</t>
  </si>
  <si>
    <t>#Not Covered</t>
  </si>
  <si>
    <t>#Covered</t>
  </si>
  <si>
    <t>#Land Issue</t>
  </si>
  <si>
    <t>#Gap</t>
  </si>
  <si>
    <t>Hopin Host Families</t>
  </si>
  <si>
    <t>Moenyin Host Families</t>
  </si>
  <si>
    <t>MMR001CMP232</t>
  </si>
  <si>
    <t>MMR001CMP233</t>
  </si>
  <si>
    <t>Emergency Aung Bar Li</t>
  </si>
  <si>
    <t>Lone Zut</t>
  </si>
  <si>
    <t>CBP</t>
  </si>
  <si>
    <t>Bhamo Total</t>
  </si>
  <si>
    <t>Hpakant Total</t>
  </si>
  <si>
    <t>Mansi Total</t>
  </si>
  <si>
    <t>Mohnyin Total</t>
  </si>
  <si>
    <t>Momauk Total</t>
  </si>
  <si>
    <t>Myitkyina Total</t>
  </si>
  <si>
    <t>Puta-O Total</t>
  </si>
  <si>
    <t>Kutkai Total</t>
  </si>
  <si>
    <t>Muse Total</t>
  </si>
  <si>
    <t>Namhkan Total</t>
  </si>
  <si>
    <t>Shan_North Total</t>
  </si>
  <si>
    <t>Count of Camp</t>
  </si>
  <si>
    <t>Sum of Total2</t>
  </si>
  <si>
    <t># HH</t>
  </si>
  <si>
    <t># Ind.</t>
  </si>
  <si>
    <t># Camps</t>
  </si>
  <si>
    <t># Shelter Gap</t>
  </si>
  <si>
    <t># Const. Shelter</t>
  </si>
  <si>
    <t>V1</t>
  </si>
  <si>
    <t>V2</t>
  </si>
  <si>
    <t>V3</t>
  </si>
  <si>
    <t>Nearest_Town</t>
  </si>
  <si>
    <t>Distance</t>
  </si>
  <si>
    <t>IDP</t>
  </si>
  <si>
    <t>Nearest Town</t>
  </si>
  <si>
    <t>distance</t>
  </si>
  <si>
    <t>Naypyitaw Town</t>
  </si>
  <si>
    <t>Pang War Town</t>
  </si>
  <si>
    <t>Hpakant Town</t>
  </si>
  <si>
    <t>Kamaing Town</t>
  </si>
  <si>
    <t>Kunlong Town</t>
  </si>
  <si>
    <t>Khaunglanhpu Town</t>
  </si>
  <si>
    <t>Namhkan Town</t>
  </si>
  <si>
    <t>Tarmoenye Town</t>
  </si>
  <si>
    <t>Manton Town</t>
  </si>
  <si>
    <t>Hopin Town</t>
  </si>
  <si>
    <t>Laiza town</t>
  </si>
  <si>
    <t>Dawthponeyan  Town</t>
  </si>
  <si>
    <t>Monekoe Town</t>
  </si>
  <si>
    <t>Pang Hseng (Kyu Koke) Town</t>
  </si>
  <si>
    <t>Kan Paik Ti Town</t>
  </si>
  <si>
    <t>Sadung Town</t>
  </si>
  <si>
    <t>Machanbaw Town</t>
  </si>
  <si>
    <t>Distance_Cat</t>
  </si>
  <si>
    <t>0-5km</t>
  </si>
  <si>
    <t>5-10km</t>
  </si>
  <si>
    <t>10-15km</t>
  </si>
  <si>
    <t>15-20km</t>
  </si>
  <si>
    <t>20-25km</t>
  </si>
  <si>
    <t>25-30km</t>
  </si>
  <si>
    <t>Clothes Kit</t>
  </si>
  <si>
    <t>Clothes Kit_LS</t>
  </si>
  <si>
    <t>NFI_Clothes_Track</t>
  </si>
  <si>
    <t>NFI_Clothes_Stock</t>
  </si>
  <si>
    <t>NFI_Clothes_Pipeline</t>
  </si>
  <si>
    <t>Clothes Kits</t>
  </si>
  <si>
    <t xml:space="preserve">Winter Blanket </t>
  </si>
  <si>
    <t xml:space="preserve">Mosquito net </t>
  </si>
  <si>
    <t xml:space="preserve">Plastic Bucket </t>
  </si>
  <si>
    <t xml:space="preserve">Plastic Mat </t>
  </si>
  <si>
    <t>Core Kit</t>
  </si>
  <si>
    <t>Winter Items</t>
  </si>
  <si>
    <t>Lifespam</t>
  </si>
  <si>
    <t>% Gap</t>
  </si>
  <si>
    <t>Items distributed to other affected people</t>
  </si>
  <si>
    <t>#Camps</t>
  </si>
  <si>
    <t>2015-04-01 : According to UNICEF and WFP this location is a village. People are not IDP but are affected by the crisis. That s why it would remain in the list.
Geo-Info, HH/Pop data was updated from Google Earth.</t>
  </si>
  <si>
    <t>Village</t>
  </si>
  <si>
    <t>Crisis Affected</t>
  </si>
  <si>
    <t>27-Mar-15 (Closed. Source: UNHCR-Bhamo)
New Camp</t>
  </si>
  <si>
    <t>2-Apr-15 (Closed. Source: GAD)
Responsible Agency update. KMSS-BMO to KMSS-MYT.</t>
  </si>
  <si>
    <t>&gt; 30 km</t>
  </si>
  <si>
    <t># of IDP Loc.</t>
  </si>
  <si>
    <t>Average of Coverage</t>
  </si>
  <si>
    <t>Pajau - Jan Mai</t>
  </si>
  <si>
    <t>Tat Kone COC Baptist - Tat Kone Htoi San</t>
  </si>
  <si>
    <t>Zai Awng - Mung Ga Zup</t>
  </si>
  <si>
    <t>Moke Lwe Village - Hkar Shi</t>
  </si>
  <si>
    <t>Nawng Si Paw Village - Inn Lay</t>
  </si>
  <si>
    <t>Laiza Market 3 - Laiza Gat</t>
  </si>
  <si>
    <t>Affected Population</t>
  </si>
  <si>
    <t>Estimation</t>
  </si>
  <si>
    <t>MMR001002009</t>
  </si>
  <si>
    <t>MMR001007701</t>
  </si>
  <si>
    <t>MMR001009012</t>
  </si>
  <si>
    <t>MMR015011030</t>
  </si>
  <si>
    <t>MMR015011020</t>
  </si>
  <si>
    <t>MMR015009048</t>
  </si>
  <si>
    <t>MMR001012039</t>
  </si>
  <si>
    <t>MMR015CMP218</t>
  </si>
  <si>
    <t>MMR001CMP234</t>
  </si>
  <si>
    <t>Lung Sut</t>
  </si>
  <si>
    <t>25-Jun-15 Relocate to Shatapru Thida Aye Baptist Church
Population update: Source: Camp Profile Round 2.</t>
  </si>
  <si>
    <t>KMSS-LSO</t>
  </si>
  <si>
    <t>25-Jun-15 (Relocated to Hpum Lone Yan and Wai Choi)
Population Update. Source: UNHCR Cross-Line Mission Report. (July 2014)</t>
  </si>
  <si>
    <t>25-Jun-15 (Relocate to Long Sut)
Geo-Info, HH/Pop data received from MIRA Form</t>
  </si>
  <si>
    <t>25-Jun-15 (Relocated to Lone Sut)
Geo-Info, HH/Pop data received from MIRA Form</t>
  </si>
  <si>
    <t>Lone Sut Ward</t>
  </si>
  <si>
    <t>MMR001014701510</t>
  </si>
  <si>
    <t xml:space="preserve">Ma Hawng RC </t>
  </si>
  <si>
    <t>MMR001CMP235</t>
  </si>
  <si>
    <t>MMR001CMP236</t>
  </si>
  <si>
    <t>MMR001CMP237</t>
  </si>
  <si>
    <t>Sar Hmaw</t>
  </si>
  <si>
    <t>MMR001008018</t>
  </si>
  <si>
    <t>Nam Sa Larp</t>
  </si>
  <si>
    <t>MMR015002021</t>
  </si>
  <si>
    <t>Sar Hmaw - KBC</t>
  </si>
  <si>
    <t>Sar Hmaw - ICM</t>
  </si>
  <si>
    <t>SHELTER TRACKING SHEET</t>
  </si>
  <si>
    <t>Implementing  Partner</t>
  </si>
  <si>
    <t>HH per Shelter</t>
  </si>
  <si>
    <t># of Family Tent Distributed</t>
  </si>
  <si>
    <t># of Temporary Shelter Units Planned (Target)</t>
  </si>
  <si>
    <t># of Temporary Shelter Units Built</t>
  </si>
  <si>
    <t># of Temporary Shelter Under  Construction</t>
  </si>
  <si>
    <t># of Permanent House Planned (Target)</t>
  </si>
  <si>
    <t># of Permanent House Built</t>
  </si>
  <si>
    <t># of Permanent House Under Construction</t>
  </si>
  <si>
    <t>HH Covered</t>
  </si>
  <si>
    <t># of Family Tent Planned(Target)</t>
  </si>
  <si>
    <t>19-Aug-15 Close. Source: CCCM Unit.
Population source: KMSS-BMO</t>
  </si>
  <si>
    <t>Location</t>
  </si>
  <si>
    <t>Camps/Host Families</t>
  </si>
  <si>
    <t>Sum of HH Covered</t>
  </si>
  <si>
    <t>Sum of # of Temporary Shelter Units Built</t>
  </si>
  <si>
    <t>Sum of # of Temporary Shelter Under  Construction</t>
  </si>
  <si>
    <t>19-Aug-15 Closed. IDP were provided with individual lands within Naung Hmee village and transit toward semi-permanent settlement. Source: CCCM Unit
2-Apr-15 (Population update, Source: UNHCR CCCM Mission)
Population update: Source: Camp Profile Round 2.</t>
  </si>
  <si>
    <t>Ndup Yang</t>
  </si>
  <si>
    <t>MMR001CMP238</t>
  </si>
  <si>
    <t>Salang Yang</t>
  </si>
  <si>
    <t>MMR001CMP239</t>
  </si>
  <si>
    <t>Replacement</t>
  </si>
  <si>
    <t>Replacement (YES/NO)</t>
  </si>
  <si>
    <t>YES</t>
  </si>
  <si>
    <t>NO</t>
  </si>
  <si>
    <t>Jerry Can</t>
  </si>
  <si>
    <t>Jerry Can_LS</t>
  </si>
  <si>
    <t>NFI_Jerry_Can_Track</t>
  </si>
  <si>
    <t>NFI_Jerry_Can_Stock</t>
  </si>
  <si>
    <t>NFI_Jerry_Can_Pipeline</t>
  </si>
  <si>
    <t>9/Nov/2015. updated camp status (Closed). Data Source; Lu Lu Awng by mail.
19-Aug-15 Population update. Source: Shalom
25-Jun-15 (Population update. Source : Shalom)
Checked with Shalom data, IDPs figure do not change</t>
  </si>
  <si>
    <t>MMR001012703</t>
  </si>
  <si>
    <t>Dawthponeyan Boarding School</t>
  </si>
  <si>
    <t>MMR001CMP240</t>
  </si>
  <si>
    <t xml:space="preserve">New Pang Ku </t>
  </si>
  <si>
    <t>MMR015CMP219</t>
  </si>
  <si>
    <t>Resettlement place</t>
  </si>
  <si>
    <t>Updated on 2/Dec/2015. Data source: mail by Win Aung Htun
Updated on 11/Nov/2015. Added jerry can data. Data source: mail by Win Aung Htun
Updated on 29/Sep/2015. 
Data Source: Lu Lu Awng and Win Aung Tun</t>
  </si>
  <si>
    <t>Latitude</t>
  </si>
  <si>
    <t>28/Jan/2016. Population update. Data source: KBC (mail by maran)
13/Dec/15. Population update. Data source: Mail by Ko Maran. Reason for pop changes: IDP in the host who were registered in the Man Win Bapitst Church (cultural compound) camp established their own separate entity as IDP in the host. 
Population Update. Source: Save The Children.</t>
  </si>
  <si>
    <t>Shelter Tool kit</t>
  </si>
  <si>
    <t>Tent</t>
  </si>
  <si>
    <t>Mai hkawng Camp (RC +KBC)</t>
  </si>
  <si>
    <t>Lana Zup Ja and Bumtsit pa (1) and (2)</t>
  </si>
  <si>
    <t>Nhkawng Pa camp and Pa Kahtawng camp thru cross line mission with KMSS-Bhamo</t>
  </si>
  <si>
    <t>Kbc</t>
  </si>
  <si>
    <t>Shalom-BM</t>
  </si>
  <si>
    <t>Lisu Baptist Church</t>
  </si>
  <si>
    <t>Namtit</t>
  </si>
  <si>
    <t>Pyi Lung Chan Tar</t>
  </si>
  <si>
    <t>Moe Gok (Pain Pyit Lisu Village)</t>
  </si>
  <si>
    <t>Moe Gok (A Shae Kyaung)</t>
  </si>
  <si>
    <t>Moe Gok (Aung Daw Mu)</t>
  </si>
  <si>
    <t>Moe Mait (Man Ohn0</t>
  </si>
  <si>
    <t>Emergency</t>
  </si>
  <si>
    <t>KMSS-MKN</t>
  </si>
  <si>
    <t>Updated on 11/Nov/2015. Added jerry can data. Data source: mail by Win Aung Htun</t>
  </si>
  <si>
    <t>Updated on 2/Dec/2015. Data source: mail by Win Aung Htun
Updated on 29/Sep/2015. 
Data Source: Lu Lu Awng and Win Aung Tun</t>
  </si>
  <si>
    <t>3/Mar/2016. Closed Camp. Data source: January report from KBC.
28/Jan/2016. Population update. Data source: KBC (mail by maran)
2/Dec/2015 (Population update. Data source: Monthly report by KBC).
25-Jun-2015 Update population. Data Source: KBC
Changed to Boarding School.</t>
  </si>
  <si>
    <t>Mogaung Total</t>
  </si>
  <si>
    <t>Shwegu Total</t>
  </si>
  <si>
    <t>Sumprabum Total</t>
  </si>
  <si>
    <t>Hseni Total</t>
  </si>
  <si>
    <t>Manton Total</t>
  </si>
  <si>
    <t>Namtu Total</t>
  </si>
  <si>
    <t>Man Sa village</t>
  </si>
  <si>
    <t>KMSS_LSO</t>
  </si>
  <si>
    <r>
      <t xml:space="preserve">For Kyauk Mae Areas. </t>
    </r>
    <r>
      <rPr>
        <i/>
        <sz val="10"/>
        <rFont val="Calibri"/>
        <family val="2"/>
        <scheme val="minor"/>
      </rPr>
      <t xml:space="preserve">Mosquito 650 pcs transported to Shan but 600 pcs are distributed through RRD and KMSS-Lashio to 12 camp-like setting areas and 50 pcs are returned back to UNHCR Myitkyina warehouse. </t>
    </r>
  </si>
  <si>
    <t>Shan</t>
  </si>
  <si>
    <t xml:space="preserve">Shan </t>
  </si>
  <si>
    <t>Kut kai</t>
  </si>
  <si>
    <t xml:space="preserve">Tent </t>
  </si>
  <si>
    <t>KMSS_Myitkyina</t>
  </si>
  <si>
    <t xml:space="preserve">13/May/16 (Hpare camp received only winter clothes)
For Pajau camp and Hpare camp, items transported by UNHCR laiza mission team and further distributed by KBC -&gt; 365 pcs of blackets, Fleece jackets for female (M) = 300 pcs, Fleece jackets for  female (L) = 160 pcs, </t>
  </si>
  <si>
    <t>Pajau camp received both winter itmes and blankets</t>
  </si>
  <si>
    <t>For Mang Wee villagers. 'KBC-Muse released family tents from their stock for this distribution</t>
  </si>
  <si>
    <t>__</t>
  </si>
  <si>
    <t>Moe Hping</t>
  </si>
  <si>
    <t>MMR001010009</t>
  </si>
  <si>
    <t>MMR001010048</t>
  </si>
  <si>
    <t>Aung Thar</t>
  </si>
  <si>
    <t>MMR001005701503</t>
  </si>
  <si>
    <t>Ba Leit Dan Ward</t>
  </si>
  <si>
    <t>Nyein Chan Thar Yar</t>
  </si>
  <si>
    <t>Hkau Shau</t>
  </si>
  <si>
    <t>Htwe San Yang</t>
  </si>
  <si>
    <t>Kyun Taw Ward</t>
  </si>
  <si>
    <t>MMR001008701510</t>
  </si>
  <si>
    <t>Aung Chan Thar Ward</t>
  </si>
  <si>
    <t>MMR001012702503</t>
  </si>
  <si>
    <t>Maliyang Ward</t>
  </si>
  <si>
    <t>MMR015019701503</t>
  </si>
  <si>
    <t>MMR001005702</t>
  </si>
  <si>
    <t>MMR001005702502</t>
  </si>
  <si>
    <t>Saing Gyar Ward</t>
  </si>
  <si>
    <t>MMR001012702506</t>
  </si>
  <si>
    <t>MMR001013007</t>
  </si>
  <si>
    <t>MMR001012703502</t>
  </si>
  <si>
    <t>MMR001007702</t>
  </si>
  <si>
    <t>Myo Ma (South) Ward</t>
  </si>
  <si>
    <t>MMR001007702503</t>
  </si>
  <si>
    <t>Maing Khat</t>
  </si>
  <si>
    <t>MMR001012020</t>
  </si>
  <si>
    <t>Camp Closed. Updated on 15 Jun 2016. Data source: Camp Profiling Data from KBC (Our NSS KBC-ERC team confirmed that Munekoe Pa camp has been closed regarding to their request. )
12/May/2016. Population update. Data source: KBC
28/Jan/2016. Population update. Data source: KBC (mail by maran)
2/Dec/2015. Population update. Data source: KBC
25-Jun-15 Population update. Source: KBC
Update population. Source: Camp Profile.</t>
  </si>
  <si>
    <t>Mine Wee (Man Jan)</t>
  </si>
  <si>
    <t>16/Jun/2016: Camp Closed. Data source: Shalom. Commnets from Shalom "Household return to Kayuk sa khan village"
9/Nov/15. Population update. Data source: monthly report by HAP.
19-Aug-15 Population update. Source: Shalom
25-Jun-15 (Population update. Source : Shalom)
Population update: Source UNHCR-Bhamo</t>
  </si>
  <si>
    <t>Aung Tha Pyay Ward</t>
  </si>
  <si>
    <t>MMR001007701505</t>
  </si>
  <si>
    <t>Mon Gar Zut</t>
  </si>
  <si>
    <t>Par Jaung</t>
  </si>
  <si>
    <t>21 twin shelters = 42 units</t>
  </si>
  <si>
    <t>MMR015CMP220</t>
  </si>
  <si>
    <t>MMR015CMP221</t>
  </si>
  <si>
    <t>MMR015CMP222</t>
  </si>
  <si>
    <t>MMR015CMP223</t>
  </si>
  <si>
    <t>MMR015CMP224</t>
  </si>
  <si>
    <t>MMR015CMP225</t>
  </si>
  <si>
    <t>MMR015CMP226</t>
  </si>
  <si>
    <t>MMR015CMP227</t>
  </si>
  <si>
    <t>Mai Yu Lay Ta'ang</t>
  </si>
  <si>
    <t>Mong Wee Ta'ang</t>
  </si>
  <si>
    <t>Mong Wee Shan</t>
  </si>
  <si>
    <t>Nam Hpak Ka Ta'ang</t>
  </si>
  <si>
    <t>25/Jul/2016: Added as new camp according to KBC data. Data was given by Jade</t>
  </si>
  <si>
    <t>MMR001CMP241</t>
  </si>
  <si>
    <t>Wara Zup KBC Church</t>
  </si>
  <si>
    <t>MMR001CMP242</t>
  </si>
  <si>
    <t>MMR001004</t>
  </si>
  <si>
    <t>Tanai</t>
  </si>
  <si>
    <t>Pan Ta Pyae</t>
  </si>
  <si>
    <t>MMR015015011</t>
  </si>
  <si>
    <t>Pang Tha Pyay</t>
  </si>
  <si>
    <t>Man Sa</t>
  </si>
  <si>
    <t>Mong Wee</t>
  </si>
  <si>
    <t>MMR015010036</t>
  </si>
  <si>
    <t>Tsan Lun - Namjarap</t>
  </si>
  <si>
    <t>Kawng Wein</t>
  </si>
  <si>
    <t>MMR015002026</t>
  </si>
  <si>
    <t xml:space="preserve">Mung Hawm </t>
  </si>
  <si>
    <t>Mung Hawm</t>
  </si>
  <si>
    <t xml:space="preserve">Htoi San Yang </t>
  </si>
  <si>
    <t>Chan Myae monastery</t>
  </si>
  <si>
    <t>Kapaung</t>
  </si>
  <si>
    <t>Lot Aung</t>
  </si>
  <si>
    <t>Pan Dang</t>
  </si>
  <si>
    <t>Pan Hkawn</t>
  </si>
  <si>
    <t>Thai Ra Yan</t>
  </si>
  <si>
    <t>Edin</t>
  </si>
  <si>
    <t>Loi Je B.E.H.S</t>
  </si>
  <si>
    <t>Lisu Manau Park</t>
  </si>
  <si>
    <t>Emergency Distribution</t>
  </si>
  <si>
    <t>State/Township</t>
  </si>
  <si>
    <t>Northern Shan</t>
  </si>
  <si>
    <t>Northern Shan Total</t>
  </si>
  <si>
    <t>Kachin &amp; Nothern Shan State</t>
  </si>
  <si>
    <t>Yes</t>
  </si>
  <si>
    <t>Implementing with DRC</t>
  </si>
  <si>
    <t>Wa Ra Zut</t>
  </si>
  <si>
    <t>MMR001009009</t>
  </si>
  <si>
    <t>KMSS_Bhamo</t>
  </si>
  <si>
    <t>A Lo Taw Pyae monastery</t>
  </si>
  <si>
    <t>Thar Ta Na Aung San monastery</t>
  </si>
  <si>
    <t>Muyin church (Aung Yar pre-school compound)</t>
  </si>
  <si>
    <t>Shar Du Zut RC church</t>
  </si>
  <si>
    <t xml:space="preserve">Shar Du Zut KBC church </t>
  </si>
  <si>
    <t>Shar Du Zut</t>
  </si>
  <si>
    <t>MMR001CMP243</t>
  </si>
  <si>
    <t>MMR001CMP244</t>
  </si>
  <si>
    <t>MMR001CMP245</t>
  </si>
  <si>
    <t>MMR001CMP246</t>
  </si>
  <si>
    <t>MMR001CMP247</t>
  </si>
  <si>
    <t>16/Sep/2016: Changes camp status. Actually it was not closed. It was combined as one camp with Bum Tsit Pa. Data source: KMSS_Bhamo.
28/Jan/2016. Population update. Data source: KBC
Population Update. Source: Save The Children.</t>
  </si>
  <si>
    <t>WFP</t>
  </si>
  <si>
    <t>Shelter Tool kit_LS</t>
  </si>
  <si>
    <t>Tent_LS</t>
  </si>
  <si>
    <t>(Njang Dung Camp, Shwe Zet Camp and 4 Camps in Hpakhant Tsp distributio)There is no specific camp and township name. Remarks-Through KBC-Myitkyina for new arrivals in 6 Camps: Njang Dung Camp, Shwe Zet Camp and 4 Camps in Hpakhant Tsp)</t>
  </si>
  <si>
    <t>(Buddha Camp, RC Camp and Mudung Camp)Emergency Distribution</t>
  </si>
  <si>
    <t># IDPLoc.</t>
  </si>
  <si>
    <t>KMSS_MKN</t>
  </si>
  <si>
    <t>Data source: Solidarities/under Nov_2016_CAR</t>
  </si>
  <si>
    <t xml:space="preserve">Data source: Solidarities/under Nov_2016_CAR, Newly displacement. Distribution related to Emergency Intervention (ERF), </t>
  </si>
  <si>
    <t>Data source: KBC/under nov_201_CAR</t>
  </si>
  <si>
    <t>MMR015CMP228</t>
  </si>
  <si>
    <t>MMR015CMP229</t>
  </si>
  <si>
    <t>MMR015CMP230</t>
  </si>
  <si>
    <t>MMR015CMP231</t>
  </si>
  <si>
    <t>MMR015CMP232</t>
  </si>
  <si>
    <t>MMR015CMP233</t>
  </si>
  <si>
    <t>MMR015CMP234</t>
  </si>
  <si>
    <t>MMR015CMP235</t>
  </si>
  <si>
    <t>MMR015CMP236</t>
  </si>
  <si>
    <t>MMR015CMP237</t>
  </si>
  <si>
    <t>MMR015CMP238</t>
  </si>
  <si>
    <t>MMR015CMP239</t>
  </si>
  <si>
    <t>MMR015CMP240</t>
  </si>
  <si>
    <t>MMR015CMP241</t>
  </si>
  <si>
    <t>MMR015CMP242</t>
  </si>
  <si>
    <t>MMR015CMP243</t>
  </si>
  <si>
    <t>MMR015CMP244</t>
  </si>
  <si>
    <t xml:space="preserve">Shwe Myint Thar Monastry </t>
  </si>
  <si>
    <t>17-01-2017: New added camp. Missing data will be collected from partners and present in next Report.</t>
  </si>
  <si>
    <t>Namtu RC</t>
  </si>
  <si>
    <t>Namtu KBC 1</t>
  </si>
  <si>
    <t>Namtu KBC 2</t>
  </si>
  <si>
    <t>Lisu Church Namtu</t>
  </si>
  <si>
    <t>St. Peter Church (Ho Mun ward)</t>
  </si>
  <si>
    <t>Gawrakha Youth Association</t>
  </si>
  <si>
    <t>B.E.H.S 2 (Ho Mun ward)</t>
  </si>
  <si>
    <t>B.E.H.S 4 (Ho Mun ward)</t>
  </si>
  <si>
    <t xml:space="preserve">Wein Sai Church </t>
  </si>
  <si>
    <t>Man Kaung/Naung Ti Kyar Village</t>
  </si>
  <si>
    <t>KBC (Ho Mun Ward)</t>
  </si>
  <si>
    <t>Jwan Jaw KBC</t>
  </si>
  <si>
    <t>Hsipaw</t>
  </si>
  <si>
    <t>MMR015014</t>
  </si>
  <si>
    <t>Myauk Ward</t>
  </si>
  <si>
    <t>MMR015009701505</t>
  </si>
  <si>
    <t>Taung Ward</t>
  </si>
  <si>
    <t>MMR015009701503</t>
  </si>
  <si>
    <t>Swei Taw Ward</t>
  </si>
  <si>
    <t>MMR015009701507</t>
  </si>
  <si>
    <t>Monastery (Myauk Kyaung)_North ward</t>
  </si>
  <si>
    <t>Kamahtan Kyaung_(South ward)</t>
  </si>
  <si>
    <t>Aung Mingalar_(Swan Saw ward)</t>
  </si>
  <si>
    <t>Nam Pang</t>
  </si>
  <si>
    <t>MMR015009001</t>
  </si>
  <si>
    <t>Nam Hkon</t>
  </si>
  <si>
    <t>Namt Hkun monastery</t>
  </si>
  <si>
    <t>Nawng Tha Kyar</t>
  </si>
  <si>
    <t>Moe Tay</t>
  </si>
  <si>
    <t>MMR015014024</t>
  </si>
  <si>
    <t>Hsipaw Total</t>
  </si>
  <si>
    <t>Closed Camp
Update data from OCHA IDPs List</t>
  </si>
  <si>
    <t>KMSS_Lashio</t>
  </si>
  <si>
    <t>Relief International</t>
  </si>
  <si>
    <t>According to their list, Tarpulin is under "Shelter Kit" . Two items (Tarpulin and Rope) are included in "Shelter Kit"</t>
  </si>
  <si>
    <t>SUMIFS(Table_NFI[Mosquito net_LS],Table_NFI[opening_date],1,Table_NFI[Status],"open")</t>
  </si>
  <si>
    <t>0</t>
  </si>
  <si>
    <t>IFERROR(VLOOKUP([@[Camp Name]],CL,2,0),"")</t>
  </si>
  <si>
    <t>Mosquito  net</t>
  </si>
  <si>
    <t xml:space="preserve">Tarpaulin </t>
  </si>
  <si>
    <t xml:space="preserve">Blanket </t>
  </si>
  <si>
    <t xml:space="preserve">Kitchen Set </t>
  </si>
  <si>
    <t>6/Apr/2017: Changed camp status as "closed". Data source: CCCM_UNHCR, comfirmed by partners (KBC)
17-01-2017: New added camp. Missing data will be collected from partners and present in next Report.</t>
  </si>
  <si>
    <t>6/Apr/2017: Population update. Data source: CCCM and comfirmed by camp manager.
20/Feb/2017: Updating GPS coordiante.
25/Jul/2016: Added as new camp according to KBC data. Data was given by Jade</t>
  </si>
  <si>
    <t>6/Apr/2017: Changed the camp status as "Closed". Data source: CCCM and comfirmed by partner (KBC). And it was updated since 3/Mar/2014.
Change to Host Families.</t>
  </si>
  <si>
    <t>6/April/2017: Changed the camp stutas as "Closed". Data source CCCM and comfirmed by partner (KBC). And it was updated since 3/March/2017
Change to Host Families.</t>
  </si>
  <si>
    <t>MMR015011701506</t>
  </si>
  <si>
    <t>No (6) Ward</t>
  </si>
  <si>
    <t>MMR015CMP245</t>
  </si>
  <si>
    <t>Kutkai downtown (KBC Church-2)</t>
  </si>
  <si>
    <t>6/April/2017: New Added camp. Data source: UNOCHA, Partners and CCCM.</t>
  </si>
  <si>
    <t>7/April/2017: Population update. Data source: WFP
9/Nov/15. Population update. Data source: mail from Pancy (WFP).
Update IDP increased in Oct and Nov 2013 from Angela (UNHCR - Bhamo)</t>
  </si>
  <si>
    <t>7/April/2017: Population update. Data source: WFP
9/Nov/15. Population update. Data source: mail from Pancy (WFP).
Update IDP increased in Oct and Nov 2013 from (UNHCR - Bhamo)</t>
  </si>
  <si>
    <t>7/April/2017: Population update. Data source: WFP
9/Nov/15. Population update. Data source: mail from Pancy (WFP).</t>
  </si>
  <si>
    <t>7/April/2017: Population update. Data source: WFP
Geo-Info, HH/Pop data was updated from Google Earth.</t>
  </si>
  <si>
    <t>24/Apr/2017: Changed camp status as "closed". Data source: KMSS_Myitkyina and CCCM unit.
16/Sep/2016: New added camp. There no responsible organization.</t>
  </si>
  <si>
    <t>24/Apr/2017: Population update. Data source: CCCM unit
19-Mar-2015 (WFP has been providing this host families since 2013.)</t>
  </si>
  <si>
    <t>24/Apr/2017: Population update. Data source: CCCM unit
10/Jan/2017: Population update. Data source: KMSS_Myitkyina
16/Jun/2016. Population update. Data source: monthly report from KMSS_MYT
28/Jan/2016. Population update. Data source: KBC (mail by maran)
9/Nov/15. Population update. Data source: mail from Pancy (WFP).
19-Mar-2015 (WFP has been providing this host families since 2013.)</t>
  </si>
  <si>
    <t>Data source: KMSS_Bhamo. Data was received when the camps status was changed as "Closed"</t>
  </si>
  <si>
    <t>Update date: 24/April/2017. Data source: KMSS_Myitkyina/under Feb_2017_CAR</t>
  </si>
  <si>
    <t>27/Apr/2017: Changed camp status as "Closed", Data source: KBC.
15/Mar/2017: Population update, KBC is not responsible  org started from December 2016. Data Source: KBC
24/Feb/2017: Population update. Data source: KBC
18/Jul/2016: Population updte. Data source: KBC
12/May/2016. Population update. Data source: KBC
25-Jun-15 Population update. Source: KBC
Update population. Source: Camp Profile.</t>
  </si>
  <si>
    <t>Update date: 27/April/2017. Data source: Programme Unit_UNHCR</t>
  </si>
  <si>
    <t>3/May/2017: Update NFI distribution data. Data source: Shalom (CAR_March data)</t>
  </si>
  <si>
    <t>Man Loi</t>
  </si>
  <si>
    <t>MMR015CMP246</t>
  </si>
  <si>
    <t>Kawng Hkar Man Pying</t>
  </si>
  <si>
    <t>MMR015011002</t>
  </si>
  <si>
    <t>6/May/2017: New added camp. Data source: KBC. Camp was confirmed by CCCM unit. The missing informaiton will be updated as soon as possible.</t>
  </si>
  <si>
    <t>MMR015CMP247</t>
  </si>
  <si>
    <t>2/June/2017: Population updated. Data source: WASH Cluster (dated 7/April_outlook mail)
Change to Host Families.</t>
  </si>
  <si>
    <t>2/Jun/2017: Changed camp status as "Open" according to WASH cluster information and confirmed by CCCM unit. But, there is no responsible agency.
3/Mar/2016. Closed camp. Data source: January report from KBC
28/Jan/2016. Population update. Data source: KBC (mail by maran)
2/Dec/2015. Population update. Data source: KBC
25-Jun-15 Population update. Source: KBC
Update population. Source: Camp Profile.</t>
  </si>
  <si>
    <t>2/June/2017: Changed camp status as "Closed" according to UNHCR_Lashio information.
17-01-2017: New added camp. Missing data will be collected from partners and present in next Report.</t>
  </si>
  <si>
    <t>2/Jun/2017: Population update. Data source: WASH cluster.
25/Jul/2016: Added as new camp according to KBC data. Data was given by Jade</t>
  </si>
  <si>
    <t>2/June/2017: Changed camp status as "Closed". Data source: UNOCHA and confirmed by CCCM unit.
25/Jul/2016: Added as new camp according to KBC data. Data was given by Jade</t>
  </si>
  <si>
    <t>2/June/2017: Updated Accessibility NGCA to GCA. Data source: UNOCHA.
Change to Host Families.</t>
  </si>
  <si>
    <t>Moke Lwe</t>
  </si>
  <si>
    <t>MMR001002002</t>
  </si>
  <si>
    <t>Khar Shi</t>
  </si>
  <si>
    <t>MMR001CMP248</t>
  </si>
  <si>
    <t>2/June/2017: Updated under costruction shelter. Data source: KBC (CAR_April)
4/May/2017:Updated planned shelter. Data source: KBC (CAR_March)</t>
  </si>
  <si>
    <t>2/June/2017: Updated under costruction shelter. Data source: KBC (CAR_April)
4/May/2017:Update data shelter. Data source: KBC (CAR_March)</t>
  </si>
  <si>
    <r>
      <t xml:space="preserve">2/June/2017: Updated under costruction shelter. Data source: KBC (CAR_April). </t>
    </r>
    <r>
      <rPr>
        <i/>
        <sz val="11"/>
        <color theme="1"/>
        <rFont val="Calibri"/>
        <family val="2"/>
        <scheme val="minor"/>
      </rPr>
      <t>The same with (CAR_March)</t>
    </r>
    <r>
      <rPr>
        <sz val="11"/>
        <color theme="1"/>
        <rFont val="Calibri"/>
        <family val="2"/>
        <scheme val="minor"/>
      </rPr>
      <t xml:space="preserve">
4/May/2017:Update data shelter. Data source: KBC (CAR_March)</t>
    </r>
  </si>
  <si>
    <t>2/June/2017: Updated under costruction shelter. Data source: KBC (CAR_April). The same with CAR_March.
4/May/2017:Update data shelter. Data source: KBC (CAR_March)</t>
  </si>
  <si>
    <t>2/June/2017: Update blanket data. Data source: KBC</t>
  </si>
  <si>
    <t>2/June/2017: Updated tent and under construction shelters data. Data source: KMSS_Myitkyina</t>
  </si>
  <si>
    <t>2/June/2017: Updated Shelter built. Data source: Shalom</t>
  </si>
  <si>
    <t>Update date: 2/June/2017. Data source: CAR_April</t>
  </si>
  <si>
    <t>Hka Shi</t>
  </si>
  <si>
    <t>WV</t>
  </si>
  <si>
    <t>2/June/2017: New added camp. Data source: WASH cluster, WV (World Vision).</t>
  </si>
  <si>
    <t xml:space="preserve">Update date: 15/May/2017. Data source: SI </t>
  </si>
  <si>
    <t>Update date: 15/May/2017. Data source: SI and confirmed by CCCM unit.</t>
  </si>
  <si>
    <t>Sadung</t>
  </si>
  <si>
    <t>NRC</t>
  </si>
  <si>
    <t>Update date: 16/May/2017. Data source: NRC</t>
  </si>
  <si>
    <t>Update date: 15/May/2017. Data source: SI (IDP site)</t>
  </si>
  <si>
    <t>MMR001CMP249</t>
  </si>
  <si>
    <t>6/June/2017: Changed camp status as "Closed" because of the conflict on Dec, 2016. So IDPs ( from Zai Awng - Mung Ga Zup) flew to Lung Byen. They stay awhile at Lung Byen and then they moved to Shait Yang on 17 Jan 2017. Added as a new camp (Shait Yang) instead of Zai Awng-Mung Ga Zup".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Update population according to KBC data</t>
  </si>
  <si>
    <t>2/June/2017:Updated Pop and township. Data source: KBC and UNHCR_Lashio.
6/May/2017: New added camp. Data source: KBC. Camp was confirmed by CCCM unit. The missing informaiton will be updated as soon as possible.</t>
  </si>
  <si>
    <t>Sha-It Yang</t>
  </si>
  <si>
    <t>19/May/2017: Population update. Data source: Shelter Associate (UNHCR)
Changed Camp to Host Families. Source: Camp Profile Questionnaire.</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</si>
  <si>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KBC 
19-Aug-2015. Population Update. Data Source; KMSS-BMO
Population increased. Relocated from Momauk Catholic Church (St. Patrick) - MMR001CMP057</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</si>
  <si>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KBC 
19 Aug 2015. Update Population. Data Source; KMSS-BMO
Population update: Source UNHCR-Bhamo</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</si>
  <si>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KBC 
19 Aug 2015. Udate Population. Date Source; KMSS-BMO
Population update: Source: KMSS-BMO</t>
  </si>
  <si>
    <r>
      <t xml:space="preserve">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16/Feb/2016. </t>
    </r>
    <r>
      <rPr>
        <b/>
        <sz val="11"/>
        <rFont val="Calibri"/>
        <family val="2"/>
        <scheme val="minor"/>
      </rPr>
      <t>some hh as they  join Nhkawng Pa camp which is closer to their village of origin</t>
    </r>
    <r>
      <rPr>
        <sz val="11"/>
        <rFont val="Calibri"/>
        <family val="2"/>
        <scheme val="minor"/>
      </rPr>
      <t xml:space="preserve">
28/Jan/2016. Population update. Data source: KBC (mail by maran)
19-Aug-2015. Population Update. Data Source; KMSS-BMO
Population update: Source: Camp Profile Round 2.</t>
    </r>
  </si>
  <si>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KBC
19-Aug-2015. Update Population. Data Source; KMSS-BMO
Population update: Source UNHCR-Bhamo</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</si>
  <si>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(combined as one camp with Bum Tsit Pa Camp II)  Data Source: KMSS_BMO
28/Jan/2016. Population update. Data source: KBC
Population update: Source: KMSS-BMO
Population Update. Source: Save The Children.</t>
  </si>
  <si>
    <r>
      <t xml:space="preserve">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16/Feb/2016. </t>
    </r>
    <r>
      <rPr>
        <b/>
        <sz val="11"/>
        <rFont val="Calibri"/>
        <family val="2"/>
        <scheme val="minor"/>
      </rPr>
      <t>spontenous return to villages near Manwin Gyi</t>
    </r>
    <r>
      <rPr>
        <sz val="11"/>
        <rFont val="Calibri"/>
        <family val="2"/>
        <scheme val="minor"/>
      </rPr>
      <t xml:space="preserve">
28/Jan/2016. Population update. Data source: KBC (mail by maran)
19-Aug-2015. Update Population. Data Source; KMSS-BMO
Population Update. Source: KMSS-BMO</t>
    </r>
  </si>
  <si>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KBC 
19-Aug-15 (Population Update. Data Source: KMSS-BMO)
Population update: Source: Camp Profile Round 2.</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</si>
  <si>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KBC
19-Aug-2015. Update Population. Data Source; KMSS-BMO
Update population. Source UNHCR Bhamo</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</si>
  <si>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28/Jan/2016. Population update. Data source: KMSS 
19-Aug-15 Update population. Source KMSS-BMO
Geo-Info update.</t>
  </si>
  <si>
    <t>29/Jun/2017: Population update. Data source: KMSS_Bhamo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16/Feb/2016. families’ extension
28/Jan/2016. Population update. Data source: KBC (mail by maran)
19-Aug-2015. Update Population. Data Source; KMSS-BMO
Responsible Agency update. KMSS-MYT to KMSS-BMO.</t>
  </si>
  <si>
    <t>29/Jun/2017: Population update. Data source: KMSS_Bhamo and CCCM unit  (according to PPA)
3/May/2017: Population update. Data source: KMSS_Bhamo
27/Apr/2017: Population update. Data source: KMSS_Bhamo &amp; CCCM unit
14/Feb/2017: Population update. Data source: KMSS_Bhamo
10/Jan/2017: Population update. Data source: KMSS_Bhamo
21/Oct/2016: Population update. Data source: KMSS_BMO
16/Sep/2016: Population update. Data Source: KMSS_BMO
16/Feb/2016. some HH increase as some IDP from Pa Kahtawng join as the camp is closer to village 
28/Jan/2016. Population update. Data source: KBC (mail by maran)
19-Aug-2015. Update population. Data Source; KMSS-BMO
Population Update. Source: Save The Children.</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</si>
  <si>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2/Dec/2015 (Population update. Data source: Monthly report by KMSS_MYT). Reason for pop changes; Arrived at the camp from daily work.
23-Oct-15 (Population update. Data source: Monthly report by KMSS-MYT). Reason for changes; Arrive from the Daily Work.
2 Oct 15 (Population update. Data Source: KMSS-MYT)
19-Aug-15 (Population update. Data Source: KMSS-MYT)
25-Jun-15 (Population update. Source : KMSS-MYT)
Population Update. Source: KMSS-MYT</t>
  </si>
  <si>
    <t>29/June/2017: Pop update. Data source: KMSS_Myitkyina
2/June/2017: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23-Oct-15 (Population update. Data source: Monthly report by KMSS-MYT). Reason for changes; Arrive from the Daily Work.
19-Aug-15 (Population update. Data Source: KMSS-MYT) 
25-Jun-15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</si>
  <si>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2/Dec/2015 (Population update. Data source: Monthly report by KMSS_MYT). Reason for pop changes; Arrived at the camp from daily work.
23-Oct-15 (Population update. Data sorce: Monthly report by KMSS-MYT). Reasion for changes; Travelling from the camp for daily worker.
2-Oct-15 (Pupulation update. Data Source: KMSS-MYT) and NFI Distribution List (New arrival)
19-Aug-15 (Population update. Data Source: KMSS-MYT)
25-Jun-15 (Population update. Source: KMSS-MYT)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</si>
  <si>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2/Dec/2015 (Population update. Data source: Monthly report by KMSS_MYT). Reasons for population changes; travelling from the camp for daily worker.
2-Oct-15 (Population update. Data Source: Monthly report by KMSS-MYT)
19-Aug-15 (Population updata. Data Source: KMSS-MYT)
25-Jun-15 (Population update. Source KMSS-MYT)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</si>
  <si>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23-Oct-15 (Population update. Data source: Monthly report by KMSS-MYT). Reason for changes; Travelling from the camp for Daily Worker.
2-Oct-15 (Population update. Data Source: Monthly report by KMSS-MYT)
25-Jun-15 (Population update. Source: KMSS-MYT)
18-May-15 (Population update from field mission)
2-Apr-15 (Population update, Source: UNHCR CCCM Mission)</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</si>
  <si>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2/Dec/2015 (Population update. Data source: Monthly report by KMSS_MYT). Reason for pop changes; Arrived at the camp from daily work.
23-Oct-15 (Population update. Data sorce: Monthly report by KMSS-MYT). Reason for changes; Travelling from the camp for daily worker.
2-Oct-15 (Population update. Data sorce: Monthly report by KMSS-MYT)
19-Aug-15 (Population update. Data source: KMSS-MYT)
25-Jun-15 (Population update. KMSS-MYT)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</si>
  <si>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source:KMSS
16/Feb/2016. HH and Pop correction
28/Jan/2016. Population update. Data source: KBC 
2/Dec/2015 (Population update. Data source: Monthly report by KMSS_MYT). Reason for pop changes; Travelling from the camp for daily work.
23-Oct-15 (Population update. Data sorce: Monthly report by KMSS-MYT). Reason for changes; Arrived from daily work.
2-Oct-15 (Population update. Data Source: Monthly report by KMSS-MYT)
19-Aug-15 (Population update: Data Source: KMSS-MYT)
25-Jun-15 (Population update. Source: IRRC)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</si>
  <si>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source:KMSS
28/Jan/2016. Population update. Data source: KBC 
23-Oct-15 (Population update. Data sorce: Monthly report by KMSS-MYT). Reason for changes; Traveling from the camp for daily worker.
2-Oct-15 (Population update. Data Source: Monthly Report by KMSS-MYT)
19-Aug-15 (Population update. Data source: KMSS-MYT)
25-Jun-15 (Population update. Source: KMSS-MYT)
Population Update. Source: KMSS-MYT</t>
  </si>
  <si>
    <t>29/June/2017: Pop update. Data source: KMSS_Myitkyina
6/June/2017: Change the township, village tract and village.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source:KMSS
28/Jan/2016. Population update. Data source: KBC 
2/Dec/2015 (population changes. Data source; KMSS_MYT). Reason for pop changes; arrived at the camp form daily work.
2-Oct-15 (Population update. Data Source: KMSS-MYT)
19-Aug-15 (Population update. Data Source: KMSS-MYT)
25-Jun-15 (Population update. KMSS-MYT)
2015-03-16 (Population moved to Hpun Lum Yang as there was no land available)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</si>
  <si>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2-Oct-15 (Population update. Data Source: Monthly report by KMSS-MYT)
19-Aug-15 (Populaiton update. Data Source: KMSS-MYT)
25-Jun-15 (Population update. Source: IRRC)
2015-03-16 (Population moved from Je Yang Hka as there was no land available)
Population Update. Source: UNHCR Cross-Line Mission Report. (July 2014)</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</si>
  <si>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source:KMSS
28/Jan/2016. Population update. Data source: KBC (mail by maran)
23-Oct-15 (Population update. Data source: Monthly report by KMSS-MYT). Reason for changes; Travelling from the camp for daily worker.
2-Oct-15 (Population update. Data Source: Monthly report by KMSS-MYT)
19-Aug-15 (Population update. Data Source: KMSS-MYT)
25-Jun-15 (Population update. Source: KMSS-MYT)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</si>
  <si>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2/Dec/2015 (Population update. Data source: Monthly report by KMSS_MYT). Reason for pop changes; Arrived at the camp and travelling from the camp for daily work.
2-Oct-15 (Population update. Data source: Monthly report by KMSS-MYT)
19-Aug-15 (Population update. Data Source: KMSS-MYT)
25-Jun-15 (Population update. Source: KMSS-MYT)
Update population according to KBC data</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</si>
  <si>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16/Feb/2016. Pop and HH correction.
28/Jan/2016. Population update. Data source: KBC 
13/Dec/2015. Population update. Data source: Mail by Ko Maran. Reason for pop changes: Increased from Sumpra Bum area 
2/Dec/2015 (Population update. Data source: Monthly report by KMSS_MYT). Reason for pop changes; Arrived at the camp from daily work and new arrival from sumprabum.
23-Oct-15 (Pupulation update. Data Source: Monthly report by KMSS-MYT). Reason for changes; Increasing from Sumprabum.
2-Oct-15 (Pupulation update. Data Source: KMSS-MYT) and NFI Distribution List (New arrival)
19-Aug-15 (Population update. Data source: KMSS-MYT)
25-Jun-15 (Population update. Source: KMSS-MYT)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</si>
  <si>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10/May/2016. Population Update. Data source: KMSS
28/Jan/2016. Population update. Data source: KBC 
23-Oct-15 Population update. Data source; Monthly report by KMSS_MYT. Reason for changes; A new sprad HH is added.
14-Oct-15 Population update. Soruce; Hpakant Mission Report_WFP
2-Oct-15 (Population update. Data Source: Monthly report by KMSS-MYT)
25-Jun-15 (Population update. Source: KMSS-MYT)
18-May-15 (Population update from field mission)
2-Apr-15 (Population update, Source: UNHCR CCCM Mission)
Population Update. Source: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</si>
  <si>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2/Dec/2015 (population update. Data source: Monthly report by KMSS-MYT). 
23-Oct-2015 (Population update. Data Source: Monthly report by KMSS-MYT). Reason for population changes; Travelling from the camp for Daily Worker.
19-Aug-2015 (Population update. Data Source: KMSS-MYT)
2-Apr-15 (Population update, Source: UNHCR CCCM Mission)
New Camp. KMSS-MYT</t>
  </si>
  <si>
    <t>29/June/2017: Pop update. Data source: KMSS_Myitkyina
2/June/2017: Pop update. Data source: KMSS_Myitkyina
3/May/2017: Pop update. Data source: KMSS_Myitkyina
24/Apr/2017: Pop update. Data source: KMSS_Myitkyina
14/Feb/2017: Population update. Data source: KMSS_Myitkyina
10/Jan/2017: Population update. Data source: KMSS_Myitkyina
21/Oct/2016: Population update. Data source: KMSS_Myitkyina
1/Sep/2016: population update. Data source: KMSS_Myitkyina
14/Jul/2016: Population update. Data Source:KMSS_Myitkyina
16/Jun/2016. Population update. Data source: monthly report from KMSS_MYT
10/May/2016. Population Update. Data source: KMSS
28/Jan/2016. Population update. Data source: KBC 
19-Aug-15 (Population update. Data Source: KMSS-MYT)
2-Apr-15 (Population update, Source: UNHCR CCCM Mission)
Population Update. Source: KMSS-MYT</t>
  </si>
  <si>
    <t>29/June/2017: Pop update. Data source: KMSS_Myitkyina
2/June/2017: Pop update. Data source: KMSS_Myitkyina
3/May/2017: Pop update. Data source: KMSS_Myitkyina
24/April/2017: Updated Pop and responsible agency. Data source:KMSS_Myitkyina
16/Sep/2016: New added camp. There no responsible organization.</t>
  </si>
  <si>
    <t>29/June/2017: Population update. Planning to local integration through KMSS_Myitkyina. There is no responsible org now.
3/May/2017: Pop update. Data source: KMSS_Myitkyina
24/Apr/2017: Pop update. Data source: KMSS_Myitkyina
6/Apr/2017: Change camp status as "Open". Data source: Protection team and comfirmed by camp manager.
2/feb/2017: Closed Camp
10/Jan/2017: Population update. Data source: KMSS_Myitkyina
21/Oct/2016: Population update. Data source: KMSS_Myitkyina
14/Jul/2016: Population update. Data Source:KMSS_Myitkyina
9/Nov/15. Accomodation changes from Host families to Camp. Data source: CCCM
19-Aug-15 (Population Udate. Data Source: KMSS-MYT)
25-Jun-2015 (New host families. Source: RRD)</t>
  </si>
  <si>
    <t>29/Jun/2017: Population update. Data source:KMSS_Lashio/ the same pop data with April.
24/Apr/2017: Population update. Data source:KMSS_Lashio
14/Feb/2017: Population update. Data source: KMSS_LSO
10/Jan/2017: Population update. Data source: KMSS_LSO
27/Oct/2016: Population update. Data source: KMSS_Lashio
1/Sep/2016: Population update. Data source: KMSS_LSO
14/Jul/2016: Population update. Data source: KMSS_LSO
28/Jan/2016. Population update. Data source: KMSS_LSO
19-Aug-15 (Population update. Source: KMSS-LSO)
25-Jun-15 (Population update. Source: KMSS-LSO)
Population update. Changed NGCA to GCA. Source: CCCM Unit</t>
  </si>
  <si>
    <t>29/Jun/2017: Population update. Data source:KMSS_Lashio/ the same pop data with April.
24/Apr/2017: Population update. Data source:KMSS_Lashio
14/Feb/2017: Population update. Data source: KMSS_LSO
10/Jan/2017: Population update. Data source: KMSS_LSO
27/Oct/2016: Population update. Data source: KMSS_Lashio
1/Sep/2016: Population update. Data source: KMSS_LSO
14/Jul/2016: Population update. Data source: KMSS_LSO
28/Jan/2016. Population update. Data source: KMSS_LSO
19-Aug-15 (Population update. Source: MKSS-LSO)
25-Jun-15 (Population update. Source: KMSS-LSO)
Population updated. Source: Shelter unit.</t>
  </si>
  <si>
    <t>29/Jun/2017: Population update. Data source:KMSS_Lashio/ the same pop data with April.
24/Apr/2017: Population update. Data source:KMSS_Lashio
14/Feb/2017: Population update. Data source: KMSS_LSO
10/Jan/2017: Population update. Data source: KMSS_LSO
27/Oct/2016: Population update. Data source: KMSS_Lashio
1/Sep/2016: Population update. Data source: KMSS_LSO
14/Jul/2016: Population update. Data source: KMSS_LSO
28/Jan/2016. Population update. Data source: KMSS_LSO
19-Aug-15 (Population update. Source: KMSS-LSO)
25-Jun-15 (Population update. Source: KMSS-LSO)
New Camp</t>
  </si>
  <si>
    <t>29/Jun/2017: Population update. Data source:KMSS_Lashio/ the same pop data with April.
24/Apr/2017: Population update. Data source:KMSS_Lashio
14/Feb/2017: Population update. Data source: KMSS_LSO
10/Jan/2017: Population update. Data source: KMSS_LSO
27/Oct/2016: Population update. Data source: KMSS_Lashio
1/Sep/2016: Population update. Data source: KMSS_LSO
14/Jul/2016: Population update. Data source: KMSS_LSO
28/Jan/2016. Population update. Data source: KMSS_LSO
19-Aug-15 (Population update. Source: MKSS-LSO)
25-Jun-15 (Population update. Source: KMSS-LSO)
Population Update. Source: Save The Children.</t>
  </si>
  <si>
    <t>29/Jun/2017: Population update. Data source:KMSS_Lashio/ the same pop data with April.
24/Apr/2017: Population update. Data source:KMSS_Lashio
14/Feb/2017: Population update. Data source: KMSS_LSO
10/Jan/2017: Population update. Data source: KMSS_LSO
27/Oct/2016: Population update. Data source: KMSS_Lashio
1/Sep/2016: Population update. Data source: KMSS_LSO
14/Jul/2016: Population update. Data source: KMSS_LSO
28/Jan/2016. Population update. Data source: KMSS_LSO
19-Aug-15 (Population update. Source KMSS-LSO)
25-Jun-15 (Population update. Source KMSS-LSO)
27-Mar-15 (Changed to GCA. Source UNHCR-Bhamo)
New camp. Source: KMSS-BMO</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</si>
  <si>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27/June/2016: GPS point changes. Data source:WFP
16/Jun/2016: Population update. Data source: mail by Shalom
10 May 2016. Population update: Data source_Shalom
28/Jan/2016. Population update. Data source: KBC (mail by maran)
9/Nov/15. Population update. Data source: monthly report by HAP.
19-Aug-15 Update population. Source: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</si>
  <si>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19-Aug-15 Population update. Source Shalom.
25-Jun-15 Population update. Source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</si>
  <si>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9/Nov/15. Population Upate. Data source: monthly report by HAP.
19-Aug-15 Population update. Source: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</si>
  <si>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</si>
  <si>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9/Nov/15. Population update. Data source: monthly report by HAP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</si>
  <si>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9/Nov/15. Population update. Data source: monthly report by HAP.
19-Aug-15 Population update. Source: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</si>
  <si>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1/Sep/2016: Population update. Data source: Shalom
20/Jul/2016: Population update. Data source: Shalom
16/Jun/2016: Population update. Data source: mail by Shalom
10 May 2016. Population update: Data source_Shalom
28/Jan/2016. Population update. Data source: KBC (mail by maran)
9/Nov/15. Population update. Data source: monthly report by HAP.
19-Aug-15. Population update. Source: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</si>
  <si>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9/Nov/15. Population update. Data source: monthly report by HAP.
19-Aug-15 Population update. Source: Shalom.
25-Jun-15 Population update. Source : Shalom.
Update population. Source: Camp Profile.</t>
  </si>
  <si>
    <t>29/June/2017: Population update. Data source: Shalom
2/June/2017: Population update. Data source: Shalom
3/May/2017: Population update. Data source: Shalom
24/April/2017: Population update. Data source: Shalom
24/Apr/2017: Pop update. Data source: KMSS_Myitkyina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19-Aug-15 Population update. Source: Shalom.
25-Jun-15 Population update. Source : Shalom.</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</si>
  <si>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10 May 2016. Population update: Data source_Shalom
28/Jan/2016. Population update. Data source: KBC (mail by maran)
19-Aug-15 Population update. Source: Shalom.
Update population. Source: Camp Profile.</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</si>
  <si>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1/Sep/2016: Population update. Data source: Shalom
20/Jul/2016: Population update. Data source: Shalom
16/Jun/2016: Population update. Data source: mail by Shalom
10 May 2016. Population update: Data source_Shalom
28/Jan/2016. Population update. Data source: KBC (mail by maran)
9/Nov/15. Population update. Data source: monthly report by HAP.
19-Aug-15 Population updae. Source: Shalom
25-Jun-15 (Population update. Source : Shalom)
2-Apr-15 (Population update, Source: UNHCR CCCM Mission)
Update IDP population from Shalom data (Assistant CCCM Officer)</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</si>
  <si>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19-Aug-15 Population update. Source: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</si>
  <si>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9/Nov/15. Population update. Data source: monthly report by HAP.
19-Aug-15 Population update. Source Shalom.
25-Jun-15 Population update. Source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</si>
  <si>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9/Nov/15. Population update. Data source: monthly report by HAP.
19-Aug-15 Update population. Data Source: Shalom.
25-Jun-2015 Update population. Data Source: KBC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</si>
  <si>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9/Nov/15. Population update. Data source: monthly report by HAP.
19-Aug-15 Population update. Source: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</si>
  <si>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25-Jun-15 (Population update. Source :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</si>
  <si>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1/Sep/2016: Population update. Data source: Shalom
20/Jul/2016: Population update. Data source: Shalom
16/Jun/2016: Population update. Data source: mail by Shalom
14-Oct-15 Population update. Soruce; Hpakant Mission Report_WFP
19-Aug-15 Population update. Source: Shalom
2-Apr-15 (Population update, Source: UNHCR CCCM Mission)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</si>
  <si>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19-Aug-15 Population update. Source: Shalom
25-Jun-15 (Population update. Source : Shalom)
2-Apr-15 (Population update, Source: UNHCR CCCM Mission)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</si>
  <si>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1/Sep/2016: Population update. Data source: Shalom
20/Jul/2016: Population update. Data source: Shalom
16/Jun/2016: Population update. Data source: mail by Shalom
14-Oct-15 Population update. Soruce; Hpakant Mission Report_WFP
19-Aug-15 Population update. Source: Shalom
25-Jun-15 (Population update. Source: Shalom)
2-Apr-15 (Population update, Source: UNHCR CCCM Mission)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</si>
  <si>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1/Sep/2016: Population update. Data source: Shalom
20/Jul/2016: Population update. Data source: Shalom
16/Jun/2016: Population update. Data source: mail by Shalom
14-Oct-15 Population update. Soruce; Hpakant Mission Report_WFP
19-Aug-15 Population update. Source: Shalom
25-Jun-15 (Population update. Source: Shalom)
Population update: Source: Camp Profile Round 2.
2-Apr-15 (Population update, Source: UNHCR CCCM Mission)</t>
  </si>
  <si>
    <t>29/June/2017: Population update. Data source: Shalom
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1/Sep/2016: Population update. Data source: Shalom
20/Jul/2016: Population update. Data source: Shalom
16/Jun/2016: Population update. Data source: mail by Shalom
14-Oct-15 Population update. Soruce; Hpakant Mission Report_WFP
19-Aug-15 Population update. Source: Shalom
25-Jun-15 (Population update. Source: Shalom)
Population update: Source: Camp Profile Round 2.
2-Apr-15 (Population update, Source: UNHCR CCCM Mission)</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</si>
  <si>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14-Oct-15 Population update. Soruce; Hpakant Mission Report_WFP
19-Aug-15 Population update. Source: Shalom
2-Apr-15 (Population update, Source: UNHCR CCCM Mission)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</si>
  <si>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14-Oct-15 Population update. Soruce; Hpakant Mission Report_WFP
19-Aug-15 Population updae. Source: Shalom.
25-Jun-15 (Population update. Source Shalom)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</si>
  <si>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9/Nov/15. Population update. Data source: monthly report by HAP.
14-Oct-15 Population update. Soruce; Hpakant Mission Report_WFP
25-Jun-15 (Population update. Source: Shalom)
18-May-15 (Population update from field mission)
2-Apr-15 (Population update, Source: UNHCR CCCM Mission)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</si>
  <si>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9/Nov/15. Population update. Data source: monthly report by HAP.
14-Oct-15 Population update. Soruce; Hpakant Mission Report_WFP
25-Jun-15 (Population update. Source Shalom)
2-Apr-15 (Population update, Source: UNHCR CCCM Mission)
Population update: Source: Camp Profile Round 2.</t>
  </si>
  <si>
    <t>29/June/2017: Population update. Data source: Shalom
2/June/2017: Population update. Data source: Shalom
3/May/2017: Population update. Data source: Shalom
24/April/2017: Population update. Data source: Shalom
14/Feb/2017: Population update. Data source: Shalom (the same data with previous month)
10/Jan/2017: Population update. Data source: Shalom.
21 Oct 2016: Population update. Data source: Shalom
20/Jul/2016: Population update. Data source: Shalom
16/Jun/2016: Population update. Data source: mail by Shalom
16/Jun/2016. Population update. Data source: monthly report from KMSS_MYT
10 May 2016. Population update: Data source_Shalom
28/Jan/2016. (New added camp) Population update. Data source: KBC (mail by maran)
9/Nov/15. Population update. Data source: monthly report by HAP.
19-Aug-15 Population update. Source: Shalom
25-Jun-15 (Population update. Source: Shalom)
2-Apr-15 (Population update, Source: UNHCR CCCM Mission)
Population update: Source: Camp Profile Round 2.</t>
  </si>
  <si>
    <t>MHF</t>
  </si>
  <si>
    <t>3/July/2017: Updated MHF Shelters</t>
  </si>
  <si>
    <t>no</t>
  </si>
  <si>
    <t>3/Jul/2017: Updated MHF shelters</t>
  </si>
  <si>
    <t>3/July/2017: Updated DRC Shelters</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</si>
  <si>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from KBC.
Checked with KBC data</t>
  </si>
  <si>
    <r>
      <t xml:space="preserve">3/Jul/2017: Population update. Data source: KBC
2/June/2017: Population update. Data source: KBC
3/May/2017: Population update. Data source: KBC
24/Apr/2017: Population update. Data source: KBC and CCCM unit
15/Mar/2017: Population update. Data Source: KBC
</t>
    </r>
    <r>
      <rPr>
        <b/>
        <sz val="11"/>
        <rFont val="Calibri"/>
        <family val="2"/>
        <scheme val="minor"/>
      </rPr>
      <t>24/Feb/2017: Population update. Data source: KBC</t>
    </r>
    <r>
      <rPr>
        <sz val="11"/>
        <rFont val="Calibri"/>
        <family val="2"/>
        <scheme val="minor"/>
      </rPr>
      <t xml:space="preserve">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from KBC.
Checked with KBC data</t>
    </r>
  </si>
  <si>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19-Aug-15 Update pouplation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</si>
  <si>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Monthly report by KBC).
19-Aug-15 Update population from KBC.
25-Jun-2015 Update population from KBC.
Checked with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</si>
  <si>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10/Jan/2017: Population update. Data source: KBC
21/Oct/2016: Population update. Data soure: KBC
9/Sep/2016. Population update. Data source:KBC.
18/Jul/2016: Population updte. Data source: KBC
15/Jun/2016: Population update. Data source: monthly report by KBC
28/Jan/2016. Population update. Data source: KBC
2/Dec/2015. Population update. Data source: KBC.
19-Aug-2015 Update population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</si>
  <si>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</si>
  <si>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 Update population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</si>
  <si>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</si>
  <si>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</si>
  <si>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Monthly report by KBC).
19-Aug-2015 Update population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</si>
  <si>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19-Aug-15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</si>
  <si>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</si>
  <si>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from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</si>
  <si>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from KBC.
Checked with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</si>
  <si>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Monthly report by KBC).
19-Aug-2015 Update population from KBC.
25-Jun-2015 Update population from KBC.
Checked with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</si>
  <si>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Monthly report by KBC).
19-Aug-2015 Update population from KBC.
25-Jun-2015 Update population from KBC.
Population updated. Source: Shelter unit.</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</si>
  <si>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Monthly report by KBC).
19-Aug-15 Update population from KBC
25-Jun-2015 Update population. Data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</si>
  <si>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Monthly report by KBC).
19-Aug-15 Update population from KBC
25-Jun-2015 Update population. Data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</si>
  <si>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12/May/2016. Population update. Data source: KBC
28/Jan/2016. Population update. Data source: KBC
2/Dec/2015. Population update. Data source: KBC
25-Jun-2015 Update population. Data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</si>
  <si>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25-Jun-2015 Update population. Data Source: KBC
Changed NGCA to GCA. Source: Programme Unit.</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</si>
  <si>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13/Dec/2015. Population update. Data source: mail by Ko Maran. reason for population changes: Aung Tar KBC camp still exist. WFP report about camp closure but the small camp still exist. We change the status as open again
9/Nov/15. Camp Closed
25-Jun-15 Population update. Source: KBC
Population Update. Source: KBC.</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</si>
  <si>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25-Jun-2015 Update population. Data Source: KBC
Population update: Source: Camp Profile Round 2.</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</si>
  <si>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25-Jun-2015 Update population. Data Source: KBC
Population update: Source: Camp Profile Round 2.</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</si>
  <si>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Population update: Source: Camp Profile Round 2.</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</si>
  <si>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25-Jun-2015 Update population. Data Source: KBC
Population update: Source: Camp Profile Round 2.</t>
  </si>
  <si>
    <t>3/Jul/2017: Population update. Data source: KBC
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12/May/2016. Population update. Data source: KBC
28/Jan/2016. Population update. Data source: KBC</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</si>
  <si>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25-Jun-2015 Update population. Data Source: KBC
Population update: Source UNHCR-Bhamo</t>
  </si>
  <si>
    <t>3/Jul/2017: Population update. Data source: KBC
2/June/2017: Population update. Data source: KBC
3/May/2017: Population update. Data source: KBC
27/Apr/2017: Population update. Data source: Camp focal point through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25-Jun-2015 Update population. Data Source: KBC
Population update: Source: Camp Profile Round 2.</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</si>
  <si>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Update population from KBC.
25-Jun-2015 Update population. Data Source: KBC
Checked with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</si>
  <si>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19-Aug-15 Update population. Data Source: KBC.
25-Jun-2015 Update population. Data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</si>
  <si>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14-Oct-15 Population update. Soruce; Hpakant Mission Report_WFP
25-Jun-15 Population update. Source: KBC
2-Apr-15 (Population update, Source: UNHCR CCCM Mission)
Update population according to KBC data.</t>
  </si>
  <si>
    <t>3/Jul/2017: Population update. Data source: KBC
3/Jul/2017: Population update. Data source: KBC
2/June/2017: Population update. Data source: KBC
3/May/2017: Population update. Data source: KBC
24/Apr/2017: Population update. Data source: KBC and CCCM unit
15/Mar/2017: Population update. Data Source: KBC
24/Feb/2017: Population update. Data source: KBC. HH and Pop changed a lot because they moved to GCA (Myitkyina and Waingmaw towns)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</si>
  <si>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18/Jul/2016: Population updte. Data source: KBC
15/Jun/2016: Population update. Data source: monthly report by KBC
12/May/2016. Population update. Data source: KBC
28/Jan/2016. Population update. Data source: KBC
2/Dec/2015. Population update. Data source: KBC
25-Jun-15 Population update.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</si>
  <si>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13/Dec/2015. Population update. Data source:  Reason for Pop changes: camp pp reduced as IDP in the host who were registered in the camp but now they established their own separate entity as IDP in the host. 
2/Dec/2015. Population update. Data source: KBC
25-Jun-15 Population update. Source: KBC
Population Update. Source: Save The Children.</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</si>
  <si>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19-Aug-15 Population update. Source: KBC.
25-Jun-15 Population update.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</si>
  <si>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18/Jul/2016: Population updte. Data source: KBC
15/Jun/2016: Population update. Data source: monthly report by KBC
12/May/2016. Population update. Data source: KBC
28/Jan/2016. Population update. Data source: KBC 
2/Dec/2015. Population update. Data source: KBC.
19-Aug-15 Population update. Source: KBC.
25-Jun-15 Population update. Source: KBC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</si>
  <si>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2-Apr-15 (Population update, Source: UNHCR CCCM Mission)</t>
  </si>
  <si>
    <t>3/Jul/2017: Population update. Data source: KBC
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14-Oct-15 Population update. Soruce; Hpakant Mission Report_WFP
25-Jun-15 Population update. Source: KBC
2-Apr-15 (Population update, Source: UNHCR CCCM Mission)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</si>
  <si>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14-Oct-15 Population update. Soruce; Hpakant Mission Report_WFP
25-Jun-15 Population update. Source: KBC
18-May-15 (Population update with field mission)
2-Apr-15 (Population update, Source: UNHCR CCCM Mission)
Update population according to KBC data</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</si>
  <si>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13/Dec/2014. Population update. Data source: Mail by Ko Maran. Reason for Pop changes: Following September 2016 conflict there was sudden increase of IDP pp in Mansi and Mahkawng
2/Dec/2015. Population update. Data source: KBC
2-Oct-14 Population update (New arrival). Data source: NFI distribution list from Bhamo.
19-Aug-15 Population update. Source: KBC.
25-Jun-15 Population update. Source: KBC
Population update: Source: Camp Profile Round 2.</t>
  </si>
  <si>
    <t>3/Jul/2017: Population update. Data source: KBC
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18/Jul/2016: Population updte. Data source: KBC
14-Oct-15 Population update. Soruce; Hpakant Mission Report_WFP
25-Jun-15 Population update. Source: KBC
18-May-15 (Population update from field mission)
3-Apr-15 (Population update. Source: Camp Profile Round 3)
New camp</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</si>
  <si>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Population Update. Source: Save The Children.</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</si>
  <si>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13/Dec/2015. Population update. Data source: Mail by Ko Maran. Reason for pop changes: data obtain from Protection team monitoring report  November 2015
2/Dec/2015. Population update. Data source: KBC
19-Aug-15 Population update. Source KBC.
25-Jun-15 New camp. Data Source : KBC</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</si>
  <si>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And it was changed from host families to camp according to the data collection of Camp Profiling Round_5.
12/May/2016. Population update. Data source: KBC
28/Jan/2016. Population update. Data source: KBC
13/Dec/2015. Population update. Data source: Mail by Ko Maran. Reason for pop changes; The same number since March 2015 displacement but pp was divided between KBC and ICM churches. After setting up of a camp managed by KBC from August total population combined as it was. 
2/Dec/2015. Population update. Data source: KBC.
25-Jun-2015 (New host families. Source: RRD)</t>
  </si>
  <si>
    <t>3/Jul/2017: Population update. Data source: KBC
2/June/2017: Population update. Data source: KBC
2/June/2017: Updated Accessibility GCA to NGCA. Data source: UNOCHA and confirmed by CCCM
3/May/2017: Population update. Data source: KBC
24/Apr/2017: Population update. Data source: KBC and CCCM unit
15/Mar/2017: Population update. Data Source: KBC
24/Feb/2017: Population and Responsible agency update. Data source: KBC.
10/2/2015. New Camp. Data source: CCCM team</t>
  </si>
  <si>
    <t>3/Jul/2017: Population update. Data source: KBC
2/June/2017: Population update. Data source: KBC
2/June/2017: Updated Accessibility GCA to NGCA. Data source: UNOCHA and confirmed by CCCM
3/May/2017: Population update. Data source: KBC
24/Apr/2017: Population update. Data source: KBC and CCCM unit
24/Apr/2017: Population update. Data source: KBC and CCCM unit
15/Mar/2017: Population update. Data Source: KBC
24/Feb/2017: Population and Responsible agency update. Data source: KBC.
10/2/2015. New Camp. Data source: CCCM team</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</si>
  <si>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16/Sep/2016: New added camp. There no responsible organization.</t>
  </si>
  <si>
    <t>3/Jul/2017: Population update. Data source: KBC
6/June/2017: Added as new camp instead of Zai Awng - Mung Ga Zup camp because of the conflict on Dec, 2016. So IDPs ( from Zai Awng - Mung Ga Zup ) flew to Lung Byen. They stay awhile at Lung Byen and then they moved to Shait Yang on 17 Jan 2017. Changed the camp name as "Shait Yan</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</si>
  <si>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27-Mar-15 (Changed to GCA. Source UNHCR-Bhamo)
Update population. Source: Camp Profile.</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</si>
  <si>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Update population. Source: Camp Profile.</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</si>
  <si>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25-Jun-15 Population update. Source: KBC
Update population. Source: Camp Profile.</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</si>
  <si>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18/Jul/2016: Population updte. Data source: KBC
15/Jun/2016: Population update. Data source: monthly report by KBC
12/May/2016. Population update. Data source: KBC
28/Jan/2016. Population update. Data source: KBC
25-Jun-15 Population update. Source: KBC
Population update. Source: KBC.</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</si>
  <si>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15/Jun/2016: Population update. Data source: monthly report by KBC
12/May/2016. Population update. Data source: KBC
28/Jan/2016. Population update. Data source: KBC
2/Dec/2015. Population update. Data source: KBC
25-Jun-15 Population update. Source: KBC
Population Update. Source: Save The Children.</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</si>
  <si>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19-Aug-15 Population update. Source KBC.
25-Jun-15 New camp. Data Source : KBC</t>
  </si>
  <si>
    <t>3/Jul/2017: Population update. Data source: KBC
2/June/2017: Population update. Data source: KBC
3/May/2017: Population update. Data source: KBC
24/Apr/2017: Population update. Data source: KBC and CCCM unit
15/Mar/2017: Population update. Data Source: KBC
24/Feb/2017: Population and Responsible agency update. Data source: KBC.
10/Jan/2017: Population update. Data source: KBC
18/Jul/2016: Added as new camp according to KBC_Brang Mai.</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</si>
  <si>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New camp.</t>
  </si>
  <si>
    <t>3/Jul/2017: Population update. Data source: KBC
2/June/2017: Population update. Data source: KBC
3/May/2017: Population update. Data source: KBC
24/Apr/2017: Population update. Data source: KBC and CCCM unit
15/Mar/2017: Population update. Data Source: KBC
24/Feb/2017: Population update. Data source: KBC
10/Jan/2017: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25-Jun-15 Population update. Source: KBC
Changed NGCA to GCA. Source: CCCM Unit</t>
  </si>
  <si>
    <t>3/Jul/2017: Updated shelter unit</t>
  </si>
  <si>
    <t>3/Jul/2017: Updated constructed shelter
2/June/2017: Updated under costruction shelter. Data source: KBC (CAR_April). The same with CAR_March.
4/May/2017:Update data shelter. Data source: KBC (CAR_March)</t>
  </si>
  <si>
    <t>3/Jul/2017: Updated constructed shelter. Data source: KBC (CAR_March)
2/June/2017: Updated under costruction shelter. Data source: KBC (CAR_April). 
4/May/2017:Update data shelter. Data source: KBC (CAR_March)</t>
  </si>
  <si>
    <t>Lel Pyin</t>
  </si>
  <si>
    <r>
      <t>Lawng Hkang Shait Yang Camp</t>
    </r>
    <r>
      <rPr>
        <sz val="12"/>
        <color rgb="FF000000"/>
        <rFont val="Calibri"/>
        <family val="2"/>
        <scheme val="minor"/>
      </rPr>
      <t>​ ( Lel Pyin)​ </t>
    </r>
  </si>
  <si>
    <t>MMR001CMP250</t>
  </si>
  <si>
    <t>3/Jul/2017: Added New camp. 
As per mail from KBC-HDD, we have to close two camps (5 Ward Baptist Church( Lon Khin- MMR001CMP179, and Ku Day Maw KBC- MMR001CMP231) and open new camp as Lawng Hkang Shait Yang Camp ( Lel Pyin) under Hpakant Township. So technically, the mentioned two camp will be combine into one camp as Lawng Hkang Shait Yang Camp ( Lel Pyin)</t>
  </si>
  <si>
    <t>3/Jul/2017: Namtu KBC 1(MMR015CMP230) and Namtu KBC 2 (MMR015CMP231) are already integrated into the old camp ( Nam Tu Baptist (MMR015CMP014)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Update population. Source: Camp Profile.</t>
  </si>
  <si>
    <t>3/Jul/2017: Changed camp status as "Closed" according to the information of KBC. Note from KBC "Namtu KBC 1(MMR015CMP230) and Namtu KBC 2 (MMR015CMP231) are already integrated into the old camp ( Nam Tu Baptist (MMR015CMP014)".
17-01-2017: New added camp. Missing data will be collected from partners and present in next Report.</t>
  </si>
  <si>
    <t>3/Jul/2017: Changed camp status as "Closed" according to the information of KBC. Note from KBC " (5 Ward Baptist Church( Lon Khin- MMR001CMP179, and Ku Day Maw KBC- MMR001CMP231) and open new camp as Lawng Hkang Shait Yang Camp ( Lel Pyin) under Hpakant Township. So technically, the mentioned two camp will be combine into one camp as Lawng Hkang Shait Yang Camp ( Lel Pyin)".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14-Oct-15 Population update. Soruce; Hpakant Mission Report_WFP
25-Jun-15 Population update. Source: KBC
2-Apr-15 (Population update, Source: UNHCR CCCM Mission)
Population Update. Source: KBC.</t>
  </si>
  <si>
    <t>3/Jul/2017: Changed camp status as "Closed" according to the information of KBC. Note from KBC " (5 Ward Baptist Church( Lon Khin- MMR001CMP179, and Ku Day Maw KBC- MMR001CMP231) and open new camp as Lawng Hkang Shait Yang Camp ( Lel Pyin) under Hpakant Township. So technically, the mentioned two camp will be combine into one camp as Lawng Hkang Shait Yang Camp ( Lel Pyin)".
2/June/2017: Population update. Data source: KBC
3/May/2017: Population update. Data source: KBC
24/Apr/2017: Population update. Data source: KBC and CCCM unit
15/Mar/2017: Population update. Data Source: KBC
24/Feb/2017: Population update. Data source: KBC
10/Jan/2017: Population update. Data source: KBC
21/Oct/2016: Population update. Data soure: KBC
9/Sep/2016. Population update. Data source:KBC.
18/Jul/2016: Population updte. Data source: KBC
15/Jun/2016: Population update. Data source: monthly report by KBC
12/May/2016. Population update. Data source: KBC
28/Jan/2016. Population update. Data source: KBC
2/Dec/2015. Population update. Data source: KBC
25-Jun-15 Population update. Source: KBC
18-May-15 (Population update by field mission)
Source: CCCM Unit (Hpakant Assessement Mission)</t>
  </si>
  <si>
    <t>Pang Hkawng Yang</t>
  </si>
  <si>
    <t>Update date: 3/Jul/2017. Data source NRC. Distribution for Storm affected villages.</t>
  </si>
  <si>
    <t>3/Jul/2017: Updated NFI distribution. Data source NRC.</t>
  </si>
  <si>
    <t>MMR015CMP248</t>
  </si>
  <si>
    <t>Kyu Sot</t>
  </si>
  <si>
    <t>3/Jul/2017: Added as new camp. Note "As per Ko Sai( UNHCR’s Lashio) data update, we have to close Shwe Myint Thar Monastry camp fron Naumtu and open new camp ( Kyu Sot). The IDPs from the mentioned monastery camp are relocated to Kyu Sot area. The new location is adjacent to old location. You can also take reference from the attached file".
2/June/2017: Changed camp status as "Closed" according to UNHCR_Lashio information.
17-01-2017: New added camp. Missing data will be collected from partners and present in next Report.</t>
  </si>
  <si>
    <t>Lawng Hkang Shait Yang Camp​ ( Lel Pyin)​ </t>
  </si>
  <si>
    <t>SUMIFS(Camplist_HH,Camplist_Township,'NFI Distribution (by Tship)'!$A10,Camplist_Type_Of_Acc,"Camp")</t>
  </si>
  <si>
    <t>11/Jul/2017: Change status to Close as no update available since December 2016</t>
  </si>
  <si>
    <t>11/Jul/2017: Change status to Close as no update available since June 2014
Geo-Info, HH/Pop data was updated from Google Earth.</t>
  </si>
  <si>
    <t>11/Jul/17: Change status to Close as no update available.</t>
  </si>
  <si>
    <t>11/Jul/2017: Change status to Close as no update available since June/2017.
Geo-Info, HH/Pop data was updated from Google Earth.</t>
  </si>
  <si>
    <t>11/Jul/2017: Change status to Close as no update available since Jan/2017.
Update from OCHA Data (2 Jan 2014)</t>
  </si>
  <si>
    <t>No update information</t>
  </si>
  <si>
    <t>11/Jul/2017: Not updated due to lack of access.
New host families.</t>
  </si>
  <si>
    <t>11/Jul/2017: Closed camp. No update information since Nov 2015.
9/Nov/2015. Population update. Data source: mail from WFP.
New added Boarding School</t>
  </si>
  <si>
    <t>11/Jul/2017: Not  updated since Mar/2014.
Change to Host Families.</t>
  </si>
  <si>
    <t>11/Jul/2017: Updated from UNOCHA, visited on March 2017 
9/Nov/15. New added camp. Data source: UNHCR CCCM officer NSS mission 8-12 July 2015.</t>
  </si>
  <si>
    <t>11/Jul/2017: Camp status change into closed. KBC said Camp will be combine with Nam Sa Larp. DATA Source: KBC
25/Jul/2016: Added as new camp according to KBC data. Data was given by Jade</t>
  </si>
  <si>
    <t>11/Jul/2017: No update information since Jul/2016
25/Jul/2016: Added as new camp according to KBC data. Data was given by Jade</t>
  </si>
  <si>
    <t xml:space="preserve">11/Jul/2017: No update information since Jul/2016
25/Jul/2016: Added as new camp according to KBC data. </t>
  </si>
  <si>
    <t>11/Jul/2017: Change status to Close as no update available.</t>
  </si>
  <si>
    <t>11/Jul/2017: Closed camp. No update information.
25-Jun-2015 (New host families. Source: RRD)</t>
  </si>
  <si>
    <t>11/Jul/2017: Change status into closed: Data source: KBC
25/Jul/2016: Added as new camp according to KBC data. Data was given by Jade</t>
  </si>
  <si>
    <t>11/Jul/2017: Change status to Close as no update available
Geo-Info, HH/Pop data was updated from Google Earth.</t>
  </si>
  <si>
    <t>HH Covered2</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</si>
</sst>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_(* \(#,##0.00\);_(* &quot;-&quot;??_);_(@_)"/>
    <numFmt numFmtId="164" formatCode="_-* #,##0.00_-;\-* #,##0.00_-;_-* &quot;-&quot;??_-;_-@_-"/>
    <numFmt numFmtId="165" formatCode="_-* #,##0_-;\-* #,##0_-;_-* &quot;-&quot;??_-;_-@_-"/>
    <numFmt numFmtId="166" formatCode="[$-409]d/mmm/yyyy;@"/>
    <numFmt numFmtId="167" formatCode="[$-409]dd\-mmm\-yy;@"/>
    <numFmt numFmtId="168" formatCode="_(* #,##0_);_(* \(#,##0\);_(* &quot;-&quot;??_);_(@_)"/>
    <numFmt numFmtId="169" formatCode="dd\-mmm\-yyyy"/>
    <numFmt numFmtId="170" formatCode="0.0"/>
    <numFmt numFmtId="171" formatCode="0.00000"/>
    <numFmt numFmtId="172" formatCode="0.000"/>
    <numFmt numFmtId="173" formatCode="[$-409]d\-mmm\-yy;@"/>
    <numFmt numFmtId="174" formatCode="[$-409]d/mmm/yy;@"/>
  </numFmts>
  <fonts count="79" x14ac:knownFonts="1">
    <font>
      <sz val="11"/>
      <color theme="1"/>
      <name val="Calibri"/>
      <family val="2"/>
      <scheme val="minor"/>
    </font>
    <font>
      <sz val="10"/>
      <color indexed="8"/>
      <name val="Arial"/>
      <family val="2"/>
    </font>
    <font>
      <sz val="11"/>
      <color theme="1"/>
      <name val="Calibri"/>
      <family val="2"/>
      <scheme val="minor"/>
    </font>
    <font>
      <b/>
      <sz val="11"/>
      <color theme="1"/>
      <name val="Calibri"/>
      <family val="2"/>
      <scheme val="minor"/>
    </font>
    <font>
      <sz val="10"/>
      <color theme="1"/>
      <name val="Calibri"/>
      <family val="2"/>
      <scheme val="minor"/>
    </font>
    <font>
      <sz val="11"/>
      <color rgb="FFFF0000"/>
      <name val="Calibri"/>
      <family val="2"/>
      <scheme val="minor"/>
    </font>
    <font>
      <sz val="14"/>
      <color theme="0"/>
      <name val="Calibri"/>
      <family val="2"/>
      <scheme val="minor"/>
    </font>
    <font>
      <u/>
      <sz val="11"/>
      <color theme="10"/>
      <name val="Calibri"/>
      <family val="2"/>
      <scheme val="minor"/>
    </font>
    <font>
      <sz val="28"/>
      <name val="Calibri"/>
      <family val="2"/>
      <scheme val="minor"/>
    </font>
    <font>
      <b/>
      <sz val="28"/>
      <name val="Calibri"/>
      <family val="2"/>
      <scheme val="minor"/>
    </font>
    <font>
      <sz val="28"/>
      <color theme="1"/>
      <name val="Calibri"/>
      <family val="2"/>
      <scheme val="minor"/>
    </font>
    <font>
      <sz val="11"/>
      <name val="Calibri"/>
      <family val="2"/>
      <scheme val="minor"/>
    </font>
    <font>
      <b/>
      <sz val="10"/>
      <name val="Calibri"/>
      <family val="2"/>
      <scheme val="minor"/>
    </font>
    <font>
      <b/>
      <sz val="11"/>
      <color rgb="FFFA7D00"/>
      <name val="Calibri"/>
      <family val="2"/>
      <scheme val="minor"/>
    </font>
    <font>
      <b/>
      <sz val="11"/>
      <color theme="0"/>
      <name val="Calibri"/>
      <family val="2"/>
      <scheme val="minor"/>
    </font>
    <font>
      <b/>
      <sz val="11"/>
      <name val="Calibri"/>
      <family val="2"/>
      <scheme val="minor"/>
    </font>
    <font>
      <b/>
      <sz val="12"/>
      <color theme="1"/>
      <name val="Calibri"/>
      <family val="2"/>
      <scheme val="minor"/>
    </font>
    <font>
      <sz val="12"/>
      <color theme="1"/>
      <name val="Calibri"/>
      <family val="2"/>
      <scheme val="minor"/>
    </font>
    <font>
      <sz val="11"/>
      <name val="Calibri"/>
      <family val="2"/>
    </font>
    <font>
      <b/>
      <sz val="16"/>
      <color indexed="8"/>
      <name val="Calibri"/>
      <family val="2"/>
    </font>
    <font>
      <sz val="10"/>
      <name val="MS Sans Serif"/>
      <family val="2"/>
    </font>
    <font>
      <b/>
      <sz val="24"/>
      <color theme="1"/>
      <name val="Calibri"/>
      <family val="2"/>
      <scheme val="minor"/>
    </font>
    <font>
      <sz val="24"/>
      <color theme="1"/>
      <name val="Calibri"/>
      <family val="2"/>
      <scheme val="minor"/>
    </font>
    <font>
      <b/>
      <sz val="28"/>
      <color theme="4" tint="0.79998168889431442"/>
      <name val="Calibri"/>
      <family val="2"/>
      <scheme val="minor"/>
    </font>
    <font>
      <b/>
      <sz val="12"/>
      <name val="Calibri"/>
      <family val="2"/>
      <scheme val="minor"/>
    </font>
    <font>
      <sz val="11"/>
      <color theme="0" tint="-4.9989318521683403E-2"/>
      <name val="Calibri"/>
      <family val="2"/>
      <scheme val="minor"/>
    </font>
    <font>
      <sz val="9"/>
      <color theme="1"/>
      <name val="Calibri"/>
      <family val="2"/>
      <scheme val="minor"/>
    </font>
    <font>
      <sz val="10"/>
      <name val="Arial"/>
      <family val="2"/>
    </font>
    <font>
      <sz val="10"/>
      <name val="Calibri"/>
      <family val="2"/>
      <scheme val="minor"/>
    </font>
    <font>
      <b/>
      <sz val="9"/>
      <color theme="1"/>
      <name val="Calibri"/>
      <family val="2"/>
      <scheme val="minor"/>
    </font>
    <font>
      <b/>
      <sz val="20"/>
      <name val="Calibri"/>
      <family val="2"/>
      <scheme val="minor"/>
    </font>
    <font>
      <b/>
      <sz val="26"/>
      <name val="Calibri"/>
      <family val="2"/>
      <scheme val="minor"/>
    </font>
    <font>
      <sz val="8"/>
      <color rgb="FF000000"/>
      <name val="Tahoma"/>
      <family val="2"/>
    </font>
    <font>
      <b/>
      <sz val="16"/>
      <name val="Calibri"/>
      <family val="2"/>
      <scheme val="minor"/>
    </font>
    <font>
      <b/>
      <sz val="9"/>
      <color indexed="9"/>
      <name val="Calibri"/>
      <family val="2"/>
    </font>
    <font>
      <sz val="9"/>
      <name val="Calibri"/>
      <family val="2"/>
    </font>
    <font>
      <sz val="11"/>
      <color theme="2"/>
      <name val="Calibri"/>
      <family val="2"/>
      <scheme val="minor"/>
    </font>
    <font>
      <b/>
      <sz val="18"/>
      <color rgb="FF000000"/>
      <name val="Calibri"/>
      <family val="2"/>
      <scheme val="minor"/>
    </font>
    <font>
      <b/>
      <sz val="10"/>
      <color theme="8" tint="0.79998168889431442"/>
      <name val="Calibri"/>
      <family val="2"/>
      <scheme val="minor"/>
    </font>
    <font>
      <sz val="10"/>
      <color rgb="FFFF0000"/>
      <name val="Calibri"/>
      <family val="2"/>
      <scheme val="minor"/>
    </font>
    <font>
      <sz val="8"/>
      <color theme="0"/>
      <name val="Calibri"/>
      <family val="2"/>
      <scheme val="minor"/>
    </font>
    <font>
      <b/>
      <sz val="22"/>
      <name val="Calibri"/>
      <family val="2"/>
      <scheme val="minor"/>
    </font>
    <font>
      <sz val="22"/>
      <color theme="1"/>
      <name val="Calibri"/>
      <family val="2"/>
      <scheme val="minor"/>
    </font>
    <font>
      <sz val="22"/>
      <name val="Calibri"/>
      <family val="2"/>
      <scheme val="minor"/>
    </font>
    <font>
      <b/>
      <sz val="10"/>
      <name val="Arial"/>
      <family val="2"/>
    </font>
    <font>
      <sz val="11"/>
      <color indexed="8"/>
      <name val="Calibri"/>
      <family val="2"/>
      <scheme val="minor"/>
    </font>
    <font>
      <b/>
      <sz val="16"/>
      <color theme="1"/>
      <name val="Calibri"/>
      <family val="2"/>
      <scheme val="minor"/>
    </font>
    <font>
      <sz val="16"/>
      <color theme="1"/>
      <name val="Calibri"/>
      <family val="2"/>
      <scheme val="minor"/>
    </font>
    <font>
      <sz val="16"/>
      <color rgb="FF000000"/>
      <name val="Calibri"/>
      <family val="2"/>
    </font>
    <font>
      <b/>
      <sz val="16"/>
      <name val="Calibri"/>
      <family val="2"/>
    </font>
    <font>
      <b/>
      <sz val="18"/>
      <name val="Calibri"/>
      <family val="2"/>
      <scheme val="minor"/>
    </font>
    <font>
      <b/>
      <sz val="8"/>
      <name val="Calibri"/>
      <family val="2"/>
    </font>
    <font>
      <b/>
      <sz val="8"/>
      <color indexed="9"/>
      <name val="Calibri"/>
      <family val="2"/>
    </font>
    <font>
      <b/>
      <sz val="8"/>
      <color indexed="8"/>
      <name val="Calibri"/>
      <family val="2"/>
    </font>
    <font>
      <sz val="8"/>
      <color indexed="8"/>
      <name val="Calibri"/>
      <family val="2"/>
    </font>
    <font>
      <sz val="8"/>
      <name val="Calibri"/>
      <family val="2"/>
    </font>
    <font>
      <sz val="11"/>
      <color theme="0"/>
      <name val="Calibri"/>
      <family val="2"/>
      <scheme val="minor"/>
    </font>
    <font>
      <b/>
      <sz val="14"/>
      <name val="Calibri"/>
      <family val="2"/>
      <scheme val="minor"/>
    </font>
    <font>
      <i/>
      <sz val="10"/>
      <name val="Calibri"/>
      <family val="2"/>
      <scheme val="minor"/>
    </font>
    <font>
      <sz val="11"/>
      <name val="Calibri"/>
      <family val="2"/>
      <scheme val="minor"/>
    </font>
    <font>
      <sz val="11"/>
      <color theme="1"/>
      <name val="Calibri"/>
      <family val="2"/>
      <scheme val="minor"/>
    </font>
    <font>
      <sz val="11"/>
      <color theme="1"/>
      <name val="Calibri"/>
      <family val="2"/>
      <scheme val="minor"/>
    </font>
    <font>
      <sz val="11"/>
      <name val="Calibri"/>
      <family val="2"/>
      <scheme val="minor"/>
    </font>
    <font>
      <b/>
      <sz val="9"/>
      <name val="Calibri"/>
      <family val="2"/>
      <scheme val="minor"/>
    </font>
    <font>
      <b/>
      <sz val="10"/>
      <color theme="1"/>
      <name val="Calibri"/>
      <family val="2"/>
      <scheme val="minor"/>
    </font>
    <font>
      <sz val="10"/>
      <name val="Verdana"/>
      <family val="2"/>
    </font>
    <font>
      <sz val="11"/>
      <color indexed="8"/>
      <name val="Calibri"/>
      <family val="2"/>
    </font>
    <font>
      <b/>
      <sz val="28"/>
      <color theme="0"/>
      <name val="Calibri"/>
      <family val="2"/>
      <scheme val="minor"/>
    </font>
    <font>
      <sz val="24"/>
      <name val="Calibri"/>
      <family val="2"/>
      <scheme val="minor"/>
    </font>
    <font>
      <sz val="16"/>
      <color theme="1"/>
      <name val="Calibri"/>
      <family val="2"/>
      <scheme val="minor"/>
    </font>
    <font>
      <b/>
      <sz val="16"/>
      <color theme="1"/>
      <name val="Calibri"/>
      <family val="2"/>
      <scheme val="minor"/>
    </font>
    <font>
      <sz val="16"/>
      <color rgb="FF000000"/>
      <name val="Calibri"/>
      <family val="2"/>
    </font>
    <font>
      <i/>
      <sz val="11"/>
      <color theme="1"/>
      <name val="Calibri"/>
      <family val="2"/>
      <scheme val="minor"/>
    </font>
    <font>
      <sz val="11"/>
      <color theme="1"/>
      <name val="Calibri"/>
      <family val="2"/>
      <scheme val="minor"/>
    </font>
    <font>
      <sz val="11"/>
      <name val="Calibri"/>
      <family val="2"/>
      <scheme val="minor"/>
    </font>
    <font>
      <sz val="12"/>
      <color rgb="FF212121"/>
      <name val="Calibri"/>
      <family val="2"/>
      <scheme val="minor"/>
    </font>
    <font>
      <sz val="12"/>
      <color rgb="FF000000"/>
      <name val="Calibri"/>
      <family val="2"/>
      <scheme val="minor"/>
    </font>
    <font>
      <sz val="10"/>
      <name val="Calibri"/>
      <family val="2"/>
      <scheme val="minor"/>
    </font>
    <font>
      <sz val="9"/>
      <color theme="0"/>
      <name val="Calibri"/>
      <family val="2"/>
      <scheme val="minor"/>
    </font>
  </fonts>
  <fills count="4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2F2F2"/>
      </patternFill>
    </fill>
    <fill>
      <patternFill patternType="solid">
        <fgColor theme="2"/>
        <bgColor indexed="64"/>
      </patternFill>
    </fill>
    <fill>
      <patternFill patternType="solid">
        <fgColor theme="4"/>
        <bgColor indexed="64"/>
      </patternFill>
    </fill>
    <fill>
      <patternFill patternType="solid">
        <fgColor rgb="FF92D050"/>
        <bgColor indexed="64"/>
      </patternFill>
    </fill>
    <fill>
      <patternFill patternType="solid">
        <fgColor theme="6" tint="0.79998168889431442"/>
        <bgColor indexed="64"/>
      </patternFill>
    </fill>
    <fill>
      <patternFill patternType="solid">
        <fgColor rgb="FF0070C0"/>
        <bgColor indexed="64"/>
      </patternFill>
    </fill>
    <fill>
      <patternFill patternType="solid">
        <fgColor rgb="FFFF0000"/>
        <bgColor indexed="64"/>
      </patternFill>
    </fill>
    <fill>
      <patternFill patternType="solid">
        <fgColor indexed="9"/>
        <bgColor indexed="64"/>
      </patternFill>
    </fill>
    <fill>
      <patternFill patternType="solid">
        <fgColor indexed="22"/>
        <bgColor indexed="64"/>
      </patternFill>
    </fill>
    <fill>
      <patternFill patternType="solid">
        <fgColor indexed="16"/>
        <bgColor indexed="64"/>
      </patternFill>
    </fill>
    <fill>
      <patternFill patternType="solid">
        <fgColor indexed="11"/>
        <bgColor indexed="64"/>
      </patternFill>
    </fill>
    <fill>
      <patternFill patternType="solid">
        <fgColor indexed="44"/>
        <bgColor indexed="64"/>
      </patternFill>
    </fill>
    <fill>
      <patternFill patternType="solid">
        <fgColor indexed="10"/>
        <bgColor indexed="64"/>
      </patternFill>
    </fill>
    <fill>
      <patternFill patternType="solid">
        <fgColor indexed="51"/>
        <bgColor indexed="64"/>
      </patternFill>
    </fill>
    <fill>
      <patternFill patternType="solid">
        <fgColor theme="0" tint="-0.34998626667073579"/>
        <bgColor indexed="64"/>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theme="0" tint="-0.249977111117893"/>
        <bgColor indexed="64"/>
      </patternFill>
    </fill>
    <fill>
      <patternFill patternType="solid">
        <fgColor rgb="FFFFEB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800"/>
        <bgColor indexed="64"/>
      </patternFill>
    </fill>
    <fill>
      <patternFill patternType="solid">
        <fgColor theme="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DCE6F1"/>
        <bgColor indexed="64"/>
      </patternFill>
    </fill>
    <fill>
      <patternFill patternType="solid">
        <fgColor theme="0" tint="-0.14999847407452621"/>
        <bgColor indexed="64"/>
      </patternFill>
    </fill>
    <fill>
      <patternFill patternType="solid">
        <fgColor rgb="FFFD2361"/>
        <bgColor indexed="64"/>
      </patternFill>
    </fill>
    <fill>
      <patternFill patternType="solid">
        <fgColor rgb="FFFFFFFF"/>
        <bgColor indexed="64"/>
      </patternFill>
    </fill>
    <fill>
      <patternFill patternType="solid">
        <fgColor theme="0"/>
        <bgColor theme="4" tint="0.79998168889431442"/>
      </patternFill>
    </fill>
    <fill>
      <patternFill patternType="solid">
        <fgColor theme="5" tint="0.39997558519241921"/>
        <bgColor theme="5"/>
      </patternFill>
    </fill>
    <fill>
      <patternFill patternType="solid">
        <fgColor theme="4" tint="0.79998168889431442"/>
        <bgColor theme="4" tint="0.79998168889431442"/>
      </patternFill>
    </fill>
    <fill>
      <patternFill patternType="solid">
        <fgColor rgb="FF00B050"/>
        <bgColor indexed="64"/>
      </patternFill>
    </fill>
    <fill>
      <patternFill patternType="solid">
        <fgColor rgb="FFC000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dotted">
        <color indexed="64"/>
      </left>
      <right style="dotted">
        <color indexed="64"/>
      </right>
      <top/>
      <bottom style="dotted">
        <color indexed="64"/>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tted">
        <color indexed="64"/>
      </right>
      <top style="dotted">
        <color indexed="64"/>
      </top>
      <bottom style="dotted">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theme="4" tint="0.39997558519241921"/>
      </top>
      <bottom style="thin">
        <color theme="4" tint="0.39997558519241921"/>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0">
    <xf numFmtId="0" fontId="0" fillId="0" borderId="0"/>
    <xf numFmtId="43" fontId="2" fillId="0" borderId="0" applyFont="0" applyFill="0" applyBorder="0" applyAlignment="0" applyProtection="0"/>
    <xf numFmtId="0" fontId="2" fillId="0" borderId="0"/>
    <xf numFmtId="0" fontId="2" fillId="0" borderId="0"/>
    <xf numFmtId="0" fontId="2" fillId="0" borderId="0"/>
    <xf numFmtId="0" fontId="1" fillId="0" borderId="0"/>
    <xf numFmtId="0" fontId="7" fillId="0" borderId="0" applyNumberForma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3" fillId="14" borderId="7" applyNumberFormat="0" applyAlignment="0" applyProtection="0"/>
    <xf numFmtId="164" fontId="20" fillId="0" borderId="0" applyFont="0" applyFill="0" applyBorder="0" applyAlignment="0" applyProtection="0"/>
    <xf numFmtId="0" fontId="27" fillId="0" borderId="0"/>
    <xf numFmtId="0" fontId="1" fillId="0" borderId="0"/>
    <xf numFmtId="167" fontId="2" fillId="0" borderId="0"/>
    <xf numFmtId="0" fontId="1" fillId="0" borderId="0"/>
    <xf numFmtId="0" fontId="1" fillId="0" borderId="0"/>
    <xf numFmtId="43" fontId="2" fillId="0" borderId="0" applyFont="0" applyFill="0" applyBorder="0" applyAlignment="0" applyProtection="0"/>
    <xf numFmtId="164" fontId="2" fillId="0" borderId="0" applyFont="0" applyFill="0" applyBorder="0" applyAlignment="0" applyProtection="0"/>
    <xf numFmtId="0" fontId="1" fillId="0" borderId="0"/>
    <xf numFmtId="0" fontId="1" fillId="0" borderId="0"/>
  </cellStyleXfs>
  <cellXfs count="1013">
    <xf numFmtId="0" fontId="0" fillId="0" borderId="0" xfId="0"/>
    <xf numFmtId="0" fontId="0" fillId="0" borderId="0" xfId="0" applyBorder="1"/>
    <xf numFmtId="0" fontId="5" fillId="0" borderId="0" xfId="0" applyFont="1"/>
    <xf numFmtId="0" fontId="0" fillId="0" borderId="0" xfId="0" applyNumberFormat="1"/>
    <xf numFmtId="0" fontId="0" fillId="0" borderId="0" xfId="0" applyFill="1"/>
    <xf numFmtId="0" fontId="0" fillId="10" borderId="0" xfId="0" applyFill="1"/>
    <xf numFmtId="0" fontId="12" fillId="11" borderId="1" xfId="0" applyFont="1" applyFill="1" applyBorder="1" applyAlignment="1">
      <alignment horizontal="center" vertical="center" wrapText="1"/>
    </xf>
    <xf numFmtId="0" fontId="0" fillId="0" borderId="6" xfId="0" applyBorder="1"/>
    <xf numFmtId="0" fontId="0" fillId="0" borderId="6" xfId="0" quotePrefix="1" applyBorder="1"/>
    <xf numFmtId="0" fontId="3" fillId="11" borderId="1" xfId="0" applyFont="1" applyFill="1" applyBorder="1"/>
    <xf numFmtId="0" fontId="0" fillId="15" borderId="0" xfId="0" applyFill="1"/>
    <xf numFmtId="0" fontId="12" fillId="7" borderId="1" xfId="0" applyFont="1" applyFill="1" applyBorder="1" applyAlignment="1">
      <alignment horizontal="center" vertical="center" wrapText="1"/>
    </xf>
    <xf numFmtId="0" fontId="0" fillId="7" borderId="6" xfId="0" quotePrefix="1" applyFill="1" applyBorder="1"/>
    <xf numFmtId="0" fontId="3" fillId="7" borderId="1" xfId="0" applyFont="1" applyFill="1" applyBorder="1"/>
    <xf numFmtId="0" fontId="0" fillId="7" borderId="6" xfId="0" applyFill="1" applyBorder="1"/>
    <xf numFmtId="0" fontId="0" fillId="0" borderId="0" xfId="0" applyFill="1" applyBorder="1"/>
    <xf numFmtId="0" fontId="0" fillId="0" borderId="1" xfId="0" applyFill="1" applyBorder="1"/>
    <xf numFmtId="0" fontId="0" fillId="0" borderId="0" xfId="0" applyAlignment="1">
      <alignment horizontal="left"/>
    </xf>
    <xf numFmtId="0" fontId="0" fillId="0" borderId="1" xfId="0" applyBorder="1"/>
    <xf numFmtId="0" fontId="0" fillId="7" borderId="1" xfId="0" applyFill="1" applyBorder="1" applyAlignment="1">
      <alignment horizontal="center"/>
    </xf>
    <xf numFmtId="0" fontId="0" fillId="3" borderId="1" xfId="0" applyFill="1" applyBorder="1" applyAlignment="1">
      <alignment horizontal="center"/>
    </xf>
    <xf numFmtId="0" fontId="0" fillId="17" borderId="1" xfId="0" applyFill="1" applyBorder="1" applyAlignment="1">
      <alignment horizontal="center"/>
    </xf>
    <xf numFmtId="0" fontId="0" fillId="18" borderId="0" xfId="0" applyFill="1"/>
    <xf numFmtId="0" fontId="3" fillId="18" borderId="0" xfId="0" applyFont="1" applyFill="1"/>
    <xf numFmtId="165" fontId="0" fillId="0" borderId="1" xfId="7" quotePrefix="1" applyNumberFormat="1" applyFont="1" applyBorder="1"/>
    <xf numFmtId="1" fontId="0" fillId="0" borderId="0" xfId="0" applyNumberFormat="1"/>
    <xf numFmtId="0" fontId="0" fillId="0" borderId="0" xfId="0"/>
    <xf numFmtId="0" fontId="0" fillId="21" borderId="0" xfId="0" applyFill="1"/>
    <xf numFmtId="0" fontId="0" fillId="10" borderId="0" xfId="0" applyFill="1" applyBorder="1"/>
    <xf numFmtId="0" fontId="0" fillId="0" borderId="0" xfId="0"/>
    <xf numFmtId="0" fontId="0" fillId="0" borderId="0" xfId="0"/>
    <xf numFmtId="0" fontId="0" fillId="0" borderId="0" xfId="0" applyAlignment="1">
      <alignment textRotation="90"/>
    </xf>
    <xf numFmtId="0" fontId="8" fillId="0" borderId="0" xfId="6" applyFont="1" applyFill="1" applyBorder="1" applyAlignment="1">
      <alignment horizontal="center" vertical="center"/>
    </xf>
    <xf numFmtId="0" fontId="0" fillId="0" borderId="0" xfId="0" applyNumberFormat="1" applyBorder="1"/>
    <xf numFmtId="0" fontId="11" fillId="0" borderId="0" xfId="0" applyFont="1"/>
    <xf numFmtId="0" fontId="0" fillId="0" borderId="15" xfId="0" applyBorder="1"/>
    <xf numFmtId="0" fontId="0" fillId="0" borderId="16" xfId="0" applyBorder="1"/>
    <xf numFmtId="0" fontId="0" fillId="0" borderId="0" xfId="0"/>
    <xf numFmtId="0" fontId="0" fillId="0" borderId="0" xfId="0"/>
    <xf numFmtId="165" fontId="0" fillId="0" borderId="1" xfId="7" applyNumberFormat="1" applyFont="1" applyBorder="1"/>
    <xf numFmtId="0" fontId="21" fillId="13" borderId="0" xfId="0" applyFont="1" applyFill="1"/>
    <xf numFmtId="0" fontId="0" fillId="13" borderId="0" xfId="0" applyFill="1"/>
    <xf numFmtId="0" fontId="22" fillId="13" borderId="0" xfId="0" applyFont="1" applyFill="1"/>
    <xf numFmtId="0" fontId="9" fillId="11" borderId="0" xfId="6" applyFont="1" applyFill="1" applyBorder="1" applyAlignment="1">
      <alignment vertical="center"/>
    </xf>
    <xf numFmtId="0" fontId="5" fillId="0" borderId="0" xfId="0" applyFont="1" applyBorder="1"/>
    <xf numFmtId="0" fontId="5" fillId="0" borderId="0" xfId="0" applyFont="1" applyFill="1" applyBorder="1"/>
    <xf numFmtId="0" fontId="24" fillId="0" borderId="0" xfId="6" applyFont="1" applyFill="1" applyBorder="1" applyAlignment="1">
      <alignment horizontal="left" vertical="center"/>
    </xf>
    <xf numFmtId="0" fontId="7" fillId="17" borderId="1" xfId="6" applyFill="1" applyBorder="1" applyAlignment="1">
      <alignment horizontal="center"/>
    </xf>
    <xf numFmtId="0" fontId="25" fillId="18" borderId="0" xfId="0" applyFont="1" applyFill="1"/>
    <xf numFmtId="17" fontId="0" fillId="10" borderId="0" xfId="0" applyNumberFormat="1" applyFill="1"/>
    <xf numFmtId="9" fontId="0" fillId="0" borderId="0" xfId="0" applyNumberFormat="1" applyFill="1" applyBorder="1"/>
    <xf numFmtId="9" fontId="0" fillId="0" borderId="0" xfId="8" applyFont="1" applyFill="1" applyBorder="1"/>
    <xf numFmtId="0" fontId="0" fillId="0" borderId="0" xfId="0" applyFont="1" applyFill="1" applyBorder="1"/>
    <xf numFmtId="9" fontId="26" fillId="0" borderId="0" xfId="8" applyNumberFormat="1" applyFont="1" applyFill="1"/>
    <xf numFmtId="0" fontId="4" fillId="0" borderId="0" xfId="0" applyFont="1" applyFill="1" applyBorder="1"/>
    <xf numFmtId="2" fontId="4" fillId="0" borderId="0" xfId="0" applyNumberFormat="1" applyFont="1" applyFill="1" applyBorder="1"/>
    <xf numFmtId="165" fontId="4" fillId="0" borderId="0" xfId="0" applyNumberFormat="1" applyFont="1" applyFill="1" applyBorder="1"/>
    <xf numFmtId="0" fontId="4" fillId="0" borderId="0" xfId="0" applyNumberFormat="1" applyFont="1" applyFill="1" applyBorder="1"/>
    <xf numFmtId="9" fontId="4" fillId="0" borderId="0" xfId="0" applyNumberFormat="1" applyFont="1" applyFill="1" applyBorder="1"/>
    <xf numFmtId="9" fontId="0" fillId="0" borderId="0" xfId="0" applyNumberFormat="1" applyFont="1" applyFill="1" applyBorder="1"/>
    <xf numFmtId="0" fontId="3" fillId="0" borderId="0" xfId="0" applyNumberFormat="1" applyFont="1" applyFill="1" applyBorder="1"/>
    <xf numFmtId="1" fontId="3" fillId="0" borderId="0" xfId="0" applyNumberFormat="1" applyFont="1" applyFill="1" applyBorder="1"/>
    <xf numFmtId="0" fontId="0" fillId="0" borderId="0" xfId="0"/>
    <xf numFmtId="0" fontId="31" fillId="11" borderId="0" xfId="6" applyFont="1" applyFill="1" applyBorder="1" applyAlignment="1">
      <alignment vertical="center"/>
    </xf>
    <xf numFmtId="0" fontId="9" fillId="10" borderId="0" xfId="6" applyFont="1" applyFill="1" applyBorder="1" applyAlignment="1">
      <alignment vertical="center"/>
    </xf>
    <xf numFmtId="9" fontId="35" fillId="27" borderId="1" xfId="8" applyFont="1" applyFill="1" applyBorder="1"/>
    <xf numFmtId="165" fontId="35" fillId="0" borderId="1" xfId="10" applyNumberFormat="1" applyFont="1" applyBorder="1"/>
    <xf numFmtId="165" fontId="35" fillId="0" borderId="1" xfId="0" applyNumberFormat="1" applyFont="1" applyBorder="1"/>
    <xf numFmtId="9" fontId="35" fillId="26" borderId="1" xfId="8" applyFont="1" applyFill="1" applyBorder="1"/>
    <xf numFmtId="0" fontId="36" fillId="18" borderId="0" xfId="0" applyFont="1" applyFill="1"/>
    <xf numFmtId="0" fontId="12" fillId="11" borderId="3"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0" fillId="0" borderId="0" xfId="0" applyFill="1" applyBorder="1" applyAlignment="1">
      <alignment horizontal="left" vertical="center"/>
    </xf>
    <xf numFmtId="0" fontId="0" fillId="0" borderId="34" xfId="0" quotePrefix="1" applyBorder="1"/>
    <xf numFmtId="0" fontId="3" fillId="11" borderId="3" xfId="0" applyFont="1" applyFill="1" applyBorder="1"/>
    <xf numFmtId="0" fontId="12" fillId="11" borderId="37" xfId="0"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0" fillId="0" borderId="38" xfId="0" applyBorder="1"/>
    <xf numFmtId="0" fontId="3" fillId="11" borderId="32" xfId="0" applyFont="1" applyFill="1" applyBorder="1"/>
    <xf numFmtId="0" fontId="3" fillId="11" borderId="21" xfId="0" applyFont="1" applyFill="1" applyBorder="1"/>
    <xf numFmtId="0" fontId="3" fillId="11" borderId="22" xfId="0" applyFont="1" applyFill="1" applyBorder="1"/>
    <xf numFmtId="9" fontId="0" fillId="0" borderId="0" xfId="0" applyNumberFormat="1"/>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pplyFill="1" applyBorder="1" applyAlignment="1">
      <alignment horizontal="center" vertical="center"/>
    </xf>
    <xf numFmtId="0" fontId="28" fillId="0" borderId="0" xfId="6" applyFont="1" applyFill="1" applyBorder="1" applyAlignment="1">
      <alignment horizontal="center" vertical="center"/>
    </xf>
    <xf numFmtId="0" fontId="39" fillId="0" borderId="0" xfId="0" applyFont="1" applyFill="1" applyBorder="1" applyAlignment="1">
      <alignment horizontal="center" vertical="center"/>
    </xf>
    <xf numFmtId="0" fontId="4" fillId="28" borderId="0" xfId="0" applyFont="1" applyFill="1" applyAlignment="1">
      <alignment horizontal="center" vertical="center"/>
    </xf>
    <xf numFmtId="0" fontId="0" fillId="0" borderId="0" xfId="0"/>
    <xf numFmtId="0" fontId="0" fillId="0" borderId="0" xfId="0"/>
    <xf numFmtId="0" fontId="12" fillId="11" borderId="2" xfId="0" applyFont="1" applyFill="1" applyBorder="1" applyAlignment="1">
      <alignment horizontal="center" vertical="center" wrapText="1"/>
    </xf>
    <xf numFmtId="0" fontId="12" fillId="11" borderId="8"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5" fillId="0" borderId="0" xfId="0" applyFont="1" applyAlignment="1">
      <alignment horizontal="right"/>
    </xf>
    <xf numFmtId="0" fontId="0" fillId="0" borderId="0" xfId="0" applyFill="1" applyBorder="1" applyAlignment="1">
      <alignment vertical="center"/>
    </xf>
    <xf numFmtId="0" fontId="44" fillId="0" borderId="0" xfId="0" applyFont="1" applyAlignment="1">
      <alignment wrapText="1"/>
    </xf>
    <xf numFmtId="0" fontId="27" fillId="0" borderId="0" xfId="0" applyFont="1" applyAlignment="1">
      <alignment wrapText="1"/>
    </xf>
    <xf numFmtId="0" fontId="0" fillId="0" borderId="0" xfId="0" applyAlignment="1">
      <alignment wrapText="1"/>
    </xf>
    <xf numFmtId="0" fontId="41" fillId="0" borderId="0" xfId="6" applyFont="1" applyFill="1" applyBorder="1" applyAlignment="1">
      <alignment vertical="center"/>
    </xf>
    <xf numFmtId="0" fontId="43" fillId="0" borderId="0" xfId="6" applyFont="1" applyFill="1" applyBorder="1" applyAlignment="1">
      <alignment horizontal="center" vertical="center"/>
    </xf>
    <xf numFmtId="9" fontId="35" fillId="27" borderId="1" xfId="8" applyFont="1" applyFill="1" applyBorder="1" applyAlignment="1">
      <alignment horizontal="center" vertical="top"/>
    </xf>
    <xf numFmtId="0" fontId="34" fillId="26" borderId="1" xfId="0" applyFont="1" applyFill="1" applyBorder="1" applyAlignment="1">
      <alignment horizontal="center" vertical="top" wrapText="1"/>
    </xf>
    <xf numFmtId="0" fontId="11" fillId="0" borderId="1" xfId="0" applyNumberFormat="1" applyFont="1" applyFill="1" applyBorder="1"/>
    <xf numFmtId="0" fontId="11" fillId="0" borderId="1" xfId="0" applyFont="1" applyFill="1" applyBorder="1"/>
    <xf numFmtId="0" fontId="0" fillId="0" borderId="1" xfId="0" applyNumberFormat="1" applyFont="1" applyFill="1" applyBorder="1"/>
    <xf numFmtId="0" fontId="0" fillId="0" borderId="1" xfId="0" applyFont="1" applyFill="1" applyBorder="1"/>
    <xf numFmtId="0" fontId="0" fillId="0" borderId="0" xfId="0" applyAlignment="1">
      <alignment horizontal="center" vertical="center"/>
    </xf>
    <xf numFmtId="0" fontId="3" fillId="11" borderId="0" xfId="0" applyFont="1" applyFill="1" applyBorder="1"/>
    <xf numFmtId="0" fontId="46" fillId="31" borderId="29" xfId="0" applyFont="1" applyFill="1" applyBorder="1"/>
    <xf numFmtId="0" fontId="47" fillId="31" borderId="30" xfId="0" applyFont="1" applyFill="1" applyBorder="1"/>
    <xf numFmtId="0" fontId="46" fillId="31" borderId="27" xfId="0" applyFont="1" applyFill="1" applyBorder="1"/>
    <xf numFmtId="0" fontId="47" fillId="31" borderId="31" xfId="0" applyFont="1" applyFill="1" applyBorder="1"/>
    <xf numFmtId="0" fontId="47" fillId="0" borderId="0" xfId="0" applyFont="1" applyFill="1"/>
    <xf numFmtId="0" fontId="46" fillId="0" borderId="39" xfId="0" applyFont="1" applyFill="1" applyBorder="1"/>
    <xf numFmtId="0" fontId="46" fillId="0" borderId="11" xfId="0" applyFont="1" applyFill="1" applyBorder="1"/>
    <xf numFmtId="0" fontId="46" fillId="0" borderId="40" xfId="0" applyFont="1" applyFill="1" applyBorder="1"/>
    <xf numFmtId="0" fontId="46" fillId="0" borderId="4" xfId="0" applyFont="1" applyFill="1" applyBorder="1"/>
    <xf numFmtId="0" fontId="46" fillId="0" borderId="33" xfId="0" applyFont="1" applyFill="1" applyBorder="1"/>
    <xf numFmtId="0" fontId="46" fillId="0" borderId="41" xfId="0" applyFont="1" applyFill="1" applyBorder="1"/>
    <xf numFmtId="0" fontId="46" fillId="0" borderId="24" xfId="0" applyFont="1" applyFill="1" applyBorder="1"/>
    <xf numFmtId="0" fontId="46" fillId="0" borderId="23" xfId="0" applyFont="1" applyFill="1" applyBorder="1"/>
    <xf numFmtId="0" fontId="46" fillId="0" borderId="26" xfId="0" applyFont="1" applyFill="1" applyBorder="1"/>
    <xf numFmtId="0" fontId="47" fillId="29" borderId="0" xfId="0" applyFont="1" applyFill="1" applyBorder="1"/>
    <xf numFmtId="0" fontId="47" fillId="0" borderId="0" xfId="0" applyFont="1" applyFill="1" applyBorder="1"/>
    <xf numFmtId="165" fontId="47" fillId="0" borderId="0" xfId="7" applyNumberFormat="1" applyFont="1" applyFill="1" applyBorder="1"/>
    <xf numFmtId="0" fontId="47" fillId="0" borderId="0" xfId="0" applyNumberFormat="1" applyFont="1" applyFill="1" applyBorder="1"/>
    <xf numFmtId="9" fontId="47" fillId="0" borderId="0" xfId="8" applyFont="1" applyFill="1" applyBorder="1"/>
    <xf numFmtId="0" fontId="46" fillId="0" borderId="3" xfId="0" applyNumberFormat="1" applyFont="1" applyFill="1" applyBorder="1"/>
    <xf numFmtId="1" fontId="46" fillId="0" borderId="2" xfId="0" applyNumberFormat="1" applyFont="1" applyFill="1" applyBorder="1"/>
    <xf numFmtId="165" fontId="48" fillId="0" borderId="0" xfId="7" applyNumberFormat="1" applyFont="1" applyFill="1" applyBorder="1"/>
    <xf numFmtId="0" fontId="47" fillId="30" borderId="0" xfId="0" applyFont="1" applyFill="1" applyBorder="1"/>
    <xf numFmtId="2" fontId="47" fillId="30" borderId="0" xfId="0" applyNumberFormat="1" applyFont="1" applyFill="1" applyBorder="1"/>
    <xf numFmtId="2" fontId="47" fillId="0" borderId="0" xfId="0" applyNumberFormat="1" applyFont="1" applyFill="1" applyBorder="1"/>
    <xf numFmtId="0" fontId="0" fillId="0" borderId="0" xfId="0" applyFill="1" applyAlignment="1">
      <alignment horizontal="left" vertical="center"/>
    </xf>
    <xf numFmtId="0" fontId="0" fillId="2" borderId="0" xfId="0" applyFill="1" applyBorder="1" applyAlignment="1">
      <alignment vertical="center"/>
    </xf>
    <xf numFmtId="165" fontId="28" fillId="21" borderId="0" xfId="7" applyNumberFormat="1" applyFont="1" applyFill="1"/>
    <xf numFmtId="14" fontId="0" fillId="0" borderId="0" xfId="0" applyNumberFormat="1"/>
    <xf numFmtId="0" fontId="0" fillId="2" borderId="0" xfId="0" applyFill="1"/>
    <xf numFmtId="0" fontId="2" fillId="0" borderId="1" xfId="0" applyFont="1" applyFill="1" applyBorder="1"/>
    <xf numFmtId="0" fontId="2" fillId="0" borderId="1" xfId="0" applyNumberFormat="1" applyFont="1" applyFill="1" applyBorder="1"/>
    <xf numFmtId="170" fontId="0" fillId="0" borderId="0" xfId="0" applyNumberFormat="1" applyFill="1" applyAlignment="1">
      <alignment horizontal="left" vertical="center"/>
    </xf>
    <xf numFmtId="0" fontId="0" fillId="3" borderId="0" xfId="0" applyFill="1" applyBorder="1" applyAlignment="1">
      <alignment vertical="center"/>
    </xf>
    <xf numFmtId="0" fontId="0" fillId="3" borderId="0" xfId="0" applyFill="1" applyBorder="1" applyAlignment="1">
      <alignment horizontal="left" vertical="center"/>
    </xf>
    <xf numFmtId="170" fontId="0" fillId="0" borderId="0" xfId="0" applyNumberFormat="1"/>
    <xf numFmtId="0" fontId="18" fillId="41" borderId="9" xfId="5" applyFont="1" applyFill="1" applyBorder="1" applyAlignment="1">
      <alignment horizontal="left" vertical="top"/>
    </xf>
    <xf numFmtId="0" fontId="11" fillId="41" borderId="0" xfId="0" applyFont="1" applyFill="1" applyAlignment="1">
      <alignment horizontal="left" vertical="top"/>
    </xf>
    <xf numFmtId="0" fontId="18" fillId="41" borderId="11" xfId="5" applyFont="1" applyFill="1" applyBorder="1" applyAlignment="1">
      <alignment horizontal="left" vertical="top"/>
    </xf>
    <xf numFmtId="170" fontId="18" fillId="41" borderId="11" xfId="5" applyNumberFormat="1" applyFont="1" applyFill="1" applyBorder="1" applyAlignment="1">
      <alignment horizontal="left" vertical="top"/>
    </xf>
    <xf numFmtId="0" fontId="51" fillId="22" borderId="1" xfId="0" applyFont="1" applyFill="1" applyBorder="1" applyAlignment="1">
      <alignment horizontal="center" wrapText="1"/>
    </xf>
    <xf numFmtId="0" fontId="51" fillId="22" borderId="1" xfId="0" applyFont="1" applyFill="1" applyBorder="1" applyAlignment="1">
      <alignment horizontal="center" vertical="top" wrapText="1"/>
    </xf>
    <xf numFmtId="0" fontId="52" fillId="23" borderId="1" xfId="0" applyFont="1" applyFill="1" applyBorder="1" applyAlignment="1">
      <alignment horizontal="center" vertical="top" wrapText="1"/>
    </xf>
    <xf numFmtId="0" fontId="51" fillId="24" borderId="1" xfId="0" applyFont="1" applyFill="1" applyBorder="1" applyAlignment="1">
      <alignment horizontal="center" vertical="top" wrapText="1"/>
    </xf>
    <xf numFmtId="0" fontId="51" fillId="25" borderId="1" xfId="0" applyFont="1" applyFill="1" applyBorder="1" applyAlignment="1">
      <alignment horizontal="center" vertical="top" wrapText="1"/>
    </xf>
    <xf numFmtId="0" fontId="52" fillId="26" borderId="1" xfId="0" applyFont="1" applyFill="1" applyBorder="1" applyAlignment="1">
      <alignment horizontal="center" vertical="top" wrapText="1"/>
    </xf>
    <xf numFmtId="0" fontId="53" fillId="0" borderId="1" xfId="0" applyFont="1" applyFill="1" applyBorder="1" applyAlignment="1">
      <alignment horizontal="left"/>
    </xf>
    <xf numFmtId="0" fontId="54" fillId="2" borderId="10" xfId="0" applyFont="1" applyFill="1" applyBorder="1" applyAlignment="1">
      <alignment horizontal="left"/>
    </xf>
    <xf numFmtId="165" fontId="54" fillId="0" borderId="1" xfId="10" applyNumberFormat="1" applyFont="1" applyFill="1" applyBorder="1" applyAlignment="1">
      <alignment horizontal="left"/>
    </xf>
    <xf numFmtId="165" fontId="55" fillId="0" borderId="1" xfId="10" applyNumberFormat="1" applyFont="1" applyBorder="1"/>
    <xf numFmtId="9" fontId="55" fillId="24" borderId="1" xfId="8" applyFont="1" applyFill="1" applyBorder="1"/>
    <xf numFmtId="9" fontId="55" fillId="25" borderId="1" xfId="8" applyFont="1" applyFill="1" applyBorder="1"/>
    <xf numFmtId="9" fontId="55" fillId="26" borderId="1" xfId="8" applyFont="1" applyFill="1" applyBorder="1"/>
    <xf numFmtId="0" fontId="0" fillId="40" borderId="0" xfId="0" applyFill="1" applyBorder="1"/>
    <xf numFmtId="49" fontId="11" fillId="0" borderId="1" xfId="0" applyNumberFormat="1" applyFont="1" applyFill="1" applyBorder="1"/>
    <xf numFmtId="49" fontId="2" fillId="0" borderId="1" xfId="0" applyNumberFormat="1" applyFont="1" applyFill="1" applyBorder="1"/>
    <xf numFmtId="49" fontId="0" fillId="0" borderId="1" xfId="0" applyNumberFormat="1" applyFont="1" applyFill="1" applyBorder="1"/>
    <xf numFmtId="49" fontId="11" fillId="0" borderId="1" xfId="14" applyNumberFormat="1" applyFont="1" applyFill="1" applyBorder="1" applyAlignment="1"/>
    <xf numFmtId="49" fontId="45" fillId="0" borderId="1" xfId="14" applyNumberFormat="1" applyFont="1" applyFill="1" applyBorder="1" applyAlignment="1"/>
    <xf numFmtId="49" fontId="2" fillId="0" borderId="1" xfId="0" applyNumberFormat="1" applyFont="1" applyFill="1" applyBorder="1" applyAlignment="1">
      <alignment horizontal="left" vertical="center"/>
    </xf>
    <xf numFmtId="49" fontId="0" fillId="0" borderId="1" xfId="0" applyNumberFormat="1" applyFont="1" applyFill="1" applyBorder="1" applyAlignment="1">
      <alignment horizontal="left" vertical="center"/>
    </xf>
    <xf numFmtId="0" fontId="11" fillId="0" borderId="1" xfId="14" applyFont="1" applyFill="1" applyBorder="1" applyAlignment="1"/>
    <xf numFmtId="0" fontId="11" fillId="0" borderId="1" xfId="0" applyFont="1" applyFill="1" applyBorder="1" applyAlignment="1">
      <alignment horizontal="left" vertical="center"/>
    </xf>
    <xf numFmtId="17" fontId="3" fillId="10" borderId="0" xfId="0" applyNumberFormat="1" applyFont="1" applyFill="1" applyAlignment="1">
      <alignment horizontal="left"/>
    </xf>
    <xf numFmtId="0" fontId="8" fillId="10" borderId="0" xfId="6" applyFont="1" applyFill="1" applyBorder="1" applyAlignment="1">
      <alignment horizontal="center" vertical="center"/>
    </xf>
    <xf numFmtId="0" fontId="37" fillId="10" borderId="0" xfId="0" applyFont="1" applyFill="1" applyAlignment="1">
      <alignment vertical="center" readingOrder="1"/>
    </xf>
    <xf numFmtId="165" fontId="26" fillId="10" borderId="0" xfId="0" applyNumberFormat="1" applyFont="1" applyFill="1" applyBorder="1"/>
    <xf numFmtId="0" fontId="0" fillId="10" borderId="0" xfId="0" applyFont="1" applyFill="1" applyBorder="1" applyAlignment="1">
      <alignment horizontal="center" vertical="center" wrapText="1"/>
    </xf>
    <xf numFmtId="0" fontId="0" fillId="43" borderId="0" xfId="0" applyFill="1" applyBorder="1"/>
    <xf numFmtId="0" fontId="31" fillId="40" borderId="0" xfId="6" applyFont="1" applyFill="1" applyBorder="1" applyAlignment="1">
      <alignment vertical="center"/>
    </xf>
    <xf numFmtId="0" fontId="0" fillId="40" borderId="42" xfId="0" applyFill="1" applyBorder="1"/>
    <xf numFmtId="0" fontId="0" fillId="40" borderId="25" xfId="0" applyFill="1" applyBorder="1"/>
    <xf numFmtId="0" fontId="0" fillId="40" borderId="39" xfId="0" applyFill="1" applyBorder="1"/>
    <xf numFmtId="0" fontId="31" fillId="40" borderId="43" xfId="6" applyFont="1" applyFill="1" applyBorder="1" applyAlignment="1">
      <alignment vertical="center"/>
    </xf>
    <xf numFmtId="0" fontId="0" fillId="40" borderId="43" xfId="0" applyFill="1" applyBorder="1"/>
    <xf numFmtId="0" fontId="0" fillId="40" borderId="17" xfId="0" applyFill="1" applyBorder="1"/>
    <xf numFmtId="0" fontId="0" fillId="40" borderId="12" xfId="0" applyFill="1" applyBorder="1"/>
    <xf numFmtId="0" fontId="0" fillId="40" borderId="13" xfId="0" applyFill="1" applyBorder="1"/>
    <xf numFmtId="0" fontId="0" fillId="40" borderId="14" xfId="0" applyFill="1" applyBorder="1"/>
    <xf numFmtId="0" fontId="0" fillId="40" borderId="15" xfId="0" applyFill="1" applyBorder="1"/>
    <xf numFmtId="0" fontId="0" fillId="40" borderId="16" xfId="0" applyFill="1" applyBorder="1"/>
    <xf numFmtId="0" fontId="0" fillId="0" borderId="46" xfId="0" applyBorder="1"/>
    <xf numFmtId="0" fontId="0" fillId="0" borderId="47" xfId="0" applyBorder="1"/>
    <xf numFmtId="0" fontId="0" fillId="10" borderId="47" xfId="0" applyFill="1" applyBorder="1"/>
    <xf numFmtId="0" fontId="9" fillId="43" borderId="16" xfId="6" applyFont="1" applyFill="1" applyBorder="1" applyAlignment="1">
      <alignment vertical="center"/>
    </xf>
    <xf numFmtId="0" fontId="9" fillId="40" borderId="0" xfId="6" applyFont="1" applyFill="1" applyBorder="1" applyAlignment="1">
      <alignment vertical="center"/>
    </xf>
    <xf numFmtId="0" fontId="0" fillId="10" borderId="16" xfId="0" applyFill="1" applyBorder="1"/>
    <xf numFmtId="0" fontId="0" fillId="10" borderId="48" xfId="0" applyFill="1" applyBorder="1"/>
    <xf numFmtId="0" fontId="0" fillId="10" borderId="15" xfId="0" applyFill="1" applyBorder="1"/>
    <xf numFmtId="0" fontId="0" fillId="10" borderId="46" xfId="0" applyFill="1" applyBorder="1"/>
    <xf numFmtId="166" fontId="33" fillId="10" borderId="0" xfId="6" applyNumberFormat="1" applyFont="1" applyFill="1" applyBorder="1" applyAlignment="1">
      <alignment horizontal="left" vertical="center"/>
    </xf>
    <xf numFmtId="0" fontId="31" fillId="10" borderId="0" xfId="6" applyFont="1" applyFill="1" applyBorder="1" applyAlignment="1">
      <alignment vertical="center"/>
    </xf>
    <xf numFmtId="0" fontId="9" fillId="0" borderId="0" xfId="6" applyFont="1" applyFill="1" applyBorder="1" applyAlignment="1">
      <alignment vertical="center"/>
    </xf>
    <xf numFmtId="0" fontId="30" fillId="40" borderId="0" xfId="6" applyFont="1" applyFill="1" applyBorder="1" applyAlignment="1">
      <alignment vertical="center"/>
    </xf>
    <xf numFmtId="166" fontId="33" fillId="40" borderId="0" xfId="6" applyNumberFormat="1" applyFont="1" applyFill="1" applyBorder="1" applyAlignment="1">
      <alignment vertical="center"/>
    </xf>
    <xf numFmtId="0" fontId="9" fillId="40" borderId="43" xfId="0" applyFont="1" applyFill="1" applyBorder="1"/>
    <xf numFmtId="0" fontId="11" fillId="40" borderId="43" xfId="0" applyFont="1" applyFill="1" applyBorder="1"/>
    <xf numFmtId="0" fontId="49" fillId="40" borderId="43" xfId="0" applyFont="1" applyFill="1" applyBorder="1" applyAlignment="1"/>
    <xf numFmtId="0" fontId="11" fillId="40" borderId="44" xfId="0" applyFont="1" applyFill="1" applyBorder="1"/>
    <xf numFmtId="0" fontId="11" fillId="40" borderId="45" xfId="0" applyFont="1" applyFill="1" applyBorder="1"/>
    <xf numFmtId="0" fontId="9" fillId="11" borderId="18" xfId="6" applyFont="1" applyFill="1" applyBorder="1" applyAlignment="1">
      <alignment vertical="center"/>
    </xf>
    <xf numFmtId="0" fontId="9" fillId="11" borderId="42" xfId="6" applyFont="1" applyFill="1" applyBorder="1" applyAlignment="1">
      <alignment vertical="center"/>
    </xf>
    <xf numFmtId="0" fontId="9" fillId="11" borderId="25" xfId="6" applyFont="1" applyFill="1" applyBorder="1" applyAlignment="1">
      <alignment vertical="center"/>
    </xf>
    <xf numFmtId="0" fontId="31" fillId="11" borderId="39" xfId="6" applyFont="1" applyFill="1" applyBorder="1" applyAlignment="1">
      <alignment vertical="center"/>
    </xf>
    <xf numFmtId="0" fontId="31" fillId="11" borderId="43" xfId="6" applyFont="1" applyFill="1" applyBorder="1" applyAlignment="1">
      <alignment vertical="center"/>
    </xf>
    <xf numFmtId="0" fontId="31" fillId="11" borderId="17" xfId="6" applyFont="1" applyFill="1" applyBorder="1" applyAlignment="1">
      <alignment vertical="center"/>
    </xf>
    <xf numFmtId="0" fontId="23" fillId="11" borderId="42" xfId="6" applyFont="1" applyFill="1" applyBorder="1" applyAlignment="1">
      <alignment vertical="center"/>
    </xf>
    <xf numFmtId="0" fontId="9" fillId="40" borderId="42" xfId="6" applyFont="1" applyFill="1" applyBorder="1" applyAlignment="1">
      <alignment vertical="center"/>
    </xf>
    <xf numFmtId="0" fontId="12" fillId="11" borderId="42" xfId="6" applyFont="1" applyFill="1" applyBorder="1" applyAlignment="1">
      <alignment horizontal="center" vertical="center"/>
    </xf>
    <xf numFmtId="0" fontId="4" fillId="0" borderId="42" xfId="0" applyFont="1" applyBorder="1" applyAlignment="1">
      <alignment horizontal="center" vertical="center"/>
    </xf>
    <xf numFmtId="0" fontId="4" fillId="0" borderId="43" xfId="0" applyFont="1" applyFill="1" applyBorder="1" applyAlignment="1">
      <alignment horizontal="center" vertical="center"/>
    </xf>
    <xf numFmtId="0" fontId="4" fillId="0" borderId="43" xfId="0" applyFont="1" applyBorder="1" applyAlignment="1">
      <alignment horizontal="center" vertical="center"/>
    </xf>
    <xf numFmtId="0" fontId="9" fillId="11" borderId="39" xfId="6" applyFont="1" applyFill="1" applyBorder="1" applyAlignment="1">
      <alignment vertical="center"/>
    </xf>
    <xf numFmtId="166" fontId="33" fillId="11" borderId="23" xfId="6" applyNumberFormat="1" applyFont="1" applyFill="1" applyBorder="1" applyAlignment="1">
      <alignment horizontal="left" vertical="center"/>
    </xf>
    <xf numFmtId="166" fontId="33" fillId="11" borderId="43" xfId="6" applyNumberFormat="1" applyFont="1" applyFill="1" applyBorder="1" applyAlignment="1">
      <alignment horizontal="left" vertical="center"/>
    </xf>
    <xf numFmtId="0" fontId="8" fillId="40" borderId="43" xfId="6" applyFont="1" applyFill="1" applyBorder="1" applyAlignment="1">
      <alignment horizontal="left" vertical="center"/>
    </xf>
    <xf numFmtId="0" fontId="0" fillId="40" borderId="43" xfId="0" applyFill="1" applyBorder="1" applyAlignment="1">
      <alignment horizontal="left"/>
    </xf>
    <xf numFmtId="0" fontId="8" fillId="40" borderId="17" xfId="6" applyFont="1" applyFill="1" applyBorder="1" applyAlignment="1">
      <alignment horizontal="left" vertical="center"/>
    </xf>
    <xf numFmtId="0" fontId="9" fillId="11" borderId="4" xfId="6" applyFont="1" applyFill="1" applyBorder="1" applyAlignment="1">
      <alignment vertical="center"/>
    </xf>
    <xf numFmtId="166" fontId="57" fillId="11" borderId="23" xfId="6" applyNumberFormat="1" applyFont="1" applyFill="1" applyBorder="1" applyAlignment="1">
      <alignment vertical="center"/>
    </xf>
    <xf numFmtId="166" fontId="33" fillId="11" borderId="43" xfId="6" applyNumberFormat="1" applyFont="1" applyFill="1" applyBorder="1" applyAlignment="1">
      <alignment vertical="center"/>
    </xf>
    <xf numFmtId="0" fontId="8" fillId="40" borderId="17" xfId="6" applyFont="1" applyFill="1" applyBorder="1" applyAlignment="1">
      <alignment horizontal="center" vertical="center"/>
    </xf>
    <xf numFmtId="0" fontId="12" fillId="11" borderId="36"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0" fillId="0" borderId="25" xfId="0" applyBorder="1"/>
    <xf numFmtId="0" fontId="9" fillId="40" borderId="18" xfId="6" applyFont="1" applyFill="1" applyBorder="1" applyAlignment="1">
      <alignment vertical="center"/>
    </xf>
    <xf numFmtId="0" fontId="0" fillId="0" borderId="3" xfId="0" applyBorder="1"/>
    <xf numFmtId="0" fontId="0" fillId="40" borderId="3" xfId="0" applyFill="1" applyBorder="1"/>
    <xf numFmtId="0" fontId="0" fillId="43" borderId="0" xfId="0" applyFill="1"/>
    <xf numFmtId="0" fontId="5" fillId="43" borderId="0" xfId="0" applyFont="1" applyFill="1" applyBorder="1"/>
    <xf numFmtId="0" fontId="8" fillId="43" borderId="0" xfId="6" applyFont="1" applyFill="1" applyBorder="1" applyAlignment="1">
      <alignment horizontal="center" vertical="center"/>
    </xf>
    <xf numFmtId="0" fontId="6" fillId="43" borderId="0" xfId="6" applyFont="1" applyFill="1" applyAlignment="1">
      <alignment vertical="center"/>
    </xf>
    <xf numFmtId="9" fontId="11" fillId="0" borderId="1" xfId="0" applyNumberFormat="1" applyFont="1" applyFill="1" applyBorder="1"/>
    <xf numFmtId="9" fontId="0" fillId="0" borderId="1" xfId="0" applyNumberFormat="1" applyFont="1" applyFill="1" applyBorder="1"/>
    <xf numFmtId="0" fontId="3" fillId="11" borderId="9" xfId="0" applyFont="1" applyFill="1" applyBorder="1"/>
    <xf numFmtId="165" fontId="3" fillId="11" borderId="9" xfId="7" applyNumberFormat="1" applyFont="1" applyFill="1" applyBorder="1"/>
    <xf numFmtId="165" fontId="3" fillId="2" borderId="9" xfId="7" applyNumberFormat="1" applyFont="1" applyFill="1" applyBorder="1"/>
    <xf numFmtId="1" fontId="3" fillId="7" borderId="9" xfId="0" applyNumberFormat="1" applyFont="1" applyFill="1" applyBorder="1"/>
    <xf numFmtId="165" fontId="3" fillId="7" borderId="9" xfId="7" applyNumberFormat="1" applyFont="1" applyFill="1" applyBorder="1"/>
    <xf numFmtId="9" fontId="0" fillId="7" borderId="1" xfId="8" applyFont="1" applyFill="1" applyBorder="1"/>
    <xf numFmtId="165" fontId="0" fillId="7" borderId="1" xfId="7" applyNumberFormat="1" applyFont="1" applyFill="1" applyBorder="1"/>
    <xf numFmtId="0" fontId="0" fillId="0" borderId="1" xfId="0" applyBorder="1" applyAlignment="1">
      <alignment horizontal="left"/>
    </xf>
    <xf numFmtId="0" fontId="0" fillId="0" borderId="1" xfId="0" pivotButton="1" applyBorder="1"/>
    <xf numFmtId="0" fontId="0" fillId="0" borderId="1" xfId="0" applyNumberFormat="1" applyBorder="1"/>
    <xf numFmtId="0" fontId="8" fillId="40" borderId="43" xfId="6" applyFont="1" applyFill="1" applyBorder="1" applyAlignment="1">
      <alignment horizontal="center" vertical="center"/>
    </xf>
    <xf numFmtId="0" fontId="0" fillId="0" borderId="5" xfId="0" applyBorder="1"/>
    <xf numFmtId="0" fontId="0" fillId="0" borderId="11" xfId="0" applyBorder="1"/>
    <xf numFmtId="0" fontId="0" fillId="0" borderId="9" xfId="0" applyBorder="1"/>
    <xf numFmtId="9" fontId="0" fillId="0" borderId="25" xfId="0" applyNumberFormat="1" applyBorder="1"/>
    <xf numFmtId="9" fontId="0" fillId="0" borderId="39" xfId="0" applyNumberFormat="1" applyBorder="1"/>
    <xf numFmtId="0" fontId="0" fillId="0" borderId="5" xfId="0" pivotButton="1" applyBorder="1"/>
    <xf numFmtId="0" fontId="4" fillId="3" borderId="1" xfId="0" quotePrefix="1" applyFont="1" applyFill="1" applyBorder="1" applyAlignment="1">
      <alignment horizontal="center" vertical="center" wrapText="1"/>
    </xf>
    <xf numFmtId="0" fontId="4" fillId="28" borderId="1" xfId="0" quotePrefix="1" applyFont="1" applyFill="1" applyBorder="1" applyAlignment="1">
      <alignment horizontal="center" vertical="center" wrapText="1"/>
    </xf>
    <xf numFmtId="1" fontId="28" fillId="0" borderId="1" xfId="0" applyNumberFormat="1" applyFont="1" applyFill="1" applyBorder="1" applyAlignment="1">
      <alignment horizontal="center" vertical="center"/>
    </xf>
    <xf numFmtId="49" fontId="28" fillId="0" borderId="1" xfId="0" applyNumberFormat="1" applyFont="1" applyFill="1" applyBorder="1" applyAlignment="1">
      <alignment horizontal="left" vertical="center"/>
    </xf>
    <xf numFmtId="9" fontId="28"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28" fillId="0" borderId="1" xfId="0" applyNumberFormat="1" applyFont="1" applyFill="1" applyBorder="1" applyAlignment="1">
      <alignment horizontal="left" vertical="center" wrapText="1"/>
    </xf>
    <xf numFmtId="1" fontId="28" fillId="0" borderId="3" xfId="0" applyNumberFormat="1" applyFont="1" applyFill="1" applyBorder="1" applyAlignment="1">
      <alignment horizontal="center" vertical="center"/>
    </xf>
    <xf numFmtId="0" fontId="9" fillId="40" borderId="4" xfId="6" applyFont="1" applyFill="1" applyBorder="1" applyAlignment="1">
      <alignment vertical="center"/>
    </xf>
    <xf numFmtId="0" fontId="5" fillId="40" borderId="43" xfId="0" applyFont="1" applyFill="1" applyBorder="1"/>
    <xf numFmtId="0" fontId="0" fillId="0" borderId="29" xfId="0" applyBorder="1" applyAlignment="1">
      <alignment vertical="center" wrapText="1"/>
    </xf>
    <xf numFmtId="0" fontId="0" fillId="0" borderId="27"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1" xfId="0" quotePrefix="1" applyBorder="1"/>
    <xf numFmtId="0" fontId="0" fillId="0" borderId="19" xfId="0" applyBorder="1"/>
    <xf numFmtId="165" fontId="0" fillId="0" borderId="20" xfId="7" quotePrefix="1" applyNumberFormat="1" applyFont="1" applyBorder="1"/>
    <xf numFmtId="1" fontId="3" fillId="11" borderId="21" xfId="0" applyNumberFormat="1" applyFont="1" applyFill="1" applyBorder="1"/>
    <xf numFmtId="0" fontId="0" fillId="0" borderId="1" xfId="0" pivotButton="1" applyBorder="1" applyAlignment="1">
      <alignment wrapText="1"/>
    </xf>
    <xf numFmtId="0" fontId="0" fillId="0" borderId="1" xfId="0" applyBorder="1" applyAlignment="1">
      <alignment wrapText="1"/>
    </xf>
    <xf numFmtId="0" fontId="0" fillId="0" borderId="1" xfId="0" applyNumberFormat="1" applyBorder="1" applyAlignment="1">
      <alignment horizontal="center" vertical="center"/>
    </xf>
    <xf numFmtId="0" fontId="0" fillId="0" borderId="2" xfId="0" applyNumberFormat="1" applyBorder="1"/>
    <xf numFmtId="0" fontId="0" fillId="0" borderId="5" xfId="0" applyNumberFormat="1" applyBorder="1"/>
    <xf numFmtId="0" fontId="0" fillId="0" borderId="5" xfId="0" applyNumberFormat="1" applyBorder="1" applyAlignment="1">
      <alignment horizontal="center" vertical="center"/>
    </xf>
    <xf numFmtId="0" fontId="0" fillId="0" borderId="18" xfId="0" applyNumberFormat="1" applyBorder="1"/>
    <xf numFmtId="0" fontId="0" fillId="0" borderId="17" xfId="0" applyBorder="1" applyAlignment="1">
      <alignment wrapText="1"/>
    </xf>
    <xf numFmtId="0" fontId="0" fillId="0" borderId="9" xfId="0" applyBorder="1" applyAlignment="1">
      <alignment wrapText="1"/>
    </xf>
    <xf numFmtId="0" fontId="0" fillId="0" borderId="9" xfId="0" applyBorder="1" applyAlignment="1">
      <alignment horizontal="center" vertical="center" wrapText="1"/>
    </xf>
    <xf numFmtId="0" fontId="0" fillId="0" borderId="23" xfId="0" applyBorder="1" applyAlignment="1">
      <alignment wrapText="1"/>
    </xf>
    <xf numFmtId="0" fontId="11" fillId="10" borderId="15" xfId="0" applyFont="1" applyFill="1" applyBorder="1"/>
    <xf numFmtId="0" fontId="9" fillId="10" borderId="0" xfId="0" applyFont="1" applyFill="1" applyBorder="1"/>
    <xf numFmtId="0" fontId="11" fillId="10" borderId="0" xfId="0" applyFont="1" applyFill="1" applyBorder="1"/>
    <xf numFmtId="0" fontId="49" fillId="10" borderId="0" xfId="0" applyFont="1" applyFill="1" applyBorder="1" applyAlignment="1"/>
    <xf numFmtId="0" fontId="11" fillId="10" borderId="16" xfId="0" applyFont="1" applyFill="1" applyBorder="1"/>
    <xf numFmtId="0" fontId="19" fillId="10" borderId="0" xfId="0" applyFont="1" applyFill="1" applyBorder="1" applyAlignment="1"/>
    <xf numFmtId="0" fontId="34" fillId="23" borderId="1" xfId="0" applyFont="1" applyFill="1" applyBorder="1" applyAlignment="1">
      <alignment horizontal="center" vertical="top" wrapText="1"/>
    </xf>
    <xf numFmtId="9" fontId="34" fillId="23" borderId="1" xfId="8" applyFont="1" applyFill="1" applyBorder="1" applyAlignment="1">
      <alignment horizontal="right" vertical="center" wrapText="1"/>
    </xf>
    <xf numFmtId="0" fontId="28" fillId="0" borderId="5" xfId="0" applyNumberFormat="1" applyFont="1" applyFill="1" applyBorder="1" applyAlignment="1">
      <alignment horizontal="center" vertical="center"/>
    </xf>
    <xf numFmtId="0" fontId="0" fillId="0" borderId="0" xfId="0"/>
    <xf numFmtId="0" fontId="0" fillId="0" borderId="0" xfId="0" applyBorder="1"/>
    <xf numFmtId="0" fontId="0" fillId="0" borderId="0" xfId="0" applyNumberFormat="1"/>
    <xf numFmtId="0" fontId="0" fillId="10" borderId="0" xfId="0" applyFill="1"/>
    <xf numFmtId="0" fontId="0" fillId="10" borderId="0" xfId="0" applyFill="1" applyAlignment="1">
      <alignment horizontal="left"/>
    </xf>
    <xf numFmtId="0" fontId="0" fillId="10" borderId="0" xfId="0" applyNumberFormat="1" applyFill="1"/>
    <xf numFmtId="0" fontId="0" fillId="11" borderId="0" xfId="0" applyFill="1"/>
    <xf numFmtId="0" fontId="0" fillId="0" borderId="0" xfId="0" applyFill="1" applyBorder="1"/>
    <xf numFmtId="0" fontId="0" fillId="0" borderId="0" xfId="0" pivotButton="1"/>
    <xf numFmtId="0" fontId="0" fillId="40" borderId="0" xfId="0" applyFill="1" applyBorder="1"/>
    <xf numFmtId="49" fontId="11" fillId="0" borderId="1" xfId="0" applyNumberFormat="1" applyFont="1" applyFill="1" applyBorder="1" applyAlignment="1">
      <alignment horizontal="left" vertical="center"/>
    </xf>
    <xf numFmtId="0" fontId="0" fillId="40" borderId="42" xfId="0" applyFill="1" applyBorder="1"/>
    <xf numFmtId="0" fontId="0" fillId="40" borderId="25" xfId="0" applyFill="1" applyBorder="1"/>
    <xf numFmtId="0" fontId="0" fillId="40" borderId="39" xfId="0" applyFill="1" applyBorder="1"/>
    <xf numFmtId="165" fontId="0" fillId="0" borderId="0" xfId="0" applyNumberFormat="1" applyBorder="1"/>
    <xf numFmtId="0" fontId="0" fillId="0" borderId="39" xfId="0" applyBorder="1"/>
    <xf numFmtId="0" fontId="0" fillId="0" borderId="42" xfId="0" applyBorder="1"/>
    <xf numFmtId="0" fontId="0" fillId="0" borderId="25" xfId="0" applyBorder="1"/>
    <xf numFmtId="165" fontId="0" fillId="10" borderId="0" xfId="0" applyNumberFormat="1" applyFill="1" applyBorder="1"/>
    <xf numFmtId="0" fontId="0" fillId="10" borderId="4" xfId="0" applyFill="1" applyBorder="1" applyAlignment="1">
      <alignment horizontal="left" indent="1"/>
    </xf>
    <xf numFmtId="165" fontId="0" fillId="11" borderId="23" xfId="0" applyNumberFormat="1" applyFill="1" applyBorder="1" applyAlignment="1">
      <alignment horizontal="left"/>
    </xf>
    <xf numFmtId="165" fontId="0" fillId="11" borderId="43" xfId="0" applyNumberFormat="1" applyFill="1" applyBorder="1"/>
    <xf numFmtId="0" fontId="0" fillId="0" borderId="2" xfId="0" pivotButton="1" applyBorder="1"/>
    <xf numFmtId="0" fontId="0" fillId="0" borderId="3" xfId="0" applyBorder="1"/>
    <xf numFmtId="0" fontId="0" fillId="40" borderId="18" xfId="0" applyFill="1" applyBorder="1"/>
    <xf numFmtId="0" fontId="0" fillId="40" borderId="4" xfId="0" applyFill="1" applyBorder="1"/>
    <xf numFmtId="0" fontId="0" fillId="40" borderId="4" xfId="0" applyFill="1" applyBorder="1" applyAlignment="1">
      <alignment horizontal="left"/>
    </xf>
    <xf numFmtId="0" fontId="0" fillId="40" borderId="23" xfId="0" applyFill="1" applyBorder="1" applyAlignment="1">
      <alignment horizontal="left"/>
    </xf>
    <xf numFmtId="3" fontId="0" fillId="40" borderId="43" xfId="0" applyNumberFormat="1" applyFill="1" applyBorder="1"/>
    <xf numFmtId="3" fontId="0" fillId="40" borderId="17" xfId="0" applyNumberFormat="1" applyFill="1" applyBorder="1"/>
    <xf numFmtId="0" fontId="0" fillId="40" borderId="3" xfId="0" applyFill="1" applyBorder="1"/>
    <xf numFmtId="165" fontId="0" fillId="40" borderId="0" xfId="0" applyNumberFormat="1" applyFill="1" applyBorder="1"/>
    <xf numFmtId="165" fontId="0" fillId="43" borderId="4" xfId="0" applyNumberFormat="1" applyFill="1" applyBorder="1" applyAlignment="1">
      <alignment horizontal="left"/>
    </xf>
    <xf numFmtId="165" fontId="0" fillId="43" borderId="0" xfId="0" applyNumberFormat="1" applyFill="1" applyBorder="1"/>
    <xf numFmtId="165" fontId="0" fillId="43" borderId="39" xfId="0" applyNumberFormat="1" applyFill="1" applyBorder="1"/>
    <xf numFmtId="0" fontId="0" fillId="43" borderId="4" xfId="0" applyFill="1" applyBorder="1" applyAlignment="1">
      <alignment horizontal="left"/>
    </xf>
    <xf numFmtId="3" fontId="0" fillId="43" borderId="0" xfId="0" applyNumberFormat="1" applyFill="1" applyBorder="1"/>
    <xf numFmtId="3" fontId="0" fillId="43" borderId="39" xfId="0" applyNumberFormat="1" applyFill="1" applyBorder="1"/>
    <xf numFmtId="0" fontId="0" fillId="40" borderId="2" xfId="0" applyFill="1" applyBorder="1"/>
    <xf numFmtId="10" fontId="0" fillId="40" borderId="39" xfId="0" applyNumberFormat="1" applyFill="1" applyBorder="1"/>
    <xf numFmtId="10" fontId="0" fillId="10" borderId="39" xfId="0" applyNumberFormat="1" applyFill="1" applyBorder="1"/>
    <xf numFmtId="0" fontId="0" fillId="10" borderId="4" xfId="0" applyFill="1" applyBorder="1" applyAlignment="1">
      <alignment horizontal="left" indent="2"/>
    </xf>
    <xf numFmtId="9" fontId="0" fillId="10" borderId="39" xfId="0" applyNumberFormat="1" applyFill="1" applyBorder="1"/>
    <xf numFmtId="0" fontId="0" fillId="10" borderId="4" xfId="0" applyFill="1" applyBorder="1" applyAlignment="1">
      <alignment horizontal="left"/>
    </xf>
    <xf numFmtId="9" fontId="0" fillId="11" borderId="17" xfId="0" applyNumberFormat="1" applyFill="1" applyBorder="1"/>
    <xf numFmtId="0" fontId="0" fillId="0" borderId="18" xfId="0" pivotButton="1" applyBorder="1"/>
    <xf numFmtId="0" fontId="0" fillId="0" borderId="42" xfId="0" pivotButton="1" applyBorder="1"/>
    <xf numFmtId="0" fontId="0" fillId="0" borderId="4" xfId="0" pivotButton="1" applyBorder="1"/>
    <xf numFmtId="0" fontId="0" fillId="0" borderId="4" xfId="0" applyBorder="1" applyAlignment="1">
      <alignment horizontal="left"/>
    </xf>
    <xf numFmtId="165" fontId="0" fillId="0" borderId="39" xfId="0" applyNumberFormat="1" applyBorder="1"/>
    <xf numFmtId="0" fontId="0" fillId="0" borderId="23" xfId="0" applyBorder="1" applyAlignment="1">
      <alignment horizontal="left"/>
    </xf>
    <xf numFmtId="165" fontId="0" fillId="0" borderId="43" xfId="0" applyNumberFormat="1" applyBorder="1"/>
    <xf numFmtId="165" fontId="0" fillId="0" borderId="17" xfId="0" applyNumberFormat="1" applyBorder="1"/>
    <xf numFmtId="165" fontId="0" fillId="0" borderId="1" xfId="0" applyNumberFormat="1" applyBorder="1"/>
    <xf numFmtId="0" fontId="0" fillId="0" borderId="5" xfId="0" applyBorder="1"/>
    <xf numFmtId="165" fontId="0" fillId="0" borderId="11" xfId="0" applyNumberFormat="1" applyBorder="1"/>
    <xf numFmtId="165" fontId="0" fillId="0" borderId="9" xfId="0" applyNumberFormat="1" applyBorder="1"/>
    <xf numFmtId="0" fontId="0" fillId="40" borderId="1" xfId="0" applyFill="1" applyBorder="1"/>
    <xf numFmtId="165" fontId="0" fillId="40" borderId="1" xfId="0" applyNumberFormat="1" applyFill="1" applyBorder="1"/>
    <xf numFmtId="0" fontId="0" fillId="0" borderId="2" xfId="0" applyBorder="1" applyAlignment="1">
      <alignment horizontal="left"/>
    </xf>
    <xf numFmtId="0" fontId="5" fillId="0" borderId="0" xfId="0" applyFont="1" applyAlignment="1"/>
    <xf numFmtId="0" fontId="0" fillId="40" borderId="1" xfId="0" applyFill="1" applyBorder="1" applyAlignment="1">
      <alignment horizontal="left" vertical="top"/>
    </xf>
    <xf numFmtId="9" fontId="0" fillId="0" borderId="5" xfId="0" applyNumberFormat="1" applyBorder="1"/>
    <xf numFmtId="9" fontId="0" fillId="0" borderId="11" xfId="0" applyNumberFormat="1" applyBorder="1"/>
    <xf numFmtId="9" fontId="0" fillId="0" borderId="9" xfId="0" applyNumberFormat="1" applyBorder="1"/>
    <xf numFmtId="165" fontId="0" fillId="0" borderId="3" xfId="0" applyNumberFormat="1" applyBorder="1"/>
    <xf numFmtId="9" fontId="0" fillId="0" borderId="1" xfId="0" applyNumberFormat="1" applyBorder="1"/>
    <xf numFmtId="0" fontId="0" fillId="0" borderId="15" xfId="0" applyFill="1" applyBorder="1"/>
    <xf numFmtId="0" fontId="0" fillId="0" borderId="16" xfId="0" applyFill="1" applyBorder="1"/>
    <xf numFmtId="15" fontId="0" fillId="0" borderId="0" xfId="0" applyNumberFormat="1" applyFill="1" applyAlignment="1">
      <alignment horizontal="left" vertical="center"/>
    </xf>
    <xf numFmtId="0" fontId="0" fillId="11" borderId="0" xfId="0" applyNumberFormat="1" applyFill="1"/>
    <xf numFmtId="0" fontId="0" fillId="11" borderId="0" xfId="0" applyFill="1" applyAlignment="1">
      <alignment horizontal="left"/>
    </xf>
    <xf numFmtId="165" fontId="0" fillId="40" borderId="17" xfId="0" applyNumberFormat="1" applyFill="1" applyBorder="1"/>
    <xf numFmtId="165" fontId="0" fillId="40" borderId="23" xfId="0" applyNumberFormat="1" applyFill="1" applyBorder="1" applyAlignment="1">
      <alignment horizontal="left"/>
    </xf>
    <xf numFmtId="165" fontId="0" fillId="40" borderId="43" xfId="0" applyNumberFormat="1" applyFill="1" applyBorder="1"/>
    <xf numFmtId="0" fontId="11" fillId="0" borderId="0" xfId="0" applyFont="1" applyBorder="1"/>
    <xf numFmtId="0" fontId="11" fillId="0" borderId="0" xfId="0" applyFont="1" applyFill="1" applyBorder="1"/>
    <xf numFmtId="0" fontId="11" fillId="0" borderId="0" xfId="0" applyFont="1" applyFill="1"/>
    <xf numFmtId="0" fontId="11" fillId="0" borderId="0" xfId="0" applyFont="1" applyAlignment="1"/>
    <xf numFmtId="168" fontId="0" fillId="0" borderId="1" xfId="7" applyNumberFormat="1" applyFont="1" applyBorder="1"/>
    <xf numFmtId="0" fontId="0" fillId="10" borderId="3" xfId="0" applyFill="1" applyBorder="1"/>
    <xf numFmtId="0" fontId="0" fillId="10" borderId="2" xfId="0" applyFill="1" applyBorder="1"/>
    <xf numFmtId="0" fontId="0" fillId="40" borderId="42" xfId="0" applyFill="1" applyBorder="1" applyAlignment="1">
      <alignment vertical="center"/>
    </xf>
    <xf numFmtId="0" fontId="0" fillId="40" borderId="25" xfId="0" applyFill="1" applyBorder="1" applyAlignment="1">
      <alignment vertical="center"/>
    </xf>
    <xf numFmtId="0" fontId="0" fillId="0" borderId="0" xfId="0" applyBorder="1" applyAlignment="1">
      <alignment vertical="center"/>
    </xf>
    <xf numFmtId="0" fontId="0" fillId="40" borderId="0" xfId="0" applyFill="1" applyBorder="1" applyAlignment="1">
      <alignment vertical="center"/>
    </xf>
    <xf numFmtId="0" fontId="0" fillId="40" borderId="39" xfId="0" applyFill="1" applyBorder="1" applyAlignment="1">
      <alignment vertical="center"/>
    </xf>
    <xf numFmtId="0" fontId="0" fillId="40" borderId="43" xfId="0" applyFill="1" applyBorder="1" applyAlignment="1">
      <alignment vertical="center"/>
    </xf>
    <xf numFmtId="0" fontId="0" fillId="40" borderId="17" xfId="0" applyFill="1" applyBorder="1" applyAlignment="1">
      <alignment vertical="center"/>
    </xf>
    <xf numFmtId="0" fontId="5" fillId="0" borderId="0" xfId="0" applyFont="1" applyFill="1" applyBorder="1" applyAlignment="1">
      <alignment vertical="center"/>
    </xf>
    <xf numFmtId="0" fontId="0" fillId="0" borderId="39" xfId="0" applyFill="1" applyBorder="1" applyAlignment="1">
      <alignment vertical="center"/>
    </xf>
    <xf numFmtId="0" fontId="0" fillId="0" borderId="0" xfId="0" applyAlignment="1">
      <alignment vertical="center" textRotation="90"/>
    </xf>
    <xf numFmtId="169" fontId="28" fillId="0" borderId="1" xfId="0" applyNumberFormat="1" applyFont="1" applyFill="1" applyBorder="1" applyAlignment="1">
      <alignment vertical="center"/>
    </xf>
    <xf numFmtId="49" fontId="28" fillId="0" borderId="1" xfId="0" applyNumberFormat="1" applyFont="1" applyFill="1" applyBorder="1" applyAlignment="1">
      <alignment vertical="center"/>
    </xf>
    <xf numFmtId="49" fontId="28" fillId="0" borderId="1" xfId="0" applyNumberFormat="1" applyFont="1" applyFill="1" applyBorder="1" applyAlignment="1">
      <alignment vertical="center" wrapText="1"/>
    </xf>
    <xf numFmtId="49" fontId="28" fillId="0" borderId="2" xfId="0" applyNumberFormat="1" applyFont="1" applyFill="1" applyBorder="1" applyAlignment="1">
      <alignment vertical="center"/>
    </xf>
    <xf numFmtId="0" fontId="0" fillId="0" borderId="0" xfId="0" applyFill="1" applyAlignment="1">
      <alignment vertical="center"/>
    </xf>
    <xf numFmtId="0" fontId="28" fillId="0" borderId="1" xfId="0" applyFont="1" applyFill="1" applyBorder="1" applyAlignment="1">
      <alignment vertical="center"/>
    </xf>
    <xf numFmtId="0" fontId="0" fillId="0" borderId="0" xfId="0" applyAlignment="1">
      <alignment vertical="center"/>
    </xf>
    <xf numFmtId="0" fontId="28" fillId="0" borderId="1" xfId="0" applyNumberFormat="1" applyFont="1" applyFill="1" applyBorder="1" applyAlignment="1">
      <alignment horizontal="right" vertical="center"/>
    </xf>
    <xf numFmtId="0" fontId="28" fillId="0" borderId="2" xfId="0" applyFont="1" applyFill="1" applyBorder="1" applyAlignment="1">
      <alignment vertical="center"/>
    </xf>
    <xf numFmtId="49" fontId="28" fillId="0" borderId="5" xfId="0" applyNumberFormat="1" applyFont="1" applyFill="1" applyBorder="1" applyAlignment="1">
      <alignment vertical="center"/>
    </xf>
    <xf numFmtId="0" fontId="11" fillId="0" borderId="0" xfId="0" applyFont="1" applyFill="1" applyAlignment="1">
      <alignment vertical="center"/>
    </xf>
    <xf numFmtId="1" fontId="0" fillId="0" borderId="0" xfId="0" applyNumberFormat="1" applyAlignment="1">
      <alignment vertical="center"/>
    </xf>
    <xf numFmtId="0" fontId="0" fillId="0" borderId="27" xfId="0" applyBorder="1" applyAlignment="1">
      <alignment textRotation="90"/>
    </xf>
    <xf numFmtId="0" fontId="11" fillId="0" borderId="0" xfId="0" applyFont="1" applyFill="1" applyBorder="1" applyAlignment="1">
      <alignment vertical="center"/>
    </xf>
    <xf numFmtId="49" fontId="28" fillId="0" borderId="2" xfId="0" applyNumberFormat="1" applyFont="1" applyFill="1" applyBorder="1" applyAlignment="1">
      <alignment vertical="center" wrapText="1"/>
    </xf>
    <xf numFmtId="0" fontId="0" fillId="0" borderId="2" xfId="0" applyFill="1" applyBorder="1"/>
    <xf numFmtId="0" fontId="11" fillId="0" borderId="0" xfId="0" applyFont="1" applyFill="1" applyAlignment="1"/>
    <xf numFmtId="49" fontId="5" fillId="0" borderId="1" xfId="0" applyNumberFormat="1" applyFont="1" applyFill="1" applyBorder="1"/>
    <xf numFmtId="168" fontId="28" fillId="0" borderId="2" xfId="1" applyNumberFormat="1" applyFont="1" applyFill="1" applyBorder="1" applyAlignment="1">
      <alignment vertical="center" wrapText="1"/>
    </xf>
    <xf numFmtId="0" fontId="59" fillId="0" borderId="1" xfId="0" applyFont="1" applyFill="1" applyBorder="1" applyAlignment="1"/>
    <xf numFmtId="0" fontId="59" fillId="0" borderId="1" xfId="0" applyFont="1" applyFill="1" applyBorder="1" applyAlignment="1">
      <alignment wrapText="1"/>
    </xf>
    <xf numFmtId="0" fontId="59" fillId="0" borderId="1" xfId="14" applyFont="1" applyFill="1" applyBorder="1" applyAlignment="1"/>
    <xf numFmtId="0" fontId="59" fillId="0" borderId="1" xfId="0" applyNumberFormat="1" applyFont="1" applyFill="1" applyBorder="1" applyAlignment="1">
      <alignment wrapText="1"/>
    </xf>
    <xf numFmtId="0" fontId="59" fillId="0" borderId="1" xfId="0" applyNumberFormat="1" applyFont="1" applyFill="1" applyBorder="1" applyAlignment="1"/>
    <xf numFmtId="0" fontId="60" fillId="0" borderId="1" xfId="0" applyNumberFormat="1" applyFont="1" applyFill="1" applyBorder="1" applyAlignment="1"/>
    <xf numFmtId="9" fontId="59" fillId="0" borderId="1" xfId="0" applyNumberFormat="1" applyFont="1" applyFill="1" applyBorder="1" applyAlignment="1">
      <alignment wrapText="1"/>
    </xf>
    <xf numFmtId="49" fontId="59" fillId="0" borderId="1" xfId="0" applyNumberFormat="1" applyFont="1" applyFill="1" applyBorder="1" applyAlignment="1">
      <alignment horizontal="left" vertical="center"/>
    </xf>
    <xf numFmtId="1" fontId="28" fillId="0" borderId="3" xfId="0" quotePrefix="1" applyNumberFormat="1" applyFont="1" applyFill="1" applyBorder="1" applyAlignment="1">
      <alignment horizontal="center" vertical="center"/>
    </xf>
    <xf numFmtId="0" fontId="28" fillId="0" borderId="1" xfId="0" quotePrefix="1" applyFont="1" applyFill="1" applyBorder="1" applyAlignment="1">
      <alignment horizontal="center" vertical="center" wrapText="1"/>
    </xf>
    <xf numFmtId="0" fontId="28" fillId="0" borderId="1" xfId="0" quotePrefix="1" applyNumberFormat="1" applyFont="1" applyFill="1" applyBorder="1" applyAlignment="1">
      <alignment horizontal="center" vertical="center"/>
    </xf>
    <xf numFmtId="0" fontId="28" fillId="0" borderId="5" xfId="0" quotePrefix="1" applyNumberFormat="1" applyFont="1" applyFill="1" applyBorder="1" applyAlignment="1">
      <alignment horizontal="center" vertical="center"/>
    </xf>
    <xf numFmtId="0" fontId="28" fillId="0" borderId="1" xfId="0" quotePrefix="1" applyNumberFormat="1" applyFont="1" applyFill="1" applyBorder="1" applyAlignment="1">
      <alignment horizontal="right" vertical="center"/>
    </xf>
    <xf numFmtId="9" fontId="28" fillId="0" borderId="1" xfId="0" quotePrefix="1" applyNumberFormat="1" applyFont="1" applyFill="1" applyBorder="1" applyAlignment="1">
      <alignment horizontal="center" vertical="center"/>
    </xf>
    <xf numFmtId="0" fontId="28" fillId="0" borderId="2" xfId="0" quotePrefix="1" applyFont="1" applyFill="1" applyBorder="1" applyAlignment="1">
      <alignment horizontal="center" vertical="center" wrapText="1"/>
    </xf>
    <xf numFmtId="0" fontId="0" fillId="0" borderId="0" xfId="0" applyFill="1" applyAlignment="1">
      <alignment vertical="center" textRotation="90"/>
    </xf>
    <xf numFmtId="0" fontId="28" fillId="0" borderId="2" xfId="0" applyFont="1" applyFill="1" applyBorder="1" applyAlignment="1">
      <alignment vertical="center" wrapText="1"/>
    </xf>
    <xf numFmtId="0" fontId="28" fillId="0" borderId="2" xfId="0" quotePrefix="1" applyFont="1" applyFill="1" applyBorder="1" applyAlignment="1">
      <alignment horizontal="left" vertical="center" wrapText="1"/>
    </xf>
    <xf numFmtId="0" fontId="0" fillId="0" borderId="3" xfId="0" applyFill="1" applyBorder="1"/>
    <xf numFmtId="0" fontId="0" fillId="0" borderId="5" xfId="0" applyFill="1" applyBorder="1"/>
    <xf numFmtId="0" fontId="0" fillId="0" borderId="42" xfId="0" applyFill="1" applyBorder="1"/>
    <xf numFmtId="165" fontId="0" fillId="0" borderId="11" xfId="0" applyNumberFormat="1" applyFill="1" applyBorder="1"/>
    <xf numFmtId="165" fontId="0" fillId="0" borderId="0" xfId="0" applyNumberFormat="1" applyFill="1" applyBorder="1"/>
    <xf numFmtId="165" fontId="0" fillId="0" borderId="9" xfId="0" applyNumberFormat="1" applyFill="1" applyBorder="1"/>
    <xf numFmtId="165" fontId="0" fillId="0" borderId="43" xfId="0" applyNumberFormat="1" applyFill="1" applyBorder="1"/>
    <xf numFmtId="0" fontId="0" fillId="0" borderId="23" xfId="0" applyFill="1" applyBorder="1" applyAlignment="1">
      <alignment horizontal="left"/>
    </xf>
    <xf numFmtId="0" fontId="2" fillId="0" borderId="0" xfId="0" applyFont="1" applyBorder="1"/>
    <xf numFmtId="0" fontId="2" fillId="0" borderId="0" xfId="0" applyFont="1" applyFill="1" applyBorder="1"/>
    <xf numFmtId="0" fontId="2" fillId="0" borderId="0" xfId="0" applyFont="1"/>
    <xf numFmtId="0" fontId="2" fillId="0" borderId="0" xfId="0" applyFont="1" applyAlignment="1"/>
    <xf numFmtId="0" fontId="2" fillId="0" borderId="0" xfId="0" applyFont="1" applyAlignment="1">
      <alignment horizontal="left"/>
    </xf>
    <xf numFmtId="0" fontId="2" fillId="0" borderId="0" xfId="0" applyFont="1" applyAlignment="1">
      <alignment horizontal="right"/>
    </xf>
    <xf numFmtId="0" fontId="15" fillId="40" borderId="42" xfId="6" applyFont="1" applyFill="1" applyBorder="1" applyAlignment="1">
      <alignment vertical="center"/>
    </xf>
    <xf numFmtId="0" fontId="15" fillId="40" borderId="42" xfId="6" applyFont="1" applyFill="1" applyBorder="1" applyAlignment="1">
      <alignment horizontal="left" vertical="center"/>
    </xf>
    <xf numFmtId="0" fontId="15" fillId="40" borderId="42" xfId="6" applyFont="1" applyFill="1" applyBorder="1" applyAlignment="1">
      <alignment horizontal="right"/>
    </xf>
    <xf numFmtId="0" fontId="15" fillId="40" borderId="0" xfId="6" applyFont="1" applyFill="1" applyBorder="1" applyAlignment="1">
      <alignment vertical="center"/>
    </xf>
    <xf numFmtId="0" fontId="15" fillId="40" borderId="0" xfId="6" applyFont="1" applyFill="1" applyBorder="1" applyAlignment="1">
      <alignment horizontal="left" vertical="center"/>
    </xf>
    <xf numFmtId="0" fontId="15" fillId="40" borderId="0" xfId="6" applyFont="1" applyFill="1" applyBorder="1" applyAlignment="1">
      <alignment horizontal="right"/>
    </xf>
    <xf numFmtId="0" fontId="15" fillId="40" borderId="18" xfId="6" applyFont="1" applyFill="1" applyBorder="1" applyAlignment="1">
      <alignment horizontal="left" vertical="center"/>
    </xf>
    <xf numFmtId="0" fontId="2" fillId="0" borderId="0" xfId="0" applyFont="1" applyBorder="1" applyAlignment="1">
      <alignment horizontal="left"/>
    </xf>
    <xf numFmtId="0" fontId="2" fillId="0" borderId="0" xfId="0" applyFont="1" applyFill="1" applyAlignment="1">
      <alignment horizontal="left"/>
    </xf>
    <xf numFmtId="0" fontId="15" fillId="40" borderId="42" xfId="6" applyFont="1" applyFill="1" applyBorder="1" applyAlignment="1">
      <alignment horizontal="right" vertical="center"/>
    </xf>
    <xf numFmtId="0" fontId="15" fillId="40" borderId="0" xfId="6" applyFont="1" applyFill="1" applyBorder="1" applyAlignment="1">
      <alignment horizontal="right" vertical="center"/>
    </xf>
    <xf numFmtId="2" fontId="15" fillId="40" borderId="0" xfId="6" applyNumberFormat="1" applyFont="1" applyFill="1" applyBorder="1" applyAlignment="1">
      <alignment horizontal="right" vertical="center"/>
    </xf>
    <xf numFmtId="2" fontId="2" fillId="0" borderId="0" xfId="0" applyNumberFormat="1" applyFont="1" applyAlignment="1">
      <alignment horizontal="right"/>
    </xf>
    <xf numFmtId="14" fontId="15" fillId="40" borderId="42" xfId="6" applyNumberFormat="1" applyFont="1" applyFill="1" applyBorder="1" applyAlignment="1">
      <alignment horizontal="right" vertical="center"/>
    </xf>
    <xf numFmtId="1" fontId="15" fillId="40" borderId="42" xfId="6" applyNumberFormat="1" applyFont="1" applyFill="1" applyBorder="1" applyAlignment="1">
      <alignment horizontal="right" vertical="center"/>
    </xf>
    <xf numFmtId="0" fontId="2" fillId="40" borderId="42" xfId="0" applyFont="1" applyFill="1" applyBorder="1" applyAlignment="1">
      <alignment horizontal="right"/>
    </xf>
    <xf numFmtId="14" fontId="15" fillId="40" borderId="0" xfId="6" applyNumberFormat="1" applyFont="1" applyFill="1" applyBorder="1" applyAlignment="1">
      <alignment horizontal="right" vertical="center"/>
    </xf>
    <xf numFmtId="1" fontId="15" fillId="40" borderId="0" xfId="6" applyNumberFormat="1" applyFont="1" applyFill="1" applyBorder="1" applyAlignment="1">
      <alignment horizontal="right" vertical="center"/>
    </xf>
    <xf numFmtId="0" fontId="2" fillId="40" borderId="0" xfId="0" applyFont="1" applyFill="1" applyBorder="1" applyAlignment="1">
      <alignment horizontal="right"/>
    </xf>
    <xf numFmtId="14" fontId="2" fillId="0" borderId="0" xfId="0" applyNumberFormat="1" applyFont="1" applyAlignment="1">
      <alignment horizontal="right"/>
    </xf>
    <xf numFmtId="1" fontId="2" fillId="0" borderId="0" xfId="0" applyNumberFormat="1" applyFont="1" applyAlignment="1">
      <alignment horizontal="right"/>
    </xf>
    <xf numFmtId="0" fontId="2" fillId="40" borderId="42" xfId="0" applyFont="1" applyFill="1" applyBorder="1" applyAlignment="1"/>
    <xf numFmtId="165" fontId="2" fillId="40" borderId="42" xfId="7" applyNumberFormat="1" applyFont="1" applyFill="1" applyBorder="1" applyAlignment="1"/>
    <xf numFmtId="0" fontId="2" fillId="40" borderId="0" xfId="0" applyFont="1" applyFill="1" applyBorder="1" applyAlignment="1"/>
    <xf numFmtId="165" fontId="2" fillId="40" borderId="0" xfId="7" applyNumberFormat="1" applyFont="1" applyFill="1" applyBorder="1" applyAlignment="1"/>
    <xf numFmtId="165" fontId="2" fillId="0" borderId="0" xfId="7" applyNumberFormat="1" applyFont="1" applyAlignment="1"/>
    <xf numFmtId="0" fontId="2" fillId="40" borderId="25" xfId="0" applyFont="1" applyFill="1" applyBorder="1" applyAlignment="1">
      <alignment horizontal="right"/>
    </xf>
    <xf numFmtId="0" fontId="2" fillId="40" borderId="39" xfId="0" applyFont="1" applyFill="1" applyBorder="1" applyAlignment="1">
      <alignment horizontal="right"/>
    </xf>
    <xf numFmtId="9" fontId="47" fillId="5" borderId="0" xfId="8" applyFont="1" applyFill="1" applyBorder="1"/>
    <xf numFmtId="0" fontId="1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11" fillId="0" borderId="9" xfId="0" applyFont="1" applyFill="1" applyBorder="1" applyAlignment="1">
      <alignment vertical="center"/>
    </xf>
    <xf numFmtId="49" fontId="62" fillId="0" borderId="1" xfId="0" applyNumberFormat="1" applyFont="1" applyFill="1" applyBorder="1"/>
    <xf numFmtId="0" fontId="62" fillId="0" borderId="1" xfId="14" applyFont="1" applyFill="1" applyBorder="1" applyAlignment="1"/>
    <xf numFmtId="49" fontId="62" fillId="0" borderId="1" xfId="0" applyNumberFormat="1" applyFont="1" applyFill="1" applyBorder="1" applyAlignment="1">
      <alignment horizontal="left" vertical="center"/>
    </xf>
    <xf numFmtId="0" fontId="62" fillId="0" borderId="1" xfId="0" applyFont="1" applyFill="1" applyBorder="1"/>
    <xf numFmtId="0" fontId="61" fillId="0" borderId="1" xfId="0" applyFont="1" applyFill="1" applyBorder="1"/>
    <xf numFmtId="49" fontId="61" fillId="0" borderId="1" xfId="0" applyNumberFormat="1" applyFont="1" applyFill="1" applyBorder="1"/>
    <xf numFmtId="0" fontId="61" fillId="0" borderId="1" xfId="0" applyNumberFormat="1" applyFont="1" applyFill="1" applyBorder="1"/>
    <xf numFmtId="9" fontId="62" fillId="0" borderId="1" xfId="0" applyNumberFormat="1" applyFont="1" applyFill="1" applyBorder="1"/>
    <xf numFmtId="0" fontId="11" fillId="0" borderId="1" xfId="0" applyFont="1" applyFill="1" applyBorder="1" applyAlignment="1"/>
    <xf numFmtId="15" fontId="2" fillId="0" borderId="1" xfId="0" applyNumberFormat="1" applyFont="1" applyFill="1" applyBorder="1"/>
    <xf numFmtId="15" fontId="11" fillId="0" borderId="1" xfId="0" applyNumberFormat="1" applyFont="1" applyFill="1" applyBorder="1"/>
    <xf numFmtId="15" fontId="62" fillId="0" borderId="1" xfId="0" applyNumberFormat="1" applyFont="1" applyFill="1" applyBorder="1" applyAlignment="1"/>
    <xf numFmtId="15" fontId="59" fillId="0" borderId="1" xfId="0" applyNumberFormat="1" applyFont="1" applyFill="1" applyBorder="1" applyAlignment="1"/>
    <xf numFmtId="9" fontId="60" fillId="0" borderId="1" xfId="0" applyNumberFormat="1" applyFont="1" applyFill="1" applyBorder="1"/>
    <xf numFmtId="0" fontId="0" fillId="0" borderId="1" xfId="0" applyNumberFormat="1" applyFont="1" applyFill="1" applyBorder="1" applyAlignment="1">
      <alignment horizontal="left"/>
    </xf>
    <xf numFmtId="15" fontId="61" fillId="0" borderId="1" xfId="0" applyNumberFormat="1" applyFont="1" applyFill="1" applyBorder="1"/>
    <xf numFmtId="15" fontId="11" fillId="3" borderId="17" xfId="0" applyNumberFormat="1" applyFont="1" applyFill="1" applyBorder="1" applyAlignment="1">
      <alignment vertical="center"/>
    </xf>
    <xf numFmtId="0" fontId="11" fillId="3" borderId="9" xfId="0" applyFont="1" applyFill="1" applyBorder="1" applyAlignment="1">
      <alignment vertical="center"/>
    </xf>
    <xf numFmtId="0" fontId="11" fillId="3" borderId="9" xfId="0" applyFont="1" applyFill="1" applyBorder="1" applyAlignment="1">
      <alignment vertical="center" wrapText="1"/>
    </xf>
    <xf numFmtId="0" fontId="11" fillId="11" borderId="9" xfId="0" applyFont="1" applyFill="1" applyBorder="1" applyAlignment="1">
      <alignment vertical="center" wrapText="1"/>
    </xf>
    <xf numFmtId="0" fontId="11" fillId="7" borderId="9" xfId="0" applyFont="1" applyFill="1" applyBorder="1" applyAlignment="1">
      <alignment vertical="center" wrapText="1"/>
    </xf>
    <xf numFmtId="0" fontId="11" fillId="12" borderId="9" xfId="0" applyFont="1" applyFill="1" applyBorder="1" applyAlignment="1">
      <alignment vertical="center" wrapText="1"/>
    </xf>
    <xf numFmtId="0" fontId="11" fillId="20" borderId="9" xfId="0" applyFont="1" applyFill="1" applyBorder="1" applyAlignment="1">
      <alignment vertical="center" wrapText="1"/>
    </xf>
    <xf numFmtId="0" fontId="11" fillId="17" borderId="9" xfId="0" applyFont="1" applyFill="1" applyBorder="1" applyAlignment="1">
      <alignment vertical="center" wrapText="1"/>
    </xf>
    <xf numFmtId="0" fontId="0" fillId="0" borderId="9" xfId="0" applyFill="1" applyBorder="1" applyAlignment="1">
      <alignment vertical="center"/>
    </xf>
    <xf numFmtId="0" fontId="11" fillId="20" borderId="23" xfId="0" applyFont="1" applyFill="1" applyBorder="1" applyAlignment="1">
      <alignment vertical="center" wrapText="1"/>
    </xf>
    <xf numFmtId="0" fontId="11" fillId="12" borderId="23" xfId="0" applyFont="1" applyFill="1" applyBorder="1" applyAlignment="1">
      <alignment vertical="center" wrapText="1"/>
    </xf>
    <xf numFmtId="0" fontId="56" fillId="0" borderId="0" xfId="5" applyFont="1" applyFill="1" applyBorder="1" applyAlignment="1">
      <alignment horizontal="center" vertical="center"/>
    </xf>
    <xf numFmtId="0" fontId="2" fillId="0" borderId="0" xfId="0" applyFont="1" applyBorder="1" applyAlignment="1">
      <alignment horizontal="center" vertical="center"/>
    </xf>
    <xf numFmtId="14" fontId="2" fillId="0" borderId="0" xfId="0" applyNumberFormat="1" applyFont="1" applyBorder="1" applyAlignment="1">
      <alignment horizontal="center" vertical="center"/>
    </xf>
    <xf numFmtId="1" fontId="2" fillId="42" borderId="0" xfId="0" applyNumberFormat="1" applyFont="1" applyFill="1" applyBorder="1" applyAlignment="1">
      <alignment horizontal="center" vertical="center"/>
    </xf>
    <xf numFmtId="0" fontId="11" fillId="2" borderId="0" xfId="5" applyFont="1" applyFill="1" applyBorder="1" applyAlignment="1">
      <alignment horizontal="center" vertical="center"/>
    </xf>
    <xf numFmtId="0" fontId="56" fillId="17" borderId="0" xfId="5" applyFont="1" applyFill="1" applyBorder="1" applyAlignment="1">
      <alignment horizontal="center" vertical="center"/>
    </xf>
    <xf numFmtId="0" fontId="2" fillId="40" borderId="42" xfId="0" applyFont="1" applyFill="1" applyBorder="1" applyAlignment="1">
      <alignment horizontal="left" wrapText="1"/>
    </xf>
    <xf numFmtId="0" fontId="2" fillId="40" borderId="0" xfId="0" applyFont="1" applyFill="1" applyBorder="1" applyAlignment="1">
      <alignment horizontal="left" wrapText="1"/>
    </xf>
    <xf numFmtId="0" fontId="2" fillId="0" borderId="0" xfId="0" applyFont="1" applyAlignment="1">
      <alignment horizontal="left" wrapText="1"/>
    </xf>
    <xf numFmtId="0" fontId="12" fillId="0" borderId="42" xfId="6" applyFont="1" applyFill="1" applyBorder="1" applyAlignment="1">
      <alignment horizontal="center" vertical="center"/>
    </xf>
    <xf numFmtId="0" fontId="4" fillId="0" borderId="0" xfId="0" applyFont="1" applyFill="1" applyAlignment="1">
      <alignment horizontal="center" vertical="center"/>
    </xf>
    <xf numFmtId="0" fontId="12" fillId="0" borderId="0" xfId="6" applyFont="1" applyFill="1" applyBorder="1" applyAlignment="1">
      <alignment horizontal="center" vertical="center"/>
    </xf>
    <xf numFmtId="0" fontId="12" fillId="0" borderId="43" xfId="6" applyFont="1" applyFill="1" applyBorder="1" applyAlignment="1">
      <alignment horizontal="center" vertical="center"/>
    </xf>
    <xf numFmtId="0" fontId="38" fillId="0" borderId="42" xfId="6" applyFont="1" applyFill="1" applyBorder="1" applyAlignment="1">
      <alignment horizontal="center" vertical="center"/>
    </xf>
    <xf numFmtId="0" fontId="11" fillId="0" borderId="5" xfId="0" applyFont="1" applyFill="1" applyBorder="1"/>
    <xf numFmtId="0" fontId="0" fillId="0" borderId="5" xfId="0" applyFont="1" applyFill="1" applyBorder="1"/>
    <xf numFmtId="0" fontId="0" fillId="0" borderId="5" xfId="0" applyNumberFormat="1" applyFont="1" applyFill="1" applyBorder="1"/>
    <xf numFmtId="0" fontId="0" fillId="43" borderId="15" xfId="0" applyFill="1" applyBorder="1" applyAlignment="1">
      <alignment vertical="center"/>
    </xf>
    <xf numFmtId="0" fontId="0" fillId="10" borderId="0" xfId="0" applyFill="1" applyBorder="1" applyAlignment="1">
      <alignment vertical="center"/>
    </xf>
    <xf numFmtId="0" fontId="4" fillId="10" borderId="0" xfId="0" applyFont="1" applyFill="1" applyBorder="1" applyAlignment="1">
      <alignment vertical="center"/>
    </xf>
    <xf numFmtId="0" fontId="0" fillId="43" borderId="16" xfId="0" applyFill="1" applyBorder="1" applyAlignment="1">
      <alignment vertical="center"/>
    </xf>
    <xf numFmtId="0" fontId="0" fillId="40" borderId="12" xfId="0" applyFill="1" applyBorder="1" applyAlignment="1">
      <alignment vertical="center"/>
    </xf>
    <xf numFmtId="0" fontId="0" fillId="40" borderId="13" xfId="0" applyFill="1" applyBorder="1" applyAlignment="1">
      <alignment vertical="center"/>
    </xf>
    <xf numFmtId="0" fontId="0" fillId="40" borderId="14" xfId="0" applyFill="1" applyBorder="1" applyAlignment="1">
      <alignment vertical="center"/>
    </xf>
    <xf numFmtId="0" fontId="0" fillId="40" borderId="15" xfId="0" applyFill="1" applyBorder="1" applyAlignment="1">
      <alignment vertical="center"/>
    </xf>
    <xf numFmtId="0" fontId="0" fillId="40" borderId="16" xfId="0" applyFill="1" applyBorder="1" applyAlignment="1">
      <alignment vertical="center"/>
    </xf>
    <xf numFmtId="0" fontId="0" fillId="43" borderId="0" xfId="0" applyFill="1" applyBorder="1" applyAlignment="1">
      <alignment vertical="center"/>
    </xf>
    <xf numFmtId="0" fontId="0" fillId="43" borderId="46" xfId="0" applyFill="1" applyBorder="1" applyAlignment="1">
      <alignment vertical="center"/>
    </xf>
    <xf numFmtId="0" fontId="0" fillId="43" borderId="47" xfId="0" applyFill="1" applyBorder="1" applyAlignment="1">
      <alignment vertical="center"/>
    </xf>
    <xf numFmtId="0" fontId="0" fillId="10" borderId="47" xfId="0" applyFill="1" applyBorder="1" applyAlignment="1">
      <alignment vertical="center"/>
    </xf>
    <xf numFmtId="0" fontId="0" fillId="43" borderId="48" xfId="0" applyFill="1" applyBorder="1" applyAlignment="1">
      <alignment vertical="center"/>
    </xf>
    <xf numFmtId="0" fontId="3" fillId="43" borderId="15" xfId="0" applyFont="1" applyFill="1" applyBorder="1" applyAlignment="1">
      <alignment vertical="center"/>
    </xf>
    <xf numFmtId="0" fontId="3" fillId="43" borderId="0" xfId="0" applyFont="1" applyFill="1" applyBorder="1" applyAlignment="1">
      <alignment vertical="center"/>
    </xf>
    <xf numFmtId="165" fontId="63" fillId="0" borderId="0" xfId="7" applyNumberFormat="1" applyFont="1" applyBorder="1" applyAlignment="1">
      <alignment vertical="center"/>
    </xf>
    <xf numFmtId="165" fontId="29" fillId="0" borderId="0" xfId="7" applyNumberFormat="1" applyFont="1" applyBorder="1" applyAlignment="1">
      <alignment vertical="center"/>
    </xf>
    <xf numFmtId="0" fontId="29" fillId="10" borderId="0" xfId="0" applyFont="1" applyFill="1" applyBorder="1" applyAlignment="1">
      <alignment horizontal="left" vertical="center"/>
    </xf>
    <xf numFmtId="0" fontId="36" fillId="18" borderId="0" xfId="0" applyFont="1" applyFill="1" applyAlignment="1"/>
    <xf numFmtId="0" fontId="25" fillId="18" borderId="0" xfId="0" applyFont="1" applyFill="1" applyAlignment="1"/>
    <xf numFmtId="0" fontId="0" fillId="10" borderId="0" xfId="0" applyFill="1" applyAlignment="1"/>
    <xf numFmtId="0" fontId="7" fillId="17" borderId="1" xfId="6" applyFill="1" applyBorder="1" applyAlignment="1">
      <alignment horizontal="center" vertical="center" wrapText="1"/>
    </xf>
    <xf numFmtId="0" fontId="7" fillId="17" borderId="1" xfId="6" applyFill="1" applyBorder="1" applyAlignment="1">
      <alignment horizontal="center" vertical="center"/>
    </xf>
    <xf numFmtId="165" fontId="0" fillId="0" borderId="0" xfId="0" applyNumberFormat="1" applyAlignment="1">
      <alignment vertical="center"/>
    </xf>
    <xf numFmtId="49" fontId="11" fillId="46" borderId="1" xfId="0" applyNumberFormat="1" applyFont="1" applyFill="1" applyBorder="1" applyAlignment="1">
      <alignment horizontal="left" vertical="center"/>
    </xf>
    <xf numFmtId="49" fontId="11" fillId="0" borderId="1" xfId="0" applyNumberFormat="1" applyFont="1" applyBorder="1" applyAlignment="1">
      <alignment horizontal="left" vertical="center"/>
    </xf>
    <xf numFmtId="0" fontId="11" fillId="46" borderId="1" xfId="0" applyFont="1" applyFill="1" applyBorder="1" applyAlignment="1">
      <alignment horizontal="left" vertical="center"/>
    </xf>
    <xf numFmtId="0" fontId="11" fillId="0" borderId="1" xfId="0" applyFont="1" applyBorder="1" applyAlignment="1">
      <alignment horizontal="left" vertical="center"/>
    </xf>
    <xf numFmtId="1" fontId="56" fillId="0" borderId="0" xfId="5" applyNumberFormat="1" applyFont="1" applyFill="1" applyBorder="1" applyAlignment="1">
      <alignment horizontal="center" vertical="center"/>
    </xf>
    <xf numFmtId="15" fontId="0" fillId="0" borderId="1" xfId="0" applyNumberFormat="1" applyFont="1" applyFill="1" applyBorder="1"/>
    <xf numFmtId="0" fontId="0" fillId="3" borderId="0" xfId="0" applyFill="1" applyAlignment="1">
      <alignment vertical="center"/>
    </xf>
    <xf numFmtId="0" fontId="15" fillId="40" borderId="4" xfId="6" applyFont="1" applyFill="1" applyBorder="1" applyAlignment="1">
      <alignment horizontal="left" vertical="center"/>
    </xf>
    <xf numFmtId="170" fontId="0" fillId="0" borderId="0" xfId="0" applyNumberFormat="1" applyFill="1" applyBorder="1" applyAlignment="1">
      <alignment horizontal="left" vertical="center"/>
    </xf>
    <xf numFmtId="49"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49" fontId="11" fillId="0" borderId="0" xfId="0" applyNumberFormat="1" applyFont="1" applyFill="1" applyBorder="1" applyAlignment="1">
      <alignment vertical="center"/>
    </xf>
    <xf numFmtId="49" fontId="11" fillId="0" borderId="5" xfId="0" applyNumberFormat="1" applyFont="1" applyFill="1" applyBorder="1"/>
    <xf numFmtId="49" fontId="11" fillId="0" borderId="5" xfId="14" applyNumberFormat="1" applyFont="1" applyFill="1" applyBorder="1" applyAlignment="1"/>
    <xf numFmtId="49" fontId="11" fillId="0" borderId="5" xfId="0" applyNumberFormat="1" applyFont="1" applyFill="1" applyBorder="1" applyAlignment="1">
      <alignment horizontal="left" vertical="center"/>
    </xf>
    <xf numFmtId="49" fontId="0" fillId="0" borderId="5" xfId="0" applyNumberFormat="1" applyFont="1" applyFill="1" applyBorder="1"/>
    <xf numFmtId="9" fontId="11" fillId="0" borderId="5" xfId="0" applyNumberFormat="1" applyFont="1" applyFill="1" applyBorder="1"/>
    <xf numFmtId="0" fontId="28" fillId="2" borderId="1" xfId="0" applyNumberFormat="1" applyFont="1" applyFill="1" applyBorder="1" applyAlignment="1">
      <alignment horizontal="right" vertical="center"/>
    </xf>
    <xf numFmtId="0" fontId="28" fillId="2" borderId="1" xfId="0" quotePrefix="1" applyNumberFormat="1" applyFont="1" applyFill="1" applyBorder="1" applyAlignment="1">
      <alignment horizontal="right" vertical="center"/>
    </xf>
    <xf numFmtId="49" fontId="39" fillId="2" borderId="1" xfId="0" applyNumberFormat="1" applyFont="1" applyFill="1" applyBorder="1" applyAlignment="1">
      <alignment vertical="center"/>
    </xf>
    <xf numFmtId="0" fontId="56" fillId="0" borderId="0" xfId="0" applyFont="1" applyFill="1" applyBorder="1" applyAlignment="1">
      <alignment vertical="center"/>
    </xf>
    <xf numFmtId="0" fontId="2" fillId="0" borderId="0" xfId="0" applyFont="1" applyFill="1"/>
    <xf numFmtId="0" fontId="5" fillId="0" borderId="0" xfId="0" applyFont="1" applyFill="1"/>
    <xf numFmtId="2" fontId="56" fillId="0" borderId="0" xfId="5" applyNumberFormat="1" applyFont="1" applyFill="1" applyBorder="1" applyAlignment="1">
      <alignment horizontal="center" vertical="center"/>
    </xf>
    <xf numFmtId="1" fontId="2" fillId="0" borderId="0" xfId="0" applyNumberFormat="1" applyFont="1" applyBorder="1" applyAlignment="1">
      <alignment horizontal="center" vertical="center"/>
    </xf>
    <xf numFmtId="15" fontId="56" fillId="0" borderId="0" xfId="5" applyNumberFormat="1" applyFont="1" applyFill="1" applyBorder="1" applyAlignment="1">
      <alignment horizontal="center" vertical="center"/>
    </xf>
    <xf numFmtId="0" fontId="56" fillId="0" borderId="0" xfId="5" applyFont="1" applyFill="1" applyBorder="1" applyAlignment="1">
      <alignment horizontal="center" vertical="center" wrapText="1"/>
    </xf>
    <xf numFmtId="165" fontId="56" fillId="17" borderId="0" xfId="7" applyNumberFormat="1" applyFont="1" applyFill="1" applyBorder="1" applyAlignment="1">
      <alignment horizontal="center" vertical="center"/>
    </xf>
    <xf numFmtId="49" fontId="11" fillId="0" borderId="0" xfId="12" applyNumberFormat="1" applyFont="1" applyFill="1" applyBorder="1" applyAlignment="1">
      <alignment horizontal="left" vertical="center" wrapText="1"/>
    </xf>
    <xf numFmtId="0" fontId="11" fillId="0" borderId="0" xfId="15" applyFont="1" applyFill="1" applyBorder="1" applyAlignment="1">
      <alignment horizontal="right" vertical="center"/>
    </xf>
    <xf numFmtId="0" fontId="11" fillId="0" borderId="0" xfId="0" applyNumberFormat="1" applyFont="1" applyFill="1" applyBorder="1" applyAlignment="1">
      <alignment horizontal="right" vertical="center"/>
    </xf>
    <xf numFmtId="0" fontId="11" fillId="0" borderId="0" xfId="0" applyFont="1" applyFill="1" applyBorder="1" applyAlignment="1">
      <alignment horizontal="right" vertical="center"/>
    </xf>
    <xf numFmtId="2" fontId="11" fillId="0" borderId="0" xfId="0" applyNumberFormat="1" applyFont="1" applyFill="1" applyBorder="1" applyAlignment="1">
      <alignment horizontal="right" vertical="center"/>
    </xf>
    <xf numFmtId="14" fontId="11" fillId="0" borderId="0" xfId="0" applyNumberFormat="1" applyFont="1" applyFill="1" applyBorder="1" applyAlignment="1" applyProtection="1">
      <alignment horizontal="right" vertical="center"/>
    </xf>
    <xf numFmtId="1" fontId="11" fillId="0" borderId="0" xfId="0" applyNumberFormat="1" applyFont="1" applyFill="1" applyBorder="1" applyAlignment="1" applyProtection="1">
      <alignment horizontal="right" vertical="center"/>
    </xf>
    <xf numFmtId="49" fontId="11" fillId="0" borderId="0" xfId="0" applyNumberFormat="1" applyFont="1" applyFill="1" applyBorder="1" applyAlignment="1">
      <alignment horizontal="right" vertical="center"/>
    </xf>
    <xf numFmtId="15" fontId="11" fillId="0" borderId="0" xfId="0" applyNumberFormat="1" applyFont="1" applyFill="1" applyBorder="1" applyAlignment="1">
      <alignment horizontal="right" vertical="center"/>
    </xf>
    <xf numFmtId="49" fontId="11" fillId="0" borderId="0" xfId="0" applyNumberFormat="1" applyFont="1" applyFill="1" applyBorder="1" applyAlignment="1">
      <alignment horizontal="left" vertical="center" wrapText="1"/>
    </xf>
    <xf numFmtId="1" fontId="11" fillId="0" borderId="0" xfId="0" applyNumberFormat="1" applyFont="1" applyFill="1" applyBorder="1" applyAlignment="1" applyProtection="1">
      <alignment vertical="center"/>
    </xf>
    <xf numFmtId="165" fontId="11" fillId="0" borderId="0" xfId="7" applyNumberFormat="1" applyFont="1" applyFill="1" applyBorder="1" applyAlignment="1">
      <alignment vertical="center"/>
    </xf>
    <xf numFmtId="49" fontId="11" fillId="0" borderId="0" xfId="0" applyNumberFormat="1" applyFont="1" applyFill="1" applyBorder="1" applyAlignment="1">
      <alignment horizontal="right"/>
    </xf>
    <xf numFmtId="49" fontId="11" fillId="0" borderId="0" xfId="0" applyNumberFormat="1" applyFont="1" applyBorder="1" applyAlignment="1">
      <alignment vertical="center"/>
    </xf>
    <xf numFmtId="14" fontId="11" fillId="0" borderId="0" xfId="0" applyNumberFormat="1" applyFont="1" applyBorder="1" applyAlignment="1" applyProtection="1">
      <alignment horizontal="right" vertical="center"/>
    </xf>
    <xf numFmtId="1" fontId="11" fillId="0" borderId="0" xfId="0" applyNumberFormat="1" applyFont="1" applyBorder="1" applyAlignment="1" applyProtection="1">
      <alignment horizontal="right" vertical="center"/>
    </xf>
    <xf numFmtId="0" fontId="11" fillId="0" borderId="0" xfId="15" applyFont="1" applyFill="1" applyBorder="1" applyAlignment="1">
      <alignment horizontal="left" vertical="center"/>
    </xf>
    <xf numFmtId="0" fontId="11" fillId="0" borderId="0" xfId="0" applyNumberFormat="1" applyFont="1" applyBorder="1" applyAlignment="1">
      <alignment horizontal="right" vertical="center"/>
    </xf>
    <xf numFmtId="49" fontId="11" fillId="0" borderId="0" xfId="0" applyNumberFormat="1" applyFont="1" applyFill="1" applyBorder="1" applyAlignment="1" applyProtection="1">
      <alignment horizontal="left" vertical="center"/>
      <protection locked="0"/>
    </xf>
    <xf numFmtId="0" fontId="11" fillId="0" borderId="0" xfId="12" applyFont="1" applyFill="1" applyBorder="1" applyAlignment="1">
      <alignment horizontal="left" vertical="center" wrapText="1"/>
    </xf>
    <xf numFmtId="0" fontId="11" fillId="0" borderId="0" xfId="0" applyNumberFormat="1" applyFont="1" applyFill="1" applyBorder="1" applyAlignment="1">
      <alignment horizontal="left" vertical="center"/>
    </xf>
    <xf numFmtId="1" fontId="11" fillId="0" borderId="0" xfId="0" applyNumberFormat="1" applyFont="1" applyBorder="1" applyAlignment="1">
      <alignment horizontal="right" vertical="center"/>
    </xf>
    <xf numFmtId="1" fontId="11" fillId="0" borderId="0" xfId="0" applyNumberFormat="1" applyFont="1" applyFill="1" applyBorder="1" applyAlignment="1">
      <alignment horizontal="right" vertical="center"/>
    </xf>
    <xf numFmtId="14" fontId="11" fillId="0" borderId="0" xfId="0" applyNumberFormat="1" applyFont="1" applyFill="1" applyBorder="1" applyAlignment="1">
      <alignment horizontal="right" vertical="center"/>
    </xf>
    <xf numFmtId="0" fontId="11" fillId="0" borderId="0" xfId="0" applyFont="1" applyFill="1" applyBorder="1" applyAlignment="1">
      <alignment horizontal="left" vertical="center" wrapText="1"/>
    </xf>
    <xf numFmtId="0" fontId="11" fillId="0" borderId="0" xfId="0" applyNumberFormat="1" applyFont="1" applyFill="1" applyBorder="1" applyAlignment="1">
      <alignment vertical="center"/>
    </xf>
    <xf numFmtId="0" fontId="11" fillId="0" borderId="0" xfId="0" applyNumberFormat="1" applyFont="1" applyFill="1" applyBorder="1" applyAlignment="1">
      <alignment horizontal="right"/>
    </xf>
    <xf numFmtId="0" fontId="11" fillId="0" borderId="0" xfId="0" applyNumberFormat="1" applyFont="1" applyFill="1" applyBorder="1" applyAlignment="1">
      <alignment horizontal="left" vertical="center" wrapText="1"/>
    </xf>
    <xf numFmtId="49" fontId="11" fillId="0" borderId="0" xfId="12" applyNumberFormat="1" applyFont="1" applyFill="1" applyBorder="1" applyAlignment="1">
      <alignment horizontal="left" vertical="center"/>
    </xf>
    <xf numFmtId="49" fontId="11" fillId="0" borderId="0" xfId="0" applyNumberFormat="1" applyFont="1" applyFill="1" applyBorder="1" applyAlignment="1" applyProtection="1">
      <alignment horizontal="left" vertical="center" wrapText="1"/>
      <protection locked="0"/>
    </xf>
    <xf numFmtId="14" fontId="11" fillId="0" borderId="0" xfId="0" applyNumberFormat="1" applyFont="1" applyBorder="1" applyAlignment="1">
      <alignment horizontal="right" vertical="center"/>
    </xf>
    <xf numFmtId="49" fontId="11" fillId="0" borderId="0" xfId="0" applyNumberFormat="1" applyFont="1" applyBorder="1" applyAlignment="1">
      <alignment horizontal="right" vertical="center"/>
    </xf>
    <xf numFmtId="1" fontId="11" fillId="0" borderId="0" xfId="0" applyNumberFormat="1" applyFont="1" applyFill="1" applyBorder="1" applyAlignment="1">
      <alignment vertical="center"/>
    </xf>
    <xf numFmtId="0" fontId="11" fillId="0" borderId="0" xfId="12" applyFont="1" applyFill="1" applyBorder="1" applyAlignment="1">
      <alignment horizontal="left" vertical="center"/>
    </xf>
    <xf numFmtId="22" fontId="11" fillId="0" borderId="0" xfId="0" applyNumberFormat="1" applyFont="1" applyFill="1" applyBorder="1" applyAlignment="1">
      <alignment horizontal="right" vertical="center"/>
    </xf>
    <xf numFmtId="49" fontId="11" fillId="0" borderId="0" xfId="12" applyNumberFormat="1" applyFont="1" applyFill="1" applyBorder="1" applyAlignment="1">
      <alignment vertical="center" wrapText="1"/>
    </xf>
    <xf numFmtId="0" fontId="11" fillId="0" borderId="0" xfId="19" applyFont="1" applyFill="1" applyBorder="1" applyAlignment="1">
      <alignment horizontal="left"/>
    </xf>
    <xf numFmtId="49" fontId="11" fillId="0" borderId="0" xfId="12" applyNumberFormat="1" applyFont="1" applyFill="1" applyBorder="1" applyAlignment="1">
      <alignment vertical="center"/>
    </xf>
    <xf numFmtId="15" fontId="11" fillId="0" borderId="0" xfId="12" applyNumberFormat="1" applyFont="1" applyFill="1" applyBorder="1" applyAlignment="1">
      <alignment horizontal="right" vertical="center" wrapText="1"/>
    </xf>
    <xf numFmtId="1" fontId="11" fillId="0" borderId="0" xfId="0" applyNumberFormat="1" applyFont="1" applyBorder="1" applyAlignment="1">
      <alignment vertical="center"/>
    </xf>
    <xf numFmtId="0" fontId="11" fillId="0" borderId="0" xfId="4" applyFont="1" applyFill="1" applyBorder="1" applyAlignment="1">
      <alignment horizontal="right" vertical="center"/>
    </xf>
    <xf numFmtId="0" fontId="11" fillId="0" borderId="0" xfId="15" applyNumberFormat="1" applyFont="1" applyFill="1" applyBorder="1" applyAlignment="1">
      <alignment horizontal="right" vertical="center"/>
    </xf>
    <xf numFmtId="17" fontId="11" fillId="0" borderId="0" xfId="0" applyNumberFormat="1" applyFont="1" applyFill="1" applyBorder="1" applyAlignment="1">
      <alignment horizontal="right" vertical="center"/>
    </xf>
    <xf numFmtId="0" fontId="11" fillId="0" borderId="0" xfId="0" applyFont="1" applyFill="1" applyBorder="1" applyAlignment="1">
      <alignment horizontal="right"/>
    </xf>
    <xf numFmtId="15" fontId="11" fillId="0" borderId="0" xfId="0" applyNumberFormat="1" applyFont="1" applyFill="1" applyBorder="1" applyAlignment="1">
      <alignment horizontal="left" vertical="center" wrapText="1"/>
    </xf>
    <xf numFmtId="0" fontId="11" fillId="0" borderId="0" xfId="0" applyNumberFormat="1" applyFont="1" applyFill="1" applyBorder="1" applyAlignment="1" applyProtection="1">
      <alignment horizontal="left" vertical="center"/>
      <protection locked="0"/>
    </xf>
    <xf numFmtId="49" fontId="11" fillId="0" borderId="0" xfId="18" applyNumberFormat="1" applyFont="1" applyFill="1" applyBorder="1" applyAlignment="1">
      <alignment horizontal="left"/>
    </xf>
    <xf numFmtId="49" fontId="11" fillId="20" borderId="0" xfId="12" applyNumberFormat="1" applyFont="1" applyFill="1" applyBorder="1" applyAlignment="1">
      <alignment horizontal="left" vertical="center" wrapText="1"/>
    </xf>
    <xf numFmtId="0" fontId="11" fillId="0" borderId="0" xfId="0" applyNumberFormat="1" applyFont="1" applyFill="1" applyBorder="1" applyAlignment="1" applyProtection="1">
      <alignment horizontal="left" vertical="center" wrapText="1"/>
      <protection locked="0"/>
    </xf>
    <xf numFmtId="0" fontId="11" fillId="0" borderId="0" xfId="0" applyFont="1" applyFill="1" applyBorder="1" applyAlignment="1">
      <alignment horizontal="left"/>
    </xf>
    <xf numFmtId="171" fontId="11" fillId="0" borderId="0" xfId="0" applyNumberFormat="1" applyFont="1" applyFill="1" applyBorder="1" applyAlignment="1">
      <alignment horizontal="right"/>
    </xf>
    <xf numFmtId="172" fontId="11" fillId="0" borderId="0" xfId="15" applyNumberFormat="1" applyFont="1" applyFill="1" applyBorder="1" applyAlignment="1">
      <alignment horizontal="right" vertical="center"/>
    </xf>
    <xf numFmtId="0" fontId="9" fillId="40" borderId="0" xfId="6" applyFont="1" applyFill="1" applyBorder="1" applyAlignment="1">
      <alignment horizontal="left" vertical="center"/>
    </xf>
    <xf numFmtId="0" fontId="0" fillId="40" borderId="18" xfId="0" applyFill="1" applyBorder="1" applyAlignment="1">
      <alignment vertical="center"/>
    </xf>
    <xf numFmtId="0" fontId="42" fillId="40" borderId="4" xfId="0" applyFont="1" applyFill="1" applyBorder="1" applyAlignment="1">
      <alignment vertical="center"/>
    </xf>
    <xf numFmtId="0" fontId="42" fillId="40" borderId="0" xfId="0" applyFont="1" applyFill="1" applyBorder="1" applyAlignment="1">
      <alignment vertical="center"/>
    </xf>
    <xf numFmtId="0" fontId="42" fillId="40" borderId="39" xfId="0" applyFont="1" applyFill="1" applyBorder="1" applyAlignment="1">
      <alignment vertical="center"/>
    </xf>
    <xf numFmtId="0" fontId="42" fillId="0" borderId="0" xfId="0" applyFont="1" applyFill="1" applyBorder="1" applyAlignment="1">
      <alignment vertical="center"/>
    </xf>
    <xf numFmtId="0" fontId="42" fillId="40" borderId="43" xfId="0" applyFont="1" applyFill="1" applyBorder="1" applyAlignment="1">
      <alignment vertical="center"/>
    </xf>
    <xf numFmtId="0" fontId="42" fillId="40" borderId="17" xfId="0" applyFont="1" applyFill="1" applyBorder="1" applyAlignment="1">
      <alignment vertical="center"/>
    </xf>
    <xf numFmtId="0" fontId="0" fillId="0" borderId="2" xfId="0" pivotButton="1" applyBorder="1" applyAlignment="1">
      <alignment vertical="center"/>
    </xf>
    <xf numFmtId="0" fontId="0" fillId="0" borderId="3" xfId="0" applyBorder="1" applyAlignment="1">
      <alignment vertical="center"/>
    </xf>
    <xf numFmtId="165" fontId="0" fillId="0" borderId="0" xfId="7" applyNumberFormat="1" applyFont="1" applyAlignment="1">
      <alignment vertical="center"/>
    </xf>
    <xf numFmtId="0" fontId="0" fillId="0" borderId="4" xfId="0" applyBorder="1" applyAlignment="1">
      <alignment vertical="center"/>
    </xf>
    <xf numFmtId="165" fontId="0" fillId="0" borderId="0" xfId="0" applyNumberFormat="1" applyBorder="1" applyAlignment="1">
      <alignment vertical="center"/>
    </xf>
    <xf numFmtId="165" fontId="0" fillId="0" borderId="39" xfId="0" applyNumberFormat="1" applyBorder="1" applyAlignment="1">
      <alignment vertical="center"/>
    </xf>
    <xf numFmtId="0" fontId="56" fillId="36" borderId="23" xfId="0" applyFont="1" applyFill="1" applyBorder="1" applyAlignment="1">
      <alignment vertical="center"/>
    </xf>
    <xf numFmtId="0" fontId="56" fillId="36" borderId="43" xfId="0" applyFont="1" applyFill="1" applyBorder="1" applyAlignment="1">
      <alignment vertical="center"/>
    </xf>
    <xf numFmtId="165" fontId="56" fillId="36" borderId="43" xfId="0" applyNumberFormat="1" applyFont="1" applyFill="1" applyBorder="1" applyAlignment="1">
      <alignment vertical="center"/>
    </xf>
    <xf numFmtId="165" fontId="56" fillId="36" borderId="17" xfId="0" applyNumberFormat="1" applyFont="1" applyFill="1" applyBorder="1" applyAlignment="1">
      <alignment vertical="center"/>
    </xf>
    <xf numFmtId="0" fontId="12" fillId="45" borderId="0" xfId="0" applyFont="1" applyFill="1" applyBorder="1" applyAlignment="1">
      <alignment horizontal="left" vertical="center"/>
    </xf>
    <xf numFmtId="0" fontId="12" fillId="45" borderId="0" xfId="0" applyFont="1" applyFill="1" applyBorder="1" applyAlignment="1">
      <alignment horizontal="center" vertical="center"/>
    </xf>
    <xf numFmtId="0" fontId="64" fillId="28" borderId="0" xfId="0" applyFont="1" applyFill="1" applyBorder="1" applyAlignment="1">
      <alignment vertical="center"/>
    </xf>
    <xf numFmtId="0" fontId="4" fillId="28" borderId="0" xfId="0" applyFont="1" applyFill="1" applyBorder="1" applyAlignment="1">
      <alignment vertical="center"/>
    </xf>
    <xf numFmtId="0" fontId="4" fillId="0" borderId="0" xfId="0" applyFont="1" applyBorder="1" applyAlignment="1">
      <alignment vertical="center"/>
    </xf>
    <xf numFmtId="165" fontId="28" fillId="0" borderId="0" xfId="7" applyNumberFormat="1" applyFont="1" applyBorder="1" applyAlignment="1">
      <alignment vertical="center"/>
    </xf>
    <xf numFmtId="165" fontId="4" fillId="0" borderId="0" xfId="7" applyNumberFormat="1" applyFont="1" applyBorder="1" applyAlignment="1">
      <alignment vertical="center"/>
    </xf>
    <xf numFmtId="0" fontId="64" fillId="10" borderId="0" xfId="0" applyFont="1" applyFill="1" applyBorder="1" applyAlignment="1">
      <alignment vertical="center"/>
    </xf>
    <xf numFmtId="165" fontId="12" fillId="0" borderId="0" xfId="7" applyNumberFormat="1" applyFont="1" applyBorder="1" applyAlignment="1">
      <alignment vertical="center"/>
    </xf>
    <xf numFmtId="165" fontId="64" fillId="0" borderId="0" xfId="7" applyNumberFormat="1" applyFont="1" applyBorder="1" applyAlignment="1">
      <alignment vertical="center"/>
    </xf>
    <xf numFmtId="0" fontId="26" fillId="13" borderId="0" xfId="0" applyFont="1" applyFill="1" applyBorder="1" applyAlignment="1"/>
    <xf numFmtId="0" fontId="26" fillId="35" borderId="0" xfId="0" applyFont="1" applyFill="1" applyBorder="1" applyAlignment="1">
      <alignment wrapText="1"/>
    </xf>
    <xf numFmtId="0" fontId="26" fillId="39" borderId="0" xfId="0" applyFont="1" applyFill="1" applyBorder="1" applyAlignment="1">
      <alignment wrapText="1"/>
    </xf>
    <xf numFmtId="0" fontId="26" fillId="38" borderId="0" xfId="0" applyFont="1" applyFill="1" applyBorder="1" applyAlignment="1">
      <alignment wrapText="1"/>
    </xf>
    <xf numFmtId="0" fontId="26" fillId="37" borderId="0" xfId="0" applyFont="1" applyFill="1" applyBorder="1" applyAlignment="1">
      <alignment wrapText="1"/>
    </xf>
    <xf numFmtId="0" fontId="40" fillId="36" borderId="0" xfId="0" applyFont="1" applyFill="1" applyBorder="1" applyAlignment="1">
      <alignment wrapText="1"/>
    </xf>
    <xf numFmtId="0" fontId="4" fillId="0" borderId="0" xfId="0" applyFont="1" applyFill="1" applyBorder="1" applyAlignment="1">
      <alignment vertical="center"/>
    </xf>
    <xf numFmtId="0" fontId="26" fillId="13" borderId="0" xfId="0" applyFont="1" applyFill="1" applyBorder="1" applyAlignment="1">
      <alignment vertical="center"/>
    </xf>
    <xf numFmtId="165" fontId="26" fillId="0" borderId="0" xfId="7" applyNumberFormat="1" applyFont="1" applyFill="1" applyBorder="1" applyAlignment="1">
      <alignment vertical="center"/>
    </xf>
    <xf numFmtId="0" fontId="29" fillId="44" borderId="0" xfId="0" applyFont="1" applyFill="1" applyBorder="1"/>
    <xf numFmtId="0" fontId="29" fillId="10" borderId="0" xfId="0" applyFont="1" applyFill="1" applyBorder="1"/>
    <xf numFmtId="0" fontId="64" fillId="0" borderId="0" xfId="0" applyFont="1" applyBorder="1" applyAlignment="1">
      <alignment vertical="center"/>
    </xf>
    <xf numFmtId="0" fontId="26" fillId="10" borderId="0" xfId="0" applyFont="1" applyFill="1" applyBorder="1" applyAlignment="1">
      <alignment horizontal="left"/>
    </xf>
    <xf numFmtId="0" fontId="64" fillId="13" borderId="0" xfId="0" applyFont="1" applyFill="1" applyBorder="1" applyAlignment="1">
      <alignment horizontal="center" vertical="center"/>
    </xf>
    <xf numFmtId="0" fontId="4" fillId="13" borderId="0" xfId="0" applyFont="1" applyFill="1" applyBorder="1" applyAlignment="1">
      <alignment vertical="center"/>
    </xf>
    <xf numFmtId="0" fontId="26" fillId="10" borderId="0" xfId="0" applyFont="1" applyFill="1" applyBorder="1" applyAlignment="1">
      <alignment horizontal="left" vertical="top"/>
    </xf>
    <xf numFmtId="0" fontId="64" fillId="13" borderId="0" xfId="0" applyFont="1" applyFill="1" applyBorder="1" applyAlignment="1">
      <alignment vertical="center"/>
    </xf>
    <xf numFmtId="0" fontId="29" fillId="10" borderId="0" xfId="0" applyFont="1" applyFill="1" applyBorder="1" applyAlignment="1">
      <alignment horizontal="left"/>
    </xf>
    <xf numFmtId="165" fontId="29" fillId="10" borderId="0" xfId="0" applyNumberFormat="1" applyFont="1" applyFill="1" applyBorder="1"/>
    <xf numFmtId="0" fontId="0" fillId="0" borderId="4" xfId="0" applyBorder="1" applyAlignment="1">
      <alignment horizontal="left" indent="1"/>
    </xf>
    <xf numFmtId="0" fontId="11" fillId="0" borderId="0" xfId="0" applyFont="1" applyAlignment="1">
      <alignment vertical="center"/>
    </xf>
    <xf numFmtId="0" fontId="11" fillId="0" borderId="0" xfId="0" applyFont="1" applyBorder="1" applyAlignment="1">
      <alignment vertical="center"/>
    </xf>
    <xf numFmtId="0" fontId="15" fillId="0" borderId="0" xfId="0" applyFont="1" applyAlignment="1">
      <alignment horizontal="center" vertical="center"/>
    </xf>
    <xf numFmtId="0" fontId="56" fillId="0" borderId="0" xfId="0" applyFont="1" applyAlignment="1">
      <alignment vertical="center"/>
    </xf>
    <xf numFmtId="0" fontId="56" fillId="0" borderId="0" xfId="0" applyFont="1" applyBorder="1" applyAlignment="1">
      <alignment vertical="center"/>
    </xf>
    <xf numFmtId="0" fontId="67" fillId="10" borderId="0" xfId="6" applyFont="1" applyFill="1" applyBorder="1" applyAlignment="1">
      <alignment vertical="center"/>
    </xf>
    <xf numFmtId="0" fontId="14" fillId="0" borderId="0" xfId="0" applyFont="1" applyAlignment="1">
      <alignment vertical="center"/>
    </xf>
    <xf numFmtId="15" fontId="0" fillId="0" borderId="5" xfId="0" applyNumberFormat="1" applyFont="1" applyFill="1" applyBorder="1"/>
    <xf numFmtId="15" fontId="0" fillId="0" borderId="1" xfId="0" applyNumberFormat="1" applyFont="1" applyFill="1" applyBorder="1"/>
    <xf numFmtId="0" fontId="11" fillId="0" borderId="0" xfId="12" applyFont="1" applyFill="1" applyAlignment="1">
      <alignment horizontal="left" vertical="center" wrapText="1"/>
    </xf>
    <xf numFmtId="0" fontId="11" fillId="0" borderId="0" xfId="0" applyFont="1" applyFill="1" applyAlignment="1">
      <alignment horizontal="left" vertical="center"/>
    </xf>
    <xf numFmtId="0" fontId="11" fillId="0" borderId="0" xfId="0" applyNumberFormat="1" applyFont="1" applyFill="1" applyAlignment="1">
      <alignment horizontal="left" vertical="center"/>
    </xf>
    <xf numFmtId="0" fontId="66" fillId="0" borderId="0" xfId="0" applyFont="1" applyFill="1"/>
    <xf numFmtId="0" fontId="11" fillId="0" borderId="0" xfId="0" applyFont="1" applyFill="1" applyAlignment="1">
      <alignment horizontal="right" vertical="center"/>
    </xf>
    <xf numFmtId="1" fontId="11" fillId="0" borderId="0" xfId="0" applyNumberFormat="1" applyFont="1" applyFill="1" applyAlignment="1">
      <alignment horizontal="right" vertical="center"/>
    </xf>
    <xf numFmtId="2" fontId="11" fillId="0" borderId="0" xfId="0" applyNumberFormat="1" applyFont="1" applyFill="1" applyAlignment="1">
      <alignment horizontal="right" vertical="center"/>
    </xf>
    <xf numFmtId="49" fontId="11" fillId="0" borderId="0" xfId="0" applyNumberFormat="1" applyFont="1" applyFill="1" applyAlignment="1">
      <alignment vertical="center"/>
    </xf>
    <xf numFmtId="14" fontId="11" fillId="0" borderId="0" xfId="0" applyNumberFormat="1" applyFont="1" applyFill="1" applyAlignment="1">
      <alignment horizontal="right" vertical="center"/>
    </xf>
    <xf numFmtId="15" fontId="11" fillId="0" borderId="0" xfId="0" applyNumberFormat="1" applyFont="1" applyFill="1" applyAlignment="1">
      <alignment horizontal="right" vertical="center"/>
    </xf>
    <xf numFmtId="15" fontId="11" fillId="0" borderId="0" xfId="0" applyNumberFormat="1" applyFont="1" applyFill="1" applyAlignment="1">
      <alignment horizontal="left" vertical="center" wrapText="1"/>
    </xf>
    <xf numFmtId="1" fontId="11" fillId="0" borderId="0" xfId="0" applyNumberFormat="1" applyFont="1" applyFill="1" applyAlignment="1" applyProtection="1">
      <alignment vertical="center"/>
    </xf>
    <xf numFmtId="0" fontId="11" fillId="0" borderId="0" xfId="0" applyNumberFormat="1" applyFont="1" applyFill="1" applyAlignment="1">
      <alignment vertical="center"/>
    </xf>
    <xf numFmtId="0" fontId="11" fillId="0" borderId="0" xfId="0" applyNumberFormat="1" applyFont="1" applyFill="1" applyAlignment="1">
      <alignment horizontal="right" vertical="center"/>
    </xf>
    <xf numFmtId="165" fontId="11" fillId="0" borderId="0" xfId="7" applyNumberFormat="1" applyFont="1" applyFill="1" applyAlignment="1">
      <alignment vertical="center"/>
    </xf>
    <xf numFmtId="0" fontId="11" fillId="0" borderId="0" xfId="0" applyNumberFormat="1" applyFont="1" applyFill="1" applyAlignment="1">
      <alignment horizontal="right"/>
    </xf>
    <xf numFmtId="0" fontId="65" fillId="0" borderId="0" xfId="0" applyFont="1" applyFill="1"/>
    <xf numFmtId="173" fontId="0" fillId="40" borderId="42" xfId="0" applyNumberFormat="1" applyFill="1" applyBorder="1" applyAlignment="1">
      <alignment vertical="center"/>
    </xf>
    <xf numFmtId="173" fontId="0" fillId="40" borderId="0" xfId="0" applyNumberFormat="1" applyFill="1" applyBorder="1" applyAlignment="1">
      <alignment vertical="center"/>
    </xf>
    <xf numFmtId="173" fontId="0" fillId="40" borderId="43" xfId="0" applyNumberFormat="1" applyFill="1" applyBorder="1" applyAlignment="1">
      <alignment vertical="center"/>
    </xf>
    <xf numFmtId="173" fontId="0" fillId="0" borderId="0" xfId="0" applyNumberFormat="1" applyFill="1" applyBorder="1" applyAlignment="1">
      <alignment vertical="center"/>
    </xf>
    <xf numFmtId="173" fontId="4" fillId="3" borderId="1" xfId="0" quotePrefix="1" applyNumberFormat="1" applyFont="1" applyFill="1" applyBorder="1" applyAlignment="1">
      <alignment horizontal="center" vertical="center" wrapText="1"/>
    </xf>
    <xf numFmtId="173" fontId="0" fillId="0" borderId="0" xfId="0" applyNumberFormat="1" applyAlignment="1">
      <alignment vertical="center"/>
    </xf>
    <xf numFmtId="1" fontId="28" fillId="0" borderId="1" xfId="0" applyNumberFormat="1" applyFont="1" applyFill="1" applyBorder="1" applyAlignment="1">
      <alignment horizontal="right" vertical="center"/>
    </xf>
    <xf numFmtId="2" fontId="15" fillId="40" borderId="0" xfId="6" applyNumberFormat="1" applyFont="1" applyFill="1" applyBorder="1" applyAlignment="1">
      <alignment vertical="center"/>
    </xf>
    <xf numFmtId="0" fontId="0" fillId="0" borderId="0" xfId="0" applyFill="1" applyAlignment="1"/>
    <xf numFmtId="0" fontId="11" fillId="0" borderId="0" xfId="12" applyNumberFormat="1" applyFont="1" applyFill="1" applyBorder="1" applyAlignment="1">
      <alignment vertical="center"/>
    </xf>
    <xf numFmtId="1" fontId="11" fillId="0" borderId="0" xfId="12" applyNumberFormat="1" applyFont="1" applyFill="1" applyBorder="1" applyAlignment="1">
      <alignment vertical="center"/>
    </xf>
    <xf numFmtId="0" fontId="0" fillId="0" borderId="0" xfId="0" applyFill="1" applyAlignment="1">
      <alignment wrapText="1"/>
    </xf>
    <xf numFmtId="0" fontId="2" fillId="0" borderId="0" xfId="0" applyFont="1" applyFill="1" applyAlignment="1"/>
    <xf numFmtId="1" fontId="2" fillId="0" borderId="0" xfId="0" applyNumberFormat="1" applyFont="1" applyFill="1" applyAlignment="1"/>
    <xf numFmtId="0" fontId="0" fillId="0" borderId="0" xfId="0" applyFont="1" applyFill="1"/>
    <xf numFmtId="173" fontId="28" fillId="0" borderId="1" xfId="0" applyNumberFormat="1" applyFont="1" applyFill="1" applyBorder="1" applyAlignment="1">
      <alignment horizontal="right" vertical="center"/>
    </xf>
    <xf numFmtId="0" fontId="3" fillId="0" borderId="18" xfId="0" pivotButton="1" applyFont="1" applyBorder="1" applyAlignment="1">
      <alignment horizontal="center" vertical="center" wrapText="1"/>
    </xf>
    <xf numFmtId="0" fontId="3" fillId="0" borderId="42" xfId="0" pivotButton="1" applyFont="1" applyBorder="1" applyAlignment="1">
      <alignment horizontal="center" vertical="center" wrapText="1"/>
    </xf>
    <xf numFmtId="0" fontId="3" fillId="0" borderId="42" xfId="0" pivotButton="1" applyFont="1" applyBorder="1" applyAlignment="1">
      <alignment vertical="center" wrapText="1"/>
    </xf>
    <xf numFmtId="0" fontId="3" fillId="0" borderId="42" xfId="0" pivotButton="1" applyFont="1" applyBorder="1" applyAlignment="1">
      <alignment vertical="center"/>
    </xf>
    <xf numFmtId="165" fontId="3" fillId="0" borderId="42" xfId="0" applyNumberFormat="1" applyFont="1" applyBorder="1" applyAlignment="1">
      <alignment horizontal="center" vertical="center" wrapText="1"/>
    </xf>
    <xf numFmtId="0" fontId="3" fillId="0" borderId="25" xfId="0" applyFont="1" applyBorder="1" applyAlignment="1">
      <alignment vertical="center"/>
    </xf>
    <xf numFmtId="0" fontId="3" fillId="0" borderId="0" xfId="0" applyFont="1" applyAlignment="1">
      <alignment horizontal="center" vertical="center" wrapText="1"/>
    </xf>
    <xf numFmtId="0" fontId="3" fillId="0" borderId="0" xfId="0" applyFont="1" applyAlignment="1">
      <alignment vertical="center"/>
    </xf>
    <xf numFmtId="1" fontId="11" fillId="0" borderId="0" xfId="0" applyNumberFormat="1" applyFont="1" applyFill="1" applyAlignment="1">
      <alignment vertical="center"/>
    </xf>
    <xf numFmtId="9" fontId="0" fillId="10" borderId="0" xfId="8" applyFont="1" applyFill="1"/>
    <xf numFmtId="15" fontId="0" fillId="0" borderId="1" xfId="0" applyNumberFormat="1" applyFont="1" applyFill="1" applyBorder="1"/>
    <xf numFmtId="15" fontId="11" fillId="0" borderId="1" xfId="0" applyNumberFormat="1" applyFont="1" applyFill="1" applyBorder="1"/>
    <xf numFmtId="0" fontId="49" fillId="0" borderId="0" xfId="0" applyFont="1" applyFill="1" applyAlignment="1"/>
    <xf numFmtId="0" fontId="68" fillId="0" borderId="0" xfId="0" applyFont="1" applyFill="1"/>
    <xf numFmtId="0" fontId="11" fillId="7" borderId="6" xfId="0" applyFont="1" applyFill="1" applyBorder="1"/>
    <xf numFmtId="1" fontId="15" fillId="7" borderId="1" xfId="0" applyNumberFormat="1" applyFont="1" applyFill="1" applyBorder="1"/>
    <xf numFmtId="0" fontId="11" fillId="0" borderId="0" xfId="0" applyFont="1" applyAlignment="1">
      <alignment wrapText="1"/>
    </xf>
    <xf numFmtId="0" fontId="11" fillId="0" borderId="0" xfId="0" applyFont="1" applyAlignment="1">
      <alignment vertical="center" textRotation="90"/>
    </xf>
    <xf numFmtId="0" fontId="11" fillId="0" borderId="0" xfId="0" applyFont="1" applyFill="1" applyAlignment="1">
      <alignment vertical="center" textRotation="90"/>
    </xf>
    <xf numFmtId="0" fontId="11" fillId="0" borderId="0" xfId="0" applyFont="1" applyFill="1" applyAlignment="1">
      <alignment horizontal="left" vertical="center" wrapText="1"/>
    </xf>
    <xf numFmtId="0" fontId="69" fillId="30" borderId="0" xfId="0" applyFont="1" applyFill="1" applyBorder="1"/>
    <xf numFmtId="0" fontId="69" fillId="0" borderId="0" xfId="0" applyFont="1" applyFill="1" applyBorder="1"/>
    <xf numFmtId="2" fontId="69" fillId="30" borderId="0" xfId="0" applyNumberFormat="1" applyFont="1" applyFill="1" applyBorder="1"/>
    <xf numFmtId="2" fontId="69" fillId="0" borderId="0" xfId="0" applyNumberFormat="1" applyFont="1" applyFill="1" applyBorder="1"/>
    <xf numFmtId="165" fontId="69" fillId="0" borderId="0" xfId="7" applyNumberFormat="1" applyFont="1" applyFill="1" applyBorder="1"/>
    <xf numFmtId="0" fontId="69" fillId="0" borderId="0" xfId="0" applyNumberFormat="1" applyFont="1" applyFill="1" applyBorder="1"/>
    <xf numFmtId="9" fontId="69" fillId="0" borderId="0" xfId="8" applyFont="1" applyFill="1" applyBorder="1"/>
    <xf numFmtId="0" fontId="70" fillId="0" borderId="19" xfId="0" applyNumberFormat="1" applyFont="1" applyFill="1" applyBorder="1"/>
    <xf numFmtId="1" fontId="70" fillId="0" borderId="2" xfId="0" applyNumberFormat="1" applyFont="1" applyFill="1" applyBorder="1"/>
    <xf numFmtId="165" fontId="71" fillId="0" borderId="0" xfId="7" applyNumberFormat="1" applyFont="1" applyFill="1" applyBorder="1"/>
    <xf numFmtId="165" fontId="69" fillId="0" borderId="0" xfId="0" applyNumberFormat="1" applyFont="1" applyFill="1" applyBorder="1"/>
    <xf numFmtId="9" fontId="69" fillId="5" borderId="0" xfId="0" applyNumberFormat="1" applyFont="1" applyFill="1" applyBorder="1"/>
    <xf numFmtId="9" fontId="69" fillId="0" borderId="0" xfId="0" applyNumberFormat="1" applyFont="1" applyFill="1" applyBorder="1"/>
    <xf numFmtId="0" fontId="70" fillId="0" borderId="25" xfId="0" applyNumberFormat="1" applyFont="1" applyFill="1" applyBorder="1"/>
    <xf numFmtId="1" fontId="70" fillId="0" borderId="18" xfId="0" applyNumberFormat="1" applyFont="1" applyFill="1" applyBorder="1"/>
    <xf numFmtId="165" fontId="69" fillId="0" borderId="28" xfId="0" applyNumberFormat="1" applyFont="1" applyFill="1" applyBorder="1"/>
    <xf numFmtId="0" fontId="11" fillId="47" borderId="0" xfId="0" applyFont="1" applyFill="1"/>
    <xf numFmtId="0" fontId="11" fillId="47" borderId="0" xfId="0" applyFont="1" applyFill="1" applyAlignment="1"/>
    <xf numFmtId="0" fontId="56" fillId="0" borderId="0" xfId="5" applyFont="1" applyFill="1" applyBorder="1" applyAlignment="1">
      <alignment horizontal="left" vertical="center"/>
    </xf>
    <xf numFmtId="168" fontId="11" fillId="0" borderId="0" xfId="12" applyNumberFormat="1" applyFont="1" applyFill="1" applyBorder="1" applyAlignment="1">
      <alignment horizontal="left" vertical="center"/>
    </xf>
    <xf numFmtId="0" fontId="0" fillId="0" borderId="1" xfId="0" applyBorder="1"/>
    <xf numFmtId="0" fontId="0" fillId="0" borderId="1" xfId="0" applyNumberFormat="1" applyFont="1" applyFill="1" applyBorder="1" applyAlignment="1">
      <alignment wrapText="1"/>
    </xf>
    <xf numFmtId="1" fontId="28" fillId="0" borderId="25" xfId="0" applyNumberFormat="1" applyFont="1" applyFill="1" applyBorder="1" applyAlignment="1">
      <alignment horizontal="center" vertical="center"/>
    </xf>
    <xf numFmtId="169" fontId="28" fillId="0" borderId="5" xfId="0" applyNumberFormat="1" applyFont="1" applyFill="1" applyBorder="1" applyAlignment="1">
      <alignment vertical="center"/>
    </xf>
    <xf numFmtId="0" fontId="28" fillId="0" borderId="5" xfId="0" applyNumberFormat="1" applyFont="1" applyFill="1" applyBorder="1" applyAlignment="1">
      <alignment horizontal="right" vertical="center"/>
    </xf>
    <xf numFmtId="9" fontId="28" fillId="0" borderId="5" xfId="0" applyNumberFormat="1" applyFont="1" applyFill="1" applyBorder="1" applyAlignment="1">
      <alignment horizontal="center" vertical="center"/>
    </xf>
    <xf numFmtId="0" fontId="0" fillId="0" borderId="0" xfId="0"/>
    <xf numFmtId="0" fontId="0" fillId="0" borderId="0" xfId="0" applyFill="1" applyBorder="1" applyAlignment="1">
      <alignment vertical="center"/>
    </xf>
    <xf numFmtId="0" fontId="0" fillId="0" borderId="0" xfId="0" applyFill="1" applyAlignment="1">
      <alignment vertical="center"/>
    </xf>
    <xf numFmtId="0" fontId="28" fillId="0" borderId="11" xfId="0" applyNumberFormat="1" applyFont="1" applyFill="1" applyBorder="1" applyAlignment="1">
      <alignment horizontal="center" vertical="center"/>
    </xf>
    <xf numFmtId="1" fontId="28" fillId="0" borderId="5" xfId="0" applyNumberFormat="1" applyFont="1" applyFill="1" applyBorder="1" applyAlignment="1">
      <alignment horizontal="center" vertical="center"/>
    </xf>
    <xf numFmtId="1" fontId="28" fillId="0" borderId="1" xfId="8" applyNumberFormat="1" applyFont="1" applyFill="1" applyBorder="1" applyAlignment="1">
      <alignment horizontal="center" vertical="center"/>
    </xf>
    <xf numFmtId="1" fontId="4" fillId="0" borderId="1" xfId="0" applyNumberFormat="1" applyFont="1" applyFill="1" applyBorder="1" applyAlignment="1">
      <alignment horizontal="center"/>
    </xf>
    <xf numFmtId="1" fontId="28" fillId="0" borderId="0" xfId="0" applyNumberFormat="1" applyFont="1" applyFill="1" applyBorder="1" applyAlignment="1">
      <alignment horizontal="center" vertical="center"/>
    </xf>
    <xf numFmtId="1" fontId="28" fillId="0" borderId="5" xfId="0" applyNumberFormat="1" applyFont="1" applyFill="1" applyBorder="1" applyAlignment="1">
      <alignment horizontal="center"/>
    </xf>
    <xf numFmtId="1" fontId="28" fillId="0" borderId="1" xfId="0" quotePrefix="1" applyNumberFormat="1" applyFont="1" applyFill="1" applyBorder="1" applyAlignment="1">
      <alignment horizontal="center" vertical="center"/>
    </xf>
    <xf numFmtId="1" fontId="28" fillId="0" borderId="5" xfId="0" quotePrefix="1" applyNumberFormat="1" applyFont="1" applyFill="1" applyBorder="1" applyAlignment="1">
      <alignment horizontal="center" vertical="center"/>
    </xf>
    <xf numFmtId="1" fontId="4" fillId="0" borderId="5" xfId="0" applyNumberFormat="1" applyFont="1" applyFill="1" applyBorder="1" applyAlignment="1">
      <alignment horizontal="center"/>
    </xf>
    <xf numFmtId="0" fontId="11" fillId="0" borderId="51" xfId="0" applyFont="1" applyFill="1" applyBorder="1" applyAlignment="1">
      <alignment horizontal="left" vertical="center"/>
    </xf>
    <xf numFmtId="2" fontId="11" fillId="0" borderId="51" xfId="0" applyNumberFormat="1" applyFont="1" applyFill="1" applyBorder="1" applyAlignment="1">
      <alignment horizontal="right" vertical="center"/>
    </xf>
    <xf numFmtId="49" fontId="11" fillId="0" borderId="51" xfId="0" applyNumberFormat="1" applyFont="1" applyFill="1" applyBorder="1" applyAlignment="1">
      <alignment vertical="center"/>
    </xf>
    <xf numFmtId="0" fontId="11" fillId="0" borderId="51" xfId="0" applyFont="1" applyFill="1" applyBorder="1" applyAlignment="1">
      <alignment vertical="center"/>
    </xf>
    <xf numFmtId="0" fontId="0" fillId="0" borderId="15" xfId="0" applyFont="1" applyFill="1" applyBorder="1"/>
    <xf numFmtId="0" fontId="0" fillId="0" borderId="16" xfId="0" applyFont="1" applyFill="1" applyBorder="1"/>
    <xf numFmtId="0" fontId="0" fillId="0" borderId="0" xfId="0" applyFill="1" applyAlignment="1">
      <alignment horizontal="right" vertical="center"/>
    </xf>
    <xf numFmtId="0" fontId="11" fillId="0" borderId="0" xfId="12" applyNumberFormat="1" applyFont="1" applyFill="1" applyBorder="1" applyAlignment="1">
      <alignment horizontal="right" vertical="center"/>
    </xf>
    <xf numFmtId="1" fontId="11" fillId="0" borderId="0" xfId="12" applyNumberFormat="1" applyFont="1" applyFill="1" applyBorder="1" applyAlignment="1">
      <alignment horizontal="right" vertical="center"/>
    </xf>
    <xf numFmtId="0" fontId="2" fillId="0" borderId="0" xfId="0" applyFont="1" applyFill="1" applyBorder="1" applyAlignment="1">
      <alignment horizontal="right" vertical="center"/>
    </xf>
    <xf numFmtId="0" fontId="0" fillId="0" borderId="0" xfId="0" applyFill="1" applyBorder="1" applyAlignment="1">
      <alignment horizontal="right"/>
    </xf>
    <xf numFmtId="0" fontId="0" fillId="0" borderId="0" xfId="0" applyFill="1" applyAlignment="1">
      <alignment horizontal="right" wrapText="1"/>
    </xf>
    <xf numFmtId="0" fontId="54" fillId="2" borderId="8" xfId="0" applyFont="1" applyFill="1" applyBorder="1" applyAlignment="1">
      <alignment horizontal="left"/>
    </xf>
    <xf numFmtId="0" fontId="53" fillId="0" borderId="20" xfId="0" applyFont="1" applyFill="1" applyBorder="1" applyAlignment="1">
      <alignment horizontal="left"/>
    </xf>
    <xf numFmtId="0" fontId="24" fillId="0" borderId="0" xfId="6" applyFont="1" applyFill="1" applyBorder="1" applyAlignment="1">
      <alignment horizontal="left" vertical="center"/>
    </xf>
    <xf numFmtId="15" fontId="73" fillId="0" borderId="1" xfId="0" applyNumberFormat="1" applyFont="1" applyFill="1" applyBorder="1"/>
    <xf numFmtId="0" fontId="74" fillId="0" borderId="1" xfId="0" applyFont="1" applyFill="1" applyBorder="1"/>
    <xf numFmtId="0" fontId="73" fillId="0" borderId="1" xfId="0" applyFont="1" applyFill="1" applyBorder="1"/>
    <xf numFmtId="49" fontId="73" fillId="0" borderId="1" xfId="0" applyNumberFormat="1" applyFont="1" applyFill="1" applyBorder="1"/>
    <xf numFmtId="0" fontId="73" fillId="0" borderId="1" xfId="0" applyNumberFormat="1" applyFont="1" applyFill="1" applyBorder="1"/>
    <xf numFmtId="9" fontId="74" fillId="0" borderId="1" xfId="0" applyNumberFormat="1" applyFont="1" applyFill="1" applyBorder="1"/>
    <xf numFmtId="9" fontId="73" fillId="0" borderId="1" xfId="0" applyNumberFormat="1" applyFont="1" applyFill="1" applyBorder="1"/>
    <xf numFmtId="0" fontId="0" fillId="0" borderId="0" xfId="0" applyFont="1" applyFill="1" applyBorder="1" applyAlignment="1">
      <alignment horizontal="right" vertical="center"/>
    </xf>
    <xf numFmtId="0" fontId="11" fillId="20" borderId="0" xfId="0" applyFont="1" applyFill="1"/>
    <xf numFmtId="173" fontId="11" fillId="0" borderId="0" xfId="0" applyNumberFormat="1" applyFont="1" applyFill="1" applyBorder="1" applyAlignment="1" applyProtection="1">
      <alignment horizontal="right" vertical="center"/>
    </xf>
    <xf numFmtId="173" fontId="11" fillId="0" borderId="0" xfId="0" applyNumberFormat="1" applyFont="1" applyFill="1" applyBorder="1" applyAlignment="1">
      <alignment horizontal="right" vertical="center"/>
    </xf>
    <xf numFmtId="0" fontId="11" fillId="48" borderId="0" xfId="12" applyFont="1" applyFill="1" applyAlignment="1">
      <alignment horizontal="left" vertical="center" wrapText="1"/>
    </xf>
    <xf numFmtId="49" fontId="11" fillId="48" borderId="0" xfId="0" applyNumberFormat="1" applyFont="1" applyFill="1" applyBorder="1" applyAlignment="1">
      <alignment horizontal="left" vertical="center"/>
    </xf>
    <xf numFmtId="0" fontId="11" fillId="48" borderId="0" xfId="0" applyFont="1" applyFill="1" applyAlignment="1">
      <alignment horizontal="left" vertical="center"/>
    </xf>
    <xf numFmtId="0" fontId="11" fillId="48" borderId="0" xfId="0" applyNumberFormat="1" applyFont="1" applyFill="1" applyAlignment="1">
      <alignment horizontal="left" vertical="center"/>
    </xf>
    <xf numFmtId="0" fontId="65" fillId="48" borderId="0" xfId="0" applyFont="1" applyFill="1"/>
    <xf numFmtId="0" fontId="11" fillId="48" borderId="0" xfId="0" applyFont="1" applyFill="1" applyBorder="1" applyAlignment="1">
      <alignment horizontal="left" vertical="center"/>
    </xf>
    <xf numFmtId="0" fontId="11" fillId="48" borderId="0" xfId="0" applyFont="1" applyFill="1" applyAlignment="1">
      <alignment horizontal="right" vertical="center"/>
    </xf>
    <xf numFmtId="1" fontId="11" fillId="48" borderId="0" xfId="0" applyNumberFormat="1" applyFont="1" applyFill="1" applyAlignment="1">
      <alignment horizontal="right" vertical="center"/>
    </xf>
    <xf numFmtId="0" fontId="0" fillId="48" borderId="0" xfId="0" applyFill="1" applyBorder="1" applyAlignment="1">
      <alignment horizontal="right"/>
    </xf>
    <xf numFmtId="2" fontId="11" fillId="48" borderId="0" xfId="0" applyNumberFormat="1" applyFont="1" applyFill="1" applyAlignment="1">
      <alignment horizontal="right" vertical="center"/>
    </xf>
    <xf numFmtId="0" fontId="11" fillId="48" borderId="0" xfId="0" applyFont="1" applyFill="1" applyBorder="1" applyAlignment="1">
      <alignment vertical="center"/>
    </xf>
    <xf numFmtId="49" fontId="11" fillId="48" borderId="0" xfId="0" applyNumberFormat="1" applyFont="1" applyFill="1" applyAlignment="1">
      <alignment vertical="center"/>
    </xf>
    <xf numFmtId="0" fontId="11" fillId="48" borderId="0" xfId="0" applyFont="1" applyFill="1" applyAlignment="1">
      <alignment vertical="center"/>
    </xf>
    <xf numFmtId="14" fontId="11" fillId="48" borderId="0" xfId="0" applyNumberFormat="1" applyFont="1" applyFill="1" applyAlignment="1">
      <alignment horizontal="right" vertical="center"/>
    </xf>
    <xf numFmtId="15" fontId="11" fillId="48" borderId="0" xfId="0" applyNumberFormat="1" applyFont="1" applyFill="1" applyAlignment="1">
      <alignment horizontal="right" vertical="center"/>
    </xf>
    <xf numFmtId="15" fontId="11" fillId="48" borderId="0" xfId="0" applyNumberFormat="1" applyFont="1" applyFill="1" applyAlignment="1">
      <alignment horizontal="left" vertical="center" wrapText="1"/>
    </xf>
    <xf numFmtId="1" fontId="11" fillId="48" borderId="0" xfId="0" applyNumberFormat="1" applyFont="1" applyFill="1" applyAlignment="1" applyProtection="1">
      <alignment vertical="center"/>
    </xf>
    <xf numFmtId="0" fontId="11" fillId="48" borderId="0" xfId="0" applyNumberFormat="1" applyFont="1" applyFill="1" applyAlignment="1">
      <alignment vertical="center"/>
    </xf>
    <xf numFmtId="0" fontId="11" fillId="48" borderId="0" xfId="0" applyNumberFormat="1" applyFont="1" applyFill="1" applyAlignment="1">
      <alignment horizontal="right" vertical="center"/>
    </xf>
    <xf numFmtId="165" fontId="11" fillId="48" borderId="0" xfId="7" applyNumberFormat="1" applyFont="1" applyFill="1" applyAlignment="1">
      <alignment vertical="center"/>
    </xf>
    <xf numFmtId="0" fontId="11" fillId="48" borderId="0" xfId="0" applyNumberFormat="1" applyFont="1" applyFill="1" applyAlignment="1">
      <alignment horizontal="right"/>
    </xf>
    <xf numFmtId="0" fontId="11" fillId="48" borderId="0" xfId="0" applyFont="1" applyFill="1"/>
    <xf numFmtId="0" fontId="2" fillId="48" borderId="0" xfId="0" applyFont="1" applyFill="1"/>
    <xf numFmtId="0" fontId="5" fillId="48" borderId="0" xfId="0" applyFont="1" applyFill="1"/>
    <xf numFmtId="49" fontId="11" fillId="48" borderId="0" xfId="12" applyNumberFormat="1" applyFont="1" applyFill="1" applyBorder="1" applyAlignment="1">
      <alignment horizontal="left" vertical="center" wrapText="1"/>
    </xf>
    <xf numFmtId="49" fontId="11" fillId="48" borderId="0" xfId="0" applyNumberFormat="1" applyFont="1" applyFill="1" applyBorder="1" applyAlignment="1">
      <alignment horizontal="left" vertical="center" wrapText="1"/>
    </xf>
    <xf numFmtId="0" fontId="11" fillId="48" borderId="0" xfId="15" applyFont="1" applyFill="1" applyBorder="1" applyAlignment="1">
      <alignment horizontal="right" vertical="center"/>
    </xf>
    <xf numFmtId="0" fontId="11" fillId="48" borderId="0" xfId="0" applyNumberFormat="1" applyFont="1" applyFill="1" applyBorder="1" applyAlignment="1">
      <alignment horizontal="right" vertical="center"/>
    </xf>
    <xf numFmtId="0" fontId="0" fillId="48" borderId="0" xfId="0" applyFill="1" applyAlignment="1">
      <alignment horizontal="right" vertical="center"/>
    </xf>
    <xf numFmtId="2" fontId="11" fillId="48" borderId="0" xfId="0" applyNumberFormat="1" applyFont="1" applyFill="1" applyBorder="1" applyAlignment="1">
      <alignment horizontal="right" vertical="center"/>
    </xf>
    <xf numFmtId="49" fontId="11" fillId="48" borderId="0" xfId="0" applyNumberFormat="1" applyFont="1" applyFill="1" applyBorder="1" applyAlignment="1">
      <alignment vertical="center"/>
    </xf>
    <xf numFmtId="173" fontId="11" fillId="48" borderId="0" xfId="0" applyNumberFormat="1" applyFont="1" applyFill="1" applyBorder="1" applyAlignment="1" applyProtection="1">
      <alignment horizontal="right" vertical="center"/>
    </xf>
    <xf numFmtId="1" fontId="11" fillId="48" borderId="0" xfId="0" applyNumberFormat="1" applyFont="1" applyFill="1" applyBorder="1" applyAlignment="1" applyProtection="1">
      <alignment horizontal="right" vertical="center"/>
    </xf>
    <xf numFmtId="14" fontId="11" fillId="48" borderId="0" xfId="0" applyNumberFormat="1" applyFont="1" applyFill="1" applyBorder="1" applyAlignment="1" applyProtection="1">
      <alignment horizontal="right" vertical="center"/>
    </xf>
    <xf numFmtId="49" fontId="11" fillId="48" borderId="0" xfId="12" applyNumberFormat="1" applyFont="1" applyFill="1" applyBorder="1" applyAlignment="1">
      <alignment horizontal="left" vertical="center"/>
    </xf>
    <xf numFmtId="49" fontId="11" fillId="48" borderId="0" xfId="0" applyNumberFormat="1" applyFont="1" applyFill="1" applyBorder="1" applyAlignment="1">
      <alignment horizontal="right" vertical="center"/>
    </xf>
    <xf numFmtId="15" fontId="11" fillId="48" borderId="0" xfId="0" applyNumberFormat="1" applyFont="1" applyFill="1" applyBorder="1" applyAlignment="1">
      <alignment horizontal="right" vertical="center"/>
    </xf>
    <xf numFmtId="1" fontId="11" fillId="48" borderId="0" xfId="0" applyNumberFormat="1" applyFont="1" applyFill="1" applyBorder="1" applyAlignment="1" applyProtection="1">
      <alignment vertical="center"/>
    </xf>
    <xf numFmtId="165" fontId="11" fillId="48" borderId="0" xfId="7" applyNumberFormat="1" applyFont="1" applyFill="1" applyBorder="1" applyAlignment="1">
      <alignment vertical="center"/>
    </xf>
    <xf numFmtId="49" fontId="11" fillId="48" borderId="0" xfId="0" applyNumberFormat="1" applyFont="1" applyFill="1" applyBorder="1" applyAlignment="1">
      <alignment horizontal="right"/>
    </xf>
    <xf numFmtId="0" fontId="11" fillId="48" borderId="0" xfId="0" applyFont="1" applyFill="1" applyBorder="1" applyAlignment="1">
      <alignment horizontal="right" vertical="center"/>
    </xf>
    <xf numFmtId="1" fontId="11" fillId="48" borderId="0" xfId="0" applyNumberFormat="1" applyFont="1" applyFill="1" applyBorder="1" applyAlignment="1">
      <alignment horizontal="right" vertical="center"/>
    </xf>
    <xf numFmtId="0" fontId="11" fillId="48" borderId="0" xfId="0" applyNumberFormat="1" applyFont="1" applyFill="1" applyBorder="1" applyAlignment="1">
      <alignment horizontal="right"/>
    </xf>
    <xf numFmtId="1" fontId="77" fillId="0" borderId="3" xfId="0" applyNumberFormat="1" applyFont="1" applyFill="1" applyBorder="1" applyAlignment="1">
      <alignment horizontal="center" vertical="center"/>
    </xf>
    <xf numFmtId="169" fontId="77" fillId="0" borderId="1" xfId="0" applyNumberFormat="1" applyFont="1" applyFill="1" applyBorder="1" applyAlignment="1">
      <alignment vertical="center"/>
    </xf>
    <xf numFmtId="0" fontId="77" fillId="0" borderId="1" xfId="0" applyFont="1" applyFill="1" applyBorder="1" applyAlignment="1">
      <alignment vertical="center"/>
    </xf>
    <xf numFmtId="1" fontId="77" fillId="0" borderId="1" xfId="0" applyNumberFormat="1" applyFont="1" applyFill="1" applyBorder="1" applyAlignment="1">
      <alignment horizontal="center" vertical="center"/>
    </xf>
    <xf numFmtId="1" fontId="77" fillId="0" borderId="5" xfId="0" applyNumberFormat="1" applyFont="1" applyFill="1" applyBorder="1" applyAlignment="1">
      <alignment horizontal="center" vertical="center"/>
    </xf>
    <xf numFmtId="0" fontId="77" fillId="0" borderId="1" xfId="0" applyNumberFormat="1" applyFont="1" applyFill="1" applyBorder="1" applyAlignment="1">
      <alignment horizontal="center" vertical="center"/>
    </xf>
    <xf numFmtId="0" fontId="77" fillId="0" borderId="5" xfId="0" applyNumberFormat="1" applyFont="1" applyFill="1" applyBorder="1" applyAlignment="1">
      <alignment horizontal="center" vertical="center"/>
    </xf>
    <xf numFmtId="0" fontId="77" fillId="0" borderId="1" xfId="0" applyNumberFormat="1" applyFont="1" applyFill="1" applyBorder="1" applyAlignment="1">
      <alignment horizontal="right" vertical="center"/>
    </xf>
    <xf numFmtId="9" fontId="77" fillId="0" borderId="1" xfId="0" applyNumberFormat="1" applyFont="1" applyFill="1" applyBorder="1" applyAlignment="1">
      <alignment horizontal="center" vertical="center"/>
    </xf>
    <xf numFmtId="0" fontId="77" fillId="0" borderId="5" xfId="0" applyFont="1" applyFill="1" applyBorder="1" applyAlignment="1">
      <alignment vertical="center"/>
    </xf>
    <xf numFmtId="49" fontId="77" fillId="0" borderId="2" xfId="0" applyNumberFormat="1" applyFont="1" applyFill="1" applyBorder="1" applyAlignment="1">
      <alignment vertical="center"/>
    </xf>
    <xf numFmtId="49" fontId="28" fillId="0" borderId="5" xfId="0" applyNumberFormat="1" applyFont="1" applyFill="1" applyBorder="1" applyAlignment="1">
      <alignment vertical="center" wrapText="1"/>
    </xf>
    <xf numFmtId="49" fontId="28" fillId="0" borderId="5" xfId="0" applyNumberFormat="1" applyFont="1" applyFill="1" applyBorder="1" applyAlignment="1">
      <alignment horizontal="left" vertical="center"/>
    </xf>
    <xf numFmtId="1" fontId="28" fillId="0" borderId="5" xfId="0" applyNumberFormat="1" applyFont="1" applyFill="1" applyBorder="1" applyAlignment="1">
      <alignment horizontal="right" vertical="center"/>
    </xf>
    <xf numFmtId="0" fontId="0" fillId="0" borderId="0" xfId="0" applyFont="1" applyAlignment="1">
      <alignment vertical="center"/>
    </xf>
    <xf numFmtId="0" fontId="0" fillId="48" borderId="0" xfId="0" applyFill="1" applyBorder="1" applyAlignment="1"/>
    <xf numFmtId="0" fontId="0" fillId="35" borderId="4" xfId="0" applyFill="1" applyBorder="1" applyAlignment="1">
      <alignment horizontal="left" indent="1"/>
    </xf>
    <xf numFmtId="0" fontId="0" fillId="0" borderId="3" xfId="0" applyFont="1" applyBorder="1" applyAlignment="1">
      <alignment vertical="center"/>
    </xf>
    <xf numFmtId="0" fontId="5" fillId="0" borderId="0" xfId="0" applyFont="1" applyBorder="1" applyAlignment="1">
      <alignment vertical="center"/>
    </xf>
    <xf numFmtId="0" fontId="0" fillId="0" borderId="1" xfId="0" applyBorder="1" applyAlignment="1">
      <alignment vertical="center"/>
    </xf>
    <xf numFmtId="165" fontId="0" fillId="0" borderId="1" xfId="7" applyNumberFormat="1" applyFont="1" applyBorder="1" applyAlignment="1">
      <alignment vertical="center"/>
    </xf>
    <xf numFmtId="0" fontId="0" fillId="40" borderId="44" xfId="0" applyFill="1" applyBorder="1" applyAlignment="1">
      <alignment vertical="center"/>
    </xf>
    <xf numFmtId="0" fontId="0" fillId="40" borderId="45" xfId="0" applyFill="1" applyBorder="1" applyAlignment="1">
      <alignment vertical="center"/>
    </xf>
    <xf numFmtId="0" fontId="0" fillId="10" borderId="15" xfId="0" applyFill="1" applyBorder="1" applyAlignment="1">
      <alignment vertical="center"/>
    </xf>
    <xf numFmtId="0" fontId="0" fillId="10" borderId="16" xfId="0" applyFill="1" applyBorder="1" applyAlignment="1">
      <alignment vertical="center"/>
    </xf>
    <xf numFmtId="165" fontId="0" fillId="0" borderId="1" xfId="0" applyNumberFormat="1" applyBorder="1" applyAlignment="1">
      <alignment vertical="center"/>
    </xf>
    <xf numFmtId="0" fontId="16" fillId="10" borderId="0" xfId="0" applyFont="1" applyFill="1" applyBorder="1" applyAlignment="1">
      <alignment horizontal="center" vertical="center"/>
    </xf>
    <xf numFmtId="0" fontId="0" fillId="0" borderId="15" xfId="0" applyBorder="1" applyAlignment="1">
      <alignment vertical="center"/>
    </xf>
    <xf numFmtId="165" fontId="17" fillId="10" borderId="0" xfId="7" applyNumberFormat="1" applyFont="1" applyFill="1" applyBorder="1" applyAlignment="1">
      <alignment vertical="center"/>
    </xf>
    <xf numFmtId="0" fontId="0" fillId="0" borderId="29" xfId="0" pivotButton="1" applyBorder="1" applyAlignment="1">
      <alignment vertical="center"/>
    </xf>
    <xf numFmtId="0" fontId="0" fillId="0" borderId="31" xfId="0" applyBorder="1" applyAlignment="1">
      <alignment vertical="center"/>
    </xf>
    <xf numFmtId="0" fontId="0" fillId="0" borderId="17" xfId="0" applyBorder="1" applyAlignment="1">
      <alignment vertical="center"/>
    </xf>
    <xf numFmtId="0" fontId="0" fillId="0" borderId="9" xfId="0" applyBorder="1" applyAlignment="1">
      <alignment vertical="center"/>
    </xf>
    <xf numFmtId="0" fontId="0" fillId="0" borderId="23" xfId="0" applyBorder="1" applyAlignment="1">
      <alignment vertical="center"/>
    </xf>
    <xf numFmtId="0" fontId="0" fillId="0" borderId="46" xfId="0" applyBorder="1" applyAlignment="1">
      <alignment horizontal="left" vertical="center"/>
    </xf>
    <xf numFmtId="165" fontId="0" fillId="0" borderId="47" xfId="0" applyNumberFormat="1" applyBorder="1" applyAlignment="1">
      <alignment vertical="center"/>
    </xf>
    <xf numFmtId="3" fontId="0" fillId="0" borderId="47" xfId="0" applyNumberFormat="1" applyBorder="1" applyAlignment="1">
      <alignment vertical="center"/>
    </xf>
    <xf numFmtId="0" fontId="0" fillId="0" borderId="47" xfId="0" applyNumberFormat="1" applyBorder="1" applyAlignment="1">
      <alignment vertical="center"/>
    </xf>
    <xf numFmtId="165" fontId="0" fillId="0" borderId="48" xfId="0" applyNumberFormat="1" applyBorder="1" applyAlignment="1">
      <alignment vertical="center"/>
    </xf>
    <xf numFmtId="0" fontId="0" fillId="0" borderId="15" xfId="0" applyFont="1" applyBorder="1" applyAlignment="1">
      <alignment horizontal="left" vertical="center"/>
    </xf>
    <xf numFmtId="165" fontId="0" fillId="0" borderId="0" xfId="0" applyNumberFormat="1" applyFont="1" applyBorder="1" applyAlignment="1">
      <alignment vertical="center"/>
    </xf>
    <xf numFmtId="3" fontId="0" fillId="0" borderId="0" xfId="0" applyNumberFormat="1" applyFont="1" applyBorder="1" applyAlignment="1">
      <alignment vertical="center"/>
    </xf>
    <xf numFmtId="0" fontId="0" fillId="0" borderId="0" xfId="0" applyNumberFormat="1" applyFont="1" applyBorder="1" applyAlignment="1">
      <alignment vertical="center"/>
    </xf>
    <xf numFmtId="165" fontId="0" fillId="0" borderId="16" xfId="0" applyNumberFormat="1" applyFont="1" applyBorder="1" applyAlignment="1">
      <alignment vertical="center"/>
    </xf>
    <xf numFmtId="165" fontId="0" fillId="0" borderId="1" xfId="0" applyNumberFormat="1" applyFont="1" applyBorder="1" applyAlignment="1">
      <alignment vertical="center"/>
    </xf>
    <xf numFmtId="0" fontId="4" fillId="0" borderId="12" xfId="0" pivotButton="1"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16" xfId="0" applyBorder="1" applyAlignment="1">
      <alignment vertical="center"/>
    </xf>
    <xf numFmtId="0" fontId="0" fillId="10" borderId="15" xfId="0" applyFont="1" applyFill="1" applyBorder="1" applyAlignment="1">
      <alignment vertical="center"/>
    </xf>
    <xf numFmtId="0" fontId="0" fillId="10" borderId="0" xfId="0" applyFont="1" applyFill="1" applyBorder="1" applyAlignment="1">
      <alignment vertical="center"/>
    </xf>
    <xf numFmtId="165" fontId="0" fillId="10" borderId="0" xfId="7" applyNumberFormat="1" applyFont="1" applyFill="1" applyBorder="1" applyAlignment="1">
      <alignment vertical="center"/>
    </xf>
    <xf numFmtId="0" fontId="0" fillId="10" borderId="16" xfId="0" applyFont="1" applyFill="1" applyBorder="1" applyAlignment="1">
      <alignment vertical="center"/>
    </xf>
    <xf numFmtId="165" fontId="0" fillId="0" borderId="2" xfId="0" applyNumberFormat="1" applyFont="1" applyBorder="1" applyAlignment="1">
      <alignment vertical="center"/>
    </xf>
    <xf numFmtId="165" fontId="3" fillId="10" borderId="0" xfId="0" applyNumberFormat="1" applyFont="1" applyFill="1" applyBorder="1" applyAlignment="1">
      <alignment vertical="center"/>
    </xf>
    <xf numFmtId="0" fontId="0" fillId="0" borderId="25" xfId="0" applyFont="1" applyBorder="1" applyAlignment="1">
      <alignment vertical="center"/>
    </xf>
    <xf numFmtId="165" fontId="0" fillId="0" borderId="5" xfId="0" applyNumberFormat="1" applyFont="1" applyBorder="1" applyAlignment="1">
      <alignment vertical="center"/>
    </xf>
    <xf numFmtId="165" fontId="0" fillId="0" borderId="18" xfId="0" applyNumberFormat="1"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75" fillId="0" borderId="0" xfId="0" applyFont="1" applyFill="1"/>
    <xf numFmtId="173" fontId="11" fillId="0" borderId="0" xfId="0" applyNumberFormat="1" applyFont="1" applyFill="1" applyAlignment="1">
      <alignment horizontal="right" vertical="center"/>
    </xf>
    <xf numFmtId="0" fontId="0" fillId="0" borderId="0" xfId="0" applyFill="1" applyBorder="1" applyAlignment="1"/>
    <xf numFmtId="0" fontId="2" fillId="0" borderId="0" xfId="0" applyFont="1" applyFill="1" applyBorder="1" applyAlignment="1">
      <alignment horizontal="left"/>
    </xf>
    <xf numFmtId="0" fontId="2" fillId="0" borderId="0" xfId="0" applyFont="1" applyFill="1" applyAlignment="1">
      <alignment horizontal="right"/>
    </xf>
    <xf numFmtId="2" fontId="2" fillId="0" borderId="0" xfId="0" applyNumberFormat="1" applyFont="1" applyFill="1" applyAlignment="1">
      <alignment horizontal="right"/>
    </xf>
    <xf numFmtId="0" fontId="5" fillId="0" borderId="0" xfId="0" applyFont="1" applyFill="1" applyAlignment="1"/>
    <xf numFmtId="14" fontId="2" fillId="0" borderId="0" xfId="0" applyNumberFormat="1" applyFont="1" applyFill="1" applyAlignment="1">
      <alignment horizontal="right"/>
    </xf>
    <xf numFmtId="1" fontId="2" fillId="0" borderId="0" xfId="0" applyNumberFormat="1" applyFont="1" applyFill="1" applyAlignment="1">
      <alignment horizontal="right"/>
    </xf>
    <xf numFmtId="0" fontId="5" fillId="0" borderId="0" xfId="0" applyFont="1" applyFill="1" applyAlignment="1">
      <alignment horizontal="right"/>
    </xf>
    <xf numFmtId="0" fontId="2" fillId="0" borderId="0" xfId="0" applyFont="1" applyFill="1" applyAlignment="1">
      <alignment horizontal="left" wrapText="1"/>
    </xf>
    <xf numFmtId="165" fontId="2" fillId="0" borderId="0" xfId="7" applyNumberFormat="1" applyFont="1" applyFill="1" applyAlignment="1"/>
    <xf numFmtId="174" fontId="11" fillId="0" borderId="0" xfId="12" applyNumberFormat="1" applyFont="1" applyFill="1" applyBorder="1" applyAlignment="1">
      <alignment horizontal="right" vertical="center" wrapText="1"/>
    </xf>
    <xf numFmtId="0" fontId="56" fillId="0" borderId="0" xfId="0" applyFont="1" applyFill="1" applyBorder="1"/>
    <xf numFmtId="0" fontId="56" fillId="0" borderId="0" xfId="0" applyFont="1" applyFill="1" applyBorder="1" applyAlignment="1">
      <alignment horizontal="center" vertical="center"/>
    </xf>
    <xf numFmtId="0" fontId="56" fillId="0" borderId="0" xfId="12" applyNumberFormat="1" applyFont="1" applyFill="1" applyBorder="1" applyAlignment="1">
      <alignment vertical="center"/>
    </xf>
    <xf numFmtId="1" fontId="56" fillId="0" borderId="0" xfId="12" applyNumberFormat="1" applyFont="1" applyFill="1" applyBorder="1" applyAlignment="1">
      <alignment vertical="center"/>
    </xf>
    <xf numFmtId="0" fontId="56" fillId="47" borderId="0" xfId="0" applyFont="1" applyFill="1" applyBorder="1"/>
    <xf numFmtId="0" fontId="56" fillId="20" borderId="0" xfId="0" applyFont="1" applyFill="1" applyBorder="1"/>
    <xf numFmtId="0" fontId="56" fillId="0" borderId="0" xfId="0" applyFont="1" applyFill="1" applyBorder="1" applyAlignment="1"/>
    <xf numFmtId="0" fontId="56" fillId="47" borderId="0" xfId="0" applyFont="1" applyFill="1" applyBorder="1" applyAlignment="1"/>
    <xf numFmtId="0" fontId="56" fillId="48" borderId="0" xfId="0" applyFont="1" applyFill="1" applyBorder="1"/>
    <xf numFmtId="165" fontId="56" fillId="0" borderId="0" xfId="7" quotePrefix="1" applyNumberFormat="1" applyFont="1" applyFill="1" applyBorder="1" applyAlignment="1">
      <alignment vertical="center"/>
    </xf>
    <xf numFmtId="0" fontId="78" fillId="0" borderId="0" xfId="0" applyFont="1" applyFill="1" applyBorder="1" applyAlignment="1">
      <alignment vertical="center"/>
    </xf>
    <xf numFmtId="3" fontId="14" fillId="0" borderId="0" xfId="9" applyNumberFormat="1" applyFont="1" applyFill="1" applyBorder="1" applyAlignment="1">
      <alignment horizontal="center" vertical="center"/>
    </xf>
    <xf numFmtId="0" fontId="56" fillId="0" borderId="0" xfId="9" applyFont="1" applyFill="1" applyBorder="1" applyAlignment="1">
      <alignment horizontal="left" vertical="center"/>
    </xf>
    <xf numFmtId="165" fontId="56" fillId="0" borderId="0" xfId="7" applyNumberFormat="1" applyFont="1" applyFill="1" applyBorder="1" applyAlignment="1">
      <alignment vertical="center"/>
    </xf>
    <xf numFmtId="0" fontId="14" fillId="0" borderId="0" xfId="9" applyFont="1" applyFill="1" applyBorder="1" applyAlignment="1">
      <alignment horizontal="center" vertical="center"/>
    </xf>
    <xf numFmtId="165" fontId="56" fillId="0" borderId="0" xfId="9" applyNumberFormat="1" applyFont="1" applyFill="1" applyBorder="1" applyAlignment="1">
      <alignment horizontal="left" vertical="center"/>
    </xf>
    <xf numFmtId="0" fontId="0" fillId="40" borderId="42" xfId="0" applyFont="1" applyFill="1" applyBorder="1" applyAlignment="1"/>
    <xf numFmtId="9" fontId="0" fillId="0" borderId="0" xfId="8" applyFont="1" applyAlignment="1">
      <alignment vertical="center"/>
    </xf>
    <xf numFmtId="1" fontId="9" fillId="40" borderId="42" xfId="6" applyNumberFormat="1" applyFont="1" applyFill="1" applyBorder="1" applyAlignment="1">
      <alignment vertical="center"/>
    </xf>
    <xf numFmtId="1" fontId="9" fillId="40" borderId="0" xfId="6" applyNumberFormat="1" applyFont="1" applyFill="1" applyBorder="1" applyAlignment="1">
      <alignment vertical="center"/>
    </xf>
    <xf numFmtId="1" fontId="11" fillId="12" borderId="9" xfId="0" applyNumberFormat="1" applyFont="1" applyFill="1" applyBorder="1" applyAlignment="1">
      <alignment vertical="center" wrapText="1"/>
    </xf>
    <xf numFmtId="1" fontId="11" fillId="0" borderId="1" xfId="0" applyNumberFormat="1" applyFont="1" applyFill="1" applyBorder="1"/>
    <xf numFmtId="1" fontId="73" fillId="0" borderId="1" xfId="0" applyNumberFormat="1" applyFont="1" applyFill="1" applyBorder="1"/>
    <xf numFmtId="1" fontId="0" fillId="0" borderId="1" xfId="0" applyNumberFormat="1" applyFont="1" applyFill="1" applyBorder="1"/>
    <xf numFmtId="1" fontId="59" fillId="0" borderId="1" xfId="0" applyNumberFormat="1" applyFont="1" applyFill="1" applyBorder="1" applyAlignment="1">
      <alignment wrapText="1"/>
    </xf>
    <xf numFmtId="1" fontId="61" fillId="0" borderId="1" xfId="0" applyNumberFormat="1" applyFont="1" applyFill="1" applyBorder="1"/>
    <xf numFmtId="1" fontId="2" fillId="0" borderId="1" xfId="0" applyNumberFormat="1" applyFont="1" applyFill="1" applyBorder="1"/>
    <xf numFmtId="1" fontId="0" fillId="0" borderId="5" xfId="0" applyNumberFormat="1" applyFont="1" applyFill="1" applyBorder="1"/>
    <xf numFmtId="1" fontId="0" fillId="0" borderId="0" xfId="0" applyNumberFormat="1" applyFill="1"/>
    <xf numFmtId="3" fontId="0" fillId="0" borderId="1" xfId="0" applyNumberFormat="1" applyFill="1" applyBorder="1"/>
    <xf numFmtId="173" fontId="77" fillId="0" borderId="1" xfId="0" applyNumberFormat="1" applyFont="1" applyFill="1" applyBorder="1" applyAlignment="1">
      <alignment horizontal="right" vertical="center"/>
    </xf>
    <xf numFmtId="49" fontId="77" fillId="0" borderId="1" xfId="0" applyNumberFormat="1" applyFont="1" applyFill="1" applyBorder="1" applyAlignment="1">
      <alignment vertical="center"/>
    </xf>
    <xf numFmtId="0" fontId="77" fillId="0" borderId="2" xfId="0" applyFont="1" applyFill="1" applyBorder="1" applyAlignment="1">
      <alignment vertical="center"/>
    </xf>
    <xf numFmtId="49" fontId="28" fillId="0" borderId="18" xfId="0" applyNumberFormat="1" applyFont="1" applyFill="1" applyBorder="1" applyAlignment="1">
      <alignment vertical="center"/>
    </xf>
    <xf numFmtId="0" fontId="14" fillId="19" borderId="0" xfId="0" applyFont="1" applyFill="1" applyAlignment="1">
      <alignment horizontal="center" vertical="center"/>
    </xf>
    <xf numFmtId="0" fontId="10" fillId="10" borderId="0" xfId="0" applyFont="1" applyFill="1" applyAlignment="1">
      <alignment horizontal="left"/>
    </xf>
    <xf numFmtId="0" fontId="14" fillId="16" borderId="0" xfId="0" applyFont="1" applyFill="1" applyAlignment="1">
      <alignment horizontal="center"/>
    </xf>
    <xf numFmtId="166" fontId="33" fillId="11" borderId="0" xfId="6" applyNumberFormat="1" applyFont="1" applyFill="1" applyBorder="1" applyAlignment="1">
      <alignment horizontal="left" vertical="center"/>
    </xf>
    <xf numFmtId="166" fontId="15" fillId="40" borderId="4" xfId="6" applyNumberFormat="1" applyFont="1" applyFill="1" applyBorder="1" applyAlignment="1">
      <alignment horizontal="left" vertical="center"/>
    </xf>
    <xf numFmtId="166" fontId="15" fillId="40" borderId="0" xfId="6" applyNumberFormat="1" applyFont="1" applyFill="1" applyBorder="1" applyAlignment="1">
      <alignment horizontal="left" vertical="center"/>
    </xf>
    <xf numFmtId="166" fontId="57" fillId="11" borderId="23" xfId="6" applyNumberFormat="1" applyFont="1" applyFill="1" applyBorder="1" applyAlignment="1">
      <alignment horizontal="left" vertical="center"/>
    </xf>
    <xf numFmtId="166" fontId="57" fillId="11" borderId="43" xfId="6" applyNumberFormat="1" applyFont="1" applyFill="1" applyBorder="1" applyAlignment="1">
      <alignment horizontal="left" vertical="center"/>
    </xf>
    <xf numFmtId="0" fontId="30" fillId="40" borderId="0" xfId="6" applyFont="1" applyFill="1" applyBorder="1" applyAlignment="1">
      <alignment horizontal="left" vertical="center"/>
    </xf>
    <xf numFmtId="166" fontId="33" fillId="40" borderId="0" xfId="6" applyNumberFormat="1" applyFont="1" applyFill="1" applyBorder="1" applyAlignment="1">
      <alignment horizontal="left" vertical="center"/>
    </xf>
    <xf numFmtId="0" fontId="9" fillId="40" borderId="0" xfId="6" applyFont="1" applyFill="1" applyBorder="1" applyAlignment="1">
      <alignment horizontal="left" vertical="center"/>
    </xf>
    <xf numFmtId="0" fontId="30" fillId="40" borderId="4" xfId="6" applyFont="1" applyFill="1" applyBorder="1" applyAlignment="1">
      <alignment horizontal="left" vertical="center"/>
    </xf>
    <xf numFmtId="166" fontId="33" fillId="40" borderId="23" xfId="6" applyNumberFormat="1" applyFont="1" applyFill="1" applyBorder="1" applyAlignment="1">
      <alignment horizontal="left" vertical="center"/>
    </xf>
    <xf numFmtId="166" fontId="33" fillId="40" borderId="43" xfId="6" applyNumberFormat="1" applyFont="1" applyFill="1" applyBorder="1" applyAlignment="1">
      <alignment horizontal="left" vertical="center"/>
    </xf>
    <xf numFmtId="0" fontId="30" fillId="11" borderId="4" xfId="6" applyFont="1" applyFill="1" applyBorder="1" applyAlignment="1">
      <alignment horizontal="left" vertical="center"/>
    </xf>
    <xf numFmtId="0" fontId="30" fillId="11" borderId="0" xfId="6" applyFont="1" applyFill="1" applyBorder="1" applyAlignment="1">
      <alignment horizontal="left" vertical="center"/>
    </xf>
    <xf numFmtId="166" fontId="33" fillId="11" borderId="23" xfId="6" applyNumberFormat="1" applyFont="1" applyFill="1" applyBorder="1" applyAlignment="1">
      <alignment horizontal="left" vertical="center"/>
    </xf>
    <xf numFmtId="166" fontId="33" fillId="11" borderId="43" xfId="6" applyNumberFormat="1" applyFont="1" applyFill="1" applyBorder="1" applyAlignment="1">
      <alignment horizontal="left" vertical="center"/>
    </xf>
    <xf numFmtId="166" fontId="33" fillId="11" borderId="17" xfId="6" applyNumberFormat="1" applyFont="1" applyFill="1" applyBorder="1" applyAlignment="1">
      <alignment horizontal="left" vertical="center"/>
    </xf>
    <xf numFmtId="0" fontId="50" fillId="40" borderId="0" xfId="6" applyFont="1" applyFill="1" applyBorder="1" applyAlignment="1">
      <alignment horizontal="left" vertical="center"/>
    </xf>
    <xf numFmtId="0" fontId="0" fillId="2" borderId="29" xfId="0" applyFill="1" applyBorder="1" applyAlignment="1">
      <alignment horizontal="center" wrapText="1"/>
    </xf>
    <xf numFmtId="0" fontId="0" fillId="2" borderId="30" xfId="0" applyFill="1" applyBorder="1" applyAlignment="1">
      <alignment horizontal="center" wrapText="1"/>
    </xf>
    <xf numFmtId="0" fontId="0" fillId="2" borderId="31" xfId="0" applyFill="1" applyBorder="1" applyAlignment="1">
      <alignment horizontal="center" wrapText="1"/>
    </xf>
    <xf numFmtId="0" fontId="0" fillId="33" borderId="29" xfId="0" applyFill="1" applyBorder="1" applyAlignment="1">
      <alignment horizontal="center" wrapText="1"/>
    </xf>
    <xf numFmtId="0" fontId="0" fillId="33" borderId="30" xfId="0" applyFill="1" applyBorder="1" applyAlignment="1">
      <alignment horizontal="center" wrapText="1"/>
    </xf>
    <xf numFmtId="0" fontId="0" fillId="33" borderId="31" xfId="0" applyFill="1" applyBorder="1" applyAlignment="1">
      <alignment horizontal="center" wrapText="1"/>
    </xf>
    <xf numFmtId="0" fontId="0" fillId="32" borderId="29" xfId="0" applyFill="1" applyBorder="1" applyAlignment="1">
      <alignment horizontal="center" wrapText="1"/>
    </xf>
    <xf numFmtId="0" fontId="0" fillId="32" borderId="30" xfId="0" applyFill="1" applyBorder="1" applyAlignment="1">
      <alignment horizontal="center" wrapText="1"/>
    </xf>
    <xf numFmtId="0" fontId="0" fillId="32" borderId="31" xfId="0" applyFill="1" applyBorder="1" applyAlignment="1">
      <alignment horizontal="center" wrapText="1"/>
    </xf>
    <xf numFmtId="0" fontId="0" fillId="3" borderId="50" xfId="0" applyFill="1" applyBorder="1" applyAlignment="1">
      <alignment horizontal="center" textRotation="90"/>
    </xf>
    <xf numFmtId="0" fontId="0" fillId="3" borderId="49" xfId="0" applyFill="1" applyBorder="1" applyAlignment="1">
      <alignment horizontal="center" textRotation="90"/>
    </xf>
    <xf numFmtId="0" fontId="0" fillId="34" borderId="29" xfId="0" applyFill="1" applyBorder="1" applyAlignment="1">
      <alignment horizontal="center" wrapText="1"/>
    </xf>
    <xf numFmtId="0" fontId="0" fillId="34" borderId="30" xfId="0" applyFill="1" applyBorder="1" applyAlignment="1">
      <alignment horizontal="center" wrapText="1"/>
    </xf>
    <xf numFmtId="0" fontId="0" fillId="34" borderId="31" xfId="0" applyFill="1" applyBorder="1" applyAlignment="1">
      <alignment horizontal="center" wrapText="1"/>
    </xf>
    <xf numFmtId="0" fontId="0" fillId="5" borderId="29" xfId="0" applyFill="1" applyBorder="1" applyAlignment="1">
      <alignment horizontal="center" wrapText="1"/>
    </xf>
    <xf numFmtId="0" fontId="0" fillId="5" borderId="30" xfId="0" applyFill="1" applyBorder="1" applyAlignment="1">
      <alignment horizontal="center" wrapText="1"/>
    </xf>
    <xf numFmtId="0" fontId="0" fillId="5" borderId="31" xfId="0" applyFill="1" applyBorder="1" applyAlignment="1">
      <alignment horizontal="center" wrapText="1"/>
    </xf>
    <xf numFmtId="0" fontId="0" fillId="3" borderId="13" xfId="0" applyFill="1" applyBorder="1" applyAlignment="1">
      <alignment horizontal="center" textRotation="90"/>
    </xf>
    <xf numFmtId="0" fontId="0" fillId="3" borderId="47" xfId="0" applyFill="1" applyBorder="1" applyAlignment="1">
      <alignment horizontal="center" textRotation="90"/>
    </xf>
    <xf numFmtId="0" fontId="0" fillId="3" borderId="12" xfId="0" applyFill="1" applyBorder="1" applyAlignment="1">
      <alignment horizontal="center" textRotation="90"/>
    </xf>
    <xf numFmtId="0" fontId="0" fillId="3" borderId="46" xfId="0" applyFill="1" applyBorder="1" applyAlignment="1">
      <alignment horizontal="center" textRotation="90"/>
    </xf>
    <xf numFmtId="0" fontId="0" fillId="9" borderId="29" xfId="0" applyFill="1" applyBorder="1" applyAlignment="1">
      <alignment horizontal="center"/>
    </xf>
    <xf numFmtId="0" fontId="0" fillId="9" borderId="30" xfId="0" applyFill="1" applyBorder="1" applyAlignment="1">
      <alignment horizontal="center"/>
    </xf>
    <xf numFmtId="0" fontId="0" fillId="9" borderId="31" xfId="0" applyFill="1" applyBorder="1" applyAlignment="1">
      <alignment horizontal="center"/>
    </xf>
    <xf numFmtId="0" fontId="0" fillId="8" borderId="27" xfId="0" applyFill="1" applyBorder="1" applyAlignment="1">
      <alignment horizontal="center"/>
    </xf>
    <xf numFmtId="0" fontId="0" fillId="4" borderId="27" xfId="0" applyFill="1" applyBorder="1" applyAlignment="1">
      <alignment horizontal="center" textRotation="90" wrapText="1"/>
    </xf>
    <xf numFmtId="0" fontId="0" fillId="5" borderId="27" xfId="0" applyFill="1" applyBorder="1" applyAlignment="1">
      <alignment horizontal="center" textRotation="90" wrapText="1"/>
    </xf>
    <xf numFmtId="0" fontId="0" fillId="6" borderId="27" xfId="0" applyFill="1" applyBorder="1" applyAlignment="1">
      <alignment horizontal="center" textRotation="90" wrapText="1"/>
    </xf>
    <xf numFmtId="0" fontId="24" fillId="0" borderId="4" xfId="6" applyFont="1" applyFill="1" applyBorder="1" applyAlignment="1">
      <alignment horizontal="left" vertical="center"/>
    </xf>
    <xf numFmtId="0" fontId="24" fillId="0" borderId="0" xfId="6" applyFont="1" applyFill="1" applyBorder="1" applyAlignment="1">
      <alignment horizontal="left" vertical="center"/>
    </xf>
    <xf numFmtId="0" fontId="12" fillId="11" borderId="35" xfId="0" applyFont="1" applyFill="1" applyBorder="1" applyAlignment="1">
      <alignment horizontal="center" vertical="center" wrapText="1"/>
    </xf>
    <xf numFmtId="0" fontId="12" fillId="11" borderId="19" xfId="0" applyFont="1" applyFill="1" applyBorder="1" applyAlignment="1">
      <alignment horizontal="center" vertical="center" wrapText="1"/>
    </xf>
    <xf numFmtId="0" fontId="12" fillId="11" borderId="36"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11" borderId="8" xfId="0" applyFont="1" applyFill="1" applyBorder="1" applyAlignment="1">
      <alignment horizontal="center" vertical="center" wrapText="1"/>
    </xf>
    <xf numFmtId="0" fontId="12" fillId="11" borderId="3" xfId="0" applyFont="1" applyFill="1" applyBorder="1" applyAlignment="1">
      <alignment horizontal="center" vertical="center" wrapText="1"/>
    </xf>
    <xf numFmtId="166" fontId="24" fillId="40" borderId="0" xfId="6" applyNumberFormat="1" applyFont="1" applyFill="1" applyBorder="1" applyAlignment="1">
      <alignment horizontal="left" wrapText="1"/>
    </xf>
    <xf numFmtId="0" fontId="53" fillId="0" borderId="52" xfId="0" applyFont="1" applyFill="1" applyBorder="1" applyAlignment="1">
      <alignment horizontal="left" wrapText="1"/>
    </xf>
    <xf numFmtId="0" fontId="53" fillId="0" borderId="53" xfId="0" applyFont="1" applyFill="1" applyBorder="1" applyAlignment="1">
      <alignment horizontal="left" wrapText="1"/>
    </xf>
    <xf numFmtId="0" fontId="54" fillId="2" borderId="3" xfId="0" applyFont="1" applyFill="1" applyBorder="1" applyAlignment="1">
      <alignment horizontal="left" vertical="center"/>
    </xf>
    <xf numFmtId="165" fontId="54" fillId="0" borderId="1" xfId="10" applyNumberFormat="1" applyFont="1" applyFill="1" applyBorder="1" applyAlignment="1">
      <alignment horizontal="center" vertical="center"/>
    </xf>
    <xf numFmtId="9" fontId="55" fillId="26" borderId="1" xfId="8" applyFont="1" applyFill="1" applyBorder="1" applyAlignment="1">
      <alignment horizontal="right" vertical="center"/>
    </xf>
    <xf numFmtId="9" fontId="55" fillId="25" borderId="1" xfId="8" applyFont="1" applyFill="1" applyBorder="1" applyAlignment="1">
      <alignment horizontal="center" vertical="center"/>
    </xf>
    <xf numFmtId="165" fontId="55" fillId="0" borderId="1" xfId="10" applyNumberFormat="1" applyFont="1" applyBorder="1" applyAlignment="1">
      <alignment horizontal="center" vertical="center"/>
    </xf>
    <xf numFmtId="9" fontId="55" fillId="24" borderId="1" xfId="8" applyFont="1" applyFill="1" applyBorder="1" applyAlignment="1">
      <alignment horizontal="right" vertical="center"/>
    </xf>
  </cellXfs>
  <cellStyles count="20">
    <cellStyle name="Calculation" xfId="9" builtinId="22"/>
    <cellStyle name="Comma" xfId="7" builtinId="3"/>
    <cellStyle name="Comma 2" xfId="1"/>
    <cellStyle name="Comma 3" xfId="16"/>
    <cellStyle name="Comma 4" xfId="17"/>
    <cellStyle name="Comma 4 10" xfId="10"/>
    <cellStyle name="Hyperlink" xfId="6" builtinId="8"/>
    <cellStyle name="Normal" xfId="0" builtinId="0"/>
    <cellStyle name="Normal 2" xfId="2"/>
    <cellStyle name="Normal 2 2" xfId="3"/>
    <cellStyle name="Normal 4" xfId="4"/>
    <cellStyle name="Normal 5" xfId="11"/>
    <cellStyle name="Normal 6" xfId="13"/>
    <cellStyle name="Normal_6_Village Tracts" xfId="18"/>
    <cellStyle name="Normal_Sheet1" xfId="15"/>
    <cellStyle name="Normal_Sheet1_1" xfId="19"/>
    <cellStyle name="Normal_Sheet11" xfId="5"/>
    <cellStyle name="Normal_Sheet3" xfId="14"/>
    <cellStyle name="Normal_Sheet3_1" xfId="12"/>
    <cellStyle name="Percent" xfId="8" builtinId="5"/>
  </cellStyles>
  <dxfs count="2048">
    <dxf>
      <numFmt numFmtId="165" formatCode="_-* #,##0_-;\-* #,##0_-;_-* &quot;-&quot;??_-;_-@_-"/>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 #,##0_-;_-* &quot;-&quot;??_-;_-@_-"/>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wrapText="1" readingOrder="0"/>
    </dxf>
    <dxf>
      <alignment wrapText="1" readingOrder="0"/>
    </dxf>
    <dxf>
      <numFmt numFmtId="165" formatCode="_-* #,##0_-;\-* #,##0_-;_-* &quot;-&quot;??_-;_-@_-"/>
    </dxf>
    <dxf>
      <numFmt numFmtId="165" formatCode="_-* #,##0_-;\-* #,##0_-;_-* &quot;-&quot;??_-;_-@_-"/>
    </dxf>
    <dxf>
      <numFmt numFmtId="3" formatCode="#,##0"/>
    </dxf>
    <dxf>
      <alignment wrapText="1" readingOrder="0"/>
    </dxf>
    <dxf>
      <alignment wrapText="1" readingOrder="0"/>
    </dxf>
    <dxf>
      <border>
        <left style="medium">
          <color indexed="64"/>
        </left>
        <right style="medium">
          <color indexed="64"/>
        </right>
        <top style="medium">
          <color indexed="64"/>
        </top>
        <bottom style="medium">
          <color indexed="64"/>
        </bottom>
      </border>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font>
        <sz val="10"/>
      </font>
    </dxf>
    <dxf>
      <font>
        <sz val="10"/>
      </font>
    </dxf>
    <dxf>
      <font>
        <sz val="11"/>
      </font>
    </dxf>
    <dxf>
      <font>
        <sz val="11"/>
      </font>
    </dxf>
    <dxf>
      <numFmt numFmtId="165" formatCode="_-* #,##0_-;\-* #,##0_-;_-* &quot;-&quot;??_-;_-@_-"/>
    </dxf>
    <dxf>
      <numFmt numFmtId="165" formatCode="_-* #,##0_-;\-* #,##0_-;_-* &quot;-&quot;??_-;_-@_-"/>
    </dxf>
    <dxf>
      <fill>
        <patternFill patternType="solid">
          <bgColor rgb="FFFFC800"/>
        </patternFill>
      </fill>
    </dxf>
    <dxf>
      <fill>
        <patternFill patternType="solid">
          <bgColor rgb="FFFFC800"/>
        </patternFill>
      </fill>
    </dxf>
    <dxf>
      <border>
        <left style="thin">
          <color indexed="64"/>
        </left>
        <right style="thin">
          <color indexed="64"/>
        </right>
        <top style="thin">
          <color indexed="64"/>
        </top>
        <bottom style="thin">
          <color indexed="64"/>
        </bottom>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165" formatCode="_-* #,##0_-;\-* #,##0_-;_-* &quot;-&quot;??_-;_-@_-"/>
    </dxf>
    <dxf>
      <numFmt numFmtId="165" formatCode="_-* #,##0_-;\-* #,##0_-;_-* &quot;-&quot;??_-;_-@_-"/>
    </dxf>
    <dxf>
      <fill>
        <patternFill patternType="solid">
          <bgColor theme="1"/>
        </patternFill>
      </fill>
    </dxf>
    <dxf>
      <fill>
        <patternFill patternType="solid">
          <bgColor theme="1"/>
        </patternFill>
      </fill>
    </dxf>
    <dxf>
      <font>
        <color theme="0"/>
      </font>
    </dxf>
    <dxf>
      <font>
        <color theme="0"/>
      </font>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ill>
        <patternFill patternType="none">
          <bgColor auto="1"/>
        </patternFill>
      </fill>
    </dxf>
    <dxf>
      <fill>
        <patternFill patternType="none">
          <bgColor auto="1"/>
        </patternFill>
      </fill>
    </dxf>
    <dxf>
      <fill>
        <patternFill patternType="none">
          <bgColor auto="1"/>
        </patternFill>
      </fill>
    </dxf>
    <dxf>
      <alignment vertical="center" readingOrder="0"/>
    </dxf>
    <dxf>
      <alignment vertical="center" readingOrder="0"/>
    </dxf>
    <dxf>
      <alignment vertical="center" readingOrder="0"/>
    </dxf>
    <dxf>
      <alignment vertical="center" readingOrder="0"/>
    </dxf>
    <dxf>
      <alignment vertical="center" readingOrder="0"/>
    </dxf>
    <dxf>
      <border>
        <left style="thin">
          <color indexed="64"/>
        </left>
        <right style="thin">
          <color indexed="64"/>
        </right>
        <top style="thin">
          <color indexed="64"/>
        </top>
        <bottom style="thin">
          <color indexed="64"/>
        </bottom>
      </border>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font>
        <b/>
      </font>
    </dxf>
    <dxf>
      <font>
        <b/>
      </font>
    </dxf>
    <dxf>
      <font>
        <b/>
      </font>
    </dxf>
    <dxf>
      <font>
        <b/>
      </font>
    </dxf>
    <dxf>
      <font>
        <b/>
      </font>
    </dxf>
    <dxf>
      <font>
        <b/>
      </font>
    </dxf>
    <dxf>
      <font>
        <b/>
      </font>
    </dxf>
    <dxf>
      <font>
        <b/>
      </font>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numFmt numFmtId="165" formatCode="_-* #,##0_-;\-* #,##0_-;_-* &quot;-&quot;??_-;_-@_-"/>
    </dxf>
    <dxf>
      <numFmt numFmtId="165" formatCode="_-* #,##0_-;\-* #,##0_-;_-* &quot;-&quot;??_-;_-@_-"/>
    </dxf>
    <dxf>
      <numFmt numFmtId="165" formatCode="_-* #,##0_-;\-* #,##0_-;_-* &quot;-&quot;??_-;_-@_-"/>
    </dxf>
    <dxf>
      <fill>
        <patternFill>
          <bgColor theme="0"/>
        </patternFill>
      </fill>
    </dxf>
    <dxf>
      <border>
        <left style="thin">
          <color indexed="64"/>
        </left>
        <right style="thin">
          <color indexed="64"/>
        </right>
        <top style="thin">
          <color indexed="64"/>
        </top>
        <bottom style="thin">
          <color indexed="64"/>
        </bottom>
      </border>
    </dxf>
    <dxf>
      <fill>
        <patternFill>
          <bgColor rgb="FFDCE6F1"/>
        </patternFill>
      </fill>
    </dxf>
    <dxf>
      <fill>
        <patternFill>
          <bgColor rgb="FFDCE6F1"/>
        </patternFill>
      </fill>
    </dxf>
    <dxf>
      <fill>
        <patternFill>
          <bgColor rgb="FFFFFFFF"/>
        </patternFill>
      </fill>
    </dxf>
    <dxf>
      <fill>
        <patternFill>
          <bgColor rgb="FFFFFFFF"/>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patternType="solid">
          <bgColor rgb="FFDCE6F1"/>
        </patternFill>
      </fill>
    </dxf>
    <dxf>
      <border>
        <left style="thin">
          <color indexed="64"/>
        </left>
        <right style="thin">
          <color indexed="64"/>
        </right>
        <top style="thin">
          <color indexed="64"/>
        </top>
        <bottom style="thin">
          <color indexed="64"/>
        </bottom>
      </border>
    </dxf>
    <dxf>
      <fill>
        <patternFill>
          <bgColor rgb="FFFFFFFF"/>
        </patternFill>
      </fill>
    </dxf>
    <dxf>
      <fill>
        <patternFill>
          <bgColor rgb="FFFFFFFF"/>
        </patternFill>
      </fill>
    </dxf>
    <dxf>
      <numFmt numFmtId="165" formatCode="_-* #,##0_-;\-* #,##0_-;_-* &quot;-&quot;??_-;_-@_-"/>
    </dxf>
    <dxf>
      <border>
        <left style="thin">
          <color indexed="64"/>
        </left>
        <right style="thin">
          <color indexed="64"/>
        </right>
        <top style="thin">
          <color indexed="64"/>
        </top>
        <bottom style="thin">
          <color indexed="64"/>
        </bottom>
      </border>
    </dxf>
    <dxf>
      <fill>
        <patternFill>
          <bgColor theme="0"/>
        </patternFill>
      </fill>
    </dxf>
    <dxf>
      <fill>
        <patternFill>
          <bgColor theme="4" tint="0.79998168889431442"/>
        </patternFill>
      </fill>
    </dxf>
    <dxf>
      <fill>
        <patternFill>
          <bgColor theme="4" tint="0.79998168889431442"/>
        </patternFill>
      </fill>
    </dxf>
    <dxf>
      <numFmt numFmtId="165" formatCode="_-* #,##0_-;\-* #,##0_-;_-* &quot;-&quot;??_-;_-@_-"/>
    </dxf>
    <dxf>
      <numFmt numFmtId="165" formatCode="_-* #,##0_-;\-* #,##0_-;_-* &quot;-&quot;??_-;_-@_-"/>
    </dxf>
    <dxf>
      <numFmt numFmtId="165" formatCode="_-* #,##0_-;\-* #,##0_-;_-* &quot;-&quot;??_-;_-@_-"/>
    </dxf>
    <dxf>
      <numFmt numFmtId="14" formatCode="0.00%"/>
    </dxf>
    <dxf>
      <numFmt numFmtId="13" formatCode="0%"/>
    </dxf>
    <dxf>
      <numFmt numFmtId="13" formatCode="0%"/>
    </dxf>
    <dxf>
      <numFmt numFmtId="13" formatCode="0%"/>
    </dxf>
    <dxf>
      <numFmt numFmtId="13" formatCode="0%"/>
    </dxf>
    <dxf>
      <numFmt numFmtId="13"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rgb="FFFF0000"/>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rgb="FFFF0000"/>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rgb="FFFF0000"/>
        <name val="Calibri"/>
        <scheme val="minor"/>
      </font>
    </dxf>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textRotation="0" wrapText="1" indent="0" justifyLastLine="0" shrinkToFit="0" readingOrder="0"/>
      <border diagonalUp="0" diagonalDown="0" outline="0">
        <left style="thin">
          <color indexed="64"/>
        </left>
        <right style="thin">
          <color indexed="64"/>
        </right>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 #,##0_-;_-* &quot;-&quot;??_-;_-@_-"/>
    </dxf>
    <dxf>
      <alignment wrapText="1" readingOrder="0"/>
    </dxf>
    <dxf>
      <alignment wrapText="1"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 #,##0_-;_-* &quot;-&quot;??_-;_-@_-"/>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 #,##0_-;_-* &quot;-&quot;??_-;_-@_-"/>
    </dxf>
    <dxf>
      <numFmt numFmtId="19" formatCode="m/d/yyyy"/>
    </dxf>
    <dxf>
      <font>
        <strike val="0"/>
        <outline val="0"/>
        <shadow val="0"/>
        <u val="none"/>
        <vertAlign val="baseline"/>
        <sz val="10"/>
        <color auto="1"/>
        <name val="Calibri"/>
        <scheme val="minor"/>
      </font>
      <fill>
        <patternFill patternType="none">
          <fgColor indexed="64"/>
          <bgColor auto="1"/>
        </patternFill>
      </fill>
      <alignment vertical="center"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Calibri"/>
        <scheme val="minor"/>
      </font>
      <fill>
        <patternFill patternType="none">
          <fgColor indexed="64"/>
          <bgColor auto="1"/>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73" formatCode="[$-409]d\-mmm\-yy;@"/>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fill>
        <patternFill patternType="none">
          <fgColor indexed="64"/>
          <bgColor indexed="65"/>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fill>
        <patternFill patternType="none">
          <fgColor indexed="64"/>
          <bgColor indexed="65"/>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69" formatCode="dd\-mmm\-yyyy"/>
      <fill>
        <patternFill patternType="none">
          <fgColor indexed="64"/>
          <bgColor indexed="65"/>
        </patternFill>
      </fill>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fill>
        <patternFill patternType="none">
          <fgColor indexed="64"/>
          <bgColor auto="1"/>
        </patternFill>
      </fill>
      <alignment vertical="center" indent="0" justifyLastLine="0" shrinkToFit="0" readingOrder="0"/>
    </dxf>
    <dxf>
      <border>
        <bottom style="thin">
          <color indexed="64"/>
        </bottom>
      </border>
    </dxf>
    <dxf>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0000"/>
        </patternFill>
      </fill>
    </dxf>
    <dxf>
      <fill>
        <patternFill>
          <bgColor rgb="FF6CA62C"/>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strike val="0"/>
        <outline val="0"/>
        <shadow val="0"/>
        <u val="none"/>
        <vertAlign val="baseline"/>
        <sz val="11"/>
        <name val="Calibri"/>
        <scheme val="minor"/>
      </font>
      <numFmt numFmtId="165" formatCode="_-* #,##0_-;\-* #,##0_-;_-* &quot;-&quot;??_-;_-@_-"/>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scheme val="minor"/>
      </font>
      <numFmt numFmtId="165" formatCode="_-* #,##0_-;\-* #,##0_-;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numFmt numFmtId="165" formatCode="_-* #,##0_-;\-* #,##0_-;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vertical="center" textRotation="0" indent="0" justifyLastLine="0" shrinkToFit="0" readingOrder="0"/>
    </dxf>
    <dxf>
      <border>
        <bottom style="thin">
          <color indexed="64"/>
        </bottom>
      </border>
    </dxf>
    <dxf>
      <alignment vertical="center" textRotation="0" indent="0" justifyLastLine="0" shrinkToFit="0" readingOrder="0"/>
      <border diagonalUp="0" diagonalDown="0" outline="0">
        <left style="thin">
          <color indexed="64"/>
        </left>
        <right style="thin">
          <color indexed="64"/>
        </right>
        <top/>
        <bottom/>
      </border>
    </dxf>
    <dxf>
      <font>
        <sz val="11"/>
      </font>
    </dxf>
    <dxf>
      <font>
        <sz val="11"/>
      </font>
    </dxf>
    <dxf>
      <font>
        <sz val="10"/>
      </font>
    </dxf>
    <dxf>
      <font>
        <sz val="10"/>
      </font>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border>
        <left style="medium">
          <color indexed="64"/>
        </left>
        <right style="medium">
          <color indexed="64"/>
        </right>
        <top style="medium">
          <color indexed="64"/>
        </top>
        <bottom style="medium">
          <color indexed="64"/>
        </bottom>
      </border>
    </dxf>
    <dxf>
      <alignment wrapText="1" readingOrder="0"/>
    </dxf>
    <dxf>
      <alignment wrapText="1" readingOrder="0"/>
    </dxf>
    <dxf>
      <numFmt numFmtId="3" formatCode="#,##0"/>
    </dxf>
    <dxf>
      <numFmt numFmtId="165" formatCode="_-* #,##0_-;\-* #,##0_-;_-* &quot;-&quot;??_-;_-@_-"/>
    </dxf>
    <dxf>
      <numFmt numFmtId="165" formatCode="_-* #,##0_-;\-* #,##0_-;_-* &quot;-&quot;??_-;_-@_-"/>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right style="thin">
          <color indexed="64"/>
        </right>
      </border>
    </dxf>
    <dxf>
      <border>
        <right style="thin">
          <color indexed="64"/>
        </right>
      </border>
    </dxf>
    <dxf>
      <border>
        <left style="thin">
          <color indexed="64"/>
        </left>
        <right style="thin">
          <color indexed="64"/>
        </right>
        <top style="thin">
          <color indexed="64"/>
        </top>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dxf>
    <dxf>
      <numFmt numFmtId="13" formatCode="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border>
    </dxf>
    <dxf>
      <border>
        <left style="thin">
          <color indexed="64"/>
        </left>
        <right style="thin">
          <color indexed="64"/>
        </right>
        <top style="thin">
          <color indexed="64"/>
        </top>
        <bottom style="thin">
          <color indexed="64"/>
        </bottom>
      </border>
    </dxf>
    <dxf>
      <fill>
        <patternFill patternType="solid">
          <bgColor rgb="FFFFC800"/>
        </patternFill>
      </fill>
    </dxf>
    <dxf>
      <fill>
        <patternFill patternType="solid">
          <bgColor rgb="FFFFC800"/>
        </patternFill>
      </fill>
    </dxf>
    <dxf>
      <numFmt numFmtId="165" formatCode="_-* #,##0_-;\-* #,##0_-;_-* &quot;-&quot;??_-;_-@_-"/>
    </dxf>
    <dxf>
      <numFmt numFmtId="165" formatCode="_-* #,##0_-;\-* #,##0_-;_-* &quot;-&quot;??_-;_-@_-"/>
    </dxf>
    <dxf>
      <border>
        <vertical style="thin">
          <color indexed="64"/>
        </vertical>
        <horizontal style="thin">
          <color indexed="64"/>
        </horizontal>
      </border>
    </dxf>
    <dxf>
      <border>
        <vertical style="thin">
          <color indexed="64"/>
        </vertical>
        <horizontal style="thin">
          <color indexed="64"/>
        </horizontal>
      </border>
    </dxf>
    <dxf>
      <border>
        <bottom style="thin">
          <color indexed="64"/>
        </bottom>
        <vertical style="thin">
          <color indexed="64"/>
        </vertical>
        <horizontal style="thin">
          <color indexed="64"/>
        </horizontal>
      </border>
    </dxf>
    <dxf>
      <border>
        <bottom style="thin">
          <color indexed="64"/>
        </bottom>
        <vertical style="thin">
          <color indexed="64"/>
        </vertical>
        <horizontal style="thin">
          <color indexed="64"/>
        </horizontal>
      </border>
    </dxf>
    <dxf>
      <border>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rgb="FFDCE6F1"/>
        </patternFill>
      </fill>
    </dxf>
    <dxf>
      <fill>
        <patternFill>
          <bgColor rgb="FFDCE6F1"/>
        </patternFill>
      </fill>
    </dxf>
    <dxf>
      <numFmt numFmtId="165" formatCode="_-* #,##0_-;\-* #,##0_-;_-* &quot;-&quot;??_-;_-@_-"/>
    </dxf>
    <dxf>
      <alignment horizontal="left" readingOrder="0"/>
    </dxf>
    <dxf>
      <alignment vertical="top" readingOrder="0"/>
    </dxf>
    <dxf>
      <numFmt numFmtId="1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3" formatCode="0%"/>
    </dxf>
    <dxf>
      <numFmt numFmtId="13" formatCode="0%"/>
    </dxf>
    <dxf>
      <alignment horizontal="left" readingOrder="0"/>
    </dxf>
    <dxf>
      <alignment vertical="top" readingOrder="0"/>
    </dxf>
    <dxf>
      <border>
        <bottom style="thin">
          <color indexed="64"/>
        </bottom>
        <vertical style="thin">
          <color indexed="64"/>
        </vertical>
        <horizontal style="thin">
          <color indexed="64"/>
        </horizontal>
      </border>
    </dxf>
    <dxf>
      <border>
        <bottom style="thin">
          <color indexed="64"/>
        </bottom>
        <vertical style="thin">
          <color indexed="64"/>
        </vertical>
        <horizontal style="thin">
          <color indexed="64"/>
        </horizontal>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border>
    </dxf>
    <dxf>
      <numFmt numFmtId="165" formatCode="_-* #,##0_-;\-* #,##0_-;_-* &quot;-&quot;??_-;_-@_-"/>
    </dxf>
    <dxf>
      <alignment horizontal="left" readingOrder="0"/>
    </dxf>
    <dxf>
      <alignment vertical="top"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13" formatCode="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0" formatCode="General"/>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0" formatCode="General"/>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0" formatCode="General"/>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0" formatCode="General"/>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0" formatCode="General"/>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numFmt numFmtId="175" formatCode="dd\-mmm\-yy"/>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dxf>
    <dxf>
      <border>
        <bottom style="thin">
          <color indexed="64"/>
        </bottom>
      </border>
    </dxf>
    <dxf>
      <font>
        <strike val="0"/>
        <outline val="0"/>
        <shadow val="0"/>
        <u val="none"/>
        <vertAlign val="baseline"/>
        <sz val="11"/>
        <color auto="1"/>
        <name val="Calibri"/>
        <scheme val="minor"/>
      </font>
      <fill>
        <patternFill patternType="solid">
          <fgColor indexed="64"/>
          <bgColor theme="9" tint="0.3999755851924192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val="0"/>
        <i val="0"/>
        <strike val="0"/>
        <condense val="0"/>
        <extend val="0"/>
        <outline val="0"/>
        <shadow val="0"/>
        <u val="none"/>
        <vertAlign val="baseline"/>
        <sz val="16"/>
        <color theme="1"/>
        <name val="Calibri"/>
        <scheme val="minor"/>
      </font>
      <numFmt numFmtId="165" formatCode="_-* #,##0_-;\-* #,##0_-;_-* &quot;-&quot;??_-;_-@_-"/>
      <fill>
        <patternFill patternType="none">
          <fgColor indexed="64"/>
          <bgColor indexed="65"/>
        </patternFill>
      </fill>
      <border diagonalUp="0" diagonalDown="0" outline="0">
        <left style="thin">
          <color indexed="64"/>
        </left>
        <right/>
        <top style="thin">
          <color rgb="FF000000"/>
        </top>
        <bottom/>
      </border>
    </dxf>
    <dxf>
      <font>
        <b val="0"/>
        <i val="0"/>
        <strike val="0"/>
        <condense val="0"/>
        <extend val="0"/>
        <outline val="0"/>
        <shadow val="0"/>
        <u val="none"/>
        <vertAlign val="baseline"/>
        <sz val="16"/>
        <color rgb="FF000000"/>
        <name val="Calibri"/>
        <scheme val="none"/>
      </font>
      <numFmt numFmtId="165" formatCode="_-* #,##0_-;\-* #,##0_-;_-* &quot;-&quot;??_-;_-@_-"/>
      <fill>
        <patternFill patternType="none">
          <fgColor rgb="FF000000"/>
          <bgColor rgb="FFFFFFFF"/>
        </patternFill>
      </fill>
    </dxf>
    <dxf>
      <font>
        <b/>
        <i val="0"/>
        <strike val="0"/>
        <condense val="0"/>
        <extend val="0"/>
        <outline val="0"/>
        <shadow val="0"/>
        <u val="none"/>
        <vertAlign val="baseline"/>
        <sz val="16"/>
        <color theme="1"/>
        <name val="Calibri"/>
        <scheme val="minor"/>
      </font>
      <numFmt numFmtId="1" formatCode="0"/>
      <fill>
        <patternFill patternType="none">
          <fgColor indexed="64"/>
          <bgColor indexed="65"/>
        </patternFill>
      </fill>
      <border diagonalUp="0" diagonalDown="0" outline="0">
        <left style="thin">
          <color indexed="64"/>
        </left>
        <right/>
        <top style="thin">
          <color indexed="64"/>
        </top>
        <bottom/>
      </border>
    </dxf>
    <dxf>
      <font>
        <b/>
        <strike val="0"/>
        <outline val="0"/>
        <shadow val="0"/>
        <u val="none"/>
        <vertAlign val="baseline"/>
        <sz val="16"/>
        <name val="Calibri"/>
      </font>
      <numFmt numFmtId="1" formatCode="0"/>
      <fill>
        <patternFill patternType="none">
          <fgColor indexed="64"/>
          <bgColor indexed="65"/>
        </patternFill>
      </fill>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6"/>
        <color theme="1"/>
        <name val="Calibri"/>
        <scheme val="minor"/>
      </font>
      <numFmt numFmtId="0" formatCode="General"/>
      <fill>
        <patternFill patternType="none">
          <fgColor indexed="64"/>
          <bgColor indexed="65"/>
        </patternFill>
      </fill>
      <border diagonalUp="0" diagonalDown="0" outline="0">
        <left/>
        <right style="thin">
          <color indexed="64"/>
        </right>
        <top style="thin">
          <color indexed="64"/>
        </top>
        <bottom/>
      </border>
    </dxf>
    <dxf>
      <font>
        <b/>
        <strike val="0"/>
        <outline val="0"/>
        <shadow val="0"/>
        <u val="none"/>
        <vertAlign val="baseline"/>
        <sz val="16"/>
        <name val="Calibri"/>
      </font>
      <numFmt numFmtId="0" formatCode="General"/>
      <fill>
        <patternFill patternType="none">
          <fgColor indexed="64"/>
          <bgColor indexed="65"/>
        </patternFill>
      </fill>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scheme val="minor"/>
      </font>
      <numFmt numFmtId="13" formatCode="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13" formatCode="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13" formatCode="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13" formatCode="0%"/>
      <fill>
        <patternFill patternType="solid">
          <fgColor indexed="64"/>
          <bgColor theme="3" tint="0.79998168889431442"/>
        </patternFill>
      </fill>
      <border diagonalUp="0" diagonalDown="0" outline="0">
        <left/>
        <right/>
        <top/>
        <bottom/>
      </border>
    </dxf>
    <dxf>
      <font>
        <b val="0"/>
        <i val="0"/>
        <strike val="0"/>
        <condense val="0"/>
        <extend val="0"/>
        <outline val="0"/>
        <shadow val="0"/>
        <u val="none"/>
        <vertAlign val="baseline"/>
        <sz val="16"/>
        <color theme="1"/>
        <name val="Calibri"/>
        <scheme val="minor"/>
      </font>
      <fill>
        <patternFill patternType="solid">
          <fgColor indexed="64"/>
          <bgColor theme="3" tint="0.79998168889431442"/>
        </patternFill>
      </fill>
    </dxf>
    <dxf>
      <font>
        <b val="0"/>
        <i val="0"/>
        <strike val="0"/>
        <condense val="0"/>
        <extend val="0"/>
        <outline val="0"/>
        <shadow val="0"/>
        <u val="none"/>
        <vertAlign val="baseline"/>
        <sz val="16"/>
        <color theme="1"/>
        <name val="Calibri"/>
        <scheme val="minor"/>
      </font>
      <numFmt numFmtId="0" formatCode="General"/>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numFmt numFmtId="0" formatCode="General"/>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165" formatCode="_-* #,##0_-;\-* #,##0_-;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numFmt numFmtId="165" formatCode="_-* #,##0_-;\-* #,##0_-;_-* &quot;-&quot;??_-;_-@_-"/>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165" formatCode="_-* #,##0_-;\-* #,##0_-;_-* &quot;-&quot;??_-;_-@_-"/>
      <fill>
        <patternFill patternType="none">
          <fgColor indexed="64"/>
          <bgColor indexed="65"/>
        </patternFill>
      </fill>
      <border diagonalUp="0" diagonalDown="0" outline="0">
        <left/>
        <right/>
        <top/>
        <bottom/>
      </border>
    </dxf>
    <dxf>
      <font>
        <strike val="0"/>
        <outline val="0"/>
        <shadow val="0"/>
        <u val="none"/>
        <vertAlign val="baseline"/>
        <sz val="16"/>
        <color theme="1"/>
        <name val="Calibri"/>
        <scheme val="minor"/>
      </font>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2"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numFmt numFmtId="2" formatCode="0.00"/>
      <fill>
        <patternFill patternType="none">
          <fgColor indexed="64"/>
          <bgColor indexed="65"/>
        </patternFill>
      </fill>
    </dxf>
    <dxf>
      <font>
        <b val="0"/>
        <i val="0"/>
        <strike val="0"/>
        <condense val="0"/>
        <extend val="0"/>
        <outline val="0"/>
        <shadow val="0"/>
        <u val="none"/>
        <vertAlign val="baseline"/>
        <sz val="16"/>
        <color theme="1"/>
        <name val="Calibri"/>
        <scheme val="minor"/>
      </font>
      <numFmt numFmtId="2"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numFmt numFmtId="2" formatCode="0.00"/>
      <fill>
        <patternFill patternType="solid">
          <fgColor theme="5" tint="0.79998168889431442"/>
          <bgColor theme="5" tint="0.79998168889431442"/>
        </patternFill>
      </fill>
    </dxf>
    <dxf>
      <font>
        <b val="0"/>
        <i val="0"/>
        <strike val="0"/>
        <condense val="0"/>
        <extend val="0"/>
        <outline val="0"/>
        <shadow val="0"/>
        <u val="none"/>
        <vertAlign val="baseline"/>
        <sz val="16"/>
        <color theme="1"/>
        <name val="Calibri"/>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fill>
        <patternFill patternType="none">
          <fgColor indexed="64"/>
          <bgColor indexed="65"/>
        </patternFill>
      </fill>
    </dxf>
    <dxf>
      <font>
        <b val="0"/>
        <i val="0"/>
        <strike val="0"/>
        <condense val="0"/>
        <extend val="0"/>
        <outline val="0"/>
        <shadow val="0"/>
        <u val="none"/>
        <vertAlign val="baseline"/>
        <sz val="16"/>
        <color theme="1"/>
        <name val="Calibri"/>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6"/>
        <color theme="1"/>
        <name val="Calibri"/>
        <scheme val="minor"/>
      </font>
      <fill>
        <patternFill patternType="solid">
          <fgColor theme="5" tint="0.79998168889431442"/>
          <bgColor theme="5" tint="0.79998168889431442"/>
        </patternFill>
      </fill>
    </dxf>
    <dxf>
      <border outline="0">
        <top style="thin">
          <color rgb="FF000000"/>
        </top>
      </border>
    </dxf>
    <dxf>
      <font>
        <strike val="0"/>
        <outline val="0"/>
        <shadow val="0"/>
        <u val="none"/>
        <vertAlign val="baseline"/>
        <sz val="16"/>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rgb="FF000000"/>
        <name val="Calibri"/>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6"/>
        <color theme="1"/>
        <name val="Calibri"/>
        <scheme val="minor"/>
      </font>
      <fill>
        <patternFill patternType="none">
          <fgColor indexed="64"/>
          <bgColor indexed="65"/>
        </patternFill>
      </fill>
    </dxf>
    <dxf>
      <fill>
        <patternFill>
          <bgColor rgb="FFFF0000"/>
        </patternFill>
      </fill>
    </dxf>
    <dxf>
      <fill>
        <patternFill>
          <bgColor rgb="FFFFC800"/>
        </patternFill>
      </fill>
    </dxf>
    <dxf>
      <fill>
        <patternFill>
          <bgColor rgb="FF0000FF"/>
        </patternFill>
      </fill>
    </dxf>
    <dxf>
      <fill>
        <patternFill>
          <bgColor rgb="FF00FF00"/>
        </patternFill>
      </fill>
    </dxf>
    <dxf>
      <fill>
        <patternFill>
          <bgColor rgb="FFFFFF00"/>
        </patternFill>
      </fill>
    </dxf>
    <dxf>
      <font>
        <b/>
      </font>
    </dxf>
    <dxf>
      <font>
        <b/>
      </font>
    </dxf>
    <dxf>
      <font>
        <b/>
      </font>
    </dxf>
    <dxf>
      <font>
        <b/>
      </font>
    </dxf>
    <dxf>
      <font>
        <b/>
      </font>
    </dxf>
    <dxf>
      <font>
        <b/>
      </font>
    </dxf>
    <dxf>
      <font>
        <b/>
      </font>
    </dxf>
    <dxf>
      <font>
        <b/>
      </font>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border>
        <left style="thin">
          <color indexed="64"/>
        </left>
        <right style="thin">
          <color indexed="64"/>
        </right>
        <top style="thin">
          <color indexed="64"/>
        </top>
        <bottom style="thin">
          <color indexed="64"/>
        </bottom>
      </border>
    </dxf>
    <dxf>
      <alignment vertical="center" readingOrder="0"/>
    </dxf>
    <dxf>
      <alignment vertical="center" readingOrder="0"/>
    </dxf>
    <dxf>
      <alignment vertical="center" readingOrder="0"/>
    </dxf>
    <dxf>
      <alignment vertical="center" readingOrder="0"/>
    </dxf>
    <dxf>
      <alignment vertical="center" readingOrder="0"/>
    </dxf>
    <dxf>
      <fill>
        <patternFill patternType="none">
          <bgColor auto="1"/>
        </patternFill>
      </fill>
    </dxf>
    <dxf>
      <fill>
        <patternFill patternType="none">
          <bgColor auto="1"/>
        </patternFill>
      </fill>
    </dxf>
    <dxf>
      <fill>
        <patternFill patternType="none">
          <bgColor auto="1"/>
        </patternFill>
      </fill>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font>
        <color theme="0"/>
      </font>
    </dxf>
    <dxf>
      <font>
        <color theme="0"/>
      </font>
    </dxf>
    <dxf>
      <fill>
        <patternFill patternType="solid">
          <bgColor theme="1"/>
        </patternFill>
      </fill>
    </dxf>
    <dxf>
      <fill>
        <patternFill patternType="solid">
          <bgColor theme="1"/>
        </patternFill>
      </fill>
    </dxf>
    <dxf>
      <numFmt numFmtId="165" formatCode="_-* #,##0_-;\-* #,##0_-;_-* &quot;-&quot;??_-;_-@_-"/>
    </dxf>
    <dxf>
      <numFmt numFmtId="165" formatCode="_-* #,##0_-;\-* #,##0_-;_-* &quot;-&quot;??_-;_-@_-"/>
    </dxf>
    <dxf>
      <border>
        <left style="thin">
          <color indexed="64"/>
        </left>
        <right style="thin">
          <color indexed="64"/>
        </right>
        <top style="thin">
          <color indexed="64"/>
        </top>
        <bottom style="thin">
          <color indexed="64"/>
        </bottom>
      </border>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3" formatCode="0%"/>
    </dxf>
    <dxf>
      <numFmt numFmtId="13" formatCode="0%"/>
    </dxf>
    <dxf>
      <numFmt numFmtId="13" formatCode="0%"/>
    </dxf>
    <dxf>
      <numFmt numFmtId="13" formatCode="0%"/>
    </dxf>
    <dxf>
      <numFmt numFmtId="13" formatCode="0%"/>
    </dxf>
    <dxf>
      <numFmt numFmtId="14" formatCode="0.00%"/>
    </dxf>
    <dxf>
      <numFmt numFmtId="165" formatCode="_-* #,##0_-;\-* #,##0_-;_-* &quot;-&quot;??_-;_-@_-"/>
    </dxf>
    <dxf>
      <numFmt numFmtId="165" formatCode="_-* #,##0_-;\-* #,##0_-;_-* &quot;-&quot;??_-;_-@_-"/>
    </dxf>
    <dxf>
      <numFmt numFmtId="165" formatCode="_-* #,##0_-;\-* #,##0_-;_-* &quot;-&quot;??_-;_-@_-"/>
    </dxf>
    <dxf>
      <fill>
        <patternFill>
          <bgColor theme="4" tint="0.79998168889431442"/>
        </patternFill>
      </fill>
    </dxf>
    <dxf>
      <fill>
        <patternFill>
          <bgColor theme="4" tint="0.79998168889431442"/>
        </patternFill>
      </fill>
    </dxf>
    <dxf>
      <fill>
        <patternFill>
          <bgColor theme="0"/>
        </patternFill>
      </fill>
    </dxf>
    <dxf>
      <border>
        <left style="thin">
          <color indexed="64"/>
        </left>
        <right style="thin">
          <color indexed="64"/>
        </right>
        <top style="thin">
          <color indexed="64"/>
        </top>
        <bottom style="thin">
          <color indexed="64"/>
        </bottom>
      </border>
    </dxf>
    <dxf>
      <numFmt numFmtId="165" formatCode="_-* #,##0_-;\-* #,##0_-;_-* &quot;-&quot;??_-;_-@_-"/>
    </dxf>
    <dxf>
      <fill>
        <patternFill>
          <bgColor rgb="FFFFFFFF"/>
        </patternFill>
      </fill>
    </dxf>
    <dxf>
      <fill>
        <patternFill>
          <bgColor rgb="FFFFFFFF"/>
        </patternFill>
      </fill>
    </dxf>
    <dxf>
      <border>
        <left style="thin">
          <color indexed="64"/>
        </left>
        <right style="thin">
          <color indexed="64"/>
        </right>
        <top style="thin">
          <color indexed="64"/>
        </top>
        <bottom style="thin">
          <color indexed="64"/>
        </bottom>
      </border>
    </dxf>
    <dxf>
      <fill>
        <patternFill patternType="solid">
          <bgColor rgb="FFDCE6F1"/>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rgb="FFFFFFFF"/>
        </patternFill>
      </fill>
    </dxf>
    <dxf>
      <fill>
        <patternFill>
          <bgColor rgb="FFFFFFFF"/>
        </patternFill>
      </fill>
    </dxf>
    <dxf>
      <fill>
        <patternFill>
          <bgColor rgb="FFDCE6F1"/>
        </patternFill>
      </fill>
    </dxf>
    <dxf>
      <fill>
        <patternFill>
          <bgColor rgb="FFDCE6F1"/>
        </patternFill>
      </fill>
    </dxf>
    <dxf>
      <border>
        <left style="thin">
          <color indexed="64"/>
        </left>
        <right style="thin">
          <color indexed="64"/>
        </right>
        <top style="thin">
          <color indexed="64"/>
        </top>
        <bottom style="thin">
          <color indexed="64"/>
        </bottom>
      </border>
    </dxf>
    <dxf>
      <fill>
        <patternFill>
          <bgColor theme="0"/>
        </patternFill>
      </fill>
    </dxf>
    <dxf>
      <numFmt numFmtId="165" formatCode="_-* #,##0_-;\-* #,##0_-;_-* &quot;-&quot;??_-;_-@_-"/>
    </dxf>
    <dxf>
      <numFmt numFmtId="165" formatCode="_-* #,##0_-;\-* #,##0_-;_-* &quot;-&quot;??_-;_-@_-"/>
    </dxf>
    <dxf>
      <numFmt numFmtId="165" formatCode="_-* #,##0_-;\-* #,##0_-;_-* &quot;-&quot;??_-;_-@_-"/>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numFmt numFmtId="170" formatCode="0.0"/>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solid">
          <fgColor indexed="64"/>
          <bgColor rgb="FFFFC000"/>
        </patternFill>
      </fill>
      <alignment horizontal="general" vertical="center" textRotation="0" wrapText="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1"/>
        <color auto="1"/>
        <name val="Calibri"/>
        <scheme val="minor"/>
      </font>
      <numFmt numFmtId="165" formatCode="_-* #,##0_-;\-* #,##0_-;_-* &quot;-&quot;??_-;_-@_-"/>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numFmt numFmtId="1" formatCode="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alignment horizontal="right" vertical="center" textRotation="0" indent="0" justifyLastLine="0" shrinkToFit="0" readingOrder="0"/>
    </dxf>
    <dxf>
      <font>
        <strike val="0"/>
        <outline val="0"/>
        <shadow val="0"/>
        <u val="none"/>
        <vertAlign val="baseline"/>
        <sz val="11"/>
        <color auto="1"/>
        <name val="Calibri"/>
        <scheme val="minor"/>
      </font>
      <numFmt numFmtId="1" formatCode="0"/>
      <alignment horizontal="right" vertical="center" textRotation="0" indent="0" justifyLastLine="0" shrinkToFit="0" readingOrder="0"/>
    </dxf>
    <dxf>
      <font>
        <strike val="0"/>
        <outline val="0"/>
        <shadow val="0"/>
        <u val="none"/>
        <vertAlign val="baseline"/>
        <sz val="11"/>
        <color auto="1"/>
        <name val="Calibri"/>
        <scheme val="minor"/>
      </font>
      <numFmt numFmtId="19" formatCode="m/d/yyyy"/>
      <fill>
        <patternFill patternType="none">
          <fgColor indexed="64"/>
          <bgColor indexed="65"/>
        </patternFill>
      </fill>
      <alignment horizontal="right" vertical="center" textRotation="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general" vertical="center" textRotation="0"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center" textRotation="0" indent="0" justifyLastLine="0" shrinkToFit="0" readingOrder="0"/>
    </dxf>
    <dxf>
      <font>
        <strike val="0"/>
        <outline val="0"/>
        <shadow val="0"/>
        <u val="none"/>
        <vertAlign val="baseline"/>
        <sz val="11"/>
        <color auto="1"/>
        <name val="Calibri"/>
        <scheme val="minor"/>
      </font>
      <numFmt numFmtId="30" formatCode="@"/>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center" textRotation="0" indent="0" justifyLastLine="0" shrinkToFit="0" readingOrder="0"/>
    </dxf>
    <dxf>
      <font>
        <strike val="0"/>
        <outline val="0"/>
        <shadow val="0"/>
        <u val="none"/>
        <vertAlign val="baseline"/>
        <sz val="11"/>
        <color auto="1"/>
        <name val="Calibri"/>
        <scheme val="minor"/>
      </font>
      <numFmt numFmtId="2" formatCode="0.00"/>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1"/>
        <color auto="1"/>
        <name val="Calibri"/>
        <scheme val="minor"/>
      </font>
      <numFmt numFmtId="1" formatCode="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numFmt numFmtId="1" formatCode="0"/>
      <alignment horizontal="righ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0"/>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4" tint="-0.24994659260841701"/>
      </font>
    </dxf>
    <dxf>
      <font>
        <color theme="6" tint="-0.24994659260841701"/>
      </font>
    </dxf>
    <dxf>
      <font>
        <color rgb="FFFF0000"/>
      </font>
    </dxf>
    <dxf>
      <fill>
        <patternFill>
          <bgColor rgb="FFFF0000"/>
        </patternFill>
      </fill>
    </dxf>
    <dxf>
      <font>
        <color theme="4" tint="-0.24994659260841701"/>
      </font>
    </dxf>
    <dxf>
      <font>
        <color theme="6" tint="-0.24994659260841701"/>
      </font>
    </dxf>
    <dxf>
      <font>
        <color rgb="FFFF0000"/>
      </font>
    </dxf>
    <dxf>
      <fill>
        <patternFill>
          <bgColor theme="6" tint="-0.24994659260841701"/>
        </patternFill>
      </fill>
    </dxf>
    <dxf>
      <fill>
        <patternFill>
          <bgColor theme="6" tint="-0.24994659260841701"/>
        </patternFill>
      </fill>
    </dxf>
    <dxf>
      <fill>
        <patternFill>
          <bgColor theme="6" tint="-0.24994659260841701"/>
        </patternFill>
      </fill>
    </dxf>
    <dxf>
      <fill>
        <patternFill>
          <bgColor theme="6" tint="-0.24994659260841701"/>
        </patternFill>
      </fill>
    </dxf>
    <dxf>
      <fill>
        <patternFill>
          <bgColor rgb="FFFF0000"/>
        </patternFill>
      </fill>
    </dxf>
    <dxf>
      <fill>
        <patternFill>
          <bgColor rgb="FFFF0000"/>
        </patternFill>
      </fill>
    </dxf>
    <dxf>
      <fill>
        <patternFill>
          <bgColor rgb="FFFF0000"/>
        </patternFill>
      </fill>
    </dxf>
    <dxf>
      <font>
        <color theme="4" tint="-0.24994659260841701"/>
      </font>
    </dxf>
    <dxf>
      <font>
        <color theme="6" tint="-0.24994659260841701"/>
      </font>
    </dxf>
    <dxf>
      <font>
        <color rgb="FFFF0000"/>
      </font>
    </dxf>
    <dxf>
      <fill>
        <patternFill>
          <bgColor rgb="FFFF0000"/>
        </patternFill>
      </fill>
    </dxf>
    <dxf>
      <font>
        <color theme="4" tint="-0.24994659260841701"/>
      </font>
    </dxf>
    <dxf>
      <font>
        <color theme="6" tint="-0.24994659260841701"/>
      </font>
    </dxf>
    <dxf>
      <font>
        <color rgb="FFFF0000"/>
      </font>
    </dxf>
    <dxf>
      <fill>
        <patternFill>
          <bgColor rgb="FFFFFF00"/>
        </patternFill>
      </fill>
    </dxf>
    <dxf>
      <font>
        <color theme="4" tint="-0.24994659260841701"/>
      </font>
    </dxf>
    <dxf>
      <font>
        <color theme="6" tint="-0.24994659260841701"/>
      </font>
    </dxf>
    <dxf>
      <font>
        <color rgb="FFFF0000"/>
      </font>
    </dxf>
    <dxf>
      <fill>
        <patternFill>
          <bgColor rgb="FFFF0000"/>
        </patternFill>
      </fill>
    </dxf>
    <dxf>
      <font>
        <color theme="4" tint="-0.24994659260841701"/>
      </font>
    </dxf>
    <dxf>
      <font>
        <color theme="6" tint="-0.24994659260841701"/>
      </font>
    </dxf>
    <dxf>
      <font>
        <color rgb="FFFF0000"/>
      </font>
    </dxf>
    <dxf>
      <fill>
        <patternFill>
          <bgColor rgb="FFFF0000"/>
        </patternFill>
      </fill>
    </dxf>
    <dxf>
      <font>
        <color theme="4" tint="-0.24994659260841701"/>
      </font>
    </dxf>
    <dxf>
      <font>
        <color theme="6" tint="-0.24994659260841701"/>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6CA62C"/>
      <color rgb="FF588824"/>
      <color rgb="FFFF0000"/>
      <color rgb="FFFFFF00"/>
      <color rgb="FFFFC800"/>
      <color rgb="FFDCE6F1"/>
      <color rgb="FFFFFFFF"/>
      <color rgb="FFFD2361"/>
      <color rgb="FFFFEB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d:schema xmlns:xsd="http://www.w3.org/2001/XMLSchema" xmlns:od="urn:schemas-microsoft-com:officedata" xmlns="">
      <xsd:element name="dataroot">
        <xsd:complexType>
          <xsd:sequence>
            <xsd:element ref="NFI_x0020_Tracking" minOccurs="0" maxOccurs="unbounded"/>
          </xsd:sequence>
          <xsd:attribute name="generated" type="xsd:dateTime"/>
        </xsd:complexType>
      </xsd:element>
      <xsd:element name="NFI_x0020_Tracking">
        <xsd:annotation>
          <xsd:appinfo>
            <od:tableProperty name="GUID" type="9" value="TcbAza8QpEOzy/FC2SMtYg==&#10;"/>
            <od:tableProperty name="Orientation" type="2" value="0"/>
            <od:tableProperty name="OrderByOn" type="1" value="0"/>
            <od:tableProperty name="NameMap" type="11" value="CswOVQAAAABNxsDNrxCkQ7PL8ULZIy1iAAAAALkxZD+TjuRAAAAAAAAAAABOAEYA&#10;SQAgAFQAcgBhAGMAawBpAG4AZwAAAAAAAADgYbebhsGDQ5EB0UGz4p1SBwAAAE3G&#10;wM2vEKRDs8vxQtkjLWJNAG8AbgB0AGgAcwAAAAAAAACm4L3L4ZnAQLCXUUJxaKP7&#10;BwAAAE3GwM2vEKRDs8vxQtkjLWJEAGkAcwB0AHIAaQBiAHUAdABpAG8AbgAgAEQA&#10;YQB0AGUAAAAAAAAAkAo8bwM3bUaTDHwFA5CS/gcAAABNxsDNrxCkQ7PL8ULZIy1i&#10;TwByAGcAYQBuAGkAegBhAHQAaQBvAG4AAAAAAAAArxp3bnhXC0e2ilmlALcGzgcA&#10;AABNxsDNrxCkQ7PL8ULZIy1iSQBtAHAAbABlAG0AZQBuAHQAaQBuAGcAIABQAGEA&#10;cgB0AG4AZQByAAAAAAAAAI4/OGKJvglCkAEUYIUckaIHAAAATcbAza8QpEOzy/FC&#10;2SMtYlMAdABhAHQAZQAAAAAAAACiOHmjZelRTbJLhXAYcv9MBwAAAE3GwM2vEKRD&#10;s8vxQtkjLWJUAG8AdwBuAHMAaABpAHAAAAAAAAAAA0gZol/AaEWovO+PCjZs5gcA&#10;AABNxsDNrxCkQ7PL8ULZIy1iQwBhAG0AcAAgAE4AYQBtAGUAAAAAAAAAaIt2SEKd&#10;ZkmFBw+WLYJZ/gcAAABNxsDNrxCkQ7PL8ULZIy1iSAB5AGcAaQBlAG4AZQAgAEsA&#10;aQB0AAAAAAAAAFtgAovPv0hCm7om6o+K8lQHAAAATcbAza8QpEOzy/FC2SMtYk4A&#10;RgBJACAAQwBvAHIAZQAgAEsAaQB0AAAAAAAAAEuMgBpNOjJMr0+DbqjU77kHAAAA&#10;TcbAza8QpEOzy/FC2SMtYlMAYQBuAGkAdABhAHIAeQAgAEsAaQB0AAAAAAAAAFcN&#10;xxcxN0NDmfTjqYkf6ToHAAAATcbAza8QpEOzy/FC2SMtYk0AbwBzAHEAdQBpAHQA&#10;bwAgAG4AZQB0AAAAAAAAAAaLApB54bNAtQKcjP/tLgEHAAAATcbAza8QpEOzy/FC&#10;2SMtYlQAYQByAHAAYQB1AGwAaQBuAAAAAAAAAJ6U7Y8A4fhGqDG9y00NQAQHAAAA&#10;TcbAza8QpEOzy/FC2SMtYkIAbABhAG4AawBlAHQAAAAAAAAA+Mzc51Rkk0u8BvWq&#10;SuyluQcAAABNxsDNrxCkQ7PL8ULZIy1iSwBpAHQAYwBoAGUAbgAgAFMAZQB0AAAA&#10;AAAAAPRrkdRwZmZNvtgQoAh27vEHAAAATcbAza8QpEOzy/FC2SMtYkMAbABvAHQA&#10;aABlAHMAIABLAGkAdAAAAAAAAAAaHn6Y84wsRI9dPfVzPE5JBwAAAE3GwM2vEKRD&#10;s8vxQtkjLWJQAGwAYQBzAHQAaQBjACAAQgB1AGMAawBlAHQAAAAAAAAAhQ3uR3v4&#10;XUeKN0M/Jf9rggcAAABNxsDNrxCkQ7PL8ULZIy1iUABsAGEAcwB0AGkAYwAgAE0A&#10;YQB0AAAAAAAAAM7OIDpeE4ZIrxiJe0ZytvcHAAAATcbAza8QpEOzy/FC2SMtYlcA&#10;aQBuAHQAZQByACAAQwBsAG8AdABoAGUAcwAgAEEAZAB1AGwAdAAAAAAAAAARiAgH&#10;yWrATLlwtEUFjAW3BwAAAE3GwM2vEKRDs8vxQtkjLWJXAGkAbgB0AGUAcgAgAEMA&#10;bABvAHQAaABlAHMAIABDAGgAaQBsAGQAcgBlAG4AAAAAAAAAK+Pg9peltkSxy24L&#10;a+6C+gcAAABNxsDNrxCkQ7PL8ULZIy1iVwBpAG4AdABlAHIAIABJAHQAZQBtAHMA&#10;IABPAHQAaABlAHIAAAAAAAAATmsHvGhu5UCYnUnwtH54kwcAAABNxsDNrxCkQ7PL&#10;8ULZIy1iVwBpAG4AdABlAHIAIABCAGwAYQBuAGsAZQB0AAAAAAAAAMAWQOVCvR5L&#10;rZRgB5oA/+cHAAAATcbAza8QpEOzy/FC2SMtYkgAeQBnAGkAZQBuAGUAIABLAGkA&#10;dABfAEwAUwAAAAAAAADBoTSfvzTKTa+SN9Xc1b9mBwAAAE3GwM2vEKRDs8vxQtkj&#10;LWJOAEYASQAgAEMAbwByAGUAIABLAGkAdABfAEwAUwAAAAAAAAB2sriDgWXFSajs&#10;HGo9dn8lBwAAAE3GwM2vEKRDs8vxQtkjLWJTAGEAbgBpAHQAYQByAHkAIABLAGkA&#10;dABfAEwAUwAAAAAAAADlsUZD0IbmTKSrUWQWQTyIBwAAAE3GwM2vEKRDs8vxQtkj&#10;LWJNAG8AcwBxAHUAaQB0AG8AIABuAGUAdABfAEwAUwAAAAAAAAAFGAtHQQ5IRqa/&#10;YcMMJmN1BwAAAE3GwM2vEKRDs8vxQtkjLWJUAGEAcgBwAGEAdQBsAGkAbgBfAEwA&#10;UwAAAAAAAADDjgNiq8dxRZch9L+Vn0xPBwAAAE3GwM2vEKRDs8vxQtkjLWJCAGwA&#10;YQBuAGsAZQB0AF8ATABTAAAAAAAAAI1xDylF+kJLlHIprKRNRjoHAAAATcbAza8Q&#10;pEOzy/FC2SMtYksAaQB0AGMAaABlAG4AIABTAGUAdABfAEwAUwAAAAAAAABwBmdq&#10;s7cKQ4K4tK5SlI99BwAAAE3GwM2vEKRDs8vxQtkjLWJDAGwAbwB0AGgAZQBzACAA&#10;SwBpAHQAXwBMAFMAAAAAAAAA/BTztatMVEuJ6GH0UXb3TwcAAABNxsDNrxCkQ7PL&#10;8ULZIy1iUABsAGEAcwB0AGkAYwAgAEIAdQBjAGsAZQB0ACAAXwBMAFMAAAAAAAAA&#10;qzRl5grt0kyMZgUzV8hKXAcAAABNxsDNrxCkQ7PL8ULZIy1iUABsAGEAcwB0AGkA&#10;YwAgACAATQBhAHQAXwBMAFMAAAAAAAAABwkbqvDoiUqptJ8Z9saJlgcAAABNxsDN&#10;rxCkQ7PL8ULZIy1iVwBpAG4AdABlAHIAIABDAGwAbwB0AGgAZQBzACAAQQBkAHUA&#10;bAB0AF8ATABTAAAAAAAAAHZNSIW4RwxFjr0A+0KMtNUHAAAATcbAza8QpEOzy/FC&#10;2SMtYlcAaQBuAHQAZQByACAAQwBsAG8AdABoAGUAcwAgAEMAaABpAGwAZAByAGUA&#10;bgBfAEwAUwAAAAAAAACi86ZcDPspS52PTgnQ9lcaBwAAAE3GwM2vEKRDs8vxQtkj&#10;LWJXAGkAbgB0AGUAcgAgAEkAdABlAG0AcwAgAE8AdABoAGUAcgBfAEwAUwAAAAAA&#10;AABuEJEDlgwlTq23hCKsna+bBwAAAE3GwM2vEKRDs8vxQtkjLWJXAGkAbgB0AGUA&#10;cgAgAEIAbABhAG4AawBlAHQAXwBMAFMAAAAAAAAAGcVs9+FqGkKJnevE199WNAcA&#10;AABNxsDNrxCkQ7PL8ULZIy1iVwBpAG4AdABlAHIAAAAAAAAA+UFRdr69UE683Iv2&#10;OQBW7gcAAABNxsDNrxCkQ7PL8ULZIy1iUABjAG8AZABlAAAAAAAAAOb1ragG2z9F&#10;lC5S4/yj8KEHAAAATcbAza8QpEOzy/FC2SMtYm8AcABlAG4AaQBuAGcAXwBkAGEA&#10;dABlAAAAAAAAAE8VvCE9LudAmlbzx6ssujMHAAAATcbAza8QpEOzy/FC2SMtYlMA&#10;dABhAHQAdQBzAAAAAAAAAMb1dbL74XdIhJVZHtfy7E8HAAAATcbAza8QpEOzy/FC&#10;2SMtYlAAcgBpAG8AcgBpAHQAeQAAAAAAAAD73RmezktYT5t7zgYtHRyTBwAAAE3G&#10;wM2vEKRDs8vxQtkjLWJDAG8AdgBlAHIAYQBnAGUAAAAAAAAAEFIlx8WVmESmIo59&#10;YCYKlgcAAABNxsDNrxCkQ7PL8ULZIy1iUABsAGEAbgBuAGUAZAAgAEQAaQBzAHQA&#10;cgBpAGIAdQB0AGkAbwBuAAAAAAAAAHH3UqYGcQ9MuFHeXWEKgssHAAAATcbAza8Q&#10;pEOzy/FC2SMtYkMAbwBtAG0AZQBuAHQAAAAAAAAAAAAAAAAAAAAAAAAAAAAAAAwA&#10;AAAFAAAAAAAAAAAAAAAAAAAAAAA=&#10;"/>
            <od:tableProperty name="DefaultView" type="2" value="2"/>
            <od:tableProperty name="DisplayViewsOnSharePointSite" type="2" value="1"/>
            <od:tableProperty name="TotalsRow" type="1" value="0"/>
            <od:tableProperty name="FilterOnLoad" type="1" value="0"/>
            <od:tableProperty name="OrderByOnLoad" type="1" value="1"/>
            <od:tableProperty name="HideNewField" type="1" value="0"/>
            <od:tableProperty name="BackTint" type="6" value="100"/>
            <od:tableProperty name="BackShade" type="6" value="100"/>
            <od:tableProperty name="ThemeFontIndex" type="4" value="-1"/>
            <od:tableProperty name="AlternateBackThemeColorIndex" type="4" value="-1"/>
            <od:tableProperty name="AlternateBackTint" type="6" value="100"/>
            <od:tableProperty name="AlternateBackShade" type="6" value="100"/>
            <od:tableProperty name="ReadOnlyWhenDisconnected" type="1" value="0"/>
            <od:tableProperty name="DatasheetGridlinesThemeColorIndex" type="4" value="-1"/>
            <od:tableProperty name="DatasheetForeThemeColorIndex" type="4" value="-1"/>
          </xsd:appinfo>
        </xsd:annotation>
        <xsd:complexType>
          <xsd:sequence>
            <xsd:element name="Months" minOccurs="0" od:jetType="double" od:sqlSType="float" type="xsd:double">
              <xsd:annotation>
                <xsd:appinfo>
                  <od:fieldProperty name="Format" type="10" value="0"/>
                  <od:fieldProperty name="GUID" type="9" value="4GG3m4bBg0ORAdFBs+KdUg==&#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Distribution_x0020_Date" minOccurs="0" od:jetType="datetime" od:sqlSType="datetime" type="xsd:dateTime">
              <xsd:annotation>
                <xsd:appinfo>
                  <od:fieldProperty name="Format" type="10" value="dd-mmm-yyyy"/>
                  <od:fieldProperty name="GUID" type="9" value="puC9y+GZwECwl1FCcWij+w==&#10;"/>
                  <od:fieldProperty name="ColumnWidth" type="3" value="-1"/>
                  <od:fieldProperty name="ColumnOrder" type="3" value="0"/>
                  <od:fieldProperty name="ColumnHidden" type="1" value="0"/>
                  <od:fieldProperty name="Required" type="1" value="0"/>
                  <od:fieldProperty name="IMEMode" type="2" value="0"/>
                  <od:fieldProperty name="IMESentenceMode" type="2" value="3"/>
                  <od:fieldProperty name="TextAlign" type="2" value="0"/>
                  <od:fieldProperty name="AggregateType" type="4" value="-1"/>
                  <od:fieldProperty name="ShowDatePicker" type="3" value="1"/>
                  <od:fieldProperty name="ResultType" type="2" value="0"/>
                  <od:fieldProperty name="CurrencyLCID" type="4" value="0"/>
                </xsd:appinfo>
              </xsd:annotation>
            </xsd:element>
            <xsd:element name="Organization" minOccurs="0" od:jetType="text" od:sqlSType="nvarchar">
              <xsd:annotation>
                <xsd:appinfo>
                  <od:fieldProperty name="Format" type="10" value="@"/>
                  <od:fieldProperty name="GUID" type="9" value="kAo8bwM3bUaTDHwFA5CS/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Implementing_x0020_Partner" minOccurs="0" od:jetType="text" od:sqlSType="nvarchar">
              <xsd:annotation>
                <xsd:appinfo>
                  <od:fieldProperty name="Format" type="10" value="@"/>
                  <od:fieldProperty name="GUID" type="9" value="rxp3bnhXC0e2ilmlALcGz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tate" minOccurs="0" od:jetType="text" od:sqlSType="nvarchar">
              <xsd:annotation>
                <xsd:appinfo>
                  <od:fieldProperty name="Format" type="10" value="@"/>
                  <od:fieldProperty name="GUID" type="9" value="jj84Yom+CUKQARRghRyRo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ownship" minOccurs="0" od:jetType="text" od:sqlSType="nvarchar">
              <xsd:annotation>
                <xsd:appinfo>
                  <od:fieldProperty name="Format" type="10" value="@"/>
                  <od:fieldProperty name="GUID" type="9" value="ojh5o2XpUU2yS4VwGHL/T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amp_x0020_Name" minOccurs="0" od:jetType="text" od:sqlSType="nvarchar">
              <xsd:annotation>
                <xsd:appinfo>
                  <od:fieldProperty name="Format" type="10" value="@"/>
                  <od:fieldProperty name="GUID" type="9" value="A0gZol/AaEWovO+PCjZs5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Hygiene_x0020_Kit" minOccurs="0" od:jetType="text" od:sqlSType="nvarchar">
              <xsd:annotation>
                <xsd:appinfo>
                  <od:fieldProperty name="Format" type="10" value="@"/>
                  <od:fieldProperty name="GUID" type="9" value="aIt2SEKdZkmFBw+WLYJZ/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NFI_x0020_Core_x0020_Kit" minOccurs="0" od:jetType="text" od:sqlSType="nvarchar">
              <xsd:annotation>
                <xsd:appinfo>
                  <od:fieldProperty name="Format" type="10" value="@"/>
                  <od:fieldProperty name="GUID" type="9" value="W2ACi8+/SEKbuibqj4ryV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anitary_x0020_Kit" minOccurs="0" od:jetType="text" od:sqlSType="nvarchar">
              <xsd:annotation>
                <xsd:appinfo>
                  <od:fieldProperty name="Format" type="10" value="@"/>
                  <od:fieldProperty name="GUID" type="9" value="S4yAGk06MkyvT4NuqNTvu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Mosquito_x0020_net" minOccurs="0" od:jetType="double" od:sqlSType="float" type="xsd:double">
              <xsd:annotation>
                <xsd:appinfo>
                  <od:fieldProperty name="Format" type="10" value="General Number"/>
                  <od:fieldProperty name="GUID" type="9" value="Vw3HFzE3Q0OZ9OOpiR/pOg==&#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Tarpaulin" minOccurs="0" od:jetType="double" od:sqlSType="float" type="xsd:double">
              <xsd:annotation>
                <xsd:appinfo>
                  <od:fieldProperty name="Format" type="10" value="General Number"/>
                  <od:fieldProperty name="GUID" type="9" value="BosCkHnhs0C1ApyM/+0uAQ==&#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Blanket" minOccurs="0" od:jetType="double" od:sqlSType="float" type="xsd:double">
              <xsd:annotation>
                <xsd:appinfo>
                  <od:fieldProperty name="Format" type="10" value="General Number"/>
                  <od:fieldProperty name="GUID" type="9" value="npTtjwDh+EaoMb3LTQ1ABA==&#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Kitchen_x0020_Set" minOccurs="0" od:jetType="double" od:sqlSType="float" type="xsd:double">
              <xsd:annotation>
                <xsd:appinfo>
                  <od:fieldProperty name="Format" type="10" value="General Number"/>
                  <od:fieldProperty name="GUID" type="9" value="+Mzc51Rkk0u8BvWqSuyluQ==&#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Clothes_x0020_Kit" minOccurs="0" od:jetType="double" od:sqlSType="float" type="xsd:double">
              <xsd:annotation>
                <xsd:appinfo>
                  <od:fieldProperty name="Format" type="10" value="General Number"/>
                  <od:fieldProperty name="GUID" type="9" value="9GuR1HBmZk2+2BCgCHbu8Q==&#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Plastic_x0020_Bucket" minOccurs="0" od:jetType="double" od:sqlSType="float" type="xsd:double">
              <xsd:annotation>
                <xsd:appinfo>
                  <od:fieldProperty name="Format" type="10" value="General Number"/>
                  <od:fieldProperty name="GUID" type="9" value="Gh5+mPOMLESPXT31czxOSQ==&#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Plastic_x0020_Mat" minOccurs="0" od:jetType="double" od:sqlSType="float" type="xsd:double">
              <xsd:annotation>
                <xsd:appinfo>
                  <od:fieldProperty name="Format" type="10" value="General Number"/>
                  <od:fieldProperty name="GUID" type="9" value="hQ3uR3v4XUeKN0M/Jf9rgg==&#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Winter_x0020_Clothes_x0020_Adult" minOccurs="0" od:jetType="text" od:sqlSType="nvarchar">
              <xsd:annotation>
                <xsd:appinfo>
                  <od:fieldProperty name="Format" type="10" value="@"/>
                  <od:fieldProperty name="GUID" type="9" value="zs4gOl4ThkivGIl7RnK29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Clothes_x0020_Children" minOccurs="0" od:jetType="text" od:sqlSType="nvarchar">
              <xsd:annotation>
                <xsd:appinfo>
                  <od:fieldProperty name="Format" type="10" value="@"/>
                  <od:fieldProperty name="GUID" type="9" value="EYgIB8lqwEy5cLRFBYwFt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Items_x0020_Other" minOccurs="0" od:jetType="text" od:sqlSType="nvarchar">
              <xsd:annotation>
                <xsd:appinfo>
                  <od:fieldProperty name="Format" type="10" value="@"/>
                  <od:fieldProperty name="GUID" type="9" value="K+Pg9peltkSxy24La+6C+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Blanket" minOccurs="0" od:jetType="text" od:sqlSType="nvarchar">
              <xsd:annotation>
                <xsd:appinfo>
                  <od:fieldProperty name="Format" type="10" value="@"/>
                  <od:fieldProperty name="GUID" type="9" value="TmsHvGhu5UCYnUnwtH54k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Hygiene_x0020_Kit_LS" minOccurs="0" od:jetType="text" od:sqlSType="nvarchar">
              <xsd:annotation>
                <xsd:appinfo>
                  <od:fieldProperty name="Format" type="10" value="@"/>
                  <od:fieldProperty name="GUID" type="9" value="wBZA5UK9HkutlGAHmgD/5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NFI_x0020_Core_x0020_Kit_LS" minOccurs="0" od:jetType="text" od:sqlSType="nvarchar">
              <xsd:annotation>
                <xsd:appinfo>
                  <od:fieldProperty name="Format" type="10" value="@"/>
                  <od:fieldProperty name="GUID" type="9" value="waE0n780yk2vkjfV3NW/Z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anitary_x0020_Kit_LS" minOccurs="0" od:jetType="text" od:sqlSType="nvarchar">
              <xsd:annotation>
                <xsd:appinfo>
                  <od:fieldProperty name="Format" type="10" value="@"/>
                  <od:fieldProperty name="GUID" type="9" value="drK4g4FlxUmo7BxqPXZ/J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Mosquito_x0020_net_LS" minOccurs="0" od:jetType="text" od:sqlSType="nvarchar">
              <xsd:annotation>
                <xsd:appinfo>
                  <od:fieldProperty name="Format" type="10" value="@"/>
                  <od:fieldProperty name="GUID" type="9" value="5bFGQ9CG5kykq1FkFkE8i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arpaulin_LS" minOccurs="0" od:jetType="text" od:sqlSType="nvarchar">
              <xsd:annotation>
                <xsd:appinfo>
                  <od:fieldProperty name="Format" type="10" value="@"/>
                  <od:fieldProperty name="GUID" type="9" value="BRgLR0EOSEamv2HDDCZjd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Blanket_LS" minOccurs="0" od:jetType="text" od:sqlSType="nvarchar">
              <xsd:annotation>
                <xsd:appinfo>
                  <od:fieldProperty name="Format" type="10" value="@"/>
                  <od:fieldProperty name="GUID" type="9" value="w44DYqvHcUWXIfS/lZ9MT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Kitchen_x0020_Set_LS" minOccurs="0" od:jetType="text" od:sqlSType="nvarchar">
              <xsd:annotation>
                <xsd:appinfo>
                  <od:fieldProperty name="Format" type="10" value="@"/>
                  <od:fieldProperty name="GUID" type="9" value="jXEPKUX6QkuUcimspE1GO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lothes_x0020_Kit_LS" minOccurs="0" od:jetType="text" od:sqlSType="nvarchar">
              <xsd:annotation>
                <xsd:appinfo>
                  <od:fieldProperty name="Format" type="10" value="@"/>
                  <od:fieldProperty name="GUID" type="9" value="cAZnarO3CkOCuLSuUpSPf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Plastic_x0020_Bucket_x0020__LS" minOccurs="0" od:jetType="text" od:sqlSType="nvarchar">
              <xsd:annotation>
                <xsd:appinfo>
                  <od:fieldProperty name="Format" type="10" value="@"/>
                  <od:fieldProperty name="GUID" type="9" value="/BTztatMVEuJ6GH0UXb3T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Plastic_x0020__x0020_Mat_LS" minOccurs="0" od:jetType="text" od:sqlSType="nvarchar">
              <xsd:annotation>
                <xsd:appinfo>
                  <od:fieldProperty name="Format" type="10" value="@"/>
                  <od:fieldProperty name="GUID" type="9" value="qzRl5grt0kyMZgUzV8hKX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Clothes_x0020_Adult_LS" minOccurs="0" od:jetType="text" od:sqlSType="nvarchar">
              <xsd:annotation>
                <xsd:appinfo>
                  <od:fieldProperty name="Format" type="10" value="@"/>
                  <od:fieldProperty name="GUID" type="9" value="BwkbqvDoiUqptJ8Z9saJl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Clothes_x0020_Children_LS" minOccurs="0" od:jetType="text" od:sqlSType="nvarchar">
              <xsd:annotation>
                <xsd:appinfo>
                  <od:fieldProperty name="Format" type="10" value="@"/>
                  <od:fieldProperty name="GUID" type="9" value="dk1IhbhHDEWOvQD7Qoy01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Items_x0020_Other_LS" minOccurs="0" od:jetType="text" od:sqlSType="nvarchar">
              <xsd:annotation>
                <xsd:appinfo>
                  <od:fieldProperty name="Format" type="10" value="@"/>
                  <od:fieldProperty name="GUID" type="9" value="ovOmXAz7KUudj04J0PZXG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_x0020_Blanket_LS" minOccurs="0" od:jetType="text" od:sqlSType="nvarchar">
              <xsd:annotation>
                <xsd:appinfo>
                  <od:fieldProperty name="Format" type="10" value="@"/>
                  <od:fieldProperty name="GUID" type="9" value="bhCRA5YMJU6tt4QirJ2vm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Winter" minOccurs="0" od:jetType="double" od:sqlSType="float" type="xsd:double">
              <xsd:annotation>
                <xsd:appinfo>
                  <od:fieldProperty name="Format" type="10" value="General Number"/>
                  <od:fieldProperty name="GUID" type="9" value="GcVs9+FqGkKJnevE199WNA==&#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Pcode" minOccurs="0" od:jetType="text" od:sqlSType="nvarchar">
              <xsd:annotation>
                <xsd:appinfo>
                  <od:fieldProperty name="Format" type="10" value="@"/>
                  <od:fieldProperty name="GUID" type="9" value="+UFRdr69UE683Iv2OQBW7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opening_date" minOccurs="0" od:jetType="double" od:sqlSType="float" type="xsd:double">
              <xsd:annotation>
                <xsd:appinfo>
                  <od:fieldProperty name="Format" type="10" value="0"/>
                  <od:fieldProperty name="GUID" type="9" value="5vWtqAbbP0WULlLj/KPwoQ==&#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Status" minOccurs="0" od:jetType="text" od:sqlSType="nvarchar">
              <xsd:annotation>
                <xsd:appinfo>
                  <od:fieldProperty name="Format" type="10" value="@"/>
                  <od:fieldProperty name="GUID" type="9" value="TxW8IT0u50CaVvPHqyy6M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Priority" minOccurs="0" od:jetType="text" od:sqlSType="nvarchar">
              <xsd:annotation>
                <xsd:appinfo>
                  <od:fieldProperty name="Format" type="10" value="@"/>
                  <od:fieldProperty name="GUID" type="9" value="xvV1svvhd0iElVke1/LsT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overage" minOccurs="0" od:jetType="double" od:sqlSType="float" type="xsd:double">
              <xsd:annotation>
                <xsd:appinfo>
                  <od:fieldProperty name="Format" type="10" value="0%"/>
                  <od:fieldProperty name="GUID" type="9" value="+90Zns5LWE+be84GLR0ckw==&#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Planned_x0020_Distribution" minOccurs="0" od:jetType="text" od:sqlSType="nvarchar">
              <xsd:annotation>
                <xsd:appinfo>
                  <od:fieldProperty name="Format" type="10" value="@"/>
                  <od:fieldProperty name="GUID" type="9" value="EFIlx8WVmESmIo59YCYKl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omment" minOccurs="0" od:jetType="text" od:sqlSType="nvarchar">
              <xsd:annotation>
                <xsd:appinfo>
                  <od:fieldProperty name="Format" type="10" value="@"/>
                  <od:fieldProperty name="GUID" type="9" value="cfdSpgZxD0y4Ud5dYQqCy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sequence>
        </xsd:complexType>
      </xsd:element>
    </xsd:schema>
  </Schema>
  <Schema ID="Schema4">
    <xsd:schema xmlns:xsd="http://www.w3.org/2001/XMLSchema" xmlns:od="urn:schemas-microsoft-com:officedata" xmlns="">
      <xsd:element name="dataroot">
        <xsd:complexType>
          <xsd:sequence>
            <xsd:element ref="Shelter_x0020_Tracking" minOccurs="0" maxOccurs="unbounded"/>
          </xsd:sequence>
          <xsd:attribute name="generated" type="xsd:dateTime"/>
        </xsd:complexType>
      </xsd:element>
      <xsd:element name="Shelter_x0020_Tracking">
        <xsd:annotation>
          <xsd:appinfo>
            <od:tableProperty name="GUID" type="9" value="YO73FFSW+ECfnr+AeTol5g==&#10;"/>
            <od:tableProperty name="Orientation" type="2" value="0"/>
            <od:tableProperty name="OrderByOn" type="1" value="0"/>
            <od:tableProperty name="NameMap" type="11" value="CswOVQAAAABg7vcUVJb4QJ+ev4B5OiXmAAAAAMLhaACTjuRAAAAAAAAAAABTAGgA&#10;ZQBsAHQAZQByACAAVAByAGEAYwBrAGkAbgBnAAAAAAAAAG388E1NF7dDjS2Wob4K&#10;S2cHAAAAYO73FFSW+ECfnr+AeTol5lUAcABkAGEAdABlACAARABhAHQAZQAAAAAA&#10;AAD/6ip1X4x5R70ifeAHFvcbBwAAAGDu9xRUlvhAn56/gHk6JeZPAHIAZwBhAG4A&#10;aQB6AGEAdABpAG8AbgAAAAAAAADpRsbOITt5ToyvkM+shrYFBwAAAGDu9xRUlvhA&#10;n56/gHk6JeZJAG0AcABsAGUAbQBlAG4AdABpAG4AZwBQAGEAcgB0AG4AZQByAAAA&#10;AAAAAAW0ejRoGrBFtqynbXCKeCoHAAAAYO73FFSW+ECfnr+AeTol5lMAdABhAHQA&#10;ZQAAAAAAAAAEsjOtmHPSQqYLkIlreUdEBwAAAGDu9xRUlvhAn56/gHk6JeZUAG8A&#10;dwBuAHMAaABpAHAAAAAAAAAAMcd3cD+VoUycwTFYazYUPAcAAABg7vcUVJb4QJ+e&#10;v4B5OiXmQwBhAG0AcABOAGEAbQBlAAAAAAAAAF1FB37aMzJKqp3qykVWZKgHAAAA&#10;YO73FFSW+ECfnr+AeTol5kgASABwAGUAcgBTAGgAZQBsAHQAZQByAAAAAAAAAO8f&#10;ylwbVXJIo8SYiJVLvU8HAAAAYO73FFSW+ECfnr+AeTol5iMAbwBmAEYAYQBtAGkA&#10;bAB5AFQAZQBuAHQAUABsAGEAbgBuAGUAZAAoAFQAYQByAGcAZQB0ACkAAAAAAAAA&#10;XNlh419hQECh9iX7YFVsdQcAAABg7vcUVJb4QJ+ev4B5OiXmIwBvAGYARgBhAG0A&#10;aQBsAHkAVABlAG4AdABEAGkAcwB0AHIAaQBiAHUAdABlAGQAAAAAAAAAqmY/fm8d&#10;hEupPMCkvxB9hwcAAABg7vcUVJb4QJ+ev4B5OiXmIwBvAGYAVABlAG0AcABvAHIA&#10;YQByAHkAUwBoAGUAbAB0AGUAcgBVAG4AaQB0AHMAUABsAGEAbgBuAGUAZAAoAFQA&#10;YQByAGcAZQB0ACkAAAAAAAAArgZjs5py5E+5otpreoBGnwcAAABg7vcUVJb4QJ+e&#10;v4B5OiXmIwBvAGYAVABlAG0AcABvAHIAYQByAHkAUwBoAGUAbAB0AGUAcgBVAG4A&#10;aQB0AHMAQgB1AGkAbAB0AAAAAAAAAAm+8np5MG1CqvZbyELeFKEHAAAAYO73FFSW&#10;+ECfnr+AeTol5iMAbwBmAFQAZQBtAHAAbwByAGEAcgB5AFMAaABlAGwAdABlAHIA&#10;VQBuAGQAZQByAEMAbwBuAHMAdAByAHUAYwB0AGkAbwBuAAAAAAAAALzpiGqyMfFK&#10;hiXJakdOZQAHAAAAYO73FFSW+ECfnr+AeTol5iMAbwBmAFAAZQByAG0AYQBuAGUA&#10;bgB0AEgAbwB1AHMAZQBQAGwAYQBuAG4AZQBkACgAVABhAHIAZwBlAHQAKQAAAAAA&#10;AADN8+YOi9T5TqyvSW6Wj4DtBwAAAGDu9xRUlvhAn56/gHk6JeYjAG8AZgBQAGUA&#10;cgBtAGEAbgBlAG4AdABIAG8AdQBzAGUAQgB1AGkAbAB0AAAAAAAAAGicIzVoCG5D&#10;smHzah+JKIoHAAAAYO73FFSW+ECfnr+AeTol5iMAbwBmAFAAZQByAG0AYQBuAGUA&#10;bgB0AEgAbwB1AHMAZQBVAG4AZABlAHIAQwBvAG4AcwB0AHIAdQBjAHQAaQBvAG4A&#10;AAAAAAAA3n3GAbhOfk2NEYszO523CwcAAABg7vcUVJb4QJ+ev4B5OiXmSABIAEMA&#10;bwB2AGUAcgBlAGQAAAAAAAAAOqbmjV0wbk+vF/wzTiDzKAcAAABg7vcUVJb4QJ+e&#10;v4B5OiXmUABsAGEAbgBuAGUAZAAgAFIAZQBuAG8AdgBhAHQAaQBvAG4AAAAAAAAA&#10;F8wsjI8YUkKiy5Gi/ODJYAcAAABg7vcUVJb4QJ+ev4B5OiXmUgBlAG4AbwB2AGEA&#10;dABlAGQAAAAAAAAAYytU2IprSkq+Kbt5ju2mBQcAAABg7vcUVJb4QJ+ev4B5OiXm&#10;UABjAG8AZABlAAAAAAAAAJ4tOSqkrQFIot05SzaZ0N4HAAAAYO73FFSW+ECfnr+A&#10;eTol5lMAdABhAHQAdQBzAAAAAAAAAEVVhwjtxKxErCkaWQAwxVoHAAAAYO73FFSW&#10;+ECfnr+AeTol5kMAbwB2AGUAcgBhAGcAZQAAAAAAAADjR2fivuOPQZzdSAl7hzyv&#10;BwAAAGDu9xRUlvhAn56/gHk6JeZDAG8AbQBtAGUAbgB0AHMAAAAAAAAAAAAAAAAA&#10;AAAAAAAAAAAAAAwAAAAFAAAAAAAAAAAAAAAAAAAAAAA=&#10;"/>
            <od:tableProperty name="DefaultView" type="2" value="2"/>
            <od:tableProperty name="DisplayViewsOnSharePointSite" type="2" value="1"/>
            <od:tableProperty name="TotalsRow" type="1" value="0"/>
            <od:tableProperty name="FilterOnLoad" type="1" value="0"/>
            <od:tableProperty name="OrderByOnLoad" type="1" value="1"/>
            <od:tableProperty name="HideNewField" type="1" value="0"/>
            <od:tableProperty name="BackTint" type="6" value="100"/>
            <od:tableProperty name="BackShade" type="6" value="100"/>
            <od:tableProperty name="ThemeFontIndex" type="4" value="-1"/>
            <od:tableProperty name="AlternateBackThemeColorIndex" type="4" value="-1"/>
            <od:tableProperty name="AlternateBackTint" type="6" value="100"/>
            <od:tableProperty name="AlternateBackShade" type="6" value="100"/>
            <od:tableProperty name="ReadOnlyWhenDisconnected" type="1" value="0"/>
            <od:tableProperty name="DatasheetGridlinesThemeColorIndex" type="4" value="-1"/>
            <od:tableProperty name="DatasheetForeThemeColorIndex" type="4" value="-1"/>
            <od:tableProperty name="PublishToWeb" type="2" value="1"/>
          </xsd:appinfo>
        </xsd:annotation>
        <xsd:complexType>
          <xsd:sequence>
            <xsd:element name="Update_x0020_Date" minOccurs="0" od:jetType="datetime" od:sqlSType="datetime" type="xsd:dateTime">
              <xsd:annotation>
                <xsd:appinfo>
                  <od:fieldProperty name="Format" type="10" value="dd-mmm-yy"/>
                  <od:fieldProperty name="GUID" type="9" value="bfzwTU0Xt0ONLZahvgpLZw==&#10;"/>
                  <od:fieldProperty name="ColumnWidth" type="3" value="-1"/>
                  <od:fieldProperty name="ColumnOrder" type="3" value="0"/>
                  <od:fieldProperty name="ColumnHidden" type="1" value="0"/>
                  <od:fieldProperty name="Required" type="1" value="0"/>
                  <od:fieldProperty name="IMEMode" type="2" value="0"/>
                  <od:fieldProperty name="IMESentenceMode" type="2" value="3"/>
                  <od:fieldProperty name="TextAlign" type="2" value="0"/>
                  <od:fieldProperty name="AggregateType" type="4" value="-1"/>
                  <od:fieldProperty name="ShowDatePicker" type="3" value="1"/>
                  <od:fieldProperty name="ResultType" type="2" value="0"/>
                  <od:fieldProperty name="CurrencyLCID" type="4" value="0"/>
                </xsd:appinfo>
              </xsd:annotation>
            </xsd:element>
            <xsd:element name="Organization" minOccurs="0" od:jetType="text" od:sqlSType="nvarchar">
              <xsd:annotation>
                <xsd:appinfo>
                  <od:fieldProperty name="Format" type="10" value="@"/>
                  <od:fieldProperty name="GUID" type="9" value="/+oqdV+MeUe9In3gBxb3G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ImplementingPartner" minOccurs="0" od:jetType="text" od:sqlSType="nvarchar">
              <xsd:annotation>
                <xsd:appinfo>
                  <od:fieldProperty name="Format" type="10" value="@"/>
                  <od:fieldProperty name="GUID" type="9" value="6UbGziE7eU6Mr5DPrIa2B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tate" minOccurs="0" od:jetType="text" od:sqlSType="nvarchar">
              <xsd:annotation>
                <xsd:appinfo>
                  <od:fieldProperty name="Format" type="10" value="@"/>
                  <od:fieldProperty name="GUID" type="9" value="BbR6NGgasEW2rKdtcIp4K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ownship" minOccurs="0" od:jetType="text" od:sqlSType="nvarchar">
              <xsd:annotation>
                <xsd:appinfo>
                  <od:fieldProperty name="Format" type="10" value="@"/>
                  <od:fieldProperty name="GUID" type="9" value="BLIzrZhz0kKmC5CJa3lHR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ampName" minOccurs="0" od:jetType="text" od:sqlSType="nvarchar">
              <xsd:annotation>
                <xsd:appinfo>
                  <od:fieldProperty name="Format" type="10" value="@"/>
                  <od:fieldProperty name="GUID" type="9" value="Mcd3cD+VoUycwTFYazYUP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HHperShelter" minOccurs="0" od:jetType="double" od:sqlSType="float" type="xsd:double">
              <xsd:annotation>
                <xsd:appinfo>
                  <od:fieldProperty name="Format" type="10" value="General Number"/>
                  <od:fieldProperty name="GUID" type="9" value="XUUHftozMkqqnerKRVZkqA==&#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_x0023_ofFamilyTentPlanned_x0028_Target_x0029_" minOccurs="0" od:jetType="double" od:sqlSType="float" type="xsd:double">
              <xsd:annotation>
                <xsd:appinfo>
                  <od:fieldProperty name="GUID" type="9" value="7x/KXBtVckijxJiIlUu9Tw==&#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_x0023_ofFamilyTentDistributed" minOccurs="0" od:jetType="double" od:sqlSType="float" type="xsd:double">
              <xsd:annotation>
                <xsd:appinfo>
                  <od:fieldProperty name="GUID" type="9" value="XNlh419hQECh9iX7YFVsdQ==&#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_x0023_ofTemporaryShelterUnitsPlanned_x0028_Target_x0029_" minOccurs="0" od:jetType="double" od:sqlSType="float" type="xsd:double">
              <xsd:annotation>
                <xsd:appinfo>
                  <od:fieldProperty name="GUID" type="9" value="qmY/fm8dhEupPMCkvxB9hw==&#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_x0023_ofTemporaryShelterUnitsBuilt" minOccurs="0" od:jetType="double" od:sqlSType="float" type="xsd:double">
              <xsd:annotation>
                <xsd:appinfo>
                  <od:fieldProperty name="GUID" type="9" value="rgZjs5py5E+5otpreoBGnw==&#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_x0023_ofTemporaryShelterUnderConstruction" minOccurs="0" od:jetType="text" od:sqlSType="nvarchar">
              <xsd:annotation>
                <xsd:appinfo>
                  <od:fieldProperty name="GUID" type="9" value="Cb7yenkwbUKq9lvIQt4Uo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_x0023_ofPermanentHousePlanned_x0028_Target_x0029_" minOccurs="0" od:jetType="text" od:sqlSType="nvarchar">
              <xsd:annotation>
                <xsd:appinfo>
                  <od:fieldProperty name="GUID" type="9" value="vOmIarIx8UqGJclqR05lA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_x0023_ofPermanentHouseBuilt" minOccurs="0" od:jetType="text" od:sqlSType="nvarchar">
              <xsd:annotation>
                <xsd:appinfo>
                  <od:fieldProperty name="GUID" type="9" value="zfPmDovU+U6sr0lulo+A7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_x0023_ofPermanentHouseUnderConstruction" minOccurs="0" od:jetType="text" od:sqlSType="nvarchar">
              <xsd:annotation>
                <xsd:appinfo>
                  <od:fieldProperty name="GUID" type="9" value="aJwjNWgIbkOyYfNqH4koi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HHCovered" minOccurs="0" od:jetType="double" od:sqlSType="float" type="xsd:double">
              <xsd:annotation>
                <xsd:appinfo>
                  <od:fieldProperty name="Format" type="10" value="General Number"/>
                  <od:fieldProperty name="GUID" type="9" value="3n3GAbhOfk2NEYszO523Cw==&#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Planned_x0020_Renovation" minOccurs="0" od:jetType="double" od:sqlSType="float" type="xsd:double">
              <xsd:annotation>
                <xsd:appinfo>
                  <od:fieldProperty name="Format" type="10" value="General Number"/>
                  <od:fieldProperty name="GUID" type="9" value="OqbmjV0wbk+vF/wzTiDzKA==&#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Renovated" minOccurs="0" od:jetType="text" od:sqlSType="nvarchar">
              <xsd:annotation>
                <xsd:appinfo>
                  <od:fieldProperty name="Format" type="10" value="@"/>
                  <od:fieldProperty name="GUID" type="9" value="F8wsjI8YUkKiy5Gi/ODJYA==&#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Pcode" minOccurs="0" od:jetType="text" od:sqlSType="nvarchar">
              <xsd:annotation>
                <xsd:appinfo>
                  <od:fieldProperty name="Format" type="10" value="@"/>
                  <od:fieldProperty name="GUID" type="9" value="YytU2IprSkq+Kbt5ju2mBQ==&#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tatus" minOccurs="0" od:jetType="text" od:sqlSType="nvarchar">
              <xsd:annotation>
                <xsd:appinfo>
                  <od:fieldProperty name="Format" type="10" value="@"/>
                  <od:fieldProperty name="GUID" type="9" value="ni05KqStAUii3TlLNpnQ3g==&#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overage" minOccurs="0" od:jetType="double" od:sqlSType="float" type="xsd:double">
              <xsd:annotation>
                <xsd:appinfo>
                  <od:fieldProperty name="Format" type="10" value="0%"/>
                  <od:fieldProperty name="GUID" type="9" value="RVWHCO3ErESsKRpZADDFWg==&#10;"/>
                  <od:fieldProperty name="ColumnWidth" type="3" value="-1"/>
                  <od:fieldProperty name="ColumnOrder" type="3" value="0"/>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Comments" minOccurs="0" od:jetType="text" od:sqlSType="nvarchar">
              <xsd:annotation>
                <xsd:appinfo>
                  <od:fieldProperty name="Format" type="10" value="@"/>
                  <od:fieldProperty name="GUID" type="9" value="40dn4r7jj0Gc3UgJe4c8rw==&#10;"/>
                  <od:fieldProperty name="ColumnWidth" type="3" value="-1"/>
                  <od:fieldProperty name="ColumnOrder" type="3" value="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sequence>
        </xsd:complexType>
      </xsd:element>
    </xsd:schema>
  </Schema>
  <Schema ID="Schema5">
    <xsd:schema xmlns:xsd="http://www.w3.org/2001/XMLSchema" xmlns:od="urn:schemas-microsoft-com:officedata" xmlns="">
      <xsd:element name="dataroot">
        <xsd:complexType>
          <xsd:sequence>
            <xsd:element ref="Camp_x0020_List" minOccurs="0" maxOccurs="unbounded"/>
          </xsd:sequence>
          <xsd:attribute name="generated" type="xsd:dateTime"/>
        </xsd:complexType>
      </xsd:element>
      <xsd:element name="Camp_x0020_List">
        <xsd:annotation>
          <xsd:appinfo>
            <od:tableProperty name="GUID" type="9" value="sZcxHH6uv0WIJLdeMotupA==&#10;"/>
            <od:tableProperty name="Orientation" type="2" value="0"/>
            <od:tableProperty name="OrderByOn" type="1" value="0"/>
            <od:tableProperty name="NameMap" type="11" value="CswOVQAAAACxlzEcfq6/RYgkt14yi26kAAAAAD4bGx7ujuRAAAAAAAAAAABDAGEA&#10;bQBwACAATABpAHMAdAAAAAAAAACCnkck0uuwQ669OqGQ2oERBwAAALGXMRx+rr9F&#10;iCS3XjKLbqRTAHQAYQB0AHUAcwAAAAAAAACD4hezTMJ+QLfyeq1ea7dvBwAAALGX&#10;MRx+rr9FiCS3XjKLbqRTAHQAYQB0AGUAAAAAAAAAj/cXMkH89UWKWd8Un/iBiAcA&#10;AACxlzEcfq6/RYgkt14yi26kUwBfAFAAYwBvAGQAZQAAAAAAAABsv5CPay7kTpOq&#10;+udpLfm4BwAAALGXMRx+rr9FiCS3XjKLbqREAGkAcwB0AHIAaQBjAHQAAAAAAAAA&#10;G/B7TXHkNUqBLVFo7MRFMwcAAACxlzEcfq6/RYgkt14yi26kRABfAFAAYwBvAGQA&#10;ZQAAAAAAAACNrOp3eJBHS7L+ERK6XIIKBwAAALGXMRx+rr9FiCS3XjKLbqRUAG8A&#10;dwBuAHMAaABpAHAAAAAAAAAA6z/QUKs0skyTg5B22v+9wwcAAACxlzEcfq6/RYgk&#10;t14yi26kVABfAFAAYwBvAGQAZQAAAAAAAADAPyFICeRtQaGqi1yQs9EIBwAAALGX&#10;MRx+rr9FiCS3XjKLbqRWAGkAbABsAGEAZwBlAFQAcgBhAGMASwBUAG8AdwBuAAAA&#10;AAAAAFO72Ja+tKJFoDIRE3G8KQoHAAAAsZcxHH6uv0WIJLdeMotupFYAVABUAF8A&#10;UABjAG8AZABlAAAAAAAAAF2ptGHGy6JJgADhZFRieugHAAAAsZcxHH6uv0WIJLde&#10;MotupFYAaQBsAGwAYQBnAGUAVwBhAHIAZABfAE4AYQBtAGUAAAAAAAAAZbV1c/kd&#10;nUGZwTSs90INswcAAACxlzEcfq6/RYgkt14yi26kVgBXAF8AUABjAG8AZABlAAAA&#10;AAAAAO6V0XqayrVEgv4aC38xYacHAAAAsZcxHH6uv0WIJLdeMotupEMAYQBtAHAA&#10;AAAAAAAAWOF92M10Dk+aWDCLeRwL+wcAAACxlzEcfq6/RYgkt14yi26kQwBQAF8A&#10;UABjAG8AZABlAAAAAAAAALhl99q2tppMmJAAEGebhn8HAAAAsZcxHH6uv0WIJLde&#10;MotupEwAbwBuAGcAaQB0AHUAZABlAAAAAAAAAO8dfNeJKuhIn6VxqJK8NfQHAAAA&#10;sZcxHH6uv0WIJLdeMotupEwAYQB0AGkAdAB1AGQAZQAAAAAAAAAwhK4iEWlWRJ8E&#10;TyqXstgABwAAALGXMRx+rr9FiCS3XjKLbqRBAGwAdABpAHQAdQBkAGUAAAAAAAAA&#10;JUqY+KaGwE+ruWNWwPyRLgcAAACxlzEcfq6/RYgkt14yi26kSABIAAAAAAAAAHL2&#10;cffS4BtCszqmRKBp4mkHAAAAsZcxHH6uv0WIJLdeMotupFQAbwB0AGEAbAAAAAAA&#10;AADtHgjW4t/9QJGxJy6KKrEdBwAAALGXMRx+rr9FiCS3XjKLbqRBAHYAZwAAAAAA&#10;AADDdLcrbEaWSY1jpuiCzev1BwAAALGXMRx+rr9FiCS3XjKLbqRBAGMAYwBlAHMA&#10;cwBpAGIAaQBsAGkAdAB5AAAAAAAAAFD5EMGbMklKjtAT9RKcMBEHAAAAsZcxHH6u&#10;v0WIJLdeMotupFQAeQBwAGUAIABvAGYAIABBAGMAYwBvAG0AbwBkAGEAdABpAG8A&#10;bgAAAAAAAAD/uItF+gY3Sr8jZTd2BxbEBwAAALGXMRx+rr9FiCS3XjKLbqRUAHkA&#10;cABlACAAbwBmACAATABvAGMAYQB0AGkAbwBuAAAAAAAAAEaI44BdOF5Mtwi/Wr38&#10;YNMHAAAAsZcxHH6uv0WIJLdeMotupEEAZgBmAGUAYwB0AGUAZAAgAFAAbwBwAHUA&#10;bABhAHQAaQBvAG4AAAAAAAAA3VNebSmIg0qA3MBKUpmDvAcAAACxlzEcfq6/RYgk&#10;t14yi26kTwBwAGUAbgBpAG4AZwAgAEQAYQB0AGUAAAAAAAAAlGSU8E/HTUGYzW1h&#10;16eX6QcAAACxlzEcfq6/RYgkt14yi26kQwBNAC8ARgBQAAAAAAAAAFfbmCwqnwBL&#10;lbjXLOq20kMHAAAAsZcxHH6uv0WIJLdeMotupFIAZQBzAHAAbwBuAHMAaQBiAGwA&#10;ZQAgAEEAZwBlAG4AYwB5AAAAAAAAAC6H/eez6dBKrUyTcmfDEf4HAAAAsZcxHH6u&#10;v0WIJLdeMotupFMAbwB1AHIAYwBlAAAAAAAAAKIE4qy8P+ZEoxyYxqTFPWIHAAAA&#10;sZcxHH6uv0WIJLdeMotupE0AZQB0AGgAbwBkAAAAAAAAAASCI6Eeq4RHsmvuFjvF&#10;XjUHAAAAsZcxHH6uv0WIJLdeMotupFUAcABkAGEAdABlACAARABhAHQAZQAAAAAA&#10;AAAk+/YWEcrVRoxde0XlZQ4kBwAAALGXMRx+rr9FiCS3XjKLbqRDAG8AbQBtAGUA&#10;bgB0AAAAAAAAAOeT/Lwbz8pDpqA1w39iLEsHAAAAsZcxHH6uv0WIJLdeMotupFAA&#10;cgBpAG8AcgBpAHQAeQAAAAAAAABhKEOjGG1yQJwEArvucRs9BwAAALGXMRx+rr9F&#10;iCS3XjKLbqRTAGgAZQBsAHQAZQByACAARwBhAHAAAAAAAAAArgql18D+dEyh9P6f&#10;LIx+IgcAAACxlzEcfq6/RYgkt14yi26kTABhAG4AZAAgAFMAdABhAHQAdQBzAAAA&#10;AAAAAKM0DjXyLnNIkQQgYweznrkHAAAAsZcxHH6uv0WIJLdeMotupFMAaABlAGwA&#10;dABlAHIAIABQAG8AcwBzAGkAYgBsAGUAAAAAAAAAWPPGEsqklkCfYTuIUZYzuAcA&#10;AACxlzEcfq6/RYgkt14yi26kTgBlAGEAcgBlAHMAdABfAFQAbwB3AG4AAAAAAAAA&#10;qLwk7jh/K0mrerNlbU1bGQcAAACxlzEcfq6/RYgkt14yi26kRABpAHMAdABhAG4A&#10;YwBlAAAAAAAAAF04KShzBY9MjSkgZVZ6xMkHAAAAsZcxHH6uv0WIJLdeMotupEQA&#10;aQBzAHQAYQBuAGMAZQBfAEMAYQB0AAAAAAAAAAAAAAAAAAAAAAAAAAAAAAAMAAAA&#10;BQAAAAAAAAAAAAAAAAAAAAAA&#10;"/>
            <od:tableProperty name="DefaultView" type="2" value="2"/>
            <od:tableProperty name="DisplayViewsOnSharePointSite" type="2" value="1"/>
            <od:tableProperty name="TotalsRow" type="1" value="0"/>
            <od:tableProperty name="FilterOnLoad" type="1" value="0"/>
            <od:tableProperty name="OrderByOnLoad" type="1" value="1"/>
            <od:tableProperty name="HideNewField" type="1" value="0"/>
            <od:tableProperty name="BackTint" type="6" value="100"/>
            <od:tableProperty name="BackShade" type="6" value="100"/>
            <od:tableProperty name="ThemeFontIndex" type="4" value="-1"/>
            <od:tableProperty name="AlternateBackThemeColorIndex" type="4" value="-1"/>
            <od:tableProperty name="AlternateBackTint" type="6" value="100"/>
            <od:tableProperty name="AlternateBackShade" type="6" value="100"/>
            <od:tableProperty name="ReadOnlyWhenDisconnected" type="1" value="0"/>
            <od:tableProperty name="DatasheetGridlinesThemeColorIndex" type="4" value="-1"/>
            <od:tableProperty name="DatasheetForeThemeColorIndex" type="4" value="-1"/>
            <od:tableProperty name="PublishToWeb" type="2" value="1"/>
          </xsd:appinfo>
        </xsd:annotation>
        <xsd:complexType>
          <xsd:sequence>
            <xsd:element name="Status" minOccurs="0" od:jetType="text" od:sqlSType="nvarchar">
              <xsd:annotation>
                <xsd:appinfo>
                  <od:fieldProperty name="Format" type="10" value="@"/>
                  <od:fieldProperty name="GUID" type="9" value="gp5HJNLrsEOuvTqhkNqBEQ==&#10;"/>
                  <od:fieldProperty name="ColumnWidth" type="3" value="-1"/>
                  <od:fieldProperty name="ColumnOrder" type="3" value="1"/>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tate" minOccurs="0" od:jetType="text" od:sqlSType="nvarchar">
              <xsd:annotation>
                <xsd:appinfo>
                  <od:fieldProperty name="Format" type="10" value="@"/>
                  <od:fieldProperty name="GUID" type="9" value="g+IXs0zCfkC38nqtXmu3bw==&#10;"/>
                  <od:fieldProperty name="ColumnWidth" type="3" value="-1"/>
                  <od:fieldProperty name="ColumnOrder" type="3" value="2"/>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_Pcode" minOccurs="0" od:jetType="text" od:sqlSType="nvarchar">
              <xsd:annotation>
                <xsd:appinfo>
                  <od:fieldProperty name="Format" type="10" value="@"/>
                  <od:fieldProperty name="GUID" type="9" value="j/cXMkH89UWKWd8Un/iBiA==&#10;"/>
                  <od:fieldProperty name="ColumnWidth" type="3" value="-1"/>
                  <od:fieldProperty name="ColumnOrder" type="3" value="3"/>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District" minOccurs="0" od:jetType="text" od:sqlSType="nvarchar">
              <xsd:annotation>
                <xsd:appinfo>
                  <od:fieldProperty name="Format" type="10" value="@"/>
                  <od:fieldProperty name="GUID" type="9" value="bL+Qj2su5E6TqvrnaS35uA==&#10;"/>
                  <od:fieldProperty name="ColumnWidth" type="3" value="-1"/>
                  <od:fieldProperty name="ColumnOrder" type="3" value="4"/>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D_Pcode" minOccurs="0" od:jetType="text" od:sqlSType="nvarchar">
              <xsd:annotation>
                <xsd:appinfo>
                  <od:fieldProperty name="Format" type="10" value="@"/>
                  <od:fieldProperty name="GUID" type="9" value="G/B7TXHkNUqBLVFo7MRFMw==&#10;"/>
                  <od:fieldProperty name="ColumnWidth" type="3" value="-1"/>
                  <od:fieldProperty name="ColumnOrder" type="3" value="5"/>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ownship" minOccurs="0" od:jetType="text" od:sqlSType="nvarchar">
              <xsd:annotation>
                <xsd:appinfo>
                  <od:fieldProperty name="Format" type="10" value="@"/>
                  <od:fieldProperty name="GUID" type="9" value="jazqd3iQR0uy/hESulyCCg==&#10;"/>
                  <od:fieldProperty name="ColumnWidth" type="3" value="-1"/>
                  <od:fieldProperty name="ColumnOrder" type="3" value="6"/>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_Pcode" minOccurs="0" od:jetType="text" od:sqlSType="nvarchar">
              <xsd:annotation>
                <xsd:appinfo>
                  <od:fieldProperty name="Format" type="10" value="@"/>
                  <od:fieldProperty name="GUID" type="9" value="6z/QUKs0skyTg5B22v+9ww==&#10;"/>
                  <od:fieldProperty name="ColumnWidth" type="3" value="-1"/>
                  <od:fieldProperty name="ColumnOrder" type="3" value="7"/>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VillageTracKTown" minOccurs="0" od:jetType="text" od:sqlSType="nvarchar">
              <xsd:annotation>
                <xsd:appinfo>
                  <od:fieldProperty name="Format" type="10" value="@"/>
                  <od:fieldProperty name="GUID" type="9" value="wD8hSAnkbUGhqotckLPRCA==&#10;"/>
                  <od:fieldProperty name="ColumnWidth" type="3" value="-1"/>
                  <od:fieldProperty name="ColumnOrder" type="3" value="8"/>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VTT_Pcode" minOccurs="0" od:jetType="text" od:sqlSType="nvarchar">
              <xsd:annotation>
                <xsd:appinfo>
                  <od:fieldProperty name="Format" type="10" value="@"/>
                  <od:fieldProperty name="GUID" type="9" value="U7vYlr60okWgMhETcbwpCg==&#10;"/>
                  <od:fieldProperty name="ColumnWidth" type="3" value="-1"/>
                  <od:fieldProperty name="ColumnOrder" type="3" value="9"/>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VillageWard_Name" minOccurs="0" od:jetType="text" od:sqlSType="nvarchar">
              <xsd:annotation>
                <xsd:appinfo>
                  <od:fieldProperty name="Format" type="10" value="@"/>
                  <od:fieldProperty name="GUID" type="9" value="Xam0YcbLokmAAOFkVGJ66A==&#10;"/>
                  <od:fieldProperty name="ColumnWidth" type="3" value="-1"/>
                  <od:fieldProperty name="ColumnOrder" type="3" value="1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VW_Pcode" minOccurs="0" od:jetType="text" od:sqlSType="nvarchar">
              <xsd:annotation>
                <xsd:appinfo>
                  <od:fieldProperty name="Format" type="10" value="@"/>
                  <od:fieldProperty name="GUID" type="9" value="ZbV1c/kdnUGZwTSs90INsw==&#10;"/>
                  <od:fieldProperty name="ColumnWidth" type="3" value="-1"/>
                  <od:fieldProperty name="ColumnOrder" type="3" value="11"/>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amp" minOccurs="0" od:jetType="text" od:sqlSType="nvarchar">
              <xsd:annotation>
                <xsd:appinfo>
                  <od:fieldProperty name="Format" type="10" value="@"/>
                  <od:fieldProperty name="GUID" type="9" value="7pXReprKtUSC/hoLfzFhpw==&#10;"/>
                  <od:fieldProperty name="ColumnWidth" type="3" value="-1"/>
                  <od:fieldProperty name="ColumnOrder" type="3" value="12"/>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CP_Pcode" minOccurs="0" od:jetType="text" od:sqlSType="nvarchar">
              <xsd:annotation>
                <xsd:appinfo>
                  <od:fieldProperty name="Format" type="10" value="@"/>
                  <od:fieldProperty name="GUID" type="9" value="WOF92M10Dk+aWDCLeRwL+w==&#10;"/>
                  <od:fieldProperty name="ColumnWidth" type="3" value="-1"/>
                  <od:fieldProperty name="ColumnOrder" type="3" value="13"/>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Longitude" minOccurs="0" od:jetType="double" od:sqlSType="float" type="xsd:double">
              <xsd:annotation>
                <xsd:appinfo>
                  <od:fieldProperty name="Format" type="10" value="General Number"/>
                  <od:fieldProperty name="GUID" type="9" value="uGX32ra2mkyYkAAQZ5uGfw==&#10;"/>
                  <od:fieldProperty name="ColumnWidth" type="3" value="-1"/>
                  <od:fieldProperty name="ColumnOrder" type="3" value="14"/>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Latitude" minOccurs="0" od:jetType="double" od:sqlSType="float" type="xsd:double">
              <xsd:annotation>
                <xsd:appinfo>
                  <od:fieldProperty name="Format" type="10" value="General Number"/>
                  <od:fieldProperty name="GUID" type="9" value="7x1814kq6EifpXGokrw19A==&#10;"/>
                  <od:fieldProperty name="ColumnWidth" type="3" value="-1"/>
                  <od:fieldProperty name="ColumnOrder" type="3" value="15"/>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Altitude" minOccurs="0" od:jetType="double" od:sqlSType="float" type="xsd:double">
              <xsd:annotation>
                <xsd:appinfo>
                  <od:fieldProperty name="Format" type="10" value="0"/>
                  <od:fieldProperty name="GUID" type="9" value="MISuIhFpVkSfBE8ql7LYAA==&#10;"/>
                  <od:fieldProperty name="ColumnWidth" type="3" value="-1"/>
                  <od:fieldProperty name="ColumnOrder" type="3" value="16"/>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HH" minOccurs="0" od:jetType="double" od:sqlSType="float" type="xsd:double">
              <xsd:annotation>
                <xsd:appinfo>
                  <od:fieldProperty name="Format" type="10" value="General Number"/>
                  <od:fieldProperty name="GUID" type="9" value="JUqY+KaGwE+ruWNWwPyRLg==&#10;"/>
                  <od:fieldProperty name="ColumnWidth" type="3" value="-1"/>
                  <od:fieldProperty name="ColumnOrder" type="3" value="17"/>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Total" minOccurs="0" od:jetType="double" od:sqlSType="float" type="xsd:double">
              <xsd:annotation>
                <xsd:appinfo>
                  <od:fieldProperty name="Format" type="10" value="General Number"/>
                  <od:fieldProperty name="GUID" type="9" value="cvZx99LgG0KzOqZEoGniaQ==&#10;"/>
                  <od:fieldProperty name="ColumnWidth" type="3" value="-1"/>
                  <od:fieldProperty name="ColumnOrder" type="3" value="18"/>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Avg" minOccurs="0" od:jetType="text" od:sqlSType="nvarchar">
              <xsd:annotation>
                <xsd:appinfo>
                  <od:fieldProperty name="Format" type="10" value="Fixed"/>
                  <od:fieldProperty name="GUID" type="9" value="7R4I1uLf/UCRsScuiiqxHQ==&#10;"/>
                  <od:fieldProperty name="ColumnWidth" type="3" value="-1"/>
                  <od:fieldProperty name="ColumnOrder" type="3" value="19"/>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Accessibility" minOccurs="0" od:jetType="text" od:sqlSType="nvarchar">
              <xsd:annotation>
                <xsd:appinfo>
                  <od:fieldProperty name="Format" type="10" value="@"/>
                  <od:fieldProperty name="GUID" type="9" value="w3S3K2xGlkmNY6bogs3r9Q==&#10;"/>
                  <od:fieldProperty name="ColumnWidth" type="3" value="-1"/>
                  <od:fieldProperty name="ColumnOrder" type="3" value="2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ype_x0020_of_x0020_Accomodation" minOccurs="0" od:jetType="text" od:sqlSType="nvarchar">
              <xsd:annotation>
                <xsd:appinfo>
                  <od:fieldProperty name="Format" type="10" value="@"/>
                  <od:fieldProperty name="GUID" type="9" value="UPkQwZsySUqO0BP1EpwwEQ==&#10;"/>
                  <od:fieldProperty name="ColumnWidth" type="3" value="-1"/>
                  <od:fieldProperty name="ColumnOrder" type="3" value="22"/>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Type_x0020_of_x0020_Location" minOccurs="0" od:jetType="text" od:sqlSType="nvarchar">
              <xsd:annotation>
                <xsd:appinfo>
                  <od:fieldProperty name="Format" type="10" value="@"/>
                  <od:fieldProperty name="GUID" type="9" value="/7iLRfoGN0q/I2U3dgcWxA==&#10;"/>
                  <od:fieldProperty name="ColumnWidth" type="3" value="-1"/>
                  <od:fieldProperty name="ColumnOrder" type="3" value="23"/>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Affected_x0020_Population" minOccurs="0" od:jetType="text" od:sqlSType="nvarchar">
              <xsd:annotation>
                <xsd:appinfo>
                  <od:fieldProperty name="Format" type="10" value="@"/>
                  <od:fieldProperty name="GUID" type="9" value="RojjgF04Xky3CL9avfxg0w==&#10;"/>
                  <od:fieldProperty name="ColumnWidth" type="3" value="2595"/>
                  <od:fieldProperty name="ColumnOrder" type="3" value="21"/>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Opening_x0020_Date" minOccurs="0" od:jetType="datetime" od:sqlSType="datetime" type="xsd:dateTime">
              <xsd:annotation>
                <xsd:appinfo>
                  <od:fieldProperty name="Format" type="10" value="yyyy-mm-dd"/>
                  <od:fieldProperty name="GUID" type="9" value="3VNebSmIg0qA3MBKUpmDvA==&#10;"/>
                  <od:fieldProperty name="ColumnWidth" type="3" value="-1"/>
                  <od:fieldProperty name="ColumnOrder" type="3" value="24"/>
                  <od:fieldProperty name="ColumnHidden" type="1" value="0"/>
                  <od:fieldProperty name="Required" type="1" value="0"/>
                  <od:fieldProperty name="IMEMode" type="2" value="0"/>
                  <od:fieldProperty name="IMESentenceMode" type="2" value="3"/>
                  <od:fieldProperty name="TextAlign" type="2" value="0"/>
                  <od:fieldProperty name="AggregateType" type="4" value="-1"/>
                  <od:fieldProperty name="ShowDatePicker" type="3" value="1"/>
                  <od:fieldProperty name="ResultType" type="2" value="0"/>
                  <od:fieldProperty name="CurrencyLCID" type="4" value="0"/>
                </xsd:appinfo>
              </xsd:annotation>
            </xsd:element>
            <xsd:element name="CM_x002F_FP" minOccurs="0" od:jetType="double" od:sqlSType="float" type="xsd:double">
              <xsd:annotation>
                <xsd:appinfo>
                  <od:fieldProperty name="Format" type="10" value="0"/>
                  <od:fieldProperty name="GUID" type="9" value="lGSU8E/HTUGYzW1h16eX6Q==&#10;"/>
                  <od:fieldProperty name="ColumnWidth" type="3" value="-1"/>
                  <od:fieldProperty name="ColumnOrder" type="3" value="25"/>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Responsible_x0020_Agency" minOccurs="0" od:jetType="text" od:sqlSType="nvarchar">
              <xsd:annotation>
                <xsd:appinfo>
                  <od:fieldProperty name="Format" type="10" value="@"/>
                  <od:fieldProperty name="GUID" type="9" value="V9uYLCqfAEuVuNcs6rbSQw==&#10;"/>
                  <od:fieldProperty name="ColumnWidth" type="3" value="-1"/>
                  <od:fieldProperty name="ColumnOrder" type="3" value="26"/>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ource" minOccurs="0" od:jetType="text" od:sqlSType="nvarchar">
              <xsd:annotation>
                <xsd:appinfo>
                  <od:fieldProperty name="Format" type="10" value="@"/>
                  <od:fieldProperty name="GUID" type="9" value="Lof957Pp0EqtTJNyZ8MR/g==&#10;"/>
                  <od:fieldProperty name="ColumnWidth" type="3" value="-1"/>
                  <od:fieldProperty name="ColumnOrder" type="3" value="27"/>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Method" minOccurs="0" od:jetType="text" od:sqlSType="nvarchar">
              <xsd:annotation>
                <xsd:appinfo>
                  <od:fieldProperty name="Format" type="10" value="@"/>
                  <od:fieldProperty name="GUID" type="9" value="ogTirLw/5kSjHJjGpMU9Yg==&#10;"/>
                  <od:fieldProperty name="ColumnWidth" type="3" value="-1"/>
                  <od:fieldProperty name="ColumnOrder" type="3" value="28"/>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Update_x0020_Date" minOccurs="0" od:jetType="datetime" od:sqlSType="datetime" type="xsd:dateTime">
              <xsd:annotation>
                <xsd:appinfo>
                  <od:fieldProperty name="Format" type="10" value="dd-mmm-yy"/>
                  <od:fieldProperty name="GUID" type="9" value="BIIjoR6rhEeya+4WO8VeNQ==&#10;"/>
                  <od:fieldProperty name="ColumnWidth" type="3" value="-1"/>
                  <od:fieldProperty name="ColumnOrder" type="3" value="29"/>
                  <od:fieldProperty name="ColumnHidden" type="1" value="0"/>
                  <od:fieldProperty name="Required" type="1" value="0"/>
                  <od:fieldProperty name="IMEMode" type="2" value="0"/>
                  <od:fieldProperty name="IMESentenceMode" type="2" value="3"/>
                  <od:fieldProperty name="TextAlign" type="2" value="0"/>
                  <od:fieldProperty name="AggregateType" type="4" value="-1"/>
                  <od:fieldProperty name="ShowDatePicker" type="3" value="1"/>
                  <od:fieldProperty name="ResultType" type="2" value="0"/>
                  <od:fieldProperty name="CurrencyLCID" type="4" value="0"/>
                </xsd:appinfo>
              </xsd:annotation>
            </xsd:element>
            <xsd:element name="Comment" minOccurs="0" od:jetType="text" od:sqlSType="nvarchar">
              <xsd:annotation>
                <xsd:appinfo>
                  <od:fieldProperty name="Format" type="10" value="@"/>
                  <od:fieldProperty name="GUID" type="9" value="JPv2FhHK1UaMXXtF5WUOJA==&#10;"/>
                  <od:fieldProperty name="ColumnWidth" type="3" value="-1"/>
                  <od:fieldProperty name="ColumnOrder" type="3" value="30"/>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Priority" minOccurs="0" od:jetType="text" od:sqlSType="nvarchar">
              <xsd:annotation>
                <xsd:appinfo>
                  <od:fieldProperty name="Format" type="10" value="0"/>
                  <od:fieldProperty name="GUID" type="9" value="55P8vBvPykOmoDXDf2IsSw==&#10;"/>
                  <od:fieldProperty name="ColumnWidth" type="3" value="-1"/>
                  <od:fieldProperty name="ColumnOrder" type="3" value="31"/>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helter_x0020_Gap" minOccurs="0" od:jetType="double" od:sqlSType="float" type="xsd:double">
              <xsd:annotation>
                <xsd:appinfo>
                  <od:fieldProperty name="Format" type="10" value="General Number"/>
                  <od:fieldProperty name="GUID" type="9" value="YShDoxhtckCcBAK77nEbPQ==&#10;"/>
                  <od:fieldProperty name="ColumnWidth" type="3" value="-1"/>
                  <od:fieldProperty name="ColumnOrder" type="3" value="32"/>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Land_x0020_Status" minOccurs="0" od:jetType="text" od:sqlSType="nvarchar">
              <xsd:annotation>
                <xsd:appinfo>
                  <od:fieldProperty name="Format" type="10" value="@"/>
                  <od:fieldProperty name="GUID" type="9" value="rgql18D+dEyh9P6fLIx+Ig==&#10;"/>
                  <od:fieldProperty name="ColumnWidth" type="3" value="-1"/>
                  <od:fieldProperty name="ColumnOrder" type="3" value="33"/>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Shelter_x0020_Possible" minOccurs="0" od:jetType="double" od:sqlSType="float" type="xsd:double">
              <xsd:annotation>
                <xsd:appinfo>
                  <od:fieldProperty name="Format" type="10" value="General Number"/>
                  <od:fieldProperty name="GUID" type="9" value="ozQONfIuc0iRBCBjB7OeuQ==&#10;"/>
                  <od:fieldProperty name="ColumnWidth" type="3" value="-1"/>
                  <od:fieldProperty name="ColumnOrder" type="3" value="34"/>
                  <od:fieldProperty name="ColumnHidden" type="1" value="0"/>
                  <od:fieldProperty name="DecimalPlaces" type="2" value="255"/>
                  <od:fieldProperty name="Required" type="1" value="0"/>
                  <od:fieldProperty name="DisplayControl" type="3" value="109"/>
                  <od:fieldProperty name="TextAlign" type="2" value="0"/>
                  <od:fieldProperty name="AggregateType" type="4" value="-1"/>
                  <od:fieldProperty name="ResultType" type="2" value="0"/>
                  <od:fieldProperty name="CurrencyLCID" type="4" value="0"/>
                </xsd:appinfo>
              </xsd:annotation>
            </xsd:element>
            <xsd:element name="Nearest_Town" minOccurs="0" od:jetType="text" od:sqlSType="nvarchar">
              <xsd:annotation>
                <xsd:appinfo>
                  <od:fieldProperty name="Format" type="10" value="@"/>
                  <od:fieldProperty name="GUID" type="9" value="WPPGEsqklkCfYTuIUZYzuA==&#10;"/>
                  <od:fieldProperty name="ColumnWidth" type="3" value="-1"/>
                  <od:fieldProperty name="ColumnOrder" type="3" value="35"/>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Distance" minOccurs="0" od:jetType="text" od:sqlSType="nvarchar">
              <xsd:annotation>
                <xsd:appinfo>
                  <od:fieldProperty name="Format" type="10" value="* #,##0;-* #,##0;* -00"/>
                  <od:fieldProperty name="GUID" type="9" value="qLwk7jh/K0mrerNlbU1bGQ==&#10;"/>
                  <od:fieldProperty name="ColumnWidth" type="3" value="-1"/>
                  <od:fieldProperty name="ColumnOrder" type="3" value="36"/>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element name="Distance_Cat" minOccurs="0" od:jetType="text" od:sqlSType="nvarchar">
              <xsd:annotation>
                <xsd:appinfo>
                  <od:fieldProperty name="Format" type="10" value="@"/>
                  <od:fieldProperty name="GUID" type="9" value="XTgpKHMFj0yNKSBlVnrEyQ==&#10;"/>
                  <od:fieldProperty name="ColumnWidth" type="3" value="-1"/>
                  <od:fieldProperty name="ColumnOrder" type="3" value="37"/>
                  <od:fieldProperty name="ColumnHidden" type="1" value="0"/>
                  <od:fieldProperty name="Required" type="1" value="0"/>
                  <od:fieldProperty name="AllowZeroLength" type="1" value="1"/>
                  <od:fieldProperty name="DisplayControl" type="3" value="109"/>
                  <od:fieldProperty name="IMEMode" type="2" value="0"/>
                  <od:fieldProperty name="IMESentenceMode" type="2" value="3"/>
                  <od:fieldProperty name="UnicodeCompression" type="1" value="0"/>
                  <od:fieldProperty name="TextAlign" type="2" value="0"/>
                  <od:fieldProperty name="AggregateType" type="4" value="-1"/>
                  <od:fieldProperty name="ResultType" type="2" value="0"/>
                  <od:fieldProperty name="CurrencyLCID" type="4" value="0"/>
                </xsd:appinfo>
              </xsd:annotation>
              <xsd:simpleType>
                <xsd:restriction base="xsd:string">
                  <xsd:maxLength value="255"/>
                </xsd:restriction>
              </xsd:simpleType>
            </xsd:element>
          </xsd:sequence>
        </xsd:complexType>
      </xsd:element>
    </xsd:schema>
  </Schema>
  <Map ID="11" Name="CampList_Map" RootElement="dataroot" SchemaID="Schema5" ShowImportExportValidationErrors="false" AutoFit="true" Append="false" PreserveSortAFLayout="true" PreserveFormat="true"/>
  <Map ID="8" Name="NFITracking_Map" RootElement="dataroot" SchemaID="Schema3" ShowImportExportValidationErrors="false" AutoFit="true" Append="false" PreserveSortAFLayout="true" PreserveFormat="true"/>
  <Map ID="9" Name="ShelterTracking_Map" RootElement="dataroot" SchemaID="Schema4"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2.xml"/><Relationship Id="rId39"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42" Type="http://schemas.openxmlformats.org/officeDocument/2006/relationships/customXml" Target="../customXml/item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1.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5.xml"/><Relationship Id="rId41"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37" Type="http://schemas.openxmlformats.org/officeDocument/2006/relationships/customXml" Target="../customXml/item4.xml"/><Relationship Id="rId40" Type="http://schemas.openxmlformats.org/officeDocument/2006/relationships/customXml" Target="../customXml/item7.xml"/><Relationship Id="rId45" Type="http://schemas.openxmlformats.org/officeDocument/2006/relationships/xmlMaps" Target="xmlMap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4.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4" Type="http://schemas.openxmlformats.org/officeDocument/2006/relationships/customXml" Target="../customXml/item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3.xml"/><Relationship Id="rId30" Type="http://schemas.openxmlformats.org/officeDocument/2006/relationships/theme" Target="theme/theme1.xml"/><Relationship Id="rId35" Type="http://schemas.openxmlformats.org/officeDocument/2006/relationships/customXml" Target="../customXml/item2.xml"/><Relationship Id="rId43" Type="http://schemas.openxmlformats.org/officeDocument/2006/relationships/customXml" Target="../customXml/item10.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harts/_rels/chart1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[Shelter-NFI-CCCM Kachin Northern Shan Cluster Analysis Report 1st May 2017.xlsx]Camp Analysis!PivotTable2</c:name>
    <c:fmtId val="6"/>
  </c:pivotSource>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800" b="1" i="0" baseline="0">
                <a:effectLst/>
              </a:rPr>
              <a:t>Kachin &amp; Northern Shan States </a:t>
            </a:r>
          </a:p>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800" b="1" i="0" baseline="0">
                <a:effectLst/>
              </a:rPr>
              <a:t># of IDPs /Township</a:t>
            </a:r>
            <a:endParaRPr lang="en-US"/>
          </a:p>
        </c:rich>
      </c:tx>
      <c:layout>
        <c:manualLayout>
          <c:xMode val="edge"/>
          <c:yMode val="edge"/>
          <c:x val="0.17802355264037256"/>
          <c:y val="2.9020565069248325E-3"/>
        </c:manualLayout>
      </c:layout>
      <c:overlay val="0"/>
    </c:title>
    <c:autoTitleDeleted val="0"/>
    <c:pivotFmts>
      <c:pivotFmt>
        <c:idx val="0"/>
      </c:pivotFmt>
      <c:pivotFmt>
        <c:idx val="1"/>
      </c:pivotFmt>
      <c:pivotFmt>
        <c:idx val="2"/>
      </c:pivotFmt>
      <c:pivotFmt>
        <c:idx val="3"/>
        <c:marker>
          <c:symbol val="none"/>
        </c:marker>
      </c:pivotFmt>
    </c:pivotFmts>
    <c:plotArea>
      <c:layout>
        <c:manualLayout>
          <c:layoutTarget val="inner"/>
          <c:xMode val="edge"/>
          <c:yMode val="edge"/>
          <c:x val="0.18703335334551241"/>
          <c:y val="0.13559827434694499"/>
          <c:w val="0.7620403747860286"/>
          <c:h val="0.77055567472927888"/>
        </c:manualLayout>
      </c:layout>
      <c:barChart>
        <c:barDir val="bar"/>
        <c:grouping val="clustered"/>
        <c:varyColors val="0"/>
        <c:ser>
          <c:idx val="0"/>
          <c:order val="0"/>
          <c:tx>
            <c:strRef>
              <c:f>'Camp Analysis'!$Q$11</c:f>
              <c:strCache>
                <c:ptCount val="1"/>
                <c:pt idx="0">
                  <c:v>Total</c:v>
                </c:pt>
              </c:strCache>
            </c:strRef>
          </c:tx>
          <c:invertIfNegative val="0"/>
          <c:cat>
            <c:strRef>
              <c:f>'Camp Analysis'!$P$12:$P$31</c:f>
              <c:strCache>
                <c:ptCount val="19"/>
                <c:pt idx="0">
                  <c:v>Bhamo</c:v>
                </c:pt>
                <c:pt idx="1">
                  <c:v>Chipwi</c:v>
                </c:pt>
                <c:pt idx="2">
                  <c:v>Hpakant</c:v>
                </c:pt>
                <c:pt idx="3">
                  <c:v>Hseni</c:v>
                </c:pt>
                <c:pt idx="4">
                  <c:v>Kutkai</c:v>
                </c:pt>
                <c:pt idx="5">
                  <c:v>Mansi</c:v>
                </c:pt>
                <c:pt idx="6">
                  <c:v>Manton</c:v>
                </c:pt>
                <c:pt idx="7">
                  <c:v>Mogaung</c:v>
                </c:pt>
                <c:pt idx="8">
                  <c:v>Mohnyin</c:v>
                </c:pt>
                <c:pt idx="9">
                  <c:v>Momauk</c:v>
                </c:pt>
                <c:pt idx="10">
                  <c:v>Muse</c:v>
                </c:pt>
                <c:pt idx="11">
                  <c:v>Myitkyina</c:v>
                </c:pt>
                <c:pt idx="12">
                  <c:v>Namhkan</c:v>
                </c:pt>
                <c:pt idx="13">
                  <c:v>Namtu</c:v>
                </c:pt>
                <c:pt idx="14">
                  <c:v>Puta-O</c:v>
                </c:pt>
                <c:pt idx="15">
                  <c:v>Shwegu</c:v>
                </c:pt>
                <c:pt idx="16">
                  <c:v>Sumprabum</c:v>
                </c:pt>
                <c:pt idx="17">
                  <c:v>Waingmaw</c:v>
                </c:pt>
                <c:pt idx="18">
                  <c:v>Hsipaw</c:v>
                </c:pt>
              </c:strCache>
            </c:strRef>
          </c:cat>
          <c:val>
            <c:numRef>
              <c:f>'Camp Analysis'!$Q$12:$Q$31</c:f>
              <c:numCache>
                <c:formatCode>General</c:formatCode>
                <c:ptCount val="19"/>
                <c:pt idx="0">
                  <c:v>8403</c:v>
                </c:pt>
                <c:pt idx="1">
                  <c:v>2556</c:v>
                </c:pt>
                <c:pt idx="2">
                  <c:v>3537</c:v>
                </c:pt>
                <c:pt idx="3">
                  <c:v>577</c:v>
                </c:pt>
                <c:pt idx="4">
                  <c:v>4142</c:v>
                </c:pt>
                <c:pt idx="5">
                  <c:v>13069</c:v>
                </c:pt>
                <c:pt idx="6">
                  <c:v>544</c:v>
                </c:pt>
                <c:pt idx="7">
                  <c:v>350</c:v>
                </c:pt>
                <c:pt idx="8">
                  <c:v>336</c:v>
                </c:pt>
                <c:pt idx="9">
                  <c:v>24309</c:v>
                </c:pt>
                <c:pt idx="10">
                  <c:v>1510</c:v>
                </c:pt>
                <c:pt idx="11">
                  <c:v>7544</c:v>
                </c:pt>
                <c:pt idx="12">
                  <c:v>1976</c:v>
                </c:pt>
                <c:pt idx="13">
                  <c:v>1217</c:v>
                </c:pt>
                <c:pt idx="14">
                  <c:v>407</c:v>
                </c:pt>
                <c:pt idx="15">
                  <c:v>2164</c:v>
                </c:pt>
                <c:pt idx="16">
                  <c:v>759</c:v>
                </c:pt>
                <c:pt idx="17">
                  <c:v>28558</c:v>
                </c:pt>
                <c:pt idx="18">
                  <c:v>120</c:v>
                </c:pt>
              </c:numCache>
            </c:numRef>
          </c:val>
        </c:ser>
        <c:dLbls>
          <c:showLegendKey val="0"/>
          <c:showVal val="0"/>
          <c:showCatName val="0"/>
          <c:showSerName val="0"/>
          <c:showPercent val="0"/>
          <c:showBubbleSize val="0"/>
        </c:dLbls>
        <c:gapWidth val="150"/>
        <c:axId val="224888784"/>
        <c:axId val="224889176"/>
      </c:barChart>
      <c:catAx>
        <c:axId val="224888784"/>
        <c:scaling>
          <c:orientation val="minMax"/>
        </c:scaling>
        <c:delete val="0"/>
        <c:axPos val="l"/>
        <c:numFmt formatCode="General" sourceLinked="0"/>
        <c:majorTickMark val="out"/>
        <c:minorTickMark val="none"/>
        <c:tickLblPos val="nextTo"/>
        <c:crossAx val="224889176"/>
        <c:crosses val="autoZero"/>
        <c:auto val="1"/>
        <c:lblAlgn val="ctr"/>
        <c:lblOffset val="100"/>
        <c:noMultiLvlLbl val="1"/>
      </c:catAx>
      <c:valAx>
        <c:axId val="224889176"/>
        <c:scaling>
          <c:orientation val="minMax"/>
        </c:scaling>
        <c:delete val="0"/>
        <c:axPos val="b"/>
        <c:majorGridlines/>
        <c:numFmt formatCode="General" sourceLinked="1"/>
        <c:majorTickMark val="out"/>
        <c:minorTickMark val="none"/>
        <c:tickLblPos val="nextTo"/>
        <c:crossAx val="224888784"/>
        <c:crosses val="autoZero"/>
        <c:crossBetween val="between"/>
        <c:dispUnits>
          <c:builtInUnit val="thousands"/>
          <c:dispUnitsLbl/>
        </c:dispUnits>
      </c:valAx>
    </c:plotArea>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[Shelter-NFI-CCCM Kachin Northern Shan Cluster Analysis Report 1st May 2017.xlsx]Shelter Summary (by Agency)!PivotTable3</c:name>
    <c:fmtId val="4"/>
  </c:pivotSource>
  <c:chart>
    <c:title>
      <c:tx>
        <c:rich>
          <a:bodyPr/>
          <a:lstStyle/>
          <a:p>
            <a:pPr>
              <a:defRPr/>
            </a:pPr>
            <a:r>
              <a:rPr lang="en-US"/>
              <a:t># Shelters built/Agency</a:t>
            </a:r>
          </a:p>
        </c:rich>
      </c:tx>
      <c:layout>
        <c:manualLayout>
          <c:xMode val="edge"/>
          <c:yMode val="edge"/>
          <c:x val="0.34035172563000993"/>
          <c:y val="5.3679914696551763E-2"/>
        </c:manualLayout>
      </c:layout>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pivotFmt>
      <c:pivotFmt>
        <c:idx val="13"/>
      </c:pivotFmt>
      <c:pivotFmt>
        <c:idx val="14"/>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5"/>
        <c:dLbl>
          <c:idx val="0"/>
          <c:layout>
            <c:manualLayout>
              <c:x val="-5.1282061635788741E-3"/>
              <c:y val="-0.24119857774587364"/>
            </c:manualLayout>
          </c:layout>
          <c:showLegendKey val="0"/>
          <c:showVal val="1"/>
          <c:showCatName val="0"/>
          <c:showSerName val="0"/>
          <c:showPercent val="0"/>
          <c:showBubbleSize val="0"/>
          <c:extLst>
            <c:ext xmlns:c15="http://schemas.microsoft.com/office/drawing/2012/chart" uri="{CE6537A1-D6FC-4f65-9D91-7224C49458BB}"/>
          </c:extLst>
        </c:dLbl>
      </c:pivotFmt>
      <c:pivotFmt>
        <c:idx val="16"/>
        <c:dLbl>
          <c:idx val="0"/>
          <c:layout>
            <c:manualLayout>
              <c:x val="2.5641030817894371E-3"/>
              <c:y val="-6.6416999669153612E-2"/>
            </c:manualLayout>
          </c:layout>
          <c:showLegendKey val="0"/>
          <c:showVal val="1"/>
          <c:showCatName val="0"/>
          <c:showSerName val="0"/>
          <c:showPercent val="0"/>
          <c:showBubbleSize val="0"/>
          <c:extLst>
            <c:ext xmlns:c15="http://schemas.microsoft.com/office/drawing/2012/chart" uri="{CE6537A1-D6FC-4f65-9D91-7224C49458BB}"/>
          </c:extLst>
        </c:dLbl>
      </c:pivotFmt>
      <c:pivotFmt>
        <c:idx val="17"/>
        <c:dLbl>
          <c:idx val="0"/>
          <c:layout>
            <c:manualLayout>
              <c:x val="0"/>
              <c:y val="-5.5930104984550408E-2"/>
            </c:manualLayout>
          </c:layout>
          <c:showLegendKey val="0"/>
          <c:showVal val="1"/>
          <c:showCatName val="0"/>
          <c:showSerName val="0"/>
          <c:showPercent val="0"/>
          <c:showBubbleSize val="0"/>
          <c:extLst>
            <c:ext xmlns:c15="http://schemas.microsoft.com/office/drawing/2012/chart" uri="{CE6537A1-D6FC-4f65-9D91-7224C49458BB}"/>
          </c:extLst>
        </c:dLbl>
      </c:pivotFmt>
      <c:pivotFmt>
        <c:idx val="18"/>
        <c:dLbl>
          <c:idx val="0"/>
          <c:layout>
            <c:manualLayout>
              <c:x val="5.1282061635788741E-3"/>
              <c:y val="-6.6416999669153612E-2"/>
            </c:manualLayout>
          </c:layout>
          <c:showLegendKey val="0"/>
          <c:showVal val="1"/>
          <c:showCatName val="0"/>
          <c:showSerName val="0"/>
          <c:showPercent val="0"/>
          <c:showBubbleSize val="0"/>
          <c:extLst>
            <c:ext xmlns:c15="http://schemas.microsoft.com/office/drawing/2012/chart" uri="{CE6537A1-D6FC-4f65-9D91-7224C49458BB}"/>
          </c:extLst>
        </c:dLbl>
      </c:pivotFmt>
      <c:pivotFmt>
        <c:idx val="19"/>
        <c:dLbl>
          <c:idx val="0"/>
          <c:layout>
            <c:manualLayout>
              <c:x val="0"/>
              <c:y val="-9.4382052161428823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0"/>
        <c:dLbl>
          <c:idx val="0"/>
          <c:layout>
            <c:manualLayout>
              <c:x val="0"/>
              <c:y val="-5.5930104984550408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1"/>
        <c:dLbl>
          <c:idx val="0"/>
          <c:layout>
            <c:manualLayout>
              <c:x val="-2.0189788045586118E-7"/>
              <c:y val="-4.8938841861481605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2"/>
        <c:dLbl>
          <c:idx val="0"/>
          <c:layout>
            <c:manualLayout>
              <c:x val="-7.6923092453684049E-3"/>
              <c:y val="-6.9912631230688013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3"/>
        <c:dLbl>
          <c:idx val="0"/>
          <c:layout>
            <c:manualLayout>
              <c:x val="-5.1282061635788741E-3"/>
              <c:y val="-4.5443210299947211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4"/>
        <c:dLbl>
          <c:idx val="0"/>
          <c:layout>
            <c:manualLayout>
              <c:x val="0"/>
              <c:y val="-4.1947578738412809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5"/>
        <c:dLbl>
          <c:idx val="0"/>
          <c:layout>
            <c:manualLayout>
              <c:x val="-4.7008013458890184E-17"/>
              <c:y val="-5.2434473423016006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6"/>
        <c:dLbl>
          <c:idx val="0"/>
          <c:layout>
            <c:manualLayout>
              <c:x val="0"/>
              <c:y val="-0.13632963089984163"/>
            </c:manualLayout>
          </c:layout>
          <c:showLegendKey val="0"/>
          <c:showVal val="1"/>
          <c:showCatName val="0"/>
          <c:showSerName val="0"/>
          <c:showPercent val="0"/>
          <c:showBubbleSize val="0"/>
          <c:extLst>
            <c:ext xmlns:c15="http://schemas.microsoft.com/office/drawing/2012/chart" uri="{CE6537A1-D6FC-4f65-9D91-7224C49458BB}"/>
          </c:extLst>
        </c:dLbl>
      </c:pivotFmt>
      <c:pivotFmt>
        <c:idx val="27"/>
        <c:dLbl>
          <c:idx val="0"/>
          <c:layout>
            <c:manualLayout>
              <c:x val="0"/>
              <c:y val="-7.3408262792222345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8"/>
        <c:dLbl>
          <c:idx val="0"/>
          <c:layout>
            <c:manualLayout>
              <c:x val="-2.5643049796698928E-3"/>
              <c:y val="-7.6903894353756816E-2"/>
            </c:manualLayout>
          </c:layout>
          <c:showLegendKey val="0"/>
          <c:showVal val="1"/>
          <c:showCatName val="0"/>
          <c:showSerName val="0"/>
          <c:showPercent val="0"/>
          <c:showBubbleSize val="0"/>
          <c:extLst>
            <c:ext xmlns:c15="http://schemas.microsoft.com/office/drawing/2012/chart" uri="{CE6537A1-D6FC-4f65-9D91-7224C49458BB}"/>
          </c:extLst>
        </c:dLbl>
      </c:pivotFmt>
      <c:pivotFmt>
        <c:idx val="29"/>
        <c:dLbl>
          <c:idx val="0"/>
          <c:layout>
            <c:manualLayout>
              <c:x val="0"/>
              <c:y val="-2.9629638270527347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0"/>
        <c:dLbl>
          <c:idx val="0"/>
          <c:layout>
            <c:manualLayout>
              <c:x val="0"/>
              <c:y val="-3.7037047838159254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1"/>
        <c:dLbl>
          <c:idx val="0"/>
          <c:layout>
            <c:manualLayout>
              <c:x val="-2.5672373615106838E-3"/>
              <c:y val="-3.7037047838159184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2"/>
        <c:dLbl>
          <c:idx val="0"/>
          <c:layout>
            <c:manualLayout>
              <c:x val="0"/>
              <c:y val="-4.8148162189606936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3"/>
        <c:dLbl>
          <c:idx val="0"/>
          <c:layout>
            <c:manualLayout>
              <c:x val="-2.5672373615106838E-3"/>
              <c:y val="-3.3333343054343267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4"/>
        <c:dLbl>
          <c:idx val="0"/>
          <c:layout>
            <c:manualLayout>
              <c:x val="0"/>
              <c:y val="-3.7037047838159184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5"/>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dLbl>
          <c:idx val="0"/>
          <c:layout>
            <c:manualLayout>
              <c:x val="2.5732932683053345E-3"/>
              <c:y val="-7.7348088730757603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7"/>
        <c:dLbl>
          <c:idx val="0"/>
          <c:layout>
            <c:manualLayout>
              <c:x val="0"/>
              <c:y val="-4.4198907846147197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8"/>
        <c:dLbl>
          <c:idx val="0"/>
          <c:layout>
            <c:manualLayout>
              <c:x val="0"/>
              <c:y val="-0.1325967235384416"/>
            </c:manualLayout>
          </c:layout>
          <c:showLegendKey val="0"/>
          <c:showVal val="1"/>
          <c:showCatName val="0"/>
          <c:showSerName val="0"/>
          <c:showPercent val="0"/>
          <c:showBubbleSize val="0"/>
          <c:extLst>
            <c:ext xmlns:c15="http://schemas.microsoft.com/office/drawing/2012/chart" uri="{CE6537A1-D6FC-4f65-9D91-7224C49458BB}"/>
          </c:extLst>
        </c:dLbl>
      </c:pivotFmt>
      <c:pivotFmt>
        <c:idx val="39"/>
        <c:dLbl>
          <c:idx val="0"/>
          <c:layout>
            <c:manualLayout>
              <c:x val="0"/>
              <c:y val="-3.6832423205122665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0"/>
        <c:dLbl>
          <c:idx val="0"/>
          <c:layout>
            <c:manualLayout>
              <c:x val="0"/>
              <c:y val="-3.6832423205122665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1"/>
        <c:dLbl>
          <c:idx val="0"/>
          <c:layout>
            <c:manualLayout>
              <c:x val="0"/>
              <c:y val="-6.6298361769220798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2"/>
        <c:dLbl>
          <c:idx val="0"/>
          <c:layout>
            <c:manualLayout>
              <c:x val="0"/>
              <c:y val="-3.6832423205122596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3"/>
        <c:dLbl>
          <c:idx val="0"/>
          <c:layout>
            <c:manualLayout>
              <c:x val="9.4352996530661547E-17"/>
              <c:y val="-4.7882150166659532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4"/>
        <c:dLbl>
          <c:idx val="0"/>
          <c:layout>
            <c:manualLayout>
              <c:x val="-2.5732932683053345E-3"/>
              <c:y val="-0.24309399315380956"/>
            </c:manualLayout>
          </c:layout>
          <c:showLegendKey val="0"/>
          <c:showVal val="1"/>
          <c:showCatName val="0"/>
          <c:showSerName val="0"/>
          <c:showPercent val="0"/>
          <c:showBubbleSize val="0"/>
          <c:extLst>
            <c:ext xmlns:c15="http://schemas.microsoft.com/office/drawing/2012/chart" uri="{CE6537A1-D6FC-4f65-9D91-7224C49458BB}"/>
          </c:extLst>
        </c:dLbl>
      </c:pivotFmt>
      <c:pivotFmt>
        <c:idx val="45"/>
        <c:dLbl>
          <c:idx val="0"/>
          <c:layout>
            <c:manualLayout>
              <c:x val="-9.4352996530661547E-17"/>
              <c:y val="-4.4198907846147197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6"/>
        <c:dLbl>
          <c:idx val="0"/>
          <c:layout>
            <c:manualLayout>
              <c:x val="0"/>
              <c:y val="-4.0515665525634861E-2"/>
            </c:manualLayout>
          </c:layout>
          <c:showLegendKey val="0"/>
          <c:showVal val="1"/>
          <c:showCatName val="0"/>
          <c:showSerName val="0"/>
          <c:showPercent val="0"/>
          <c:showBubbleSize val="0"/>
          <c:extLst>
            <c:ext xmlns:c15="http://schemas.microsoft.com/office/drawing/2012/chart" uri="{CE6537A1-D6FC-4f65-9D91-7224C49458BB}"/>
          </c:extLst>
        </c:dLbl>
      </c:pivotFmt>
      <c:pivotFmt>
        <c:idx val="47"/>
        <c:marker>
          <c:symbol val="none"/>
        </c:marker>
      </c:pivotFmt>
    </c:pivotFmts>
    <c:plotArea>
      <c:layout/>
      <c:barChart>
        <c:barDir val="col"/>
        <c:grouping val="stacked"/>
        <c:varyColors val="0"/>
        <c:ser>
          <c:idx val="0"/>
          <c:order val="0"/>
          <c:tx>
            <c:strRef>
              <c:f>'Shelter Summary (by Agency)'!$F$7</c:f>
              <c:strCache>
                <c:ptCount val="1"/>
                <c:pt idx="0">
                  <c:v>Total</c:v>
                </c:pt>
              </c:strCache>
            </c:strRef>
          </c:tx>
          <c:invertIfNegative val="0"/>
          <c:cat>
            <c:strRef>
              <c:f>'Shelter Summary (by Agency)'!$E$8:$E$23</c:f>
              <c:strCache>
                <c:ptCount val="15"/>
                <c:pt idx="0">
                  <c:v>Caritas</c:v>
                </c:pt>
                <c:pt idx="1">
                  <c:v>CC</c:v>
                </c:pt>
                <c:pt idx="2">
                  <c:v>COC</c:v>
                </c:pt>
                <c:pt idx="3">
                  <c:v>DFID</c:v>
                </c:pt>
                <c:pt idx="4">
                  <c:v>DRC</c:v>
                </c:pt>
                <c:pt idx="5">
                  <c:v>FSD</c:v>
                </c:pt>
                <c:pt idx="6">
                  <c:v>IRRC</c:v>
                </c:pt>
                <c:pt idx="7">
                  <c:v>KBC Zonal</c:v>
                </c:pt>
                <c:pt idx="8">
                  <c:v>Metta</c:v>
                </c:pt>
                <c:pt idx="9">
                  <c:v>MHF</c:v>
                </c:pt>
                <c:pt idx="10">
                  <c:v>Misereor</c:v>
                </c:pt>
                <c:pt idx="11">
                  <c:v>Oxfam</c:v>
                </c:pt>
                <c:pt idx="12">
                  <c:v>UNHCR</c:v>
                </c:pt>
                <c:pt idx="13">
                  <c:v>World Vision</c:v>
                </c:pt>
                <c:pt idx="14">
                  <c:v>Yedai Foundation</c:v>
                </c:pt>
              </c:strCache>
            </c:strRef>
          </c:cat>
          <c:val>
            <c:numRef>
              <c:f>'Shelter Summary (by Agency)'!$F$8:$F$23</c:f>
              <c:numCache>
                <c:formatCode>_-* #,##0_-;\-* #,##0_-;_-* "-"??_-;_-@_-</c:formatCode>
                <c:ptCount val="15"/>
                <c:pt idx="0">
                  <c:v>724</c:v>
                </c:pt>
                <c:pt idx="1">
                  <c:v>279</c:v>
                </c:pt>
                <c:pt idx="2">
                  <c:v>20</c:v>
                </c:pt>
                <c:pt idx="3">
                  <c:v>350</c:v>
                </c:pt>
                <c:pt idx="4">
                  <c:v>2431</c:v>
                </c:pt>
                <c:pt idx="5">
                  <c:v>148</c:v>
                </c:pt>
                <c:pt idx="6">
                  <c:v>32</c:v>
                </c:pt>
                <c:pt idx="7">
                  <c:v>193</c:v>
                </c:pt>
                <c:pt idx="8">
                  <c:v>853</c:v>
                </c:pt>
                <c:pt idx="9">
                  <c:v>111</c:v>
                </c:pt>
                <c:pt idx="10">
                  <c:v>12</c:v>
                </c:pt>
                <c:pt idx="11">
                  <c:v>185</c:v>
                </c:pt>
                <c:pt idx="12">
                  <c:v>6399</c:v>
                </c:pt>
                <c:pt idx="13">
                  <c:v>77</c:v>
                </c:pt>
                <c:pt idx="14">
                  <c:v>10</c:v>
                </c:pt>
              </c:numCache>
            </c:numRef>
          </c:val>
        </c:ser>
        <c:dLbls>
          <c:showLegendKey val="0"/>
          <c:showVal val="0"/>
          <c:showCatName val="0"/>
          <c:showSerName val="0"/>
          <c:showPercent val="0"/>
          <c:showBubbleSize val="0"/>
        </c:dLbls>
        <c:gapWidth val="150"/>
        <c:overlap val="100"/>
        <c:axId val="343066744"/>
        <c:axId val="343067136"/>
      </c:barChart>
      <c:catAx>
        <c:axId val="343066744"/>
        <c:scaling>
          <c:orientation val="minMax"/>
        </c:scaling>
        <c:delete val="0"/>
        <c:axPos val="b"/>
        <c:numFmt formatCode="General" sourceLinked="0"/>
        <c:majorTickMark val="out"/>
        <c:minorTickMark val="none"/>
        <c:tickLblPos val="nextTo"/>
        <c:crossAx val="343067136"/>
        <c:crosses val="autoZero"/>
        <c:auto val="1"/>
        <c:lblAlgn val="ctr"/>
        <c:lblOffset val="100"/>
        <c:noMultiLvlLbl val="0"/>
      </c:catAx>
      <c:valAx>
        <c:axId val="343067136"/>
        <c:scaling>
          <c:orientation val="minMax"/>
        </c:scaling>
        <c:delete val="0"/>
        <c:axPos val="l"/>
        <c:majorGridlines/>
        <c:title>
          <c:tx>
            <c:rich>
              <a:bodyPr rot="-5400000" vert="horz"/>
              <a:lstStyle/>
              <a:p>
                <a:pPr>
                  <a:defRPr/>
                </a:pPr>
                <a:r>
                  <a:rPr lang="en-US"/>
                  <a:t># of Individual Units</a:t>
                </a:r>
              </a:p>
            </c:rich>
          </c:tx>
          <c:overlay val="0"/>
        </c:title>
        <c:numFmt formatCode="_-* #,##0_-;\-* #,##0_-;_-* &quot;-&quot;??_-;_-@_-" sourceLinked="1"/>
        <c:majorTickMark val="out"/>
        <c:minorTickMark val="none"/>
        <c:tickLblPos val="nextTo"/>
        <c:crossAx val="343066744"/>
        <c:crosses val="autoZero"/>
        <c:crossBetween val="between"/>
        <c:majorUnit val="1000"/>
      </c:valAx>
    </c:plotArea>
    <c:plotVisOnly val="1"/>
    <c:dispBlanksAs val="gap"/>
    <c:showDLblsOverMax val="0"/>
  </c:chart>
  <c:txPr>
    <a:bodyPr/>
    <a:lstStyle/>
    <a:p>
      <a:pPr>
        <a:defRPr sz="800"/>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Shelter Situation</a:t>
            </a:r>
          </a:p>
        </c:rich>
      </c:tx>
      <c:overlay val="0"/>
    </c:title>
    <c:autoTitleDeleted val="0"/>
    <c:plotArea>
      <c:layout>
        <c:manualLayout>
          <c:layoutTarget val="inner"/>
          <c:xMode val="edge"/>
          <c:yMode val="edge"/>
          <c:x val="1.5962553872270021E-2"/>
          <c:y val="0.34912111856482186"/>
          <c:w val="0.47600816279225672"/>
          <c:h val="0.44354925801697415"/>
        </c:manualLayout>
      </c:layout>
      <c:pieChart>
        <c:varyColors val="1"/>
        <c:ser>
          <c:idx val="0"/>
          <c:order val="0"/>
          <c:dPt>
            <c:idx val="0"/>
            <c:bubble3D val="0"/>
            <c:spPr>
              <a:solidFill>
                <a:schemeClr val="accent3">
                  <a:lumMod val="75000"/>
                </a:schemeClr>
              </a:solidFill>
            </c:spPr>
          </c:dPt>
          <c:dPt>
            <c:idx val="2"/>
            <c:bubble3D val="0"/>
            <c:spPr>
              <a:solidFill>
                <a:schemeClr val="tx1"/>
              </a:solidFill>
            </c:spPr>
          </c:dPt>
          <c:dLbls>
            <c:dLbl>
              <c:idx val="2"/>
              <c:layout>
                <c:manualLayout>
                  <c:x val="2.5745064998960336E-2"/>
                  <c:y val="-5.9731197649982833E-3"/>
                </c:manualLayout>
              </c:layout>
              <c:showLegendKey val="0"/>
              <c:showVal val="0"/>
              <c:showCatName val="0"/>
              <c:showSerName val="0"/>
              <c:showPercent val="1"/>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800">
                    <a:solidFill>
                      <a:schemeClr val="bg1"/>
                    </a:solidFill>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('Shelter Coverage &amp; Gaps'!$CF$6,'Shelter Coverage &amp; Gaps'!$CF$8,'Shelter Coverage &amp; Gaps'!$CF$9)</c:f>
              <c:strCache>
                <c:ptCount val="3"/>
                <c:pt idx="0">
                  <c:v>#Covered</c:v>
                </c:pt>
                <c:pt idx="1">
                  <c:v>#Gap</c:v>
                </c:pt>
                <c:pt idx="2">
                  <c:v>#Land Issue</c:v>
                </c:pt>
              </c:strCache>
            </c:strRef>
          </c:cat>
          <c:val>
            <c:numRef>
              <c:f>('Shelter Coverage &amp; Gaps'!$CG$6,'Shelter Coverage &amp; Gaps'!$CG$8,'Shelter Coverage &amp; Gaps'!$CG$9)</c:f>
              <c:numCache>
                <c:formatCode>_-* #,##0_-;\-* #,##0_-;_-* "-"??_-;_-@_-</c:formatCode>
                <c:ptCount val="3"/>
                <c:pt idx="0">
                  <c:v>10954</c:v>
                </c:pt>
                <c:pt idx="1">
                  <c:v>6936</c:v>
                </c:pt>
                <c:pt idx="2">
                  <c:v>67</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47182507263453438"/>
          <c:y val="0.33461126357337673"/>
          <c:w val="0.43437583290758552"/>
          <c:h val="0.51831633036161839"/>
        </c:manualLayout>
      </c:layout>
      <c:overlay val="0"/>
    </c:legend>
    <c:plotVisOnly val="1"/>
    <c:dispBlanksAs val="gap"/>
    <c:showDLblsOverMax val="0"/>
  </c:chart>
  <c:spPr>
    <a:solidFill>
      <a:schemeClr val="bg1">
        <a:lumMod val="95000"/>
      </a:schemeClr>
    </a:solidFill>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NFI Distribution in Rakhine State by Agency</a:t>
            </a:r>
          </a:p>
        </c:rich>
      </c:tx>
      <c:overlay val="0"/>
    </c:title>
    <c:autoTitleDeleted val="0"/>
    <c:plotArea>
      <c:layout/>
      <c:barChart>
        <c:barDir val="bar"/>
        <c:grouping val="clustered"/>
        <c:varyColors val="0"/>
        <c:ser>
          <c:idx val="0"/>
          <c:order val="0"/>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1"/>
          <c:order val="1"/>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2"/>
          <c:order val="2"/>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3"/>
          <c:order val="3"/>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4"/>
          <c:order val="4"/>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5"/>
          <c:order val="5"/>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6"/>
          <c:order val="6"/>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ser>
          <c:idx val="7"/>
          <c:order val="7"/>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dLbls>
          <c:showLegendKey val="0"/>
          <c:showVal val="0"/>
          <c:showCatName val="0"/>
          <c:showSerName val="0"/>
          <c:showPercent val="0"/>
          <c:showBubbleSize val="0"/>
        </c:dLbls>
        <c:gapWidth val="150"/>
        <c:axId val="343069488"/>
        <c:axId val="343069880"/>
      </c:barChart>
      <c:catAx>
        <c:axId val="343069488"/>
        <c:scaling>
          <c:orientation val="minMax"/>
        </c:scaling>
        <c:delete val="0"/>
        <c:axPos val="l"/>
        <c:majorTickMark val="none"/>
        <c:minorTickMark val="none"/>
        <c:tickLblPos val="nextTo"/>
        <c:crossAx val="343069880"/>
        <c:crosses val="autoZero"/>
        <c:auto val="1"/>
        <c:lblAlgn val="ctr"/>
        <c:lblOffset val="100"/>
        <c:noMultiLvlLbl val="0"/>
      </c:catAx>
      <c:valAx>
        <c:axId val="343069880"/>
        <c:scaling>
          <c:orientation val="minMax"/>
        </c:scaling>
        <c:delete val="0"/>
        <c:axPos val="b"/>
        <c:majorGridlines/>
        <c:numFmt formatCode="General" sourceLinked="1"/>
        <c:majorTickMark val="none"/>
        <c:minorTickMark val="none"/>
        <c:tickLblPos val="nextTo"/>
        <c:crossAx val="3430694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100" b="1">
                <a:latin typeface="+mn-lt"/>
              </a:defRPr>
            </a:pPr>
            <a:r>
              <a:rPr lang="en-US" sz="1100" b="1">
                <a:latin typeface="+mn-lt"/>
              </a:rPr>
              <a:t>Coverage</a:t>
            </a:r>
            <a:r>
              <a:rPr lang="en-US" sz="1100" b="1" baseline="0">
                <a:latin typeface="+mn-lt"/>
              </a:rPr>
              <a:t> &amp; Gaps / Items</a:t>
            </a:r>
            <a:endParaRPr lang="en-US" sz="1100" b="1">
              <a:latin typeface="+mn-lt"/>
            </a:endParaRPr>
          </a:p>
        </c:rich>
      </c:tx>
      <c:layout>
        <c:manualLayout>
          <c:xMode val="edge"/>
          <c:yMode val="edge"/>
          <c:x val="0.2306514653125229"/>
          <c:y val="0"/>
        </c:manualLayout>
      </c:layout>
      <c:overlay val="0"/>
    </c:title>
    <c:autoTitleDeleted val="0"/>
    <c:plotArea>
      <c:layout>
        <c:manualLayout>
          <c:layoutTarget val="inner"/>
          <c:xMode val="edge"/>
          <c:yMode val="edge"/>
          <c:x val="0.14939203728374265"/>
          <c:y val="0.20269797903419415"/>
          <c:w val="0.6339556147360994"/>
          <c:h val="0.32959123111299371"/>
        </c:manualLayout>
      </c:layout>
      <c:barChart>
        <c:barDir val="col"/>
        <c:grouping val="stacked"/>
        <c:varyColors val="0"/>
        <c:ser>
          <c:idx val="1"/>
          <c:order val="0"/>
          <c:tx>
            <c:strRef>
              <c:f>'NFI Summary'!$G$11</c:f>
              <c:strCache>
                <c:ptCount val="1"/>
                <c:pt idx="0">
                  <c:v>% Distributed</c:v>
                </c:pt>
              </c:strCache>
            </c:strRef>
          </c:tx>
          <c:spPr>
            <a:solidFill>
              <a:srgbClr val="25FF88"/>
            </a:solidFill>
          </c:spPr>
          <c:invertIfNegative val="0"/>
          <c:cat>
            <c:strRef>
              <c:f>'NFI Summary'!$C$12:$C$18</c:f>
              <c:strCache>
                <c:ptCount val="7"/>
                <c:pt idx="0">
                  <c:v>Mosquito net</c:v>
                </c:pt>
                <c:pt idx="1">
                  <c:v>Tarpaulin</c:v>
                </c:pt>
                <c:pt idx="2">
                  <c:v>Blanket</c:v>
                </c:pt>
                <c:pt idx="3">
                  <c:v>Kitchen Set</c:v>
                </c:pt>
                <c:pt idx="4">
                  <c:v>Clothes Kit</c:v>
                </c:pt>
                <c:pt idx="5">
                  <c:v>Plastic Bucket</c:v>
                </c:pt>
                <c:pt idx="6">
                  <c:v>Plastic Mat</c:v>
                </c:pt>
              </c:strCache>
            </c:strRef>
          </c:cat>
          <c:val>
            <c:numRef>
              <c:f>'NFI Summary'!$G$12:$G$18</c:f>
              <c:numCache>
                <c:formatCode>0%</c:formatCode>
                <c:ptCount val="7"/>
                <c:pt idx="0">
                  <c:v>9.1504744690465434E-2</c:v>
                </c:pt>
                <c:pt idx="1">
                  <c:v>5.5128784455490284E-2</c:v>
                </c:pt>
                <c:pt idx="2">
                  <c:v>0.21802982376863986</c:v>
                </c:pt>
                <c:pt idx="3">
                  <c:v>0.14866696791685494</c:v>
                </c:pt>
                <c:pt idx="4">
                  <c:v>0</c:v>
                </c:pt>
                <c:pt idx="5">
                  <c:v>2.0334387708992319E-2</c:v>
                </c:pt>
                <c:pt idx="6">
                  <c:v>0.10099412562132851</c:v>
                </c:pt>
              </c:numCache>
            </c:numRef>
          </c:val>
        </c:ser>
        <c:ser>
          <c:idx val="3"/>
          <c:order val="1"/>
          <c:tx>
            <c:strRef>
              <c:f>'NFI Summary'!$I$11</c:f>
              <c:strCache>
                <c:ptCount val="1"/>
                <c:pt idx="0">
                  <c:v>% In Stock</c:v>
                </c:pt>
              </c:strCache>
            </c:strRef>
          </c:tx>
          <c:spPr>
            <a:solidFill>
              <a:schemeClr val="accent1">
                <a:lumMod val="40000"/>
                <a:lumOff val="60000"/>
              </a:schemeClr>
            </a:solidFill>
            <a:ln>
              <a:noFill/>
            </a:ln>
          </c:spPr>
          <c:invertIfNegative val="0"/>
          <c:cat>
            <c:strRef>
              <c:f>'NFI Summary'!$C$12:$C$18</c:f>
              <c:strCache>
                <c:ptCount val="7"/>
                <c:pt idx="0">
                  <c:v>Mosquito net</c:v>
                </c:pt>
                <c:pt idx="1">
                  <c:v>Tarpaulin</c:v>
                </c:pt>
                <c:pt idx="2">
                  <c:v>Blanket</c:v>
                </c:pt>
                <c:pt idx="3">
                  <c:v>Kitchen Set</c:v>
                </c:pt>
                <c:pt idx="4">
                  <c:v>Clothes Kit</c:v>
                </c:pt>
                <c:pt idx="5">
                  <c:v>Plastic Bucket</c:v>
                </c:pt>
                <c:pt idx="6">
                  <c:v>Plastic Mat</c:v>
                </c:pt>
              </c:strCache>
            </c:strRef>
          </c:cat>
          <c:val>
            <c:numRef>
              <c:f>'NFI Summary'!$I$12:$I$18</c:f>
              <c:numCache>
                <c:formatCode>0%</c:formatCode>
                <c:ptCount val="7"/>
                <c:pt idx="0">
                  <c:v>0.5912788070492544</c:v>
                </c:pt>
                <c:pt idx="1">
                  <c:v>0.67736104835065525</c:v>
                </c:pt>
                <c:pt idx="2">
                  <c:v>0.8872571170356981</c:v>
                </c:pt>
                <c:pt idx="3">
                  <c:v>0.43470402169001354</c:v>
                </c:pt>
                <c:pt idx="4">
                  <c:v>0</c:v>
                </c:pt>
                <c:pt idx="5">
                  <c:v>0.48938093086308176</c:v>
                </c:pt>
                <c:pt idx="6">
                  <c:v>0.45476728422955265</c:v>
                </c:pt>
              </c:numCache>
            </c:numRef>
          </c:val>
        </c:ser>
        <c:ser>
          <c:idx val="0"/>
          <c:order val="2"/>
          <c:tx>
            <c:strRef>
              <c:f>'NFI Summary'!$J$11</c:f>
              <c:strCache>
                <c:ptCount val="1"/>
                <c:pt idx="0">
                  <c:v>% Gap</c:v>
                </c:pt>
              </c:strCache>
            </c:strRef>
          </c:tx>
          <c:spPr>
            <a:solidFill>
              <a:srgbClr val="FD2361"/>
            </a:solidFill>
          </c:spPr>
          <c:invertIfNegative val="0"/>
          <c:val>
            <c:numRef>
              <c:f>'NFI Summary'!$J$12:$J$18</c:f>
              <c:numCache>
                <c:formatCode>0%</c:formatCode>
                <c:ptCount val="7"/>
                <c:pt idx="0">
                  <c:v>0.31721644826028017</c:v>
                </c:pt>
                <c:pt idx="1">
                  <c:v>0.26751016719385445</c:v>
                </c:pt>
                <c:pt idx="2">
                  <c:v>0</c:v>
                </c:pt>
                <c:pt idx="3">
                  <c:v>0.41662901039313149</c:v>
                </c:pt>
                <c:pt idx="4">
                  <c:v>1</c:v>
                </c:pt>
                <c:pt idx="5">
                  <c:v>0.49028468142792592</c:v>
                </c:pt>
                <c:pt idx="6">
                  <c:v>0.44423859014911887</c:v>
                </c:pt>
              </c:numCache>
            </c:numRef>
          </c:val>
        </c:ser>
        <c:dLbls>
          <c:showLegendKey val="0"/>
          <c:showVal val="0"/>
          <c:showCatName val="0"/>
          <c:showSerName val="0"/>
          <c:showPercent val="0"/>
          <c:showBubbleSize val="0"/>
        </c:dLbls>
        <c:gapWidth val="55"/>
        <c:overlap val="100"/>
        <c:axId val="382672256"/>
        <c:axId val="382672648"/>
      </c:barChart>
      <c:catAx>
        <c:axId val="382672256"/>
        <c:scaling>
          <c:orientation val="minMax"/>
        </c:scaling>
        <c:delete val="0"/>
        <c:axPos val="b"/>
        <c:numFmt formatCode="General" sourceLinked="1"/>
        <c:majorTickMark val="none"/>
        <c:minorTickMark val="none"/>
        <c:tickLblPos val="nextTo"/>
        <c:txPr>
          <a:bodyPr rot="-5400000" vert="horz" anchor="t" anchorCtr="0"/>
          <a:lstStyle/>
          <a:p>
            <a:pPr>
              <a:defRPr sz="800" b="0" i="0" u="none" strike="noStrike" baseline="0">
                <a:solidFill>
                  <a:srgbClr val="000000"/>
                </a:solidFill>
                <a:latin typeface="Calibri"/>
                <a:ea typeface="Calibri"/>
                <a:cs typeface="Calibri"/>
              </a:defRPr>
            </a:pPr>
            <a:endParaRPr lang="en-US"/>
          </a:p>
        </c:txPr>
        <c:crossAx val="382672648"/>
        <c:crosses val="autoZero"/>
        <c:auto val="1"/>
        <c:lblAlgn val="ctr"/>
        <c:lblOffset val="0"/>
        <c:noMultiLvlLbl val="0"/>
      </c:catAx>
      <c:valAx>
        <c:axId val="382672648"/>
        <c:scaling>
          <c:orientation val="minMax"/>
          <c:max val="1"/>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382672256"/>
        <c:crosses val="autoZero"/>
        <c:crossBetween val="between"/>
        <c:majorUnit val="0.2"/>
      </c:valAx>
      <c:spPr>
        <a:noFill/>
        <a:ln w="25400">
          <a:noFill/>
        </a:ln>
      </c:spPr>
    </c:plotArea>
    <c:legend>
      <c:legendPos val="r"/>
      <c:overlay val="0"/>
      <c:txPr>
        <a:bodyPr/>
        <a:lstStyle/>
        <a:p>
          <a:pPr>
            <a:defRPr sz="80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paperSize="132" orientation="landscape" horizontalDpi="300"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[Shelter-NFI-CCCM Kachin Northern Shan Cluster Analysis Report 1st May 2017.xlsx]NFI Distribution (by Tship)!PivotTable4</c:name>
    <c:fmtId val="10"/>
  </c:pivotSource>
  <c:chart>
    <c:title>
      <c:tx>
        <c:rich>
          <a:bodyPr/>
          <a:lstStyle/>
          <a:p>
            <a:pPr algn="ctr" rtl="0">
              <a:defRPr lang="en-US" sz="960" b="1" i="0" u="none" strike="noStrike" kern="1200" baseline="0">
                <a:solidFill>
                  <a:sysClr val="windowText" lastClr="000000"/>
                </a:solidFill>
                <a:latin typeface="+mn-lt"/>
                <a:ea typeface="+mn-ea"/>
                <a:cs typeface="+mn-cs"/>
              </a:defRPr>
            </a:pPr>
            <a:r>
              <a:rPr lang="en-US" sz="960" b="1" i="0" u="none" strike="noStrike" kern="1200" baseline="0">
                <a:solidFill>
                  <a:sysClr val="windowText" lastClr="000000"/>
                </a:solidFill>
                <a:latin typeface="+mn-lt"/>
                <a:ea typeface="+mn-ea"/>
                <a:cs typeface="+mn-cs"/>
              </a:rPr>
              <a:t>Per Organization</a:t>
            </a:r>
          </a:p>
        </c:rich>
      </c:tx>
      <c:layout>
        <c:manualLayout>
          <c:xMode val="edge"/>
          <c:yMode val="edge"/>
          <c:x val="0.28193757716714046"/>
          <c:y val="1.8491995650205377E-3"/>
        </c:manualLayout>
      </c:layout>
      <c:overlay val="1"/>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s>
    <c:plotArea>
      <c:layout>
        <c:manualLayout>
          <c:layoutTarget val="inner"/>
          <c:xMode val="edge"/>
          <c:yMode val="edge"/>
          <c:x val="0.10722761076176529"/>
          <c:y val="0.12121204890715288"/>
          <c:w val="0.57053297728773655"/>
          <c:h val="0.51973841580862812"/>
        </c:manualLayout>
      </c:layout>
      <c:barChart>
        <c:barDir val="col"/>
        <c:grouping val="clustered"/>
        <c:varyColors val="0"/>
        <c:ser>
          <c:idx val="0"/>
          <c:order val="0"/>
          <c:tx>
            <c:strRef>
              <c:f>'NFI Distribution (by Tship)'!$B$73</c:f>
              <c:strCache>
                <c:ptCount val="1"/>
                <c:pt idx="0">
                  <c:v>Winter Clothes Adult </c:v>
                </c:pt>
              </c:strCache>
            </c:strRef>
          </c:tx>
          <c:invertIfNegative val="0"/>
          <c:cat>
            <c:strRef>
              <c:f>'NFI Distribution (by Tship)'!$A$74:$A$80</c:f>
              <c:strCache>
                <c:ptCount val="6"/>
                <c:pt idx="0">
                  <c:v>CRCS</c:v>
                </c:pt>
                <c:pt idx="1">
                  <c:v>DRC</c:v>
                </c:pt>
                <c:pt idx="2">
                  <c:v>ICRC</c:v>
                </c:pt>
                <c:pt idx="3">
                  <c:v>Plan-Myanmar</c:v>
                </c:pt>
                <c:pt idx="4">
                  <c:v>Solidarities</c:v>
                </c:pt>
                <c:pt idx="5">
                  <c:v>UNHCR</c:v>
                </c:pt>
              </c:strCache>
            </c:strRef>
          </c:cat>
          <c:val>
            <c:numRef>
              <c:f>'NFI Distribution (by Tship)'!$B$74:$B$80</c:f>
              <c:numCache>
                <c:formatCode>_-* #,##0_-;\-* #,##0_-;_-* "-"??_-;_-@_-</c:formatCode>
                <c:ptCount val="6"/>
                <c:pt idx="1">
                  <c:v>944</c:v>
                </c:pt>
                <c:pt idx="2">
                  <c:v>941</c:v>
                </c:pt>
                <c:pt idx="4">
                  <c:v>1155</c:v>
                </c:pt>
                <c:pt idx="5">
                  <c:v>2518</c:v>
                </c:pt>
              </c:numCache>
            </c:numRef>
          </c:val>
        </c:ser>
        <c:ser>
          <c:idx val="1"/>
          <c:order val="1"/>
          <c:tx>
            <c:strRef>
              <c:f>'NFI Distribution (by Tship)'!$C$73</c:f>
              <c:strCache>
                <c:ptCount val="1"/>
                <c:pt idx="0">
                  <c:v>Winter Clothes Children </c:v>
                </c:pt>
              </c:strCache>
            </c:strRef>
          </c:tx>
          <c:invertIfNegative val="0"/>
          <c:cat>
            <c:strRef>
              <c:f>'NFI Distribution (by Tship)'!$A$74:$A$80</c:f>
              <c:strCache>
                <c:ptCount val="6"/>
                <c:pt idx="0">
                  <c:v>CRCS</c:v>
                </c:pt>
                <c:pt idx="1">
                  <c:v>DRC</c:v>
                </c:pt>
                <c:pt idx="2">
                  <c:v>ICRC</c:v>
                </c:pt>
                <c:pt idx="3">
                  <c:v>Plan-Myanmar</c:v>
                </c:pt>
                <c:pt idx="4">
                  <c:v>Solidarities</c:v>
                </c:pt>
                <c:pt idx="5">
                  <c:v>UNHCR</c:v>
                </c:pt>
              </c:strCache>
            </c:strRef>
          </c:cat>
          <c:val>
            <c:numRef>
              <c:f>'NFI Distribution (by Tship)'!$C$74:$C$80</c:f>
              <c:numCache>
                <c:formatCode>_-* #,##0_-;\-* #,##0_-;_-* "-"??_-;_-@_-</c:formatCode>
                <c:ptCount val="6"/>
                <c:pt idx="1">
                  <c:v>553</c:v>
                </c:pt>
                <c:pt idx="2">
                  <c:v>619</c:v>
                </c:pt>
                <c:pt idx="3">
                  <c:v>1333</c:v>
                </c:pt>
                <c:pt idx="4">
                  <c:v>2263</c:v>
                </c:pt>
                <c:pt idx="5">
                  <c:v>4251</c:v>
                </c:pt>
              </c:numCache>
            </c:numRef>
          </c:val>
        </c:ser>
        <c:ser>
          <c:idx val="2"/>
          <c:order val="2"/>
          <c:tx>
            <c:strRef>
              <c:f>'NFI Distribution (by Tship)'!$D$73</c:f>
              <c:strCache>
                <c:ptCount val="1"/>
                <c:pt idx="0">
                  <c:v>Winter Blanket </c:v>
                </c:pt>
              </c:strCache>
            </c:strRef>
          </c:tx>
          <c:invertIfNegative val="0"/>
          <c:cat>
            <c:strRef>
              <c:f>'NFI Distribution (by Tship)'!$A$74:$A$80</c:f>
              <c:strCache>
                <c:ptCount val="6"/>
                <c:pt idx="0">
                  <c:v>CRCS</c:v>
                </c:pt>
                <c:pt idx="1">
                  <c:v>DRC</c:v>
                </c:pt>
                <c:pt idx="2">
                  <c:v>ICRC</c:v>
                </c:pt>
                <c:pt idx="3">
                  <c:v>Plan-Myanmar</c:v>
                </c:pt>
                <c:pt idx="4">
                  <c:v>Solidarities</c:v>
                </c:pt>
                <c:pt idx="5">
                  <c:v>UNHCR</c:v>
                </c:pt>
              </c:strCache>
            </c:strRef>
          </c:cat>
          <c:val>
            <c:numRef>
              <c:f>'NFI Distribution (by Tship)'!$D$74:$D$80</c:f>
              <c:numCache>
                <c:formatCode>_-* #,##0_-;\-* #,##0_-;_-* "-"??_-;_-@_-</c:formatCode>
                <c:ptCount val="6"/>
                <c:pt idx="0">
                  <c:v>684</c:v>
                </c:pt>
                <c:pt idx="2">
                  <c:v>549</c:v>
                </c:pt>
                <c:pt idx="4">
                  <c:v>3418</c:v>
                </c:pt>
                <c:pt idx="5">
                  <c:v>3416</c:v>
                </c:pt>
              </c:numCache>
            </c:numRef>
          </c:val>
        </c:ser>
        <c:dLbls>
          <c:showLegendKey val="0"/>
          <c:showVal val="0"/>
          <c:showCatName val="0"/>
          <c:showSerName val="0"/>
          <c:showPercent val="0"/>
          <c:showBubbleSize val="0"/>
        </c:dLbls>
        <c:gapWidth val="150"/>
        <c:axId val="382673432"/>
        <c:axId val="382673824"/>
      </c:barChart>
      <c:catAx>
        <c:axId val="382673432"/>
        <c:scaling>
          <c:orientation val="minMax"/>
        </c:scaling>
        <c:delete val="0"/>
        <c:axPos val="b"/>
        <c:numFmt formatCode="General" sourceLinked="0"/>
        <c:majorTickMark val="out"/>
        <c:minorTickMark val="none"/>
        <c:tickLblPos val="nextTo"/>
        <c:txPr>
          <a:bodyPr/>
          <a:lstStyle/>
          <a:p>
            <a:pPr>
              <a:defRPr sz="800"/>
            </a:pPr>
            <a:endParaRPr lang="en-US"/>
          </a:p>
        </c:txPr>
        <c:crossAx val="382673824"/>
        <c:crosses val="autoZero"/>
        <c:auto val="1"/>
        <c:lblAlgn val="ctr"/>
        <c:lblOffset val="100"/>
        <c:noMultiLvlLbl val="0"/>
      </c:catAx>
      <c:valAx>
        <c:axId val="382673824"/>
        <c:scaling>
          <c:orientation val="minMax"/>
        </c:scaling>
        <c:delete val="0"/>
        <c:axPos val="l"/>
        <c:majorGridlines/>
        <c:numFmt formatCode="_-* #,##0_-;\-* #,##0_-;_-* &quot;-&quot;??_-;_-@_-" sourceLinked="1"/>
        <c:majorTickMark val="out"/>
        <c:minorTickMark val="none"/>
        <c:tickLblPos val="nextTo"/>
        <c:txPr>
          <a:bodyPr/>
          <a:lstStyle/>
          <a:p>
            <a:pPr>
              <a:defRPr sz="800"/>
            </a:pPr>
            <a:endParaRPr lang="en-US"/>
          </a:p>
        </c:txPr>
        <c:crossAx val="382673432"/>
        <c:crosses val="autoZero"/>
        <c:crossBetween val="between"/>
        <c:majorUnit val="1000"/>
      </c:valAx>
    </c:plotArea>
    <c:legend>
      <c:legendPos val="r"/>
      <c:overlay val="0"/>
      <c:txPr>
        <a:bodyPr/>
        <a:lstStyle/>
        <a:p>
          <a:pPr>
            <a:defRPr sz="800"/>
          </a:pPr>
          <a:endParaRPr lang="en-US"/>
        </a:p>
      </c:txPr>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100" b="1">
                <a:latin typeface="+mn-lt"/>
              </a:defRPr>
            </a:pPr>
            <a:r>
              <a:rPr lang="en-US" sz="1100" b="1">
                <a:latin typeface="+mn-lt"/>
              </a:rPr>
              <a:t>Coverage</a:t>
            </a:r>
            <a:r>
              <a:rPr lang="en-US" sz="1100" b="1" baseline="0">
                <a:latin typeface="+mn-lt"/>
              </a:rPr>
              <a:t> &amp; Gaps / Items</a:t>
            </a:r>
            <a:endParaRPr lang="en-US" sz="1100" b="1">
              <a:latin typeface="+mn-lt"/>
            </a:endParaRPr>
          </a:p>
        </c:rich>
      </c:tx>
      <c:layout>
        <c:manualLayout>
          <c:xMode val="edge"/>
          <c:yMode val="edge"/>
          <c:x val="0.2306514653125229"/>
          <c:y val="0"/>
        </c:manualLayout>
      </c:layout>
      <c:overlay val="0"/>
    </c:title>
    <c:autoTitleDeleted val="0"/>
    <c:plotArea>
      <c:layout>
        <c:manualLayout>
          <c:layoutTarget val="inner"/>
          <c:xMode val="edge"/>
          <c:yMode val="edge"/>
          <c:x val="0.14939203728374265"/>
          <c:y val="0.20269797903419415"/>
          <c:w val="0.6339556147360994"/>
          <c:h val="0.32959123111299371"/>
        </c:manualLayout>
      </c:layout>
      <c:barChart>
        <c:barDir val="col"/>
        <c:grouping val="stacked"/>
        <c:varyColors val="0"/>
        <c:ser>
          <c:idx val="1"/>
          <c:order val="0"/>
          <c:tx>
            <c:strRef>
              <c:f>'NFI Summary'!$P$11</c:f>
              <c:strCache>
                <c:ptCount val="1"/>
                <c:pt idx="0">
                  <c:v>% Distributed</c:v>
                </c:pt>
              </c:strCache>
            </c:strRef>
          </c:tx>
          <c:spPr>
            <a:solidFill>
              <a:srgbClr val="25FF88"/>
            </a:solidFill>
          </c:spPr>
          <c:invertIfNegative val="0"/>
          <c:cat>
            <c:strRef>
              <c:f>'NFI Summary'!$L$12:$L$15</c:f>
              <c:strCache>
                <c:ptCount val="4"/>
                <c:pt idx="0">
                  <c:v>Winter Clothes Adult</c:v>
                </c:pt>
                <c:pt idx="1">
                  <c:v>Winter Clothes Children</c:v>
                </c:pt>
                <c:pt idx="3">
                  <c:v>Winter Blanket</c:v>
                </c:pt>
              </c:strCache>
            </c:strRef>
          </c:cat>
          <c:val>
            <c:numRef>
              <c:f>'NFI Summary'!$P$12:$P$15</c:f>
              <c:numCache>
                <c:formatCode>0%</c:formatCode>
                <c:ptCount val="4"/>
                <c:pt idx="0">
                  <c:v>5.2600119545726243E-2</c:v>
                </c:pt>
                <c:pt idx="1">
                  <c:v>7.0731221358836416E-2</c:v>
                </c:pt>
                <c:pt idx="3">
                  <c:v>0</c:v>
                </c:pt>
              </c:numCache>
            </c:numRef>
          </c:val>
        </c:ser>
        <c:ser>
          <c:idx val="3"/>
          <c:order val="1"/>
          <c:tx>
            <c:strRef>
              <c:f>'NFI Summary'!$R$11</c:f>
              <c:strCache>
                <c:ptCount val="1"/>
                <c:pt idx="0">
                  <c:v>% In Stock</c:v>
                </c:pt>
              </c:strCache>
            </c:strRef>
          </c:tx>
          <c:spPr>
            <a:solidFill>
              <a:schemeClr val="accent1">
                <a:lumMod val="40000"/>
                <a:lumOff val="60000"/>
              </a:schemeClr>
            </a:solidFill>
            <a:ln>
              <a:noFill/>
            </a:ln>
          </c:spPr>
          <c:invertIfNegative val="0"/>
          <c:cat>
            <c:strRef>
              <c:f>'NFI Summary'!$L$12:$L$15</c:f>
              <c:strCache>
                <c:ptCount val="4"/>
                <c:pt idx="0">
                  <c:v>Winter Clothes Adult</c:v>
                </c:pt>
                <c:pt idx="1">
                  <c:v>Winter Clothes Children</c:v>
                </c:pt>
                <c:pt idx="3">
                  <c:v>Winter Blanket</c:v>
                </c:pt>
              </c:strCache>
            </c:strRef>
          </c:cat>
          <c:val>
            <c:numRef>
              <c:f>'NFI Summary'!$R$12:$R$15</c:f>
              <c:numCache>
                <c:formatCode>0%</c:formatCode>
                <c:ptCount val="4"/>
                <c:pt idx="0">
                  <c:v>0</c:v>
                </c:pt>
                <c:pt idx="1">
                  <c:v>9.2647937836222355E-2</c:v>
                </c:pt>
                <c:pt idx="3">
                  <c:v>1.3759713090257024</c:v>
                </c:pt>
              </c:numCache>
            </c:numRef>
          </c:val>
        </c:ser>
        <c:ser>
          <c:idx val="0"/>
          <c:order val="2"/>
          <c:tx>
            <c:strRef>
              <c:f>'NFI Summary'!$S$11</c:f>
              <c:strCache>
                <c:ptCount val="1"/>
                <c:pt idx="0">
                  <c:v>% Gap</c:v>
                </c:pt>
              </c:strCache>
            </c:strRef>
          </c:tx>
          <c:spPr>
            <a:solidFill>
              <a:srgbClr val="FD2361"/>
            </a:solidFill>
          </c:spPr>
          <c:invertIfNegative val="0"/>
          <c:cat>
            <c:strRef>
              <c:f>'NFI Summary'!$L$12:$L$15</c:f>
              <c:strCache>
                <c:ptCount val="4"/>
                <c:pt idx="0">
                  <c:v>Winter Clothes Adult</c:v>
                </c:pt>
                <c:pt idx="1">
                  <c:v>Winter Clothes Children</c:v>
                </c:pt>
                <c:pt idx="3">
                  <c:v>Winter Blanket</c:v>
                </c:pt>
              </c:strCache>
            </c:strRef>
          </c:cat>
          <c:val>
            <c:numRef>
              <c:f>'NFI Summary'!$S$12:$S$15</c:f>
              <c:numCache>
                <c:formatCode>0%</c:formatCode>
                <c:ptCount val="4"/>
                <c:pt idx="0">
                  <c:v>0.94739988045427381</c:v>
                </c:pt>
                <c:pt idx="1">
                  <c:v>0.83662084080494115</c:v>
                </c:pt>
                <c:pt idx="3">
                  <c:v>0</c:v>
                </c:pt>
              </c:numCache>
            </c:numRef>
          </c:val>
        </c:ser>
        <c:dLbls>
          <c:showLegendKey val="0"/>
          <c:showVal val="0"/>
          <c:showCatName val="0"/>
          <c:showSerName val="0"/>
          <c:showPercent val="0"/>
          <c:showBubbleSize val="0"/>
        </c:dLbls>
        <c:gapWidth val="55"/>
        <c:overlap val="100"/>
        <c:axId val="382674608"/>
        <c:axId val="382675000"/>
      </c:barChart>
      <c:catAx>
        <c:axId val="382674608"/>
        <c:scaling>
          <c:orientation val="minMax"/>
        </c:scaling>
        <c:delete val="0"/>
        <c:axPos val="b"/>
        <c:numFmt formatCode="General" sourceLinked="1"/>
        <c:majorTickMark val="none"/>
        <c:minorTickMark val="none"/>
        <c:tickLblPos val="nextTo"/>
        <c:txPr>
          <a:bodyPr rot="-5400000" vert="horz" anchor="t" anchorCtr="0"/>
          <a:lstStyle/>
          <a:p>
            <a:pPr>
              <a:defRPr sz="800" b="0" i="0" u="none" strike="noStrike" baseline="0">
                <a:solidFill>
                  <a:srgbClr val="000000"/>
                </a:solidFill>
                <a:latin typeface="Calibri"/>
                <a:ea typeface="Calibri"/>
                <a:cs typeface="Calibri"/>
              </a:defRPr>
            </a:pPr>
            <a:endParaRPr lang="en-US"/>
          </a:p>
        </c:txPr>
        <c:crossAx val="382675000"/>
        <c:crosses val="autoZero"/>
        <c:auto val="1"/>
        <c:lblAlgn val="ctr"/>
        <c:lblOffset val="0"/>
        <c:noMultiLvlLbl val="0"/>
      </c:catAx>
      <c:valAx>
        <c:axId val="382675000"/>
        <c:scaling>
          <c:orientation val="minMax"/>
          <c:max val="1"/>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382674608"/>
        <c:crosses val="autoZero"/>
        <c:crossBetween val="between"/>
        <c:majorUnit val="0.2"/>
      </c:valAx>
      <c:spPr>
        <a:noFill/>
        <a:ln w="25400">
          <a:noFill/>
        </a:ln>
      </c:spPr>
    </c:plotArea>
    <c:legend>
      <c:legendPos val="r"/>
      <c:overlay val="0"/>
      <c:txPr>
        <a:bodyPr/>
        <a:lstStyle/>
        <a:p>
          <a:pPr>
            <a:defRPr sz="80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paperSize="132" orientation="landscape" horizontalDpi="300" verticalDpi="30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[Shelter-NFI-CCCM Kachin Northern Shan Cluster Analysis Report 1st May 2017.xlsx]NFI Summary!PivotTable1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Per</a:t>
            </a:r>
            <a:r>
              <a:rPr lang="en-US" sz="1100" b="1" baseline="0">
                <a:solidFill>
                  <a:sysClr val="windowText" lastClr="000000"/>
                </a:solidFill>
              </a:rPr>
              <a:t> Organization</a:t>
            </a:r>
            <a:endParaRPr lang="en-US" sz="11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barChart>
        <c:barDir val="col"/>
        <c:grouping val="clustered"/>
        <c:varyColors val="0"/>
        <c:ser>
          <c:idx val="0"/>
          <c:order val="0"/>
          <c:tx>
            <c:strRef>
              <c:f>'NFI Summary'!$H$44</c:f>
              <c:strCache>
                <c:ptCount val="1"/>
                <c:pt idx="0">
                  <c:v>Mosquito net </c:v>
                </c:pt>
              </c:strCache>
            </c:strRef>
          </c:tx>
          <c:spPr>
            <a:solidFill>
              <a:schemeClr val="accent1"/>
            </a:solidFill>
            <a:ln>
              <a:noFill/>
            </a:ln>
            <a:effectLst/>
          </c:spPr>
          <c:invertIfNegative val="0"/>
          <c:cat>
            <c:strRef>
              <c:f>'NFI Summary'!$G$45:$G$48</c:f>
              <c:strCache>
                <c:ptCount val="3"/>
                <c:pt idx="0">
                  <c:v>Solidarities</c:v>
                </c:pt>
                <c:pt idx="1">
                  <c:v>UNHCR</c:v>
                </c:pt>
                <c:pt idx="2">
                  <c:v>NRC</c:v>
                </c:pt>
              </c:strCache>
            </c:strRef>
          </c:cat>
          <c:val>
            <c:numRef>
              <c:f>'NFI Summary'!$H$45:$H$48</c:f>
              <c:numCache>
                <c:formatCode>General</c:formatCode>
                <c:ptCount val="3"/>
                <c:pt idx="1">
                  <c:v>997</c:v>
                </c:pt>
                <c:pt idx="2">
                  <c:v>322</c:v>
                </c:pt>
              </c:numCache>
            </c:numRef>
          </c:val>
        </c:ser>
        <c:ser>
          <c:idx val="1"/>
          <c:order val="1"/>
          <c:tx>
            <c:strRef>
              <c:f>'NFI Summary'!$I$44</c:f>
              <c:strCache>
                <c:ptCount val="1"/>
                <c:pt idx="0">
                  <c:v>Tarpaulin </c:v>
                </c:pt>
              </c:strCache>
            </c:strRef>
          </c:tx>
          <c:spPr>
            <a:solidFill>
              <a:schemeClr val="accent2"/>
            </a:solidFill>
            <a:ln>
              <a:noFill/>
            </a:ln>
            <a:effectLst/>
          </c:spPr>
          <c:invertIfNegative val="0"/>
          <c:cat>
            <c:strRef>
              <c:f>'NFI Summary'!$G$45:$G$48</c:f>
              <c:strCache>
                <c:ptCount val="3"/>
                <c:pt idx="0">
                  <c:v>Solidarities</c:v>
                </c:pt>
                <c:pt idx="1">
                  <c:v>UNHCR</c:v>
                </c:pt>
                <c:pt idx="2">
                  <c:v>NRC</c:v>
                </c:pt>
              </c:strCache>
            </c:strRef>
          </c:cat>
          <c:val>
            <c:numRef>
              <c:f>'NFI Summary'!$I$45:$I$48</c:f>
              <c:numCache>
                <c:formatCode>General</c:formatCode>
                <c:ptCount val="3"/>
                <c:pt idx="1">
                  <c:v>543</c:v>
                </c:pt>
                <c:pt idx="2">
                  <c:v>77</c:v>
                </c:pt>
              </c:numCache>
            </c:numRef>
          </c:val>
        </c:ser>
        <c:ser>
          <c:idx val="2"/>
          <c:order val="2"/>
          <c:tx>
            <c:strRef>
              <c:f>'NFI Summary'!$J$44</c:f>
              <c:strCache>
                <c:ptCount val="1"/>
                <c:pt idx="0">
                  <c:v>Blanket </c:v>
                </c:pt>
              </c:strCache>
            </c:strRef>
          </c:tx>
          <c:spPr>
            <a:solidFill>
              <a:schemeClr val="accent3"/>
            </a:solidFill>
            <a:ln>
              <a:noFill/>
            </a:ln>
            <a:effectLst/>
          </c:spPr>
          <c:invertIfNegative val="0"/>
          <c:cat>
            <c:strRef>
              <c:f>'NFI Summary'!$G$45:$G$48</c:f>
              <c:strCache>
                <c:ptCount val="3"/>
                <c:pt idx="0">
                  <c:v>Solidarities</c:v>
                </c:pt>
                <c:pt idx="1">
                  <c:v>UNHCR</c:v>
                </c:pt>
                <c:pt idx="2">
                  <c:v>NRC</c:v>
                </c:pt>
              </c:strCache>
            </c:strRef>
          </c:cat>
          <c:val>
            <c:numRef>
              <c:f>'NFI Summary'!$J$45:$J$48</c:f>
              <c:numCache>
                <c:formatCode>General</c:formatCode>
                <c:ptCount val="3"/>
                <c:pt idx="1">
                  <c:v>1571</c:v>
                </c:pt>
                <c:pt idx="2">
                  <c:v>454</c:v>
                </c:pt>
              </c:numCache>
            </c:numRef>
          </c:val>
        </c:ser>
        <c:ser>
          <c:idx val="3"/>
          <c:order val="3"/>
          <c:tx>
            <c:strRef>
              <c:f>'NFI Summary'!$K$44</c:f>
              <c:strCache>
                <c:ptCount val="1"/>
                <c:pt idx="0">
                  <c:v>Kitchen Set </c:v>
                </c:pt>
              </c:strCache>
            </c:strRef>
          </c:tx>
          <c:spPr>
            <a:solidFill>
              <a:schemeClr val="accent4"/>
            </a:solidFill>
            <a:ln>
              <a:noFill/>
            </a:ln>
            <a:effectLst/>
          </c:spPr>
          <c:invertIfNegative val="0"/>
          <c:cat>
            <c:strRef>
              <c:f>'NFI Summary'!$G$45:$G$48</c:f>
              <c:strCache>
                <c:ptCount val="3"/>
                <c:pt idx="0">
                  <c:v>Solidarities</c:v>
                </c:pt>
                <c:pt idx="1">
                  <c:v>UNHCR</c:v>
                </c:pt>
                <c:pt idx="2">
                  <c:v>NRC</c:v>
                </c:pt>
              </c:strCache>
            </c:strRef>
          </c:cat>
          <c:val>
            <c:numRef>
              <c:f>'NFI Summary'!$K$45:$K$48</c:f>
              <c:numCache>
                <c:formatCode>General</c:formatCode>
                <c:ptCount val="3"/>
                <c:pt idx="1">
                  <c:v>305</c:v>
                </c:pt>
                <c:pt idx="2">
                  <c:v>322</c:v>
                </c:pt>
              </c:numCache>
            </c:numRef>
          </c:val>
        </c:ser>
        <c:ser>
          <c:idx val="4"/>
          <c:order val="4"/>
          <c:tx>
            <c:strRef>
              <c:f>'NFI Summary'!$L$44</c:f>
              <c:strCache>
                <c:ptCount val="1"/>
                <c:pt idx="0">
                  <c:v>Plastic Bucket </c:v>
                </c:pt>
              </c:strCache>
            </c:strRef>
          </c:tx>
          <c:spPr>
            <a:solidFill>
              <a:schemeClr val="accent5"/>
            </a:solidFill>
            <a:ln>
              <a:noFill/>
            </a:ln>
            <a:effectLst/>
          </c:spPr>
          <c:invertIfNegative val="0"/>
          <c:cat>
            <c:strRef>
              <c:f>'NFI Summary'!$G$45:$G$48</c:f>
              <c:strCache>
                <c:ptCount val="3"/>
                <c:pt idx="0">
                  <c:v>Solidarities</c:v>
                </c:pt>
                <c:pt idx="1">
                  <c:v>UNHCR</c:v>
                </c:pt>
                <c:pt idx="2">
                  <c:v>NRC</c:v>
                </c:pt>
              </c:strCache>
            </c:strRef>
          </c:cat>
          <c:val>
            <c:numRef>
              <c:f>'NFI Summary'!$L$45:$L$48</c:f>
              <c:numCache>
                <c:formatCode>General</c:formatCode>
                <c:ptCount val="3"/>
                <c:pt idx="1">
                  <c:v>343</c:v>
                </c:pt>
              </c:numCache>
            </c:numRef>
          </c:val>
        </c:ser>
        <c:ser>
          <c:idx val="5"/>
          <c:order val="5"/>
          <c:tx>
            <c:strRef>
              <c:f>'NFI Summary'!$M$44</c:f>
              <c:strCache>
                <c:ptCount val="1"/>
                <c:pt idx="0">
                  <c:v>Plastic Mat </c:v>
                </c:pt>
              </c:strCache>
            </c:strRef>
          </c:tx>
          <c:spPr>
            <a:solidFill>
              <a:schemeClr val="accent6"/>
            </a:solidFill>
            <a:ln>
              <a:noFill/>
            </a:ln>
            <a:effectLst/>
          </c:spPr>
          <c:invertIfNegative val="0"/>
          <c:cat>
            <c:strRef>
              <c:f>'NFI Summary'!$G$45:$G$48</c:f>
              <c:strCache>
                <c:ptCount val="3"/>
                <c:pt idx="0">
                  <c:v>Solidarities</c:v>
                </c:pt>
                <c:pt idx="1">
                  <c:v>UNHCR</c:v>
                </c:pt>
                <c:pt idx="2">
                  <c:v>NRC</c:v>
                </c:pt>
              </c:strCache>
            </c:strRef>
          </c:cat>
          <c:val>
            <c:numRef>
              <c:f>'NFI Summary'!$M$45:$M$48</c:f>
              <c:numCache>
                <c:formatCode>General</c:formatCode>
                <c:ptCount val="3"/>
                <c:pt idx="1">
                  <c:v>1310</c:v>
                </c:pt>
                <c:pt idx="2">
                  <c:v>322</c:v>
                </c:pt>
              </c:numCache>
            </c:numRef>
          </c:val>
        </c:ser>
        <c:dLbls>
          <c:showLegendKey val="0"/>
          <c:showVal val="0"/>
          <c:showCatName val="0"/>
          <c:showSerName val="0"/>
          <c:showPercent val="0"/>
          <c:showBubbleSize val="0"/>
        </c:dLbls>
        <c:gapWidth val="219"/>
        <c:overlap val="-27"/>
        <c:axId val="382675784"/>
        <c:axId val="383823080"/>
      </c:barChart>
      <c:catAx>
        <c:axId val="382675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823080"/>
        <c:crosses val="autoZero"/>
        <c:auto val="1"/>
        <c:lblAlgn val="ctr"/>
        <c:lblOffset val="100"/>
        <c:noMultiLvlLbl val="0"/>
      </c:catAx>
      <c:valAx>
        <c:axId val="383823080"/>
        <c:scaling>
          <c:orientation val="minMax"/>
          <c:max val="12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2675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3175" cap="flat" cmpd="sng" algn="ctr">
      <a:solidFill>
        <a:schemeClr val="bg1">
          <a:lumMod val="65000"/>
        </a:schemeClr>
      </a:solidFill>
      <a:round/>
    </a:ln>
    <a:effectLst/>
  </c:spPr>
  <c:txPr>
    <a:bodyPr/>
    <a:lstStyle/>
    <a:p>
      <a:pPr>
        <a:defRPr/>
      </a:pPr>
      <a:endParaRPr lang="en-US"/>
    </a:p>
  </c:txPr>
  <c:printSettings>
    <c:headerFooter/>
    <c:pageMargins b="0.75" l="0.7" r="0.7" t="0.75"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65031407086608"/>
          <c:y val="0.15663962176887972"/>
          <c:w val="0.8588819417282495"/>
          <c:h val="0.51595973066604373"/>
        </c:manualLayout>
      </c:layout>
      <c:barChart>
        <c:barDir val="col"/>
        <c:grouping val="stacked"/>
        <c:varyColors val="0"/>
        <c:ser>
          <c:idx val="3"/>
          <c:order val="0"/>
          <c:tx>
            <c:strRef>
              <c:f>'CCCM Dashboard'!$AJ$46</c:f>
              <c:strCache>
                <c:ptCount val="1"/>
                <c:pt idx="0">
                  <c:v>1-100</c:v>
                </c:pt>
              </c:strCache>
            </c:strRef>
          </c:tx>
          <c:invertIfNegative val="0"/>
          <c:cat>
            <c:strRef>
              <c:f>'CCCM Dashboard'!$AI$47:$AI$66</c:f>
              <c:strCache>
                <c:ptCount val="20"/>
                <c:pt idx="0">
                  <c:v>Bhamo</c:v>
                </c:pt>
                <c:pt idx="1">
                  <c:v>Chipwi</c:v>
                </c:pt>
                <c:pt idx="2">
                  <c:v>Hpakant</c:v>
                </c:pt>
                <c:pt idx="3">
                  <c:v>Khaunglanhpu</c:v>
                </c:pt>
                <c:pt idx="4">
                  <c:v>Kutkai</c:v>
                </c:pt>
                <c:pt idx="5">
                  <c:v>Mansi</c:v>
                </c:pt>
                <c:pt idx="6">
                  <c:v>Injangyang</c:v>
                </c:pt>
                <c:pt idx="7">
                  <c:v>Manton</c:v>
                </c:pt>
                <c:pt idx="8">
                  <c:v>Mogaung</c:v>
                </c:pt>
                <c:pt idx="9">
                  <c:v>Hseni</c:v>
                </c:pt>
                <c:pt idx="10">
                  <c:v>Mohnyin</c:v>
                </c:pt>
                <c:pt idx="11">
                  <c:v>Momauk</c:v>
                </c:pt>
                <c:pt idx="12">
                  <c:v>Muse</c:v>
                </c:pt>
                <c:pt idx="13">
                  <c:v>Myitkyina</c:v>
                </c:pt>
                <c:pt idx="14">
                  <c:v>Namhkan</c:v>
                </c:pt>
                <c:pt idx="15">
                  <c:v>Namtu</c:v>
                </c:pt>
                <c:pt idx="16">
                  <c:v>Puta-O</c:v>
                </c:pt>
                <c:pt idx="17">
                  <c:v>Shwegu</c:v>
                </c:pt>
                <c:pt idx="18">
                  <c:v>Sumprabum</c:v>
                </c:pt>
                <c:pt idx="19">
                  <c:v>Waingmaw</c:v>
                </c:pt>
              </c:strCache>
            </c:strRef>
          </c:cat>
          <c:val>
            <c:numRef>
              <c:f>'CCCM Dashboard'!$AJ$47:$AJ$66</c:f>
              <c:numCache>
                <c:formatCode>_-* #,##0_-;\-* #,##0_-;_-* "-"??_-;_-@_-</c:formatCode>
                <c:ptCount val="20"/>
                <c:pt idx="0">
                  <c:v>4</c:v>
                </c:pt>
                <c:pt idx="1">
                  <c:v>0</c:v>
                </c:pt>
                <c:pt idx="2">
                  <c:v>12</c:v>
                </c:pt>
                <c:pt idx="3">
                  <c:v>0</c:v>
                </c:pt>
                <c:pt idx="4">
                  <c:v>1</c:v>
                </c:pt>
                <c:pt idx="5">
                  <c:v>0</c:v>
                </c:pt>
                <c:pt idx="6">
                  <c:v>0</c:v>
                </c:pt>
                <c:pt idx="7">
                  <c:v>0</c:v>
                </c:pt>
                <c:pt idx="8">
                  <c:v>4</c:v>
                </c:pt>
                <c:pt idx="9">
                  <c:v>0</c:v>
                </c:pt>
                <c:pt idx="10">
                  <c:v>2</c:v>
                </c:pt>
                <c:pt idx="11">
                  <c:v>1</c:v>
                </c:pt>
                <c:pt idx="12">
                  <c:v>1</c:v>
                </c:pt>
                <c:pt idx="13">
                  <c:v>6</c:v>
                </c:pt>
                <c:pt idx="14">
                  <c:v>0</c:v>
                </c:pt>
                <c:pt idx="15">
                  <c:v>2</c:v>
                </c:pt>
                <c:pt idx="16">
                  <c:v>2</c:v>
                </c:pt>
                <c:pt idx="17">
                  <c:v>0</c:v>
                </c:pt>
                <c:pt idx="18">
                  <c:v>1</c:v>
                </c:pt>
                <c:pt idx="19">
                  <c:v>1</c:v>
                </c:pt>
              </c:numCache>
            </c:numRef>
          </c:val>
        </c:ser>
        <c:ser>
          <c:idx val="0"/>
          <c:order val="1"/>
          <c:tx>
            <c:strRef>
              <c:f>'CCCM Dashboard'!$AK$46</c:f>
              <c:strCache>
                <c:ptCount val="1"/>
                <c:pt idx="0">
                  <c:v>100-1k</c:v>
                </c:pt>
              </c:strCache>
            </c:strRef>
          </c:tx>
          <c:spPr>
            <a:solidFill>
              <a:srgbClr val="FFC000"/>
            </a:solidFill>
          </c:spPr>
          <c:invertIfNegative val="0"/>
          <c:cat>
            <c:strRef>
              <c:f>'CCCM Dashboard'!$AI$47:$AI$66</c:f>
              <c:strCache>
                <c:ptCount val="20"/>
                <c:pt idx="0">
                  <c:v>Bhamo</c:v>
                </c:pt>
                <c:pt idx="1">
                  <c:v>Chipwi</c:v>
                </c:pt>
                <c:pt idx="2">
                  <c:v>Hpakant</c:v>
                </c:pt>
                <c:pt idx="3">
                  <c:v>Khaunglanhpu</c:v>
                </c:pt>
                <c:pt idx="4">
                  <c:v>Kutkai</c:v>
                </c:pt>
                <c:pt idx="5">
                  <c:v>Mansi</c:v>
                </c:pt>
                <c:pt idx="6">
                  <c:v>Injangyang</c:v>
                </c:pt>
                <c:pt idx="7">
                  <c:v>Manton</c:v>
                </c:pt>
                <c:pt idx="8">
                  <c:v>Mogaung</c:v>
                </c:pt>
                <c:pt idx="9">
                  <c:v>Hseni</c:v>
                </c:pt>
                <c:pt idx="10">
                  <c:v>Mohnyin</c:v>
                </c:pt>
                <c:pt idx="11">
                  <c:v>Momauk</c:v>
                </c:pt>
                <c:pt idx="12">
                  <c:v>Muse</c:v>
                </c:pt>
                <c:pt idx="13">
                  <c:v>Myitkyina</c:v>
                </c:pt>
                <c:pt idx="14">
                  <c:v>Namhkan</c:v>
                </c:pt>
                <c:pt idx="15">
                  <c:v>Namtu</c:v>
                </c:pt>
                <c:pt idx="16">
                  <c:v>Puta-O</c:v>
                </c:pt>
                <c:pt idx="17">
                  <c:v>Shwegu</c:v>
                </c:pt>
                <c:pt idx="18">
                  <c:v>Sumprabum</c:v>
                </c:pt>
                <c:pt idx="19">
                  <c:v>Waingmaw</c:v>
                </c:pt>
              </c:strCache>
            </c:strRef>
          </c:cat>
          <c:val>
            <c:numRef>
              <c:f>'CCCM Dashboard'!$AK$47:$AK$66</c:f>
              <c:numCache>
                <c:formatCode>_-* #,##0_-;\-* #,##0_-;_-* "-"??_-;_-@_-</c:formatCode>
                <c:ptCount val="20"/>
                <c:pt idx="0">
                  <c:v>5</c:v>
                </c:pt>
                <c:pt idx="1">
                  <c:v>5</c:v>
                </c:pt>
                <c:pt idx="2">
                  <c:v>10</c:v>
                </c:pt>
                <c:pt idx="3">
                  <c:v>0</c:v>
                </c:pt>
                <c:pt idx="4">
                  <c:v>12</c:v>
                </c:pt>
                <c:pt idx="5">
                  <c:v>7</c:v>
                </c:pt>
                <c:pt idx="6">
                  <c:v>0</c:v>
                </c:pt>
                <c:pt idx="7">
                  <c:v>3</c:v>
                </c:pt>
                <c:pt idx="8">
                  <c:v>1</c:v>
                </c:pt>
                <c:pt idx="9">
                  <c:v>2</c:v>
                </c:pt>
                <c:pt idx="10">
                  <c:v>2</c:v>
                </c:pt>
                <c:pt idx="11">
                  <c:v>6</c:v>
                </c:pt>
                <c:pt idx="12">
                  <c:v>4</c:v>
                </c:pt>
                <c:pt idx="13">
                  <c:v>17</c:v>
                </c:pt>
                <c:pt idx="14">
                  <c:v>6</c:v>
                </c:pt>
                <c:pt idx="15">
                  <c:v>4</c:v>
                </c:pt>
                <c:pt idx="16">
                  <c:v>1</c:v>
                </c:pt>
                <c:pt idx="17">
                  <c:v>2</c:v>
                </c:pt>
                <c:pt idx="18">
                  <c:v>2</c:v>
                </c:pt>
                <c:pt idx="19">
                  <c:v>15</c:v>
                </c:pt>
              </c:numCache>
            </c:numRef>
          </c:val>
        </c:ser>
        <c:ser>
          <c:idx val="1"/>
          <c:order val="2"/>
          <c:tx>
            <c:strRef>
              <c:f>'CCCM Dashboard'!$AL$46</c:f>
              <c:strCache>
                <c:ptCount val="1"/>
                <c:pt idx="0">
                  <c:v>1k - 5k</c:v>
                </c:pt>
              </c:strCache>
            </c:strRef>
          </c:tx>
          <c:invertIfNegative val="0"/>
          <c:cat>
            <c:strRef>
              <c:f>'CCCM Dashboard'!$AI$47:$AI$66</c:f>
              <c:strCache>
                <c:ptCount val="20"/>
                <c:pt idx="0">
                  <c:v>Bhamo</c:v>
                </c:pt>
                <c:pt idx="1">
                  <c:v>Chipwi</c:v>
                </c:pt>
                <c:pt idx="2">
                  <c:v>Hpakant</c:v>
                </c:pt>
                <c:pt idx="3">
                  <c:v>Khaunglanhpu</c:v>
                </c:pt>
                <c:pt idx="4">
                  <c:v>Kutkai</c:v>
                </c:pt>
                <c:pt idx="5">
                  <c:v>Mansi</c:v>
                </c:pt>
                <c:pt idx="6">
                  <c:v>Injangyang</c:v>
                </c:pt>
                <c:pt idx="7">
                  <c:v>Manton</c:v>
                </c:pt>
                <c:pt idx="8">
                  <c:v>Mogaung</c:v>
                </c:pt>
                <c:pt idx="9">
                  <c:v>Hseni</c:v>
                </c:pt>
                <c:pt idx="10">
                  <c:v>Mohnyin</c:v>
                </c:pt>
                <c:pt idx="11">
                  <c:v>Momauk</c:v>
                </c:pt>
                <c:pt idx="12">
                  <c:v>Muse</c:v>
                </c:pt>
                <c:pt idx="13">
                  <c:v>Myitkyina</c:v>
                </c:pt>
                <c:pt idx="14">
                  <c:v>Namhkan</c:v>
                </c:pt>
                <c:pt idx="15">
                  <c:v>Namtu</c:v>
                </c:pt>
                <c:pt idx="16">
                  <c:v>Puta-O</c:v>
                </c:pt>
                <c:pt idx="17">
                  <c:v>Shwegu</c:v>
                </c:pt>
                <c:pt idx="18">
                  <c:v>Sumprabum</c:v>
                </c:pt>
                <c:pt idx="19">
                  <c:v>Waingmaw</c:v>
                </c:pt>
              </c:strCache>
            </c:strRef>
          </c:cat>
          <c:val>
            <c:numRef>
              <c:f>'CCCM Dashboard'!$AL$47:$AL$66</c:f>
              <c:numCache>
                <c:formatCode>_-* #,##0_-;\-* #,##0_-;_-* "-"??_-;_-@_-</c:formatCode>
                <c:ptCount val="20"/>
                <c:pt idx="0">
                  <c:v>2</c:v>
                </c:pt>
                <c:pt idx="1">
                  <c:v>0</c:v>
                </c:pt>
                <c:pt idx="2">
                  <c:v>0</c:v>
                </c:pt>
                <c:pt idx="3">
                  <c:v>0</c:v>
                </c:pt>
                <c:pt idx="4">
                  <c:v>0</c:v>
                </c:pt>
                <c:pt idx="5">
                  <c:v>4</c:v>
                </c:pt>
                <c:pt idx="6">
                  <c:v>0</c:v>
                </c:pt>
                <c:pt idx="7">
                  <c:v>0</c:v>
                </c:pt>
                <c:pt idx="8">
                  <c:v>0</c:v>
                </c:pt>
                <c:pt idx="9">
                  <c:v>0</c:v>
                </c:pt>
                <c:pt idx="10">
                  <c:v>0</c:v>
                </c:pt>
                <c:pt idx="11">
                  <c:v>7</c:v>
                </c:pt>
                <c:pt idx="12">
                  <c:v>0</c:v>
                </c:pt>
                <c:pt idx="13">
                  <c:v>1</c:v>
                </c:pt>
                <c:pt idx="14">
                  <c:v>0</c:v>
                </c:pt>
                <c:pt idx="15">
                  <c:v>0</c:v>
                </c:pt>
                <c:pt idx="16">
                  <c:v>0</c:v>
                </c:pt>
                <c:pt idx="17">
                  <c:v>1</c:v>
                </c:pt>
                <c:pt idx="18">
                  <c:v>0</c:v>
                </c:pt>
                <c:pt idx="19">
                  <c:v>6</c:v>
                </c:pt>
              </c:numCache>
            </c:numRef>
          </c:val>
        </c:ser>
        <c:ser>
          <c:idx val="2"/>
          <c:order val="3"/>
          <c:tx>
            <c:strRef>
              <c:f>'CCCM Dashboard'!$AM$46</c:f>
              <c:strCache>
                <c:ptCount val="1"/>
                <c:pt idx="0">
                  <c:v>5k-10k</c:v>
                </c:pt>
              </c:strCache>
            </c:strRef>
          </c:tx>
          <c:invertIfNegative val="0"/>
          <c:cat>
            <c:strRef>
              <c:f>'CCCM Dashboard'!$AI$47:$AI$66</c:f>
              <c:strCache>
                <c:ptCount val="20"/>
                <c:pt idx="0">
                  <c:v>Bhamo</c:v>
                </c:pt>
                <c:pt idx="1">
                  <c:v>Chipwi</c:v>
                </c:pt>
                <c:pt idx="2">
                  <c:v>Hpakant</c:v>
                </c:pt>
                <c:pt idx="3">
                  <c:v>Khaunglanhpu</c:v>
                </c:pt>
                <c:pt idx="4">
                  <c:v>Kutkai</c:v>
                </c:pt>
                <c:pt idx="5">
                  <c:v>Mansi</c:v>
                </c:pt>
                <c:pt idx="6">
                  <c:v>Injangyang</c:v>
                </c:pt>
                <c:pt idx="7">
                  <c:v>Manton</c:v>
                </c:pt>
                <c:pt idx="8">
                  <c:v>Mogaung</c:v>
                </c:pt>
                <c:pt idx="9">
                  <c:v>Hseni</c:v>
                </c:pt>
                <c:pt idx="10">
                  <c:v>Mohnyin</c:v>
                </c:pt>
                <c:pt idx="11">
                  <c:v>Momauk</c:v>
                </c:pt>
                <c:pt idx="12">
                  <c:v>Muse</c:v>
                </c:pt>
                <c:pt idx="13">
                  <c:v>Myitkyina</c:v>
                </c:pt>
                <c:pt idx="14">
                  <c:v>Namhkan</c:v>
                </c:pt>
                <c:pt idx="15">
                  <c:v>Namtu</c:v>
                </c:pt>
                <c:pt idx="16">
                  <c:v>Puta-O</c:v>
                </c:pt>
                <c:pt idx="17">
                  <c:v>Shwegu</c:v>
                </c:pt>
                <c:pt idx="18">
                  <c:v>Sumprabum</c:v>
                </c:pt>
                <c:pt idx="19">
                  <c:v>Waingmaw</c:v>
                </c:pt>
              </c:strCache>
            </c:strRef>
          </c:cat>
          <c:val>
            <c:numRef>
              <c:f>'CCCM Dashboard'!$AM$47:$AM$66</c:f>
              <c:numCache>
                <c:formatCode>_-* #,##0_-;\-* #,##0_-;_-* "-"??_-;_-@_-</c:formatCode>
                <c:ptCount val="20"/>
                <c:pt idx="0">
                  <c:v>0</c:v>
                </c:pt>
                <c:pt idx="1">
                  <c:v>0</c:v>
                </c:pt>
                <c:pt idx="2">
                  <c:v>0</c:v>
                </c:pt>
                <c:pt idx="3">
                  <c:v>0</c:v>
                </c:pt>
                <c:pt idx="4">
                  <c:v>0</c:v>
                </c:pt>
                <c:pt idx="5">
                  <c:v>0</c:v>
                </c:pt>
                <c:pt idx="6">
                  <c:v>0</c:v>
                </c:pt>
                <c:pt idx="7">
                  <c:v>0</c:v>
                </c:pt>
                <c:pt idx="8">
                  <c:v>0</c:v>
                </c:pt>
                <c:pt idx="9">
                  <c:v>0</c:v>
                </c:pt>
                <c:pt idx="10">
                  <c:v>0</c:v>
                </c:pt>
                <c:pt idx="11">
                  <c:v>1</c:v>
                </c:pt>
                <c:pt idx="12">
                  <c:v>0</c:v>
                </c:pt>
                <c:pt idx="13">
                  <c:v>0</c:v>
                </c:pt>
                <c:pt idx="14">
                  <c:v>0</c:v>
                </c:pt>
                <c:pt idx="15">
                  <c:v>0</c:v>
                </c:pt>
                <c:pt idx="16">
                  <c:v>0</c:v>
                </c:pt>
                <c:pt idx="17">
                  <c:v>0</c:v>
                </c:pt>
                <c:pt idx="18">
                  <c:v>0</c:v>
                </c:pt>
                <c:pt idx="19">
                  <c:v>1</c:v>
                </c:pt>
              </c:numCache>
            </c:numRef>
          </c:val>
        </c:ser>
        <c:ser>
          <c:idx val="4"/>
          <c:order val="4"/>
          <c:tx>
            <c:strRef>
              <c:f>'CCCM Dashboard'!$AN$46</c:f>
              <c:strCache>
                <c:ptCount val="1"/>
                <c:pt idx="0">
                  <c:v>Unknown</c:v>
                </c:pt>
              </c:strCache>
            </c:strRef>
          </c:tx>
          <c:spPr>
            <a:solidFill>
              <a:schemeClr val="tx1"/>
            </a:solidFill>
          </c:spPr>
          <c:invertIfNegative val="0"/>
          <c:cat>
            <c:strRef>
              <c:f>'CCCM Dashboard'!$AI$47:$AI$66</c:f>
              <c:strCache>
                <c:ptCount val="20"/>
                <c:pt idx="0">
                  <c:v>Bhamo</c:v>
                </c:pt>
                <c:pt idx="1">
                  <c:v>Chipwi</c:v>
                </c:pt>
                <c:pt idx="2">
                  <c:v>Hpakant</c:v>
                </c:pt>
                <c:pt idx="3">
                  <c:v>Khaunglanhpu</c:v>
                </c:pt>
                <c:pt idx="4">
                  <c:v>Kutkai</c:v>
                </c:pt>
                <c:pt idx="5">
                  <c:v>Mansi</c:v>
                </c:pt>
                <c:pt idx="6">
                  <c:v>Injangyang</c:v>
                </c:pt>
                <c:pt idx="7">
                  <c:v>Manton</c:v>
                </c:pt>
                <c:pt idx="8">
                  <c:v>Mogaung</c:v>
                </c:pt>
                <c:pt idx="9">
                  <c:v>Hseni</c:v>
                </c:pt>
                <c:pt idx="10">
                  <c:v>Mohnyin</c:v>
                </c:pt>
                <c:pt idx="11">
                  <c:v>Momauk</c:v>
                </c:pt>
                <c:pt idx="12">
                  <c:v>Muse</c:v>
                </c:pt>
                <c:pt idx="13">
                  <c:v>Myitkyina</c:v>
                </c:pt>
                <c:pt idx="14">
                  <c:v>Namhkan</c:v>
                </c:pt>
                <c:pt idx="15">
                  <c:v>Namtu</c:v>
                </c:pt>
                <c:pt idx="16">
                  <c:v>Puta-O</c:v>
                </c:pt>
                <c:pt idx="17">
                  <c:v>Shwegu</c:v>
                </c:pt>
                <c:pt idx="18">
                  <c:v>Sumprabum</c:v>
                </c:pt>
                <c:pt idx="19">
                  <c:v>Waingmaw</c:v>
                </c:pt>
              </c:strCache>
            </c:strRef>
          </c:cat>
          <c:val>
            <c:numRef>
              <c:f>'CCCM Dashboard'!$AN$47:$AN$66</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er>
        <c:dLbls>
          <c:showLegendKey val="0"/>
          <c:showVal val="0"/>
          <c:showCatName val="0"/>
          <c:showSerName val="0"/>
          <c:showPercent val="0"/>
          <c:showBubbleSize val="0"/>
        </c:dLbls>
        <c:gapWidth val="150"/>
        <c:overlap val="100"/>
        <c:axId val="311392184"/>
        <c:axId val="311392576"/>
      </c:barChart>
      <c:catAx>
        <c:axId val="311392184"/>
        <c:scaling>
          <c:orientation val="minMax"/>
        </c:scaling>
        <c:delete val="0"/>
        <c:axPos val="b"/>
        <c:numFmt formatCode="General" sourceLinked="0"/>
        <c:majorTickMark val="out"/>
        <c:minorTickMark val="none"/>
        <c:tickLblPos val="nextTo"/>
        <c:txPr>
          <a:bodyPr/>
          <a:lstStyle/>
          <a:p>
            <a:pPr>
              <a:defRPr sz="900"/>
            </a:pPr>
            <a:endParaRPr lang="en-US"/>
          </a:p>
        </c:txPr>
        <c:crossAx val="311392576"/>
        <c:crosses val="autoZero"/>
        <c:auto val="1"/>
        <c:lblAlgn val="ctr"/>
        <c:lblOffset val="100"/>
        <c:noMultiLvlLbl val="0"/>
      </c:catAx>
      <c:valAx>
        <c:axId val="311392576"/>
        <c:scaling>
          <c:orientation val="minMax"/>
        </c:scaling>
        <c:delete val="0"/>
        <c:axPos val="l"/>
        <c:majorGridlines/>
        <c:numFmt formatCode="_-* #,##0_-;\-* #,##0_-;_-* &quot;-&quot;??_-;_-@_-" sourceLinked="1"/>
        <c:majorTickMark val="out"/>
        <c:minorTickMark val="none"/>
        <c:tickLblPos val="nextTo"/>
        <c:crossAx val="311392184"/>
        <c:crosses val="autoZero"/>
        <c:crossBetween val="between"/>
      </c:valAx>
    </c:plotArea>
    <c:legend>
      <c:legendPos val="b"/>
      <c:layout>
        <c:manualLayout>
          <c:xMode val="edge"/>
          <c:yMode val="edge"/>
          <c:x val="5.0000146509257118E-2"/>
          <c:y val="0.93757649143238608"/>
          <c:w val="0.89999978021446669"/>
          <c:h val="6.0339219428528192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10267035245554"/>
          <c:y val="0.1770041890321695"/>
          <c:w val="0.2598709240581844"/>
          <c:h val="0.79423849020717463"/>
        </c:manualLayout>
      </c:layout>
      <c:pieChart>
        <c:varyColors val="1"/>
        <c:ser>
          <c:idx val="0"/>
          <c:order val="0"/>
          <c:dPt>
            <c:idx val="0"/>
            <c:bubble3D val="0"/>
            <c:spPr>
              <a:solidFill>
                <a:schemeClr val="accent6">
                  <a:lumMod val="20000"/>
                  <a:lumOff val="80000"/>
                </a:schemeClr>
              </a:solidFill>
            </c:spPr>
          </c:dPt>
          <c:dPt>
            <c:idx val="1"/>
            <c:bubble3D val="0"/>
            <c:spPr>
              <a:solidFill>
                <a:schemeClr val="accent6">
                  <a:lumMod val="60000"/>
                  <a:lumOff val="40000"/>
                </a:schemeClr>
              </a:solidFill>
            </c:spPr>
          </c:dPt>
          <c:dPt>
            <c:idx val="2"/>
            <c:bubble3D val="0"/>
            <c:spPr>
              <a:solidFill>
                <a:schemeClr val="accent6">
                  <a:lumMod val="75000"/>
                </a:schemeClr>
              </a:solidFill>
            </c:spPr>
          </c:dPt>
          <c:dPt>
            <c:idx val="3"/>
            <c:bubble3D val="0"/>
            <c:spPr>
              <a:solidFill>
                <a:schemeClr val="accent6">
                  <a:lumMod val="50000"/>
                </a:schemeClr>
              </a:solidFill>
            </c:spPr>
          </c:dPt>
          <c:dLbls>
            <c:dLbl>
              <c:idx val="0"/>
              <c:layout>
                <c:manualLayout>
                  <c:x val="2.1713978625392136E-2"/>
                  <c:y val="5.1498977018922629E-2"/>
                </c:manualLayout>
              </c:layout>
              <c:showLegendKey val="0"/>
              <c:showVal val="0"/>
              <c:showCatName val="0"/>
              <c:showSerName val="0"/>
              <c:showPercent val="1"/>
              <c:showBubbleSize val="0"/>
              <c:extLst>
                <c:ext xmlns:c15="http://schemas.microsoft.com/office/drawing/2012/chart" uri="{CE6537A1-D6FC-4f65-9D91-7224C49458BB}"/>
              </c:extLst>
            </c:dLbl>
            <c:dLbl>
              <c:idx val="1"/>
              <c:layout>
                <c:manualLayout>
                  <c:x val="-0.11531950979409314"/>
                  <c:y val="7.0274279476421106E-2"/>
                </c:manualLayout>
              </c:layout>
              <c:showLegendKey val="0"/>
              <c:showVal val="0"/>
              <c:showCatName val="0"/>
              <c:showSerName val="0"/>
              <c:showPercent val="1"/>
              <c:showBubbleSize val="0"/>
              <c:extLst>
                <c:ext xmlns:c15="http://schemas.microsoft.com/office/drawing/2012/chart" uri="{CE6537A1-D6FC-4f65-9D91-7224C49458BB}"/>
              </c:extLst>
            </c:dLbl>
            <c:dLbl>
              <c:idx val="3"/>
              <c:layout>
                <c:manualLayout>
                  <c:x val="1.170659900033893E-2"/>
                  <c:y val="6.5171773602902355E-2"/>
                </c:manualLayout>
              </c:layout>
              <c:showLegendKey val="0"/>
              <c:showVal val="0"/>
              <c:showCatName val="0"/>
              <c:showSerName val="0"/>
              <c:showPercent val="1"/>
              <c:showBubbleSize val="0"/>
              <c:extLst>
                <c:ext xmlns:c15="http://schemas.microsoft.com/office/drawing/2012/chart" uri="{CE6537A1-D6FC-4f65-9D91-7224C49458BB}"/>
              </c:extLst>
            </c:dLbl>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'[1]CCCM Dashboard'!$AL$6:$AO$6</c:f>
              <c:strCache>
                <c:ptCount val="4"/>
                <c:pt idx="0">
                  <c:v>1-100</c:v>
                </c:pt>
                <c:pt idx="1">
                  <c:v>100-1k</c:v>
                </c:pt>
                <c:pt idx="2">
                  <c:v>1k-5k</c:v>
                </c:pt>
                <c:pt idx="3">
                  <c:v>5k-10k</c:v>
                </c:pt>
              </c:strCache>
            </c:strRef>
          </c:cat>
          <c:val>
            <c:numRef>
              <c:f>'[1]CCCM Dashboard'!$AL$29:$AO$29</c:f>
              <c:numCache>
                <c:formatCode>General</c:formatCode>
                <c:ptCount val="4"/>
                <c:pt idx="0">
                  <c:v>2.2813841879262439E-2</c:v>
                </c:pt>
                <c:pt idx="1">
                  <c:v>0.40213185147764585</c:v>
                </c:pt>
                <c:pt idx="2">
                  <c:v>0.41675170497600406</c:v>
                </c:pt>
                <c:pt idx="3">
                  <c:v>0.15830260166708765</c:v>
                </c:pt>
              </c:numCache>
            </c:numRef>
          </c:val>
        </c:ser>
        <c:dLbls>
          <c:showLegendKey val="0"/>
          <c:showVal val="0"/>
          <c:showCatName val="0"/>
          <c:showSerName val="0"/>
          <c:showPercent val="1"/>
          <c:showBubbleSize val="0"/>
          <c:showLeaderLines val="1"/>
        </c:dLbls>
        <c:firstSliceAng val="0"/>
      </c:pieChart>
      <c:spPr>
        <a:noFill/>
      </c:spPr>
    </c:plotArea>
    <c:legend>
      <c:legendPos val="t"/>
      <c:layout>
        <c:manualLayout>
          <c:xMode val="edge"/>
          <c:yMode val="edge"/>
          <c:x val="0.5423475469625233"/>
          <c:y val="0.15856269275199508"/>
          <c:w val="0.41963903879643244"/>
          <c:h val="0.78717706568002177"/>
        </c:manualLayout>
      </c:layout>
      <c:overlay val="0"/>
      <c:txPr>
        <a:bodyPr/>
        <a:lstStyle/>
        <a:p>
          <a:pPr rtl="0">
            <a:defRPr/>
          </a:pPr>
          <a:endParaRPr lang="en-US"/>
        </a:p>
      </c:txPr>
    </c:legend>
    <c:plotVisOnly val="1"/>
    <c:dispBlanksAs val="gap"/>
    <c:showDLblsOverMax val="0"/>
  </c:chart>
  <c:spPr>
    <a:solidFill>
      <a:schemeClr val="bg1">
        <a:alpha val="50000"/>
      </a:schemeClr>
    </a:solidFill>
    <a:ln>
      <a:noFill/>
    </a:ln>
  </c:spPr>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n-US" sz="1800" b="1" i="0" u="none" strike="noStrike" kern="1200" baseline="0">
                <a:solidFill>
                  <a:sysClr val="windowText" lastClr="000000"/>
                </a:solidFill>
                <a:effectLst/>
                <a:latin typeface="+mn-lt"/>
                <a:ea typeface="+mn-ea"/>
                <a:cs typeface="+mn-cs"/>
              </a:defRPr>
            </a:pPr>
            <a:r>
              <a:rPr lang="en-US" sz="1800" b="1" i="0" u="none" strike="noStrike" kern="1200" baseline="0">
                <a:solidFill>
                  <a:sysClr val="windowText" lastClr="000000"/>
                </a:solidFill>
                <a:effectLst/>
                <a:latin typeface="+mn-lt"/>
                <a:ea typeface="+mn-ea"/>
                <a:cs typeface="+mn-cs"/>
              </a:rPr>
              <a:t>Shelters (% pop covered) in Rakhine State by Township</a:t>
            </a:r>
          </a:p>
        </c:rich>
      </c:tx>
      <c:overlay val="0"/>
    </c:title>
    <c:autoTitleDeleted val="0"/>
    <c:plotArea>
      <c:layout/>
      <c:barChart>
        <c:barDir val="col"/>
        <c:grouping val="clustered"/>
        <c:varyColors val="0"/>
        <c:ser>
          <c:idx val="5"/>
          <c:order val="0"/>
          <c:spPr>
            <a:solidFill>
              <a:srgbClr val="92D050"/>
            </a:solidFill>
          </c:spPr>
          <c:invertIfNegative val="0"/>
          <c:val>
            <c:numRef>
              <c:f>Shelter_Progress!#REF!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Shelter_Progress!#REF!</c15:sqref>
                        </c15:formulaRef>
                      </c:ext>
                    </c:extLst>
                  </c:multiLvlStrRef>
                </c15:cat>
              </c15:filteredCategoryTitle>
            </c:ext>
          </c:extLst>
        </c:ser>
        <c:dLbls>
          <c:showLegendKey val="0"/>
          <c:showVal val="0"/>
          <c:showCatName val="0"/>
          <c:showSerName val="0"/>
          <c:showPercent val="0"/>
          <c:showBubbleSize val="0"/>
        </c:dLbls>
        <c:gapWidth val="75"/>
        <c:axId val="149940928"/>
        <c:axId val="149941320"/>
      </c:barChart>
      <c:catAx>
        <c:axId val="149940928"/>
        <c:scaling>
          <c:orientation val="minMax"/>
        </c:scaling>
        <c:delete val="0"/>
        <c:axPos val="b"/>
        <c:majorTickMark val="none"/>
        <c:minorTickMark val="none"/>
        <c:tickLblPos val="nextTo"/>
        <c:crossAx val="149941320"/>
        <c:crosses val="autoZero"/>
        <c:auto val="1"/>
        <c:lblAlgn val="ctr"/>
        <c:lblOffset val="100"/>
        <c:noMultiLvlLbl val="0"/>
      </c:catAx>
      <c:valAx>
        <c:axId val="149941320"/>
        <c:scaling>
          <c:orientation val="minMax"/>
        </c:scaling>
        <c:delete val="0"/>
        <c:axPos val="l"/>
        <c:majorGridlines/>
        <c:numFmt formatCode="General" sourceLinked="1"/>
        <c:majorTickMark val="none"/>
        <c:minorTickMark val="none"/>
        <c:tickLblPos val="nextTo"/>
        <c:spPr>
          <a:ln w="9525">
            <a:noFill/>
          </a:ln>
        </c:spPr>
        <c:crossAx val="149940928"/>
        <c:crosses val="autoZero"/>
        <c:crossBetween val="between"/>
      </c:valAx>
      <c:spPr>
        <a:ln>
          <a:solidFill>
            <a:schemeClr val="accent1"/>
          </a:solidFill>
        </a:ln>
      </c:spPr>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n-US" sz="1800" b="1" i="0" u="none" strike="noStrike" kern="1200" baseline="0">
                <a:solidFill>
                  <a:sysClr val="windowText" lastClr="000000"/>
                </a:solidFill>
                <a:effectLst/>
                <a:latin typeface="+mn-lt"/>
                <a:ea typeface="+mn-ea"/>
                <a:cs typeface="+mn-cs"/>
              </a:defRPr>
            </a:pPr>
            <a:r>
              <a:rPr lang="en-US" sz="1800" b="1" i="0" u="none" strike="noStrike" kern="1200" baseline="0">
                <a:solidFill>
                  <a:sysClr val="windowText" lastClr="000000"/>
                </a:solidFill>
                <a:effectLst/>
                <a:latin typeface="+mn-lt"/>
                <a:ea typeface="+mn-ea"/>
                <a:cs typeface="+mn-cs"/>
              </a:rPr>
              <a:t>Shelters (% pop covered) in Kachin  &amp; Northern Shan State  by township</a:t>
            </a:r>
          </a:p>
        </c:rich>
      </c:tx>
      <c:overlay val="0"/>
    </c:title>
    <c:autoTitleDeleted val="0"/>
    <c:plotArea>
      <c:layout/>
      <c:barChart>
        <c:barDir val="col"/>
        <c:grouping val="clustered"/>
        <c:varyColors val="0"/>
        <c:ser>
          <c:idx val="5"/>
          <c:order val="0"/>
          <c:tx>
            <c:strRef>
              <c:f>'Shelter Progress'!$N$6</c:f>
              <c:strCache>
                <c:ptCount val="1"/>
                <c:pt idx="0">
                  <c:v>Covered</c:v>
                </c:pt>
              </c:strCache>
            </c:strRef>
          </c:tx>
          <c:spPr>
            <a:solidFill>
              <a:srgbClr val="92D050"/>
            </a:solidFill>
          </c:spPr>
          <c:invertIfNegative val="0"/>
          <c:cat>
            <c:strRef>
              <c:f>'Shelter Progress'!$A$7:$A$28</c:f>
              <c:strCache>
                <c:ptCount val="22"/>
                <c:pt idx="0">
                  <c:v>Bhamo</c:v>
                </c:pt>
                <c:pt idx="1">
                  <c:v>Chipwi</c:v>
                </c:pt>
                <c:pt idx="2">
                  <c:v>Hpakant</c:v>
                </c:pt>
                <c:pt idx="3">
                  <c:v>Hseni</c:v>
                </c:pt>
                <c:pt idx="4">
                  <c:v>Hsipaw</c:v>
                </c:pt>
                <c:pt idx="5">
                  <c:v>Injangyang</c:v>
                </c:pt>
                <c:pt idx="6">
                  <c:v>Khaunglanhpu</c:v>
                </c:pt>
                <c:pt idx="7">
                  <c:v>Kutkai</c:v>
                </c:pt>
                <c:pt idx="8">
                  <c:v>Machanbaw</c:v>
                </c:pt>
                <c:pt idx="9">
                  <c:v>Mansi</c:v>
                </c:pt>
                <c:pt idx="10">
                  <c:v>Manton</c:v>
                </c:pt>
                <c:pt idx="11">
                  <c:v>Mogaung</c:v>
                </c:pt>
                <c:pt idx="12">
                  <c:v>Mohnyin</c:v>
                </c:pt>
                <c:pt idx="13">
                  <c:v>Momauk</c:v>
                </c:pt>
                <c:pt idx="14">
                  <c:v>Muse</c:v>
                </c:pt>
                <c:pt idx="15">
                  <c:v>Myitkyina</c:v>
                </c:pt>
                <c:pt idx="16">
                  <c:v>Namhkan</c:v>
                </c:pt>
                <c:pt idx="17">
                  <c:v>Namtu</c:v>
                </c:pt>
                <c:pt idx="18">
                  <c:v>Puta-O</c:v>
                </c:pt>
                <c:pt idx="19">
                  <c:v>Shwegu</c:v>
                </c:pt>
                <c:pt idx="20">
                  <c:v>Sumprabum</c:v>
                </c:pt>
                <c:pt idx="21">
                  <c:v>Waingmaw</c:v>
                </c:pt>
              </c:strCache>
            </c:strRef>
          </c:cat>
          <c:val>
            <c:numRef>
              <c:f>'Shelter Progress'!$N$7:$N$28</c:f>
              <c:numCache>
                <c:formatCode>0%</c:formatCode>
                <c:ptCount val="22"/>
                <c:pt idx="0">
                  <c:v>0.71781033153430995</c:v>
                </c:pt>
                <c:pt idx="1">
                  <c:v>0.36144578313253012</c:v>
                </c:pt>
                <c:pt idx="2">
                  <c:v>0.46592489568845619</c:v>
                </c:pt>
                <c:pt idx="3">
                  <c:v>1</c:v>
                </c:pt>
                <c:pt idx="4">
                  <c:v>0</c:v>
                </c:pt>
                <c:pt idx="5">
                  <c:v>0</c:v>
                </c:pt>
                <c:pt idx="6">
                  <c:v>0</c:v>
                </c:pt>
                <c:pt idx="7">
                  <c:v>0.33021077283372363</c:v>
                </c:pt>
                <c:pt idx="8">
                  <c:v>0</c:v>
                </c:pt>
                <c:pt idx="9">
                  <c:v>0.58177477118981302</c:v>
                </c:pt>
                <c:pt idx="10">
                  <c:v>0.64</c:v>
                </c:pt>
                <c:pt idx="11">
                  <c:v>0.84</c:v>
                </c:pt>
                <c:pt idx="12">
                  <c:v>1</c:v>
                </c:pt>
                <c:pt idx="13">
                  <c:v>0.81204545454545451</c:v>
                </c:pt>
                <c:pt idx="14">
                  <c:v>0.27272727272727271</c:v>
                </c:pt>
                <c:pt idx="15">
                  <c:v>0.68228105906313641</c:v>
                </c:pt>
                <c:pt idx="16">
                  <c:v>0.52736318407960203</c:v>
                </c:pt>
                <c:pt idx="17">
                  <c:v>5.8823529411764705E-2</c:v>
                </c:pt>
                <c:pt idx="18">
                  <c:v>0.98360655737704916</c:v>
                </c:pt>
                <c:pt idx="19">
                  <c:v>0.65891472868217049</c:v>
                </c:pt>
                <c:pt idx="20">
                  <c:v>0</c:v>
                </c:pt>
                <c:pt idx="21">
                  <c:v>0.53820177289995774</c:v>
                </c:pt>
              </c:numCache>
            </c:numRef>
          </c:val>
        </c:ser>
        <c:dLbls>
          <c:showLegendKey val="0"/>
          <c:showVal val="0"/>
          <c:showCatName val="0"/>
          <c:showSerName val="0"/>
          <c:showPercent val="0"/>
          <c:showBubbleSize val="0"/>
        </c:dLbls>
        <c:gapWidth val="75"/>
        <c:axId val="149942104"/>
        <c:axId val="149942496"/>
      </c:barChart>
      <c:catAx>
        <c:axId val="149942104"/>
        <c:scaling>
          <c:orientation val="minMax"/>
        </c:scaling>
        <c:delete val="0"/>
        <c:axPos val="b"/>
        <c:numFmt formatCode="General" sourceLinked="0"/>
        <c:majorTickMark val="none"/>
        <c:minorTickMark val="none"/>
        <c:tickLblPos val="nextTo"/>
        <c:crossAx val="149942496"/>
        <c:crosses val="autoZero"/>
        <c:auto val="1"/>
        <c:lblAlgn val="ctr"/>
        <c:lblOffset val="100"/>
        <c:noMultiLvlLbl val="0"/>
      </c:catAx>
      <c:valAx>
        <c:axId val="149942496"/>
        <c:scaling>
          <c:orientation val="minMax"/>
        </c:scaling>
        <c:delete val="0"/>
        <c:axPos val="l"/>
        <c:majorGridlines/>
        <c:numFmt formatCode="0%" sourceLinked="1"/>
        <c:majorTickMark val="none"/>
        <c:minorTickMark val="none"/>
        <c:tickLblPos val="nextTo"/>
        <c:spPr>
          <a:ln w="9525">
            <a:noFill/>
          </a:ln>
        </c:spPr>
        <c:crossAx val="149942104"/>
        <c:crosses val="autoZero"/>
        <c:crossBetween val="between"/>
      </c:valAx>
      <c:spPr>
        <a:ln>
          <a:solidFill>
            <a:schemeClr val="accent1"/>
          </a:solidFill>
        </a:ln>
      </c:spPr>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[Myanmar_Shelter_NFI_CCCM_Cluster_Analysis Report_Kachin_V03 01-Apr-14.xlsm]Shelter_Progress!PivotTable3</c:name>
    <c:fmtId val="2"/>
  </c:pivotSource>
  <c:chart>
    <c:title>
      <c:tx>
        <c:rich>
          <a:bodyPr/>
          <a:lstStyle/>
          <a:p>
            <a:pPr algn="ctr" rtl="0">
              <a:defRPr lang="en-US" sz="1800" b="1" i="0" u="none" strike="noStrike" kern="1200" baseline="0">
                <a:solidFill>
                  <a:sysClr val="windowText" lastClr="000000"/>
                </a:solidFill>
                <a:effectLst/>
                <a:latin typeface="+mn-lt"/>
                <a:ea typeface="+mn-ea"/>
                <a:cs typeface="+mn-cs"/>
              </a:defRPr>
            </a:pPr>
            <a:r>
              <a:rPr lang="en-US" sz="1800" b="1" i="0" u="none" strike="noStrike" kern="1200" baseline="0">
                <a:solidFill>
                  <a:sysClr val="windowText" lastClr="000000"/>
                </a:solidFill>
                <a:effectLst/>
                <a:latin typeface="+mn-lt"/>
                <a:ea typeface="+mn-ea"/>
                <a:cs typeface="+mn-cs"/>
              </a:rPr>
              <a:t>Temporary Shelter Construction in Rakhine State by Agency </a:t>
            </a:r>
          </a:p>
        </c:rich>
      </c:tx>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spPr>
          <a:solidFill>
            <a:srgbClr val="92D050"/>
          </a:solidFill>
        </c:spPr>
        <c:marker>
          <c:symbol val="none"/>
        </c:marker>
      </c:pivotFmt>
      <c:pivotFmt>
        <c:idx val="5"/>
        <c:spPr>
          <a:solidFill>
            <a:srgbClr val="FFC000"/>
          </a:solidFill>
        </c:spPr>
        <c:marker>
          <c:symbol val="none"/>
        </c:marker>
      </c:pivotFmt>
      <c:pivotFmt>
        <c:idx val="6"/>
        <c:marker>
          <c:symbol val="none"/>
        </c:marker>
      </c:pivotFmt>
      <c:pivotFmt>
        <c:idx val="7"/>
        <c:marker>
          <c:symbol val="none"/>
        </c:marker>
      </c:pivotFmt>
      <c:pivotFmt>
        <c:idx val="8"/>
        <c:marker>
          <c:symbol val="none"/>
        </c:marker>
      </c:pivotFmt>
    </c:pivotFmts>
    <c:plotArea>
      <c:layout/>
      <c:barChart>
        <c:barDir val="col"/>
        <c:grouping val="stacked"/>
        <c:varyColors val="0"/>
        <c:ser>
          <c:idx val="0"/>
          <c:order val="0"/>
          <c:tx>
            <c:strRef>
              <c:f>Shelter_Progress!$B$83</c:f>
              <c:strCache>
                <c:ptCount val="1"/>
                <c:pt idx="0">
                  <c:v>Total</c:v>
                </c:pt>
              </c:strCache>
            </c:strRef>
          </c:tx>
          <c:invertIfNegative val="0"/>
          <c:cat>
            <c:strRef>
              <c:f>Shelter_Progress!$A$84:$A$97</c:f>
              <c:strCache>
                <c:ptCount val="13"/>
                <c:pt idx="0">
                  <c:v>DRC</c:v>
                </c:pt>
                <c:pt idx="1">
                  <c:v>UNHCR</c:v>
                </c:pt>
                <c:pt idx="2">
                  <c:v>World Vision</c:v>
                </c:pt>
                <c:pt idx="3">
                  <c:v>Oxfam</c:v>
                </c:pt>
                <c:pt idx="4">
                  <c:v>IRRC</c:v>
                </c:pt>
                <c:pt idx="5">
                  <c:v>Caritas</c:v>
                </c:pt>
                <c:pt idx="6">
                  <c:v>Metta</c:v>
                </c:pt>
                <c:pt idx="7">
                  <c:v>CC</c:v>
                </c:pt>
                <c:pt idx="8">
                  <c:v>KBC Zonal</c:v>
                </c:pt>
                <c:pt idx="9">
                  <c:v>Misereor</c:v>
                </c:pt>
                <c:pt idx="10">
                  <c:v>Yedai Foundation</c:v>
                </c:pt>
                <c:pt idx="11">
                  <c:v>ACTED</c:v>
                </c:pt>
                <c:pt idx="12">
                  <c:v>(blank)</c:v>
                </c:pt>
              </c:strCache>
            </c:strRef>
          </c:cat>
          <c:val>
            <c:numRef>
              <c:f>Shelter_Progress!$B$84:$B$97</c:f>
              <c:numCache>
                <c:formatCode>General</c:formatCode>
                <c:ptCount val="13"/>
                <c:pt idx="0">
                  <c:v>2144</c:v>
                </c:pt>
                <c:pt idx="1">
                  <c:v>5097</c:v>
                </c:pt>
                <c:pt idx="2">
                  <c:v>87</c:v>
                </c:pt>
                <c:pt idx="3">
                  <c:v>385</c:v>
                </c:pt>
                <c:pt idx="4">
                  <c:v>356</c:v>
                </c:pt>
                <c:pt idx="5">
                  <c:v>901</c:v>
                </c:pt>
                <c:pt idx="6">
                  <c:v>724</c:v>
                </c:pt>
                <c:pt idx="7">
                  <c:v>155</c:v>
                </c:pt>
                <c:pt idx="8">
                  <c:v>32</c:v>
                </c:pt>
                <c:pt idx="9">
                  <c:v>12</c:v>
                </c:pt>
                <c:pt idx="10">
                  <c:v>10</c:v>
                </c:pt>
                <c:pt idx="11">
                  <c:v>0</c:v>
                </c:pt>
                <c:pt idx="12">
                  <c:v>122</c:v>
                </c:pt>
              </c:numCache>
            </c:numRef>
          </c:val>
        </c:ser>
        <c:dLbls>
          <c:showLegendKey val="0"/>
          <c:showVal val="0"/>
          <c:showCatName val="0"/>
          <c:showSerName val="0"/>
          <c:showPercent val="0"/>
          <c:showBubbleSize val="0"/>
        </c:dLbls>
        <c:gapWidth val="150"/>
        <c:overlap val="100"/>
        <c:axId val="149943672"/>
        <c:axId val="342601312"/>
      </c:barChart>
      <c:catAx>
        <c:axId val="149943672"/>
        <c:scaling>
          <c:orientation val="minMax"/>
        </c:scaling>
        <c:delete val="0"/>
        <c:axPos val="b"/>
        <c:numFmt formatCode="General" sourceLinked="0"/>
        <c:majorTickMark val="out"/>
        <c:minorTickMark val="none"/>
        <c:tickLblPos val="nextTo"/>
        <c:crossAx val="342601312"/>
        <c:crosses val="autoZero"/>
        <c:auto val="1"/>
        <c:lblAlgn val="ctr"/>
        <c:lblOffset val="100"/>
        <c:noMultiLvlLbl val="0"/>
      </c:catAx>
      <c:valAx>
        <c:axId val="342601312"/>
        <c:scaling>
          <c:orientation val="minMax"/>
        </c:scaling>
        <c:delete val="0"/>
        <c:axPos val="l"/>
        <c:majorGridlines/>
        <c:numFmt formatCode="General" sourceLinked="1"/>
        <c:majorTickMark val="out"/>
        <c:minorTickMark val="none"/>
        <c:tickLblPos val="nextTo"/>
        <c:crossAx val="149943672"/>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[Shelter-NFI-CCCM Kachin Northern Shan Cluster Analysis Report 1st May 2017.xlsx]Shelter Progress!PivotTable3</c:name>
    <c:fmtId val="6"/>
  </c:pivotSource>
  <c:chart>
    <c:title>
      <c:tx>
        <c:rich>
          <a:bodyPr/>
          <a:lstStyle/>
          <a:p>
            <a:pPr>
              <a:defRPr/>
            </a:pPr>
            <a:r>
              <a:rPr lang="en-US" sz="1800" b="1" i="0" baseline="0">
                <a:effectLst/>
              </a:rPr>
              <a:t>Temporary Shelter Built in Kachin   &amp; Northern Shan States by Agency</a:t>
            </a:r>
            <a:r>
              <a:rPr lang="en-US" sz="1800" b="0" i="0" baseline="0">
                <a:effectLst/>
              </a:rPr>
              <a:t> </a:t>
            </a:r>
            <a:endParaRPr lang="en-US">
              <a:effectLst/>
            </a:endParaRPr>
          </a:p>
        </c:rich>
      </c:tx>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spPr>
          <a:solidFill>
            <a:srgbClr val="92D050"/>
          </a:solidFill>
        </c:spPr>
        <c:marker>
          <c:symbol val="none"/>
        </c:marker>
      </c:pivotFmt>
      <c:pivotFmt>
        <c:idx val="7"/>
        <c:marker>
          <c:symbol val="none"/>
        </c:marker>
      </c:pivotFmt>
      <c:pivotFmt>
        <c:idx val="8"/>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s>
    <c:plotArea>
      <c:layout/>
      <c:barChart>
        <c:barDir val="col"/>
        <c:grouping val="stacked"/>
        <c:varyColors val="0"/>
        <c:ser>
          <c:idx val="0"/>
          <c:order val="0"/>
          <c:tx>
            <c:strRef>
              <c:f>'Shelter Progress'!$B$84</c:f>
              <c:strCache>
                <c:ptCount val="1"/>
                <c:pt idx="0">
                  <c:v>Total</c:v>
                </c:pt>
              </c:strCache>
            </c:strRef>
          </c:tx>
          <c:invertIfNegative val="0"/>
          <c:cat>
            <c:strRef>
              <c:f>'Shelter Progress'!$A$85:$A$103</c:f>
              <c:strCache>
                <c:ptCount val="18"/>
                <c:pt idx="0">
                  <c:v>DRC</c:v>
                </c:pt>
                <c:pt idx="1">
                  <c:v>UNHCR</c:v>
                </c:pt>
                <c:pt idx="2">
                  <c:v>World Vision</c:v>
                </c:pt>
                <c:pt idx="3">
                  <c:v>Oxfam</c:v>
                </c:pt>
                <c:pt idx="4">
                  <c:v>IRRC</c:v>
                </c:pt>
                <c:pt idx="5">
                  <c:v>Caritas</c:v>
                </c:pt>
                <c:pt idx="6">
                  <c:v>Metta</c:v>
                </c:pt>
                <c:pt idx="7">
                  <c:v>CC</c:v>
                </c:pt>
                <c:pt idx="8">
                  <c:v>KBC Zonal</c:v>
                </c:pt>
                <c:pt idx="9">
                  <c:v>Misereor</c:v>
                </c:pt>
                <c:pt idx="10">
                  <c:v>Yedai Foundation</c:v>
                </c:pt>
                <c:pt idx="11">
                  <c:v>ACTED</c:v>
                </c:pt>
                <c:pt idx="12">
                  <c:v>(blank)</c:v>
                </c:pt>
                <c:pt idx="13">
                  <c:v>COC</c:v>
                </c:pt>
                <c:pt idx="14">
                  <c:v>FSD</c:v>
                </c:pt>
                <c:pt idx="15">
                  <c:v>DFID</c:v>
                </c:pt>
                <c:pt idx="16">
                  <c:v>UNOCHA</c:v>
                </c:pt>
                <c:pt idx="17">
                  <c:v>MHF</c:v>
                </c:pt>
              </c:strCache>
            </c:strRef>
          </c:cat>
          <c:val>
            <c:numRef>
              <c:f>'Shelter Progress'!$B$85:$B$103</c:f>
              <c:numCache>
                <c:formatCode>General</c:formatCode>
                <c:ptCount val="18"/>
                <c:pt idx="0">
                  <c:v>2431</c:v>
                </c:pt>
                <c:pt idx="1">
                  <c:v>6399</c:v>
                </c:pt>
                <c:pt idx="2">
                  <c:v>77</c:v>
                </c:pt>
                <c:pt idx="3">
                  <c:v>185</c:v>
                </c:pt>
                <c:pt idx="4">
                  <c:v>32</c:v>
                </c:pt>
                <c:pt idx="5">
                  <c:v>724</c:v>
                </c:pt>
                <c:pt idx="6">
                  <c:v>853</c:v>
                </c:pt>
                <c:pt idx="7">
                  <c:v>279</c:v>
                </c:pt>
                <c:pt idx="8">
                  <c:v>193</c:v>
                </c:pt>
                <c:pt idx="9">
                  <c:v>12</c:v>
                </c:pt>
                <c:pt idx="10">
                  <c:v>10</c:v>
                </c:pt>
                <c:pt idx="11">
                  <c:v>0</c:v>
                </c:pt>
                <c:pt idx="12">
                  <c:v>30</c:v>
                </c:pt>
                <c:pt idx="13">
                  <c:v>20</c:v>
                </c:pt>
                <c:pt idx="14">
                  <c:v>148</c:v>
                </c:pt>
                <c:pt idx="15">
                  <c:v>350</c:v>
                </c:pt>
                <c:pt idx="16">
                  <c:v>0</c:v>
                </c:pt>
                <c:pt idx="17">
                  <c:v>111</c:v>
                </c:pt>
              </c:numCache>
            </c:numRef>
          </c:val>
        </c:ser>
        <c:dLbls>
          <c:showLegendKey val="0"/>
          <c:showVal val="0"/>
          <c:showCatName val="0"/>
          <c:showSerName val="0"/>
          <c:showPercent val="0"/>
          <c:showBubbleSize val="0"/>
        </c:dLbls>
        <c:gapWidth val="150"/>
        <c:overlap val="100"/>
        <c:axId val="342602096"/>
        <c:axId val="342602488"/>
      </c:barChart>
      <c:catAx>
        <c:axId val="342602096"/>
        <c:scaling>
          <c:orientation val="minMax"/>
        </c:scaling>
        <c:delete val="0"/>
        <c:axPos val="b"/>
        <c:numFmt formatCode="General" sourceLinked="0"/>
        <c:majorTickMark val="out"/>
        <c:minorTickMark val="none"/>
        <c:tickLblPos val="nextTo"/>
        <c:crossAx val="342602488"/>
        <c:crosses val="autoZero"/>
        <c:auto val="1"/>
        <c:lblAlgn val="ctr"/>
        <c:lblOffset val="100"/>
        <c:noMultiLvlLbl val="0"/>
      </c:catAx>
      <c:valAx>
        <c:axId val="342602488"/>
        <c:scaling>
          <c:orientation val="minMax"/>
        </c:scaling>
        <c:delete val="0"/>
        <c:axPos val="l"/>
        <c:majorGridlines/>
        <c:numFmt formatCode="General" sourceLinked="1"/>
        <c:majorTickMark val="out"/>
        <c:minorTickMark val="none"/>
        <c:tickLblPos val="nextTo"/>
        <c:crossAx val="34260209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autoTitleDeleted val="1"/>
    <c:pivotFmts>
      <c:pivotFmt>
        <c:idx val="0"/>
        <c:spPr>
          <a:solidFill>
            <a:srgbClr val="FF0000">
              <a:alpha val="45000"/>
            </a:srgbClr>
          </a:solidFill>
        </c:spPr>
        <c:marker>
          <c:symbol val="none"/>
        </c:marker>
      </c:pivotFmt>
      <c:pivotFmt>
        <c:idx val="1"/>
        <c:spPr>
          <a:solidFill>
            <a:srgbClr val="00B0F0">
              <a:alpha val="45000"/>
            </a:srgbClr>
          </a:solidFill>
        </c:spPr>
        <c:marker>
          <c:symbol val="none"/>
        </c:marker>
      </c:pivotFmt>
      <c:pivotFmt>
        <c:idx val="2"/>
        <c:spPr>
          <a:solidFill>
            <a:srgbClr val="00B0F0">
              <a:alpha val="45000"/>
            </a:srgbClr>
          </a:solidFill>
          <a:ln>
            <a:solidFill>
              <a:schemeClr val="tx1">
                <a:alpha val="20000"/>
              </a:schemeClr>
            </a:solidFill>
          </a:ln>
        </c:spPr>
        <c:marker>
          <c:symbol val="none"/>
        </c:marker>
      </c:pivotFmt>
      <c:pivotFmt>
        <c:idx val="3"/>
        <c:spPr>
          <a:solidFill>
            <a:srgbClr val="FF0000">
              <a:alpha val="45000"/>
            </a:srgbClr>
          </a:solidFill>
          <a:ln>
            <a:solidFill>
              <a:schemeClr val="tx1">
                <a:alpha val="20000"/>
              </a:schemeClr>
            </a:solidFill>
          </a:ln>
        </c:spPr>
        <c:marker>
          <c:symbol val="none"/>
        </c:marker>
      </c:pivotFmt>
    </c:pivotFmts>
    <c:plotArea>
      <c:layout>
        <c:manualLayout>
          <c:layoutTarget val="inner"/>
          <c:xMode val="edge"/>
          <c:yMode val="edge"/>
          <c:x val="0.17247844331587769"/>
          <c:y val="0.12886224083038805"/>
          <c:w val="0.76165896262398292"/>
          <c:h val="0.66512276873211684"/>
        </c:manualLayout>
      </c:layout>
      <c:barChart>
        <c:barDir val="bar"/>
        <c:grouping val="stacked"/>
        <c:varyColors val="0"/>
        <c:ser>
          <c:idx val="10"/>
          <c:order val="0"/>
          <c:tx>
            <c:strRef>
              <c:f>'Shelter Progress'!$L$6</c:f>
              <c:strCache>
                <c:ptCount val="1"/>
                <c:pt idx="0">
                  <c:v> Coverage (in Pop)</c:v>
                </c:pt>
              </c:strCache>
            </c:strRef>
          </c:tx>
          <c:spPr>
            <a:solidFill>
              <a:srgbClr val="92D050"/>
            </a:solidFill>
          </c:spPr>
          <c:invertIfNegative val="0"/>
          <c:cat>
            <c:strRef>
              <c:f>'Shelter Progress'!$A$7:$A$28</c:f>
              <c:strCache>
                <c:ptCount val="22"/>
                <c:pt idx="0">
                  <c:v>Bhamo</c:v>
                </c:pt>
                <c:pt idx="1">
                  <c:v>Chipwi</c:v>
                </c:pt>
                <c:pt idx="2">
                  <c:v>Hpakant</c:v>
                </c:pt>
                <c:pt idx="3">
                  <c:v>Hseni</c:v>
                </c:pt>
                <c:pt idx="4">
                  <c:v>Hsipaw</c:v>
                </c:pt>
                <c:pt idx="5">
                  <c:v>Injangyang</c:v>
                </c:pt>
                <c:pt idx="6">
                  <c:v>Khaunglanhpu</c:v>
                </c:pt>
                <c:pt idx="7">
                  <c:v>Kutkai</c:v>
                </c:pt>
                <c:pt idx="8">
                  <c:v>Machanbaw</c:v>
                </c:pt>
                <c:pt idx="9">
                  <c:v>Mansi</c:v>
                </c:pt>
                <c:pt idx="10">
                  <c:v>Manton</c:v>
                </c:pt>
                <c:pt idx="11">
                  <c:v>Mogaung</c:v>
                </c:pt>
                <c:pt idx="12">
                  <c:v>Mohnyin</c:v>
                </c:pt>
                <c:pt idx="13">
                  <c:v>Momauk</c:v>
                </c:pt>
                <c:pt idx="14">
                  <c:v>Muse</c:v>
                </c:pt>
                <c:pt idx="15">
                  <c:v>Myitkyina</c:v>
                </c:pt>
                <c:pt idx="16">
                  <c:v>Namhkan</c:v>
                </c:pt>
                <c:pt idx="17">
                  <c:v>Namtu</c:v>
                </c:pt>
                <c:pt idx="18">
                  <c:v>Puta-O</c:v>
                </c:pt>
                <c:pt idx="19">
                  <c:v>Shwegu</c:v>
                </c:pt>
                <c:pt idx="20">
                  <c:v>Sumprabum</c:v>
                </c:pt>
                <c:pt idx="21">
                  <c:v>Waingmaw</c:v>
                </c:pt>
              </c:strCache>
            </c:strRef>
          </c:cat>
          <c:val>
            <c:numRef>
              <c:f>'Shelter Progress'!$L$7:$L$28</c:f>
              <c:numCache>
                <c:formatCode>_(* #,##0_);_(* \(#,##0\);_(* "-"??_);_(@_)</c:formatCode>
                <c:ptCount val="22"/>
                <c:pt idx="0">
                  <c:v>5344.8157286044725</c:v>
                </c:pt>
                <c:pt idx="1">
                  <c:v>923.85542168674692</c:v>
                </c:pt>
                <c:pt idx="2">
                  <c:v>1647.9763560500696</c:v>
                </c:pt>
                <c:pt idx="3">
                  <c:v>185</c:v>
                </c:pt>
                <c:pt idx="4">
                  <c:v>0</c:v>
                </c:pt>
                <c:pt idx="5">
                  <c:v>0</c:v>
                </c:pt>
                <c:pt idx="6">
                  <c:v>0</c:v>
                </c:pt>
                <c:pt idx="7">
                  <c:v>1367.7330210772834</c:v>
                </c:pt>
                <c:pt idx="8">
                  <c:v>0</c:v>
                </c:pt>
                <c:pt idx="9">
                  <c:v>6958.6080382013533</c:v>
                </c:pt>
                <c:pt idx="10">
                  <c:v>348.16</c:v>
                </c:pt>
                <c:pt idx="11">
                  <c:v>294</c:v>
                </c:pt>
                <c:pt idx="12">
                  <c:v>160</c:v>
                </c:pt>
                <c:pt idx="13">
                  <c:v>18751.753636363635</c:v>
                </c:pt>
                <c:pt idx="14">
                  <c:v>360.81818181818181</c:v>
                </c:pt>
                <c:pt idx="15">
                  <c:v>5147.1283095723011</c:v>
                </c:pt>
                <c:pt idx="16">
                  <c:v>1042.0696517412937</c:v>
                </c:pt>
                <c:pt idx="17">
                  <c:v>41</c:v>
                </c:pt>
                <c:pt idx="18">
                  <c:v>271.47540983606558</c:v>
                </c:pt>
                <c:pt idx="19">
                  <c:v>311.66666666666663</c:v>
                </c:pt>
                <c:pt idx="20">
                  <c:v>0</c:v>
                </c:pt>
                <c:pt idx="21">
                  <c:v>12411.471084845925</c:v>
                </c:pt>
              </c:numCache>
            </c:numRef>
          </c:val>
        </c:ser>
        <c:dLbls>
          <c:showLegendKey val="0"/>
          <c:showVal val="0"/>
          <c:showCatName val="0"/>
          <c:showSerName val="0"/>
          <c:showPercent val="0"/>
          <c:showBubbleSize val="0"/>
        </c:dLbls>
        <c:gapWidth val="75"/>
        <c:overlap val="100"/>
        <c:axId val="149943280"/>
        <c:axId val="342603272"/>
      </c:barChart>
      <c:catAx>
        <c:axId val="149943280"/>
        <c:scaling>
          <c:orientation val="minMax"/>
        </c:scaling>
        <c:delete val="0"/>
        <c:axPos val="l"/>
        <c:numFmt formatCode="General" sourceLinked="0"/>
        <c:majorTickMark val="none"/>
        <c:minorTickMark val="none"/>
        <c:tickLblPos val="nextTo"/>
        <c:crossAx val="342603272"/>
        <c:crosses val="autoZero"/>
        <c:auto val="1"/>
        <c:lblAlgn val="ctr"/>
        <c:lblOffset val="100"/>
        <c:noMultiLvlLbl val="0"/>
      </c:catAx>
      <c:valAx>
        <c:axId val="342603272"/>
        <c:scaling>
          <c:orientation val="minMax"/>
          <c:min val="0"/>
        </c:scaling>
        <c:delete val="0"/>
        <c:axPos val="b"/>
        <c:numFmt formatCode="#,##0" sourceLinked="0"/>
        <c:majorTickMark val="cross"/>
        <c:minorTickMark val="none"/>
        <c:tickLblPos val="low"/>
        <c:spPr>
          <a:ln w="9525">
            <a:solidFill>
              <a:schemeClr val="accent1"/>
            </a:solidFill>
          </a:ln>
        </c:spPr>
        <c:crossAx val="149943280"/>
        <c:crosses val="autoZero"/>
        <c:crossBetween val="between"/>
        <c:dispUnits>
          <c:builtInUnit val="thousands"/>
          <c:dispUnitsLbl/>
        </c:dispUnits>
      </c:valAx>
    </c:plotArea>
    <c:legend>
      <c:legendPos val="b"/>
      <c:layout>
        <c:manualLayout>
          <c:xMode val="edge"/>
          <c:yMode val="edge"/>
          <c:x val="0.37403278363789433"/>
          <c:y val="0.86115636330036516"/>
          <c:w val="0.27160766532401082"/>
          <c:h val="4.1467779513830266E-2"/>
        </c:manualLayout>
      </c:layout>
      <c:overlay val="0"/>
    </c:legend>
    <c:plotVisOnly val="1"/>
    <c:dispBlanksAs val="gap"/>
    <c:showDLblsOverMax val="0"/>
  </c:chart>
  <c:spPr>
    <a:solidFill>
      <a:schemeClr val="lt1"/>
    </a:solidFill>
    <a:ln w="25400" cap="flat" cmpd="sng" algn="ctr">
      <a:solidFill>
        <a:schemeClr val="accent5"/>
      </a:solidFill>
      <a:prstDash val="soli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orientation="portrait"/>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[Shelter-NFI-CCCM Kachin Northern Shan Cluster Analysis Report 1st May 2017.xlsx]Shelter Summary (by Agency)!PivotTable3</c:name>
    <c:fmtId val="5"/>
  </c:pivotSource>
  <c:chart>
    <c:autoTitleDeleted val="1"/>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s>
    <c:plotArea>
      <c:layout>
        <c:manualLayout>
          <c:layoutTarget val="inner"/>
          <c:xMode val="edge"/>
          <c:yMode val="edge"/>
          <c:x val="0.21971330435638536"/>
          <c:y val="0.10400020189783968"/>
          <c:w val="0.75070251906783347"/>
          <c:h val="0.82603028467595385"/>
        </c:manualLayout>
      </c:layout>
      <c:barChart>
        <c:barDir val="bar"/>
        <c:grouping val="clustered"/>
        <c:varyColors val="0"/>
        <c:ser>
          <c:idx val="0"/>
          <c:order val="0"/>
          <c:tx>
            <c:strRef>
              <c:f>'Shelter Summary (by Agency)'!$F$7</c:f>
              <c:strCache>
                <c:ptCount val="1"/>
                <c:pt idx="0">
                  <c:v>Total</c:v>
                </c:pt>
              </c:strCache>
            </c:strRef>
          </c:tx>
          <c:invertIfNegative val="0"/>
          <c:cat>
            <c:strRef>
              <c:f>'Shelter Summary (by Agency)'!$E$8:$E$23</c:f>
              <c:strCache>
                <c:ptCount val="15"/>
                <c:pt idx="0">
                  <c:v>Caritas</c:v>
                </c:pt>
                <c:pt idx="1">
                  <c:v>CC</c:v>
                </c:pt>
                <c:pt idx="2">
                  <c:v>COC</c:v>
                </c:pt>
                <c:pt idx="3">
                  <c:v>DFID</c:v>
                </c:pt>
                <c:pt idx="4">
                  <c:v>DRC</c:v>
                </c:pt>
                <c:pt idx="5">
                  <c:v>FSD</c:v>
                </c:pt>
                <c:pt idx="6">
                  <c:v>IRRC</c:v>
                </c:pt>
                <c:pt idx="7">
                  <c:v>KBC Zonal</c:v>
                </c:pt>
                <c:pt idx="8">
                  <c:v>Metta</c:v>
                </c:pt>
                <c:pt idx="9">
                  <c:v>MHF</c:v>
                </c:pt>
                <c:pt idx="10">
                  <c:v>Misereor</c:v>
                </c:pt>
                <c:pt idx="11">
                  <c:v>Oxfam</c:v>
                </c:pt>
                <c:pt idx="12">
                  <c:v>UNHCR</c:v>
                </c:pt>
                <c:pt idx="13">
                  <c:v>World Vision</c:v>
                </c:pt>
                <c:pt idx="14">
                  <c:v>Yedai Foundation</c:v>
                </c:pt>
              </c:strCache>
            </c:strRef>
          </c:cat>
          <c:val>
            <c:numRef>
              <c:f>'Shelter Summary (by Agency)'!$F$8:$F$23</c:f>
              <c:numCache>
                <c:formatCode>_-* #,##0_-;\-* #,##0_-;_-* "-"??_-;_-@_-</c:formatCode>
                <c:ptCount val="15"/>
                <c:pt idx="0">
                  <c:v>724</c:v>
                </c:pt>
                <c:pt idx="1">
                  <c:v>279</c:v>
                </c:pt>
                <c:pt idx="2">
                  <c:v>20</c:v>
                </c:pt>
                <c:pt idx="3">
                  <c:v>350</c:v>
                </c:pt>
                <c:pt idx="4">
                  <c:v>2431</c:v>
                </c:pt>
                <c:pt idx="5">
                  <c:v>148</c:v>
                </c:pt>
                <c:pt idx="6">
                  <c:v>32</c:v>
                </c:pt>
                <c:pt idx="7">
                  <c:v>193</c:v>
                </c:pt>
                <c:pt idx="8">
                  <c:v>853</c:v>
                </c:pt>
                <c:pt idx="9">
                  <c:v>111</c:v>
                </c:pt>
                <c:pt idx="10">
                  <c:v>12</c:v>
                </c:pt>
                <c:pt idx="11">
                  <c:v>185</c:v>
                </c:pt>
                <c:pt idx="12">
                  <c:v>6399</c:v>
                </c:pt>
                <c:pt idx="13">
                  <c:v>77</c:v>
                </c:pt>
                <c:pt idx="14">
                  <c:v>10</c:v>
                </c:pt>
              </c:numCache>
            </c:numRef>
          </c:val>
        </c:ser>
        <c:dLbls>
          <c:showLegendKey val="0"/>
          <c:showVal val="0"/>
          <c:showCatName val="0"/>
          <c:showSerName val="0"/>
          <c:showPercent val="0"/>
          <c:showBubbleSize val="0"/>
        </c:dLbls>
        <c:gapWidth val="55"/>
        <c:axId val="342604056"/>
        <c:axId val="342604448"/>
      </c:barChart>
      <c:catAx>
        <c:axId val="342604056"/>
        <c:scaling>
          <c:orientation val="minMax"/>
        </c:scaling>
        <c:delete val="0"/>
        <c:axPos val="l"/>
        <c:numFmt formatCode="General" sourceLinked="0"/>
        <c:majorTickMark val="out"/>
        <c:minorTickMark val="none"/>
        <c:tickLblPos val="nextTo"/>
        <c:spPr>
          <a:ln>
            <a:noFill/>
          </a:ln>
        </c:spPr>
        <c:crossAx val="342604448"/>
        <c:crosses val="autoZero"/>
        <c:auto val="1"/>
        <c:lblAlgn val="ctr"/>
        <c:lblOffset val="100"/>
        <c:noMultiLvlLbl val="0"/>
      </c:catAx>
      <c:valAx>
        <c:axId val="342604448"/>
        <c:scaling>
          <c:orientation val="minMax"/>
          <c:min val="0"/>
        </c:scaling>
        <c:delete val="0"/>
        <c:axPos val="b"/>
        <c:majorGridlines>
          <c:spPr>
            <a:ln>
              <a:solidFill>
                <a:schemeClr val="bg1">
                  <a:lumMod val="50000"/>
                  <a:alpha val="12000"/>
                </a:schemeClr>
              </a:solidFill>
            </a:ln>
          </c:spPr>
        </c:majorGridlines>
        <c:title>
          <c:tx>
            <c:rich>
              <a:bodyPr/>
              <a:lstStyle/>
              <a:p>
                <a:pPr>
                  <a:defRPr/>
                </a:pPr>
                <a:r>
                  <a:rPr lang="en-US"/>
                  <a:t># of HH</a:t>
                </a:r>
              </a:p>
              <a:p>
                <a:pPr>
                  <a:defRPr/>
                </a:pPr>
                <a:r>
                  <a:rPr lang="en-US"/>
                  <a:t>(in Thousands)</a:t>
                </a:r>
              </a:p>
            </c:rich>
          </c:tx>
          <c:layout>
            <c:manualLayout>
              <c:xMode val="edge"/>
              <c:yMode val="edge"/>
              <c:x val="5.4807767597606596E-2"/>
              <c:y val="0.91077615298087744"/>
            </c:manualLayout>
          </c:layout>
          <c:overlay val="0"/>
        </c:title>
        <c:numFmt formatCode="#,##0" sourceLinked="0"/>
        <c:majorTickMark val="out"/>
        <c:minorTickMark val="none"/>
        <c:tickLblPos val="nextTo"/>
        <c:crossAx val="342604056"/>
        <c:crosses val="autoZero"/>
        <c:crossBetween val="between"/>
        <c:majorUnit val="1000"/>
        <c:dispUnits>
          <c:builtInUnit val="thousands"/>
        </c:dispUnits>
      </c:valAx>
      <c:spPr>
        <a:noFill/>
        <a:ln>
          <a:noFill/>
        </a:ln>
      </c:spPr>
    </c:plotArea>
    <c:plotVisOnly val="1"/>
    <c:dispBlanksAs val="gap"/>
    <c:showDLblsOverMax val="0"/>
  </c:chart>
  <c:spPr>
    <a:solidFill>
      <a:schemeClr val="lt1"/>
    </a:solidFill>
    <a:ln w="25400" cap="flat" cmpd="sng" algn="ctr">
      <a:solidFill>
        <a:schemeClr val="accent1"/>
      </a:solidFill>
      <a:prstDash val="soli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Label" lockText="1"/>
</file>

<file path=xl/ctrlProps/ctrlProp2.xml><?xml version="1.0" encoding="utf-8"?>
<formControlPr xmlns="http://schemas.microsoft.com/office/spreadsheetml/2009/9/main" objectType="Label" lockText="1"/>
</file>

<file path=xl/ctrlProps/ctrlProp3.xml><?xml version="1.0" encoding="utf-8"?>
<formControlPr xmlns="http://schemas.microsoft.com/office/spreadsheetml/2009/9/main" objectType="Label" lockText="1"/>
</file>

<file path=xl/ctrlProps/ctrlProp4.xml><?xml version="1.0" encoding="utf-8"?>
<formControlPr xmlns="http://schemas.microsoft.com/office/spreadsheetml/2009/9/main" objectType="Label" lockText="1"/>
</file>

<file path=xl/drawings/_rels/drawing1.xml.rels><?xml version="1.0" encoding="UTF-8" standalone="yes"?>
<Relationships xmlns="http://schemas.openxmlformats.org/package/2006/relationships"><Relationship Id="rId8" Type="http://schemas.openxmlformats.org/officeDocument/2006/relationships/hyperlink" Target="#'NFI Tracking'!A1"/><Relationship Id="rId3" Type="http://schemas.openxmlformats.org/officeDocument/2006/relationships/hyperlink" Target="#'Shelter Tracking'!A1"/><Relationship Id="rId7" Type="http://schemas.openxmlformats.org/officeDocument/2006/relationships/image" Target="../media/image5.wmf"/><Relationship Id="rId12" Type="http://schemas.openxmlformats.org/officeDocument/2006/relationships/image" Target="../media/image7.png"/><Relationship Id="rId2" Type="http://schemas.openxmlformats.org/officeDocument/2006/relationships/hyperlink" Target="#'Camp List'!A1"/><Relationship Id="rId1" Type="http://schemas.openxmlformats.org/officeDocument/2006/relationships/hyperlink" Target="#'Camp Analysis'!A1"/><Relationship Id="rId6" Type="http://schemas.openxmlformats.org/officeDocument/2006/relationships/image" Target="../media/image4.wmf"/><Relationship Id="rId11" Type="http://schemas.openxmlformats.org/officeDocument/2006/relationships/image" Target="../media/image6.png"/><Relationship Id="rId5" Type="http://schemas.openxmlformats.org/officeDocument/2006/relationships/image" Target="../media/image3.wmf"/><Relationship Id="rId10" Type="http://schemas.openxmlformats.org/officeDocument/2006/relationships/hyperlink" Target="#'Shelter Summary (by Agency)'!A1"/><Relationship Id="rId4" Type="http://schemas.openxmlformats.org/officeDocument/2006/relationships/hyperlink" Target="#'Shelter Progress'!A1"/><Relationship Id="rId9" Type="http://schemas.openxmlformats.org/officeDocument/2006/relationships/hyperlink" Target="#'NFI Distribution (by Tship)'!A1"/></Relationships>
</file>

<file path=xl/drawings/_rels/drawing10.xml.rels><?xml version="1.0" encoding="UTF-8" standalone="yes"?>
<Relationships xmlns="http://schemas.openxmlformats.org/package/2006/relationships"><Relationship Id="rId8" Type="http://schemas.openxmlformats.org/officeDocument/2006/relationships/hyperlink" Target="#'Shelter Coverage &amp; Gaps'!A1"/><Relationship Id="rId3" Type="http://schemas.openxmlformats.org/officeDocument/2006/relationships/chart" Target="../charts/chart8.xml"/><Relationship Id="rId7" Type="http://schemas.openxmlformats.org/officeDocument/2006/relationships/hyperlink" Target="#'Shelter Summary (by Agency)'!A1"/><Relationship Id="rId2" Type="http://schemas.openxmlformats.org/officeDocument/2006/relationships/image" Target="../media/image9.png"/><Relationship Id="rId1" Type="http://schemas.openxmlformats.org/officeDocument/2006/relationships/image" Target="../media/image6.png"/><Relationship Id="rId6" Type="http://schemas.openxmlformats.org/officeDocument/2006/relationships/hyperlink" Target="#'Shelter Tracking'!A1"/><Relationship Id="rId5" Type="http://schemas.openxmlformats.org/officeDocument/2006/relationships/hyperlink" Target="#'Shelter Progress'!A1"/><Relationship Id="rId4" Type="http://schemas.openxmlformats.org/officeDocument/2006/relationships/hyperlink" Target="#Home!A1"/><Relationship Id="rId9"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8" Type="http://schemas.openxmlformats.org/officeDocument/2006/relationships/hyperlink" Target="#'Shelter Coverage &amp; Gaps'!A1"/><Relationship Id="rId3" Type="http://schemas.openxmlformats.org/officeDocument/2006/relationships/image" Target="../media/image9.png"/><Relationship Id="rId7" Type="http://schemas.openxmlformats.org/officeDocument/2006/relationships/hyperlink" Target="#'Shelter Summary (by Agency)'!A1"/><Relationship Id="rId2" Type="http://schemas.openxmlformats.org/officeDocument/2006/relationships/image" Target="../media/image6.png"/><Relationship Id="rId1" Type="http://schemas.openxmlformats.org/officeDocument/2006/relationships/image" Target="../media/image21.jpg"/><Relationship Id="rId6" Type="http://schemas.openxmlformats.org/officeDocument/2006/relationships/hyperlink" Target="#'Shelter Tracking'!A1"/><Relationship Id="rId5" Type="http://schemas.openxmlformats.org/officeDocument/2006/relationships/hyperlink" Target="#'Shelter Progress'!A1"/><Relationship Id="rId10" Type="http://schemas.openxmlformats.org/officeDocument/2006/relationships/chart" Target="../charts/chart11.xml"/><Relationship Id="rId4" Type="http://schemas.openxmlformats.org/officeDocument/2006/relationships/hyperlink" Target="#Home!A1"/><Relationship Id="rId9"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hyperlink" Target="#'NFI Distribution (by Tship)'!A1"/><Relationship Id="rId2" Type="http://schemas.openxmlformats.org/officeDocument/2006/relationships/image" Target="../media/image6.png"/><Relationship Id="rId1" Type="http://schemas.openxmlformats.org/officeDocument/2006/relationships/hyperlink" Target="#NFIAnalysis!A1"/><Relationship Id="rId6" Type="http://schemas.openxmlformats.org/officeDocument/2006/relationships/hyperlink" Target="#'NFI Summary'!A1"/><Relationship Id="rId5" Type="http://schemas.openxmlformats.org/officeDocument/2006/relationships/hyperlink" Target="#'NFI Tracking'!A1"/><Relationship Id="rId4"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9.png"/><Relationship Id="rId1" Type="http://schemas.openxmlformats.org/officeDocument/2006/relationships/image" Target="../media/image6.png"/><Relationship Id="rId6" Type="http://schemas.openxmlformats.org/officeDocument/2006/relationships/hyperlink" Target="#'NFI Distribution (by Tship)'!A1"/><Relationship Id="rId5" Type="http://schemas.openxmlformats.org/officeDocument/2006/relationships/hyperlink" Target="#'NFI Summary'!A1"/><Relationship Id="rId4" Type="http://schemas.openxmlformats.org/officeDocument/2006/relationships/hyperlink" Target="#'NFI Tracking'!A1"/></Relationships>
</file>

<file path=xl/drawings/_rels/drawing1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hyperlink" Target="#'NFI Distribution (by Tship)'!A1"/><Relationship Id="rId2" Type="http://schemas.openxmlformats.org/officeDocument/2006/relationships/image" Target="../media/image6.png"/><Relationship Id="rId1" Type="http://schemas.openxmlformats.org/officeDocument/2006/relationships/chart" Target="../charts/chart12.xml"/><Relationship Id="rId6" Type="http://schemas.openxmlformats.org/officeDocument/2006/relationships/hyperlink" Target="#'NFI Summary'!A1"/><Relationship Id="rId5" Type="http://schemas.openxmlformats.org/officeDocument/2006/relationships/hyperlink" Target="#'NFI Tracking'!A1"/><Relationship Id="rId4" Type="http://schemas.openxmlformats.org/officeDocument/2006/relationships/hyperlink" Target="#Home!A1"/></Relationships>
</file>

<file path=xl/drawings/_rels/drawing17.xml.rels><?xml version="1.0" encoding="UTF-8" standalone="yes"?>
<Relationships xmlns="http://schemas.openxmlformats.org/package/2006/relationships"><Relationship Id="rId8" Type="http://schemas.openxmlformats.org/officeDocument/2006/relationships/hyperlink" Target="#'NFI Distribution (by Tship)'!A1"/><Relationship Id="rId3" Type="http://schemas.openxmlformats.org/officeDocument/2006/relationships/image" Target="../media/image9.png"/><Relationship Id="rId7" Type="http://schemas.openxmlformats.org/officeDocument/2006/relationships/hyperlink" Target="#'NFI Summary'!A1"/><Relationship Id="rId2" Type="http://schemas.openxmlformats.org/officeDocument/2006/relationships/image" Target="../media/image6.png"/><Relationship Id="rId1" Type="http://schemas.openxmlformats.org/officeDocument/2006/relationships/chart" Target="../charts/chart13.xml"/><Relationship Id="rId6" Type="http://schemas.openxmlformats.org/officeDocument/2006/relationships/hyperlink" Target="#'NFI Tracking'!A1"/><Relationship Id="rId11" Type="http://schemas.openxmlformats.org/officeDocument/2006/relationships/chart" Target="../charts/chart16.xml"/><Relationship Id="rId5" Type="http://schemas.openxmlformats.org/officeDocument/2006/relationships/hyperlink" Target="#Home!A1"/><Relationship Id="rId10" Type="http://schemas.openxmlformats.org/officeDocument/2006/relationships/chart" Target="../charts/chart15.xml"/><Relationship Id="rId4" Type="http://schemas.openxmlformats.org/officeDocument/2006/relationships/hyperlink" Target="http://www.sheltercluster.org/library/standards-and-guidelines-nfi" TargetMode="External"/><Relationship Id="rId9"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CCCM Dashboard'!A1"/><Relationship Id="rId7" Type="http://schemas.openxmlformats.org/officeDocument/2006/relationships/hyperlink" Target="#'Camp Analysis'!A1"/><Relationship Id="rId2" Type="http://schemas.openxmlformats.org/officeDocument/2006/relationships/image" Target="../media/image8.png"/><Relationship Id="rId1" Type="http://schemas.openxmlformats.org/officeDocument/2006/relationships/image" Target="../media/image6.png"/><Relationship Id="rId6" Type="http://schemas.openxmlformats.org/officeDocument/2006/relationships/hyperlink" Target="#'Camp List (printable)'!A1"/><Relationship Id="rId5" Type="http://schemas.openxmlformats.org/officeDocument/2006/relationships/hyperlink" Target="#'Camp List'!A1"/><Relationship Id="rId4" Type="http://schemas.openxmlformats.org/officeDocument/2006/relationships/hyperlink" Target="#Home!A1"/></Relationships>
</file>

<file path=xl/drawings/_rels/drawing3.xml.rels><?xml version="1.0" encoding="UTF-8" standalone="yes"?>
<Relationships xmlns="http://schemas.openxmlformats.org/package/2006/relationships"><Relationship Id="rId8" Type="http://schemas.openxmlformats.org/officeDocument/2006/relationships/hyperlink" Target="#'Camp Analysis'!A1"/><Relationship Id="rId3" Type="http://schemas.openxmlformats.org/officeDocument/2006/relationships/image" Target="../media/image9.png"/><Relationship Id="rId7" Type="http://schemas.openxmlformats.org/officeDocument/2006/relationships/hyperlink" Target="#'Camp List (printable)'!A1"/><Relationship Id="rId2" Type="http://schemas.openxmlformats.org/officeDocument/2006/relationships/image" Target="../media/image6.png"/><Relationship Id="rId1" Type="http://schemas.openxmlformats.org/officeDocument/2006/relationships/chart" Target="../charts/chart1.xml"/><Relationship Id="rId6" Type="http://schemas.openxmlformats.org/officeDocument/2006/relationships/hyperlink" Target="#'Camp List'!A1"/><Relationship Id="rId5" Type="http://schemas.openxmlformats.org/officeDocument/2006/relationships/hyperlink" Target="#Home!A1"/><Relationship Id="rId4" Type="http://schemas.openxmlformats.org/officeDocument/2006/relationships/hyperlink" Target="#'CCCM Dashboard'!A1"/></Relationships>
</file>

<file path=xl/drawings/_rels/drawing4.xml.rels><?xml version="1.0" encoding="UTF-8" standalone="yes"?>
<Relationships xmlns="http://schemas.openxmlformats.org/package/2006/relationships"><Relationship Id="rId3" Type="http://schemas.openxmlformats.org/officeDocument/2006/relationships/hyperlink" Target="#'CCCM Dashboard'!A1"/><Relationship Id="rId7" Type="http://schemas.openxmlformats.org/officeDocument/2006/relationships/hyperlink" Target="#'Camp Analysis'!A1"/><Relationship Id="rId2" Type="http://schemas.openxmlformats.org/officeDocument/2006/relationships/image" Target="../media/image10.png"/><Relationship Id="rId1" Type="http://schemas.openxmlformats.org/officeDocument/2006/relationships/image" Target="../media/image6.png"/><Relationship Id="rId6" Type="http://schemas.openxmlformats.org/officeDocument/2006/relationships/hyperlink" Target="#'Camp List (printable)'!A1"/><Relationship Id="rId5" Type="http://schemas.openxmlformats.org/officeDocument/2006/relationships/hyperlink" Target="#'Camp List'!A1"/><Relationship Id="rId4" Type="http://schemas.openxmlformats.org/officeDocument/2006/relationships/hyperlink" Target="#Home!A1"/></Relationships>
</file>

<file path=xl/drawings/_rels/drawing5.xml.rels><?xml version="1.0" encoding="UTF-8" standalone="yes"?>
<Relationships xmlns="http://schemas.openxmlformats.org/package/2006/relationships"><Relationship Id="rId8" Type="http://schemas.openxmlformats.org/officeDocument/2006/relationships/hyperlink" Target="#'Camp Analysis'!A1"/><Relationship Id="rId3" Type="http://schemas.openxmlformats.org/officeDocument/2006/relationships/chart" Target="../charts/chart2.xml"/><Relationship Id="rId7" Type="http://schemas.openxmlformats.org/officeDocument/2006/relationships/hyperlink" Target="#'Camp List (printable)'!A1"/><Relationship Id="rId2" Type="http://schemas.openxmlformats.org/officeDocument/2006/relationships/image" Target="../media/image11.png"/><Relationship Id="rId1" Type="http://schemas.openxmlformats.org/officeDocument/2006/relationships/image" Target="../media/image6.png"/><Relationship Id="rId6" Type="http://schemas.openxmlformats.org/officeDocument/2006/relationships/hyperlink" Target="#'Camp List'!A1"/><Relationship Id="rId5" Type="http://schemas.openxmlformats.org/officeDocument/2006/relationships/hyperlink" Target="#Home!A1"/><Relationship Id="rId10" Type="http://schemas.openxmlformats.org/officeDocument/2006/relationships/chart" Target="../charts/chart3.xml"/><Relationship Id="rId4" Type="http://schemas.openxmlformats.org/officeDocument/2006/relationships/hyperlink" Target="#'CCCM Dashboard'!A1"/><Relationship Id="rId9"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4" Type="http://schemas.openxmlformats.org/officeDocument/2006/relationships/image" Target="../media/image17.jpeg"/></Relationships>
</file>

<file path=xl/drawings/_rels/drawing8.xml.rels><?xml version="1.0" encoding="UTF-8" standalone="yes"?>
<Relationships xmlns="http://schemas.openxmlformats.org/package/2006/relationships"><Relationship Id="rId3" Type="http://schemas.openxmlformats.org/officeDocument/2006/relationships/hyperlink" Target="#Home!A1"/><Relationship Id="rId7" Type="http://schemas.openxmlformats.org/officeDocument/2006/relationships/hyperlink" Target="#'Shelter Coverage &amp; Gaps'!A1"/><Relationship Id="rId2" Type="http://schemas.openxmlformats.org/officeDocument/2006/relationships/image" Target="../media/image9.png"/><Relationship Id="rId1" Type="http://schemas.openxmlformats.org/officeDocument/2006/relationships/image" Target="../media/image6.png"/><Relationship Id="rId6" Type="http://schemas.openxmlformats.org/officeDocument/2006/relationships/hyperlink" Target="#'Shelter Summary (by Agency)'!A1"/><Relationship Id="rId5" Type="http://schemas.openxmlformats.org/officeDocument/2006/relationships/hyperlink" Target="#'Shelter Tracking'!A1"/><Relationship Id="rId4" Type="http://schemas.openxmlformats.org/officeDocument/2006/relationships/hyperlink" Target="#'Shelter Progress'!A1"/></Relationships>
</file>

<file path=xl/drawings/_rels/drawing9.xml.rels><?xml version="1.0" encoding="UTF-8" standalone="yes"?>
<Relationships xmlns="http://schemas.openxmlformats.org/package/2006/relationships"><Relationship Id="rId8" Type="http://schemas.openxmlformats.org/officeDocument/2006/relationships/hyperlink" Target="#'Shelter Tracking'!A1"/><Relationship Id="rId3" Type="http://schemas.openxmlformats.org/officeDocument/2006/relationships/chart" Target="../charts/chart6.xml"/><Relationship Id="rId7" Type="http://schemas.openxmlformats.org/officeDocument/2006/relationships/hyperlink" Target="#'Shelter Progress'!A1"/><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Home!A1"/><Relationship Id="rId11" Type="http://schemas.openxmlformats.org/officeDocument/2006/relationships/chart" Target="../charts/chart7.xml"/><Relationship Id="rId5" Type="http://schemas.openxmlformats.org/officeDocument/2006/relationships/image" Target="../media/image9.png"/><Relationship Id="rId10" Type="http://schemas.openxmlformats.org/officeDocument/2006/relationships/hyperlink" Target="#'Shelter Coverage &amp; Gaps'!A1"/><Relationship Id="rId4" Type="http://schemas.openxmlformats.org/officeDocument/2006/relationships/image" Target="../media/image6.png"/><Relationship Id="rId9" Type="http://schemas.openxmlformats.org/officeDocument/2006/relationships/hyperlink" Target="#'Shelter Summary (by Agency)'!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66675</xdr:rowOff>
    </xdr:from>
    <xdr:to>
      <xdr:col>7</xdr:col>
      <xdr:colOff>180975</xdr:colOff>
      <xdr:row>8</xdr:row>
      <xdr:rowOff>95251</xdr:rowOff>
    </xdr:to>
    <xdr:sp macro="" textlink="">
      <xdr:nvSpPr>
        <xdr:cNvPr id="2" name="Rounded Rectangle 1">
          <a:hlinkClick xmlns:r="http://schemas.openxmlformats.org/officeDocument/2006/relationships" r:id="rId1"/>
        </xdr:cNvPr>
        <xdr:cNvSpPr/>
      </xdr:nvSpPr>
      <xdr:spPr>
        <a:xfrm>
          <a:off x="2181225" y="1009650"/>
          <a:ext cx="1400175" cy="219076"/>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Analysis</a:t>
          </a:r>
        </a:p>
      </xdr:txBody>
    </xdr:sp>
    <xdr:clientData/>
  </xdr:twoCellAnchor>
  <xdr:twoCellAnchor>
    <xdr:from>
      <xdr:col>1</xdr:col>
      <xdr:colOff>0</xdr:colOff>
      <xdr:row>1</xdr:row>
      <xdr:rowOff>0</xdr:rowOff>
    </xdr:from>
    <xdr:to>
      <xdr:col>23</xdr:col>
      <xdr:colOff>209549</xdr:colOff>
      <xdr:row>24</xdr:row>
      <xdr:rowOff>161925</xdr:rowOff>
    </xdr:to>
    <xdr:sp macro="" textlink="">
      <xdr:nvSpPr>
        <xdr:cNvPr id="4" name="Rounded Rectangle 3"/>
        <xdr:cNvSpPr/>
      </xdr:nvSpPr>
      <xdr:spPr>
        <a:xfrm>
          <a:off x="133350" y="66675"/>
          <a:ext cx="12058649" cy="43529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9527</xdr:colOff>
      <xdr:row>9</xdr:row>
      <xdr:rowOff>38100</xdr:rowOff>
    </xdr:from>
    <xdr:to>
      <xdr:col>7</xdr:col>
      <xdr:colOff>180975</xdr:colOff>
      <xdr:row>10</xdr:row>
      <xdr:rowOff>85725</xdr:rowOff>
    </xdr:to>
    <xdr:sp macro="" textlink="">
      <xdr:nvSpPr>
        <xdr:cNvPr id="6" name="Rounded Rectangle 5">
          <a:hlinkClick xmlns:r="http://schemas.openxmlformats.org/officeDocument/2006/relationships" r:id="rId2"/>
        </xdr:cNvPr>
        <xdr:cNvSpPr/>
      </xdr:nvSpPr>
      <xdr:spPr>
        <a:xfrm>
          <a:off x="2190752" y="1562100"/>
          <a:ext cx="1390648" cy="238125"/>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Detailed Camp List</a:t>
          </a:r>
        </a:p>
      </xdr:txBody>
    </xdr:sp>
    <xdr:clientData/>
  </xdr:twoCellAnchor>
  <xdr:twoCellAnchor>
    <xdr:from>
      <xdr:col>5</xdr:col>
      <xdr:colOff>38100</xdr:colOff>
      <xdr:row>17</xdr:row>
      <xdr:rowOff>38100</xdr:rowOff>
    </xdr:from>
    <xdr:to>
      <xdr:col>7</xdr:col>
      <xdr:colOff>200025</xdr:colOff>
      <xdr:row>18</xdr:row>
      <xdr:rowOff>95250</xdr:rowOff>
    </xdr:to>
    <xdr:sp macro="" textlink="">
      <xdr:nvSpPr>
        <xdr:cNvPr id="7" name="Rounded Rectangle 6">
          <a:hlinkClick xmlns:r="http://schemas.openxmlformats.org/officeDocument/2006/relationships" r:id="rId3"/>
        </xdr:cNvPr>
        <xdr:cNvSpPr/>
      </xdr:nvSpPr>
      <xdr:spPr>
        <a:xfrm>
          <a:off x="2219325" y="2886075"/>
          <a:ext cx="1381125" cy="24765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Detail Sheet</a:t>
          </a:r>
          <a:endParaRPr lang="en-US" sz="1100" b="1"/>
        </a:p>
      </xdr:txBody>
    </xdr:sp>
    <xdr:clientData/>
  </xdr:twoCellAnchor>
  <xdr:twoCellAnchor>
    <xdr:from>
      <xdr:col>5</xdr:col>
      <xdr:colOff>28576</xdr:colOff>
      <xdr:row>13</xdr:row>
      <xdr:rowOff>76201</xdr:rowOff>
    </xdr:from>
    <xdr:to>
      <xdr:col>7</xdr:col>
      <xdr:colOff>180975</xdr:colOff>
      <xdr:row>14</xdr:row>
      <xdr:rowOff>114301</xdr:rowOff>
    </xdr:to>
    <xdr:sp macro="" textlink="">
      <xdr:nvSpPr>
        <xdr:cNvPr id="8" name="Rounded Rectangle 7">
          <a:hlinkClick xmlns:r="http://schemas.openxmlformats.org/officeDocument/2006/relationships" r:id="rId4"/>
        </xdr:cNvPr>
        <xdr:cNvSpPr/>
      </xdr:nvSpPr>
      <xdr:spPr>
        <a:xfrm>
          <a:off x="2209801" y="2238376"/>
          <a:ext cx="1371599" cy="22860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Progress</a:t>
          </a:r>
          <a:endParaRPr lang="en-US" sz="1100" b="1"/>
        </a:p>
      </xdr:txBody>
    </xdr:sp>
    <xdr:clientData/>
  </xdr:twoCellAnchor>
  <xdr:twoCellAnchor>
    <xdr:from>
      <xdr:col>19</xdr:col>
      <xdr:colOff>295275</xdr:colOff>
      <xdr:row>1</xdr:row>
      <xdr:rowOff>123825</xdr:rowOff>
    </xdr:from>
    <xdr:to>
      <xdr:col>20</xdr:col>
      <xdr:colOff>95250</xdr:colOff>
      <xdr:row>3</xdr:row>
      <xdr:rowOff>152400</xdr:rowOff>
    </xdr:to>
    <xdr:pic>
      <xdr:nvPicPr>
        <xdr:cNvPr id="9" name="Picture 196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48875" y="314325"/>
          <a:ext cx="4095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95250</xdr:colOff>
      <xdr:row>1</xdr:row>
      <xdr:rowOff>123825</xdr:rowOff>
    </xdr:from>
    <xdr:to>
      <xdr:col>20</xdr:col>
      <xdr:colOff>495300</xdr:colOff>
      <xdr:row>3</xdr:row>
      <xdr:rowOff>142875</xdr:rowOff>
    </xdr:to>
    <xdr:pic>
      <xdr:nvPicPr>
        <xdr:cNvPr id="10" name="Picture 113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8450" y="314325"/>
          <a:ext cx="40005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533400</xdr:colOff>
      <xdr:row>1</xdr:row>
      <xdr:rowOff>123825</xdr:rowOff>
    </xdr:from>
    <xdr:to>
      <xdr:col>21</xdr:col>
      <xdr:colOff>333375</xdr:colOff>
      <xdr:row>3</xdr:row>
      <xdr:rowOff>152400</xdr:rowOff>
    </xdr:to>
    <xdr:pic>
      <xdr:nvPicPr>
        <xdr:cNvPr id="11" name="Picture 196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896600" y="314325"/>
          <a:ext cx="4095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26194</xdr:colOff>
      <xdr:row>20</xdr:row>
      <xdr:rowOff>78580</xdr:rowOff>
    </xdr:from>
    <xdr:to>
      <xdr:col>7</xdr:col>
      <xdr:colOff>150020</xdr:colOff>
      <xdr:row>21</xdr:row>
      <xdr:rowOff>126205</xdr:rowOff>
    </xdr:to>
    <xdr:sp macro="" textlink="">
      <xdr:nvSpPr>
        <xdr:cNvPr id="13" name="Rounded Rectangle 12">
          <a:hlinkClick xmlns:r="http://schemas.openxmlformats.org/officeDocument/2006/relationships" r:id="rId8"/>
        </xdr:cNvPr>
        <xdr:cNvSpPr/>
      </xdr:nvSpPr>
      <xdr:spPr>
        <a:xfrm>
          <a:off x="2193132" y="3507580"/>
          <a:ext cx="1338263" cy="238125"/>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Detail Sheet</a:t>
          </a:r>
          <a:endParaRPr lang="en-US" sz="1100" b="1"/>
        </a:p>
      </xdr:txBody>
    </xdr:sp>
    <xdr:clientData/>
  </xdr:twoCellAnchor>
  <xdr:twoCellAnchor>
    <xdr:from>
      <xdr:col>5</xdr:col>
      <xdr:colOff>28575</xdr:colOff>
      <xdr:row>22</xdr:row>
      <xdr:rowOff>76200</xdr:rowOff>
    </xdr:from>
    <xdr:to>
      <xdr:col>7</xdr:col>
      <xdr:colOff>171450</xdr:colOff>
      <xdr:row>23</xdr:row>
      <xdr:rowOff>104776</xdr:rowOff>
    </xdr:to>
    <xdr:sp macro="" textlink="">
      <xdr:nvSpPr>
        <xdr:cNvPr id="16" name="Rounded Rectangle 15">
          <a:hlinkClick xmlns:r="http://schemas.openxmlformats.org/officeDocument/2006/relationships" r:id="rId9"/>
        </xdr:cNvPr>
        <xdr:cNvSpPr/>
      </xdr:nvSpPr>
      <xdr:spPr>
        <a:xfrm>
          <a:off x="2209800" y="3876675"/>
          <a:ext cx="1362075" cy="219076"/>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a:t>
          </a:r>
          <a:r>
            <a:rPr lang="en-US" sz="1100" b="1" i="1" baseline="0"/>
            <a:t>Township</a:t>
          </a:r>
          <a:endParaRPr lang="en-US" sz="1100" b="1" i="1"/>
        </a:p>
      </xdr:txBody>
    </xdr:sp>
    <xdr:clientData/>
  </xdr:twoCellAnchor>
  <xdr:twoCellAnchor>
    <xdr:from>
      <xdr:col>5</xdr:col>
      <xdr:colOff>19050</xdr:colOff>
      <xdr:row>15</xdr:row>
      <xdr:rowOff>57149</xdr:rowOff>
    </xdr:from>
    <xdr:to>
      <xdr:col>7</xdr:col>
      <xdr:colOff>219075</xdr:colOff>
      <xdr:row>16</xdr:row>
      <xdr:rowOff>104774</xdr:rowOff>
    </xdr:to>
    <xdr:sp macro="" textlink="">
      <xdr:nvSpPr>
        <xdr:cNvPr id="15" name="Rounded Rectangle 14">
          <a:hlinkClick xmlns:r="http://schemas.openxmlformats.org/officeDocument/2006/relationships" r:id="rId10"/>
        </xdr:cNvPr>
        <xdr:cNvSpPr/>
      </xdr:nvSpPr>
      <xdr:spPr>
        <a:xfrm>
          <a:off x="2200275" y="2524124"/>
          <a:ext cx="1419225" cy="238125"/>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 </a:t>
          </a:r>
          <a:r>
            <a:rPr lang="en-US" sz="1100" b="1" baseline="0"/>
            <a:t> by Agency</a:t>
          </a:r>
          <a:endParaRPr lang="en-US" sz="1100" b="1"/>
        </a:p>
      </xdr:txBody>
    </xdr:sp>
    <xdr:clientData/>
  </xdr:twoCellAnchor>
  <xdr:twoCellAnchor editAs="oneCell">
    <xdr:from>
      <xdr:col>7</xdr:col>
      <xdr:colOff>178593</xdr:colOff>
      <xdr:row>1</xdr:row>
      <xdr:rowOff>47625</xdr:rowOff>
    </xdr:from>
    <xdr:to>
      <xdr:col>11</xdr:col>
      <xdr:colOff>237343</xdr:colOff>
      <xdr:row>3</xdr:row>
      <xdr:rowOff>11906</xdr:rowOff>
    </xdr:to>
    <xdr:pic>
      <xdr:nvPicPr>
        <xdr:cNvPr id="17" name="Picture 16"/>
        <xdr:cNvPicPr>
          <a:picLocks noChangeAspect="1"/>
        </xdr:cNvPicPr>
      </xdr:nvPicPr>
      <xdr:blipFill>
        <a:blip xmlns:r="http://schemas.openxmlformats.org/officeDocument/2006/relationships" r:embed="rId11"/>
        <a:stretch>
          <a:fillRect/>
        </a:stretch>
      </xdr:blipFill>
      <xdr:spPr>
        <a:xfrm>
          <a:off x="3559968" y="119063"/>
          <a:ext cx="1951844" cy="297656"/>
        </a:xfrm>
        <a:prstGeom prst="rect">
          <a:avLst/>
        </a:prstGeom>
      </xdr:spPr>
    </xdr:pic>
    <xdr:clientData/>
  </xdr:twoCellAnchor>
  <xdr:twoCellAnchor>
    <xdr:from>
      <xdr:col>11</xdr:col>
      <xdr:colOff>321469</xdr:colOff>
      <xdr:row>1</xdr:row>
      <xdr:rowOff>23812</xdr:rowOff>
    </xdr:from>
    <xdr:to>
      <xdr:col>22</xdr:col>
      <xdr:colOff>78906</xdr:colOff>
      <xdr:row>3</xdr:row>
      <xdr:rowOff>34042</xdr:rowOff>
    </xdr:to>
    <xdr:pic>
      <xdr:nvPicPr>
        <xdr:cNvPr id="18" name="Picture 17" descr="CCCM sdc-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738813" y="95250"/>
          <a:ext cx="1793406" cy="34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25</xdr:col>
          <xdr:colOff>180975</xdr:colOff>
          <xdr:row>6</xdr:row>
          <xdr:rowOff>0</xdr:rowOff>
        </xdr:from>
        <xdr:to>
          <xdr:col>27</xdr:col>
          <xdr:colOff>476250</xdr:colOff>
          <xdr:row>8</xdr:row>
          <xdr:rowOff>47625</xdr:rowOff>
        </xdr:to>
        <xdr:sp macro="" textlink="">
          <xdr:nvSpPr>
            <xdr:cNvPr id="1025" name="Main_Export_Data"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10</xdr:row>
          <xdr:rowOff>9525</xdr:rowOff>
        </xdr:from>
        <xdr:to>
          <xdr:col>27</xdr:col>
          <xdr:colOff>504825</xdr:colOff>
          <xdr:row>11</xdr:row>
          <xdr:rowOff>133350</xdr:rowOff>
        </xdr:to>
        <xdr:sp macro="" textlink="">
          <xdr:nvSpPr>
            <xdr:cNvPr id="1026" name="Print_Report"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2</xdr:col>
      <xdr:colOff>3190875</xdr:colOff>
      <xdr:row>1</xdr:row>
      <xdr:rowOff>269875</xdr:rowOff>
    </xdr:from>
    <xdr:to>
      <xdr:col>5</xdr:col>
      <xdr:colOff>646431</xdr:colOff>
      <xdr:row>1</xdr:row>
      <xdr:rowOff>845344</xdr:rowOff>
    </xdr:to>
    <xdr:grpSp>
      <xdr:nvGrpSpPr>
        <xdr:cNvPr id="6" name="Group 5"/>
        <xdr:cNvGrpSpPr/>
      </xdr:nvGrpSpPr>
      <xdr:grpSpPr>
        <a:xfrm>
          <a:off x="7193756" y="722313"/>
          <a:ext cx="4001613" cy="442119"/>
          <a:chOff x="6500812" y="317500"/>
          <a:chExt cx="6186806" cy="575469"/>
        </a:xfrm>
      </xdr:grpSpPr>
      <xdr:pic>
        <xdr:nvPicPr>
          <xdr:cNvPr id="7" name="Picture 6"/>
          <xdr:cNvPicPr>
            <a:picLocks noChangeAspect="1"/>
          </xdr:cNvPicPr>
        </xdr:nvPicPr>
        <xdr:blipFill>
          <a:blip xmlns:r="http://schemas.openxmlformats.org/officeDocument/2006/relationships" r:embed="rId1"/>
          <a:stretch>
            <a:fillRect/>
          </a:stretch>
        </xdr:blipFill>
        <xdr:spPr>
          <a:xfrm>
            <a:off x="8886031" y="317500"/>
            <a:ext cx="3801587" cy="573015"/>
          </a:xfrm>
          <a:prstGeom prst="rect">
            <a:avLst/>
          </a:prstGeom>
        </xdr:spPr>
      </xdr:pic>
      <xdr:pic>
        <xdr:nvPicPr>
          <xdr:cNvPr id="8" name="Picture 7" descr="CCCM sdc-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95250</xdr:colOff>
      <xdr:row>25</xdr:row>
      <xdr:rowOff>174625</xdr:rowOff>
    </xdr:from>
    <xdr:to>
      <xdr:col>3</xdr:col>
      <xdr:colOff>11906</xdr:colOff>
      <xdr:row>54</xdr:row>
      <xdr:rowOff>5763</xdr:rowOff>
    </xdr:to>
    <xdr:graphicFrame macro="">
      <xdr:nvGraphicFramePr>
        <xdr:cNvPr id="9" name="Chart 8"/>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19050</xdr:rowOff>
    </xdr:from>
    <xdr:to>
      <xdr:col>1</xdr:col>
      <xdr:colOff>46969</xdr:colOff>
      <xdr:row>0</xdr:row>
      <xdr:rowOff>384810</xdr:rowOff>
    </xdr:to>
    <xdr:sp macro="" textlink="">
      <xdr:nvSpPr>
        <xdr:cNvPr id="16" name="Rounded Rectangle 15">
          <a:hlinkClick xmlns:r="http://schemas.openxmlformats.org/officeDocument/2006/relationships" r:id="rId4"/>
        </xdr:cNvPr>
        <xdr:cNvSpPr/>
      </xdr:nvSpPr>
      <xdr:spPr>
        <a:xfrm>
          <a:off x="0" y="19050"/>
          <a:ext cx="1440000"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1</xdr:col>
      <xdr:colOff>266711</xdr:colOff>
      <xdr:row>0</xdr:row>
      <xdr:rowOff>19050</xdr:rowOff>
    </xdr:from>
    <xdr:to>
      <xdr:col>2</xdr:col>
      <xdr:colOff>373211</xdr:colOff>
      <xdr:row>0</xdr:row>
      <xdr:rowOff>384810</xdr:rowOff>
    </xdr:to>
    <xdr:sp macro="" textlink="">
      <xdr:nvSpPr>
        <xdr:cNvPr id="12" name="Rounded Rectangle 11">
          <a:hlinkClick xmlns:r="http://schemas.openxmlformats.org/officeDocument/2006/relationships" r:id="rId5"/>
        </xdr:cNvPr>
        <xdr:cNvSpPr/>
      </xdr:nvSpPr>
      <xdr:spPr>
        <a:xfrm>
          <a:off x="1659742" y="19050"/>
          <a:ext cx="1606688"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Progress</a:t>
          </a:r>
          <a:endParaRPr lang="en-US" sz="1100" b="1"/>
        </a:p>
      </xdr:txBody>
    </xdr:sp>
    <xdr:clientData/>
  </xdr:twoCellAnchor>
  <xdr:twoCellAnchor>
    <xdr:from>
      <xdr:col>3</xdr:col>
      <xdr:colOff>752479</xdr:colOff>
      <xdr:row>0</xdr:row>
      <xdr:rowOff>11906</xdr:rowOff>
    </xdr:from>
    <xdr:to>
      <xdr:col>4</xdr:col>
      <xdr:colOff>516079</xdr:colOff>
      <xdr:row>0</xdr:row>
      <xdr:rowOff>379644</xdr:rowOff>
    </xdr:to>
    <xdr:sp macro="" textlink="">
      <xdr:nvSpPr>
        <xdr:cNvPr id="13" name="Rounded Rectangle 12">
          <a:hlinkClick xmlns:r="http://schemas.openxmlformats.org/officeDocument/2006/relationships" r:id="rId6"/>
        </xdr:cNvPr>
        <xdr:cNvSpPr/>
      </xdr:nvSpPr>
      <xdr:spPr>
        <a:xfrm>
          <a:off x="5324479" y="11906"/>
          <a:ext cx="1442381" cy="36773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Detail Sheet</a:t>
          </a:r>
          <a:endParaRPr lang="en-US" sz="1100" b="1"/>
        </a:p>
      </xdr:txBody>
    </xdr:sp>
    <xdr:clientData/>
  </xdr:twoCellAnchor>
  <xdr:twoCellAnchor>
    <xdr:from>
      <xdr:col>2</xdr:col>
      <xdr:colOff>645330</xdr:colOff>
      <xdr:row>0</xdr:row>
      <xdr:rowOff>11908</xdr:rowOff>
    </xdr:from>
    <xdr:to>
      <xdr:col>3</xdr:col>
      <xdr:colOff>408930</xdr:colOff>
      <xdr:row>0</xdr:row>
      <xdr:rowOff>381002</xdr:rowOff>
    </xdr:to>
    <xdr:sp macro="" textlink="">
      <xdr:nvSpPr>
        <xdr:cNvPr id="14" name="Rounded Rectangle 13">
          <a:hlinkClick xmlns:r="http://schemas.openxmlformats.org/officeDocument/2006/relationships" r:id="rId7"/>
        </xdr:cNvPr>
        <xdr:cNvSpPr/>
      </xdr:nvSpPr>
      <xdr:spPr>
        <a:xfrm>
          <a:off x="3538549" y="11908"/>
          <a:ext cx="1442381" cy="369094"/>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 </a:t>
          </a:r>
          <a:r>
            <a:rPr lang="en-US" sz="1100" b="1" baseline="0"/>
            <a:t> by Agency</a:t>
          </a:r>
          <a:endParaRPr lang="en-US" sz="1100" b="1"/>
        </a:p>
      </xdr:txBody>
    </xdr:sp>
    <xdr:clientData/>
  </xdr:twoCellAnchor>
  <xdr:twoCellAnchor>
    <xdr:from>
      <xdr:col>4</xdr:col>
      <xdr:colOff>821543</xdr:colOff>
      <xdr:row>0</xdr:row>
      <xdr:rowOff>0</xdr:rowOff>
    </xdr:from>
    <xdr:to>
      <xdr:col>5</xdr:col>
      <xdr:colOff>889946</xdr:colOff>
      <xdr:row>0</xdr:row>
      <xdr:rowOff>365760</xdr:rowOff>
    </xdr:to>
    <xdr:sp macro="" textlink="">
      <xdr:nvSpPr>
        <xdr:cNvPr id="15" name="Rounded Rectangle 14">
          <a:hlinkClick xmlns:r="http://schemas.openxmlformats.org/officeDocument/2006/relationships" r:id="rId8"/>
        </xdr:cNvPr>
        <xdr:cNvSpPr/>
      </xdr:nvSpPr>
      <xdr:spPr>
        <a:xfrm>
          <a:off x="7072324" y="0"/>
          <a:ext cx="1747185"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Shelter Summary</a:t>
          </a:r>
          <a:endParaRPr lang="en-US" sz="1100" b="1"/>
        </a:p>
      </xdr:txBody>
    </xdr:sp>
    <xdr:clientData/>
  </xdr:twoCellAnchor>
  <xdr:twoCellAnchor>
    <xdr:from>
      <xdr:col>3</xdr:col>
      <xdr:colOff>785812</xdr:colOff>
      <xdr:row>26</xdr:row>
      <xdr:rowOff>11906</xdr:rowOff>
    </xdr:from>
    <xdr:to>
      <xdr:col>6</xdr:col>
      <xdr:colOff>396874</xdr:colOff>
      <xdr:row>54</xdr:row>
      <xdr:rowOff>11906</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1.xml><?xml version="1.0" encoding="utf-8"?>
<c:userShapes xmlns:c="http://schemas.openxmlformats.org/drawingml/2006/chart">
  <cdr:absSizeAnchor xmlns:cdr="http://schemas.openxmlformats.org/drawingml/2006/chartDrawing">
    <cdr:from>
      <cdr:x>0</cdr:x>
      <cdr:y>0.00597</cdr:y>
    </cdr:from>
    <cdr:ext cx="4304506" cy="228598"/>
    <cdr:sp macro="" textlink="">
      <cdr:nvSpPr>
        <cdr:cNvPr id="4" name="TextBox 3"/>
        <cdr:cNvSpPr txBox="1">
          <a:spLocks xmlns:a="http://schemas.openxmlformats.org/drawingml/2006/main"/>
        </cdr:cNvSpPr>
      </cdr:nvSpPr>
      <cdr:spPr>
        <a:xfrm xmlns:a="http://schemas.openxmlformats.org/drawingml/2006/main">
          <a:off x="0" y="31859"/>
          <a:ext cx="4304506" cy="228598"/>
        </a:xfrm>
        <a:prstGeom xmlns:a="http://schemas.openxmlformats.org/drawingml/2006/main" prst="rect">
          <a:avLst/>
        </a:prstGeom>
        <a:solidFill xmlns:a="http://schemas.openxmlformats.org/drawingml/2006/main">
          <a:schemeClr val="bg1">
            <a:alpha val="70000"/>
          </a:schemeClr>
        </a:solidFill>
        <a:ln xmlns:a="http://schemas.openxmlformats.org/drawingml/2006/main" w="9525" cmpd="sng">
          <a:noFill/>
        </a:ln>
        <a:effectLst xmlns:a="http://schemas.openxmlformats.org/drawingml/2006/main">
          <a:outerShdw blurRad="88900" dist="25400" dir="5400000" algn="t" rotWithShape="0">
            <a:prstClr val="black">
              <a:alpha val="11000"/>
            </a:prstClr>
          </a:outerShdw>
        </a:effectLst>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400" baseline="0">
              <a:latin typeface="Franklin Gothic Medium Cond" pitchFamily="34" charset="0"/>
            </a:rPr>
            <a:t>Shelter coverage by township (# of people)</a:t>
          </a:r>
          <a:endParaRPr lang="en-GB" sz="1400">
            <a:latin typeface="Franklin Gothic Medium Cond" pitchFamily="34" charset="0"/>
          </a:endParaRPr>
        </a:p>
      </cdr:txBody>
    </cdr:sp>
  </cdr:absSizeAnchor>
</c:userShapes>
</file>

<file path=xl/drawings/drawing12.xml><?xml version="1.0" encoding="utf-8"?>
<c:userShapes xmlns:c="http://schemas.openxmlformats.org/drawingml/2006/chart">
  <cdr:absSizeAnchor xmlns:cdr="http://schemas.openxmlformats.org/drawingml/2006/chartDrawing">
    <cdr:from>
      <cdr:x>0</cdr:x>
      <cdr:y>0.00923</cdr:y>
    </cdr:from>
    <cdr:ext cx="4416424" cy="240486"/>
    <cdr:sp macro="" textlink="">
      <cdr:nvSpPr>
        <cdr:cNvPr id="2" name="TextBox 3"/>
        <cdr:cNvSpPr txBox="1">
          <a:spLocks xmlns:a="http://schemas.openxmlformats.org/drawingml/2006/main"/>
        </cdr:cNvSpPr>
      </cdr:nvSpPr>
      <cdr:spPr>
        <a:xfrm xmlns:a="http://schemas.openxmlformats.org/drawingml/2006/main">
          <a:off x="0" y="49233"/>
          <a:ext cx="4416424" cy="240486"/>
        </a:xfrm>
        <a:prstGeom xmlns:a="http://schemas.openxmlformats.org/drawingml/2006/main" prst="rect">
          <a:avLst/>
        </a:prstGeom>
        <a:solidFill xmlns:a="http://schemas.openxmlformats.org/drawingml/2006/main">
          <a:schemeClr val="bg1">
            <a:alpha val="70000"/>
          </a:schemeClr>
        </a:solidFill>
        <a:ln xmlns:a="http://schemas.openxmlformats.org/drawingml/2006/main" w="9525" cmpd="sng">
          <a:noFill/>
        </a:ln>
        <a:effectLst xmlns:a="http://schemas.openxmlformats.org/drawingml/2006/main">
          <a:outerShdw blurRad="88900" dist="25400" dir="5400000" algn="t" rotWithShape="0">
            <a:prstClr val="black">
              <a:alpha val="11000"/>
            </a:prstClr>
          </a:outerShdw>
        </a:effectLst>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400" baseline="0">
              <a:latin typeface="Franklin Gothic Medium Cond" pitchFamily="34" charset="0"/>
            </a:rPr>
            <a:t>Coverage by Shelter (# of HH) by Organization</a:t>
          </a:r>
          <a:endParaRPr lang="en-GB" sz="1400">
            <a:latin typeface="Franklin Gothic Medium Cond" pitchFamily="34" charset="0"/>
          </a:endParaRPr>
        </a:p>
      </cdr:txBody>
    </cdr:sp>
  </cdr:absSizeAnchor>
</c:userShapes>
</file>

<file path=xl/drawings/drawing13.xml><?xml version="1.0" encoding="utf-8"?>
<xdr:wsDr xmlns:xdr="http://schemas.openxmlformats.org/drawingml/2006/spreadsheetDrawing" xmlns:a="http://schemas.openxmlformats.org/drawingml/2006/main">
  <xdr:twoCellAnchor>
    <xdr:from>
      <xdr:col>0</xdr:col>
      <xdr:colOff>49227</xdr:colOff>
      <xdr:row>45</xdr:row>
      <xdr:rowOff>40527</xdr:rowOff>
    </xdr:from>
    <xdr:to>
      <xdr:col>6</xdr:col>
      <xdr:colOff>477564</xdr:colOff>
      <xdr:row>46</xdr:row>
      <xdr:rowOff>3614</xdr:rowOff>
    </xdr:to>
    <xdr:sp macro="" textlink="">
      <xdr:nvSpPr>
        <xdr:cNvPr id="48" name="TextBox 47"/>
        <xdr:cNvSpPr txBox="1"/>
      </xdr:nvSpPr>
      <xdr:spPr>
        <a:xfrm>
          <a:off x="49227" y="6879477"/>
          <a:ext cx="3895437" cy="353612"/>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800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GB" sz="1000" baseline="0">
              <a:solidFill>
                <a:schemeClr val="dk1"/>
              </a:solidFill>
              <a:effectLst/>
              <a:latin typeface="Franklin Gothic Book" pitchFamily="34" charset="0"/>
              <a:ea typeface="+mn-ea"/>
              <a:cs typeface="+mn-cs"/>
            </a:rPr>
            <a:t>Sources: UNHCR, Myanmar Information Management Unit (MIMU) &amp; other humanitarian organizations</a:t>
          </a:r>
          <a:endParaRPr lang="en-GB" sz="1000">
            <a:latin typeface="Franklin Gothic Book" pitchFamily="34" charset="0"/>
          </a:endParaRPr>
        </a:p>
      </xdr:txBody>
    </xdr:sp>
    <xdr:clientData/>
  </xdr:twoCellAnchor>
  <xdr:twoCellAnchor editAs="oneCell">
    <xdr:from>
      <xdr:col>7</xdr:col>
      <xdr:colOff>183599</xdr:colOff>
      <xdr:row>10</xdr:row>
      <xdr:rowOff>104774</xdr:rowOff>
    </xdr:from>
    <xdr:to>
      <xdr:col>13</xdr:col>
      <xdr:colOff>90859</xdr:colOff>
      <xdr:row>44</xdr:row>
      <xdr:rowOff>0</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5999" y="1333499"/>
          <a:ext cx="4622135" cy="5514976"/>
        </a:xfrm>
        <a:prstGeom prst="rect">
          <a:avLst/>
        </a:prstGeom>
        <a:ln w="28575">
          <a:solidFill>
            <a:schemeClr val="tx2">
              <a:lumMod val="40000"/>
              <a:lumOff val="60000"/>
            </a:schemeClr>
          </a:solidFill>
        </a:ln>
      </xdr:spPr>
    </xdr:pic>
    <xdr:clientData/>
  </xdr:twoCellAnchor>
  <xdr:oneCellAnchor>
    <xdr:from>
      <xdr:col>8</xdr:col>
      <xdr:colOff>504825</xdr:colOff>
      <xdr:row>12</xdr:row>
      <xdr:rowOff>28575</xdr:rowOff>
    </xdr:from>
    <xdr:ext cx="184731" cy="264560"/>
    <xdr:sp macro="" textlink="">
      <xdr:nvSpPr>
        <xdr:cNvPr id="7" name="TextBox 6"/>
        <xdr:cNvSpPr txBox="1"/>
      </xdr:nvSpPr>
      <xdr:spPr>
        <a:xfrm>
          <a:off x="4714875" y="280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8</xdr:col>
      <xdr:colOff>217597</xdr:colOff>
      <xdr:row>2</xdr:row>
      <xdr:rowOff>97424</xdr:rowOff>
    </xdr:from>
    <xdr:to>
      <xdr:col>13</xdr:col>
      <xdr:colOff>96956</xdr:colOff>
      <xdr:row>3</xdr:row>
      <xdr:rowOff>106949</xdr:rowOff>
    </xdr:to>
    <xdr:grpSp>
      <xdr:nvGrpSpPr>
        <xdr:cNvPr id="35" name="Group 34"/>
        <xdr:cNvGrpSpPr/>
      </xdr:nvGrpSpPr>
      <xdr:grpSpPr>
        <a:xfrm>
          <a:off x="5075347" y="135524"/>
          <a:ext cx="3594109" cy="304800"/>
          <a:chOff x="6500812" y="317500"/>
          <a:chExt cx="6186806" cy="575469"/>
        </a:xfrm>
      </xdr:grpSpPr>
      <xdr:pic>
        <xdr:nvPicPr>
          <xdr:cNvPr id="36" name="Picture 35"/>
          <xdr:cNvPicPr>
            <a:picLocks noChangeAspect="1"/>
          </xdr:cNvPicPr>
        </xdr:nvPicPr>
        <xdr:blipFill>
          <a:blip xmlns:r="http://schemas.openxmlformats.org/officeDocument/2006/relationships" r:embed="rId2"/>
          <a:stretch>
            <a:fillRect/>
          </a:stretch>
        </xdr:blipFill>
        <xdr:spPr>
          <a:xfrm>
            <a:off x="8886031" y="317500"/>
            <a:ext cx="3801587" cy="573015"/>
          </a:xfrm>
          <a:prstGeom prst="rect">
            <a:avLst/>
          </a:prstGeom>
        </xdr:spPr>
      </xdr:pic>
      <xdr:pic>
        <xdr:nvPicPr>
          <xdr:cNvPr id="41" name="Picture 40" descr="CCCM sdc-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139701</xdr:colOff>
      <xdr:row>5</xdr:row>
      <xdr:rowOff>47625</xdr:rowOff>
    </xdr:from>
    <xdr:to>
      <xdr:col>13</xdr:col>
      <xdr:colOff>114300</xdr:colOff>
      <xdr:row>10</xdr:row>
      <xdr:rowOff>47625</xdr:rowOff>
    </xdr:to>
    <xdr:sp macro="" textlink="">
      <xdr:nvSpPr>
        <xdr:cNvPr id="43" name="Rounded Rectangle 42"/>
        <xdr:cNvSpPr/>
      </xdr:nvSpPr>
      <xdr:spPr>
        <a:xfrm>
          <a:off x="4102101" y="600075"/>
          <a:ext cx="4689474" cy="619125"/>
        </a:xfrm>
        <a:prstGeom prst="roundRect">
          <a:avLst/>
        </a:prstGeom>
        <a:solidFill>
          <a:schemeClr val="bg1">
            <a:lumMod val="95000"/>
          </a:schemeClr>
        </a:solidFill>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lIns="18000" tIns="18000" rIns="18000" bIns="18000" rtlCol="0" anchor="t"/>
        <a:lstStyle/>
        <a:p>
          <a:pPr algn="l"/>
          <a:r>
            <a:rPr lang="en-US" sz="950">
              <a:solidFill>
                <a:sysClr val="windowText" lastClr="000000"/>
              </a:solidFill>
              <a:effectLst/>
              <a:latin typeface="+mn-lt"/>
              <a:ea typeface="+mn-ea"/>
              <a:cs typeface="+mn-cs"/>
            </a:rPr>
            <a:t>Shelter Cluster coverage is approximately 60% in Kachin and Northern Shan States. Churches and private organizations also built shelters. Some managed to build their own shelters. Due to these reasons,  the dispersal of sites and access issues, the total numbers of shelters built is not deemed totally exhaustive.</a:t>
          </a:r>
        </a:p>
        <a:p>
          <a:pPr algn="l"/>
          <a:r>
            <a:rPr lang="en-US" sz="1000">
              <a:solidFill>
                <a:schemeClr val="lt1"/>
              </a:solidFill>
              <a:effectLst/>
              <a:latin typeface="+mn-lt"/>
              <a:ea typeface="+mn-ea"/>
              <a:cs typeface="+mn-cs"/>
            </a:rPr>
            <a:t>.</a:t>
          </a:r>
          <a:endParaRPr lang="en-US" sz="1000">
            <a:solidFill>
              <a:sysClr val="windowText" lastClr="000000"/>
            </a:solidFill>
          </a:endParaRPr>
        </a:p>
      </xdr:txBody>
    </xdr:sp>
    <xdr:clientData/>
  </xdr:twoCellAnchor>
  <xdr:twoCellAnchor>
    <xdr:from>
      <xdr:col>7</xdr:col>
      <xdr:colOff>44672</xdr:colOff>
      <xdr:row>45</xdr:row>
      <xdr:rowOff>35540</xdr:rowOff>
    </xdr:from>
    <xdr:to>
      <xdr:col>10</xdr:col>
      <xdr:colOff>251594</xdr:colOff>
      <xdr:row>45</xdr:row>
      <xdr:rowOff>271627</xdr:rowOff>
    </xdr:to>
    <xdr:sp macro="" textlink="">
      <xdr:nvSpPr>
        <xdr:cNvPr id="49" name="TextBox 48"/>
        <xdr:cNvSpPr txBox="1">
          <a:spLocks/>
        </xdr:cNvSpPr>
      </xdr:nvSpPr>
      <xdr:spPr>
        <a:xfrm>
          <a:off x="4007072" y="6874490"/>
          <a:ext cx="3340647" cy="236087"/>
        </a:xfrm>
        <a:prstGeom prst="rect">
          <a:avLst/>
        </a:prstGeom>
        <a:solidFill>
          <a:srgbClr val="FDFDFD">
            <a:alpha val="92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rtlCol="0" anchor="t">
          <a:noAutofit/>
        </a:bodyPr>
        <a:lstStyle/>
        <a:p>
          <a:pPr algn="l"/>
          <a:r>
            <a:rPr lang="en-GB" sz="1000" baseline="0">
              <a:latin typeface="Franklin Gothic Medium Cond" pitchFamily="34" charset="0"/>
            </a:rPr>
            <a:t>For more information contact the Cluster Coordinator  Edward Benson</a:t>
          </a:r>
          <a:r>
            <a:rPr lang="en-GB" sz="1200" baseline="0">
              <a:latin typeface="Franklin Gothic Medium Cond" pitchFamily="34" charset="0"/>
            </a:rPr>
            <a:t>:   </a:t>
          </a:r>
          <a:endParaRPr lang="en-GB" sz="1400">
            <a:latin typeface="Franklin Gothic Medium Cond" pitchFamily="34" charset="0"/>
          </a:endParaRPr>
        </a:p>
      </xdr:txBody>
    </xdr:sp>
    <xdr:clientData/>
  </xdr:twoCellAnchor>
  <xdr:twoCellAnchor>
    <xdr:from>
      <xdr:col>10</xdr:col>
      <xdr:colOff>208238</xdr:colOff>
      <xdr:row>45</xdr:row>
      <xdr:rowOff>55119</xdr:rowOff>
    </xdr:from>
    <xdr:to>
      <xdr:col>12</xdr:col>
      <xdr:colOff>250607</xdr:colOff>
      <xdr:row>45</xdr:row>
      <xdr:rowOff>215888</xdr:rowOff>
    </xdr:to>
    <xdr:sp macro="" textlink="">
      <xdr:nvSpPr>
        <xdr:cNvPr id="50" name="TextBox 49"/>
        <xdr:cNvSpPr txBox="1"/>
      </xdr:nvSpPr>
      <xdr:spPr>
        <a:xfrm>
          <a:off x="7304363" y="6894069"/>
          <a:ext cx="1232994" cy="160769"/>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25200" rtlCol="0" anchor="t"/>
        <a:lstStyle/>
        <a:p>
          <a:pPr marL="0" marR="0" indent="0" algn="r" defTabSz="914400" eaLnBrk="1" fontAlgn="auto" latinLnBrk="0" hangingPunct="1">
            <a:lnSpc>
              <a:spcPct val="100000"/>
            </a:lnSpc>
            <a:spcBef>
              <a:spcPts val="0"/>
            </a:spcBef>
            <a:spcAft>
              <a:spcPts val="0"/>
            </a:spcAft>
            <a:buClrTx/>
            <a:buSzTx/>
            <a:buFontTx/>
            <a:buNone/>
            <a:tabLst/>
            <a:defRPr/>
          </a:pPr>
          <a:r>
            <a:rPr lang="en-GB" sz="1000" b="0" baseline="0">
              <a:solidFill>
                <a:srgbClr val="0070C0"/>
              </a:solidFill>
              <a:effectLst/>
              <a:latin typeface="Franklin Gothic Demi" pitchFamily="34" charset="0"/>
              <a:ea typeface="+mn-ea"/>
              <a:cs typeface="+mn-cs"/>
            </a:rPr>
            <a:t>benson@unhcr.org</a:t>
          </a:r>
        </a:p>
      </xdr:txBody>
    </xdr:sp>
    <xdr:clientData/>
  </xdr:twoCellAnchor>
  <xdr:twoCellAnchor>
    <xdr:from>
      <xdr:col>1</xdr:col>
      <xdr:colOff>0</xdr:colOff>
      <xdr:row>1</xdr:row>
      <xdr:rowOff>28575</xdr:rowOff>
    </xdr:from>
    <xdr:to>
      <xdr:col>2</xdr:col>
      <xdr:colOff>293775</xdr:colOff>
      <xdr:row>1</xdr:row>
      <xdr:rowOff>352575</xdr:rowOff>
    </xdr:to>
    <xdr:sp macro="" textlink="">
      <xdr:nvSpPr>
        <xdr:cNvPr id="60" name="Rounded Rectangle 59">
          <a:hlinkClick xmlns:r="http://schemas.openxmlformats.org/officeDocument/2006/relationships" r:id="rId4"/>
        </xdr:cNvPr>
        <xdr:cNvSpPr/>
      </xdr:nvSpPr>
      <xdr:spPr>
        <a:xfrm>
          <a:off x="0" y="28575"/>
          <a:ext cx="1332000" cy="32400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2</xdr:col>
      <xdr:colOff>293775</xdr:colOff>
      <xdr:row>1</xdr:row>
      <xdr:rowOff>28575</xdr:rowOff>
    </xdr:from>
    <xdr:to>
      <xdr:col>4</xdr:col>
      <xdr:colOff>139875</xdr:colOff>
      <xdr:row>1</xdr:row>
      <xdr:rowOff>352575</xdr:rowOff>
    </xdr:to>
    <xdr:sp macro="" textlink="">
      <xdr:nvSpPr>
        <xdr:cNvPr id="34" name="Rounded Rectangle 33">
          <a:hlinkClick xmlns:r="http://schemas.openxmlformats.org/officeDocument/2006/relationships" r:id="rId5"/>
        </xdr:cNvPr>
        <xdr:cNvSpPr/>
      </xdr:nvSpPr>
      <xdr:spPr>
        <a:xfrm>
          <a:off x="1332000" y="28575"/>
          <a:ext cx="1332000" cy="32400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Progress</a:t>
          </a:r>
          <a:endParaRPr lang="en-US" sz="1100" b="1"/>
        </a:p>
      </xdr:txBody>
    </xdr:sp>
    <xdr:clientData/>
  </xdr:twoCellAnchor>
  <xdr:twoCellAnchor>
    <xdr:from>
      <xdr:col>5</xdr:col>
      <xdr:colOff>643200</xdr:colOff>
      <xdr:row>1</xdr:row>
      <xdr:rowOff>26597</xdr:rowOff>
    </xdr:from>
    <xdr:to>
      <xdr:col>6</xdr:col>
      <xdr:colOff>689325</xdr:colOff>
      <xdr:row>1</xdr:row>
      <xdr:rowOff>350597</xdr:rowOff>
    </xdr:to>
    <xdr:sp macro="" textlink="">
      <xdr:nvSpPr>
        <xdr:cNvPr id="37" name="Rounded Rectangle 36">
          <a:hlinkClick xmlns:r="http://schemas.openxmlformats.org/officeDocument/2006/relationships" r:id="rId6"/>
        </xdr:cNvPr>
        <xdr:cNvSpPr/>
      </xdr:nvSpPr>
      <xdr:spPr>
        <a:xfrm>
          <a:off x="3996000" y="26597"/>
          <a:ext cx="1332000" cy="32400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Detail Sheet</a:t>
          </a:r>
          <a:endParaRPr lang="en-US" sz="1100" b="1"/>
        </a:p>
      </xdr:txBody>
    </xdr:sp>
    <xdr:clientData/>
  </xdr:twoCellAnchor>
  <xdr:twoCellAnchor>
    <xdr:from>
      <xdr:col>4</xdr:col>
      <xdr:colOff>139875</xdr:colOff>
      <xdr:row>1</xdr:row>
      <xdr:rowOff>25241</xdr:rowOff>
    </xdr:from>
    <xdr:to>
      <xdr:col>5</xdr:col>
      <xdr:colOff>643200</xdr:colOff>
      <xdr:row>1</xdr:row>
      <xdr:rowOff>349241</xdr:rowOff>
    </xdr:to>
    <xdr:sp macro="" textlink="">
      <xdr:nvSpPr>
        <xdr:cNvPr id="38" name="Rounded Rectangle 37">
          <a:hlinkClick xmlns:r="http://schemas.openxmlformats.org/officeDocument/2006/relationships" r:id="rId7"/>
        </xdr:cNvPr>
        <xdr:cNvSpPr/>
      </xdr:nvSpPr>
      <xdr:spPr>
        <a:xfrm>
          <a:off x="2664000" y="25241"/>
          <a:ext cx="1332000" cy="32400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 </a:t>
          </a:r>
          <a:r>
            <a:rPr lang="en-US" sz="1100" b="1" baseline="0"/>
            <a:t> by Agency</a:t>
          </a:r>
          <a:endParaRPr lang="en-US" sz="1100" b="1"/>
        </a:p>
      </xdr:txBody>
    </xdr:sp>
    <xdr:clientData/>
  </xdr:twoCellAnchor>
  <xdr:twoCellAnchor>
    <xdr:from>
      <xdr:col>6</xdr:col>
      <xdr:colOff>689325</xdr:colOff>
      <xdr:row>1</xdr:row>
      <xdr:rowOff>25241</xdr:rowOff>
    </xdr:from>
    <xdr:to>
      <xdr:col>7</xdr:col>
      <xdr:colOff>525900</xdr:colOff>
      <xdr:row>1</xdr:row>
      <xdr:rowOff>349241</xdr:rowOff>
    </xdr:to>
    <xdr:sp macro="" textlink="">
      <xdr:nvSpPr>
        <xdr:cNvPr id="39" name="Rounded Rectangle 38">
          <a:hlinkClick xmlns:r="http://schemas.openxmlformats.org/officeDocument/2006/relationships" r:id="rId8"/>
        </xdr:cNvPr>
        <xdr:cNvSpPr/>
      </xdr:nvSpPr>
      <xdr:spPr>
        <a:xfrm>
          <a:off x="5328000" y="25241"/>
          <a:ext cx="1332000" cy="32400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Shelter Summary</a:t>
          </a:r>
          <a:endParaRPr lang="en-US" sz="1100" b="1"/>
        </a:p>
      </xdr:txBody>
    </xdr:sp>
    <xdr:clientData/>
  </xdr:twoCellAnchor>
  <xdr:twoCellAnchor>
    <xdr:from>
      <xdr:col>0</xdr:col>
      <xdr:colOff>114300</xdr:colOff>
      <xdr:row>38</xdr:row>
      <xdr:rowOff>57150</xdr:rowOff>
    </xdr:from>
    <xdr:to>
      <xdr:col>7</xdr:col>
      <xdr:colOff>2117</xdr:colOff>
      <xdr:row>43</xdr:row>
      <xdr:rowOff>180975</xdr:rowOff>
    </xdr:to>
    <xdr:graphicFrame macro="">
      <xdr:nvGraphicFramePr>
        <xdr:cNvPr id="42"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95249</xdr:colOff>
      <xdr:row>5</xdr:row>
      <xdr:rowOff>26842</xdr:rowOff>
    </xdr:from>
    <xdr:to>
      <xdr:col>6</xdr:col>
      <xdr:colOff>482601</xdr:colOff>
      <xdr:row>11</xdr:row>
      <xdr:rowOff>66675</xdr:rowOff>
    </xdr:to>
    <xdr:grpSp>
      <xdr:nvGrpSpPr>
        <xdr:cNvPr id="4" name="Group 3"/>
        <xdr:cNvGrpSpPr/>
      </xdr:nvGrpSpPr>
      <xdr:grpSpPr>
        <a:xfrm>
          <a:off x="95249" y="636442"/>
          <a:ext cx="3759202" cy="782783"/>
          <a:chOff x="13464536" y="3170464"/>
          <a:chExt cx="5303563" cy="1295551"/>
        </a:xfrm>
      </xdr:grpSpPr>
      <xdr:grpSp>
        <xdr:nvGrpSpPr>
          <xdr:cNvPr id="3" name="Group 2"/>
          <xdr:cNvGrpSpPr/>
        </xdr:nvGrpSpPr>
        <xdr:grpSpPr>
          <a:xfrm>
            <a:off x="13464536" y="3170464"/>
            <a:ext cx="4320000" cy="1295551"/>
            <a:chOff x="13299490" y="3238499"/>
            <a:chExt cx="4320000" cy="1295551"/>
          </a:xfrm>
        </xdr:grpSpPr>
        <xdr:sp macro="" textlink="">
          <xdr:nvSpPr>
            <xdr:cNvPr id="54" name="Rectangle 53"/>
            <xdr:cNvSpPr/>
          </xdr:nvSpPr>
          <xdr:spPr>
            <a:xfrm>
              <a:off x="13299490" y="3238499"/>
              <a:ext cx="4207024" cy="324000"/>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l"/>
              <a:r>
                <a:rPr lang="en-GB" sz="1100" b="1">
                  <a:solidFill>
                    <a:schemeClr val="dk1"/>
                  </a:solidFill>
                  <a:latin typeface="+mn-lt"/>
                  <a:ea typeface="+mn-ea"/>
                  <a:cs typeface="+mn-cs"/>
                </a:rPr>
                <a:t># Camps</a:t>
              </a:r>
            </a:p>
          </xdr:txBody>
        </xdr:sp>
        <xdr:sp macro="" textlink="">
          <xdr:nvSpPr>
            <xdr:cNvPr id="62" name="Rectangle 61"/>
            <xdr:cNvSpPr/>
          </xdr:nvSpPr>
          <xdr:spPr>
            <a:xfrm>
              <a:off x="13299490" y="3562349"/>
              <a:ext cx="4206045" cy="32400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l"/>
              <a:r>
                <a:rPr lang="en-GB" sz="1100" b="1">
                  <a:solidFill>
                    <a:schemeClr val="dk1"/>
                  </a:solidFill>
                  <a:latin typeface="+mn-lt"/>
                  <a:ea typeface="+mn-ea"/>
                  <a:cs typeface="+mn-cs"/>
                </a:rPr>
                <a:t># Households</a:t>
              </a:r>
            </a:p>
          </xdr:txBody>
        </xdr:sp>
        <xdr:sp macro="" textlink="">
          <xdr:nvSpPr>
            <xdr:cNvPr id="63" name="Rectangle 62"/>
            <xdr:cNvSpPr/>
          </xdr:nvSpPr>
          <xdr:spPr>
            <a:xfrm>
              <a:off x="13299490" y="3886199"/>
              <a:ext cx="4320000" cy="324000"/>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Ins="0" rtlCol="0" anchor="ctr"/>
            <a:lstStyle/>
            <a:p>
              <a:pPr marL="0" indent="0" algn="l"/>
              <a:r>
                <a:rPr lang="en-GB" sz="1100" b="1">
                  <a:solidFill>
                    <a:schemeClr val="dk1"/>
                  </a:solidFill>
                  <a:latin typeface="+mn-lt"/>
                  <a:ea typeface="+mn-ea"/>
                  <a:cs typeface="+mn-cs"/>
                </a:rPr>
                <a:t>#</a:t>
              </a:r>
              <a:r>
                <a:rPr lang="en-GB" sz="1100" b="1" baseline="0">
                  <a:solidFill>
                    <a:schemeClr val="dk1"/>
                  </a:solidFill>
                  <a:latin typeface="+mn-lt"/>
                  <a:ea typeface="+mn-ea"/>
                  <a:cs typeface="+mn-cs"/>
                </a:rPr>
                <a:t> Households still not covered by the Cluster</a:t>
              </a:r>
              <a:endParaRPr lang="en-GB" sz="1100" b="1">
                <a:solidFill>
                  <a:schemeClr val="dk1"/>
                </a:solidFill>
                <a:latin typeface="+mn-lt"/>
                <a:ea typeface="+mn-ea"/>
                <a:cs typeface="+mn-cs"/>
              </a:endParaRPr>
            </a:p>
          </xdr:txBody>
        </xdr:sp>
        <xdr:sp macro="" textlink="">
          <xdr:nvSpPr>
            <xdr:cNvPr id="64" name="Rectangle 63"/>
            <xdr:cNvSpPr/>
          </xdr:nvSpPr>
          <xdr:spPr>
            <a:xfrm>
              <a:off x="13299490" y="4210050"/>
              <a:ext cx="4320000" cy="324000"/>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l"/>
              <a:r>
                <a:rPr lang="en-GB" sz="1100" b="1">
                  <a:solidFill>
                    <a:schemeClr val="dk1"/>
                  </a:solidFill>
                  <a:latin typeface="+mn-lt"/>
                  <a:ea typeface="+mn-ea"/>
                  <a:cs typeface="+mn-cs"/>
                </a:rPr>
                <a:t># Identified shelters to be built</a:t>
              </a:r>
              <a:r>
                <a:rPr lang="en-GB" sz="1100" b="1" baseline="0">
                  <a:solidFill>
                    <a:schemeClr val="dk1"/>
                  </a:solidFill>
                  <a:latin typeface="+mn-lt"/>
                  <a:ea typeface="+mn-ea"/>
                  <a:cs typeface="+mn-cs"/>
                </a:rPr>
                <a:t> </a:t>
              </a:r>
              <a:endParaRPr lang="en-GB" sz="1100" b="1">
                <a:solidFill>
                  <a:schemeClr val="dk1"/>
                </a:solidFill>
                <a:latin typeface="+mn-lt"/>
                <a:ea typeface="+mn-ea"/>
                <a:cs typeface="+mn-cs"/>
              </a:endParaRPr>
            </a:p>
          </xdr:txBody>
        </xdr:sp>
      </xdr:grpSp>
      <xdr:grpSp>
        <xdr:nvGrpSpPr>
          <xdr:cNvPr id="65" name="Group 64"/>
          <xdr:cNvGrpSpPr/>
        </xdr:nvGrpSpPr>
        <xdr:grpSpPr>
          <a:xfrm>
            <a:off x="17670582" y="3170464"/>
            <a:ext cx="1097517" cy="1295551"/>
            <a:chOff x="13185536" y="3238499"/>
            <a:chExt cx="1097517" cy="1295551"/>
          </a:xfrm>
        </xdr:grpSpPr>
        <xdr:sp macro="" textlink="$CG$4">
          <xdr:nvSpPr>
            <xdr:cNvPr id="66" name="Rectangle 65"/>
            <xdr:cNvSpPr/>
          </xdr:nvSpPr>
          <xdr:spPr>
            <a:xfrm>
              <a:off x="13186516" y="3238499"/>
              <a:ext cx="1096537" cy="324000"/>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r"/>
              <a:fld id="{DBCCC494-A7D7-4F64-A0D4-1D5F0C8B219D}" type="TxLink">
                <a:rPr lang="en-GB" sz="1100" b="1">
                  <a:solidFill>
                    <a:schemeClr val="dk1"/>
                  </a:solidFill>
                  <a:latin typeface="+mn-lt"/>
                  <a:ea typeface="+mn-ea"/>
                  <a:cs typeface="+mn-cs"/>
                </a:rPr>
                <a:pPr marL="0" indent="0" algn="r"/>
                <a:t> 150 </a:t>
              </a:fld>
              <a:endParaRPr lang="en-GB" sz="1100" b="1">
                <a:solidFill>
                  <a:schemeClr val="dk1"/>
                </a:solidFill>
                <a:latin typeface="+mn-lt"/>
                <a:ea typeface="+mn-ea"/>
                <a:cs typeface="+mn-cs"/>
              </a:endParaRPr>
            </a:p>
          </xdr:txBody>
        </xdr:sp>
        <xdr:sp macro="" textlink="$CG$3">
          <xdr:nvSpPr>
            <xdr:cNvPr id="67" name="Rectangle 66"/>
            <xdr:cNvSpPr/>
          </xdr:nvSpPr>
          <xdr:spPr>
            <a:xfrm>
              <a:off x="13185537" y="3562349"/>
              <a:ext cx="1097516" cy="32400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r"/>
              <a:fld id="{F2E79470-5447-4600-A2E1-F8E30C0A7E02}" type="TxLink">
                <a:rPr lang="en-GB" sz="1100" b="1">
                  <a:solidFill>
                    <a:sysClr val="windowText" lastClr="000000"/>
                  </a:solidFill>
                  <a:latin typeface="+mn-lt"/>
                  <a:ea typeface="+mn-ea"/>
                  <a:cs typeface="+mn-cs"/>
                </a:rPr>
                <a:pPr marL="0" indent="0" algn="r"/>
                <a:t> 17,957 </a:t>
              </a:fld>
              <a:endParaRPr lang="en-GB" sz="1100" b="1">
                <a:solidFill>
                  <a:sysClr val="windowText" lastClr="000000"/>
                </a:solidFill>
                <a:latin typeface="+mn-lt"/>
                <a:ea typeface="+mn-ea"/>
                <a:cs typeface="+mn-cs"/>
              </a:endParaRPr>
            </a:p>
          </xdr:txBody>
        </xdr:sp>
        <xdr:sp macro="" textlink="$CG$7">
          <xdr:nvSpPr>
            <xdr:cNvPr id="68" name="Rectangle 67"/>
            <xdr:cNvSpPr/>
          </xdr:nvSpPr>
          <xdr:spPr>
            <a:xfrm>
              <a:off x="13185536" y="3886198"/>
              <a:ext cx="1097515" cy="32400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r"/>
              <a:fld id="{2F401146-2B21-436F-8867-1B210D59D5EE}" type="TxLink">
                <a:rPr lang="en-GB" sz="1100" b="1">
                  <a:solidFill>
                    <a:schemeClr val="dk1"/>
                  </a:solidFill>
                  <a:latin typeface="+mn-lt"/>
                  <a:ea typeface="+mn-ea"/>
                  <a:cs typeface="+mn-cs"/>
                </a:rPr>
                <a:pPr marL="0" indent="0" algn="r"/>
                <a:t> 7,003 </a:t>
              </a:fld>
              <a:endParaRPr lang="en-GB" sz="1100" b="1">
                <a:solidFill>
                  <a:schemeClr val="dk1"/>
                </a:solidFill>
                <a:latin typeface="+mn-lt"/>
                <a:ea typeface="+mn-ea"/>
                <a:cs typeface="+mn-cs"/>
              </a:endParaRPr>
            </a:p>
          </xdr:txBody>
        </xdr:sp>
        <xdr:sp macro="" textlink="$CG$8">
          <xdr:nvSpPr>
            <xdr:cNvPr id="69" name="Rectangle 68"/>
            <xdr:cNvSpPr/>
          </xdr:nvSpPr>
          <xdr:spPr>
            <a:xfrm>
              <a:off x="13185536" y="4210049"/>
              <a:ext cx="1097514" cy="32400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tIns="0" rtlCol="0" anchor="ctr"/>
            <a:lstStyle/>
            <a:p>
              <a:pPr marL="0" indent="0" algn="r"/>
              <a:fld id="{10044934-3A2E-4F32-A429-28F138646F7A}" type="TxLink">
                <a:rPr lang="en-GB" sz="1100" b="1">
                  <a:solidFill>
                    <a:schemeClr val="dk1"/>
                  </a:solidFill>
                  <a:latin typeface="+mn-lt"/>
                  <a:ea typeface="+mn-ea"/>
                  <a:cs typeface="+mn-cs"/>
                </a:rPr>
                <a:pPr marL="0" indent="0" algn="r"/>
                <a:t> 6,936 </a:t>
              </a:fld>
              <a:endParaRPr lang="en-GB" sz="1100" b="1">
                <a:solidFill>
                  <a:schemeClr val="dk1"/>
                </a:solidFill>
                <a:latin typeface="+mn-lt"/>
                <a:ea typeface="+mn-ea"/>
                <a:cs typeface="+mn-cs"/>
              </a:endParaRPr>
            </a:p>
          </xdr:txBody>
        </xdr:sp>
      </xdr:grpSp>
    </xdr:grpSp>
    <xdr:clientData/>
  </xdr:twoCellAnchor>
  <mc:AlternateContent xmlns:mc="http://schemas.openxmlformats.org/markup-compatibility/2006">
    <mc:Choice xmlns:a14="http://schemas.microsoft.com/office/drawing/2010/main" Requires="a14">
      <xdr:twoCellAnchor editAs="oneCell">
        <xdr:from>
          <xdr:col>24</xdr:col>
          <xdr:colOff>0</xdr:colOff>
          <xdr:row>29</xdr:row>
          <xdr:rowOff>66675</xdr:rowOff>
        </xdr:from>
        <xdr:to>
          <xdr:col>25</xdr:col>
          <xdr:colOff>523875</xdr:colOff>
          <xdr:row>31</xdr:row>
          <xdr:rowOff>38100</xdr:rowOff>
        </xdr:to>
        <xdr:sp macro="" textlink="">
          <xdr:nvSpPr>
            <xdr:cNvPr id="9217" name="CommandButton1" hidden="1">
              <a:extLst>
                <a:ext uri="{63B3BB69-23CF-44E3-9099-C40C66FF867C}">
                  <a14:compatExt spid="_x0000_s9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987413</xdr:colOff>
      <xdr:row>37</xdr:row>
      <xdr:rowOff>121322</xdr:rowOff>
    </xdr:from>
    <xdr:to>
      <xdr:col>9</xdr:col>
      <xdr:colOff>65937</xdr:colOff>
      <xdr:row>39</xdr:row>
      <xdr:rowOff>58245</xdr:rowOff>
    </xdr:to>
    <xdr:grpSp>
      <xdr:nvGrpSpPr>
        <xdr:cNvPr id="78" name="Bhamo"/>
        <xdr:cNvGrpSpPr/>
      </xdr:nvGrpSpPr>
      <xdr:grpSpPr>
        <a:xfrm>
          <a:off x="5845163" y="5169572"/>
          <a:ext cx="145324" cy="336973"/>
          <a:chOff x="13959520" y="6486127"/>
          <a:chExt cx="235841" cy="544486"/>
        </a:xfrm>
      </xdr:grpSpPr>
      <xdr:sp macro="" textlink="">
        <xdr:nvSpPr>
          <xdr:cNvPr id="79" name="V_1"/>
          <xdr:cNvSpPr/>
        </xdr:nvSpPr>
        <xdr:spPr>
          <a:xfrm>
            <a:off x="13959520" y="6486127"/>
            <a:ext cx="54004" cy="54448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80" name="V_2"/>
          <xdr:cNvSpPr/>
        </xdr:nvSpPr>
        <xdr:spPr>
          <a:xfrm flipH="1">
            <a:off x="14050441" y="6862744"/>
            <a:ext cx="54004" cy="1678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81" name="V_3"/>
          <xdr:cNvSpPr/>
        </xdr:nvSpPr>
        <xdr:spPr>
          <a:xfrm>
            <a:off x="14141357" y="6991410"/>
            <a:ext cx="54004" cy="39184"/>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10</xdr:col>
      <xdr:colOff>483641</xdr:colOff>
      <xdr:row>25</xdr:row>
      <xdr:rowOff>34130</xdr:rowOff>
    </xdr:from>
    <xdr:to>
      <xdr:col>11</xdr:col>
      <xdr:colOff>1383</xdr:colOff>
      <xdr:row>26</xdr:row>
      <xdr:rowOff>21747</xdr:rowOff>
    </xdr:to>
    <xdr:grpSp>
      <xdr:nvGrpSpPr>
        <xdr:cNvPr id="82" name="Chipwi"/>
        <xdr:cNvGrpSpPr/>
      </xdr:nvGrpSpPr>
      <xdr:grpSpPr>
        <a:xfrm>
          <a:off x="7474991" y="3139280"/>
          <a:ext cx="127342" cy="149542"/>
          <a:chOff x="13959520" y="7679061"/>
          <a:chExt cx="235841" cy="226486"/>
        </a:xfrm>
      </xdr:grpSpPr>
      <xdr:sp macro="" textlink="">
        <xdr:nvSpPr>
          <xdr:cNvPr id="83" name="V_1"/>
          <xdr:cNvSpPr/>
        </xdr:nvSpPr>
        <xdr:spPr>
          <a:xfrm>
            <a:off x="13959520" y="7761029"/>
            <a:ext cx="53992" cy="108497"/>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84" name="V_2"/>
          <xdr:cNvSpPr/>
        </xdr:nvSpPr>
        <xdr:spPr>
          <a:xfrm flipH="1">
            <a:off x="14050442" y="7679061"/>
            <a:ext cx="53992" cy="190471"/>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85" name="V_3"/>
          <xdr:cNvSpPr/>
        </xdr:nvSpPr>
        <xdr:spPr>
          <a:xfrm>
            <a:off x="14141369" y="7905547"/>
            <a:ext cx="53992"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8</xdr:col>
      <xdr:colOff>121530</xdr:colOff>
      <xdr:row>27</xdr:row>
      <xdr:rowOff>13949</xdr:rowOff>
    </xdr:from>
    <xdr:to>
      <xdr:col>8</xdr:col>
      <xdr:colOff>373826</xdr:colOff>
      <xdr:row>28</xdr:row>
      <xdr:rowOff>35618</xdr:rowOff>
    </xdr:to>
    <xdr:grpSp>
      <xdr:nvGrpSpPr>
        <xdr:cNvPr id="86" name="Hpakant"/>
        <xdr:cNvGrpSpPr/>
      </xdr:nvGrpSpPr>
      <xdr:grpSpPr>
        <a:xfrm>
          <a:off x="4979280" y="3442949"/>
          <a:ext cx="252296" cy="183594"/>
          <a:chOff x="13959520" y="11488414"/>
          <a:chExt cx="235841" cy="346634"/>
        </a:xfrm>
      </xdr:grpSpPr>
      <xdr:sp macro="" textlink="">
        <xdr:nvSpPr>
          <xdr:cNvPr id="87" name="V_1"/>
          <xdr:cNvSpPr/>
        </xdr:nvSpPr>
        <xdr:spPr>
          <a:xfrm>
            <a:off x="13959520" y="11488414"/>
            <a:ext cx="54000" cy="312299"/>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88" name="V_2"/>
          <xdr:cNvSpPr/>
        </xdr:nvSpPr>
        <xdr:spPr>
          <a:xfrm flipH="1">
            <a:off x="14050441" y="11557594"/>
            <a:ext cx="54000" cy="243153"/>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89" name="V_3"/>
          <xdr:cNvSpPr/>
        </xdr:nvSpPr>
        <xdr:spPr>
          <a:xfrm>
            <a:off x="14141361" y="11835048"/>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10</xdr:col>
      <xdr:colOff>211924</xdr:colOff>
      <xdr:row>39</xdr:row>
      <xdr:rowOff>643751</xdr:rowOff>
    </xdr:from>
    <xdr:to>
      <xdr:col>10</xdr:col>
      <xdr:colOff>443459</xdr:colOff>
      <xdr:row>40</xdr:row>
      <xdr:rowOff>133350</xdr:rowOff>
    </xdr:to>
    <xdr:grpSp>
      <xdr:nvGrpSpPr>
        <xdr:cNvPr id="90" name="Kutkai"/>
        <xdr:cNvGrpSpPr/>
      </xdr:nvGrpSpPr>
      <xdr:grpSpPr>
        <a:xfrm>
          <a:off x="7203274" y="6092051"/>
          <a:ext cx="231535" cy="137299"/>
          <a:chOff x="13959520" y="4017200"/>
          <a:chExt cx="235841" cy="407154"/>
        </a:xfrm>
      </xdr:grpSpPr>
      <xdr:sp macro="" textlink="">
        <xdr:nvSpPr>
          <xdr:cNvPr id="91" name="V_1"/>
          <xdr:cNvSpPr/>
        </xdr:nvSpPr>
        <xdr:spPr>
          <a:xfrm>
            <a:off x="13959520" y="4202036"/>
            <a:ext cx="54000" cy="177894"/>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92" name="V_2"/>
          <xdr:cNvSpPr/>
        </xdr:nvSpPr>
        <xdr:spPr>
          <a:xfrm flipH="1">
            <a:off x="14050442" y="4017200"/>
            <a:ext cx="54000" cy="362727"/>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93" name="V_3"/>
          <xdr:cNvSpPr/>
        </xdr:nvSpPr>
        <xdr:spPr>
          <a:xfrm>
            <a:off x="14141361" y="4424354"/>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239000</xdr:colOff>
      <xdr:row>38</xdr:row>
      <xdr:rowOff>56407</xdr:rowOff>
    </xdr:from>
    <xdr:to>
      <xdr:col>9</xdr:col>
      <xdr:colOff>478319</xdr:colOff>
      <xdr:row>39</xdr:row>
      <xdr:rowOff>415461</xdr:rowOff>
    </xdr:to>
    <xdr:grpSp>
      <xdr:nvGrpSpPr>
        <xdr:cNvPr id="94" name="mansi"/>
        <xdr:cNvGrpSpPr/>
      </xdr:nvGrpSpPr>
      <xdr:grpSpPr>
        <a:xfrm>
          <a:off x="6163550" y="5314207"/>
          <a:ext cx="239319" cy="549554"/>
          <a:chOff x="13959520" y="7609349"/>
          <a:chExt cx="235841" cy="783314"/>
        </a:xfrm>
      </xdr:grpSpPr>
      <xdr:sp macro="" textlink="">
        <xdr:nvSpPr>
          <xdr:cNvPr id="95" name="V_1"/>
          <xdr:cNvSpPr/>
        </xdr:nvSpPr>
        <xdr:spPr>
          <a:xfrm>
            <a:off x="13959520" y="7609349"/>
            <a:ext cx="54000" cy="763134"/>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96" name="V_2"/>
          <xdr:cNvSpPr/>
        </xdr:nvSpPr>
        <xdr:spPr>
          <a:xfrm flipH="1">
            <a:off x="14050441" y="7747163"/>
            <a:ext cx="54000" cy="625332"/>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97" name="V_3"/>
          <xdr:cNvSpPr/>
        </xdr:nvSpPr>
        <xdr:spPr>
          <a:xfrm>
            <a:off x="14141361" y="8392663"/>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312187</xdr:colOff>
      <xdr:row>29</xdr:row>
      <xdr:rowOff>17608</xdr:rowOff>
    </xdr:from>
    <xdr:to>
      <xdr:col>9</xdr:col>
      <xdr:colOff>555819</xdr:colOff>
      <xdr:row>37</xdr:row>
      <xdr:rowOff>75865</xdr:rowOff>
    </xdr:to>
    <xdr:grpSp>
      <xdr:nvGrpSpPr>
        <xdr:cNvPr id="98" name="Momauk"/>
        <xdr:cNvGrpSpPr/>
      </xdr:nvGrpSpPr>
      <xdr:grpSpPr>
        <a:xfrm>
          <a:off x="6236737" y="3770458"/>
          <a:ext cx="243632" cy="1353657"/>
          <a:chOff x="13959520" y="6589726"/>
          <a:chExt cx="235841" cy="2318375"/>
        </a:xfrm>
      </xdr:grpSpPr>
      <xdr:sp macro="" textlink="">
        <xdr:nvSpPr>
          <xdr:cNvPr id="99" name="V_1"/>
          <xdr:cNvSpPr/>
        </xdr:nvSpPr>
        <xdr:spPr>
          <a:xfrm>
            <a:off x="13959520" y="6589726"/>
            <a:ext cx="54000" cy="2298674"/>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00" name="V_2"/>
          <xdr:cNvSpPr/>
        </xdr:nvSpPr>
        <xdr:spPr>
          <a:xfrm flipH="1">
            <a:off x="14050441" y="8316943"/>
            <a:ext cx="54000" cy="571451"/>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01" name="V_3"/>
          <xdr:cNvSpPr/>
        </xdr:nvSpPr>
        <xdr:spPr>
          <a:xfrm>
            <a:off x="14141361" y="8908101"/>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38605</xdr:colOff>
      <xdr:row>27</xdr:row>
      <xdr:rowOff>119444</xdr:rowOff>
    </xdr:from>
    <xdr:to>
      <xdr:col>9</xdr:col>
      <xdr:colOff>277429</xdr:colOff>
      <xdr:row>30</xdr:row>
      <xdr:rowOff>62477</xdr:rowOff>
    </xdr:to>
    <xdr:grpSp>
      <xdr:nvGrpSpPr>
        <xdr:cNvPr id="102" name="Myitkyina"/>
        <xdr:cNvGrpSpPr/>
      </xdr:nvGrpSpPr>
      <xdr:grpSpPr>
        <a:xfrm>
          <a:off x="5963155" y="3548444"/>
          <a:ext cx="238824" cy="428808"/>
          <a:chOff x="13959520" y="12382078"/>
          <a:chExt cx="235841" cy="619225"/>
        </a:xfrm>
      </xdr:grpSpPr>
      <xdr:sp macro="" textlink="">
        <xdr:nvSpPr>
          <xdr:cNvPr id="103" name="V_1"/>
          <xdr:cNvSpPr/>
        </xdr:nvSpPr>
        <xdr:spPr>
          <a:xfrm>
            <a:off x="13959520" y="12382078"/>
            <a:ext cx="54000" cy="58765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04" name="V_2"/>
          <xdr:cNvSpPr/>
        </xdr:nvSpPr>
        <xdr:spPr>
          <a:xfrm flipH="1">
            <a:off x="14050441" y="12715129"/>
            <a:ext cx="54000" cy="254613"/>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05" name="V_3"/>
          <xdr:cNvSpPr/>
        </xdr:nvSpPr>
        <xdr:spPr>
          <a:xfrm>
            <a:off x="14141361" y="13001303"/>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450817</xdr:colOff>
      <xdr:row>39</xdr:row>
      <xdr:rowOff>601217</xdr:rowOff>
    </xdr:from>
    <xdr:to>
      <xdr:col>9</xdr:col>
      <xdr:colOff>686658</xdr:colOff>
      <xdr:row>40</xdr:row>
      <xdr:rowOff>47625</xdr:rowOff>
    </xdr:to>
    <xdr:grpSp>
      <xdr:nvGrpSpPr>
        <xdr:cNvPr id="106" name="Namhkan"/>
        <xdr:cNvGrpSpPr/>
      </xdr:nvGrpSpPr>
      <xdr:grpSpPr>
        <a:xfrm>
          <a:off x="6375367" y="6049517"/>
          <a:ext cx="235841" cy="94108"/>
          <a:chOff x="13959520" y="4436947"/>
          <a:chExt cx="235841" cy="136994"/>
        </a:xfrm>
      </xdr:grpSpPr>
      <xdr:sp macro="" textlink="">
        <xdr:nvSpPr>
          <xdr:cNvPr id="107" name="V_1"/>
          <xdr:cNvSpPr/>
        </xdr:nvSpPr>
        <xdr:spPr>
          <a:xfrm>
            <a:off x="13959520" y="4436947"/>
            <a:ext cx="54000" cy="116153"/>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08" name="V_2"/>
          <xdr:cNvSpPr/>
        </xdr:nvSpPr>
        <xdr:spPr>
          <a:xfrm flipH="1">
            <a:off x="14050441" y="4447962"/>
            <a:ext cx="54000" cy="105144"/>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09" name="V_3"/>
          <xdr:cNvSpPr/>
        </xdr:nvSpPr>
        <xdr:spPr>
          <a:xfrm>
            <a:off x="14141361" y="4573941"/>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620603</xdr:colOff>
      <xdr:row>24</xdr:row>
      <xdr:rowOff>151035</xdr:rowOff>
    </xdr:from>
    <xdr:to>
      <xdr:col>9</xdr:col>
      <xdr:colOff>856444</xdr:colOff>
      <xdr:row>31</xdr:row>
      <xdr:rowOff>14456</xdr:rowOff>
    </xdr:to>
    <xdr:grpSp>
      <xdr:nvGrpSpPr>
        <xdr:cNvPr id="110" name="Waingmaw"/>
        <xdr:cNvGrpSpPr/>
      </xdr:nvGrpSpPr>
      <xdr:grpSpPr>
        <a:xfrm>
          <a:off x="6545153" y="3094260"/>
          <a:ext cx="235841" cy="996896"/>
          <a:chOff x="13959520" y="9807667"/>
          <a:chExt cx="235841" cy="1295319"/>
        </a:xfrm>
      </xdr:grpSpPr>
      <xdr:sp macro="" textlink="">
        <xdr:nvSpPr>
          <xdr:cNvPr id="111" name="V_1"/>
          <xdr:cNvSpPr/>
        </xdr:nvSpPr>
        <xdr:spPr>
          <a:xfrm>
            <a:off x="13959520" y="9807667"/>
            <a:ext cx="54000" cy="127821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12" name="V_2"/>
          <xdr:cNvSpPr/>
        </xdr:nvSpPr>
        <xdr:spPr>
          <a:xfrm flipH="1">
            <a:off x="14050441" y="9920561"/>
            <a:ext cx="54000" cy="1165327"/>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13" name="V_3"/>
          <xdr:cNvSpPr/>
        </xdr:nvSpPr>
        <xdr:spPr>
          <a:xfrm>
            <a:off x="14141361" y="11102986"/>
            <a:ext cx="5400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84</xdr:col>
      <xdr:colOff>3138</xdr:colOff>
      <xdr:row>37</xdr:row>
      <xdr:rowOff>150159</xdr:rowOff>
    </xdr:from>
    <xdr:to>
      <xdr:col>84</xdr:col>
      <xdr:colOff>3138</xdr:colOff>
      <xdr:row>39</xdr:row>
      <xdr:rowOff>0</xdr:rowOff>
    </xdr:to>
    <xdr:grpSp>
      <xdr:nvGrpSpPr>
        <xdr:cNvPr id="73" name="Shelter_Situation_Group"/>
        <xdr:cNvGrpSpPr/>
      </xdr:nvGrpSpPr>
      <xdr:grpSpPr>
        <a:xfrm>
          <a:off x="54171813" y="5198409"/>
          <a:ext cx="0" cy="249891"/>
          <a:chOff x="13959520" y="5708810"/>
          <a:chExt cx="235841" cy="360001"/>
        </a:xfrm>
      </xdr:grpSpPr>
      <xdr:sp macro="" textlink="">
        <xdr:nvSpPr>
          <xdr:cNvPr id="114" name="V_1"/>
          <xdr:cNvSpPr/>
        </xdr:nvSpPr>
        <xdr:spPr>
          <a:xfrm>
            <a:off x="13959520" y="5708811"/>
            <a:ext cx="54000" cy="3600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15" name="V_2"/>
          <xdr:cNvSpPr/>
        </xdr:nvSpPr>
        <xdr:spPr>
          <a:xfrm flipH="1">
            <a:off x="14050441" y="5708810"/>
            <a:ext cx="54000" cy="36000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16" name="V_3"/>
          <xdr:cNvSpPr/>
        </xdr:nvSpPr>
        <xdr:spPr>
          <a:xfrm>
            <a:off x="14141361" y="5708810"/>
            <a:ext cx="54000" cy="3600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83</xdr:col>
      <xdr:colOff>5827</xdr:colOff>
      <xdr:row>38</xdr:row>
      <xdr:rowOff>0</xdr:rowOff>
    </xdr:from>
    <xdr:to>
      <xdr:col>84</xdr:col>
      <xdr:colOff>405</xdr:colOff>
      <xdr:row>39</xdr:row>
      <xdr:rowOff>0</xdr:rowOff>
    </xdr:to>
    <xdr:grpSp>
      <xdr:nvGrpSpPr>
        <xdr:cNvPr id="117" name="Mansi"/>
        <xdr:cNvGrpSpPr/>
      </xdr:nvGrpSpPr>
      <xdr:grpSpPr>
        <a:xfrm>
          <a:off x="53174377" y="5257800"/>
          <a:ext cx="994703" cy="190500"/>
          <a:chOff x="13959520" y="5708810"/>
          <a:chExt cx="235841" cy="360001"/>
        </a:xfrm>
      </xdr:grpSpPr>
      <xdr:sp macro="" textlink="">
        <xdr:nvSpPr>
          <xdr:cNvPr id="118" name="V_1"/>
          <xdr:cNvSpPr/>
        </xdr:nvSpPr>
        <xdr:spPr>
          <a:xfrm>
            <a:off x="13959520" y="5708811"/>
            <a:ext cx="54000" cy="3600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19" name="V_2"/>
          <xdr:cNvSpPr/>
        </xdr:nvSpPr>
        <xdr:spPr>
          <a:xfrm flipH="1">
            <a:off x="14050441" y="5708810"/>
            <a:ext cx="54000" cy="36000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20" name="V_3"/>
          <xdr:cNvSpPr/>
        </xdr:nvSpPr>
        <xdr:spPr>
          <a:xfrm>
            <a:off x="14141361" y="5708810"/>
            <a:ext cx="54000" cy="3600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7</xdr:col>
      <xdr:colOff>179294</xdr:colOff>
      <xdr:row>10</xdr:row>
      <xdr:rowOff>114300</xdr:rowOff>
    </xdr:from>
    <xdr:to>
      <xdr:col>8</xdr:col>
      <xdr:colOff>939351</xdr:colOff>
      <xdr:row>24</xdr:row>
      <xdr:rowOff>71958</xdr:rowOff>
    </xdr:to>
    <xdr:graphicFrame macro="">
      <xdr:nvGraphicFramePr>
        <xdr:cNvPr id="123" name="Chart 1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169</xdr:col>
      <xdr:colOff>158676</xdr:colOff>
      <xdr:row>39</xdr:row>
      <xdr:rowOff>0</xdr:rowOff>
    </xdr:from>
    <xdr:to>
      <xdr:col>169</xdr:col>
      <xdr:colOff>158676</xdr:colOff>
      <xdr:row>39</xdr:row>
      <xdr:rowOff>146583</xdr:rowOff>
    </xdr:to>
    <xdr:grpSp>
      <xdr:nvGrpSpPr>
        <xdr:cNvPr id="121" name="Hsipaw"/>
        <xdr:cNvGrpSpPr/>
      </xdr:nvGrpSpPr>
      <xdr:grpSpPr>
        <a:xfrm>
          <a:off x="105914751" y="5448300"/>
          <a:ext cx="0" cy="146583"/>
          <a:chOff x="51590538" y="6415660"/>
          <a:chExt cx="0" cy="346849"/>
        </a:xfrm>
      </xdr:grpSpPr>
      <xdr:sp macro="" textlink="">
        <xdr:nvSpPr>
          <xdr:cNvPr id="122" name="V_1"/>
          <xdr:cNvSpPr/>
        </xdr:nvSpPr>
        <xdr:spPr>
          <a:xfrm>
            <a:off x="51590538" y="6415660"/>
            <a:ext cx="0" cy="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24" name="V_2"/>
          <xdr:cNvSpPr/>
        </xdr:nvSpPr>
        <xdr:spPr>
          <a:xfrm flipH="1">
            <a:off x="51590538" y="6746846"/>
            <a:ext cx="0" cy="15663"/>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25" name="V_3"/>
          <xdr:cNvSpPr/>
        </xdr:nvSpPr>
        <xdr:spPr>
          <a:xfrm>
            <a:off x="51590538" y="6762508"/>
            <a:ext cx="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28</xdr:col>
      <xdr:colOff>304800</xdr:colOff>
      <xdr:row>0</xdr:row>
      <xdr:rowOff>0</xdr:rowOff>
    </xdr:from>
    <xdr:to>
      <xdr:col>28</xdr:col>
      <xdr:colOff>304800</xdr:colOff>
      <xdr:row>2</xdr:row>
      <xdr:rowOff>112400</xdr:rowOff>
    </xdr:to>
    <xdr:grpSp>
      <xdr:nvGrpSpPr>
        <xdr:cNvPr id="126" name="Other Townships"/>
        <xdr:cNvGrpSpPr/>
      </xdr:nvGrpSpPr>
      <xdr:grpSpPr>
        <a:xfrm>
          <a:off x="19945350" y="0"/>
          <a:ext cx="0" cy="150500"/>
          <a:chOff x="8839200" y="4329148"/>
          <a:chExt cx="0" cy="267435"/>
        </a:xfrm>
      </xdr:grpSpPr>
      <xdr:sp macro="" textlink="">
        <xdr:nvSpPr>
          <xdr:cNvPr id="127" name="V_1"/>
          <xdr:cNvSpPr/>
        </xdr:nvSpPr>
        <xdr:spPr>
          <a:xfrm>
            <a:off x="8839200" y="4329148"/>
            <a:ext cx="0" cy="16095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28" name="V_2"/>
          <xdr:cNvSpPr/>
        </xdr:nvSpPr>
        <xdr:spPr>
          <a:xfrm flipH="1">
            <a:off x="8839200" y="4329150"/>
            <a:ext cx="0" cy="267433"/>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29" name="V_3"/>
          <xdr:cNvSpPr/>
        </xdr:nvSpPr>
        <xdr:spPr>
          <a:xfrm>
            <a:off x="8839200" y="4329151"/>
            <a:ext cx="0"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28</xdr:col>
      <xdr:colOff>304800</xdr:colOff>
      <xdr:row>0</xdr:row>
      <xdr:rowOff>0</xdr:rowOff>
    </xdr:from>
    <xdr:to>
      <xdr:col>29</xdr:col>
      <xdr:colOff>171450</xdr:colOff>
      <xdr:row>31</xdr:row>
      <xdr:rowOff>18627</xdr:rowOff>
    </xdr:to>
    <xdr:grpSp>
      <xdr:nvGrpSpPr>
        <xdr:cNvPr id="130" name="Total"/>
        <xdr:cNvGrpSpPr/>
      </xdr:nvGrpSpPr>
      <xdr:grpSpPr>
        <a:xfrm>
          <a:off x="19945350" y="0"/>
          <a:ext cx="476250" cy="4095327"/>
          <a:chOff x="8839200" y="4326168"/>
          <a:chExt cx="0" cy="4509416"/>
        </a:xfrm>
      </xdr:grpSpPr>
      <xdr:sp macro="" textlink="">
        <xdr:nvSpPr>
          <xdr:cNvPr id="131" name="V_1"/>
          <xdr:cNvSpPr/>
        </xdr:nvSpPr>
        <xdr:spPr>
          <a:xfrm>
            <a:off x="8839200" y="4326168"/>
            <a:ext cx="0" cy="450941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sp macro="" textlink="">
        <xdr:nvSpPr>
          <xdr:cNvPr id="132" name="V_2"/>
          <xdr:cNvSpPr/>
        </xdr:nvSpPr>
        <xdr:spPr>
          <a:xfrm flipH="1">
            <a:off x="8839200" y="4326168"/>
            <a:ext cx="0" cy="29508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133" name="V_3"/>
          <xdr:cNvSpPr/>
        </xdr:nvSpPr>
        <xdr:spPr>
          <a:xfrm>
            <a:off x="8839200" y="4326168"/>
            <a:ext cx="0" cy="2763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279398</xdr:colOff>
      <xdr:row>0</xdr:row>
      <xdr:rowOff>25403</xdr:rowOff>
    </xdr:from>
    <xdr:to>
      <xdr:col>7</xdr:col>
      <xdr:colOff>549400</xdr:colOff>
      <xdr:row>1</xdr:row>
      <xdr:rowOff>3940</xdr:rowOff>
    </xdr:to>
    <xdr:sp macro="" textlink="">
      <xdr:nvSpPr>
        <xdr:cNvPr id="7" name="Rounded Rectangle 6">
          <a:hlinkClick xmlns:r="http://schemas.openxmlformats.org/officeDocument/2006/relationships" r:id="rId1"/>
        </xdr:cNvPr>
        <xdr:cNvSpPr/>
      </xdr:nvSpPr>
      <xdr:spPr>
        <a:xfrm>
          <a:off x="4597398" y="25403"/>
          <a:ext cx="1444752" cy="438912"/>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Township</a:t>
          </a:r>
          <a:endParaRPr lang="en-US" sz="1100" b="1"/>
        </a:p>
      </xdr:txBody>
    </xdr:sp>
    <xdr:clientData/>
  </xdr:twoCellAnchor>
  <xdr:twoCellAnchor>
    <xdr:from>
      <xdr:col>15</xdr:col>
      <xdr:colOff>202406</xdr:colOff>
      <xdr:row>1</xdr:row>
      <xdr:rowOff>257969</xdr:rowOff>
    </xdr:from>
    <xdr:to>
      <xdr:col>25</xdr:col>
      <xdr:colOff>91281</xdr:colOff>
      <xdr:row>2</xdr:row>
      <xdr:rowOff>37307</xdr:rowOff>
    </xdr:to>
    <xdr:grpSp>
      <xdr:nvGrpSpPr>
        <xdr:cNvPr id="10" name="Group 9"/>
        <xdr:cNvGrpSpPr/>
      </xdr:nvGrpSpPr>
      <xdr:grpSpPr>
        <a:xfrm>
          <a:off x="7643812" y="710407"/>
          <a:ext cx="5449094" cy="612775"/>
          <a:chOff x="6500812" y="317500"/>
          <a:chExt cx="6186806" cy="575469"/>
        </a:xfrm>
      </xdr:grpSpPr>
      <xdr:pic>
        <xdr:nvPicPr>
          <xdr:cNvPr id="11" name="Picture 10"/>
          <xdr:cNvPicPr>
            <a:picLocks noChangeAspect="1"/>
          </xdr:cNvPicPr>
        </xdr:nvPicPr>
        <xdr:blipFill>
          <a:blip xmlns:r="http://schemas.openxmlformats.org/officeDocument/2006/relationships" r:embed="rId2"/>
          <a:stretch>
            <a:fillRect/>
          </a:stretch>
        </xdr:blipFill>
        <xdr:spPr>
          <a:xfrm>
            <a:off x="8886031" y="317500"/>
            <a:ext cx="3801587" cy="573015"/>
          </a:xfrm>
          <a:prstGeom prst="rect">
            <a:avLst/>
          </a:prstGeom>
        </xdr:spPr>
      </xdr:pic>
      <xdr:pic>
        <xdr:nvPicPr>
          <xdr:cNvPr id="12" name="Picture 11" descr="CCCM sdc-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0</xdr:row>
      <xdr:rowOff>19050</xdr:rowOff>
    </xdr:from>
    <xdr:to>
      <xdr:col>1</xdr:col>
      <xdr:colOff>692277</xdr:colOff>
      <xdr:row>1</xdr:row>
      <xdr:rowOff>64770</xdr:rowOff>
    </xdr:to>
    <xdr:sp macro="" textlink="">
      <xdr:nvSpPr>
        <xdr:cNvPr id="17" name="Rounded Rectangle 16">
          <a:hlinkClick xmlns:r="http://schemas.openxmlformats.org/officeDocument/2006/relationships" r:id="rId4"/>
        </xdr:cNvPr>
        <xdr:cNvSpPr/>
      </xdr:nvSpPr>
      <xdr:spPr>
        <a:xfrm>
          <a:off x="0" y="19050"/>
          <a:ext cx="1444752" cy="50292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16</xdr:col>
      <xdr:colOff>380206</xdr:colOff>
      <xdr:row>0</xdr:row>
      <xdr:rowOff>19050</xdr:rowOff>
    </xdr:from>
    <xdr:to>
      <xdr:col>19</xdr:col>
      <xdr:colOff>53308</xdr:colOff>
      <xdr:row>1</xdr:row>
      <xdr:rowOff>64770</xdr:rowOff>
    </xdr:to>
    <xdr:sp macro="" textlink="">
      <xdr:nvSpPr>
        <xdr:cNvPr id="13" name="Rounded Rectangle 12">
          <a:hlinkClick xmlns:r="http://schemas.openxmlformats.org/officeDocument/2006/relationships" r:id="rId5"/>
        </xdr:cNvPr>
        <xdr:cNvSpPr/>
      </xdr:nvSpPr>
      <xdr:spPr>
        <a:xfrm>
          <a:off x="5609431" y="19050"/>
          <a:ext cx="1444752" cy="50292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Detail Sheet</a:t>
          </a:r>
          <a:endParaRPr lang="en-US" sz="1100" b="1"/>
        </a:p>
      </xdr:txBody>
    </xdr:sp>
    <xdr:clientData/>
  </xdr:twoCellAnchor>
  <xdr:twoCellAnchor>
    <xdr:from>
      <xdr:col>2</xdr:col>
      <xdr:colOff>286277</xdr:colOff>
      <xdr:row>0</xdr:row>
      <xdr:rowOff>19050</xdr:rowOff>
    </xdr:from>
    <xdr:to>
      <xdr:col>4</xdr:col>
      <xdr:colOff>87967</xdr:colOff>
      <xdr:row>1</xdr:row>
      <xdr:rowOff>64770</xdr:rowOff>
    </xdr:to>
    <xdr:sp macro="" textlink="">
      <xdr:nvSpPr>
        <xdr:cNvPr id="14" name="Rounded Rectangle 13">
          <a:hlinkClick xmlns:r="http://schemas.openxmlformats.org/officeDocument/2006/relationships" r:id="rId6"/>
        </xdr:cNvPr>
        <xdr:cNvSpPr/>
      </xdr:nvSpPr>
      <xdr:spPr>
        <a:xfrm>
          <a:off x="1607871" y="19050"/>
          <a:ext cx="956596" cy="49815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Summary</a:t>
          </a:r>
          <a:endParaRPr lang="en-US" sz="1100" b="1"/>
        </a:p>
      </xdr:txBody>
    </xdr:sp>
    <xdr:clientData/>
  </xdr:twoCellAnchor>
  <xdr:twoCellAnchor>
    <xdr:from>
      <xdr:col>4</xdr:col>
      <xdr:colOff>386817</xdr:colOff>
      <xdr:row>0</xdr:row>
      <xdr:rowOff>19050</xdr:rowOff>
    </xdr:from>
    <xdr:to>
      <xdr:col>16</xdr:col>
      <xdr:colOff>81350</xdr:colOff>
      <xdr:row>1</xdr:row>
      <xdr:rowOff>64770</xdr:rowOff>
    </xdr:to>
    <xdr:sp macro="" textlink="">
      <xdr:nvSpPr>
        <xdr:cNvPr id="15" name="Rounded Rectangle 14">
          <a:hlinkClick xmlns:r="http://schemas.openxmlformats.org/officeDocument/2006/relationships" r:id="rId7"/>
        </xdr:cNvPr>
        <xdr:cNvSpPr/>
      </xdr:nvSpPr>
      <xdr:spPr>
        <a:xfrm>
          <a:off x="2863317" y="19050"/>
          <a:ext cx="1623346" cy="49815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Agency</a:t>
          </a:r>
          <a:endParaRPr lang="en-US" sz="1100" b="1"/>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1942042</xdr:colOff>
      <xdr:row>0</xdr:row>
      <xdr:rowOff>285750</xdr:rowOff>
    </xdr:from>
    <xdr:to>
      <xdr:col>17</xdr:col>
      <xdr:colOff>105833</xdr:colOff>
      <xdr:row>2</xdr:row>
      <xdr:rowOff>95250</xdr:rowOff>
    </xdr:to>
    <xdr:grpSp>
      <xdr:nvGrpSpPr>
        <xdr:cNvPr id="10" name="Group 9"/>
        <xdr:cNvGrpSpPr/>
      </xdr:nvGrpSpPr>
      <xdr:grpSpPr>
        <a:xfrm>
          <a:off x="7380817" y="285750"/>
          <a:ext cx="7574491" cy="685800"/>
          <a:chOff x="6500812" y="317500"/>
          <a:chExt cx="6186806" cy="575469"/>
        </a:xfrm>
      </xdr:grpSpPr>
      <xdr:pic>
        <xdr:nvPicPr>
          <xdr:cNvPr id="11" name="Picture 10"/>
          <xdr:cNvPicPr>
            <a:picLocks noChangeAspect="1"/>
          </xdr:cNvPicPr>
        </xdr:nvPicPr>
        <xdr:blipFill>
          <a:blip xmlns:r="http://schemas.openxmlformats.org/officeDocument/2006/relationships" r:embed="rId1"/>
          <a:stretch>
            <a:fillRect/>
          </a:stretch>
        </xdr:blipFill>
        <xdr:spPr>
          <a:xfrm>
            <a:off x="8886031" y="317500"/>
            <a:ext cx="3801587" cy="573015"/>
          </a:xfrm>
          <a:prstGeom prst="rect">
            <a:avLst/>
          </a:prstGeom>
        </xdr:spPr>
      </xdr:pic>
      <xdr:pic>
        <xdr:nvPicPr>
          <xdr:cNvPr id="13" name="Picture 12" descr="CCCM sdc-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0</xdr:row>
      <xdr:rowOff>9525</xdr:rowOff>
    </xdr:from>
    <xdr:to>
      <xdr:col>1</xdr:col>
      <xdr:colOff>658939</xdr:colOff>
      <xdr:row>1</xdr:row>
      <xdr:rowOff>50863</xdr:rowOff>
    </xdr:to>
    <xdr:sp macro="" textlink="">
      <xdr:nvSpPr>
        <xdr:cNvPr id="19" name="Rounded Rectangle 18">
          <a:hlinkClick xmlns:r="http://schemas.openxmlformats.org/officeDocument/2006/relationships" r:id="rId3"/>
        </xdr:cNvPr>
        <xdr:cNvSpPr/>
      </xdr:nvSpPr>
      <xdr:spPr>
        <a:xfrm>
          <a:off x="0" y="9525"/>
          <a:ext cx="1439989" cy="49853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5</xdr:col>
      <xdr:colOff>661181</xdr:colOff>
      <xdr:row>0</xdr:row>
      <xdr:rowOff>9525</xdr:rowOff>
    </xdr:from>
    <xdr:to>
      <xdr:col>6</xdr:col>
      <xdr:colOff>1079487</xdr:colOff>
      <xdr:row>1</xdr:row>
      <xdr:rowOff>50863</xdr:rowOff>
    </xdr:to>
    <xdr:sp macro="" textlink="">
      <xdr:nvSpPr>
        <xdr:cNvPr id="20" name="Rounded Rectangle 19">
          <a:hlinkClick xmlns:r="http://schemas.openxmlformats.org/officeDocument/2006/relationships" r:id="rId4"/>
        </xdr:cNvPr>
        <xdr:cNvSpPr/>
      </xdr:nvSpPr>
      <xdr:spPr>
        <a:xfrm>
          <a:off x="5275514" y="9525"/>
          <a:ext cx="1339056" cy="496421"/>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Detail Sheet</a:t>
          </a:r>
          <a:endParaRPr lang="en-US" sz="1100" b="1"/>
        </a:p>
      </xdr:txBody>
    </xdr:sp>
    <xdr:clientData/>
  </xdr:twoCellAnchor>
  <xdr:twoCellAnchor>
    <xdr:from>
      <xdr:col>2</xdr:col>
      <xdr:colOff>47095</xdr:colOff>
      <xdr:row>0</xdr:row>
      <xdr:rowOff>9525</xdr:rowOff>
    </xdr:from>
    <xdr:to>
      <xdr:col>3</xdr:col>
      <xdr:colOff>479816</xdr:colOff>
      <xdr:row>1</xdr:row>
      <xdr:rowOff>50863</xdr:rowOff>
    </xdr:to>
    <xdr:sp macro="" textlink="">
      <xdr:nvSpPr>
        <xdr:cNvPr id="21" name="Rounded Rectangle 20">
          <a:hlinkClick xmlns:r="http://schemas.openxmlformats.org/officeDocument/2006/relationships" r:id="rId5"/>
        </xdr:cNvPr>
        <xdr:cNvSpPr/>
      </xdr:nvSpPr>
      <xdr:spPr>
        <a:xfrm>
          <a:off x="1828270" y="9525"/>
          <a:ext cx="1442371" cy="49853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Summary</a:t>
          </a:r>
          <a:endParaRPr lang="en-US" sz="1100" b="1"/>
        </a:p>
      </xdr:txBody>
    </xdr:sp>
    <xdr:clientData/>
  </xdr:twoCellAnchor>
  <xdr:twoCellAnchor>
    <xdr:from>
      <xdr:col>4</xdr:col>
      <xdr:colOff>263</xdr:colOff>
      <xdr:row>0</xdr:row>
      <xdr:rowOff>9525</xdr:rowOff>
    </xdr:from>
    <xdr:to>
      <xdr:col>5</xdr:col>
      <xdr:colOff>275166</xdr:colOff>
      <xdr:row>1</xdr:row>
      <xdr:rowOff>50863</xdr:rowOff>
    </xdr:to>
    <xdr:sp macro="" textlink="">
      <xdr:nvSpPr>
        <xdr:cNvPr id="22" name="Rounded Rectangle 21">
          <a:hlinkClick xmlns:r="http://schemas.openxmlformats.org/officeDocument/2006/relationships" r:id="rId6"/>
        </xdr:cNvPr>
        <xdr:cNvSpPr/>
      </xdr:nvSpPr>
      <xdr:spPr>
        <a:xfrm>
          <a:off x="3662096" y="9525"/>
          <a:ext cx="1227403" cy="496421"/>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Agency</a:t>
          </a:r>
          <a:endParaRPr lang="en-US" sz="1100" b="1"/>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79375</xdr:colOff>
      <xdr:row>4</xdr:row>
      <xdr:rowOff>0</xdr:rowOff>
    </xdr:from>
    <xdr:to>
      <xdr:col>33</xdr:col>
      <xdr:colOff>431799</xdr:colOff>
      <xdr:row>4</xdr:row>
      <xdr:rowOff>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889000</xdr:colOff>
      <xdr:row>0</xdr:row>
      <xdr:rowOff>317500</xdr:rowOff>
    </xdr:from>
    <xdr:to>
      <xdr:col>13</xdr:col>
      <xdr:colOff>360362</xdr:colOff>
      <xdr:row>2</xdr:row>
      <xdr:rowOff>136071</xdr:rowOff>
    </xdr:to>
    <xdr:grpSp>
      <xdr:nvGrpSpPr>
        <xdr:cNvPr id="16" name="Group 15"/>
        <xdr:cNvGrpSpPr/>
      </xdr:nvGrpSpPr>
      <xdr:grpSpPr>
        <a:xfrm>
          <a:off x="9528735" y="317500"/>
          <a:ext cx="2463333" cy="703836"/>
          <a:chOff x="6500812" y="317500"/>
          <a:chExt cx="6186806" cy="575469"/>
        </a:xfrm>
      </xdr:grpSpPr>
      <xdr:pic>
        <xdr:nvPicPr>
          <xdr:cNvPr id="17" name="Picture 16"/>
          <xdr:cNvPicPr>
            <a:picLocks noChangeAspect="1"/>
          </xdr:cNvPicPr>
        </xdr:nvPicPr>
        <xdr:blipFill>
          <a:blip xmlns:r="http://schemas.openxmlformats.org/officeDocument/2006/relationships" r:embed="rId2"/>
          <a:stretch>
            <a:fillRect/>
          </a:stretch>
        </xdr:blipFill>
        <xdr:spPr>
          <a:xfrm>
            <a:off x="8886031" y="317500"/>
            <a:ext cx="3801587" cy="573015"/>
          </a:xfrm>
          <a:prstGeom prst="rect">
            <a:avLst/>
          </a:prstGeom>
        </xdr:spPr>
      </xdr:pic>
      <xdr:pic>
        <xdr:nvPicPr>
          <xdr:cNvPr id="18" name="Picture 17" descr="CCCM sdc-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0</xdr:row>
      <xdr:rowOff>9525</xdr:rowOff>
    </xdr:from>
    <xdr:to>
      <xdr:col>1</xdr:col>
      <xdr:colOff>130302</xdr:colOff>
      <xdr:row>1</xdr:row>
      <xdr:rowOff>55245</xdr:rowOff>
    </xdr:to>
    <xdr:sp macro="" textlink="">
      <xdr:nvSpPr>
        <xdr:cNvPr id="20" name="Rounded Rectangle 19">
          <a:hlinkClick xmlns:r="http://schemas.openxmlformats.org/officeDocument/2006/relationships" r:id="rId4"/>
        </xdr:cNvPr>
        <xdr:cNvSpPr/>
      </xdr:nvSpPr>
      <xdr:spPr>
        <a:xfrm>
          <a:off x="0" y="9525"/>
          <a:ext cx="1444752" cy="50292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5</xdr:col>
      <xdr:colOff>208756</xdr:colOff>
      <xdr:row>0</xdr:row>
      <xdr:rowOff>9525</xdr:rowOff>
    </xdr:from>
    <xdr:to>
      <xdr:col>5</xdr:col>
      <xdr:colOff>1653508</xdr:colOff>
      <xdr:row>1</xdr:row>
      <xdr:rowOff>55245</xdr:rowOff>
    </xdr:to>
    <xdr:sp macro="" textlink="">
      <xdr:nvSpPr>
        <xdr:cNvPr id="13" name="Rounded Rectangle 12">
          <a:hlinkClick xmlns:r="http://schemas.openxmlformats.org/officeDocument/2006/relationships" r:id="rId5"/>
        </xdr:cNvPr>
        <xdr:cNvSpPr/>
      </xdr:nvSpPr>
      <xdr:spPr>
        <a:xfrm>
          <a:off x="5657056" y="9525"/>
          <a:ext cx="1444752" cy="50292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Detail Sheet</a:t>
          </a:r>
          <a:endParaRPr lang="en-US" sz="1100" b="1"/>
        </a:p>
      </xdr:txBody>
    </xdr:sp>
    <xdr:clientData/>
  </xdr:twoCellAnchor>
  <xdr:twoCellAnchor>
    <xdr:from>
      <xdr:col>1</xdr:col>
      <xdr:colOff>571235</xdr:colOff>
      <xdr:row>0</xdr:row>
      <xdr:rowOff>9525</xdr:rowOff>
    </xdr:from>
    <xdr:to>
      <xdr:col>2</xdr:col>
      <xdr:colOff>739637</xdr:colOff>
      <xdr:row>1</xdr:row>
      <xdr:rowOff>55245</xdr:rowOff>
    </xdr:to>
    <xdr:sp macro="" textlink="">
      <xdr:nvSpPr>
        <xdr:cNvPr id="14" name="Rounded Rectangle 13">
          <a:hlinkClick xmlns:r="http://schemas.openxmlformats.org/officeDocument/2006/relationships" r:id="rId6"/>
        </xdr:cNvPr>
        <xdr:cNvSpPr/>
      </xdr:nvSpPr>
      <xdr:spPr>
        <a:xfrm>
          <a:off x="1885685" y="9525"/>
          <a:ext cx="1444752" cy="50292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Summary</a:t>
          </a:r>
          <a:endParaRPr lang="en-US" sz="1100" b="1"/>
        </a:p>
      </xdr:txBody>
    </xdr:sp>
    <xdr:clientData/>
  </xdr:twoCellAnchor>
  <xdr:twoCellAnchor>
    <xdr:from>
      <xdr:col>3</xdr:col>
      <xdr:colOff>247120</xdr:colOff>
      <xdr:row>0</xdr:row>
      <xdr:rowOff>9525</xdr:rowOff>
    </xdr:from>
    <xdr:to>
      <xdr:col>4</xdr:col>
      <xdr:colOff>891772</xdr:colOff>
      <xdr:row>1</xdr:row>
      <xdr:rowOff>55245</xdr:rowOff>
    </xdr:to>
    <xdr:sp macro="" textlink="">
      <xdr:nvSpPr>
        <xdr:cNvPr id="15" name="Rounded Rectangle 14">
          <a:hlinkClick xmlns:r="http://schemas.openxmlformats.org/officeDocument/2006/relationships" r:id="rId7"/>
        </xdr:cNvPr>
        <xdr:cNvSpPr/>
      </xdr:nvSpPr>
      <xdr:spPr>
        <a:xfrm>
          <a:off x="3771370" y="9525"/>
          <a:ext cx="1444752" cy="50292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Agency</a:t>
          </a:r>
          <a:endParaRPr lang="en-US" sz="1100" b="1"/>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xdr:colOff>
      <xdr:row>18</xdr:row>
      <xdr:rowOff>47626</xdr:rowOff>
    </xdr:from>
    <xdr:to>
      <xdr:col>10</xdr:col>
      <xdr:colOff>19050</xdr:colOff>
      <xdr:row>25</xdr:row>
      <xdr:rowOff>48453</xdr:rowOff>
    </xdr:to>
    <xdr:graphicFrame macro="">
      <xdr:nvGraphicFramePr>
        <xdr:cNvPr id="1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1050925</xdr:colOff>
      <xdr:row>3</xdr:row>
      <xdr:rowOff>1</xdr:rowOff>
    </xdr:from>
    <xdr:to>
      <xdr:col>18</xdr:col>
      <xdr:colOff>438150</xdr:colOff>
      <xdr:row>4</xdr:row>
      <xdr:rowOff>129722</xdr:rowOff>
    </xdr:to>
    <xdr:grpSp>
      <xdr:nvGrpSpPr>
        <xdr:cNvPr id="22" name="Group 21"/>
        <xdr:cNvGrpSpPr/>
      </xdr:nvGrpSpPr>
      <xdr:grpSpPr>
        <a:xfrm>
          <a:off x="7204075" y="628651"/>
          <a:ext cx="3511550" cy="444046"/>
          <a:chOff x="6500812" y="317500"/>
          <a:chExt cx="6186806" cy="575469"/>
        </a:xfrm>
      </xdr:grpSpPr>
      <xdr:pic>
        <xdr:nvPicPr>
          <xdr:cNvPr id="23" name="Picture 22"/>
          <xdr:cNvPicPr>
            <a:picLocks noChangeAspect="1"/>
          </xdr:cNvPicPr>
        </xdr:nvPicPr>
        <xdr:blipFill>
          <a:blip xmlns:r="http://schemas.openxmlformats.org/officeDocument/2006/relationships" r:embed="rId2"/>
          <a:stretch>
            <a:fillRect/>
          </a:stretch>
        </xdr:blipFill>
        <xdr:spPr>
          <a:xfrm>
            <a:off x="8886031" y="317500"/>
            <a:ext cx="3801587" cy="573015"/>
          </a:xfrm>
          <a:prstGeom prst="rect">
            <a:avLst/>
          </a:prstGeom>
        </xdr:spPr>
      </xdr:pic>
      <xdr:pic>
        <xdr:nvPicPr>
          <xdr:cNvPr id="24" name="Picture 23" descr="CCCM sdc-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0</xdr:colOff>
      <xdr:row>5</xdr:row>
      <xdr:rowOff>9525</xdr:rowOff>
    </xdr:from>
    <xdr:to>
      <xdr:col>18</xdr:col>
      <xdr:colOff>438150</xdr:colOff>
      <xdr:row>5</xdr:row>
      <xdr:rowOff>504825</xdr:rowOff>
    </xdr:to>
    <xdr:sp macro="" textlink="">
      <xdr:nvSpPr>
        <xdr:cNvPr id="31" name="Rounded Rectangle 30">
          <a:hlinkClick xmlns:r="http://schemas.openxmlformats.org/officeDocument/2006/relationships" r:id="rId4"/>
        </xdr:cNvPr>
        <xdr:cNvSpPr/>
      </xdr:nvSpPr>
      <xdr:spPr>
        <a:xfrm>
          <a:off x="139700" y="1047750"/>
          <a:ext cx="9518650" cy="495300"/>
        </a:xfrm>
        <a:prstGeom prst="roundRect">
          <a:avLst/>
        </a:prstGeom>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t"/>
        <a:lstStyle/>
        <a:p>
          <a:r>
            <a:rPr lang="en-US" sz="1100">
              <a:solidFill>
                <a:sysClr val="windowText" lastClr="000000"/>
              </a:solidFill>
            </a:rPr>
            <a:t>For more information</a:t>
          </a:r>
          <a:r>
            <a:rPr lang="en-US" sz="1100" baseline="0">
              <a:solidFill>
                <a:sysClr val="windowText" lastClr="000000"/>
              </a:solidFill>
            </a:rPr>
            <a:t> </a:t>
          </a:r>
          <a:r>
            <a:rPr lang="en-US" sz="1100">
              <a:solidFill>
                <a:sysClr val="windowText" lastClr="000000"/>
              </a:solidFill>
            </a:rPr>
            <a:t>on NFI Standards please consult the</a:t>
          </a:r>
          <a:r>
            <a:rPr lang="en-US" sz="1100" baseline="0">
              <a:solidFill>
                <a:sysClr val="windowText" lastClr="000000"/>
              </a:solidFill>
            </a:rPr>
            <a:t> </a:t>
          </a:r>
          <a:r>
            <a:rPr lang="en-US" sz="1100">
              <a:solidFill>
                <a:sysClr val="windowText" lastClr="000000"/>
              </a:solidFill>
            </a:rPr>
            <a:t>Standard sand</a:t>
          </a:r>
          <a:r>
            <a:rPr lang="en-US" sz="1100" baseline="0">
              <a:solidFill>
                <a:sysClr val="windowText" lastClr="000000"/>
              </a:solidFill>
            </a:rPr>
            <a:t> </a:t>
          </a:r>
          <a:r>
            <a:rPr lang="en-US" sz="1100">
              <a:solidFill>
                <a:sysClr val="windowText" lastClr="000000"/>
              </a:solidFill>
            </a:rPr>
            <a:t>Guidelines page on the CCCM/Shelter/NFI Clusters website:</a:t>
          </a:r>
          <a:r>
            <a:rPr lang="en-US" sz="1100" baseline="0">
              <a:solidFill>
                <a:sysClr val="windowText" lastClr="000000"/>
              </a:solidFill>
            </a:rPr>
            <a:t> </a:t>
          </a:r>
          <a:r>
            <a:rPr lang="en-US" sz="1100" u="sng">
              <a:solidFill>
                <a:schemeClr val="lt1"/>
              </a:solidFill>
              <a:effectLst/>
              <a:latin typeface="+mn-lt"/>
              <a:ea typeface="+mn-ea"/>
              <a:cs typeface="+mn-cs"/>
              <a:hlinkClick xmlns:r="http://schemas.openxmlformats.org/officeDocument/2006/relationships" r:id=""/>
            </a:rPr>
            <a:t>http://www.sheltercluster.org/library/standards-and-guidelines-nfi</a:t>
          </a:r>
          <a:endParaRPr lang="en-US" sz="1100">
            <a:solidFill>
              <a:schemeClr val="lt1"/>
            </a:solidFill>
            <a:effectLst/>
            <a:latin typeface="+mn-lt"/>
            <a:ea typeface="+mn-ea"/>
            <a:cs typeface="+mn-cs"/>
          </a:endParaRPr>
        </a:p>
      </xdr:txBody>
    </xdr:sp>
    <xdr:clientData/>
  </xdr:twoCellAnchor>
  <xdr:twoCellAnchor>
    <xdr:from>
      <xdr:col>1</xdr:col>
      <xdr:colOff>0</xdr:colOff>
      <xdr:row>36</xdr:row>
      <xdr:rowOff>63521</xdr:rowOff>
    </xdr:from>
    <xdr:to>
      <xdr:col>20</xdr:col>
      <xdr:colOff>0</xdr:colOff>
      <xdr:row>36</xdr:row>
      <xdr:rowOff>63521</xdr:rowOff>
    </xdr:to>
    <xdr:sp macro="" textlink="">
      <xdr:nvSpPr>
        <xdr:cNvPr id="33" name="Line 2"/>
        <xdr:cNvSpPr>
          <a:spLocks noChangeShapeType="1"/>
        </xdr:cNvSpPr>
      </xdr:nvSpPr>
      <xdr:spPr bwMode="auto">
        <a:xfrm>
          <a:off x="161925" y="6902471"/>
          <a:ext cx="9334500" cy="0"/>
        </a:xfrm>
        <a:prstGeom prst="line">
          <a:avLst/>
        </a:prstGeom>
        <a:solidFill>
          <a:srgbClr val="FFFFFF"/>
        </a:solidFill>
        <a:ln w="12700">
          <a:solidFill>
            <a:srgbClr val="808080"/>
          </a:solidFill>
          <a:round/>
          <a:headEnd/>
          <a:tailEnd/>
        </a:ln>
        <a:extLst/>
      </xdr:spPr>
    </xdr:sp>
    <xdr:clientData/>
  </xdr:twoCellAnchor>
  <xdr:twoCellAnchor>
    <xdr:from>
      <xdr:col>2</xdr:col>
      <xdr:colOff>0</xdr:colOff>
      <xdr:row>36</xdr:row>
      <xdr:rowOff>117130</xdr:rowOff>
    </xdr:from>
    <xdr:to>
      <xdr:col>18</xdr:col>
      <xdr:colOff>306935</xdr:colOff>
      <xdr:row>38</xdr:row>
      <xdr:rowOff>57142</xdr:rowOff>
    </xdr:to>
    <xdr:grpSp>
      <xdr:nvGrpSpPr>
        <xdr:cNvPr id="34" name="Group 33"/>
        <xdr:cNvGrpSpPr/>
      </xdr:nvGrpSpPr>
      <xdr:grpSpPr>
        <a:xfrm>
          <a:off x="266700" y="6917980"/>
          <a:ext cx="10374860" cy="378162"/>
          <a:chOff x="6083301" y="9224126"/>
          <a:chExt cx="7302023" cy="224693"/>
        </a:xfrm>
        <a:solidFill>
          <a:srgbClr val="FFFFFF"/>
        </a:solidFill>
      </xdr:grpSpPr>
      <xdr:sp macro="" textlink="">
        <xdr:nvSpPr>
          <xdr:cNvPr id="35" name="TextBox 34"/>
          <xdr:cNvSpPr txBox="1"/>
        </xdr:nvSpPr>
        <xdr:spPr>
          <a:xfrm>
            <a:off x="6083301" y="9224126"/>
            <a:ext cx="3601345" cy="22469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GB" sz="1000" baseline="0">
                <a:solidFill>
                  <a:schemeClr val="dk1"/>
                </a:solidFill>
                <a:effectLst/>
                <a:latin typeface="Franklin Gothic Book" pitchFamily="34" charset="0"/>
                <a:ea typeface="+mn-ea"/>
                <a:cs typeface="+mn-cs"/>
              </a:rPr>
              <a:t>Sources: UNHCR, Myanmar Information Management Unit (MIMU)</a:t>
            </a:r>
          </a:p>
          <a:p>
            <a:pPr marL="0" marR="0" indent="0" defTabSz="914400" eaLnBrk="1" fontAlgn="auto" latinLnBrk="0" hangingPunct="1">
              <a:lnSpc>
                <a:spcPct val="100000"/>
              </a:lnSpc>
              <a:spcBef>
                <a:spcPts val="0"/>
              </a:spcBef>
              <a:spcAft>
                <a:spcPts val="0"/>
              </a:spcAft>
              <a:buClrTx/>
              <a:buSzTx/>
              <a:buFontTx/>
              <a:buNone/>
              <a:tabLst/>
              <a:defRPr/>
            </a:pPr>
            <a:r>
              <a:rPr lang="en-GB" sz="1000" baseline="0">
                <a:solidFill>
                  <a:schemeClr val="dk1"/>
                </a:solidFill>
                <a:effectLst/>
                <a:latin typeface="Franklin Gothic Book" pitchFamily="34" charset="0"/>
                <a:ea typeface="+mn-ea"/>
                <a:cs typeface="+mn-cs"/>
              </a:rPr>
              <a:t>                &amp; other humanitarian organizations</a:t>
            </a:r>
            <a:endParaRPr lang="en-GB" sz="1000">
              <a:latin typeface="Franklin Gothic Book" pitchFamily="34" charset="0"/>
            </a:endParaRPr>
          </a:p>
        </xdr:txBody>
      </xdr:sp>
      <xdr:sp macro="" textlink="">
        <xdr:nvSpPr>
          <xdr:cNvPr id="36" name="TextBox 35"/>
          <xdr:cNvSpPr txBox="1">
            <a:spLocks/>
          </xdr:cNvSpPr>
        </xdr:nvSpPr>
        <xdr:spPr>
          <a:xfrm>
            <a:off x="9170777" y="9231783"/>
            <a:ext cx="3212009" cy="12648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rtlCol="0" anchor="t">
            <a:noAutofit/>
          </a:bodyPr>
          <a:lstStyle/>
          <a:p>
            <a:pPr algn="r"/>
            <a:r>
              <a:rPr lang="en-GB" sz="1000" baseline="0">
                <a:latin typeface="Franklin Gothic Medium Cond" pitchFamily="34" charset="0"/>
              </a:rPr>
              <a:t>For more information contact the Cluster Coordinator  Edward Benson</a:t>
            </a:r>
            <a:r>
              <a:rPr lang="en-GB" sz="1200" baseline="0">
                <a:latin typeface="Franklin Gothic Medium Cond" pitchFamily="34" charset="0"/>
              </a:rPr>
              <a:t>:   </a:t>
            </a:r>
            <a:endParaRPr lang="en-GB" sz="1400">
              <a:latin typeface="Franklin Gothic Medium Cond" pitchFamily="34" charset="0"/>
            </a:endParaRPr>
          </a:p>
        </xdr:txBody>
      </xdr:sp>
      <xdr:sp macro="" textlink="">
        <xdr:nvSpPr>
          <xdr:cNvPr id="37" name="TextBox 36"/>
          <xdr:cNvSpPr txBox="1"/>
        </xdr:nvSpPr>
        <xdr:spPr>
          <a:xfrm>
            <a:off x="12373053" y="9231783"/>
            <a:ext cx="1012271" cy="12318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25200"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GB" sz="1000" b="0" baseline="0">
                <a:solidFill>
                  <a:srgbClr val="0070C0"/>
                </a:solidFill>
                <a:effectLst/>
                <a:latin typeface="Franklin Gothic Demi" pitchFamily="34" charset="0"/>
                <a:ea typeface="+mn-ea"/>
                <a:cs typeface="+mn-cs"/>
              </a:rPr>
              <a:t>benson@unhcr.org</a:t>
            </a:r>
          </a:p>
        </xdr:txBody>
      </xdr:sp>
    </xdr:grpSp>
    <xdr:clientData/>
  </xdr:twoCellAnchor>
  <xdr:twoCellAnchor>
    <xdr:from>
      <xdr:col>2</xdr:col>
      <xdr:colOff>0</xdr:colOff>
      <xdr:row>2</xdr:row>
      <xdr:rowOff>13575</xdr:rowOff>
    </xdr:from>
    <xdr:to>
      <xdr:col>2</xdr:col>
      <xdr:colOff>1263777</xdr:colOff>
      <xdr:row>2</xdr:row>
      <xdr:rowOff>379335</xdr:rowOff>
    </xdr:to>
    <xdr:sp macro="" textlink="">
      <xdr:nvSpPr>
        <xdr:cNvPr id="40" name="Rounded Rectangle 39">
          <a:hlinkClick xmlns:r="http://schemas.openxmlformats.org/officeDocument/2006/relationships" r:id="rId5"/>
        </xdr:cNvPr>
        <xdr:cNvSpPr/>
      </xdr:nvSpPr>
      <xdr:spPr>
        <a:xfrm>
          <a:off x="0" y="13575"/>
          <a:ext cx="1444752"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9</xdr:col>
      <xdr:colOff>342106</xdr:colOff>
      <xdr:row>2</xdr:row>
      <xdr:rowOff>14979</xdr:rowOff>
    </xdr:from>
    <xdr:to>
      <xdr:col>12</xdr:col>
      <xdr:colOff>424783</xdr:colOff>
      <xdr:row>2</xdr:row>
      <xdr:rowOff>380739</xdr:rowOff>
    </xdr:to>
    <xdr:sp macro="" textlink="">
      <xdr:nvSpPr>
        <xdr:cNvPr id="18" name="Rounded Rectangle 17">
          <a:hlinkClick xmlns:r="http://schemas.openxmlformats.org/officeDocument/2006/relationships" r:id="rId6"/>
        </xdr:cNvPr>
        <xdr:cNvSpPr/>
      </xdr:nvSpPr>
      <xdr:spPr>
        <a:xfrm>
          <a:off x="4266406" y="405504"/>
          <a:ext cx="2130552"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Detail Sheet</a:t>
          </a:r>
          <a:endParaRPr lang="en-US" sz="1100" b="1"/>
        </a:p>
      </xdr:txBody>
    </xdr:sp>
    <xdr:clientData/>
  </xdr:twoCellAnchor>
  <xdr:twoCellAnchor>
    <xdr:from>
      <xdr:col>3</xdr:col>
      <xdr:colOff>344145</xdr:colOff>
      <xdr:row>2</xdr:row>
      <xdr:rowOff>21075</xdr:rowOff>
    </xdr:from>
    <xdr:to>
      <xdr:col>5</xdr:col>
      <xdr:colOff>360147</xdr:colOff>
      <xdr:row>2</xdr:row>
      <xdr:rowOff>386835</xdr:rowOff>
    </xdr:to>
    <xdr:sp macro="" textlink="">
      <xdr:nvSpPr>
        <xdr:cNvPr id="19" name="Rounded Rectangle 18">
          <a:hlinkClick xmlns:r="http://schemas.openxmlformats.org/officeDocument/2006/relationships" r:id="rId7"/>
        </xdr:cNvPr>
        <xdr:cNvSpPr/>
      </xdr:nvSpPr>
      <xdr:spPr>
        <a:xfrm>
          <a:off x="1525245" y="411600"/>
          <a:ext cx="930402"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Summary</a:t>
          </a:r>
          <a:endParaRPr lang="en-US" sz="1100" b="1"/>
        </a:p>
      </xdr:txBody>
    </xdr:sp>
    <xdr:clientData/>
  </xdr:twoCellAnchor>
  <xdr:twoCellAnchor>
    <xdr:from>
      <xdr:col>6</xdr:col>
      <xdr:colOff>216919</xdr:colOff>
      <xdr:row>2</xdr:row>
      <xdr:rowOff>14979</xdr:rowOff>
    </xdr:from>
    <xdr:to>
      <xdr:col>8</xdr:col>
      <xdr:colOff>423421</xdr:colOff>
      <xdr:row>2</xdr:row>
      <xdr:rowOff>380739</xdr:rowOff>
    </xdr:to>
    <xdr:sp macro="" textlink="">
      <xdr:nvSpPr>
        <xdr:cNvPr id="20" name="Rounded Rectangle 19">
          <a:hlinkClick xmlns:r="http://schemas.openxmlformats.org/officeDocument/2006/relationships" r:id="rId8"/>
        </xdr:cNvPr>
        <xdr:cNvSpPr/>
      </xdr:nvSpPr>
      <xdr:spPr>
        <a:xfrm>
          <a:off x="2769619" y="405504"/>
          <a:ext cx="1120902"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NFI  Agency</a:t>
          </a:r>
          <a:endParaRPr lang="en-US" sz="1100" b="1"/>
        </a:p>
      </xdr:txBody>
    </xdr:sp>
    <xdr:clientData/>
  </xdr:twoCellAnchor>
  <xdr:twoCellAnchor>
    <xdr:from>
      <xdr:col>11</xdr:col>
      <xdr:colOff>38101</xdr:colOff>
      <xdr:row>25</xdr:row>
      <xdr:rowOff>135254</xdr:rowOff>
    </xdr:from>
    <xdr:to>
      <xdr:col>19</xdr:col>
      <xdr:colOff>451</xdr:colOff>
      <xdr:row>35</xdr:row>
      <xdr:rowOff>9525</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38100</xdr:colOff>
      <xdr:row>7</xdr:row>
      <xdr:rowOff>9524</xdr:rowOff>
    </xdr:from>
    <xdr:to>
      <xdr:col>10</xdr:col>
      <xdr:colOff>0</xdr:colOff>
      <xdr:row>9</xdr:row>
      <xdr:rowOff>114300</xdr:rowOff>
    </xdr:to>
    <xdr:sp macro="" textlink="">
      <xdr:nvSpPr>
        <xdr:cNvPr id="25" name="Rounded Rectangle 24"/>
        <xdr:cNvSpPr/>
      </xdr:nvSpPr>
      <xdr:spPr>
        <a:xfrm>
          <a:off x="304800" y="1790699"/>
          <a:ext cx="4200525" cy="428626"/>
        </a:xfrm>
        <a:prstGeom prst="roundRect">
          <a:avLst/>
        </a:prstGeom>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algn="l"/>
          <a:r>
            <a:rPr lang="en-US" sz="800">
              <a:solidFill>
                <a:schemeClr val="tx2">
                  <a:lumMod val="40000"/>
                  <a:lumOff val="60000"/>
                </a:schemeClr>
              </a:solidFill>
              <a:latin typeface="Franklin Gothic Demi" pitchFamily="34" charset="0"/>
            </a:rPr>
            <a:t>NFI Core Kit : #  targetted households</a:t>
          </a:r>
          <a:r>
            <a:rPr lang="en-US" sz="800" baseline="0">
              <a:solidFill>
                <a:schemeClr val="tx2">
                  <a:lumMod val="40000"/>
                  <a:lumOff val="60000"/>
                </a:schemeClr>
              </a:solidFill>
              <a:latin typeface="Franklin Gothic Demi" pitchFamily="34" charset="0"/>
            </a:rPr>
            <a:t> </a:t>
          </a:r>
          <a:endParaRPr lang="en-US" sz="800">
            <a:solidFill>
              <a:schemeClr val="tx2">
                <a:lumMod val="40000"/>
                <a:lumOff val="60000"/>
              </a:schemeClr>
            </a:solidFill>
            <a:latin typeface="Franklin Gothic Demi" pitchFamily="34" charset="0"/>
          </a:endParaRPr>
        </a:p>
      </xdr:txBody>
    </xdr:sp>
    <xdr:clientData/>
  </xdr:twoCellAnchor>
  <xdr:twoCellAnchor>
    <xdr:from>
      <xdr:col>11</xdr:col>
      <xdr:colOff>9525</xdr:colOff>
      <xdr:row>7</xdr:row>
      <xdr:rowOff>19050</xdr:rowOff>
    </xdr:from>
    <xdr:to>
      <xdr:col>18</xdr:col>
      <xdr:colOff>447675</xdr:colOff>
      <xdr:row>9</xdr:row>
      <xdr:rowOff>123826</xdr:rowOff>
    </xdr:to>
    <xdr:sp macro="" textlink="">
      <xdr:nvSpPr>
        <xdr:cNvPr id="28" name="Rounded Rectangle 27"/>
        <xdr:cNvSpPr/>
      </xdr:nvSpPr>
      <xdr:spPr>
        <a:xfrm>
          <a:off x="4972050" y="1800225"/>
          <a:ext cx="4429125" cy="428626"/>
        </a:xfrm>
        <a:prstGeom prst="roundRect">
          <a:avLst/>
        </a:prstGeom>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algn="l"/>
          <a:r>
            <a:rPr lang="en-US" sz="800">
              <a:solidFill>
                <a:schemeClr val="tx2">
                  <a:lumMod val="40000"/>
                  <a:lumOff val="60000"/>
                </a:schemeClr>
              </a:solidFill>
              <a:latin typeface="Franklin Gothic Demi" pitchFamily="34" charset="0"/>
            </a:rPr>
            <a:t>Winter</a:t>
          </a:r>
          <a:r>
            <a:rPr lang="en-US" sz="800" baseline="0">
              <a:solidFill>
                <a:schemeClr val="tx2">
                  <a:lumMod val="40000"/>
                  <a:lumOff val="60000"/>
                </a:schemeClr>
              </a:solidFill>
              <a:latin typeface="Franklin Gothic Demi" pitchFamily="34" charset="0"/>
            </a:rPr>
            <a:t> Items : # targetted households</a:t>
          </a:r>
          <a:endParaRPr lang="en-US" sz="800">
            <a:solidFill>
              <a:schemeClr val="tx2">
                <a:lumMod val="40000"/>
                <a:lumOff val="60000"/>
              </a:schemeClr>
            </a:solidFill>
            <a:latin typeface="Franklin Gothic Demi" pitchFamily="34" charset="0"/>
          </a:endParaRPr>
        </a:p>
      </xdr:txBody>
    </xdr:sp>
    <xdr:clientData/>
  </xdr:twoCellAnchor>
  <xdr:twoCellAnchor>
    <xdr:from>
      <xdr:col>11</xdr:col>
      <xdr:colOff>38101</xdr:colOff>
      <xdr:row>18</xdr:row>
      <xdr:rowOff>38100</xdr:rowOff>
    </xdr:from>
    <xdr:to>
      <xdr:col>19</xdr:col>
      <xdr:colOff>1905</xdr:colOff>
      <xdr:row>25</xdr:row>
      <xdr:rowOff>47625</xdr:rowOff>
    </xdr:to>
    <xdr:graphicFrame macro="">
      <xdr:nvGraphicFramePr>
        <xdr:cNvPr id="3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152401</xdr:colOff>
      <xdr:row>6</xdr:row>
      <xdr:rowOff>47624</xdr:rowOff>
    </xdr:from>
    <xdr:to>
      <xdr:col>6</xdr:col>
      <xdr:colOff>247651</xdr:colOff>
      <xdr:row>10</xdr:row>
      <xdr:rowOff>0</xdr:rowOff>
    </xdr:to>
    <xdr:sp macro="" textlink="$W$4">
      <xdr:nvSpPr>
        <xdr:cNvPr id="39" name="Rounded Rectangle 38"/>
        <xdr:cNvSpPr/>
      </xdr:nvSpPr>
      <xdr:spPr>
        <a:xfrm>
          <a:off x="2152651" y="1733549"/>
          <a:ext cx="704850" cy="543600"/>
        </a:xfrm>
        <a:prstGeom prst="roundRect">
          <a:avLst>
            <a:gd name="adj" fmla="val 32437"/>
          </a:avLst>
        </a:prstGeom>
        <a:noFill/>
        <a:ln>
          <a:noFill/>
        </a:ln>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algn="l"/>
          <a:fld id="{866AAD63-F696-4B61-B8A1-8F667A21ADA1}" type="TxLink">
            <a:rPr lang="en-US" sz="800">
              <a:solidFill>
                <a:schemeClr val="tx2">
                  <a:lumMod val="40000"/>
                  <a:lumOff val="60000"/>
                </a:schemeClr>
              </a:solidFill>
              <a:latin typeface="Franklin Gothic Demi" pitchFamily="34" charset="0"/>
            </a:rPr>
            <a:pPr algn="l"/>
            <a:t> 2,213 </a:t>
          </a:fld>
          <a:endParaRPr lang="en-US" sz="800">
            <a:solidFill>
              <a:schemeClr val="tx2">
                <a:lumMod val="40000"/>
                <a:lumOff val="60000"/>
              </a:schemeClr>
            </a:solidFill>
            <a:latin typeface="Franklin Gothic Demi" pitchFamily="34" charset="0"/>
          </a:endParaRPr>
        </a:p>
      </xdr:txBody>
    </xdr:sp>
    <xdr:clientData/>
  </xdr:twoCellAnchor>
  <xdr:twoCellAnchor>
    <xdr:from>
      <xdr:col>13</xdr:col>
      <xdr:colOff>342900</xdr:colOff>
      <xdr:row>6</xdr:row>
      <xdr:rowOff>85725</xdr:rowOff>
    </xdr:from>
    <xdr:to>
      <xdr:col>14</xdr:col>
      <xdr:colOff>438150</xdr:colOff>
      <xdr:row>10</xdr:row>
      <xdr:rowOff>0</xdr:rowOff>
    </xdr:to>
    <xdr:sp macro="" textlink="$W$5">
      <xdr:nvSpPr>
        <xdr:cNvPr id="41" name="Rounded Rectangle 40"/>
        <xdr:cNvSpPr/>
      </xdr:nvSpPr>
      <xdr:spPr>
        <a:xfrm>
          <a:off x="6896100" y="1771650"/>
          <a:ext cx="590550" cy="543600"/>
        </a:xfrm>
        <a:prstGeom prst="roundRect">
          <a:avLst/>
        </a:prstGeom>
        <a:noFill/>
        <a:ln>
          <a:noFill/>
        </a:ln>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marL="0" indent="0" algn="l"/>
          <a:fld id="{51CE7971-745A-4014-873E-EC6C604327F5}" type="TxLink">
            <a:rPr lang="en-US" sz="800">
              <a:solidFill>
                <a:schemeClr val="tx2">
                  <a:lumMod val="40000"/>
                  <a:lumOff val="60000"/>
                </a:schemeClr>
              </a:solidFill>
              <a:latin typeface="Franklin Gothic Demi" pitchFamily="34" charset="0"/>
              <a:ea typeface="+mn-ea"/>
              <a:cs typeface="+mn-cs"/>
            </a:rPr>
            <a:pPr marL="0" indent="0" algn="l"/>
            <a:t> 1,673 </a:t>
          </a:fld>
          <a:endParaRPr lang="en-US" sz="800">
            <a:solidFill>
              <a:schemeClr val="tx2">
                <a:lumMod val="40000"/>
                <a:lumOff val="60000"/>
              </a:schemeClr>
            </a:solidFill>
            <a:latin typeface="Franklin Gothic Demi" pitchFamily="34" charset="0"/>
            <a:ea typeface="+mn-ea"/>
            <a:cs typeface="+mn-cs"/>
          </a:endParaRPr>
        </a:p>
      </xdr:txBody>
    </xdr:sp>
    <xdr:clientData/>
  </xdr:twoCellAnchor>
  <xdr:twoCellAnchor>
    <xdr:from>
      <xdr:col>2</xdr:col>
      <xdr:colOff>4762</xdr:colOff>
      <xdr:row>25</xdr:row>
      <xdr:rowOff>123825</xdr:rowOff>
    </xdr:from>
    <xdr:to>
      <xdr:col>10</xdr:col>
      <xdr:colOff>19050</xdr:colOff>
      <xdr:row>35</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700353</xdr:colOff>
      <xdr:row>1</xdr:row>
      <xdr:rowOff>31856</xdr:rowOff>
    </xdr:from>
    <xdr:to>
      <xdr:col>7</xdr:col>
      <xdr:colOff>1166813</xdr:colOff>
      <xdr:row>2</xdr:row>
      <xdr:rowOff>67469</xdr:rowOff>
    </xdr:to>
    <xdr:grpSp>
      <xdr:nvGrpSpPr>
        <xdr:cNvPr id="6" name="Group 5"/>
        <xdr:cNvGrpSpPr/>
      </xdr:nvGrpSpPr>
      <xdr:grpSpPr>
        <a:xfrm>
          <a:off x="4672278" y="555731"/>
          <a:ext cx="2876285" cy="226113"/>
          <a:chOff x="6500812" y="296130"/>
          <a:chExt cx="6668867" cy="596839"/>
        </a:xfrm>
      </xdr:grpSpPr>
      <xdr:pic>
        <xdr:nvPicPr>
          <xdr:cNvPr id="4" name="Picture 3"/>
          <xdr:cNvPicPr>
            <a:picLocks noChangeAspect="1"/>
          </xdr:cNvPicPr>
        </xdr:nvPicPr>
        <xdr:blipFill>
          <a:blip xmlns:r="http://schemas.openxmlformats.org/officeDocument/2006/relationships" r:embed="rId1"/>
          <a:stretch>
            <a:fillRect/>
          </a:stretch>
        </xdr:blipFill>
        <xdr:spPr>
          <a:xfrm>
            <a:off x="9226312" y="296130"/>
            <a:ext cx="3943367" cy="594384"/>
          </a:xfrm>
          <a:prstGeom prst="rect">
            <a:avLst/>
          </a:prstGeom>
        </xdr:spPr>
      </xdr:pic>
      <xdr:pic>
        <xdr:nvPicPr>
          <xdr:cNvPr id="5" name="Picture 4" descr="CCCM sdc-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5482</xdr:colOff>
      <xdr:row>0</xdr:row>
      <xdr:rowOff>16402</xdr:rowOff>
    </xdr:from>
    <xdr:to>
      <xdr:col>10</xdr:col>
      <xdr:colOff>267607</xdr:colOff>
      <xdr:row>0</xdr:row>
      <xdr:rowOff>376991</xdr:rowOff>
    </xdr:to>
    <xdr:sp macro="" textlink="">
      <xdr:nvSpPr>
        <xdr:cNvPr id="12" name="Rounded Rectangle 11">
          <a:hlinkClick xmlns:r="http://schemas.openxmlformats.org/officeDocument/2006/relationships" r:id="rId3"/>
        </xdr:cNvPr>
        <xdr:cNvSpPr/>
      </xdr:nvSpPr>
      <xdr:spPr>
        <a:xfrm>
          <a:off x="8577982" y="16402"/>
          <a:ext cx="1548000"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CCCM</a:t>
          </a:r>
          <a:r>
            <a:rPr lang="en-US" sz="1100" b="1" baseline="0"/>
            <a:t> Dashboard</a:t>
          </a:r>
          <a:endParaRPr lang="en-US" sz="1100" b="1"/>
        </a:p>
      </xdr:txBody>
    </xdr:sp>
    <xdr:clientData/>
  </xdr:twoCellAnchor>
  <xdr:twoCellAnchor>
    <xdr:from>
      <xdr:col>0</xdr:col>
      <xdr:colOff>47626</xdr:colOff>
      <xdr:row>0</xdr:row>
      <xdr:rowOff>33262</xdr:rowOff>
    </xdr:from>
    <xdr:to>
      <xdr:col>5</xdr:col>
      <xdr:colOff>35907</xdr:colOff>
      <xdr:row>0</xdr:row>
      <xdr:rowOff>393851</xdr:rowOff>
    </xdr:to>
    <xdr:sp macro="" textlink="">
      <xdr:nvSpPr>
        <xdr:cNvPr id="13" name="Rounded Rectangle 12">
          <a:hlinkClick xmlns:r="http://schemas.openxmlformats.org/officeDocument/2006/relationships" r:id="rId4"/>
        </xdr:cNvPr>
        <xdr:cNvSpPr/>
      </xdr:nvSpPr>
      <xdr:spPr>
        <a:xfrm>
          <a:off x="47626" y="33262"/>
          <a:ext cx="1548000"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5</xdr:col>
      <xdr:colOff>346793</xdr:colOff>
      <xdr:row>0</xdr:row>
      <xdr:rowOff>28310</xdr:rowOff>
    </xdr:from>
    <xdr:to>
      <xdr:col>6</xdr:col>
      <xdr:colOff>1047747</xdr:colOff>
      <xdr:row>0</xdr:row>
      <xdr:rowOff>388899</xdr:rowOff>
    </xdr:to>
    <xdr:sp macro="" textlink="">
      <xdr:nvSpPr>
        <xdr:cNvPr id="14" name="Rounded Rectangle 13">
          <a:hlinkClick xmlns:r="http://schemas.openxmlformats.org/officeDocument/2006/relationships" r:id="rId5"/>
        </xdr:cNvPr>
        <xdr:cNvSpPr/>
      </xdr:nvSpPr>
      <xdr:spPr>
        <a:xfrm>
          <a:off x="2001762" y="28310"/>
          <a:ext cx="1986829"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a:t>
          </a:r>
        </a:p>
      </xdr:txBody>
    </xdr:sp>
    <xdr:clientData/>
  </xdr:twoCellAnchor>
  <xdr:twoCellAnchor>
    <xdr:from>
      <xdr:col>7</xdr:col>
      <xdr:colOff>71438</xdr:colOff>
      <xdr:row>0</xdr:row>
      <xdr:rowOff>28309</xdr:rowOff>
    </xdr:from>
    <xdr:to>
      <xdr:col>7</xdr:col>
      <xdr:colOff>1619438</xdr:colOff>
      <xdr:row>0</xdr:row>
      <xdr:rowOff>388898</xdr:rowOff>
    </xdr:to>
    <xdr:sp macro="" textlink="">
      <xdr:nvSpPr>
        <xdr:cNvPr id="15" name="Rounded Rectangle 14">
          <a:hlinkClick xmlns:r="http://schemas.openxmlformats.org/officeDocument/2006/relationships" r:id="rId6"/>
        </xdr:cNvPr>
        <xdr:cNvSpPr/>
      </xdr:nvSpPr>
      <xdr:spPr>
        <a:xfrm>
          <a:off x="4298157" y="28309"/>
          <a:ext cx="1548000"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 - Printable</a:t>
          </a:r>
        </a:p>
      </xdr:txBody>
    </xdr:sp>
    <xdr:clientData/>
  </xdr:twoCellAnchor>
  <xdr:twoCellAnchor>
    <xdr:from>
      <xdr:col>7</xdr:col>
      <xdr:colOff>1993913</xdr:colOff>
      <xdr:row>0</xdr:row>
      <xdr:rowOff>28308</xdr:rowOff>
    </xdr:from>
    <xdr:to>
      <xdr:col>8</xdr:col>
      <xdr:colOff>869156</xdr:colOff>
      <xdr:row>0</xdr:row>
      <xdr:rowOff>388897</xdr:rowOff>
    </xdr:to>
    <xdr:sp macro="" textlink="">
      <xdr:nvSpPr>
        <xdr:cNvPr id="16" name="Rounded Rectangle 15">
          <a:hlinkClick xmlns:r="http://schemas.openxmlformats.org/officeDocument/2006/relationships" r:id="rId7"/>
        </xdr:cNvPr>
        <xdr:cNvSpPr/>
      </xdr:nvSpPr>
      <xdr:spPr>
        <a:xfrm>
          <a:off x="6220632" y="28308"/>
          <a:ext cx="1935149"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Analysis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133071</xdr:colOff>
      <xdr:row>3</xdr:row>
      <xdr:rowOff>366432</xdr:rowOff>
    </xdr:from>
    <xdr:to>
      <xdr:col>10</xdr:col>
      <xdr:colOff>487176</xdr:colOff>
      <xdr:row>33</xdr:row>
      <xdr:rowOff>100853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127000</xdr:colOff>
      <xdr:row>1</xdr:row>
      <xdr:rowOff>412750</xdr:rowOff>
    </xdr:from>
    <xdr:to>
      <xdr:col>10</xdr:col>
      <xdr:colOff>714375</xdr:colOff>
      <xdr:row>2</xdr:row>
      <xdr:rowOff>31750</xdr:rowOff>
    </xdr:to>
    <xdr:grpSp>
      <xdr:nvGrpSpPr>
        <xdr:cNvPr id="7" name="Group 6"/>
        <xdr:cNvGrpSpPr/>
      </xdr:nvGrpSpPr>
      <xdr:grpSpPr>
        <a:xfrm>
          <a:off x="4295588" y="872191"/>
          <a:ext cx="4757084" cy="425824"/>
          <a:chOff x="6500812" y="317500"/>
          <a:chExt cx="6186806" cy="575469"/>
        </a:xfrm>
      </xdr:grpSpPr>
      <xdr:pic>
        <xdr:nvPicPr>
          <xdr:cNvPr id="8" name="Picture 7"/>
          <xdr:cNvPicPr>
            <a:picLocks noChangeAspect="1"/>
          </xdr:cNvPicPr>
        </xdr:nvPicPr>
        <xdr:blipFill>
          <a:blip xmlns:r="http://schemas.openxmlformats.org/officeDocument/2006/relationships" r:embed="rId2"/>
          <a:stretch>
            <a:fillRect/>
          </a:stretch>
        </xdr:blipFill>
        <xdr:spPr>
          <a:xfrm>
            <a:off x="8886031" y="317500"/>
            <a:ext cx="3801587" cy="573015"/>
          </a:xfrm>
          <a:prstGeom prst="rect">
            <a:avLst/>
          </a:prstGeom>
        </xdr:spPr>
      </xdr:pic>
      <xdr:pic>
        <xdr:nvPicPr>
          <xdr:cNvPr id="9" name="Picture 8" descr="CCCM sdc-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8</xdr:col>
      <xdr:colOff>285145</xdr:colOff>
      <xdr:row>0</xdr:row>
      <xdr:rowOff>21166</xdr:rowOff>
    </xdr:from>
    <xdr:to>
      <xdr:col>10</xdr:col>
      <xdr:colOff>491657</xdr:colOff>
      <xdr:row>0</xdr:row>
      <xdr:rowOff>381755</xdr:rowOff>
    </xdr:to>
    <xdr:sp macro="" textlink="">
      <xdr:nvSpPr>
        <xdr:cNvPr id="10" name="Rounded Rectangle 9">
          <a:hlinkClick xmlns:r="http://schemas.openxmlformats.org/officeDocument/2006/relationships" r:id="rId4"/>
        </xdr:cNvPr>
        <xdr:cNvSpPr/>
      </xdr:nvSpPr>
      <xdr:spPr>
        <a:xfrm>
          <a:off x="7000270" y="21166"/>
          <a:ext cx="1444762"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CCCM</a:t>
          </a:r>
          <a:r>
            <a:rPr lang="en-US" sz="1100" b="1" baseline="0"/>
            <a:t> Dashboard</a:t>
          </a:r>
          <a:endParaRPr lang="en-US" sz="1100" b="1"/>
        </a:p>
      </xdr:txBody>
    </xdr:sp>
    <xdr:clientData/>
  </xdr:twoCellAnchor>
  <xdr:twoCellAnchor>
    <xdr:from>
      <xdr:col>0</xdr:col>
      <xdr:colOff>0</xdr:colOff>
      <xdr:row>0</xdr:row>
      <xdr:rowOff>33262</xdr:rowOff>
    </xdr:from>
    <xdr:to>
      <xdr:col>1</xdr:col>
      <xdr:colOff>499406</xdr:colOff>
      <xdr:row>0</xdr:row>
      <xdr:rowOff>393851</xdr:rowOff>
    </xdr:to>
    <xdr:sp macro="" textlink="">
      <xdr:nvSpPr>
        <xdr:cNvPr id="11" name="Rounded Rectangle 10">
          <a:hlinkClick xmlns:r="http://schemas.openxmlformats.org/officeDocument/2006/relationships" r:id="rId5"/>
        </xdr:cNvPr>
        <xdr:cNvSpPr/>
      </xdr:nvSpPr>
      <xdr:spPr>
        <a:xfrm>
          <a:off x="0" y="33262"/>
          <a:ext cx="1440000"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1</xdr:col>
      <xdr:colOff>777535</xdr:colOff>
      <xdr:row>0</xdr:row>
      <xdr:rowOff>30691</xdr:rowOff>
    </xdr:from>
    <xdr:to>
      <xdr:col>3</xdr:col>
      <xdr:colOff>707823</xdr:colOff>
      <xdr:row>0</xdr:row>
      <xdr:rowOff>391280</xdr:rowOff>
    </xdr:to>
    <xdr:sp macro="" textlink="">
      <xdr:nvSpPr>
        <xdr:cNvPr id="12" name="Rounded Rectangle 11">
          <a:hlinkClick xmlns:r="http://schemas.openxmlformats.org/officeDocument/2006/relationships" r:id="rId6"/>
        </xdr:cNvPr>
        <xdr:cNvSpPr/>
      </xdr:nvSpPr>
      <xdr:spPr>
        <a:xfrm>
          <a:off x="1749085" y="30691"/>
          <a:ext cx="1740038"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a:t>
          </a:r>
        </a:p>
      </xdr:txBody>
    </xdr:sp>
    <xdr:clientData/>
  </xdr:twoCellAnchor>
  <xdr:twoCellAnchor>
    <xdr:from>
      <xdr:col>4</xdr:col>
      <xdr:colOff>47625</xdr:colOff>
      <xdr:row>0</xdr:row>
      <xdr:rowOff>11641</xdr:rowOff>
    </xdr:from>
    <xdr:to>
      <xdr:col>6</xdr:col>
      <xdr:colOff>35915</xdr:colOff>
      <xdr:row>0</xdr:row>
      <xdr:rowOff>372230</xdr:rowOff>
    </xdr:to>
    <xdr:sp macro="" textlink="">
      <xdr:nvSpPr>
        <xdr:cNvPr id="13" name="Rounded Rectangle 12">
          <a:hlinkClick xmlns:r="http://schemas.openxmlformats.org/officeDocument/2006/relationships" r:id="rId7"/>
        </xdr:cNvPr>
        <xdr:cNvSpPr/>
      </xdr:nvSpPr>
      <xdr:spPr>
        <a:xfrm>
          <a:off x="3724275" y="11641"/>
          <a:ext cx="1207490"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en-US" sz="1100" b="1"/>
            <a:t>Camp List - Printable</a:t>
          </a:r>
        </a:p>
      </xdr:txBody>
    </xdr:sp>
    <xdr:clientData/>
  </xdr:twoCellAnchor>
  <xdr:twoCellAnchor>
    <xdr:from>
      <xdr:col>6</xdr:col>
      <xdr:colOff>229914</xdr:colOff>
      <xdr:row>0</xdr:row>
      <xdr:rowOff>21166</xdr:rowOff>
    </xdr:from>
    <xdr:to>
      <xdr:col>8</xdr:col>
      <xdr:colOff>176870</xdr:colOff>
      <xdr:row>0</xdr:row>
      <xdr:rowOff>381755</xdr:rowOff>
    </xdr:to>
    <xdr:sp macro="" textlink="">
      <xdr:nvSpPr>
        <xdr:cNvPr id="14" name="Rounded Rectangle 13">
          <a:hlinkClick xmlns:r="http://schemas.openxmlformats.org/officeDocument/2006/relationships" r:id="rId8"/>
        </xdr:cNvPr>
        <xdr:cNvSpPr/>
      </xdr:nvSpPr>
      <xdr:spPr>
        <a:xfrm>
          <a:off x="5449614" y="21166"/>
          <a:ext cx="1442381"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Analysis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1233770</xdr:colOff>
      <xdr:row>1</xdr:row>
      <xdr:rowOff>288552</xdr:rowOff>
    </xdr:from>
    <xdr:to>
      <xdr:col>7</xdr:col>
      <xdr:colOff>652745</xdr:colOff>
      <xdr:row>2</xdr:row>
      <xdr:rowOff>240926</xdr:rowOff>
    </xdr:to>
    <xdr:grpSp>
      <xdr:nvGrpSpPr>
        <xdr:cNvPr id="2" name="Group 1"/>
        <xdr:cNvGrpSpPr/>
      </xdr:nvGrpSpPr>
      <xdr:grpSpPr>
        <a:xfrm>
          <a:off x="5973858" y="568699"/>
          <a:ext cx="3206563" cy="310962"/>
          <a:chOff x="6500812" y="317500"/>
          <a:chExt cx="6186806" cy="575469"/>
        </a:xfrm>
      </xdr:grpSpPr>
      <xdr:pic>
        <xdr:nvPicPr>
          <xdr:cNvPr id="3" name="Picture 2"/>
          <xdr:cNvPicPr>
            <a:picLocks noChangeAspect="1"/>
          </xdr:cNvPicPr>
        </xdr:nvPicPr>
        <xdr:blipFill>
          <a:blip xmlns:r="http://schemas.openxmlformats.org/officeDocument/2006/relationships" r:embed="rId1"/>
          <a:stretch>
            <a:fillRect/>
          </a:stretch>
        </xdr:blipFill>
        <xdr:spPr>
          <a:xfrm>
            <a:off x="8886031" y="317500"/>
            <a:ext cx="3801587" cy="573015"/>
          </a:xfrm>
          <a:prstGeom prst="rect">
            <a:avLst/>
          </a:prstGeom>
        </xdr:spPr>
      </xdr:pic>
      <xdr:pic>
        <xdr:nvPicPr>
          <xdr:cNvPr id="4" name="Picture 3" descr="CCCM sdc-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633088</xdr:colOff>
      <xdr:row>0</xdr:row>
      <xdr:rowOff>43578</xdr:rowOff>
    </xdr:from>
    <xdr:to>
      <xdr:col>6</xdr:col>
      <xdr:colOff>415738</xdr:colOff>
      <xdr:row>1</xdr:row>
      <xdr:rowOff>23167</xdr:rowOff>
    </xdr:to>
    <xdr:sp macro="" textlink="">
      <xdr:nvSpPr>
        <xdr:cNvPr id="5" name="Rounded Rectangle 4">
          <a:hlinkClick xmlns:r="http://schemas.openxmlformats.org/officeDocument/2006/relationships" r:id="rId3"/>
        </xdr:cNvPr>
        <xdr:cNvSpPr/>
      </xdr:nvSpPr>
      <xdr:spPr>
        <a:xfrm>
          <a:off x="6650647" y="43578"/>
          <a:ext cx="1575591" cy="259736"/>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CCCM</a:t>
          </a:r>
          <a:r>
            <a:rPr lang="en-US" sz="1100" b="1" baseline="0"/>
            <a:t> Dashboard</a:t>
          </a:r>
          <a:endParaRPr lang="en-US" sz="1100" b="1"/>
        </a:p>
      </xdr:txBody>
    </xdr:sp>
    <xdr:clientData/>
  </xdr:twoCellAnchor>
  <xdr:twoCellAnchor>
    <xdr:from>
      <xdr:col>0</xdr:col>
      <xdr:colOff>56030</xdr:colOff>
      <xdr:row>0</xdr:row>
      <xdr:rowOff>55674</xdr:rowOff>
    </xdr:from>
    <xdr:to>
      <xdr:col>1</xdr:col>
      <xdr:colOff>743555</xdr:colOff>
      <xdr:row>1</xdr:row>
      <xdr:rowOff>21816</xdr:rowOff>
    </xdr:to>
    <xdr:sp macro="" textlink="">
      <xdr:nvSpPr>
        <xdr:cNvPr id="6" name="Rounded Rectangle 5">
          <a:hlinkClick xmlns:r="http://schemas.openxmlformats.org/officeDocument/2006/relationships" r:id="rId4"/>
        </xdr:cNvPr>
        <xdr:cNvSpPr/>
      </xdr:nvSpPr>
      <xdr:spPr>
        <a:xfrm>
          <a:off x="56030" y="55674"/>
          <a:ext cx="1438319" cy="2462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2</xdr:col>
      <xdr:colOff>38368</xdr:colOff>
      <xdr:row>0</xdr:row>
      <xdr:rowOff>43578</xdr:rowOff>
    </xdr:from>
    <xdr:to>
      <xdr:col>2</xdr:col>
      <xdr:colOff>1591236</xdr:colOff>
      <xdr:row>1</xdr:row>
      <xdr:rowOff>31937</xdr:rowOff>
    </xdr:to>
    <xdr:sp macro="" textlink="">
      <xdr:nvSpPr>
        <xdr:cNvPr id="7" name="Rounded Rectangle 6">
          <a:hlinkClick xmlns:r="http://schemas.openxmlformats.org/officeDocument/2006/relationships" r:id="rId5"/>
        </xdr:cNvPr>
        <xdr:cNvSpPr/>
      </xdr:nvSpPr>
      <xdr:spPr>
        <a:xfrm>
          <a:off x="1640809" y="43578"/>
          <a:ext cx="1552868" cy="268506"/>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a:t>
          </a:r>
        </a:p>
      </xdr:txBody>
    </xdr:sp>
    <xdr:clientData/>
  </xdr:twoCellAnchor>
  <xdr:twoCellAnchor>
    <xdr:from>
      <xdr:col>2</xdr:col>
      <xdr:colOff>1734461</xdr:colOff>
      <xdr:row>0</xdr:row>
      <xdr:rowOff>43578</xdr:rowOff>
    </xdr:from>
    <xdr:to>
      <xdr:col>3</xdr:col>
      <xdr:colOff>40736</xdr:colOff>
      <xdr:row>1</xdr:row>
      <xdr:rowOff>23167</xdr:rowOff>
    </xdr:to>
    <xdr:sp macro="" textlink="">
      <xdr:nvSpPr>
        <xdr:cNvPr id="8" name="Rounded Rectangle 7">
          <a:hlinkClick xmlns:r="http://schemas.openxmlformats.org/officeDocument/2006/relationships" r:id="rId6"/>
        </xdr:cNvPr>
        <xdr:cNvSpPr/>
      </xdr:nvSpPr>
      <xdr:spPr>
        <a:xfrm>
          <a:off x="3336902" y="43578"/>
          <a:ext cx="1443922" cy="259736"/>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 - Printable</a:t>
          </a:r>
        </a:p>
      </xdr:txBody>
    </xdr:sp>
    <xdr:clientData/>
  </xdr:twoCellAnchor>
  <xdr:twoCellAnchor>
    <xdr:from>
      <xdr:col>3</xdr:col>
      <xdr:colOff>212225</xdr:colOff>
      <xdr:row>0</xdr:row>
      <xdr:rowOff>43578</xdr:rowOff>
    </xdr:from>
    <xdr:to>
      <xdr:col>4</xdr:col>
      <xdr:colOff>442550</xdr:colOff>
      <xdr:row>1</xdr:row>
      <xdr:rowOff>23167</xdr:rowOff>
    </xdr:to>
    <xdr:sp macro="" textlink="">
      <xdr:nvSpPr>
        <xdr:cNvPr id="9" name="Rounded Rectangle 8">
          <a:hlinkClick xmlns:r="http://schemas.openxmlformats.org/officeDocument/2006/relationships" r:id="rId7"/>
        </xdr:cNvPr>
        <xdr:cNvSpPr/>
      </xdr:nvSpPr>
      <xdr:spPr>
        <a:xfrm>
          <a:off x="4952313" y="43578"/>
          <a:ext cx="1507796" cy="259736"/>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Analysis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16</xdr:col>
      <xdr:colOff>504825</xdr:colOff>
      <xdr:row>14</xdr:row>
      <xdr:rowOff>0</xdr:rowOff>
    </xdr:from>
    <xdr:ext cx="184731" cy="264560"/>
    <xdr:sp macro="" textlink="">
      <xdr:nvSpPr>
        <xdr:cNvPr id="7" name="TextBox 6"/>
        <xdr:cNvSpPr txBox="1"/>
      </xdr:nvSpPr>
      <xdr:spPr>
        <a:xfrm>
          <a:off x="3914775" y="203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53751</xdr:colOff>
      <xdr:row>6</xdr:row>
      <xdr:rowOff>20304</xdr:rowOff>
    </xdr:from>
    <xdr:to>
      <xdr:col>4</xdr:col>
      <xdr:colOff>1135894</xdr:colOff>
      <xdr:row>13</xdr:row>
      <xdr:rowOff>22411</xdr:rowOff>
    </xdr:to>
    <xdr:grpSp>
      <xdr:nvGrpSpPr>
        <xdr:cNvPr id="2" name="Group 1"/>
        <xdr:cNvGrpSpPr/>
      </xdr:nvGrpSpPr>
      <xdr:grpSpPr>
        <a:xfrm>
          <a:off x="53751" y="1140892"/>
          <a:ext cx="3872408" cy="988225"/>
          <a:chOff x="15050954" y="1681076"/>
          <a:chExt cx="2498964" cy="813877"/>
        </a:xfrm>
      </xdr:grpSpPr>
      <xdr:grpSp>
        <xdr:nvGrpSpPr>
          <xdr:cNvPr id="3" name="Group 2"/>
          <xdr:cNvGrpSpPr/>
        </xdr:nvGrpSpPr>
        <xdr:grpSpPr>
          <a:xfrm>
            <a:off x="15050954" y="2093370"/>
            <a:ext cx="2498964" cy="401583"/>
            <a:chOff x="3969371" y="11269984"/>
            <a:chExt cx="1399822" cy="231681"/>
          </a:xfrm>
          <a:effectLst>
            <a:outerShdw blurRad="63500" sx="102000" sy="102000" algn="ctr" rotWithShape="0">
              <a:prstClr val="black">
                <a:alpha val="40000"/>
              </a:prstClr>
            </a:outerShdw>
          </a:effectLst>
        </xdr:grpSpPr>
        <xdr:sp macro="" textlink="">
          <xdr:nvSpPr>
            <xdr:cNvPr id="4" name="Rectangle 3"/>
            <xdr:cNvSpPr/>
          </xdr:nvSpPr>
          <xdr:spPr>
            <a:xfrm>
              <a:off x="3988722" y="11300453"/>
              <a:ext cx="766298" cy="182881"/>
            </a:xfrm>
            <a:prstGeom prst="rect">
              <a:avLst/>
            </a:prstGeom>
            <a:solidFill>
              <a:schemeClr val="bg1">
                <a:alpha val="85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GB" sz="2400">
                <a:latin typeface="+mn-lt"/>
              </a:endParaRPr>
            </a:p>
          </xdr:txBody>
        </xdr:sp>
        <xdr:sp macro="" textlink="">
          <xdr:nvSpPr>
            <xdr:cNvPr id="5" name="TextBox 4"/>
            <xdr:cNvSpPr txBox="1"/>
          </xdr:nvSpPr>
          <xdr:spPr>
            <a:xfrm>
              <a:off x="3969371" y="11269984"/>
              <a:ext cx="781372" cy="231681"/>
            </a:xfrm>
            <a:prstGeom prst="rect">
              <a:avLst/>
            </a:prstGeom>
            <a:noFill/>
            <a:ln w="9525" cmpd="sng">
              <a:noFill/>
            </a:ln>
            <a:effectLst>
              <a:glow rad="25400">
                <a:schemeClr val="bg1"/>
              </a:glow>
            </a:effectLst>
          </xdr:spPr>
          <xdr:style>
            <a:lnRef idx="0">
              <a:scrgbClr r="0" g="0" b="0"/>
            </a:lnRef>
            <a:fillRef idx="0">
              <a:scrgbClr r="0" g="0" b="0"/>
            </a:fillRef>
            <a:effectRef idx="0">
              <a:scrgbClr r="0" g="0" b="0"/>
            </a:effectRef>
            <a:fontRef idx="minor">
              <a:schemeClr val="dk1"/>
            </a:fontRef>
          </xdr:style>
          <xdr:txBody>
            <a:bodyPr vertOverflow="clip" horzOverflow="clip" wrap="square" lIns="180000" tIns="144000" rtlCol="0" anchor="ctr"/>
            <a:lstStyle/>
            <a:p>
              <a:r>
                <a:rPr lang="en-GB" sz="1100" b="1">
                  <a:solidFill>
                    <a:schemeClr val="dk1"/>
                  </a:solidFill>
                  <a:effectLst/>
                  <a:latin typeface="+mn-lt"/>
                  <a:ea typeface="+mn-ea"/>
                  <a:cs typeface="Calibri" pitchFamily="34" charset="0"/>
                </a:rPr>
                <a:t>Estimated</a:t>
              </a:r>
              <a:r>
                <a:rPr lang="en-GB" sz="1100" b="1" baseline="0">
                  <a:solidFill>
                    <a:schemeClr val="dk1"/>
                  </a:solidFill>
                  <a:effectLst/>
                  <a:latin typeface="+mn-lt"/>
                  <a:ea typeface="+mn-ea"/>
                  <a:cs typeface="Calibri" pitchFamily="34" charset="0"/>
                </a:rPr>
                <a:t> number of </a:t>
              </a:r>
              <a:r>
                <a:rPr lang="en-GB" sz="1100" b="1">
                  <a:solidFill>
                    <a:schemeClr val="dk1"/>
                  </a:solidFill>
                  <a:effectLst/>
                  <a:latin typeface="+mn-lt"/>
                  <a:ea typeface="+mn-ea"/>
                  <a:cs typeface="Calibri" pitchFamily="34" charset="0"/>
                </a:rPr>
                <a:t>IDPs</a:t>
              </a:r>
              <a:r>
                <a:rPr lang="en-GB" sz="1100" b="1" baseline="0">
                  <a:solidFill>
                    <a:schemeClr val="dk1"/>
                  </a:solidFill>
                  <a:effectLst/>
                  <a:latin typeface="+mn-lt"/>
                  <a:ea typeface="+mn-ea"/>
                  <a:cs typeface="Calibri" pitchFamily="34" charset="0"/>
                </a:rPr>
                <a:t> </a:t>
              </a:r>
              <a:endParaRPr lang="en-GB" sz="1100" b="1">
                <a:effectLst/>
                <a:latin typeface="+mn-lt"/>
                <a:cs typeface="Calibri" pitchFamily="34" charset="0"/>
              </a:endParaRPr>
            </a:p>
          </xdr:txBody>
        </xdr:sp>
        <xdr:sp macro="" textlink="$D$42">
          <xdr:nvSpPr>
            <xdr:cNvPr id="6" name="Rectangle 5"/>
            <xdr:cNvSpPr/>
          </xdr:nvSpPr>
          <xdr:spPr>
            <a:xfrm>
              <a:off x="4756498" y="11296634"/>
              <a:ext cx="612695" cy="190899"/>
            </a:xfrm>
            <a:prstGeom prst="rect">
              <a:avLst/>
            </a:prstGeom>
            <a:solidFill>
              <a:schemeClr val="bg1">
                <a:lumMod val="50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lstStyle/>
            <a:p>
              <a:pPr algn="ctr"/>
              <a:fld id="{50412A58-192A-471B-BB97-8A951D7DFE16}" type="TxLink">
                <a:rPr lang="en-US" sz="1800" b="1">
                  <a:latin typeface="+mn-lt"/>
                </a:rPr>
                <a:pPr algn="ctr"/>
                <a:t> 97,628 </a:t>
              </a:fld>
              <a:endParaRPr lang="en-US" sz="1800" b="1">
                <a:latin typeface="+mn-lt"/>
              </a:endParaRPr>
            </a:p>
          </xdr:txBody>
        </xdr:sp>
      </xdr:grpSp>
      <xdr:grpSp>
        <xdr:nvGrpSpPr>
          <xdr:cNvPr id="15" name="Group 14"/>
          <xdr:cNvGrpSpPr/>
        </xdr:nvGrpSpPr>
        <xdr:grpSpPr>
          <a:xfrm>
            <a:off x="15085238" y="1681076"/>
            <a:ext cx="2459845" cy="454426"/>
            <a:chOff x="3988722" y="11269189"/>
            <a:chExt cx="1390501" cy="224198"/>
          </a:xfrm>
          <a:effectLst>
            <a:outerShdw blurRad="63500" sx="102000" sy="102000" algn="ctr" rotWithShape="0">
              <a:prstClr val="black">
                <a:alpha val="40000"/>
              </a:prstClr>
            </a:outerShdw>
          </a:effectLst>
        </xdr:grpSpPr>
        <xdr:sp macro="" textlink="$E$42">
          <xdr:nvSpPr>
            <xdr:cNvPr id="16" name="Rectangle 15"/>
            <xdr:cNvSpPr/>
          </xdr:nvSpPr>
          <xdr:spPr>
            <a:xfrm>
              <a:off x="4768472" y="11296623"/>
              <a:ext cx="610751" cy="190899"/>
            </a:xfrm>
            <a:prstGeom prst="rect">
              <a:avLst/>
            </a:prstGeom>
            <a:solidFill>
              <a:schemeClr val="bg1">
                <a:lumMod val="50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lstStyle/>
            <a:p>
              <a:pPr algn="ctr"/>
              <a:fld id="{555A21FF-3166-4546-AE99-55E11AE0837A}" type="TxLink">
                <a:rPr lang="en-US" sz="1800" b="1">
                  <a:latin typeface="+mn-lt"/>
                </a:rPr>
                <a:pPr algn="ctr"/>
                <a:t> 165 </a:t>
              </a:fld>
              <a:endParaRPr lang="en-US" sz="1800" b="1">
                <a:latin typeface="+mn-lt"/>
              </a:endParaRPr>
            </a:p>
          </xdr:txBody>
        </xdr:sp>
        <xdr:sp macro="" textlink="">
          <xdr:nvSpPr>
            <xdr:cNvPr id="17" name="Rectangle 16"/>
            <xdr:cNvSpPr/>
          </xdr:nvSpPr>
          <xdr:spPr>
            <a:xfrm>
              <a:off x="3988722" y="11300449"/>
              <a:ext cx="773400" cy="182881"/>
            </a:xfrm>
            <a:prstGeom prst="rect">
              <a:avLst/>
            </a:prstGeom>
            <a:solidFill>
              <a:schemeClr val="bg1">
                <a:alpha val="85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GB" sz="2400">
                <a:latin typeface="+mn-lt"/>
              </a:endParaRPr>
            </a:p>
          </xdr:txBody>
        </xdr:sp>
        <xdr:sp macro="" textlink="">
          <xdr:nvSpPr>
            <xdr:cNvPr id="18" name="TextBox 17"/>
            <xdr:cNvSpPr txBox="1"/>
          </xdr:nvSpPr>
          <xdr:spPr>
            <a:xfrm>
              <a:off x="3989053" y="11269189"/>
              <a:ext cx="773069" cy="224198"/>
            </a:xfrm>
            <a:prstGeom prst="rect">
              <a:avLst/>
            </a:prstGeom>
            <a:noFill/>
            <a:ln w="9525" cmpd="sng">
              <a:noFill/>
            </a:ln>
            <a:effectLst>
              <a:glow rad="25400">
                <a:schemeClr val="bg1"/>
              </a:glow>
            </a:effectLst>
          </xdr:spPr>
          <xdr:style>
            <a:lnRef idx="0">
              <a:scrgbClr r="0" g="0" b="0"/>
            </a:lnRef>
            <a:fillRef idx="0">
              <a:scrgbClr r="0" g="0" b="0"/>
            </a:fillRef>
            <a:effectRef idx="0">
              <a:scrgbClr r="0" g="0" b="0"/>
            </a:effectRef>
            <a:fontRef idx="minor">
              <a:schemeClr val="dk1"/>
            </a:fontRef>
          </xdr:style>
          <xdr:txBody>
            <a:bodyPr vertOverflow="clip" horzOverflow="clip" wrap="square" lIns="180000" tIns="144000" rtlCol="0" anchor="ctr"/>
            <a:lstStyle/>
            <a:p>
              <a:r>
                <a:rPr lang="en-GB" sz="1050" b="1">
                  <a:solidFill>
                    <a:schemeClr val="dk1"/>
                  </a:solidFill>
                  <a:effectLst/>
                  <a:latin typeface="+mn-lt"/>
                  <a:ea typeface="+mn-ea"/>
                  <a:cs typeface="Calibri" pitchFamily="34" charset="0"/>
                </a:rPr>
                <a:t># of IDP</a:t>
              </a:r>
              <a:r>
                <a:rPr lang="en-GB" sz="1050" b="1" baseline="0">
                  <a:solidFill>
                    <a:schemeClr val="dk1"/>
                  </a:solidFill>
                  <a:effectLst/>
                  <a:latin typeface="+mn-lt"/>
                  <a:ea typeface="+mn-ea"/>
                  <a:cs typeface="Calibri" pitchFamily="34" charset="0"/>
                </a:rPr>
                <a:t> Locations </a:t>
              </a:r>
              <a:r>
                <a:rPr lang="en-GB" sz="1050" b="1">
                  <a:solidFill>
                    <a:schemeClr val="dk1"/>
                  </a:solidFill>
                  <a:effectLst/>
                  <a:latin typeface="+mn-lt"/>
                  <a:ea typeface="+mn-ea"/>
                  <a:cs typeface="Calibri" pitchFamily="34" charset="0"/>
                </a:rPr>
                <a:t>(host families &amp; Camps)</a:t>
              </a:r>
              <a:endParaRPr lang="en-GB" sz="1050" b="1">
                <a:effectLst/>
                <a:latin typeface="+mn-lt"/>
                <a:cs typeface="Calibri" pitchFamily="34" charset="0"/>
              </a:endParaRPr>
            </a:p>
          </xdr:txBody>
        </xdr:sp>
      </xdr:grpSp>
    </xdr:grpSp>
    <xdr:clientData/>
  </xdr:twoCellAnchor>
  <xdr:twoCellAnchor>
    <xdr:from>
      <xdr:col>0</xdr:col>
      <xdr:colOff>0</xdr:colOff>
      <xdr:row>49</xdr:row>
      <xdr:rowOff>93498</xdr:rowOff>
    </xdr:from>
    <xdr:to>
      <xdr:col>18</xdr:col>
      <xdr:colOff>58615</xdr:colOff>
      <xdr:row>49</xdr:row>
      <xdr:rowOff>93498</xdr:rowOff>
    </xdr:to>
    <xdr:sp macro="" textlink="">
      <xdr:nvSpPr>
        <xdr:cNvPr id="13" name="Line 2"/>
        <xdr:cNvSpPr>
          <a:spLocks noChangeShapeType="1"/>
        </xdr:cNvSpPr>
      </xdr:nvSpPr>
      <xdr:spPr bwMode="auto">
        <a:xfrm>
          <a:off x="0" y="9025017"/>
          <a:ext cx="12250615" cy="0"/>
        </a:xfrm>
        <a:prstGeom prst="line">
          <a:avLst/>
        </a:prstGeom>
        <a:noFill/>
        <a:ln w="12700">
          <a:solidFill>
            <a:srgbClr val="80808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103787</xdr:colOff>
      <xdr:row>50</xdr:row>
      <xdr:rowOff>65072</xdr:rowOff>
    </xdr:from>
    <xdr:to>
      <xdr:col>9</xdr:col>
      <xdr:colOff>443237</xdr:colOff>
      <xdr:row>51</xdr:row>
      <xdr:rowOff>0</xdr:rowOff>
    </xdr:to>
    <xdr:sp macro="" textlink="">
      <xdr:nvSpPr>
        <xdr:cNvPr id="20" name="TextBox 19"/>
        <xdr:cNvSpPr txBox="1"/>
      </xdr:nvSpPr>
      <xdr:spPr>
        <a:xfrm>
          <a:off x="182228" y="9063396"/>
          <a:ext cx="6670774" cy="215075"/>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8000"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GB" sz="1000" baseline="0">
              <a:solidFill>
                <a:schemeClr val="dk1"/>
              </a:solidFill>
              <a:effectLst/>
              <a:latin typeface="Franklin Gothic Book" pitchFamily="34" charset="0"/>
              <a:ea typeface="+mn-ea"/>
              <a:cs typeface="+mn-cs"/>
            </a:rPr>
            <a:t>Sources: UNHCR, Myanmar Information Management Unit (MIMU)  &amp; other humanitarian organizations</a:t>
          </a:r>
          <a:endParaRPr lang="en-GB" sz="1000">
            <a:latin typeface="Franklin Gothic Book" pitchFamily="34" charset="0"/>
          </a:endParaRPr>
        </a:p>
      </xdr:txBody>
    </xdr:sp>
    <xdr:clientData/>
  </xdr:twoCellAnchor>
  <xdr:twoCellAnchor>
    <xdr:from>
      <xdr:col>9</xdr:col>
      <xdr:colOff>433869</xdr:colOff>
      <xdr:row>50</xdr:row>
      <xdr:rowOff>46541</xdr:rowOff>
    </xdr:from>
    <xdr:to>
      <xdr:col>17</xdr:col>
      <xdr:colOff>251321</xdr:colOff>
      <xdr:row>50</xdr:row>
      <xdr:rowOff>269454</xdr:rowOff>
    </xdr:to>
    <xdr:sp macro="" textlink="">
      <xdr:nvSpPr>
        <xdr:cNvPr id="21" name="TextBox 20"/>
        <xdr:cNvSpPr txBox="1">
          <a:spLocks/>
        </xdr:cNvSpPr>
      </xdr:nvSpPr>
      <xdr:spPr>
        <a:xfrm>
          <a:off x="6843634" y="9044865"/>
          <a:ext cx="3829158" cy="222913"/>
        </a:xfrm>
        <a:prstGeom prst="rect">
          <a:avLst/>
        </a:prstGeom>
        <a:solidFill>
          <a:srgbClr val="FDFDFD">
            <a:alpha val="92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rtlCol="0" anchor="ctr">
          <a:noAutofit/>
        </a:bodyPr>
        <a:lstStyle/>
        <a:p>
          <a:pPr algn="r"/>
          <a:r>
            <a:rPr lang="en-GB" sz="1000" baseline="0">
              <a:latin typeface="Franklin Gothic Medium Cond" pitchFamily="34" charset="0"/>
            </a:rPr>
            <a:t>For more information contact the Cluster Coordinator  Edward Benson</a:t>
          </a:r>
          <a:r>
            <a:rPr lang="en-GB" sz="1200" baseline="0">
              <a:latin typeface="Franklin Gothic Medium Cond" pitchFamily="34" charset="0"/>
            </a:rPr>
            <a:t>:   </a:t>
          </a:r>
          <a:endParaRPr lang="en-GB" sz="1400">
            <a:latin typeface="Franklin Gothic Medium Cond" pitchFamily="34" charset="0"/>
          </a:endParaRPr>
        </a:p>
      </xdr:txBody>
    </xdr:sp>
    <xdr:clientData/>
  </xdr:twoCellAnchor>
  <xdr:twoCellAnchor>
    <xdr:from>
      <xdr:col>17</xdr:col>
      <xdr:colOff>242404</xdr:colOff>
      <xdr:row>50</xdr:row>
      <xdr:rowOff>59918</xdr:rowOff>
    </xdr:from>
    <xdr:to>
      <xdr:col>17</xdr:col>
      <xdr:colOff>1669544</xdr:colOff>
      <xdr:row>50</xdr:row>
      <xdr:rowOff>250673</xdr:rowOff>
    </xdr:to>
    <xdr:sp macro="" textlink="">
      <xdr:nvSpPr>
        <xdr:cNvPr id="22" name="TextBox 21"/>
        <xdr:cNvSpPr txBox="1"/>
      </xdr:nvSpPr>
      <xdr:spPr>
        <a:xfrm>
          <a:off x="10692690" y="9598525"/>
          <a:ext cx="1427140" cy="190755"/>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2520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GB" sz="1000" b="0" baseline="0">
              <a:solidFill>
                <a:srgbClr val="0070C0"/>
              </a:solidFill>
              <a:effectLst/>
              <a:latin typeface="Franklin Gothic Demi" pitchFamily="34" charset="0"/>
              <a:ea typeface="+mn-ea"/>
              <a:cs typeface="+mn-cs"/>
            </a:rPr>
            <a:t>benson@unhcr.org</a:t>
          </a:r>
        </a:p>
      </xdr:txBody>
    </xdr:sp>
    <xdr:clientData/>
  </xdr:twoCellAnchor>
  <xdr:twoCellAnchor>
    <xdr:from>
      <xdr:col>11</xdr:col>
      <xdr:colOff>313207</xdr:colOff>
      <xdr:row>4</xdr:row>
      <xdr:rowOff>0</xdr:rowOff>
    </xdr:from>
    <xdr:to>
      <xdr:col>17</xdr:col>
      <xdr:colOff>1723631</xdr:colOff>
      <xdr:row>5</xdr:row>
      <xdr:rowOff>224118</xdr:rowOff>
    </xdr:to>
    <xdr:grpSp>
      <xdr:nvGrpSpPr>
        <xdr:cNvPr id="223" name="Group 222"/>
        <xdr:cNvGrpSpPr/>
      </xdr:nvGrpSpPr>
      <xdr:grpSpPr>
        <a:xfrm>
          <a:off x="7787531" y="571500"/>
          <a:ext cx="4357571" cy="515471"/>
          <a:chOff x="6500812" y="317500"/>
          <a:chExt cx="6186806" cy="575469"/>
        </a:xfrm>
      </xdr:grpSpPr>
      <xdr:pic>
        <xdr:nvPicPr>
          <xdr:cNvPr id="224" name="Picture 223"/>
          <xdr:cNvPicPr>
            <a:picLocks noChangeAspect="1"/>
          </xdr:cNvPicPr>
        </xdr:nvPicPr>
        <xdr:blipFill>
          <a:blip xmlns:r="http://schemas.openxmlformats.org/officeDocument/2006/relationships" r:embed="rId1"/>
          <a:stretch>
            <a:fillRect/>
          </a:stretch>
        </xdr:blipFill>
        <xdr:spPr>
          <a:xfrm>
            <a:off x="8886031" y="317500"/>
            <a:ext cx="3801587" cy="573015"/>
          </a:xfrm>
          <a:prstGeom prst="rect">
            <a:avLst/>
          </a:prstGeom>
        </xdr:spPr>
      </xdr:pic>
      <xdr:pic>
        <xdr:nvPicPr>
          <xdr:cNvPr id="225" name="Picture 224" descr="CCCM sdc-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121020</xdr:colOff>
      <xdr:row>42</xdr:row>
      <xdr:rowOff>78441</xdr:rowOff>
    </xdr:from>
    <xdr:to>
      <xdr:col>17</xdr:col>
      <xdr:colOff>1746248</xdr:colOff>
      <xdr:row>48</xdr:row>
      <xdr:rowOff>168087</xdr:rowOff>
    </xdr:to>
    <xdr:sp macro="" textlink="">
      <xdr:nvSpPr>
        <xdr:cNvPr id="8" name="Rounded Rectangle 7"/>
        <xdr:cNvSpPr/>
      </xdr:nvSpPr>
      <xdr:spPr>
        <a:xfrm>
          <a:off x="8592667" y="7295029"/>
          <a:ext cx="3575052" cy="1389529"/>
        </a:xfrm>
        <a:prstGeom prst="roundRect">
          <a:avLst/>
        </a:prstGeom>
        <a:solidFill>
          <a:schemeClr val="bg1">
            <a:lumMod val="95000"/>
          </a:schemeClr>
        </a:solidFill>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Displacement started in June 2011 due to the fighting between the Government and the Kachin Independence Organization. The majority of IDPs live in camps along the Myanmar-China Border. Approximately 40% of IDPs live in camps in non-Government Controlled areas (NGCA).</a:t>
          </a:r>
          <a:endParaRPr lang="en-US" sz="1100">
            <a:solidFill>
              <a:schemeClr val="lt1"/>
            </a:solidFill>
            <a:effectLst/>
            <a:latin typeface="+mn-lt"/>
            <a:ea typeface="+mn-ea"/>
            <a:cs typeface="+mn-cs"/>
          </a:endParaRPr>
        </a:p>
      </xdr:txBody>
    </xdr:sp>
    <xdr:clientData/>
  </xdr:twoCellAnchor>
  <xdr:twoCellAnchor>
    <xdr:from>
      <xdr:col>5</xdr:col>
      <xdr:colOff>473389</xdr:colOff>
      <xdr:row>14</xdr:row>
      <xdr:rowOff>44789</xdr:rowOff>
    </xdr:from>
    <xdr:to>
      <xdr:col>11</xdr:col>
      <xdr:colOff>600634</xdr:colOff>
      <xdr:row>30</xdr:row>
      <xdr:rowOff>71719</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211452</xdr:colOff>
      <xdr:row>2</xdr:row>
      <xdr:rowOff>21166</xdr:rowOff>
    </xdr:from>
    <xdr:to>
      <xdr:col>15</xdr:col>
      <xdr:colOff>22030</xdr:colOff>
      <xdr:row>3</xdr:row>
      <xdr:rowOff>755</xdr:rowOff>
    </xdr:to>
    <xdr:sp macro="" textlink="">
      <xdr:nvSpPr>
        <xdr:cNvPr id="27" name="Rounded Rectangle 26">
          <a:hlinkClick xmlns:r="http://schemas.openxmlformats.org/officeDocument/2006/relationships" r:id="rId4"/>
        </xdr:cNvPr>
        <xdr:cNvSpPr/>
      </xdr:nvSpPr>
      <xdr:spPr>
        <a:xfrm>
          <a:off x="8307702" y="292262"/>
          <a:ext cx="1444482"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CCCM</a:t>
          </a:r>
          <a:r>
            <a:rPr lang="en-US" sz="1100" b="1" baseline="0"/>
            <a:t> Dashboard</a:t>
          </a:r>
          <a:endParaRPr lang="en-US" sz="1100" b="1"/>
        </a:p>
      </xdr:txBody>
    </xdr:sp>
    <xdr:clientData/>
  </xdr:twoCellAnchor>
  <xdr:twoCellAnchor>
    <xdr:from>
      <xdr:col>1</xdr:col>
      <xdr:colOff>67236</xdr:colOff>
      <xdr:row>2</xdr:row>
      <xdr:rowOff>33262</xdr:rowOff>
    </xdr:from>
    <xdr:to>
      <xdr:col>3</xdr:col>
      <xdr:colOff>211836</xdr:colOff>
      <xdr:row>3</xdr:row>
      <xdr:rowOff>3326</xdr:rowOff>
    </xdr:to>
    <xdr:sp macro="" textlink="">
      <xdr:nvSpPr>
        <xdr:cNvPr id="28" name="Rounded Rectangle 27">
          <a:hlinkClick xmlns:r="http://schemas.openxmlformats.org/officeDocument/2006/relationships" r:id="rId5"/>
        </xdr:cNvPr>
        <xdr:cNvSpPr/>
      </xdr:nvSpPr>
      <xdr:spPr>
        <a:xfrm>
          <a:off x="145677" y="313409"/>
          <a:ext cx="2206483" cy="351064"/>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3</xdr:col>
      <xdr:colOff>454282</xdr:colOff>
      <xdr:row>2</xdr:row>
      <xdr:rowOff>21166</xdr:rowOff>
    </xdr:from>
    <xdr:to>
      <xdr:col>5</xdr:col>
      <xdr:colOff>303607</xdr:colOff>
      <xdr:row>3</xdr:row>
      <xdr:rowOff>755</xdr:rowOff>
    </xdr:to>
    <xdr:sp macro="" textlink="">
      <xdr:nvSpPr>
        <xdr:cNvPr id="29" name="Rounded Rectangle 28">
          <a:hlinkClick xmlns:r="http://schemas.openxmlformats.org/officeDocument/2006/relationships" r:id="rId6"/>
        </xdr:cNvPr>
        <xdr:cNvSpPr/>
      </xdr:nvSpPr>
      <xdr:spPr>
        <a:xfrm>
          <a:off x="2579090" y="292262"/>
          <a:ext cx="1637094"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a:t>
          </a:r>
        </a:p>
      </xdr:txBody>
    </xdr:sp>
    <xdr:clientData/>
  </xdr:twoCellAnchor>
  <xdr:twoCellAnchor>
    <xdr:from>
      <xdr:col>6</xdr:col>
      <xdr:colOff>155756</xdr:colOff>
      <xdr:row>2</xdr:row>
      <xdr:rowOff>21166</xdr:rowOff>
    </xdr:from>
    <xdr:to>
      <xdr:col>9</xdr:col>
      <xdr:colOff>102528</xdr:colOff>
      <xdr:row>3</xdr:row>
      <xdr:rowOff>755</xdr:rowOff>
    </xdr:to>
    <xdr:sp macro="" textlink="">
      <xdr:nvSpPr>
        <xdr:cNvPr id="32" name="Rounded Rectangle 31">
          <a:hlinkClick xmlns:r="http://schemas.openxmlformats.org/officeDocument/2006/relationships" r:id="rId7"/>
        </xdr:cNvPr>
        <xdr:cNvSpPr/>
      </xdr:nvSpPr>
      <xdr:spPr>
        <a:xfrm>
          <a:off x="4456660" y="292262"/>
          <a:ext cx="2034945"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List - Printable</a:t>
          </a:r>
        </a:p>
      </xdr:txBody>
    </xdr:sp>
    <xdr:clientData/>
  </xdr:twoCellAnchor>
  <xdr:twoCellAnchor>
    <xdr:from>
      <xdr:col>9</xdr:col>
      <xdr:colOff>342111</xdr:colOff>
      <xdr:row>2</xdr:row>
      <xdr:rowOff>21166</xdr:rowOff>
    </xdr:from>
    <xdr:to>
      <xdr:col>11</xdr:col>
      <xdr:colOff>620819</xdr:colOff>
      <xdr:row>3</xdr:row>
      <xdr:rowOff>755</xdr:rowOff>
    </xdr:to>
    <xdr:sp macro="" textlink="">
      <xdr:nvSpPr>
        <xdr:cNvPr id="33" name="Rounded Rectangle 32">
          <a:hlinkClick xmlns:r="http://schemas.openxmlformats.org/officeDocument/2006/relationships" r:id="rId8"/>
        </xdr:cNvPr>
        <xdr:cNvSpPr/>
      </xdr:nvSpPr>
      <xdr:spPr>
        <a:xfrm>
          <a:off x="6731188" y="292262"/>
          <a:ext cx="1341112" cy="360589"/>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Camp Analysis</a:t>
          </a:r>
        </a:p>
      </xdr:txBody>
    </xdr:sp>
    <xdr:clientData/>
  </xdr:twoCellAnchor>
  <xdr:twoCellAnchor>
    <xdr:from>
      <xdr:col>9</xdr:col>
      <xdr:colOff>150159</xdr:colOff>
      <xdr:row>38</xdr:row>
      <xdr:rowOff>103082</xdr:rowOff>
    </xdr:from>
    <xdr:to>
      <xdr:col>11</xdr:col>
      <xdr:colOff>605117</xdr:colOff>
      <xdr:row>48</xdr:row>
      <xdr:rowOff>235322</xdr:rowOff>
    </xdr:to>
    <xdr:sp macro="" textlink="">
      <xdr:nvSpPr>
        <xdr:cNvPr id="36" name="Rounded Rectangle 35"/>
        <xdr:cNvSpPr/>
      </xdr:nvSpPr>
      <xdr:spPr>
        <a:xfrm>
          <a:off x="6559924" y="6546464"/>
          <a:ext cx="1519517" cy="2205329"/>
        </a:xfrm>
        <a:prstGeom prst="roundRect">
          <a:avLst/>
        </a:prstGeom>
        <a:solidFill>
          <a:schemeClr val="bg1">
            <a:lumMod val="95000"/>
          </a:schemeClr>
        </a:solidFill>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a:t>
          </a:r>
          <a:r>
            <a:rPr lang="en-US" sz="1100" baseline="0">
              <a:solidFill>
                <a:sysClr val="windowText" lastClr="000000"/>
              </a:solidFill>
              <a:effectLst/>
              <a:latin typeface="+mn-lt"/>
              <a:ea typeface="+mn-ea"/>
              <a:cs typeface="+mn-cs"/>
            </a:rPr>
            <a:t> majority of IDP locations are in or near (less than 5km) urban areas.</a:t>
          </a:r>
          <a:endParaRPr lang="en-US" sz="1100">
            <a:solidFill>
              <a:sysClr val="windowText" lastClr="000000"/>
            </a:solidFill>
            <a:effectLst/>
            <a:latin typeface="+mn-lt"/>
            <a:ea typeface="+mn-ea"/>
            <a:cs typeface="+mn-cs"/>
          </a:endParaRPr>
        </a:p>
      </xdr:txBody>
    </xdr:sp>
    <xdr:clientData/>
  </xdr:twoCellAnchor>
  <xdr:twoCellAnchor>
    <xdr:from>
      <xdr:col>6</xdr:col>
      <xdr:colOff>121540</xdr:colOff>
      <xdr:row>14</xdr:row>
      <xdr:rowOff>68873</xdr:rowOff>
    </xdr:from>
    <xdr:to>
      <xdr:col>11</xdr:col>
      <xdr:colOff>644899</xdr:colOff>
      <xdr:row>15</xdr:row>
      <xdr:rowOff>129383</xdr:rowOff>
    </xdr:to>
    <xdr:sp macro="" textlink="">
      <xdr:nvSpPr>
        <xdr:cNvPr id="39" name="Rounded Rectangle 38"/>
        <xdr:cNvSpPr/>
      </xdr:nvSpPr>
      <xdr:spPr>
        <a:xfrm>
          <a:off x="4447011" y="2410902"/>
          <a:ext cx="3672212" cy="295834"/>
        </a:xfrm>
        <a:prstGeom prst="roundRect">
          <a:avLst/>
        </a:prstGeom>
        <a:solidFill>
          <a:schemeClr val="bg1">
            <a:lumMod val="95000"/>
          </a:schemeClr>
        </a:solidFill>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 of camps by size of population in different townships</a:t>
          </a:r>
        </a:p>
      </xdr:txBody>
    </xdr:sp>
    <xdr:clientData/>
  </xdr:twoCellAnchor>
  <xdr:twoCellAnchor>
    <xdr:from>
      <xdr:col>5</xdr:col>
      <xdr:colOff>502870</xdr:colOff>
      <xdr:row>30</xdr:row>
      <xdr:rowOff>116539</xdr:rowOff>
    </xdr:from>
    <xdr:to>
      <xdr:col>11</xdr:col>
      <xdr:colOff>663387</xdr:colOff>
      <xdr:row>31</xdr:row>
      <xdr:rowOff>179293</xdr:rowOff>
    </xdr:to>
    <xdr:sp macro="" textlink="">
      <xdr:nvSpPr>
        <xdr:cNvPr id="40" name="Rounded Rectangle 39"/>
        <xdr:cNvSpPr/>
      </xdr:nvSpPr>
      <xdr:spPr>
        <a:xfrm>
          <a:off x="4563882" y="5289174"/>
          <a:ext cx="3647787" cy="242048"/>
        </a:xfrm>
        <a:prstGeom prst="roundRect">
          <a:avLst/>
        </a:prstGeom>
        <a:solidFill>
          <a:schemeClr val="bg1">
            <a:lumMod val="95000"/>
          </a:schemeClr>
        </a:solidFill>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Size of Locations</a:t>
          </a:r>
        </a:p>
      </xdr:txBody>
    </xdr:sp>
    <xdr:clientData/>
  </xdr:twoCellAnchor>
  <xdr:twoCellAnchor>
    <xdr:from>
      <xdr:col>12</xdr:col>
      <xdr:colOff>80840</xdr:colOff>
      <xdr:row>6</xdr:row>
      <xdr:rowOff>122464</xdr:rowOff>
    </xdr:from>
    <xdr:to>
      <xdr:col>17</xdr:col>
      <xdr:colOff>1755320</xdr:colOff>
      <xdr:row>9</xdr:row>
      <xdr:rowOff>149678</xdr:rowOff>
    </xdr:to>
    <xdr:sp macro="" textlink="">
      <xdr:nvSpPr>
        <xdr:cNvPr id="35" name="TextBox 1"/>
        <xdr:cNvSpPr txBox="1">
          <a:spLocks/>
        </xdr:cNvSpPr>
      </xdr:nvSpPr>
      <xdr:spPr>
        <a:xfrm>
          <a:off x="8231519" y="1238250"/>
          <a:ext cx="3974087" cy="476249"/>
        </a:xfrm>
        <a:prstGeom prst="rect">
          <a:avLst/>
        </a:prstGeom>
        <a:ln/>
      </xdr:spPr>
      <xdr:style>
        <a:lnRef idx="1">
          <a:schemeClr val="accent4"/>
        </a:lnRef>
        <a:fillRef idx="2">
          <a:schemeClr val="accent4"/>
        </a:fillRef>
        <a:effectRef idx="1">
          <a:schemeClr val="accent4"/>
        </a:effectRef>
        <a:fontRef idx="minor">
          <a:schemeClr val="dk1"/>
        </a:fontRef>
      </xdr:style>
      <xdr:txBody>
        <a:bodyPr wrap="square" t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GB" sz="1050" b="1" baseline="0">
              <a:latin typeface="+mn-lt"/>
            </a:rPr>
            <a:t>Kachin and Northern Shan</a:t>
          </a:r>
        </a:p>
        <a:p>
          <a:pPr algn="ctr"/>
          <a:r>
            <a:rPr lang="en-GB" sz="1050" b="1" baseline="0">
              <a:latin typeface="+mn-lt"/>
            </a:rPr>
            <a:t># of IDPs by Towship</a:t>
          </a:r>
          <a:endParaRPr lang="en-GB" sz="1050" b="1">
            <a:latin typeface="+mn-lt"/>
          </a:endParaRPr>
        </a:p>
      </xdr:txBody>
    </xdr:sp>
    <xdr:clientData/>
  </xdr:twoCellAnchor>
  <xdr:twoCellAnchor editAs="oneCell">
    <xdr:from>
      <xdr:col>12</xdr:col>
      <xdr:colOff>145676</xdr:colOff>
      <xdr:row>10</xdr:row>
      <xdr:rowOff>33178</xdr:rowOff>
    </xdr:from>
    <xdr:to>
      <xdr:col>17</xdr:col>
      <xdr:colOff>1680882</xdr:colOff>
      <xdr:row>40</xdr:row>
      <xdr:rowOff>187282</xdr:rowOff>
    </xdr:to>
    <xdr:pic>
      <xdr:nvPicPr>
        <xdr:cNvPr id="49" name="Picture 4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bwMode="auto">
        <a:xfrm>
          <a:off x="8269941" y="1781296"/>
          <a:ext cx="3832412" cy="5230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503023</xdr:colOff>
      <xdr:row>36</xdr:row>
      <xdr:rowOff>61243</xdr:rowOff>
    </xdr:from>
    <xdr:to>
      <xdr:col>12</xdr:col>
      <xdr:colOff>38417</xdr:colOff>
      <xdr:row>37</xdr:row>
      <xdr:rowOff>152380</xdr:rowOff>
    </xdr:to>
    <xdr:sp macro="" textlink="">
      <xdr:nvSpPr>
        <xdr:cNvPr id="44" name="Rounded Rectangle 43"/>
        <xdr:cNvSpPr/>
      </xdr:nvSpPr>
      <xdr:spPr>
        <a:xfrm>
          <a:off x="3918576" y="6632372"/>
          <a:ext cx="3677088" cy="270432"/>
        </a:xfrm>
        <a:prstGeom prst="roundRect">
          <a:avLst/>
        </a:prstGeom>
        <a:solidFill>
          <a:schemeClr val="bg1">
            <a:lumMod val="95000"/>
          </a:schemeClr>
        </a:solidFill>
      </xdr:spPr>
      <xdr:style>
        <a:lnRef idx="2">
          <a:schemeClr val="accent1">
            <a:shade val="50000"/>
          </a:schemeClr>
        </a:lnRef>
        <a:fillRef idx="1001">
          <a:schemeClr val="lt2"/>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Distance</a:t>
          </a:r>
          <a:r>
            <a:rPr lang="en-US" sz="1000" b="1" baseline="0">
              <a:solidFill>
                <a:sysClr val="windowText" lastClr="000000"/>
              </a:solidFill>
              <a:effectLst/>
              <a:latin typeface="+mn-lt"/>
              <a:ea typeface="+mn-ea"/>
              <a:cs typeface="+mn-cs"/>
            </a:rPr>
            <a:t> to the nearest town</a:t>
          </a:r>
          <a:endParaRPr lang="en-US" sz="1000" b="1">
            <a:solidFill>
              <a:sysClr val="windowText" lastClr="000000"/>
            </a:solidFill>
            <a:effectLst/>
            <a:latin typeface="+mn-lt"/>
            <a:ea typeface="+mn-ea"/>
            <a:cs typeface="+mn-cs"/>
          </a:endParaRPr>
        </a:p>
      </xdr:txBody>
    </xdr:sp>
    <xdr:clientData/>
  </xdr:twoCellAnchor>
  <xdr:twoCellAnchor>
    <xdr:from>
      <xdr:col>6</xdr:col>
      <xdr:colOff>116543</xdr:colOff>
      <xdr:row>6</xdr:row>
      <xdr:rowOff>17929</xdr:rowOff>
    </xdr:from>
    <xdr:to>
      <xdr:col>11</xdr:col>
      <xdr:colOff>618565</xdr:colOff>
      <xdr:row>13</xdr:row>
      <xdr:rowOff>170330</xdr:rowOff>
    </xdr:to>
    <xdr:graphicFrame macro="">
      <xdr:nvGraphicFramePr>
        <xdr:cNvPr id="45" name="Chart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xml><?xml version="1.0" encoding="utf-8"?>
<c:userShapes xmlns:c="http://schemas.openxmlformats.org/drawingml/2006/chart">
  <cdr:absSizeAnchor xmlns:cdr="http://schemas.openxmlformats.org/drawingml/2006/chartDrawing">
    <cdr:from>
      <cdr:x>0.25169</cdr:x>
      <cdr:y>0.03162</cdr:y>
    </cdr:from>
    <cdr:ext cx="1891241" cy="88087"/>
    <cdr:sp macro="" textlink="">
      <cdr:nvSpPr>
        <cdr:cNvPr id="4" name="TextBox 3"/>
        <cdr:cNvSpPr txBox="1">
          <a:spLocks xmlns:a="http://schemas.openxmlformats.org/drawingml/2006/main"/>
        </cdr:cNvSpPr>
      </cdr:nvSpPr>
      <cdr:spPr>
        <a:xfrm xmlns:a="http://schemas.openxmlformats.org/drawingml/2006/main">
          <a:off x="918883" y="37774"/>
          <a:ext cx="1891241" cy="88087"/>
        </a:xfrm>
        <a:prstGeom xmlns:a="http://schemas.openxmlformats.org/drawingml/2006/main" prst="rect">
          <a:avLst/>
        </a:prstGeom>
        <a:solidFill xmlns:a="http://schemas.openxmlformats.org/drawingml/2006/main">
          <a:schemeClr val="bg1">
            <a:alpha val="70000"/>
          </a:schemeClr>
        </a:solidFill>
        <a:ln xmlns:a="http://schemas.openxmlformats.org/drawingml/2006/main" w="9525" cmpd="sng">
          <a:noFill/>
        </a:ln>
        <a:effectLst xmlns:a="http://schemas.openxmlformats.org/drawingml/2006/main">
          <a:outerShdw blurRad="88900" dist="25400" dir="5400000" algn="t" rotWithShape="0">
            <a:prstClr val="black">
              <a:alpha val="11000"/>
            </a:prstClr>
          </a:outerShdw>
        </a:effectLst>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000" baseline="0">
              <a:latin typeface="Franklin Gothic Medium Cond" pitchFamily="34" charset="0"/>
            </a:rPr>
            <a:t>IDP Camp Sizes by %</a:t>
          </a:r>
          <a:endParaRPr lang="en-GB" sz="1000">
            <a:latin typeface="Franklin Gothic Medium Cond" pitchFamily="34" charset="0"/>
          </a:endParaRPr>
        </a:p>
      </cdr:txBody>
    </cdr:sp>
  </cdr:abs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136525</xdr:colOff>
      <xdr:row>40</xdr:row>
      <xdr:rowOff>0</xdr:rowOff>
    </xdr:to>
    <xdr:pic>
      <xdr:nvPicPr>
        <xdr:cNvPr id="9" name="Kachin_Background"/>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85000" cy="9525000"/>
        </a:xfrm>
        <a:prstGeom prst="rect">
          <a:avLst/>
        </a:prstGeom>
        <a:ln>
          <a:solidFill>
            <a:srgbClr val="C00000"/>
          </a:solidFill>
        </a:ln>
      </xdr:spPr>
    </xdr:pic>
    <xdr:clientData/>
  </xdr:twoCellAnchor>
  <xdr:twoCellAnchor>
    <xdr:from>
      <xdr:col>33</xdr:col>
      <xdr:colOff>752908</xdr:colOff>
      <xdr:row>0</xdr:row>
      <xdr:rowOff>132306</xdr:rowOff>
    </xdr:from>
    <xdr:to>
      <xdr:col>37</xdr:col>
      <xdr:colOff>326930</xdr:colOff>
      <xdr:row>7</xdr:row>
      <xdr:rowOff>4045</xdr:rowOff>
    </xdr:to>
    <xdr:grpSp>
      <xdr:nvGrpSpPr>
        <xdr:cNvPr id="3" name="Group 2"/>
        <xdr:cNvGrpSpPr/>
      </xdr:nvGrpSpPr>
      <xdr:grpSpPr>
        <a:xfrm>
          <a:off x="25994158" y="132306"/>
          <a:ext cx="3460222" cy="1605289"/>
          <a:chOff x="6851085" y="2492460"/>
          <a:chExt cx="2709697" cy="1139349"/>
        </a:xfrm>
      </xdr:grpSpPr>
      <xdr:sp macro="" textlink="">
        <xdr:nvSpPr>
          <xdr:cNvPr id="4" name="Rectangle 3"/>
          <xdr:cNvSpPr/>
        </xdr:nvSpPr>
        <xdr:spPr>
          <a:xfrm>
            <a:off x="6879363" y="2492460"/>
            <a:ext cx="2667704" cy="103814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US" sz="1100"/>
          </a:p>
        </xdr:txBody>
      </xdr:sp>
      <xdr:sp macro="" textlink="">
        <xdr:nvSpPr>
          <xdr:cNvPr id="5" name="TextBox 4"/>
          <xdr:cNvSpPr txBox="1"/>
        </xdr:nvSpPr>
        <xdr:spPr>
          <a:xfrm>
            <a:off x="6851085" y="2838220"/>
            <a:ext cx="993171" cy="272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Shelter</a:t>
            </a:r>
          </a:p>
        </xdr:txBody>
      </xdr:sp>
      <xdr:sp macro="" textlink="">
        <xdr:nvSpPr>
          <xdr:cNvPr id="6" name="TextBox 5"/>
          <xdr:cNvSpPr txBox="1"/>
        </xdr:nvSpPr>
        <xdr:spPr>
          <a:xfrm>
            <a:off x="8812390" y="2798292"/>
            <a:ext cx="748392" cy="299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Core</a:t>
            </a:r>
            <a:r>
              <a:rPr lang="en-US" sz="1100" baseline="0"/>
              <a:t> Kits</a:t>
            </a:r>
            <a:endParaRPr lang="en-US" sz="1100"/>
          </a:p>
        </xdr:txBody>
      </xdr:sp>
      <xdr:sp macro="" textlink="">
        <xdr:nvSpPr>
          <xdr:cNvPr id="8" name="TextBox 7"/>
          <xdr:cNvSpPr txBox="1"/>
        </xdr:nvSpPr>
        <xdr:spPr>
          <a:xfrm>
            <a:off x="7786061" y="3291630"/>
            <a:ext cx="1129394" cy="340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Population</a:t>
            </a:r>
          </a:p>
        </xdr:txBody>
      </xdr:sp>
    </xdr:grpSp>
    <xdr:clientData/>
  </xdr:twoCellAnchor>
  <mc:AlternateContent xmlns:mc="http://schemas.openxmlformats.org/markup-compatibility/2006">
    <mc:Choice xmlns:a14="http://schemas.microsoft.com/office/drawing/2010/main" Requires="a14">
      <xdr:twoCellAnchor editAs="oneCell">
        <xdr:from>
          <xdr:col>15</xdr:col>
          <xdr:colOff>0</xdr:colOff>
          <xdr:row>0</xdr:row>
          <xdr:rowOff>133350</xdr:rowOff>
        </xdr:from>
        <xdr:to>
          <xdr:col>18</xdr:col>
          <xdr:colOff>1419225</xdr:colOff>
          <xdr:row>5</xdr:row>
          <xdr:rowOff>47625</xdr:rowOff>
        </xdr:to>
        <xdr:sp macro="" textlink="">
          <xdr:nvSpPr>
            <xdr:cNvPr id="64513" name="CommandButton1" hidden="1">
              <a:extLst>
                <a:ext uri="{63B3BB69-23CF-44E3-9099-C40C66FF867C}">
                  <a14:compatExt spid="_x0000_s645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881413</xdr:colOff>
      <xdr:row>26</xdr:row>
      <xdr:rowOff>26908</xdr:rowOff>
    </xdr:from>
    <xdr:to>
      <xdr:col>18</xdr:col>
      <xdr:colOff>2151413</xdr:colOff>
      <xdr:row>27</xdr:row>
      <xdr:rowOff>169783</xdr:rowOff>
    </xdr:to>
    <xdr:grpSp>
      <xdr:nvGrpSpPr>
        <xdr:cNvPr id="10" name="Location"/>
        <xdr:cNvGrpSpPr/>
      </xdr:nvGrpSpPr>
      <xdr:grpSpPr>
        <a:xfrm>
          <a:off x="9873013" y="6465808"/>
          <a:ext cx="1270000" cy="390525"/>
          <a:chOff x="12380951" y="1905577"/>
          <a:chExt cx="1893717" cy="1135005"/>
        </a:xfrm>
      </xdr:grpSpPr>
      <xdr:sp macro="" textlink="">
        <xdr:nvSpPr>
          <xdr:cNvPr id="11" name="Oval"/>
          <xdr:cNvSpPr/>
        </xdr:nvSpPr>
        <xdr:spPr>
          <a:xfrm>
            <a:off x="13201580" y="2464815"/>
            <a:ext cx="222765" cy="231769"/>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
        <xdr:nvSpPr>
          <xdr:cNvPr id="12" name="Pop"/>
          <xdr:cNvSpPr txBox="1"/>
        </xdr:nvSpPr>
        <xdr:spPr>
          <a:xfrm>
            <a:off x="12959414" y="2665372"/>
            <a:ext cx="708965" cy="366811"/>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54E39C4F-452E-4923-9F30-AFFCD6F8CA12}" type="TxLink">
              <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rPr>
              <a:pPr marL="0" indent="0" algn="ctr"/>
              <a:t>Pop</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
        <xdr:nvSpPr>
          <xdr:cNvPr id="13" name="N_Camp"/>
          <xdr:cNvSpPr txBox="1"/>
        </xdr:nvSpPr>
        <xdr:spPr>
          <a:xfrm>
            <a:off x="13337143" y="2673771"/>
            <a:ext cx="836058" cy="366811"/>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A2CDEAA1-E4FB-467D-A823-4F7D97019284}" type="TxLink">
              <a:rPr lang="en-US" sz="600" i="1">
                <a:solidFill>
                  <a:schemeClr val="tx1"/>
                </a:solidFill>
                <a:latin typeface="Arial" pitchFamily="34" charset="0"/>
                <a:cs typeface="Arial" pitchFamily="34" charset="0"/>
              </a:rPr>
              <a:pPr algn="r"/>
              <a:t>N_cps</a:t>
            </a:fld>
            <a:endParaRPr lang="en-US" sz="600" i="1">
              <a:solidFill>
                <a:schemeClr val="tx1"/>
              </a:solidFill>
              <a:latin typeface="Arial" pitchFamily="34" charset="0"/>
              <a:cs typeface="Arial" pitchFamily="34" charset="0"/>
            </a:endParaRPr>
          </a:p>
        </xdr:txBody>
      </xdr:sp>
      <xdr:sp macro="" textlink="U2">
        <xdr:nvSpPr>
          <xdr:cNvPr id="14" name="Site"/>
          <xdr:cNvSpPr txBox="1"/>
        </xdr:nvSpPr>
        <xdr:spPr>
          <a:xfrm>
            <a:off x="12380951" y="1905577"/>
            <a:ext cx="1893717" cy="540418"/>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1AF379A9-23E2-4BA3-B2CD-3BF13B32DE9F}" type="TxLink">
              <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rPr>
              <a:pPr algn="ctr"/>
              <a:t>Township</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15" name="Cluster"/>
          <xdr:cNvGrpSpPr/>
        </xdr:nvGrpSpPr>
        <xdr:grpSpPr>
          <a:xfrm>
            <a:off x="12477748" y="2348604"/>
            <a:ext cx="1732609" cy="380242"/>
            <a:chOff x="12477748" y="2348604"/>
            <a:chExt cx="1732609" cy="380242"/>
          </a:xfrm>
        </xdr:grpSpPr>
        <xdr:grpSp>
          <xdr:nvGrpSpPr>
            <xdr:cNvPr id="16" name="Shelter_G"/>
            <xdr:cNvGrpSpPr/>
          </xdr:nvGrpSpPr>
          <xdr:grpSpPr>
            <a:xfrm>
              <a:off x="12477748" y="2367654"/>
              <a:ext cx="332972" cy="361192"/>
              <a:chOff x="8585625" y="4782769"/>
              <a:chExt cx="147154" cy="166659"/>
            </a:xfrm>
          </xdr:grpSpPr>
          <xdr:pic>
            <xdr:nvPicPr>
              <xdr:cNvPr id="20" name="Shelter_I"/>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21" name="Shelter_F"/>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17" name="NFI_G"/>
            <xdr:cNvGrpSpPr/>
          </xdr:nvGrpSpPr>
          <xdr:grpSpPr>
            <a:xfrm>
              <a:off x="13877376" y="2348604"/>
              <a:ext cx="332981" cy="361192"/>
              <a:chOff x="8250078" y="5375644"/>
              <a:chExt cx="147158" cy="166659"/>
            </a:xfrm>
          </xdr:grpSpPr>
          <xdr:pic>
            <xdr:nvPicPr>
              <xdr:cNvPr id="18" name="NFI_I"/>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19" name="NFI_F"/>
              <xdr:cNvSpPr/>
            </xdr:nvSpPr>
            <xdr:spPr>
              <a:xfrm>
                <a:off x="8250078" y="5375644"/>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0</xdr:col>
      <xdr:colOff>170393</xdr:colOff>
      <xdr:row>0</xdr:row>
      <xdr:rowOff>154517</xdr:rowOff>
    </xdr:from>
    <xdr:to>
      <xdr:col>2</xdr:col>
      <xdr:colOff>513293</xdr:colOff>
      <xdr:row>7</xdr:row>
      <xdr:rowOff>87842</xdr:rowOff>
    </xdr:to>
    <xdr:grpSp>
      <xdr:nvGrpSpPr>
        <xdr:cNvPr id="7" name="Group 6"/>
        <xdr:cNvGrpSpPr/>
      </xdr:nvGrpSpPr>
      <xdr:grpSpPr>
        <a:xfrm>
          <a:off x="170393" y="154517"/>
          <a:ext cx="2019300" cy="1666875"/>
          <a:chOff x="8172450" y="9248775"/>
          <a:chExt cx="2009775" cy="1362075"/>
        </a:xfrm>
      </xdr:grpSpPr>
      <xdr:sp macro="" textlink="">
        <xdr:nvSpPr>
          <xdr:cNvPr id="2" name="Rounded Rectangle 1"/>
          <xdr:cNvSpPr/>
        </xdr:nvSpPr>
        <xdr:spPr>
          <a:xfrm>
            <a:off x="8172450" y="9248775"/>
            <a:ext cx="2009775" cy="13620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US" sz="1100"/>
          </a:p>
        </xdr:txBody>
      </xdr:sp>
      <xdr:sp macro="" textlink="">
        <xdr:nvSpPr>
          <xdr:cNvPr id="705" name="Oval"/>
          <xdr:cNvSpPr/>
        </xdr:nvSpPr>
        <xdr:spPr>
          <a:xfrm>
            <a:off x="9401175" y="9601200"/>
            <a:ext cx="635470" cy="635469"/>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
        <xdr:nvSpPr>
          <xdr:cNvPr id="706" name="Oval"/>
          <xdr:cNvSpPr/>
        </xdr:nvSpPr>
        <xdr:spPr>
          <a:xfrm>
            <a:off x="8829675" y="9925050"/>
            <a:ext cx="285933" cy="285933"/>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
        <xdr:nvSpPr>
          <xdr:cNvPr id="707" name="Oval"/>
          <xdr:cNvSpPr/>
        </xdr:nvSpPr>
        <xdr:spPr>
          <a:xfrm>
            <a:off x="8343900" y="10086975"/>
            <a:ext cx="119272" cy="119272"/>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mc:AlternateContent xmlns:mc="http://schemas.openxmlformats.org/markup-compatibility/2006">
        <mc:Choice xmlns:a14="http://schemas.microsoft.com/office/drawing/2010/main" Requires="a14">
          <xdr:sp macro="" textlink="">
            <xdr:nvSpPr>
              <xdr:cNvPr id="64514" name="Label 2" hidden="1">
                <a:extLst>
                  <a:ext uri="{63B3BB69-23CF-44E3-9099-C40C66FF867C}">
                    <a14:compatExt spid="_x0000_s64514"/>
                  </a:ext>
                </a:extLst>
              </xdr:cNvPr>
              <xdr:cNvSpPr/>
            </xdr:nvSpPr>
            <xdr:spPr bwMode="auto">
              <a:xfrm>
                <a:off x="8286750" y="10315575"/>
                <a:ext cx="361950" cy="19050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Tahoma"/>
                    <a:ea typeface="Tahoma"/>
                    <a:cs typeface="Tahoma"/>
                  </a:rPr>
                  <a:t>1,000</a:t>
                </a:r>
              </a:p>
              <a:p>
                <a:pPr algn="l" rtl="0">
                  <a:defRPr sz="1000"/>
                </a:pPr>
                <a:endParaRPr lang="en-US" sz="800" b="0" i="0" u="none" strike="noStrike" baseline="0">
                  <a:solidFill>
                    <a:srgbClr val="000000"/>
                  </a:solidFill>
                  <a:latin typeface="Tahoma"/>
                  <a:ea typeface="Tahoma"/>
                  <a:cs typeface="Tahoma"/>
                </a:endParaRPr>
              </a:p>
            </xdr:txBody>
          </xdr:sp>
        </mc:Choice>
        <mc:Fallback/>
      </mc:AlternateContent>
      <mc:AlternateContent xmlns:mc="http://schemas.openxmlformats.org/markup-compatibility/2006">
        <mc:Choice xmlns:a14="http://schemas.microsoft.com/office/drawing/2010/main" Requires="a14">
          <xdr:sp macro="" textlink="">
            <xdr:nvSpPr>
              <xdr:cNvPr id="64515" name="Label 3" hidden="1">
                <a:extLst>
                  <a:ext uri="{63B3BB69-23CF-44E3-9099-C40C66FF867C}">
                    <a14:compatExt spid="_x0000_s64515"/>
                  </a:ext>
                </a:extLst>
              </xdr:cNvPr>
              <xdr:cNvSpPr/>
            </xdr:nvSpPr>
            <xdr:spPr bwMode="auto">
              <a:xfrm>
                <a:off x="8810625" y="10306050"/>
                <a:ext cx="361950" cy="19050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Tahoma"/>
                    <a:ea typeface="Tahoma"/>
                    <a:cs typeface="Tahoma"/>
                  </a:rPr>
                  <a:t>5,000</a:t>
                </a:r>
              </a:p>
              <a:p>
                <a:pPr algn="l" rtl="0">
                  <a:defRPr sz="1000"/>
                </a:pPr>
                <a:endParaRPr lang="en-US" sz="800" b="0" i="0" u="none" strike="noStrike" baseline="0">
                  <a:solidFill>
                    <a:srgbClr val="000000"/>
                  </a:solidFill>
                  <a:latin typeface="Tahoma"/>
                  <a:ea typeface="Tahoma"/>
                  <a:cs typeface="Tahoma"/>
                </a:endParaRPr>
              </a:p>
            </xdr:txBody>
          </xdr:sp>
        </mc:Choice>
        <mc:Fallback/>
      </mc:AlternateContent>
      <mc:AlternateContent xmlns:mc="http://schemas.openxmlformats.org/markup-compatibility/2006">
        <mc:Choice xmlns:a14="http://schemas.microsoft.com/office/drawing/2010/main" Requires="a14">
          <xdr:sp macro="" textlink="">
            <xdr:nvSpPr>
              <xdr:cNvPr id="64516" name="Label 4" hidden="1">
                <a:extLst>
                  <a:ext uri="{63B3BB69-23CF-44E3-9099-C40C66FF867C}">
                    <a14:compatExt spid="_x0000_s64516"/>
                  </a:ext>
                </a:extLst>
              </xdr:cNvPr>
              <xdr:cNvSpPr/>
            </xdr:nvSpPr>
            <xdr:spPr bwMode="auto">
              <a:xfrm>
                <a:off x="9553575" y="10325100"/>
                <a:ext cx="361950" cy="19050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Tahoma"/>
                    <a:ea typeface="Tahoma"/>
                    <a:cs typeface="Tahoma"/>
                  </a:rPr>
                  <a:t>25,000</a:t>
                </a:r>
              </a:p>
              <a:p>
                <a:pPr algn="l" rtl="0">
                  <a:defRPr sz="1000"/>
                </a:pPr>
                <a:endParaRPr lang="en-US" sz="800" b="0" i="0" u="none" strike="noStrike" baseline="0">
                  <a:solidFill>
                    <a:srgbClr val="000000"/>
                  </a:solidFill>
                  <a:latin typeface="Tahoma"/>
                  <a:ea typeface="Tahoma"/>
                  <a:cs typeface="Tahoma"/>
                </a:endParaRPr>
              </a:p>
            </xdr:txBody>
          </xdr:sp>
        </mc:Choice>
        <mc:Fallback/>
      </mc:AlternateContent>
      <mc:AlternateContent xmlns:mc="http://schemas.openxmlformats.org/markup-compatibility/2006">
        <mc:Choice xmlns:a14="http://schemas.microsoft.com/office/drawing/2010/main" Requires="a14">
          <xdr:sp macro="" textlink="">
            <xdr:nvSpPr>
              <xdr:cNvPr id="64518" name="Label 6" hidden="1">
                <a:extLst>
                  <a:ext uri="{63B3BB69-23CF-44E3-9099-C40C66FF867C}">
                    <a14:compatExt spid="_x0000_s64518"/>
                  </a:ext>
                </a:extLst>
              </xdr:cNvPr>
              <xdr:cNvSpPr/>
            </xdr:nvSpPr>
            <xdr:spPr bwMode="auto">
              <a:xfrm>
                <a:off x="8696325" y="9334500"/>
                <a:ext cx="933450" cy="19050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Tahoma"/>
                    <a:ea typeface="Tahoma"/>
                    <a:cs typeface="Tahoma"/>
                  </a:rPr>
                  <a:t>IDPs By Township</a:t>
                </a:r>
              </a:p>
            </xdr:txBody>
          </xdr:sp>
        </mc:Choice>
        <mc:Fallback/>
      </mc:AlternateContent>
    </xdr:grpSp>
    <xdr:clientData/>
  </xdr:twoCellAnchor>
  <xdr:twoCellAnchor>
    <xdr:from>
      <xdr:col>0</xdr:col>
      <xdr:colOff>192564</xdr:colOff>
      <xdr:row>28</xdr:row>
      <xdr:rowOff>8569</xdr:rowOff>
    </xdr:from>
    <xdr:to>
      <xdr:col>1</xdr:col>
      <xdr:colOff>613886</xdr:colOff>
      <xdr:row>33</xdr:row>
      <xdr:rowOff>96516</xdr:rowOff>
    </xdr:to>
    <xdr:grpSp>
      <xdr:nvGrpSpPr>
        <xdr:cNvPr id="546" name="Kachin/Shan_G"/>
        <xdr:cNvGrpSpPr/>
      </xdr:nvGrpSpPr>
      <xdr:grpSpPr>
        <a:xfrm>
          <a:off x="192564" y="6942769"/>
          <a:ext cx="1278572" cy="1326197"/>
          <a:chOff x="12374510" y="887371"/>
          <a:chExt cx="1906595" cy="3922814"/>
        </a:xfrm>
      </xdr:grpSpPr>
      <xdr:sp macro="" textlink="">
        <xdr:nvSpPr>
          <xdr:cNvPr id="547" name="Oval"/>
          <xdr:cNvSpPr/>
        </xdr:nvSpPr>
        <xdr:spPr>
          <a:xfrm>
            <a:off x="12374510" y="887371"/>
            <a:ext cx="1906595" cy="3922814"/>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6">
        <xdr:nvSpPr>
          <xdr:cNvPr id="548" name="Pop" hidden="1"/>
          <xdr:cNvSpPr txBox="1"/>
        </xdr:nvSpPr>
        <xdr:spPr>
          <a:xfrm>
            <a:off x="12959415" y="1683779"/>
            <a:ext cx="708964" cy="2330004"/>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1DAE0558-1BCC-4D53-B23D-B0E4C0E42729}"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97,628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6">
        <xdr:nvSpPr>
          <xdr:cNvPr id="549" name="N_Camp" hidden="1"/>
          <xdr:cNvSpPr txBox="1"/>
        </xdr:nvSpPr>
        <xdr:spPr>
          <a:xfrm>
            <a:off x="13337142" y="2056926"/>
            <a:ext cx="836058" cy="1600500"/>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4168D021-3C76-45F2-8B63-71805B502384}" type="TxLink">
              <a:rPr lang="en-US" sz="1600" b="0" i="0" u="none" strike="noStrike">
                <a:solidFill>
                  <a:srgbClr val="000000"/>
                </a:solidFill>
                <a:latin typeface="Calibri"/>
                <a:cs typeface="Arial" pitchFamily="34" charset="0"/>
              </a:rPr>
              <a:pPr algn="r"/>
              <a:t>165 camps</a:t>
            </a:fld>
            <a:endParaRPr lang="en-US" sz="600" i="1">
              <a:solidFill>
                <a:schemeClr val="tx1"/>
              </a:solidFill>
              <a:latin typeface="Arial" pitchFamily="34" charset="0"/>
              <a:cs typeface="Arial" pitchFamily="34" charset="0"/>
            </a:endParaRPr>
          </a:p>
        </xdr:txBody>
      </xdr:sp>
      <xdr:sp macro="" textlink="U26">
        <xdr:nvSpPr>
          <xdr:cNvPr id="550"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DA8B12D4-D5BE-4552-9C4D-AFD38020031D}"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Kachin/Shan</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51" name="Cluster"/>
          <xdr:cNvGrpSpPr/>
        </xdr:nvGrpSpPr>
        <xdr:grpSpPr>
          <a:xfrm>
            <a:off x="12477748" y="2348604"/>
            <a:ext cx="1732609" cy="380242"/>
            <a:chOff x="12477748" y="2348604"/>
            <a:chExt cx="1732609" cy="380242"/>
          </a:xfrm>
        </xdr:grpSpPr>
        <xdr:grpSp>
          <xdr:nvGrpSpPr>
            <xdr:cNvPr id="552" name="Shelter_G"/>
            <xdr:cNvGrpSpPr/>
          </xdr:nvGrpSpPr>
          <xdr:grpSpPr>
            <a:xfrm>
              <a:off x="12477748" y="2367654"/>
              <a:ext cx="332972" cy="361192"/>
              <a:chOff x="8585625" y="4782769"/>
              <a:chExt cx="147154" cy="166659"/>
            </a:xfrm>
          </xdr:grpSpPr>
          <xdr:pic>
            <xdr:nvPicPr>
              <xdr:cNvPr id="556"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57"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53" name="NFI_G"/>
            <xdr:cNvGrpSpPr/>
          </xdr:nvGrpSpPr>
          <xdr:grpSpPr>
            <a:xfrm>
              <a:off x="13877376" y="2348604"/>
              <a:ext cx="332981" cy="361192"/>
              <a:chOff x="8250078" y="5375644"/>
              <a:chExt cx="147158" cy="166659"/>
            </a:xfrm>
          </xdr:grpSpPr>
          <xdr:pic>
            <xdr:nvPicPr>
              <xdr:cNvPr id="554"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55"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3</xdr:col>
      <xdr:colOff>60325</xdr:colOff>
      <xdr:row>26</xdr:row>
      <xdr:rowOff>107950</xdr:rowOff>
    </xdr:from>
    <xdr:to>
      <xdr:col>5</xdr:col>
      <xdr:colOff>120650</xdr:colOff>
      <xdr:row>29</xdr:row>
      <xdr:rowOff>152711</xdr:rowOff>
    </xdr:to>
    <xdr:grpSp>
      <xdr:nvGrpSpPr>
        <xdr:cNvPr id="318" name="Bhamo_G"/>
        <xdr:cNvGrpSpPr/>
      </xdr:nvGrpSpPr>
      <xdr:grpSpPr>
        <a:xfrm>
          <a:off x="2308225" y="6546850"/>
          <a:ext cx="1260475" cy="787711"/>
          <a:chOff x="12380951" y="1675478"/>
          <a:chExt cx="1893717" cy="2346603"/>
        </a:xfrm>
      </xdr:grpSpPr>
      <xdr:sp macro="" textlink="">
        <xdr:nvSpPr>
          <xdr:cNvPr id="319" name="Oval"/>
          <xdr:cNvSpPr/>
        </xdr:nvSpPr>
        <xdr:spPr>
          <a:xfrm>
            <a:off x="13051260" y="2279782"/>
            <a:ext cx="553098" cy="1137997"/>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3">
        <xdr:nvSpPr>
          <xdr:cNvPr id="320"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5FEF8AA7-8F4E-4102-B1FC-44F9AB9967DD}"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8,403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3">
        <xdr:nvSpPr>
          <xdr:cNvPr id="321" name="N_Camp" hidden="1"/>
          <xdr:cNvSpPr txBox="1"/>
        </xdr:nvSpPr>
        <xdr:spPr>
          <a:xfrm>
            <a:off x="13337142" y="2056926"/>
            <a:ext cx="836058" cy="1600500"/>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C4B8C6A7-97D1-4DCB-9B2C-0B3314120F89}" type="TxLink">
              <a:rPr lang="en-US" sz="1600" b="0" i="0" u="none" strike="noStrike">
                <a:solidFill>
                  <a:srgbClr val="000000"/>
                </a:solidFill>
                <a:latin typeface="Calibri"/>
                <a:cs typeface="Arial" pitchFamily="34" charset="0"/>
              </a:rPr>
              <a:pPr algn="r"/>
              <a:t>Column1 cps</a:t>
            </a:fld>
            <a:endParaRPr lang="en-US" sz="600" i="1">
              <a:solidFill>
                <a:schemeClr val="tx1"/>
              </a:solidFill>
              <a:latin typeface="Arial" pitchFamily="34" charset="0"/>
              <a:cs typeface="Arial" pitchFamily="34" charset="0"/>
            </a:endParaRPr>
          </a:p>
        </xdr:txBody>
      </xdr:sp>
      <xdr:sp macro="" textlink="U3">
        <xdr:nvSpPr>
          <xdr:cNvPr id="322"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CBF4D511-719B-41FA-8A3F-2B786E7A2C42}"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Bhamo</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23" name="Cluster"/>
          <xdr:cNvGrpSpPr/>
        </xdr:nvGrpSpPr>
        <xdr:grpSpPr>
          <a:xfrm>
            <a:off x="12477748" y="2348604"/>
            <a:ext cx="1732609" cy="380242"/>
            <a:chOff x="12477748" y="2348604"/>
            <a:chExt cx="1732609" cy="380242"/>
          </a:xfrm>
        </xdr:grpSpPr>
        <xdr:grpSp>
          <xdr:nvGrpSpPr>
            <xdr:cNvPr id="324" name="Shelter_G"/>
            <xdr:cNvGrpSpPr/>
          </xdr:nvGrpSpPr>
          <xdr:grpSpPr>
            <a:xfrm>
              <a:off x="12477748" y="2367654"/>
              <a:ext cx="332972" cy="361192"/>
              <a:chOff x="8585625" y="4782769"/>
              <a:chExt cx="147154" cy="166659"/>
            </a:xfrm>
          </xdr:grpSpPr>
          <xdr:pic>
            <xdr:nvPicPr>
              <xdr:cNvPr id="328"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329"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25" name="NFI_G"/>
            <xdr:cNvGrpSpPr/>
          </xdr:nvGrpSpPr>
          <xdr:grpSpPr>
            <a:xfrm>
              <a:off x="13877376" y="2348604"/>
              <a:ext cx="332981" cy="361192"/>
              <a:chOff x="8250078" y="5375644"/>
              <a:chExt cx="147158" cy="166659"/>
            </a:xfrm>
          </xdr:grpSpPr>
          <xdr:pic>
            <xdr:nvPicPr>
              <xdr:cNvPr id="326"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27"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6</xdr:col>
      <xdr:colOff>184150</xdr:colOff>
      <xdr:row>15</xdr:row>
      <xdr:rowOff>60325</xdr:rowOff>
    </xdr:from>
    <xdr:to>
      <xdr:col>8</xdr:col>
      <xdr:colOff>339725</xdr:colOff>
      <xdr:row>18</xdr:row>
      <xdr:rowOff>105086</xdr:rowOff>
    </xdr:to>
    <xdr:grpSp>
      <xdr:nvGrpSpPr>
        <xdr:cNvPr id="330" name="Chipwi_G"/>
        <xdr:cNvGrpSpPr/>
      </xdr:nvGrpSpPr>
      <xdr:grpSpPr>
        <a:xfrm>
          <a:off x="4298950" y="3775075"/>
          <a:ext cx="1279525" cy="787711"/>
          <a:chOff x="12380951" y="1675478"/>
          <a:chExt cx="1893717" cy="2346603"/>
        </a:xfrm>
      </xdr:grpSpPr>
      <xdr:sp macro="" textlink="">
        <xdr:nvSpPr>
          <xdr:cNvPr id="331" name="Oval"/>
          <xdr:cNvSpPr/>
        </xdr:nvSpPr>
        <xdr:spPr>
          <a:xfrm>
            <a:off x="13175287" y="2534963"/>
            <a:ext cx="305045" cy="627630"/>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4">
        <xdr:nvSpPr>
          <xdr:cNvPr id="332"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2A9E05A1-0DD4-4F0D-A9CD-FCD3C06E7790}"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2,556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4">
        <xdr:nvSpPr>
          <xdr:cNvPr id="333"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0BA7A6A0-99A3-427B-86DE-A1AACBFEF970}" type="TxLink">
              <a:rPr lang="en-US" sz="1600" b="0" i="0" u="none" strike="noStrike">
                <a:solidFill>
                  <a:srgbClr val="000000"/>
                </a:solidFill>
                <a:latin typeface="Calibri"/>
                <a:cs typeface="Arial" pitchFamily="34" charset="0"/>
              </a:rPr>
              <a:pPr algn="r"/>
              <a:t>11 cps</a:t>
            </a:fld>
            <a:endParaRPr lang="en-US" sz="600" i="1">
              <a:solidFill>
                <a:schemeClr val="tx1"/>
              </a:solidFill>
              <a:latin typeface="Arial" pitchFamily="34" charset="0"/>
              <a:cs typeface="Arial" pitchFamily="34" charset="0"/>
            </a:endParaRPr>
          </a:p>
        </xdr:txBody>
      </xdr:sp>
      <xdr:sp macro="" textlink="U4">
        <xdr:nvSpPr>
          <xdr:cNvPr id="334"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10B67189-D669-49E9-9636-8998BA7F55D4}"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Chipwi</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35" name="Cluster"/>
          <xdr:cNvGrpSpPr/>
        </xdr:nvGrpSpPr>
        <xdr:grpSpPr>
          <a:xfrm>
            <a:off x="12477748" y="2348604"/>
            <a:ext cx="1732609" cy="380242"/>
            <a:chOff x="12477748" y="2348604"/>
            <a:chExt cx="1732609" cy="380242"/>
          </a:xfrm>
        </xdr:grpSpPr>
        <xdr:grpSp>
          <xdr:nvGrpSpPr>
            <xdr:cNvPr id="336" name="Shelter_G"/>
            <xdr:cNvGrpSpPr/>
          </xdr:nvGrpSpPr>
          <xdr:grpSpPr>
            <a:xfrm>
              <a:off x="12477748" y="2367654"/>
              <a:ext cx="332972" cy="361192"/>
              <a:chOff x="8585625" y="4782769"/>
              <a:chExt cx="147154" cy="166659"/>
            </a:xfrm>
          </xdr:grpSpPr>
          <xdr:pic>
            <xdr:nvPicPr>
              <xdr:cNvPr id="340"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341"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37" name="NFI_G"/>
            <xdr:cNvGrpSpPr/>
          </xdr:nvGrpSpPr>
          <xdr:grpSpPr>
            <a:xfrm>
              <a:off x="13877376" y="2348604"/>
              <a:ext cx="332981" cy="361192"/>
              <a:chOff x="8250078" y="5375644"/>
              <a:chExt cx="147158" cy="166659"/>
            </a:xfrm>
          </xdr:grpSpPr>
          <xdr:pic>
            <xdr:nvPicPr>
              <xdr:cNvPr id="338"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39"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1</xdr:col>
      <xdr:colOff>219075</xdr:colOff>
      <xdr:row>15</xdr:row>
      <xdr:rowOff>85725</xdr:rowOff>
    </xdr:from>
    <xdr:to>
      <xdr:col>3</xdr:col>
      <xdr:colOff>88900</xdr:colOff>
      <xdr:row>18</xdr:row>
      <xdr:rowOff>130486</xdr:rowOff>
    </xdr:to>
    <xdr:grpSp>
      <xdr:nvGrpSpPr>
        <xdr:cNvPr id="342" name="Hpakant_G"/>
        <xdr:cNvGrpSpPr/>
      </xdr:nvGrpSpPr>
      <xdr:grpSpPr>
        <a:xfrm>
          <a:off x="1076325" y="3800475"/>
          <a:ext cx="1260475" cy="787711"/>
          <a:chOff x="12380951" y="1675478"/>
          <a:chExt cx="1893717" cy="2346603"/>
        </a:xfrm>
      </xdr:grpSpPr>
      <xdr:sp macro="" textlink="">
        <xdr:nvSpPr>
          <xdr:cNvPr id="343" name="Oval"/>
          <xdr:cNvSpPr/>
        </xdr:nvSpPr>
        <xdr:spPr>
          <a:xfrm>
            <a:off x="13148390" y="2479622"/>
            <a:ext cx="358841" cy="738315"/>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5">
        <xdr:nvSpPr>
          <xdr:cNvPr id="344"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E675FB37-E419-4C52-8EC7-033669C7224E}"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3,537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5">
        <xdr:nvSpPr>
          <xdr:cNvPr id="345"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233347D0-3DDF-4CA0-A623-4224BF7FFA0C}" type="TxLink">
              <a:rPr lang="en-US" sz="1600" b="0" i="0" u="none" strike="noStrike">
                <a:solidFill>
                  <a:srgbClr val="000000"/>
                </a:solidFill>
                <a:latin typeface="Calibri"/>
                <a:cs typeface="Arial" pitchFamily="34" charset="0"/>
              </a:rPr>
              <a:pPr algn="r"/>
              <a:t>5 cps</a:t>
            </a:fld>
            <a:endParaRPr lang="en-US" sz="600" i="1">
              <a:solidFill>
                <a:schemeClr val="tx1"/>
              </a:solidFill>
              <a:latin typeface="Arial" pitchFamily="34" charset="0"/>
              <a:cs typeface="Arial" pitchFamily="34" charset="0"/>
            </a:endParaRPr>
          </a:p>
        </xdr:txBody>
      </xdr:sp>
      <xdr:sp macro="" textlink="U5">
        <xdr:nvSpPr>
          <xdr:cNvPr id="346"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17FD38B9-4162-40E0-AB4D-D79ED6B61DD0}"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Hpakant</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47" name="Cluster"/>
          <xdr:cNvGrpSpPr/>
        </xdr:nvGrpSpPr>
        <xdr:grpSpPr>
          <a:xfrm>
            <a:off x="12477748" y="2348604"/>
            <a:ext cx="1732609" cy="380242"/>
            <a:chOff x="12477748" y="2348604"/>
            <a:chExt cx="1732609" cy="380242"/>
          </a:xfrm>
        </xdr:grpSpPr>
        <xdr:grpSp>
          <xdr:nvGrpSpPr>
            <xdr:cNvPr id="348" name="Shelter_G"/>
            <xdr:cNvGrpSpPr/>
          </xdr:nvGrpSpPr>
          <xdr:grpSpPr>
            <a:xfrm>
              <a:off x="12477748" y="2367654"/>
              <a:ext cx="332972" cy="361192"/>
              <a:chOff x="8585625" y="4782769"/>
              <a:chExt cx="147154" cy="166659"/>
            </a:xfrm>
          </xdr:grpSpPr>
          <xdr:pic>
            <xdr:nvPicPr>
              <xdr:cNvPr id="352"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353"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49" name="NFI_G"/>
            <xdr:cNvGrpSpPr/>
          </xdr:nvGrpSpPr>
          <xdr:grpSpPr>
            <a:xfrm>
              <a:off x="13877376" y="2348604"/>
              <a:ext cx="332981" cy="361192"/>
              <a:chOff x="8250078" y="5375644"/>
              <a:chExt cx="147158" cy="166659"/>
            </a:xfrm>
          </xdr:grpSpPr>
          <xdr:pic>
            <xdr:nvPicPr>
              <xdr:cNvPr id="350"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51"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5</xdr:col>
      <xdr:colOff>473075</xdr:colOff>
      <xdr:row>33</xdr:row>
      <xdr:rowOff>130175</xdr:rowOff>
    </xdr:from>
    <xdr:to>
      <xdr:col>7</xdr:col>
      <xdr:colOff>533400</xdr:colOff>
      <xdr:row>36</xdr:row>
      <xdr:rowOff>34692</xdr:rowOff>
    </xdr:to>
    <xdr:grpSp>
      <xdr:nvGrpSpPr>
        <xdr:cNvPr id="354" name="Hseni_G"/>
        <xdr:cNvGrpSpPr/>
      </xdr:nvGrpSpPr>
      <xdr:grpSpPr>
        <a:xfrm>
          <a:off x="3921125" y="8302625"/>
          <a:ext cx="1279525" cy="647467"/>
          <a:chOff x="12380951" y="1748589"/>
          <a:chExt cx="1893717" cy="1900439"/>
        </a:xfrm>
      </xdr:grpSpPr>
      <xdr:sp macro="" textlink="">
        <xdr:nvSpPr>
          <xdr:cNvPr id="355" name="Oval"/>
          <xdr:cNvSpPr/>
        </xdr:nvSpPr>
        <xdr:spPr>
          <a:xfrm>
            <a:off x="13255341" y="2550693"/>
            <a:ext cx="144935" cy="296232"/>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6">
        <xdr:nvSpPr>
          <xdr:cNvPr id="356"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CA982D2D-601E-4CFE-A616-7E3C62029B17}"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577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6">
        <xdr:nvSpPr>
          <xdr:cNvPr id="357"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7B631888-117B-41E7-ABBE-36CBC2E76AA0}" type="TxLink">
              <a:rPr lang="en-US" sz="1600" b="0" i="0" u="none" strike="noStrike">
                <a:solidFill>
                  <a:srgbClr val="000000"/>
                </a:solidFill>
                <a:latin typeface="Calibri"/>
                <a:cs typeface="Arial" pitchFamily="34" charset="0"/>
              </a:rPr>
              <a:pPr algn="r"/>
              <a:t>22 cps</a:t>
            </a:fld>
            <a:endParaRPr lang="en-US" sz="600" i="1">
              <a:solidFill>
                <a:schemeClr val="tx1"/>
              </a:solidFill>
              <a:latin typeface="Arial" pitchFamily="34" charset="0"/>
              <a:cs typeface="Arial" pitchFamily="34" charset="0"/>
            </a:endParaRPr>
          </a:p>
        </xdr:txBody>
      </xdr:sp>
      <xdr:sp macro="" textlink="U6">
        <xdr:nvSpPr>
          <xdr:cNvPr id="358"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9B230A73-6DCA-4FF6-8002-39E4B8C9EF7D}"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Hseni</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59" name="Cluster"/>
          <xdr:cNvGrpSpPr/>
        </xdr:nvGrpSpPr>
        <xdr:grpSpPr>
          <a:xfrm>
            <a:off x="12477748" y="2348604"/>
            <a:ext cx="1732609" cy="380242"/>
            <a:chOff x="12477748" y="2348604"/>
            <a:chExt cx="1732609" cy="380242"/>
          </a:xfrm>
        </xdr:grpSpPr>
        <xdr:grpSp>
          <xdr:nvGrpSpPr>
            <xdr:cNvPr id="360" name="Shelter_G"/>
            <xdr:cNvGrpSpPr/>
          </xdr:nvGrpSpPr>
          <xdr:grpSpPr>
            <a:xfrm>
              <a:off x="12477748" y="2367654"/>
              <a:ext cx="332972" cy="361192"/>
              <a:chOff x="8585625" y="4782769"/>
              <a:chExt cx="147154" cy="166659"/>
            </a:xfrm>
          </xdr:grpSpPr>
          <xdr:pic>
            <xdr:nvPicPr>
              <xdr:cNvPr id="364"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365"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61" name="NFI_G"/>
            <xdr:cNvGrpSpPr/>
          </xdr:nvGrpSpPr>
          <xdr:grpSpPr>
            <a:xfrm>
              <a:off x="13877376" y="2348604"/>
              <a:ext cx="332981" cy="361192"/>
              <a:chOff x="8250078" y="5375644"/>
              <a:chExt cx="147158" cy="166659"/>
            </a:xfrm>
          </xdr:grpSpPr>
          <xdr:pic>
            <xdr:nvPicPr>
              <xdr:cNvPr id="362"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63"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3</xdr:col>
      <xdr:colOff>352425</xdr:colOff>
      <xdr:row>38</xdr:row>
      <xdr:rowOff>31750</xdr:rowOff>
    </xdr:from>
    <xdr:to>
      <xdr:col>5</xdr:col>
      <xdr:colOff>412750</xdr:colOff>
      <xdr:row>40</xdr:row>
      <xdr:rowOff>174392</xdr:rowOff>
    </xdr:to>
    <xdr:grpSp>
      <xdr:nvGrpSpPr>
        <xdr:cNvPr id="366" name="Hsipaw_G"/>
        <xdr:cNvGrpSpPr/>
      </xdr:nvGrpSpPr>
      <xdr:grpSpPr>
        <a:xfrm>
          <a:off x="2600325" y="9442450"/>
          <a:ext cx="1260475" cy="637942"/>
          <a:chOff x="12380951" y="1748589"/>
          <a:chExt cx="1893717" cy="1900439"/>
        </a:xfrm>
      </xdr:grpSpPr>
      <xdr:sp macro="" textlink="">
        <xdr:nvSpPr>
          <xdr:cNvPr id="367" name="Oval"/>
          <xdr:cNvSpPr/>
        </xdr:nvSpPr>
        <xdr:spPr>
          <a:xfrm>
            <a:off x="13294761" y="2631262"/>
            <a:ext cx="66096" cy="135093"/>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7">
        <xdr:nvSpPr>
          <xdr:cNvPr id="368"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29FB391F-3329-49D4-9D77-D98FB5A1004D}"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120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7">
        <xdr:nvSpPr>
          <xdr:cNvPr id="369"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A77559F4-381B-451D-A94E-D3C2A1E38909}" type="TxLink">
              <a:rPr lang="en-US" sz="1600" b="0" i="0" u="none" strike="noStrike">
                <a:solidFill>
                  <a:srgbClr val="000000"/>
                </a:solidFill>
                <a:latin typeface="Calibri"/>
                <a:cs typeface="Arial" pitchFamily="34" charset="0"/>
              </a:rPr>
              <a:pPr algn="r"/>
              <a:t>2 cps</a:t>
            </a:fld>
            <a:endParaRPr lang="en-US" sz="600" i="1">
              <a:solidFill>
                <a:schemeClr val="tx1"/>
              </a:solidFill>
              <a:latin typeface="Arial" pitchFamily="34" charset="0"/>
              <a:cs typeface="Arial" pitchFamily="34" charset="0"/>
            </a:endParaRPr>
          </a:p>
        </xdr:txBody>
      </xdr:sp>
      <xdr:sp macro="" textlink="U7">
        <xdr:nvSpPr>
          <xdr:cNvPr id="370"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D890CC85-BAE5-428B-99BB-17A30495FC54}"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Hsipaw</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71" name="Cluster"/>
          <xdr:cNvGrpSpPr/>
        </xdr:nvGrpSpPr>
        <xdr:grpSpPr>
          <a:xfrm>
            <a:off x="12477748" y="2348604"/>
            <a:ext cx="1732609" cy="380242"/>
            <a:chOff x="12477748" y="2348604"/>
            <a:chExt cx="1732609" cy="380242"/>
          </a:xfrm>
        </xdr:grpSpPr>
        <xdr:grpSp>
          <xdr:nvGrpSpPr>
            <xdr:cNvPr id="372" name="Shelter_G"/>
            <xdr:cNvGrpSpPr/>
          </xdr:nvGrpSpPr>
          <xdr:grpSpPr>
            <a:xfrm>
              <a:off x="12477748" y="2367654"/>
              <a:ext cx="332972" cy="361192"/>
              <a:chOff x="8585625" y="4782769"/>
              <a:chExt cx="147154" cy="166659"/>
            </a:xfrm>
          </xdr:grpSpPr>
          <xdr:pic>
            <xdr:nvPicPr>
              <xdr:cNvPr id="376"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377"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73" name="NFI_G"/>
            <xdr:cNvGrpSpPr/>
          </xdr:nvGrpSpPr>
          <xdr:grpSpPr>
            <a:xfrm>
              <a:off x="13877376" y="2348604"/>
              <a:ext cx="332981" cy="361192"/>
              <a:chOff x="8250078" y="5375644"/>
              <a:chExt cx="147158" cy="166659"/>
            </a:xfrm>
          </xdr:grpSpPr>
          <xdr:pic>
            <xdr:nvPicPr>
              <xdr:cNvPr id="374"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75"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5</xdr:col>
      <xdr:colOff>130175</xdr:colOff>
      <xdr:row>13</xdr:row>
      <xdr:rowOff>15875</xdr:rowOff>
    </xdr:from>
    <xdr:to>
      <xdr:col>7</xdr:col>
      <xdr:colOff>190500</xdr:colOff>
      <xdr:row>15</xdr:row>
      <xdr:rowOff>36111</xdr:rowOff>
    </xdr:to>
    <xdr:grpSp>
      <xdr:nvGrpSpPr>
        <xdr:cNvPr id="378" name="Injangyang_G"/>
        <xdr:cNvGrpSpPr/>
      </xdr:nvGrpSpPr>
      <xdr:grpSpPr>
        <a:xfrm>
          <a:off x="3578225" y="3235325"/>
          <a:ext cx="1279525" cy="515536"/>
          <a:chOff x="12380951" y="1748589"/>
          <a:chExt cx="1893717" cy="1535789"/>
        </a:xfrm>
      </xdr:grpSpPr>
      <xdr:sp macro="" textlink="">
        <xdr:nvSpPr>
          <xdr:cNvPr id="379" name="Oval"/>
          <xdr:cNvSpPr/>
        </xdr:nvSpPr>
        <xdr:spPr>
          <a:xfrm>
            <a:off x="13327810" y="2516484"/>
            <a:ext cx="0" cy="0"/>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8">
        <xdr:nvSpPr>
          <xdr:cNvPr id="380" name="Pop" hidden="1"/>
          <xdr:cNvSpPr txBox="1"/>
        </xdr:nvSpPr>
        <xdr:spPr>
          <a:xfrm>
            <a:off x="12959414" y="2421581"/>
            <a:ext cx="708964" cy="854396"/>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12D5CE22-8241-4C06-8D84-DB36C6684094}"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8">
        <xdr:nvSpPr>
          <xdr:cNvPr id="381" name="N_Camp" hidden="1"/>
          <xdr:cNvSpPr txBox="1"/>
        </xdr:nvSpPr>
        <xdr:spPr>
          <a:xfrm>
            <a:off x="13337142" y="2429982"/>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2FA2F769-B457-4086-A907-CB75CD54185D}" type="TxLink">
              <a:rPr lang="en-US" sz="1600" b="0" i="0" u="none" strike="noStrike">
                <a:solidFill>
                  <a:srgbClr val="000000"/>
                </a:solidFill>
                <a:latin typeface="Calibri"/>
                <a:cs typeface="Arial" pitchFamily="34" charset="0"/>
              </a:rPr>
              <a:pPr algn="r"/>
              <a:t>1 cp</a:t>
            </a:fld>
            <a:endParaRPr lang="en-US" sz="600" i="1">
              <a:solidFill>
                <a:schemeClr val="tx1"/>
              </a:solidFill>
              <a:latin typeface="Arial" pitchFamily="34" charset="0"/>
              <a:cs typeface="Arial" pitchFamily="34" charset="0"/>
            </a:endParaRPr>
          </a:p>
        </xdr:txBody>
      </xdr:sp>
      <xdr:sp macro="" textlink="U8">
        <xdr:nvSpPr>
          <xdr:cNvPr id="382"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88E75323-31A7-4AC7-AA7D-4C45B4B6CA50}"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Injangyang</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83" name="Cluster"/>
          <xdr:cNvGrpSpPr/>
        </xdr:nvGrpSpPr>
        <xdr:grpSpPr>
          <a:xfrm>
            <a:off x="12477748" y="2348604"/>
            <a:ext cx="1732609" cy="380242"/>
            <a:chOff x="12477748" y="2348604"/>
            <a:chExt cx="1732609" cy="380242"/>
          </a:xfrm>
        </xdr:grpSpPr>
        <xdr:grpSp>
          <xdr:nvGrpSpPr>
            <xdr:cNvPr id="384" name="Shelter_G"/>
            <xdr:cNvGrpSpPr/>
          </xdr:nvGrpSpPr>
          <xdr:grpSpPr>
            <a:xfrm>
              <a:off x="12477748" y="2367654"/>
              <a:ext cx="332972" cy="361192"/>
              <a:chOff x="8585625" y="4782769"/>
              <a:chExt cx="147154" cy="166659"/>
            </a:xfrm>
          </xdr:grpSpPr>
          <xdr:pic>
            <xdr:nvPicPr>
              <xdr:cNvPr id="388"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389"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85" name="NFI_G"/>
            <xdr:cNvGrpSpPr/>
          </xdr:nvGrpSpPr>
          <xdr:grpSpPr>
            <a:xfrm>
              <a:off x="13877376" y="2348604"/>
              <a:ext cx="332981" cy="361192"/>
              <a:chOff x="8250078" y="5375644"/>
              <a:chExt cx="147158" cy="166659"/>
            </a:xfrm>
          </xdr:grpSpPr>
          <xdr:pic>
            <xdr:nvPicPr>
              <xdr:cNvPr id="386"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87"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6</xdr:col>
      <xdr:colOff>374650</xdr:colOff>
      <xdr:row>7</xdr:row>
      <xdr:rowOff>9525</xdr:rowOff>
    </xdr:from>
    <xdr:to>
      <xdr:col>9</xdr:col>
      <xdr:colOff>53975</xdr:colOff>
      <xdr:row>9</xdr:row>
      <xdr:rowOff>145463</xdr:rowOff>
    </xdr:to>
    <xdr:grpSp>
      <xdr:nvGrpSpPr>
        <xdr:cNvPr id="390" name="Khaunglanhpu_G"/>
        <xdr:cNvGrpSpPr/>
      </xdr:nvGrpSpPr>
      <xdr:grpSpPr>
        <a:xfrm>
          <a:off x="4489450" y="1743075"/>
          <a:ext cx="1279525" cy="631238"/>
          <a:chOff x="12380951" y="1375536"/>
          <a:chExt cx="1893717" cy="1908842"/>
        </a:xfrm>
      </xdr:grpSpPr>
      <xdr:sp macro="" textlink="">
        <xdr:nvSpPr>
          <xdr:cNvPr id="391" name="Oval"/>
          <xdr:cNvSpPr/>
        </xdr:nvSpPr>
        <xdr:spPr>
          <a:xfrm>
            <a:off x="13327810" y="2329957"/>
            <a:ext cx="0" cy="0"/>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9">
        <xdr:nvSpPr>
          <xdr:cNvPr id="392" name="Pop" hidden="1"/>
          <xdr:cNvSpPr txBox="1"/>
        </xdr:nvSpPr>
        <xdr:spPr>
          <a:xfrm>
            <a:off x="12959414" y="2421581"/>
            <a:ext cx="708964" cy="854396"/>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C37B01EF-99A2-4377-93B5-B1C98308FD6B}"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9">
        <xdr:nvSpPr>
          <xdr:cNvPr id="393" name="N_Camp" hidden="1"/>
          <xdr:cNvSpPr txBox="1"/>
        </xdr:nvSpPr>
        <xdr:spPr>
          <a:xfrm>
            <a:off x="13337142" y="2429982"/>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6C60D57B-FB9D-4C3A-8E1B-FD1847D6A122}" type="TxLink">
              <a:rPr lang="en-US" sz="1600" b="0" i="0" u="none" strike="noStrike">
                <a:solidFill>
                  <a:srgbClr val="000000"/>
                </a:solidFill>
                <a:latin typeface="Calibri"/>
                <a:cs typeface="Arial" pitchFamily="34" charset="0"/>
              </a:rPr>
              <a:pPr algn="r"/>
              <a:t>0 cp</a:t>
            </a:fld>
            <a:endParaRPr lang="en-US" sz="600" i="1">
              <a:solidFill>
                <a:schemeClr val="tx1"/>
              </a:solidFill>
              <a:latin typeface="Arial" pitchFamily="34" charset="0"/>
              <a:cs typeface="Arial" pitchFamily="34" charset="0"/>
            </a:endParaRPr>
          </a:p>
        </xdr:txBody>
      </xdr:sp>
      <xdr:sp macro="" textlink="U9">
        <xdr:nvSpPr>
          <xdr:cNvPr id="394" name="Site"/>
          <xdr:cNvSpPr txBox="1"/>
        </xdr:nvSpPr>
        <xdr:spPr>
          <a:xfrm>
            <a:off x="12380951" y="1375536"/>
            <a:ext cx="1893717" cy="1600500"/>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AEEDE40A-E822-456C-A42F-7A24B41E4C88}"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Khaunglanhpu</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395" name="Cluster"/>
          <xdr:cNvGrpSpPr/>
        </xdr:nvGrpSpPr>
        <xdr:grpSpPr>
          <a:xfrm>
            <a:off x="12477748" y="2348604"/>
            <a:ext cx="1732609" cy="380242"/>
            <a:chOff x="12477748" y="2348604"/>
            <a:chExt cx="1732609" cy="380242"/>
          </a:xfrm>
        </xdr:grpSpPr>
        <xdr:grpSp>
          <xdr:nvGrpSpPr>
            <xdr:cNvPr id="396" name="Shelter_G"/>
            <xdr:cNvGrpSpPr/>
          </xdr:nvGrpSpPr>
          <xdr:grpSpPr>
            <a:xfrm>
              <a:off x="12477748" y="2367654"/>
              <a:ext cx="332972" cy="361192"/>
              <a:chOff x="8585625" y="4782769"/>
              <a:chExt cx="147154" cy="166659"/>
            </a:xfrm>
          </xdr:grpSpPr>
          <xdr:pic>
            <xdr:nvPicPr>
              <xdr:cNvPr id="400"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01"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397" name="NFI_G"/>
            <xdr:cNvGrpSpPr/>
          </xdr:nvGrpSpPr>
          <xdr:grpSpPr>
            <a:xfrm>
              <a:off x="13877376" y="2348604"/>
              <a:ext cx="332981" cy="361192"/>
              <a:chOff x="8250078" y="5375644"/>
              <a:chExt cx="147158" cy="166659"/>
            </a:xfrm>
          </xdr:grpSpPr>
          <xdr:pic>
            <xdr:nvPicPr>
              <xdr:cNvPr id="398"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399"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5</xdr:col>
      <xdr:colOff>473075</xdr:colOff>
      <xdr:row>31</xdr:row>
      <xdr:rowOff>149225</xdr:rowOff>
    </xdr:from>
    <xdr:to>
      <xdr:col>7</xdr:col>
      <xdr:colOff>533400</xdr:colOff>
      <xdr:row>34</xdr:row>
      <xdr:rowOff>193986</xdr:rowOff>
    </xdr:to>
    <xdr:grpSp>
      <xdr:nvGrpSpPr>
        <xdr:cNvPr id="402" name="Kutkai_G"/>
        <xdr:cNvGrpSpPr/>
      </xdr:nvGrpSpPr>
      <xdr:grpSpPr>
        <a:xfrm>
          <a:off x="3921125" y="7826375"/>
          <a:ext cx="1279525" cy="787711"/>
          <a:chOff x="12380951" y="1675478"/>
          <a:chExt cx="1893717" cy="2346603"/>
        </a:xfrm>
      </xdr:grpSpPr>
      <xdr:sp macro="" textlink="">
        <xdr:nvSpPr>
          <xdr:cNvPr id="403" name="Oval"/>
          <xdr:cNvSpPr/>
        </xdr:nvSpPr>
        <xdr:spPr>
          <a:xfrm>
            <a:off x="13133650" y="2449298"/>
            <a:ext cx="388320" cy="798966"/>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0">
        <xdr:nvSpPr>
          <xdr:cNvPr id="404"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EB342CFE-A13D-4228-9A06-EE7255F6B5D4}"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4,142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0">
        <xdr:nvSpPr>
          <xdr:cNvPr id="405"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C83C8C82-0A53-4EAB-95AE-1590FF683E2B}" type="TxLink">
              <a:rPr lang="en-US" sz="1600" b="0" i="0" u="none" strike="noStrike">
                <a:solidFill>
                  <a:srgbClr val="000000"/>
                </a:solidFill>
                <a:latin typeface="Calibri"/>
                <a:cs typeface="Arial" pitchFamily="34" charset="0"/>
              </a:rPr>
              <a:pPr algn="r"/>
              <a:t>0 cp</a:t>
            </a:fld>
            <a:endParaRPr lang="en-US" sz="600" i="1">
              <a:solidFill>
                <a:schemeClr val="tx1"/>
              </a:solidFill>
              <a:latin typeface="Arial" pitchFamily="34" charset="0"/>
              <a:cs typeface="Arial" pitchFamily="34" charset="0"/>
            </a:endParaRPr>
          </a:p>
        </xdr:txBody>
      </xdr:sp>
      <xdr:sp macro="" textlink="U10">
        <xdr:nvSpPr>
          <xdr:cNvPr id="406"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6479832F-6E31-48B3-A4E5-8811191069D8}"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Kutkai</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07" name="Cluster"/>
          <xdr:cNvGrpSpPr/>
        </xdr:nvGrpSpPr>
        <xdr:grpSpPr>
          <a:xfrm>
            <a:off x="12477748" y="2348604"/>
            <a:ext cx="1732609" cy="380242"/>
            <a:chOff x="12477748" y="2348604"/>
            <a:chExt cx="1732609" cy="380242"/>
          </a:xfrm>
        </xdr:grpSpPr>
        <xdr:grpSp>
          <xdr:nvGrpSpPr>
            <xdr:cNvPr id="408" name="Shelter_G"/>
            <xdr:cNvGrpSpPr/>
          </xdr:nvGrpSpPr>
          <xdr:grpSpPr>
            <a:xfrm>
              <a:off x="12477748" y="2367654"/>
              <a:ext cx="332972" cy="361192"/>
              <a:chOff x="8585625" y="4782769"/>
              <a:chExt cx="147154" cy="166659"/>
            </a:xfrm>
          </xdr:grpSpPr>
          <xdr:pic>
            <xdr:nvPicPr>
              <xdr:cNvPr id="412"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13"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09" name="NFI_G"/>
            <xdr:cNvGrpSpPr/>
          </xdr:nvGrpSpPr>
          <xdr:grpSpPr>
            <a:xfrm>
              <a:off x="13877376" y="2348604"/>
              <a:ext cx="332981" cy="361192"/>
              <a:chOff x="8250078" y="5375644"/>
              <a:chExt cx="147158" cy="166659"/>
            </a:xfrm>
          </xdr:grpSpPr>
          <xdr:pic>
            <xdr:nvPicPr>
              <xdr:cNvPr id="410"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11"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5</xdr:col>
      <xdr:colOff>104775</xdr:colOff>
      <xdr:row>6</xdr:row>
      <xdr:rowOff>82550</xdr:rowOff>
    </xdr:from>
    <xdr:to>
      <xdr:col>7</xdr:col>
      <xdr:colOff>165100</xdr:colOff>
      <xdr:row>8</xdr:row>
      <xdr:rowOff>102786</xdr:rowOff>
    </xdr:to>
    <xdr:grpSp>
      <xdr:nvGrpSpPr>
        <xdr:cNvPr id="414" name="Machanbaw_G"/>
        <xdr:cNvGrpSpPr/>
      </xdr:nvGrpSpPr>
      <xdr:grpSpPr>
        <a:xfrm>
          <a:off x="3552825" y="1568450"/>
          <a:ext cx="1279525" cy="515536"/>
          <a:chOff x="12380951" y="1748589"/>
          <a:chExt cx="1893717" cy="1535789"/>
        </a:xfrm>
      </xdr:grpSpPr>
      <xdr:sp macro="" textlink="">
        <xdr:nvSpPr>
          <xdr:cNvPr id="415" name="Oval"/>
          <xdr:cNvSpPr/>
        </xdr:nvSpPr>
        <xdr:spPr>
          <a:xfrm>
            <a:off x="13327810" y="2516484"/>
            <a:ext cx="0" cy="0"/>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1">
        <xdr:nvSpPr>
          <xdr:cNvPr id="416" name="Pop" hidden="1"/>
          <xdr:cNvSpPr txBox="1"/>
        </xdr:nvSpPr>
        <xdr:spPr>
          <a:xfrm>
            <a:off x="12959414" y="2421581"/>
            <a:ext cx="708964" cy="854396"/>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93B1F47B-E768-4E88-BFCA-B6E8F19FE674}"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1">
        <xdr:nvSpPr>
          <xdr:cNvPr id="417" name="N_Camp" hidden="1"/>
          <xdr:cNvSpPr txBox="1"/>
        </xdr:nvSpPr>
        <xdr:spPr>
          <a:xfrm>
            <a:off x="13337142" y="2429982"/>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3C6E847B-AE45-4B09-A691-23E79CC89B00}" type="TxLink">
              <a:rPr lang="en-US" sz="1600" b="0" i="0" u="none" strike="noStrike">
                <a:solidFill>
                  <a:srgbClr val="000000"/>
                </a:solidFill>
                <a:latin typeface="Calibri"/>
                <a:cs typeface="Arial" pitchFamily="34" charset="0"/>
              </a:rPr>
              <a:pPr algn="r"/>
              <a:t>13 cps</a:t>
            </a:fld>
            <a:endParaRPr lang="en-US" sz="600" i="1">
              <a:solidFill>
                <a:schemeClr val="tx1"/>
              </a:solidFill>
              <a:latin typeface="Arial" pitchFamily="34" charset="0"/>
              <a:cs typeface="Arial" pitchFamily="34" charset="0"/>
            </a:endParaRPr>
          </a:p>
        </xdr:txBody>
      </xdr:sp>
      <xdr:sp macro="" textlink="U11">
        <xdr:nvSpPr>
          <xdr:cNvPr id="418"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5DFD48CB-5E2D-4C9C-864E-A3A14B770452}"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Machanbaw</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19" name="Cluster"/>
          <xdr:cNvGrpSpPr/>
        </xdr:nvGrpSpPr>
        <xdr:grpSpPr>
          <a:xfrm>
            <a:off x="12477748" y="2348604"/>
            <a:ext cx="1732609" cy="380242"/>
            <a:chOff x="12477748" y="2348604"/>
            <a:chExt cx="1732609" cy="380242"/>
          </a:xfrm>
        </xdr:grpSpPr>
        <xdr:grpSp>
          <xdr:nvGrpSpPr>
            <xdr:cNvPr id="420" name="Shelter_G"/>
            <xdr:cNvGrpSpPr/>
          </xdr:nvGrpSpPr>
          <xdr:grpSpPr>
            <a:xfrm>
              <a:off x="12477748" y="2367654"/>
              <a:ext cx="332972" cy="361192"/>
              <a:chOff x="8585625" y="4782769"/>
              <a:chExt cx="147154" cy="166659"/>
            </a:xfrm>
          </xdr:grpSpPr>
          <xdr:pic>
            <xdr:nvPicPr>
              <xdr:cNvPr id="424"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25"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21" name="NFI_G"/>
            <xdr:cNvGrpSpPr/>
          </xdr:nvGrpSpPr>
          <xdr:grpSpPr>
            <a:xfrm>
              <a:off x="13877376" y="2348604"/>
              <a:ext cx="332981" cy="361192"/>
              <a:chOff x="8250078" y="5375644"/>
              <a:chExt cx="147158" cy="166659"/>
            </a:xfrm>
          </xdr:grpSpPr>
          <xdr:pic>
            <xdr:nvPicPr>
              <xdr:cNvPr id="422"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23"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3</xdr:col>
      <xdr:colOff>466725</xdr:colOff>
      <xdr:row>28</xdr:row>
      <xdr:rowOff>127000</xdr:rowOff>
    </xdr:from>
    <xdr:to>
      <xdr:col>5</xdr:col>
      <xdr:colOff>527050</xdr:colOff>
      <xdr:row>31</xdr:row>
      <xdr:rowOff>171761</xdr:rowOff>
    </xdr:to>
    <xdr:grpSp>
      <xdr:nvGrpSpPr>
        <xdr:cNvPr id="426" name="Mansi_G"/>
        <xdr:cNvGrpSpPr/>
      </xdr:nvGrpSpPr>
      <xdr:grpSpPr>
        <a:xfrm>
          <a:off x="2714625" y="7061200"/>
          <a:ext cx="1260475" cy="787711"/>
          <a:chOff x="12380951" y="1675478"/>
          <a:chExt cx="1893717" cy="2346603"/>
        </a:xfrm>
      </xdr:grpSpPr>
      <xdr:sp macro="" textlink="">
        <xdr:nvSpPr>
          <xdr:cNvPr id="427" name="Oval"/>
          <xdr:cNvSpPr/>
        </xdr:nvSpPr>
        <xdr:spPr>
          <a:xfrm>
            <a:off x="12982923" y="2139178"/>
            <a:ext cx="689773" cy="1419206"/>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2">
        <xdr:nvSpPr>
          <xdr:cNvPr id="428"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4B28E56F-48E1-4B67-B6F4-DCA350508184}"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13,069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2">
        <xdr:nvSpPr>
          <xdr:cNvPr id="429"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30BCE92E-6F9E-4D13-9CCA-9E60432EBCB6}" type="TxLink">
              <a:rPr lang="en-US" sz="1600" b="0" i="0" u="none" strike="noStrike">
                <a:solidFill>
                  <a:srgbClr val="000000"/>
                </a:solidFill>
                <a:latin typeface="Calibri"/>
                <a:cs typeface="Arial" pitchFamily="34" charset="0"/>
              </a:rPr>
              <a:pPr algn="r"/>
              <a:t>0 cp</a:t>
            </a:fld>
            <a:endParaRPr lang="en-US" sz="600" i="1">
              <a:solidFill>
                <a:schemeClr val="tx1"/>
              </a:solidFill>
              <a:latin typeface="Arial" pitchFamily="34" charset="0"/>
              <a:cs typeface="Arial" pitchFamily="34" charset="0"/>
            </a:endParaRPr>
          </a:p>
        </xdr:txBody>
      </xdr:sp>
      <xdr:sp macro="" textlink="U12">
        <xdr:nvSpPr>
          <xdr:cNvPr id="430"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E2A4386D-314E-4714-9A68-247386528C5D}"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Mansi</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31" name="Cluster"/>
          <xdr:cNvGrpSpPr/>
        </xdr:nvGrpSpPr>
        <xdr:grpSpPr>
          <a:xfrm>
            <a:off x="12477748" y="2348604"/>
            <a:ext cx="1732609" cy="380242"/>
            <a:chOff x="12477748" y="2348604"/>
            <a:chExt cx="1732609" cy="380242"/>
          </a:xfrm>
        </xdr:grpSpPr>
        <xdr:grpSp>
          <xdr:nvGrpSpPr>
            <xdr:cNvPr id="432" name="Shelter_G"/>
            <xdr:cNvGrpSpPr/>
          </xdr:nvGrpSpPr>
          <xdr:grpSpPr>
            <a:xfrm>
              <a:off x="12477748" y="2367654"/>
              <a:ext cx="332972" cy="361192"/>
              <a:chOff x="8585625" y="4782769"/>
              <a:chExt cx="147154" cy="166659"/>
            </a:xfrm>
          </xdr:grpSpPr>
          <xdr:pic>
            <xdr:nvPicPr>
              <xdr:cNvPr id="436"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37"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33" name="NFI_G"/>
            <xdr:cNvGrpSpPr/>
          </xdr:nvGrpSpPr>
          <xdr:grpSpPr>
            <a:xfrm>
              <a:off x="13877376" y="2348604"/>
              <a:ext cx="332981" cy="361192"/>
              <a:chOff x="8250078" y="5375644"/>
              <a:chExt cx="147158" cy="166659"/>
            </a:xfrm>
          </xdr:grpSpPr>
          <xdr:pic>
            <xdr:nvPicPr>
              <xdr:cNvPr id="434"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35"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3</xdr:col>
      <xdr:colOff>301625</xdr:colOff>
      <xdr:row>33</xdr:row>
      <xdr:rowOff>15875</xdr:rowOff>
    </xdr:from>
    <xdr:to>
      <xdr:col>5</xdr:col>
      <xdr:colOff>361950</xdr:colOff>
      <xdr:row>35</xdr:row>
      <xdr:rowOff>158517</xdr:rowOff>
    </xdr:to>
    <xdr:grpSp>
      <xdr:nvGrpSpPr>
        <xdr:cNvPr id="438" name="Manton_G"/>
        <xdr:cNvGrpSpPr/>
      </xdr:nvGrpSpPr>
      <xdr:grpSpPr>
        <a:xfrm>
          <a:off x="2549525" y="8188325"/>
          <a:ext cx="1260475" cy="637942"/>
          <a:chOff x="12380951" y="1748589"/>
          <a:chExt cx="1893717" cy="1900439"/>
        </a:xfrm>
      </xdr:grpSpPr>
      <xdr:sp macro="" textlink="">
        <xdr:nvSpPr>
          <xdr:cNvPr id="439" name="Oval"/>
          <xdr:cNvSpPr/>
        </xdr:nvSpPr>
        <xdr:spPr>
          <a:xfrm>
            <a:off x="13257445" y="2554992"/>
            <a:ext cx="140730" cy="287637"/>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3">
        <xdr:nvSpPr>
          <xdr:cNvPr id="440"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1363E070-2B4F-4AD8-9E2D-F7B7A4F95ABA}"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544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3">
        <xdr:nvSpPr>
          <xdr:cNvPr id="441"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E69D1009-DDAD-43CB-B5F4-63B40CC4660C}" type="TxLink">
              <a:rPr lang="en-US" sz="1600" b="0" i="0" u="none" strike="noStrike">
                <a:solidFill>
                  <a:srgbClr val="000000"/>
                </a:solidFill>
                <a:latin typeface="Calibri"/>
                <a:cs typeface="Arial" pitchFamily="34" charset="0"/>
              </a:rPr>
              <a:pPr algn="r"/>
              <a:t>11 cps</a:t>
            </a:fld>
            <a:endParaRPr lang="en-US" sz="600" i="1">
              <a:solidFill>
                <a:schemeClr val="tx1"/>
              </a:solidFill>
              <a:latin typeface="Arial" pitchFamily="34" charset="0"/>
              <a:cs typeface="Arial" pitchFamily="34" charset="0"/>
            </a:endParaRPr>
          </a:p>
        </xdr:txBody>
      </xdr:sp>
      <xdr:sp macro="" textlink="U13">
        <xdr:nvSpPr>
          <xdr:cNvPr id="442"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368AA49A-499E-4440-8A95-A644579FE80A}"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Manton</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43" name="Cluster"/>
          <xdr:cNvGrpSpPr/>
        </xdr:nvGrpSpPr>
        <xdr:grpSpPr>
          <a:xfrm>
            <a:off x="12477748" y="2348604"/>
            <a:ext cx="1732609" cy="380242"/>
            <a:chOff x="12477748" y="2348604"/>
            <a:chExt cx="1732609" cy="380242"/>
          </a:xfrm>
        </xdr:grpSpPr>
        <xdr:grpSp>
          <xdr:nvGrpSpPr>
            <xdr:cNvPr id="444" name="Shelter_G"/>
            <xdr:cNvGrpSpPr/>
          </xdr:nvGrpSpPr>
          <xdr:grpSpPr>
            <a:xfrm>
              <a:off x="12477748" y="2367654"/>
              <a:ext cx="332972" cy="361192"/>
              <a:chOff x="8585625" y="4782769"/>
              <a:chExt cx="147154" cy="166659"/>
            </a:xfrm>
          </xdr:grpSpPr>
          <xdr:pic>
            <xdr:nvPicPr>
              <xdr:cNvPr id="448"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49"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45" name="NFI_G"/>
            <xdr:cNvGrpSpPr/>
          </xdr:nvGrpSpPr>
          <xdr:grpSpPr>
            <a:xfrm>
              <a:off x="13877376" y="2348604"/>
              <a:ext cx="332981" cy="361192"/>
              <a:chOff x="8250078" y="5375644"/>
              <a:chExt cx="147158" cy="166659"/>
            </a:xfrm>
          </xdr:grpSpPr>
          <xdr:pic>
            <xdr:nvPicPr>
              <xdr:cNvPr id="446"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47"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2</xdr:col>
      <xdr:colOff>263525</xdr:colOff>
      <xdr:row>18</xdr:row>
      <xdr:rowOff>196850</xdr:rowOff>
    </xdr:from>
    <xdr:to>
      <xdr:col>4</xdr:col>
      <xdr:colOff>381000</xdr:colOff>
      <xdr:row>21</xdr:row>
      <xdr:rowOff>101367</xdr:rowOff>
    </xdr:to>
    <xdr:grpSp>
      <xdr:nvGrpSpPr>
        <xdr:cNvPr id="450" name="Mogaung_G"/>
        <xdr:cNvGrpSpPr/>
      </xdr:nvGrpSpPr>
      <xdr:grpSpPr>
        <a:xfrm>
          <a:off x="1939925" y="4654550"/>
          <a:ext cx="1260475" cy="647467"/>
          <a:chOff x="12380951" y="1748589"/>
          <a:chExt cx="1893717" cy="1900439"/>
        </a:xfrm>
      </xdr:grpSpPr>
      <xdr:sp macro="" textlink="">
        <xdr:nvSpPr>
          <xdr:cNvPr id="451" name="Oval"/>
          <xdr:cNvSpPr/>
        </xdr:nvSpPr>
        <xdr:spPr>
          <a:xfrm>
            <a:off x="13271369" y="2583451"/>
            <a:ext cx="112880" cy="230715"/>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4">
        <xdr:nvSpPr>
          <xdr:cNvPr id="452"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A2372DE7-8BBB-4AA3-B835-4422F6B8810C}"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350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4">
        <xdr:nvSpPr>
          <xdr:cNvPr id="453"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AB702873-C369-475A-8E63-C4D4CF9A430B}" type="TxLink">
              <a:rPr lang="en-US" sz="1600" b="0" i="0" u="none" strike="noStrike">
                <a:solidFill>
                  <a:srgbClr val="000000"/>
                </a:solidFill>
                <a:latin typeface="Calibri"/>
                <a:cs typeface="Arial" pitchFamily="34" charset="0"/>
              </a:rPr>
              <a:pPr algn="r"/>
              <a:t>3 cps</a:t>
            </a:fld>
            <a:endParaRPr lang="en-US" sz="600" i="1">
              <a:solidFill>
                <a:schemeClr val="tx1"/>
              </a:solidFill>
              <a:latin typeface="Arial" pitchFamily="34" charset="0"/>
              <a:cs typeface="Arial" pitchFamily="34" charset="0"/>
            </a:endParaRPr>
          </a:p>
        </xdr:txBody>
      </xdr:sp>
      <xdr:sp macro="" textlink="U14">
        <xdr:nvSpPr>
          <xdr:cNvPr id="454"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4146E521-AF7C-4739-A3C8-F99E35CE4048}"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Mogaung</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55" name="Cluster"/>
          <xdr:cNvGrpSpPr/>
        </xdr:nvGrpSpPr>
        <xdr:grpSpPr>
          <a:xfrm>
            <a:off x="12477748" y="2348604"/>
            <a:ext cx="1732609" cy="380242"/>
            <a:chOff x="12477748" y="2348604"/>
            <a:chExt cx="1732609" cy="380242"/>
          </a:xfrm>
        </xdr:grpSpPr>
        <xdr:grpSp>
          <xdr:nvGrpSpPr>
            <xdr:cNvPr id="456" name="Shelter_G"/>
            <xdr:cNvGrpSpPr/>
          </xdr:nvGrpSpPr>
          <xdr:grpSpPr>
            <a:xfrm>
              <a:off x="12477748" y="2367654"/>
              <a:ext cx="332972" cy="361192"/>
              <a:chOff x="8585625" y="4782769"/>
              <a:chExt cx="147154" cy="166659"/>
            </a:xfrm>
          </xdr:grpSpPr>
          <xdr:pic>
            <xdr:nvPicPr>
              <xdr:cNvPr id="460"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61"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57" name="NFI_G"/>
            <xdr:cNvGrpSpPr/>
          </xdr:nvGrpSpPr>
          <xdr:grpSpPr>
            <a:xfrm>
              <a:off x="13877376" y="2348604"/>
              <a:ext cx="332981" cy="361192"/>
              <a:chOff x="8250078" y="5375644"/>
              <a:chExt cx="147158" cy="166659"/>
            </a:xfrm>
          </xdr:grpSpPr>
          <xdr:pic>
            <xdr:nvPicPr>
              <xdr:cNvPr id="458"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59"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1</xdr:col>
      <xdr:colOff>219075</xdr:colOff>
      <xdr:row>21</xdr:row>
      <xdr:rowOff>219075</xdr:rowOff>
    </xdr:from>
    <xdr:to>
      <xdr:col>3</xdr:col>
      <xdr:colOff>88900</xdr:colOff>
      <xdr:row>24</xdr:row>
      <xdr:rowOff>123592</xdr:rowOff>
    </xdr:to>
    <xdr:grpSp>
      <xdr:nvGrpSpPr>
        <xdr:cNvPr id="462" name="Mohnyin_G"/>
        <xdr:cNvGrpSpPr/>
      </xdr:nvGrpSpPr>
      <xdr:grpSpPr>
        <a:xfrm>
          <a:off x="1076325" y="5419725"/>
          <a:ext cx="1260475" cy="647467"/>
          <a:chOff x="12380951" y="1748589"/>
          <a:chExt cx="1893717" cy="1900439"/>
        </a:xfrm>
      </xdr:grpSpPr>
      <xdr:sp macro="" textlink="">
        <xdr:nvSpPr>
          <xdr:cNvPr id="463" name="Oval"/>
          <xdr:cNvSpPr/>
        </xdr:nvSpPr>
        <xdr:spPr>
          <a:xfrm>
            <a:off x="13272509" y="2585782"/>
            <a:ext cx="110599" cy="226054"/>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5">
        <xdr:nvSpPr>
          <xdr:cNvPr id="464"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7461E85C-6B72-4B57-A804-B7A55BE2B9E6}"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336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5">
        <xdr:nvSpPr>
          <xdr:cNvPr id="465"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E007418A-99E9-4F50-8B5E-6BDD84E8C8A0}" type="TxLink">
              <a:rPr lang="en-US" sz="1600" b="0" i="0" u="none" strike="noStrike">
                <a:solidFill>
                  <a:srgbClr val="000000"/>
                </a:solidFill>
                <a:latin typeface="Calibri"/>
                <a:cs typeface="Arial" pitchFamily="34" charset="0"/>
              </a:rPr>
              <a:pPr algn="r"/>
              <a:t>5 cps</a:t>
            </a:fld>
            <a:endParaRPr lang="en-US" sz="600" i="1">
              <a:solidFill>
                <a:schemeClr val="tx1"/>
              </a:solidFill>
              <a:latin typeface="Arial" pitchFamily="34" charset="0"/>
              <a:cs typeface="Arial" pitchFamily="34" charset="0"/>
            </a:endParaRPr>
          </a:p>
        </xdr:txBody>
      </xdr:sp>
      <xdr:sp macro="" textlink="U15">
        <xdr:nvSpPr>
          <xdr:cNvPr id="466"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E79239E4-FEBD-46C1-9DAA-663BF6D7AAF1}"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Mohnyin</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67" name="Cluster"/>
          <xdr:cNvGrpSpPr/>
        </xdr:nvGrpSpPr>
        <xdr:grpSpPr>
          <a:xfrm>
            <a:off x="12477748" y="2348604"/>
            <a:ext cx="1732609" cy="380242"/>
            <a:chOff x="12477748" y="2348604"/>
            <a:chExt cx="1732609" cy="380242"/>
          </a:xfrm>
        </xdr:grpSpPr>
        <xdr:grpSp>
          <xdr:nvGrpSpPr>
            <xdr:cNvPr id="468" name="Shelter_G"/>
            <xdr:cNvGrpSpPr/>
          </xdr:nvGrpSpPr>
          <xdr:grpSpPr>
            <a:xfrm>
              <a:off x="12477748" y="2367654"/>
              <a:ext cx="332972" cy="361192"/>
              <a:chOff x="8585625" y="4782769"/>
              <a:chExt cx="147154" cy="166659"/>
            </a:xfrm>
          </xdr:grpSpPr>
          <xdr:pic>
            <xdr:nvPicPr>
              <xdr:cNvPr id="472"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73"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69" name="NFI_G"/>
            <xdr:cNvGrpSpPr/>
          </xdr:nvGrpSpPr>
          <xdr:grpSpPr>
            <a:xfrm>
              <a:off x="13877376" y="2348604"/>
              <a:ext cx="332981" cy="361192"/>
              <a:chOff x="8250078" y="5375644"/>
              <a:chExt cx="147158" cy="166659"/>
            </a:xfrm>
          </xdr:grpSpPr>
          <xdr:pic>
            <xdr:nvPicPr>
              <xdr:cNvPr id="470"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71"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4</xdr:col>
      <xdr:colOff>22225</xdr:colOff>
      <xdr:row>24</xdr:row>
      <xdr:rowOff>88900</xdr:rowOff>
    </xdr:from>
    <xdr:to>
      <xdr:col>5</xdr:col>
      <xdr:colOff>654050</xdr:colOff>
      <xdr:row>27</xdr:row>
      <xdr:rowOff>133661</xdr:rowOff>
    </xdr:to>
    <xdr:grpSp>
      <xdr:nvGrpSpPr>
        <xdr:cNvPr id="474" name="Momauk_G"/>
        <xdr:cNvGrpSpPr/>
      </xdr:nvGrpSpPr>
      <xdr:grpSpPr>
        <a:xfrm>
          <a:off x="2841625" y="6032500"/>
          <a:ext cx="1260475" cy="787711"/>
          <a:chOff x="12380951" y="1675478"/>
          <a:chExt cx="1893717" cy="2346603"/>
        </a:xfrm>
      </xdr:grpSpPr>
      <xdr:sp macro="" textlink="">
        <xdr:nvSpPr>
          <xdr:cNvPr id="475" name="Oval"/>
          <xdr:cNvSpPr/>
        </xdr:nvSpPr>
        <xdr:spPr>
          <a:xfrm>
            <a:off x="12857441" y="1880999"/>
            <a:ext cx="940737" cy="1935564"/>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6">
        <xdr:nvSpPr>
          <xdr:cNvPr id="476"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DEB8CCF5-144A-40BF-9703-DEC22A143922}"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24,309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6">
        <xdr:nvSpPr>
          <xdr:cNvPr id="477"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9F12FC3C-3FDF-4902-8D1F-DAA17442A602}" type="TxLink">
              <a:rPr lang="en-US" sz="1600" b="0" i="0" u="none" strike="noStrike">
                <a:solidFill>
                  <a:srgbClr val="000000"/>
                </a:solidFill>
                <a:latin typeface="Calibri"/>
                <a:cs typeface="Arial" pitchFamily="34" charset="0"/>
              </a:rPr>
              <a:pPr algn="r"/>
              <a:t>4 cps</a:t>
            </a:fld>
            <a:endParaRPr lang="en-US" sz="600" i="1">
              <a:solidFill>
                <a:schemeClr val="tx1"/>
              </a:solidFill>
              <a:latin typeface="Arial" pitchFamily="34" charset="0"/>
              <a:cs typeface="Arial" pitchFamily="34" charset="0"/>
            </a:endParaRPr>
          </a:p>
        </xdr:txBody>
      </xdr:sp>
      <xdr:sp macro="" textlink="U16">
        <xdr:nvSpPr>
          <xdr:cNvPr id="478"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15A5249F-F65B-47E8-8AD5-D02FD7A9ECA7}"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Momauk</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79" name="Cluster"/>
          <xdr:cNvGrpSpPr/>
        </xdr:nvGrpSpPr>
        <xdr:grpSpPr>
          <a:xfrm>
            <a:off x="12477748" y="2348604"/>
            <a:ext cx="1732609" cy="380242"/>
            <a:chOff x="12477748" y="2348604"/>
            <a:chExt cx="1732609" cy="380242"/>
          </a:xfrm>
        </xdr:grpSpPr>
        <xdr:grpSp>
          <xdr:nvGrpSpPr>
            <xdr:cNvPr id="480" name="Shelter_G"/>
            <xdr:cNvGrpSpPr/>
          </xdr:nvGrpSpPr>
          <xdr:grpSpPr>
            <a:xfrm>
              <a:off x="12477748" y="2367654"/>
              <a:ext cx="332972" cy="361192"/>
              <a:chOff x="8585625" y="4782769"/>
              <a:chExt cx="147154" cy="166659"/>
            </a:xfrm>
          </xdr:grpSpPr>
          <xdr:pic>
            <xdr:nvPicPr>
              <xdr:cNvPr id="484"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85"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81" name="NFI_G"/>
            <xdr:cNvGrpSpPr/>
          </xdr:nvGrpSpPr>
          <xdr:grpSpPr>
            <a:xfrm>
              <a:off x="13877376" y="2348604"/>
              <a:ext cx="332981" cy="361192"/>
              <a:chOff x="8250078" y="5375644"/>
              <a:chExt cx="147158" cy="166659"/>
            </a:xfrm>
          </xdr:grpSpPr>
          <xdr:pic>
            <xdr:nvPicPr>
              <xdr:cNvPr id="482"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83"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5</xdr:col>
      <xdr:colOff>511175</xdr:colOff>
      <xdr:row>28</xdr:row>
      <xdr:rowOff>177800</xdr:rowOff>
    </xdr:from>
    <xdr:to>
      <xdr:col>8</xdr:col>
      <xdr:colOff>9525</xdr:colOff>
      <xdr:row>31</xdr:row>
      <xdr:rowOff>222561</xdr:rowOff>
    </xdr:to>
    <xdr:grpSp>
      <xdr:nvGrpSpPr>
        <xdr:cNvPr id="486" name="Muse_G"/>
        <xdr:cNvGrpSpPr/>
      </xdr:nvGrpSpPr>
      <xdr:grpSpPr>
        <a:xfrm>
          <a:off x="3959225" y="7112000"/>
          <a:ext cx="1289050" cy="787711"/>
          <a:chOff x="12380951" y="1675478"/>
          <a:chExt cx="1893717" cy="2346603"/>
        </a:xfrm>
      </xdr:grpSpPr>
      <xdr:sp macro="" textlink="">
        <xdr:nvSpPr>
          <xdr:cNvPr id="487" name="Oval"/>
          <xdr:cNvSpPr/>
        </xdr:nvSpPr>
        <xdr:spPr>
          <a:xfrm>
            <a:off x="13210578" y="2607577"/>
            <a:ext cx="234462" cy="482405"/>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7">
        <xdr:nvSpPr>
          <xdr:cNvPr id="488"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66D8999D-3354-4C3D-8B19-7A2FABE072DB}"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1,510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7">
        <xdr:nvSpPr>
          <xdr:cNvPr id="489"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28A44B4E-EAE6-4FC4-A694-CB85B09D9E7E}" type="TxLink">
              <a:rPr lang="en-US" sz="1600" b="0" i="0" u="none" strike="noStrike">
                <a:solidFill>
                  <a:srgbClr val="000000"/>
                </a:solidFill>
                <a:latin typeface="Calibri"/>
                <a:cs typeface="Arial" pitchFamily="34" charset="0"/>
              </a:rPr>
              <a:pPr algn="r"/>
              <a:t>15 cps</a:t>
            </a:fld>
            <a:endParaRPr lang="en-US" sz="600" i="1">
              <a:solidFill>
                <a:schemeClr val="tx1"/>
              </a:solidFill>
              <a:latin typeface="Arial" pitchFamily="34" charset="0"/>
              <a:cs typeface="Arial" pitchFamily="34" charset="0"/>
            </a:endParaRPr>
          </a:p>
        </xdr:txBody>
      </xdr:sp>
      <xdr:sp macro="" textlink="U17">
        <xdr:nvSpPr>
          <xdr:cNvPr id="490"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D81C48A1-12C7-493C-ACD1-4912C2A26F90}"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Muse</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491" name="Cluster"/>
          <xdr:cNvGrpSpPr/>
        </xdr:nvGrpSpPr>
        <xdr:grpSpPr>
          <a:xfrm>
            <a:off x="12477748" y="2348604"/>
            <a:ext cx="1732609" cy="380242"/>
            <a:chOff x="12477748" y="2348604"/>
            <a:chExt cx="1732609" cy="380242"/>
          </a:xfrm>
        </xdr:grpSpPr>
        <xdr:grpSp>
          <xdr:nvGrpSpPr>
            <xdr:cNvPr id="492" name="Shelter_G"/>
            <xdr:cNvGrpSpPr/>
          </xdr:nvGrpSpPr>
          <xdr:grpSpPr>
            <a:xfrm>
              <a:off x="12477748" y="2367654"/>
              <a:ext cx="332972" cy="361192"/>
              <a:chOff x="8585625" y="4782769"/>
              <a:chExt cx="147154" cy="166659"/>
            </a:xfrm>
          </xdr:grpSpPr>
          <xdr:pic>
            <xdr:nvPicPr>
              <xdr:cNvPr id="496"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497"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493" name="NFI_G"/>
            <xdr:cNvGrpSpPr/>
          </xdr:nvGrpSpPr>
          <xdr:grpSpPr>
            <a:xfrm>
              <a:off x="13877376" y="2348604"/>
              <a:ext cx="332981" cy="361192"/>
              <a:chOff x="8250078" y="5375644"/>
              <a:chExt cx="147158" cy="166659"/>
            </a:xfrm>
          </xdr:grpSpPr>
          <xdr:pic>
            <xdr:nvPicPr>
              <xdr:cNvPr id="494"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495"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3</xdr:col>
      <xdr:colOff>352425</xdr:colOff>
      <xdr:row>19</xdr:row>
      <xdr:rowOff>225425</xdr:rowOff>
    </xdr:from>
    <xdr:to>
      <xdr:col>5</xdr:col>
      <xdr:colOff>412750</xdr:colOff>
      <xdr:row>23</xdr:row>
      <xdr:rowOff>32061</xdr:rowOff>
    </xdr:to>
    <xdr:grpSp>
      <xdr:nvGrpSpPr>
        <xdr:cNvPr id="498" name="Myitkyina_G"/>
        <xdr:cNvGrpSpPr/>
      </xdr:nvGrpSpPr>
      <xdr:grpSpPr>
        <a:xfrm>
          <a:off x="2600325" y="4930775"/>
          <a:ext cx="1260475" cy="797236"/>
          <a:chOff x="12380951" y="1675478"/>
          <a:chExt cx="1893717" cy="2346603"/>
        </a:xfrm>
      </xdr:grpSpPr>
      <xdr:sp macro="" textlink="">
        <xdr:nvSpPr>
          <xdr:cNvPr id="499" name="Oval"/>
          <xdr:cNvSpPr/>
        </xdr:nvSpPr>
        <xdr:spPr>
          <a:xfrm>
            <a:off x="13065777" y="2309649"/>
            <a:ext cx="524066" cy="1078264"/>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8">
        <xdr:nvSpPr>
          <xdr:cNvPr id="500"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AC5962DB-0C74-4CFC-8C65-09109C12D83A}"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7,544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8">
        <xdr:nvSpPr>
          <xdr:cNvPr id="501"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5874E973-5FAA-4EC6-AE82-3A391D5ECBF5}" type="TxLink">
              <a:rPr lang="en-US" sz="1600" b="0" i="0" u="none" strike="noStrike">
                <a:solidFill>
                  <a:srgbClr val="000000"/>
                </a:solidFill>
                <a:latin typeface="Calibri"/>
                <a:cs typeface="Arial" pitchFamily="34" charset="0"/>
              </a:rPr>
              <a:pPr algn="r"/>
              <a:t>5 cps</a:t>
            </a:fld>
            <a:endParaRPr lang="en-US" sz="600" i="1">
              <a:solidFill>
                <a:schemeClr val="tx1"/>
              </a:solidFill>
              <a:latin typeface="Arial" pitchFamily="34" charset="0"/>
              <a:cs typeface="Arial" pitchFamily="34" charset="0"/>
            </a:endParaRPr>
          </a:p>
        </xdr:txBody>
      </xdr:sp>
      <xdr:sp macro="" textlink="U18">
        <xdr:nvSpPr>
          <xdr:cNvPr id="502"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2F7C9489-7B23-4339-A2AE-318FDE19DBA3}"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Myitkyina</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03" name="Cluster"/>
          <xdr:cNvGrpSpPr/>
        </xdr:nvGrpSpPr>
        <xdr:grpSpPr>
          <a:xfrm>
            <a:off x="12477748" y="2348604"/>
            <a:ext cx="1732609" cy="380242"/>
            <a:chOff x="12477748" y="2348604"/>
            <a:chExt cx="1732609" cy="380242"/>
          </a:xfrm>
        </xdr:grpSpPr>
        <xdr:grpSp>
          <xdr:nvGrpSpPr>
            <xdr:cNvPr id="504" name="Shelter_G"/>
            <xdr:cNvGrpSpPr/>
          </xdr:nvGrpSpPr>
          <xdr:grpSpPr>
            <a:xfrm>
              <a:off x="12477748" y="2367654"/>
              <a:ext cx="332972" cy="361192"/>
              <a:chOff x="8585625" y="4782769"/>
              <a:chExt cx="147154" cy="166659"/>
            </a:xfrm>
          </xdr:grpSpPr>
          <xdr:pic>
            <xdr:nvPicPr>
              <xdr:cNvPr id="508"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09"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05" name="NFI_G"/>
            <xdr:cNvGrpSpPr/>
          </xdr:nvGrpSpPr>
          <xdr:grpSpPr>
            <a:xfrm>
              <a:off x="13877376" y="2348604"/>
              <a:ext cx="332981" cy="361192"/>
              <a:chOff x="8250078" y="5375644"/>
              <a:chExt cx="147158" cy="166659"/>
            </a:xfrm>
          </xdr:grpSpPr>
          <xdr:pic>
            <xdr:nvPicPr>
              <xdr:cNvPr id="506"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07"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4</xdr:col>
      <xdr:colOff>314325</xdr:colOff>
      <xdr:row>30</xdr:row>
      <xdr:rowOff>146050</xdr:rowOff>
    </xdr:from>
    <xdr:to>
      <xdr:col>6</xdr:col>
      <xdr:colOff>288925</xdr:colOff>
      <xdr:row>33</xdr:row>
      <xdr:rowOff>190811</xdr:rowOff>
    </xdr:to>
    <xdr:grpSp>
      <xdr:nvGrpSpPr>
        <xdr:cNvPr id="510" name="Namhkan_G"/>
        <xdr:cNvGrpSpPr/>
      </xdr:nvGrpSpPr>
      <xdr:grpSpPr>
        <a:xfrm>
          <a:off x="3133725" y="7575550"/>
          <a:ext cx="1270000" cy="787711"/>
          <a:chOff x="12380951" y="1675478"/>
          <a:chExt cx="1893717" cy="2346603"/>
        </a:xfrm>
      </xdr:grpSpPr>
      <xdr:sp macro="" textlink="">
        <xdr:nvSpPr>
          <xdr:cNvPr id="511" name="Oval"/>
          <xdr:cNvSpPr/>
        </xdr:nvSpPr>
        <xdr:spPr>
          <a:xfrm>
            <a:off x="13193704" y="2572857"/>
            <a:ext cx="268212" cy="551844"/>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19">
        <xdr:nvSpPr>
          <xdr:cNvPr id="512"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76627103-0987-47BD-A2A0-D9DBE833ABB2}"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1,976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19">
        <xdr:nvSpPr>
          <xdr:cNvPr id="513"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71133B75-0F4E-4A98-AD8B-01410E99FA26}" type="TxLink">
              <a:rPr lang="en-US" sz="1600" b="0" i="0" u="none" strike="noStrike">
                <a:solidFill>
                  <a:srgbClr val="000000"/>
                </a:solidFill>
                <a:latin typeface="Calibri"/>
                <a:cs typeface="Arial" pitchFamily="34" charset="0"/>
              </a:rPr>
              <a:pPr algn="r"/>
              <a:t>24 cps</a:t>
            </a:fld>
            <a:endParaRPr lang="en-US" sz="600" i="1">
              <a:solidFill>
                <a:schemeClr val="tx1"/>
              </a:solidFill>
              <a:latin typeface="Arial" pitchFamily="34" charset="0"/>
              <a:cs typeface="Arial" pitchFamily="34" charset="0"/>
            </a:endParaRPr>
          </a:p>
        </xdr:txBody>
      </xdr:sp>
      <xdr:sp macro="" textlink="U19">
        <xdr:nvSpPr>
          <xdr:cNvPr id="514"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05D67D29-1E65-407D-A818-A81AD0C3F2FA}"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Namhkan</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15" name="Cluster"/>
          <xdr:cNvGrpSpPr/>
        </xdr:nvGrpSpPr>
        <xdr:grpSpPr>
          <a:xfrm>
            <a:off x="12477748" y="2348604"/>
            <a:ext cx="1732609" cy="380242"/>
            <a:chOff x="12477748" y="2348604"/>
            <a:chExt cx="1732609" cy="380242"/>
          </a:xfrm>
        </xdr:grpSpPr>
        <xdr:grpSp>
          <xdr:nvGrpSpPr>
            <xdr:cNvPr id="516" name="Shelter_G"/>
            <xdr:cNvGrpSpPr/>
          </xdr:nvGrpSpPr>
          <xdr:grpSpPr>
            <a:xfrm>
              <a:off x="12477748" y="2367654"/>
              <a:ext cx="332972" cy="361192"/>
              <a:chOff x="8585625" y="4782769"/>
              <a:chExt cx="147154" cy="166659"/>
            </a:xfrm>
          </xdr:grpSpPr>
          <xdr:pic>
            <xdr:nvPicPr>
              <xdr:cNvPr id="520"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21"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17" name="NFI_G"/>
            <xdr:cNvGrpSpPr/>
          </xdr:nvGrpSpPr>
          <xdr:grpSpPr>
            <a:xfrm>
              <a:off x="13877376" y="2348604"/>
              <a:ext cx="332981" cy="361192"/>
              <a:chOff x="8250078" y="5375644"/>
              <a:chExt cx="147158" cy="166659"/>
            </a:xfrm>
          </xdr:grpSpPr>
          <xdr:pic>
            <xdr:nvPicPr>
              <xdr:cNvPr id="518"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19"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4</xdr:col>
      <xdr:colOff>73025</xdr:colOff>
      <xdr:row>35</xdr:row>
      <xdr:rowOff>85725</xdr:rowOff>
    </xdr:from>
    <xdr:to>
      <xdr:col>6</xdr:col>
      <xdr:colOff>47625</xdr:colOff>
      <xdr:row>38</xdr:row>
      <xdr:rowOff>130486</xdr:rowOff>
    </xdr:to>
    <xdr:grpSp>
      <xdr:nvGrpSpPr>
        <xdr:cNvPr id="522" name="Namtu_G"/>
        <xdr:cNvGrpSpPr/>
      </xdr:nvGrpSpPr>
      <xdr:grpSpPr>
        <a:xfrm>
          <a:off x="2892425" y="8753475"/>
          <a:ext cx="1270000" cy="787711"/>
          <a:chOff x="12380951" y="1675478"/>
          <a:chExt cx="1893717" cy="2346603"/>
        </a:xfrm>
      </xdr:grpSpPr>
      <xdr:sp macro="" textlink="">
        <xdr:nvSpPr>
          <xdr:cNvPr id="523" name="Oval"/>
          <xdr:cNvSpPr/>
        </xdr:nvSpPr>
        <xdr:spPr>
          <a:xfrm>
            <a:off x="13222565" y="2632238"/>
            <a:ext cx="210490" cy="433082"/>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0">
        <xdr:nvSpPr>
          <xdr:cNvPr id="524"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0C89DB93-7618-4136-91D0-56288F0F3502}"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1,217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0">
        <xdr:nvSpPr>
          <xdr:cNvPr id="525"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6D2CDB75-26FE-4FA0-B934-7BB031202893}" type="TxLink">
              <a:rPr lang="en-US" sz="1600" b="0" i="0" u="none" strike="noStrike">
                <a:solidFill>
                  <a:srgbClr val="000000"/>
                </a:solidFill>
                <a:latin typeface="Calibri"/>
                <a:cs typeface="Arial" pitchFamily="34" charset="0"/>
              </a:rPr>
              <a:pPr algn="r"/>
              <a:t>6 cps</a:t>
            </a:fld>
            <a:endParaRPr lang="en-US" sz="600" i="1">
              <a:solidFill>
                <a:schemeClr val="tx1"/>
              </a:solidFill>
              <a:latin typeface="Arial" pitchFamily="34" charset="0"/>
              <a:cs typeface="Arial" pitchFamily="34" charset="0"/>
            </a:endParaRPr>
          </a:p>
        </xdr:txBody>
      </xdr:sp>
      <xdr:sp macro="" textlink="U20">
        <xdr:nvSpPr>
          <xdr:cNvPr id="526"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723E5032-3866-417F-8FA0-39B6BB36B254}"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Namtu</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27" name="Cluster"/>
          <xdr:cNvGrpSpPr/>
        </xdr:nvGrpSpPr>
        <xdr:grpSpPr>
          <a:xfrm>
            <a:off x="12477748" y="2348604"/>
            <a:ext cx="1732609" cy="380242"/>
            <a:chOff x="12477748" y="2348604"/>
            <a:chExt cx="1732609" cy="380242"/>
          </a:xfrm>
        </xdr:grpSpPr>
        <xdr:grpSp>
          <xdr:nvGrpSpPr>
            <xdr:cNvPr id="528" name="Shelter_G"/>
            <xdr:cNvGrpSpPr/>
          </xdr:nvGrpSpPr>
          <xdr:grpSpPr>
            <a:xfrm>
              <a:off x="12477748" y="2367654"/>
              <a:ext cx="332972" cy="361192"/>
              <a:chOff x="8585625" y="4782769"/>
              <a:chExt cx="147154" cy="166659"/>
            </a:xfrm>
          </xdr:grpSpPr>
          <xdr:pic>
            <xdr:nvPicPr>
              <xdr:cNvPr id="532"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33"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29" name="NFI_G"/>
            <xdr:cNvGrpSpPr/>
          </xdr:nvGrpSpPr>
          <xdr:grpSpPr>
            <a:xfrm>
              <a:off x="13877376" y="2348604"/>
              <a:ext cx="332981" cy="361192"/>
              <a:chOff x="8250078" y="5375644"/>
              <a:chExt cx="147158" cy="166659"/>
            </a:xfrm>
          </xdr:grpSpPr>
          <xdr:pic>
            <xdr:nvPicPr>
              <xdr:cNvPr id="530"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31"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4</xdr:col>
      <xdr:colOff>9525</xdr:colOff>
      <xdr:row>5</xdr:row>
      <xdr:rowOff>104775</xdr:rowOff>
    </xdr:from>
    <xdr:to>
      <xdr:col>5</xdr:col>
      <xdr:colOff>641350</xdr:colOff>
      <xdr:row>8</xdr:row>
      <xdr:rowOff>9292</xdr:rowOff>
    </xdr:to>
    <xdr:grpSp>
      <xdr:nvGrpSpPr>
        <xdr:cNvPr id="534" name="Puta-O_G"/>
        <xdr:cNvGrpSpPr/>
      </xdr:nvGrpSpPr>
      <xdr:grpSpPr>
        <a:xfrm>
          <a:off x="2828925" y="1343025"/>
          <a:ext cx="1260475" cy="647467"/>
          <a:chOff x="12380951" y="1748589"/>
          <a:chExt cx="1893717" cy="1900439"/>
        </a:xfrm>
      </xdr:grpSpPr>
      <xdr:sp macro="" textlink="">
        <xdr:nvSpPr>
          <xdr:cNvPr id="535" name="Oval"/>
          <xdr:cNvSpPr/>
        </xdr:nvSpPr>
        <xdr:spPr>
          <a:xfrm>
            <a:off x="13266947" y="2574411"/>
            <a:ext cx="121726" cy="248795"/>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1">
        <xdr:nvSpPr>
          <xdr:cNvPr id="536"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F68075D6-EBCE-471A-AA21-1E691C3B52AB}"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407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1">
        <xdr:nvSpPr>
          <xdr:cNvPr id="537"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993D327C-E87C-4E7C-8D03-A6F49A986D8A}" type="TxLink">
              <a:rPr lang="en-US" sz="1600" b="0" i="0" u="none" strike="noStrike">
                <a:solidFill>
                  <a:srgbClr val="000000"/>
                </a:solidFill>
                <a:latin typeface="Calibri"/>
                <a:cs typeface="Arial" pitchFamily="34" charset="0"/>
              </a:rPr>
              <a:pPr algn="r"/>
              <a:t>6 cps</a:t>
            </a:fld>
            <a:endParaRPr lang="en-US" sz="600" i="1">
              <a:solidFill>
                <a:schemeClr val="tx1"/>
              </a:solidFill>
              <a:latin typeface="Arial" pitchFamily="34" charset="0"/>
              <a:cs typeface="Arial" pitchFamily="34" charset="0"/>
            </a:endParaRPr>
          </a:p>
        </xdr:txBody>
      </xdr:sp>
      <xdr:sp macro="" textlink="U21">
        <xdr:nvSpPr>
          <xdr:cNvPr id="538"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BCD8EC36-92FF-4C35-8052-1F5074EBAF40}"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Puta-O</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39" name="Cluster"/>
          <xdr:cNvGrpSpPr/>
        </xdr:nvGrpSpPr>
        <xdr:grpSpPr>
          <a:xfrm>
            <a:off x="12477748" y="2348604"/>
            <a:ext cx="1732609" cy="380242"/>
            <a:chOff x="12477748" y="2348604"/>
            <a:chExt cx="1732609" cy="380242"/>
          </a:xfrm>
        </xdr:grpSpPr>
        <xdr:grpSp>
          <xdr:nvGrpSpPr>
            <xdr:cNvPr id="540" name="Shelter_G"/>
            <xdr:cNvGrpSpPr/>
          </xdr:nvGrpSpPr>
          <xdr:grpSpPr>
            <a:xfrm>
              <a:off x="12477748" y="2367654"/>
              <a:ext cx="332972" cy="361192"/>
              <a:chOff x="8585625" y="4782769"/>
              <a:chExt cx="147154" cy="166659"/>
            </a:xfrm>
          </xdr:grpSpPr>
          <xdr:pic>
            <xdr:nvPicPr>
              <xdr:cNvPr id="544"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45"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41" name="NFI_G"/>
            <xdr:cNvGrpSpPr/>
          </xdr:nvGrpSpPr>
          <xdr:grpSpPr>
            <a:xfrm>
              <a:off x="13877376" y="2348604"/>
              <a:ext cx="332981" cy="361192"/>
              <a:chOff x="8250078" y="5375644"/>
              <a:chExt cx="147158" cy="166659"/>
            </a:xfrm>
          </xdr:grpSpPr>
          <xdr:pic>
            <xdr:nvPicPr>
              <xdr:cNvPr id="542"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43"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2</xdr:col>
      <xdr:colOff>22225</xdr:colOff>
      <xdr:row>25</xdr:row>
      <xdr:rowOff>180975</xdr:rowOff>
    </xdr:from>
    <xdr:to>
      <xdr:col>4</xdr:col>
      <xdr:colOff>139700</xdr:colOff>
      <xdr:row>28</xdr:row>
      <xdr:rowOff>225736</xdr:rowOff>
    </xdr:to>
    <xdr:grpSp>
      <xdr:nvGrpSpPr>
        <xdr:cNvPr id="558" name="Shwegu_G"/>
        <xdr:cNvGrpSpPr/>
      </xdr:nvGrpSpPr>
      <xdr:grpSpPr>
        <a:xfrm>
          <a:off x="1698625" y="6372225"/>
          <a:ext cx="1260475" cy="787711"/>
          <a:chOff x="12380951" y="1675478"/>
          <a:chExt cx="1893717" cy="2346603"/>
        </a:xfrm>
      </xdr:grpSpPr>
      <xdr:sp macro="" textlink="">
        <xdr:nvSpPr>
          <xdr:cNvPr id="559" name="Oval"/>
          <xdr:cNvSpPr/>
        </xdr:nvSpPr>
        <xdr:spPr>
          <a:xfrm>
            <a:off x="13187470" y="2560029"/>
            <a:ext cx="280681" cy="577501"/>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2">
        <xdr:nvSpPr>
          <xdr:cNvPr id="560"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B58CC9CF-1CAE-4D14-878E-FB8643DA8D48}"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2,164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2">
        <xdr:nvSpPr>
          <xdr:cNvPr id="561"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DC7CC983-C6FB-48A9-872E-94286AB91879}" type="TxLink">
              <a:rPr lang="en-US" sz="1600" b="0" i="0" u="none" strike="noStrike">
                <a:solidFill>
                  <a:srgbClr val="000000"/>
                </a:solidFill>
                <a:latin typeface="Calibri"/>
                <a:cs typeface="Arial" pitchFamily="34" charset="0"/>
              </a:rPr>
              <a:pPr algn="r"/>
              <a:t>3 cps</a:t>
            </a:fld>
            <a:endParaRPr lang="en-US" sz="600" i="1">
              <a:solidFill>
                <a:schemeClr val="tx1"/>
              </a:solidFill>
              <a:latin typeface="Arial" pitchFamily="34" charset="0"/>
              <a:cs typeface="Arial" pitchFamily="34" charset="0"/>
            </a:endParaRPr>
          </a:p>
        </xdr:txBody>
      </xdr:sp>
      <xdr:sp macro="" textlink="U22">
        <xdr:nvSpPr>
          <xdr:cNvPr id="562"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BB65A6FD-9934-416B-AA33-B0369727D054}"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Shwegu</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63" name="Cluster"/>
          <xdr:cNvGrpSpPr/>
        </xdr:nvGrpSpPr>
        <xdr:grpSpPr>
          <a:xfrm>
            <a:off x="12477748" y="2348604"/>
            <a:ext cx="1732609" cy="380242"/>
            <a:chOff x="12477748" y="2348604"/>
            <a:chExt cx="1732609" cy="380242"/>
          </a:xfrm>
        </xdr:grpSpPr>
        <xdr:grpSp>
          <xdr:nvGrpSpPr>
            <xdr:cNvPr id="564" name="Shelter_G"/>
            <xdr:cNvGrpSpPr/>
          </xdr:nvGrpSpPr>
          <xdr:grpSpPr>
            <a:xfrm>
              <a:off x="12477748" y="2367654"/>
              <a:ext cx="332972" cy="361192"/>
              <a:chOff x="8585625" y="4782769"/>
              <a:chExt cx="147154" cy="166659"/>
            </a:xfrm>
          </xdr:grpSpPr>
          <xdr:pic>
            <xdr:nvPicPr>
              <xdr:cNvPr id="568"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69"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65" name="NFI_G"/>
            <xdr:cNvGrpSpPr/>
          </xdr:nvGrpSpPr>
          <xdr:grpSpPr>
            <a:xfrm>
              <a:off x="13877376" y="2348604"/>
              <a:ext cx="332981" cy="361192"/>
              <a:chOff x="8250078" y="5375644"/>
              <a:chExt cx="147158" cy="166659"/>
            </a:xfrm>
          </xdr:grpSpPr>
          <xdr:pic>
            <xdr:nvPicPr>
              <xdr:cNvPr id="566"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67"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4</xdr:col>
      <xdr:colOff>111125</xdr:colOff>
      <xdr:row>11</xdr:row>
      <xdr:rowOff>47625</xdr:rowOff>
    </xdr:from>
    <xdr:to>
      <xdr:col>6</xdr:col>
      <xdr:colOff>85725</xdr:colOff>
      <xdr:row>13</xdr:row>
      <xdr:rowOff>190267</xdr:rowOff>
    </xdr:to>
    <xdr:grpSp>
      <xdr:nvGrpSpPr>
        <xdr:cNvPr id="570" name="Sumprabum_G"/>
        <xdr:cNvGrpSpPr/>
      </xdr:nvGrpSpPr>
      <xdr:grpSpPr>
        <a:xfrm>
          <a:off x="2930525" y="2771775"/>
          <a:ext cx="1270000" cy="637942"/>
          <a:chOff x="12380951" y="1748589"/>
          <a:chExt cx="1893717" cy="1900439"/>
        </a:xfrm>
      </xdr:grpSpPr>
      <xdr:sp macro="" textlink="">
        <xdr:nvSpPr>
          <xdr:cNvPr id="571" name="Oval"/>
          <xdr:cNvSpPr/>
        </xdr:nvSpPr>
        <xdr:spPr>
          <a:xfrm>
            <a:off x="13244695" y="2528931"/>
            <a:ext cx="166228" cy="339753"/>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3">
        <xdr:nvSpPr>
          <xdr:cNvPr id="572" name="Pop" hidden="1"/>
          <xdr:cNvSpPr txBox="1"/>
        </xdr:nvSpPr>
        <xdr:spPr>
          <a:xfrm>
            <a:off x="12959414" y="2048528"/>
            <a:ext cx="708964" cy="1600500"/>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8A3DF3B2-1FE4-4928-A188-0E4823EB732E}"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759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3">
        <xdr:nvSpPr>
          <xdr:cNvPr id="573"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61094055-6F7C-46F3-A7D4-1203D88644D3}" type="TxLink">
              <a:rPr lang="en-US" sz="1600" b="0" i="0" u="none" strike="noStrike">
                <a:solidFill>
                  <a:srgbClr val="000000"/>
                </a:solidFill>
                <a:latin typeface="Calibri"/>
                <a:cs typeface="Arial" pitchFamily="34" charset="0"/>
              </a:rPr>
              <a:pPr algn="r"/>
              <a:t>3 cps</a:t>
            </a:fld>
            <a:endParaRPr lang="en-US" sz="600" i="1">
              <a:solidFill>
                <a:schemeClr val="tx1"/>
              </a:solidFill>
              <a:latin typeface="Arial" pitchFamily="34" charset="0"/>
              <a:cs typeface="Arial" pitchFamily="34" charset="0"/>
            </a:endParaRPr>
          </a:p>
        </xdr:txBody>
      </xdr:sp>
      <xdr:sp macro="" textlink="U23">
        <xdr:nvSpPr>
          <xdr:cNvPr id="574"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0EFC4375-7244-4B1E-926F-DD53E8E1F05C}"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Sumprabum</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75" name="Cluster"/>
          <xdr:cNvGrpSpPr/>
        </xdr:nvGrpSpPr>
        <xdr:grpSpPr>
          <a:xfrm>
            <a:off x="12477748" y="2348604"/>
            <a:ext cx="1732609" cy="380242"/>
            <a:chOff x="12477748" y="2348604"/>
            <a:chExt cx="1732609" cy="380242"/>
          </a:xfrm>
        </xdr:grpSpPr>
        <xdr:grpSp>
          <xdr:nvGrpSpPr>
            <xdr:cNvPr id="576" name="Shelter_G"/>
            <xdr:cNvGrpSpPr/>
          </xdr:nvGrpSpPr>
          <xdr:grpSpPr>
            <a:xfrm>
              <a:off x="12477748" y="2367654"/>
              <a:ext cx="332972" cy="361192"/>
              <a:chOff x="8585625" y="4782769"/>
              <a:chExt cx="147154" cy="166659"/>
            </a:xfrm>
          </xdr:grpSpPr>
          <xdr:pic>
            <xdr:nvPicPr>
              <xdr:cNvPr id="580"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81"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77" name="NFI_G"/>
            <xdr:cNvGrpSpPr/>
          </xdr:nvGrpSpPr>
          <xdr:grpSpPr>
            <a:xfrm>
              <a:off x="13877376" y="2348604"/>
              <a:ext cx="332981" cy="361192"/>
              <a:chOff x="8250078" y="5375644"/>
              <a:chExt cx="147158" cy="166659"/>
            </a:xfrm>
          </xdr:grpSpPr>
          <xdr:pic>
            <xdr:nvPicPr>
              <xdr:cNvPr id="578"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79"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1</xdr:col>
      <xdr:colOff>777875</xdr:colOff>
      <xdr:row>12</xdr:row>
      <xdr:rowOff>38100</xdr:rowOff>
    </xdr:from>
    <xdr:to>
      <xdr:col>4</xdr:col>
      <xdr:colOff>76200</xdr:colOff>
      <xdr:row>14</xdr:row>
      <xdr:rowOff>58336</xdr:rowOff>
    </xdr:to>
    <xdr:grpSp>
      <xdr:nvGrpSpPr>
        <xdr:cNvPr id="582" name="Tanai_G"/>
        <xdr:cNvGrpSpPr/>
      </xdr:nvGrpSpPr>
      <xdr:grpSpPr>
        <a:xfrm>
          <a:off x="1635125" y="3009900"/>
          <a:ext cx="1260475" cy="515536"/>
          <a:chOff x="12380951" y="1748589"/>
          <a:chExt cx="1893717" cy="1535789"/>
        </a:xfrm>
      </xdr:grpSpPr>
      <xdr:sp macro="" textlink="">
        <xdr:nvSpPr>
          <xdr:cNvPr id="583" name="Oval"/>
          <xdr:cNvSpPr/>
        </xdr:nvSpPr>
        <xdr:spPr>
          <a:xfrm>
            <a:off x="13327810" y="2516484"/>
            <a:ext cx="0" cy="0"/>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4">
        <xdr:nvSpPr>
          <xdr:cNvPr id="584" name="Pop" hidden="1"/>
          <xdr:cNvSpPr txBox="1"/>
        </xdr:nvSpPr>
        <xdr:spPr>
          <a:xfrm>
            <a:off x="12959414" y="2421581"/>
            <a:ext cx="708964" cy="854396"/>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2A289B30-6A61-48EC-9E96-44041727ACF7}"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4">
        <xdr:nvSpPr>
          <xdr:cNvPr id="585" name="N_Camp" hidden="1"/>
          <xdr:cNvSpPr txBox="1"/>
        </xdr:nvSpPr>
        <xdr:spPr>
          <a:xfrm>
            <a:off x="13337142" y="2429982"/>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E43ECA11-0298-4F15-82D7-23FC6A2BD1FF}" type="TxLink">
              <a:rPr lang="en-US" sz="1600" b="0" i="0" u="none" strike="noStrike">
                <a:solidFill>
                  <a:srgbClr val="000000"/>
                </a:solidFill>
                <a:latin typeface="Calibri"/>
                <a:cs typeface="Arial" pitchFamily="34" charset="0"/>
              </a:rPr>
              <a:pPr algn="r"/>
              <a:t>3 cps</a:t>
            </a:fld>
            <a:endParaRPr lang="en-US" sz="600" i="1">
              <a:solidFill>
                <a:schemeClr val="tx1"/>
              </a:solidFill>
              <a:latin typeface="Arial" pitchFamily="34" charset="0"/>
              <a:cs typeface="Arial" pitchFamily="34" charset="0"/>
            </a:endParaRPr>
          </a:p>
        </xdr:txBody>
      </xdr:sp>
      <xdr:sp macro="" textlink="U24">
        <xdr:nvSpPr>
          <xdr:cNvPr id="586"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4761A508-B83E-4353-8AC4-0DA59736A7BD}"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Tanai</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87" name="Cluster"/>
          <xdr:cNvGrpSpPr/>
        </xdr:nvGrpSpPr>
        <xdr:grpSpPr>
          <a:xfrm>
            <a:off x="12477748" y="2348604"/>
            <a:ext cx="1732609" cy="380242"/>
            <a:chOff x="12477748" y="2348604"/>
            <a:chExt cx="1732609" cy="380242"/>
          </a:xfrm>
        </xdr:grpSpPr>
        <xdr:grpSp>
          <xdr:nvGrpSpPr>
            <xdr:cNvPr id="588" name="Shelter_G"/>
            <xdr:cNvGrpSpPr/>
          </xdr:nvGrpSpPr>
          <xdr:grpSpPr>
            <a:xfrm>
              <a:off x="12477748" y="2367654"/>
              <a:ext cx="332972" cy="361192"/>
              <a:chOff x="8585625" y="4782769"/>
              <a:chExt cx="147154" cy="166659"/>
            </a:xfrm>
          </xdr:grpSpPr>
          <xdr:pic>
            <xdr:nvPicPr>
              <xdr:cNvPr id="592"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593"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589" name="NFI_G"/>
            <xdr:cNvGrpSpPr/>
          </xdr:nvGrpSpPr>
          <xdr:grpSpPr>
            <a:xfrm>
              <a:off x="13877376" y="2348604"/>
              <a:ext cx="332981" cy="361192"/>
              <a:chOff x="8250078" y="5375644"/>
              <a:chExt cx="147158" cy="166659"/>
            </a:xfrm>
          </xdr:grpSpPr>
          <xdr:pic>
            <xdr:nvPicPr>
              <xdr:cNvPr id="590"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591"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twoCellAnchor>
    <xdr:from>
      <xdr:col>4</xdr:col>
      <xdr:colOff>606425</xdr:colOff>
      <xdr:row>18</xdr:row>
      <xdr:rowOff>31750</xdr:rowOff>
    </xdr:from>
    <xdr:to>
      <xdr:col>7</xdr:col>
      <xdr:colOff>38100</xdr:colOff>
      <xdr:row>21</xdr:row>
      <xdr:rowOff>76511</xdr:rowOff>
    </xdr:to>
    <xdr:grpSp>
      <xdr:nvGrpSpPr>
        <xdr:cNvPr id="594" name="Waingmaw_G"/>
        <xdr:cNvGrpSpPr/>
      </xdr:nvGrpSpPr>
      <xdr:grpSpPr>
        <a:xfrm>
          <a:off x="3425825" y="4489450"/>
          <a:ext cx="1279525" cy="787711"/>
          <a:chOff x="12380951" y="1675478"/>
          <a:chExt cx="1893717" cy="2346603"/>
        </a:xfrm>
      </xdr:grpSpPr>
      <xdr:sp macro="" textlink="">
        <xdr:nvSpPr>
          <xdr:cNvPr id="595" name="Oval"/>
          <xdr:cNvSpPr/>
        </xdr:nvSpPr>
        <xdr:spPr>
          <a:xfrm>
            <a:off x="12859390" y="1885005"/>
            <a:ext cx="936840" cy="1927545"/>
          </a:xfrm>
          <a:prstGeom prst="ellipse">
            <a:avLst/>
          </a:prstGeom>
          <a:ln/>
          <a:scene3d>
            <a:camera prst="orthographicFront"/>
            <a:lightRig rig="threePt" dir="t"/>
          </a:scene3d>
          <a:sp3d/>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GB" sz="1100"/>
          </a:p>
        </xdr:txBody>
      </xdr:sp>
      <xdr:sp macro="" textlink="Y25">
        <xdr:nvSpPr>
          <xdr:cNvPr id="596" name="Pop" hidden="1"/>
          <xdr:cNvSpPr txBox="1"/>
        </xdr:nvSpPr>
        <xdr:spPr>
          <a:xfrm>
            <a:off x="12959414" y="1675478"/>
            <a:ext cx="708964" cy="2346603"/>
          </a:xfrm>
          <a:prstGeom prst="rect">
            <a:avLst/>
          </a:prstGeom>
          <a:no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36000" tIns="18000" rIns="3600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BDCB681D-1CD6-4668-8A51-CF8FB1D18C97}" type="TxLink">
              <a:rPr lang="en-US" sz="1600" b="0" i="0" u="none" strike="noStrike" cap="none" spc="150">
                <a:ln w="11430"/>
                <a:solidFill>
                  <a:srgbClr val="000000"/>
                </a:solidFill>
                <a:effectLst>
                  <a:outerShdw blurRad="25400" algn="tl" rotWithShape="0">
                    <a:srgbClr val="000000">
                      <a:alpha val="43000"/>
                    </a:srgbClr>
                  </a:outerShdw>
                </a:effectLst>
                <a:latin typeface="Calibri"/>
                <a:ea typeface="+mn-ea"/>
                <a:cs typeface="Arial" pitchFamily="34" charset="0"/>
              </a:rPr>
              <a:pPr marL="0" indent="0" algn="ctr"/>
              <a:t> 24,108 </a:t>
            </a:fld>
            <a:endParaRPr lang="en-GB" sz="600" b="1" cap="none" spc="150">
              <a:ln w="11430"/>
              <a:solidFill>
                <a:schemeClr val="tx1"/>
              </a:solidFill>
              <a:effectLst>
                <a:outerShdw blurRad="25400" algn="tl" rotWithShape="0">
                  <a:srgbClr val="000000">
                    <a:alpha val="43000"/>
                  </a:srgbClr>
                </a:outerShdw>
              </a:effectLst>
              <a:latin typeface="Arial" pitchFamily="34" charset="0"/>
              <a:ea typeface="+mn-ea"/>
              <a:cs typeface="Arial" pitchFamily="34" charset="0"/>
            </a:endParaRPr>
          </a:p>
        </xdr:txBody>
      </xdr:sp>
      <xdr:sp macro="" textlink="Z25">
        <xdr:nvSpPr>
          <xdr:cNvPr id="597" name="N_Camp" hidden="1"/>
          <xdr:cNvSpPr txBox="1"/>
        </xdr:nvSpPr>
        <xdr:spPr>
          <a:xfrm>
            <a:off x="13337142" y="2429979"/>
            <a:ext cx="836058" cy="854396"/>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bodyPr>
          <a:lstStyle/>
          <a:p>
            <a:pPr algn="r"/>
            <a:fld id="{E0821213-CA01-4ADD-8C80-D586962458A7}" type="TxLink">
              <a:rPr lang="en-US" sz="1600" b="0" i="0" u="none" strike="noStrike">
                <a:solidFill>
                  <a:srgbClr val="000000"/>
                </a:solidFill>
                <a:latin typeface="Calibri"/>
                <a:cs typeface="Arial" pitchFamily="34" charset="0"/>
              </a:rPr>
              <a:pPr algn="r"/>
              <a:t>0 cp</a:t>
            </a:fld>
            <a:endParaRPr lang="en-US" sz="600" i="1">
              <a:solidFill>
                <a:schemeClr val="tx1"/>
              </a:solidFill>
              <a:latin typeface="Arial" pitchFamily="34" charset="0"/>
              <a:cs typeface="Arial" pitchFamily="34" charset="0"/>
            </a:endParaRPr>
          </a:p>
        </xdr:txBody>
      </xdr:sp>
      <xdr:sp macro="" textlink="U25">
        <xdr:nvSpPr>
          <xdr:cNvPr id="598" name="Site"/>
          <xdr:cNvSpPr txBox="1"/>
        </xdr:nvSpPr>
        <xdr:spPr>
          <a:xfrm>
            <a:off x="12380951" y="1748589"/>
            <a:ext cx="1893717" cy="854397"/>
          </a:xfrm>
          <a:prstGeom prst="rect">
            <a:avLst/>
          </a:prstGeom>
          <a:solidFill>
            <a:schemeClr val="accent2">
              <a:alpha val="0"/>
            </a:schemeClr>
          </a:solidFill>
          <a:ln w="3175">
            <a:noFill/>
          </a:ln>
        </xdr:spPr>
        <xdr:style>
          <a:lnRef idx="2">
            <a:schemeClr val="accent2">
              <a:shade val="50000"/>
            </a:schemeClr>
          </a:lnRef>
          <a:fillRef idx="1">
            <a:schemeClr val="accent2"/>
          </a:fillRef>
          <a:effectRef idx="0">
            <a:schemeClr val="accent2"/>
          </a:effectRef>
          <a:fontRef idx="minor">
            <a:schemeClr val="lt1"/>
          </a:fontRef>
        </xdr:style>
        <xdr:txBody>
          <a:bodyPr wrap="square" lIns="0" tIns="18000" rIns="0" bIns="18000" rtlCol="0" anchor="ctr">
            <a:spAutoFit/>
            <a:scene3d>
              <a:camera prst="orthographicFront"/>
              <a:lightRig rig="soft" dir="t">
                <a:rot lat="0" lon="0" rev="10800000"/>
              </a:lightRig>
            </a:scene3d>
            <a:sp3d>
              <a:bevelT w="27940" h="12700"/>
              <a:contourClr>
                <a:srgbClr val="DDDDDD"/>
              </a:contourClr>
            </a:sp3d>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69212B74-0138-4888-9456-5A5ED5FE5DA5}" type="TxLink">
              <a:rPr lang="en-US" sz="1600" b="0" i="0" u="none" strike="noStrike" cap="none" spc="150">
                <a:ln w="11430"/>
                <a:solidFill>
                  <a:srgbClr val="000000"/>
                </a:solidFill>
                <a:effectLst>
                  <a:outerShdw blurRad="25400" algn="tl" rotWithShape="0">
                    <a:srgbClr val="000000">
                      <a:alpha val="43000"/>
                    </a:srgbClr>
                  </a:outerShdw>
                </a:effectLst>
                <a:latin typeface="Calibri"/>
                <a:cs typeface="Arial" pitchFamily="34" charset="0"/>
              </a:rPr>
              <a:pPr algn="ctr"/>
              <a:t>Waingmaw</a:t>
            </a:fld>
            <a:endParaRPr lang="en-GB" sz="1000" b="1" cap="none" spc="150">
              <a:ln w="11430"/>
              <a:solidFill>
                <a:schemeClr val="tx1"/>
              </a:solidFill>
              <a:effectLst>
                <a:outerShdw blurRad="25400" algn="tl" rotWithShape="0">
                  <a:srgbClr val="000000">
                    <a:alpha val="43000"/>
                  </a:srgbClr>
                </a:outerShdw>
              </a:effectLst>
              <a:latin typeface="Arial" pitchFamily="34" charset="0"/>
              <a:cs typeface="Arial" pitchFamily="34" charset="0"/>
            </a:endParaRPr>
          </a:p>
        </xdr:txBody>
      </xdr:sp>
      <xdr:grpSp>
        <xdr:nvGrpSpPr>
          <xdr:cNvPr id="599" name="Cluster"/>
          <xdr:cNvGrpSpPr/>
        </xdr:nvGrpSpPr>
        <xdr:grpSpPr>
          <a:xfrm>
            <a:off x="12477748" y="2348604"/>
            <a:ext cx="1732609" cy="380242"/>
            <a:chOff x="12477748" y="2348604"/>
            <a:chExt cx="1732609" cy="380242"/>
          </a:xfrm>
        </xdr:grpSpPr>
        <xdr:grpSp>
          <xdr:nvGrpSpPr>
            <xdr:cNvPr id="600" name="Shelter_G"/>
            <xdr:cNvGrpSpPr/>
          </xdr:nvGrpSpPr>
          <xdr:grpSpPr>
            <a:xfrm>
              <a:off x="12477748" y="2367654"/>
              <a:ext cx="332972" cy="361192"/>
              <a:chOff x="8585625" y="4782769"/>
              <a:chExt cx="147154" cy="166659"/>
            </a:xfrm>
          </xdr:grpSpPr>
          <xdr:pic>
            <xdr:nvPicPr>
              <xdr:cNvPr id="604" name="Shelter_I" hidden="1"/>
              <xdr:cNvPicPr>
                <a:picLocks noChangeAspect="1"/>
              </xdr:cNvPicPr>
            </xdr:nvPicPr>
            <xdr:blipFill>
              <a:blip xmlns:r="http://schemas.openxmlformats.org/officeDocument/2006/relationships" r:embed="rId2">
                <a:clrChange>
                  <a:clrFrom>
                    <a:srgbClr val="FF0000"/>
                  </a:clrFrom>
                  <a:clrTo>
                    <a:srgbClr val="FF0000">
                      <a:alpha val="0"/>
                    </a:srgbClr>
                  </a:clrTo>
                </a:clrChange>
                <a:biLevel thresh="75000"/>
                <a:extLst>
                  <a:ext uri="{28A0092B-C50C-407E-A947-70E740481C1C}">
                    <a14:useLocalDpi xmlns:a14="http://schemas.microsoft.com/office/drawing/2010/main" val="0"/>
                  </a:ext>
                </a:extLst>
              </a:blip>
              <a:stretch>
                <a:fillRect/>
              </a:stretch>
            </xdr:blipFill>
            <xdr:spPr>
              <a:xfrm>
                <a:off x="8585625" y="4782772"/>
                <a:ext cx="147154" cy="147154"/>
              </a:xfrm>
              <a:prstGeom prst="rect">
                <a:avLst/>
              </a:prstGeom>
              <a:pattFill prst="pct5">
                <a:fgClr>
                  <a:srgbClr xmlns:mc="http://schemas.openxmlformats.org/markup-compatibility/2006" xmlns:a14="http://schemas.microsoft.com/office/drawing/2010/main" val="FFFF00" mc:Ignorable="a14" a14:legacySpreadsheetColorIndex="13">
                    <a:alpha val="0"/>
                  </a:srgbClr>
                </a:fgClr>
                <a:bgClr>
                  <a:schemeClr val="accent1">
                    <a:alpha val="0"/>
                  </a:schemeClr>
                </a:bgClr>
              </a:pattFill>
              <a:scene3d>
                <a:camera prst="orthographicFront"/>
                <a:lightRig rig="threePt" dir="t"/>
              </a:scene3d>
              <a:sp3d/>
            </xdr:spPr>
          </xdr:pic>
          <xdr:sp macro="" textlink="">
            <xdr:nvSpPr>
              <xdr:cNvPr id="605" name="Shelter_F" hidden="1"/>
              <xdr:cNvSpPr/>
            </xdr:nvSpPr>
            <xdr:spPr>
              <a:xfrm>
                <a:off x="8585625" y="4782769"/>
                <a:ext cx="147154" cy="166659"/>
              </a:xfrm>
              <a:prstGeom prst="rect">
                <a:avLst/>
              </a:prstGeom>
              <a:solidFill>
                <a:srgbClr val="FD2361">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nvGrpSpPr>
            <xdr:cNvPr id="601" name="NFI_G"/>
            <xdr:cNvGrpSpPr/>
          </xdr:nvGrpSpPr>
          <xdr:grpSpPr>
            <a:xfrm>
              <a:off x="13877376" y="2348604"/>
              <a:ext cx="332981" cy="361192"/>
              <a:chOff x="8250078" y="5375644"/>
              <a:chExt cx="147158" cy="166659"/>
            </a:xfrm>
          </xdr:grpSpPr>
          <xdr:pic>
            <xdr:nvPicPr>
              <xdr:cNvPr id="602" name="NFI_I" hidden="1"/>
              <xdr:cNvPicPr>
                <a:picLocks noChangeAspect="1"/>
              </xdr:cNvPicPr>
            </xdr:nvPicPr>
            <xdr:blipFill>
              <a:blip xmlns:r="http://schemas.openxmlformats.org/officeDocument/2006/relationships" r:embed="rId3">
                <a:biLevel thresh="75000"/>
              </a:blip>
              <a:stretch>
                <a:fillRect/>
              </a:stretch>
            </xdr:blipFill>
            <xdr:spPr>
              <a:xfrm>
                <a:off x="8250082" y="5375644"/>
                <a:ext cx="147154" cy="147154"/>
              </a:xfrm>
              <a:prstGeom prst="rect">
                <a:avLst/>
              </a:prstGeom>
              <a:noFill/>
              <a:scene3d>
                <a:camera prst="orthographicFront"/>
                <a:lightRig rig="threePt" dir="t"/>
              </a:scene3d>
              <a:sp3d/>
              <a:extLst>
                <a:ext uri="{909E8E84-426E-40DD-AFC4-6F175D3DCCD1}">
                  <a14:hiddenFill xmlns:a14="http://schemas.microsoft.com/office/drawing/2010/main">
                    <a:blipFill>
                      <a:blip xmlns:r="http://schemas.openxmlformats.org/officeDocument/2006/relationships" r:embed="rId4">
                        <a:duotone>
                          <a:prstClr val="black"/>
                          <a:schemeClr val="accent2">
                            <a:tint val="45000"/>
                            <a:satMod val="400000"/>
                          </a:schemeClr>
                        </a:duotone>
                      </a:blip>
                      <a:tile tx="0" ty="0" sx="100000" sy="100000" flip="none" algn="tl"/>
                    </a:blipFill>
                  </a14:hiddenFill>
                </a:ext>
              </a:extLst>
            </xdr:spPr>
          </xdr:pic>
          <xdr:sp macro="" textlink="">
            <xdr:nvSpPr>
              <xdr:cNvPr id="603" name="NFI_F" hidden="1"/>
              <xdr:cNvSpPr/>
            </xdr:nvSpPr>
            <xdr:spPr>
              <a:xfrm>
                <a:off x="8250078" y="5375644"/>
                <a:ext cx="147154" cy="166659"/>
              </a:xfrm>
              <a:prstGeom prst="rect">
                <a:avLst/>
              </a:prstGeom>
              <a:solidFill>
                <a:srgbClr val="FF0000">
                  <a:alpha val="43000"/>
                </a:srgbClr>
              </a:solidFill>
              <a:ln>
                <a:noFill/>
              </a:ln>
              <a:scene3d>
                <a:camera prst="orthographicFront"/>
                <a:lightRig rig="threePt" dir="t"/>
              </a:scene3d>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grp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108857</xdr:colOff>
      <xdr:row>0</xdr:row>
      <xdr:rowOff>340179</xdr:rowOff>
    </xdr:from>
    <xdr:to>
      <xdr:col>16</xdr:col>
      <xdr:colOff>1288235</xdr:colOff>
      <xdr:row>1</xdr:row>
      <xdr:rowOff>453005</xdr:rowOff>
    </xdr:to>
    <xdr:grpSp>
      <xdr:nvGrpSpPr>
        <xdr:cNvPr id="5" name="Group 4"/>
        <xdr:cNvGrpSpPr/>
      </xdr:nvGrpSpPr>
      <xdr:grpSpPr>
        <a:xfrm>
          <a:off x="11774181" y="340179"/>
          <a:ext cx="8407613" cy="572267"/>
          <a:chOff x="6500812" y="317500"/>
          <a:chExt cx="6186806" cy="575469"/>
        </a:xfrm>
      </xdr:grpSpPr>
      <xdr:pic>
        <xdr:nvPicPr>
          <xdr:cNvPr id="6" name="Picture 5"/>
          <xdr:cNvPicPr>
            <a:picLocks noChangeAspect="1"/>
          </xdr:cNvPicPr>
        </xdr:nvPicPr>
        <xdr:blipFill>
          <a:blip xmlns:r="http://schemas.openxmlformats.org/officeDocument/2006/relationships" r:embed="rId1"/>
          <a:stretch>
            <a:fillRect/>
          </a:stretch>
        </xdr:blipFill>
        <xdr:spPr>
          <a:xfrm>
            <a:off x="8886031" y="317500"/>
            <a:ext cx="3801587" cy="573015"/>
          </a:xfrm>
          <a:prstGeom prst="rect">
            <a:avLst/>
          </a:prstGeom>
        </xdr:spPr>
      </xdr:pic>
      <xdr:pic>
        <xdr:nvPicPr>
          <xdr:cNvPr id="7" name="Picture 6" descr="CCCM sdc-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0</xdr:row>
      <xdr:rowOff>19050</xdr:rowOff>
    </xdr:from>
    <xdr:to>
      <xdr:col>1</xdr:col>
      <xdr:colOff>392250</xdr:colOff>
      <xdr:row>0</xdr:row>
      <xdr:rowOff>384810</xdr:rowOff>
    </xdr:to>
    <xdr:sp macro="" textlink="">
      <xdr:nvSpPr>
        <xdr:cNvPr id="8" name="Rounded Rectangle 7">
          <a:hlinkClick xmlns:r="http://schemas.openxmlformats.org/officeDocument/2006/relationships" r:id="rId3"/>
        </xdr:cNvPr>
        <xdr:cNvSpPr/>
      </xdr:nvSpPr>
      <xdr:spPr>
        <a:xfrm>
          <a:off x="0" y="19050"/>
          <a:ext cx="1440000"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1</xdr:col>
      <xdr:colOff>595311</xdr:colOff>
      <xdr:row>0</xdr:row>
      <xdr:rowOff>11907</xdr:rowOff>
    </xdr:from>
    <xdr:to>
      <xdr:col>3</xdr:col>
      <xdr:colOff>292236</xdr:colOff>
      <xdr:row>0</xdr:row>
      <xdr:rowOff>377667</xdr:rowOff>
    </xdr:to>
    <xdr:sp macro="" textlink="">
      <xdr:nvSpPr>
        <xdr:cNvPr id="9" name="Rounded Rectangle 8">
          <a:hlinkClick xmlns:r="http://schemas.openxmlformats.org/officeDocument/2006/relationships" r:id="rId4"/>
        </xdr:cNvPr>
        <xdr:cNvSpPr/>
      </xdr:nvSpPr>
      <xdr:spPr>
        <a:xfrm>
          <a:off x="2047874" y="11907"/>
          <a:ext cx="1732893"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Progress</a:t>
          </a:r>
          <a:endParaRPr lang="en-US" sz="1100" b="1"/>
        </a:p>
      </xdr:txBody>
    </xdr:sp>
    <xdr:clientData/>
  </xdr:twoCellAnchor>
  <xdr:twoCellAnchor>
    <xdr:from>
      <xdr:col>5</xdr:col>
      <xdr:colOff>71437</xdr:colOff>
      <xdr:row>0</xdr:row>
      <xdr:rowOff>0</xdr:rowOff>
    </xdr:from>
    <xdr:to>
      <xdr:col>5</xdr:col>
      <xdr:colOff>1511437</xdr:colOff>
      <xdr:row>0</xdr:row>
      <xdr:rowOff>367738</xdr:rowOff>
    </xdr:to>
    <xdr:sp macro="" textlink="">
      <xdr:nvSpPr>
        <xdr:cNvPr id="10" name="Rounded Rectangle 9">
          <a:hlinkClick xmlns:r="http://schemas.openxmlformats.org/officeDocument/2006/relationships" r:id="rId5"/>
        </xdr:cNvPr>
        <xdr:cNvSpPr/>
      </xdr:nvSpPr>
      <xdr:spPr>
        <a:xfrm>
          <a:off x="5110162" y="0"/>
          <a:ext cx="1440000" cy="36773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Detail Sheet</a:t>
          </a:r>
          <a:endParaRPr lang="en-US" sz="1100" b="1"/>
        </a:p>
      </xdr:txBody>
    </xdr:sp>
    <xdr:clientData/>
  </xdr:twoCellAnchor>
  <xdr:twoCellAnchor>
    <xdr:from>
      <xdr:col>3</xdr:col>
      <xdr:colOff>552452</xdr:colOff>
      <xdr:row>0</xdr:row>
      <xdr:rowOff>11908</xdr:rowOff>
    </xdr:from>
    <xdr:to>
      <xdr:col>4</xdr:col>
      <xdr:colOff>1097102</xdr:colOff>
      <xdr:row>0</xdr:row>
      <xdr:rowOff>381002</xdr:rowOff>
    </xdr:to>
    <xdr:sp macro="" textlink="">
      <xdr:nvSpPr>
        <xdr:cNvPr id="11" name="Rounded Rectangle 10">
          <a:hlinkClick xmlns:r="http://schemas.openxmlformats.org/officeDocument/2006/relationships" r:id="rId6"/>
        </xdr:cNvPr>
        <xdr:cNvSpPr/>
      </xdr:nvSpPr>
      <xdr:spPr>
        <a:xfrm>
          <a:off x="3552827" y="11908"/>
          <a:ext cx="1440000" cy="369094"/>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 </a:t>
          </a:r>
          <a:r>
            <a:rPr lang="en-US" sz="1100" b="1" baseline="0"/>
            <a:t> by Agency</a:t>
          </a:r>
          <a:endParaRPr lang="en-US" sz="1100" b="1"/>
        </a:p>
      </xdr:txBody>
    </xdr:sp>
    <xdr:clientData/>
  </xdr:twoCellAnchor>
  <xdr:twoCellAnchor>
    <xdr:from>
      <xdr:col>5</xdr:col>
      <xdr:colOff>1633539</xdr:colOff>
      <xdr:row>0</xdr:row>
      <xdr:rowOff>0</xdr:rowOff>
    </xdr:from>
    <xdr:to>
      <xdr:col>6</xdr:col>
      <xdr:colOff>539889</xdr:colOff>
      <xdr:row>0</xdr:row>
      <xdr:rowOff>365760</xdr:rowOff>
    </xdr:to>
    <xdr:sp macro="" textlink="">
      <xdr:nvSpPr>
        <xdr:cNvPr id="12" name="Rounded Rectangle 11">
          <a:hlinkClick xmlns:r="http://schemas.openxmlformats.org/officeDocument/2006/relationships" r:id="rId7"/>
        </xdr:cNvPr>
        <xdr:cNvSpPr/>
      </xdr:nvSpPr>
      <xdr:spPr>
        <a:xfrm>
          <a:off x="6672264" y="0"/>
          <a:ext cx="2392500"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Shelter Summary</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171450</xdr:colOff>
      <xdr:row>33</xdr:row>
      <xdr:rowOff>57149</xdr:rowOff>
    </xdr:from>
    <xdr:to>
      <xdr:col>16</xdr:col>
      <xdr:colOff>9525</xdr:colOff>
      <xdr:row>52</xdr:row>
      <xdr:rowOff>28574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107157</xdr:colOff>
      <xdr:row>57</xdr:row>
      <xdr:rowOff>357188</xdr:rowOff>
    </xdr:from>
    <xdr:to>
      <xdr:col>16</xdr:col>
      <xdr:colOff>11906</xdr:colOff>
      <xdr:row>75</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59531</xdr:colOff>
      <xdr:row>33</xdr:row>
      <xdr:rowOff>71437</xdr:rowOff>
    </xdr:from>
    <xdr:to>
      <xdr:col>7</xdr:col>
      <xdr:colOff>154781</xdr:colOff>
      <xdr:row>52</xdr:row>
      <xdr:rowOff>47625</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2063750</xdr:colOff>
      <xdr:row>1</xdr:row>
      <xdr:rowOff>127000</xdr:rowOff>
    </xdr:from>
    <xdr:to>
      <xdr:col>14</xdr:col>
      <xdr:colOff>773431</xdr:colOff>
      <xdr:row>1</xdr:row>
      <xdr:rowOff>702469</xdr:rowOff>
    </xdr:to>
    <xdr:grpSp>
      <xdr:nvGrpSpPr>
        <xdr:cNvPr id="11" name="Group 10"/>
        <xdr:cNvGrpSpPr/>
      </xdr:nvGrpSpPr>
      <xdr:grpSpPr>
        <a:xfrm>
          <a:off x="9850438" y="579438"/>
          <a:ext cx="4960462" cy="327819"/>
          <a:chOff x="6500812" y="317500"/>
          <a:chExt cx="6186806" cy="575469"/>
        </a:xfrm>
      </xdr:grpSpPr>
      <xdr:pic>
        <xdr:nvPicPr>
          <xdr:cNvPr id="12" name="Picture 11"/>
          <xdr:cNvPicPr>
            <a:picLocks noChangeAspect="1"/>
          </xdr:cNvPicPr>
        </xdr:nvPicPr>
        <xdr:blipFill>
          <a:blip xmlns:r="http://schemas.openxmlformats.org/officeDocument/2006/relationships" r:embed="rId4"/>
          <a:stretch>
            <a:fillRect/>
          </a:stretch>
        </xdr:blipFill>
        <xdr:spPr>
          <a:xfrm>
            <a:off x="8886031" y="317500"/>
            <a:ext cx="3801587" cy="573015"/>
          </a:xfrm>
          <a:prstGeom prst="rect">
            <a:avLst/>
          </a:prstGeom>
        </xdr:spPr>
      </xdr:pic>
      <xdr:pic>
        <xdr:nvPicPr>
          <xdr:cNvPr id="13" name="Picture 12" descr="CCCM sdc-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00812" y="332729"/>
            <a:ext cx="2369344" cy="5602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0</xdr:row>
      <xdr:rowOff>19050</xdr:rowOff>
    </xdr:from>
    <xdr:to>
      <xdr:col>1</xdr:col>
      <xdr:colOff>122375</xdr:colOff>
      <xdr:row>0</xdr:row>
      <xdr:rowOff>384810</xdr:rowOff>
    </xdr:to>
    <xdr:sp macro="" textlink="">
      <xdr:nvSpPr>
        <xdr:cNvPr id="24" name="Rounded Rectangle 23">
          <a:hlinkClick xmlns:r="http://schemas.openxmlformats.org/officeDocument/2006/relationships" r:id="rId6"/>
        </xdr:cNvPr>
        <xdr:cNvSpPr/>
      </xdr:nvSpPr>
      <xdr:spPr>
        <a:xfrm>
          <a:off x="0" y="19050"/>
          <a:ext cx="1440000"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Home</a:t>
          </a:r>
        </a:p>
      </xdr:txBody>
    </xdr:sp>
    <xdr:clientData/>
  </xdr:twoCellAnchor>
  <xdr:twoCellAnchor>
    <xdr:from>
      <xdr:col>1</xdr:col>
      <xdr:colOff>670832</xdr:colOff>
      <xdr:row>0</xdr:row>
      <xdr:rowOff>19050</xdr:rowOff>
    </xdr:from>
    <xdr:to>
      <xdr:col>2</xdr:col>
      <xdr:colOff>569143</xdr:colOff>
      <xdr:row>0</xdr:row>
      <xdr:rowOff>384810</xdr:rowOff>
    </xdr:to>
    <xdr:sp macro="" textlink="">
      <xdr:nvSpPr>
        <xdr:cNvPr id="18" name="Rounded Rectangle 17">
          <a:hlinkClick xmlns:r="http://schemas.openxmlformats.org/officeDocument/2006/relationships" r:id="rId7"/>
        </xdr:cNvPr>
        <xdr:cNvSpPr/>
      </xdr:nvSpPr>
      <xdr:spPr>
        <a:xfrm>
          <a:off x="1895475" y="19050"/>
          <a:ext cx="1435918"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Progress</a:t>
          </a:r>
          <a:endParaRPr lang="en-US" sz="1100" b="1"/>
        </a:p>
      </xdr:txBody>
    </xdr:sp>
    <xdr:clientData/>
  </xdr:twoCellAnchor>
  <xdr:twoCellAnchor>
    <xdr:from>
      <xdr:col>4</xdr:col>
      <xdr:colOff>519795</xdr:colOff>
      <xdr:row>0</xdr:row>
      <xdr:rowOff>0</xdr:rowOff>
    </xdr:from>
    <xdr:to>
      <xdr:col>6</xdr:col>
      <xdr:colOff>9891</xdr:colOff>
      <xdr:row>0</xdr:row>
      <xdr:rowOff>367738</xdr:rowOff>
    </xdr:to>
    <xdr:sp macro="" textlink="">
      <xdr:nvSpPr>
        <xdr:cNvPr id="19" name="Rounded Rectangle 18">
          <a:hlinkClick xmlns:r="http://schemas.openxmlformats.org/officeDocument/2006/relationships" r:id="rId8"/>
        </xdr:cNvPr>
        <xdr:cNvSpPr/>
      </xdr:nvSpPr>
      <xdr:spPr>
        <a:xfrm>
          <a:off x="5704116" y="0"/>
          <a:ext cx="1435918" cy="367738"/>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a:t>
          </a:r>
          <a:r>
            <a:rPr lang="en-US" sz="1100" b="1" baseline="0"/>
            <a:t> Detail Sheet</a:t>
          </a:r>
          <a:endParaRPr lang="en-US" sz="1100" b="1"/>
        </a:p>
      </xdr:txBody>
    </xdr:sp>
    <xdr:clientData/>
  </xdr:twoCellAnchor>
  <xdr:twoCellAnchor>
    <xdr:from>
      <xdr:col>2</xdr:col>
      <xdr:colOff>1040270</xdr:colOff>
      <xdr:row>0</xdr:row>
      <xdr:rowOff>11908</xdr:rowOff>
    </xdr:from>
    <xdr:to>
      <xdr:col>4</xdr:col>
      <xdr:colOff>55477</xdr:colOff>
      <xdr:row>0</xdr:row>
      <xdr:rowOff>381002</xdr:rowOff>
    </xdr:to>
    <xdr:sp macro="" textlink="">
      <xdr:nvSpPr>
        <xdr:cNvPr id="20" name="Rounded Rectangle 19">
          <a:hlinkClick xmlns:r="http://schemas.openxmlformats.org/officeDocument/2006/relationships" r:id="rId9"/>
        </xdr:cNvPr>
        <xdr:cNvSpPr/>
      </xdr:nvSpPr>
      <xdr:spPr>
        <a:xfrm>
          <a:off x="3802520" y="11908"/>
          <a:ext cx="1437278" cy="369094"/>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a:t>Shelter </a:t>
          </a:r>
          <a:r>
            <a:rPr lang="en-US" sz="1100" b="1" baseline="0"/>
            <a:t> by Agency</a:t>
          </a:r>
          <a:endParaRPr lang="en-US" sz="1100" b="1"/>
        </a:p>
      </xdr:txBody>
    </xdr:sp>
    <xdr:clientData/>
  </xdr:twoCellAnchor>
  <xdr:twoCellAnchor>
    <xdr:from>
      <xdr:col>6</xdr:col>
      <xdr:colOff>472171</xdr:colOff>
      <xdr:row>0</xdr:row>
      <xdr:rowOff>13608</xdr:rowOff>
    </xdr:from>
    <xdr:to>
      <xdr:col>8</xdr:col>
      <xdr:colOff>835846</xdr:colOff>
      <xdr:row>0</xdr:row>
      <xdr:rowOff>379368</xdr:rowOff>
    </xdr:to>
    <xdr:sp macro="" textlink="">
      <xdr:nvSpPr>
        <xdr:cNvPr id="21" name="Rounded Rectangle 20">
          <a:hlinkClick xmlns:r="http://schemas.openxmlformats.org/officeDocument/2006/relationships" r:id="rId10"/>
        </xdr:cNvPr>
        <xdr:cNvSpPr/>
      </xdr:nvSpPr>
      <xdr:spPr>
        <a:xfrm>
          <a:off x="7602314" y="13608"/>
          <a:ext cx="2363925" cy="365760"/>
        </a:xfrm>
        <a:prstGeom prst="roundRect">
          <a:avLst/>
        </a:prstGeom>
        <a:ln>
          <a:solidFill>
            <a:schemeClr val="accent6">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100" b="1" baseline="0"/>
            <a:t>Shelter Summary</a:t>
          </a:r>
          <a:endParaRPr lang="en-US" sz="1100" b="1"/>
        </a:p>
      </xdr:txBody>
    </xdr:sp>
    <xdr:clientData/>
  </xdr:twoCellAnchor>
  <xdr:twoCellAnchor>
    <xdr:from>
      <xdr:col>0</xdr:col>
      <xdr:colOff>11907</xdr:colOff>
      <xdr:row>57</xdr:row>
      <xdr:rowOff>346983</xdr:rowOff>
    </xdr:from>
    <xdr:to>
      <xdr:col>5</xdr:col>
      <xdr:colOff>71438</xdr:colOff>
      <xdr:row>75</xdr:row>
      <xdr:rowOff>108858</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lwint\AppData\Local\Microsoft\Windows\Temporary%20Internet%20Files\Content.Outlook\60CNULBQ\Aug_CAR\Shelter-NFI-CCCM%20Kachin%20Northern%20Shan%20Cluster%20Analysis%20Report_Aug_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Camp List"/>
      <sheetName val="DistanceToCamp"/>
      <sheetName val="Camp Analysis"/>
      <sheetName val="Camp List (printable)"/>
      <sheetName val="CCCM Dashboard"/>
      <sheetName val="ForGIS"/>
      <sheetName val="Shelter Cross Check"/>
      <sheetName val="Map"/>
      <sheetName val="Shelter Tracking"/>
      <sheetName val="Shelter Progress"/>
      <sheetName val="Shelter Summary (by Agency)"/>
      <sheetName val="Shelter Coverage Camp"/>
      <sheetName val="Shelter Coverage &amp; Gaps"/>
      <sheetName val="NFI Tracking"/>
      <sheetName val="NFI Pipeline"/>
      <sheetName val="Sheet2"/>
      <sheetName val="NFI Distribution (by Tship)"/>
      <sheetName val="Winter Item"/>
      <sheetName val="NFI Summary"/>
      <sheetName val="Define_TCL"/>
      <sheetName val="File_Details"/>
      <sheetName val="Definition"/>
      <sheetName val="Shelter-NFI-CCCM Kachin Norther"/>
    </sheetNames>
    <sheetDataSet>
      <sheetData sheetId="0"/>
      <sheetData sheetId="1"/>
      <sheetData sheetId="2"/>
      <sheetData sheetId="3"/>
      <sheetData sheetId="4"/>
      <sheetData sheetId="5">
        <row r="6">
          <cell r="AL6" t="str">
            <v>1-100</v>
          </cell>
          <cell r="AM6" t="str">
            <v>100-1k</v>
          </cell>
          <cell r="AN6" t="str">
            <v>1k-5k</v>
          </cell>
          <cell r="AO6" t="str">
            <v>5k-10k</v>
          </cell>
        </row>
        <row r="29">
          <cell r="AL29">
            <v>2.2813841879262439E-2</v>
          </cell>
          <cell r="AM29">
            <v>0.40213185147764585</v>
          </cell>
          <cell r="AN29">
            <v>0.41675170497600406</v>
          </cell>
          <cell r="AO29">
            <v>0.15830260166708765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Soe Paing" refreshedDate="42922.61991828704" createdVersion="5" refreshedVersion="5" minRefreshableVersion="3" recordCount="1167">
  <cacheSource type="worksheet">
    <worksheetSource name="Table_NFI[[Months]:[Planned Distribution]]"/>
  </cacheSource>
  <cacheFields count="48">
    <cacheField name="Months" numFmtId="1">
      <sharedItems containsSemiMixedTypes="0" containsString="0" containsNumber="1" minValue="-0.96666666666666667" maxValue="66.900000000000006"/>
    </cacheField>
    <cacheField name="Distribution Date" numFmtId="169">
      <sharedItems containsSemiMixedTypes="0" containsNonDate="0" containsDate="1" containsString="0" minDate="2011-11-02T00:00:00" maxDate="2017-05-31T00:00:00"/>
    </cacheField>
    <cacheField name="Organization" numFmtId="0">
      <sharedItems containsBlank="1" count="16">
        <s v="UNHCR"/>
        <s v="Solidarities"/>
        <s v="DRC"/>
        <s v="World Vision"/>
        <s v="MRCS"/>
        <s v="DFID"/>
        <s v="FSD"/>
        <s v="Save the Children"/>
        <s v="CRC"/>
        <s v="ICRC"/>
        <s v="Plan-Myanmar"/>
        <s v="CRCS"/>
        <s v="Relief International"/>
        <s v="UNHCR "/>
        <s v="NRC"/>
        <m u="1"/>
      </sharedItems>
    </cacheField>
    <cacheField name="Implementing Partner" numFmtId="0">
      <sharedItems containsBlank="1"/>
    </cacheField>
    <cacheField name="State" numFmtId="0">
      <sharedItems/>
    </cacheField>
    <cacheField name="Township" numFmtId="0">
      <sharedItems containsBlank="1"/>
    </cacheField>
    <cacheField name="Camp Name" numFmtId="0">
      <sharedItems containsBlank="1"/>
    </cacheField>
    <cacheField name="Hygiene Kit" numFmtId="1">
      <sharedItems containsString="0" containsBlank="1" containsNumber="1" containsInteger="1" minValue="1" maxValue="5228"/>
    </cacheField>
    <cacheField name="NFI Core Kit" numFmtId="1">
      <sharedItems containsString="0" containsBlank="1" containsNumber="1" containsInteger="1" minValue="1" maxValue="200"/>
    </cacheField>
    <cacheField name="Sanitary Kit" numFmtId="1">
      <sharedItems containsString="0" containsBlank="1" containsNumber="1" containsInteger="1" minValue="1" maxValue="2350"/>
    </cacheField>
    <cacheField name="Mosquito net" numFmtId="1">
      <sharedItems containsString="0" containsBlank="1" containsNumber="1" containsInteger="1" minValue="0" maxValue="3256"/>
    </cacheField>
    <cacheField name="Tarpaulin" numFmtId="1">
      <sharedItems containsString="0" containsBlank="1" containsNumber="1" containsInteger="1" minValue="0" maxValue="1628"/>
    </cacheField>
    <cacheField name="Blanket" numFmtId="1">
      <sharedItems containsString="0" containsBlank="1" containsNumber="1" containsInteger="1" minValue="0" maxValue="3256"/>
    </cacheField>
    <cacheField name="Kitchen Set" numFmtId="1">
      <sharedItems containsString="0" containsBlank="1" containsNumber="1" containsInteger="1" minValue="0" maxValue="1628"/>
    </cacheField>
    <cacheField name="Clothes Kit" numFmtId="1">
      <sharedItems containsString="0" containsBlank="1" containsNumber="1" containsInteger="1" minValue="0" maxValue="760"/>
    </cacheField>
    <cacheField name="Plastic Bucket" numFmtId="1">
      <sharedItems containsString="0" containsBlank="1" containsNumber="1" containsInteger="1" minValue="0" maxValue="1628"/>
    </cacheField>
    <cacheField name="Plastic Mat" numFmtId="1">
      <sharedItems containsString="0" containsBlank="1" containsNumber="1" containsInteger="1" minValue="0" maxValue="5268"/>
    </cacheField>
    <cacheField name="Winter Clothes Adult" numFmtId="1">
      <sharedItems containsString="0" containsBlank="1" containsNumber="1" containsInteger="1" minValue="2" maxValue="2676"/>
    </cacheField>
    <cacheField name="Winter Clothes Children" numFmtId="1">
      <sharedItems containsString="0" containsBlank="1" containsNumber="1" containsInteger="1" minValue="8" maxValue="3600"/>
    </cacheField>
    <cacheField name="Winter Items Other" numFmtId="1">
      <sharedItems containsString="0" containsBlank="1" containsNumber="1" containsInteger="1" minValue="0" maxValue="3816"/>
    </cacheField>
    <cacheField name="Winter Blanket" numFmtId="1">
      <sharedItems containsString="0" containsBlank="1" containsNumber="1" containsInteger="1" minValue="10" maxValue="3186"/>
    </cacheField>
    <cacheField name="Jerry Can" numFmtId="1">
      <sharedItems containsString="0" containsBlank="1" containsNumber="1" containsInteger="1" minValue="1" maxValue="405"/>
    </cacheField>
    <cacheField name="Shelter Tool kit" numFmtId="1">
      <sharedItems containsString="0" containsBlank="1" containsNumber="1" containsInteger="1" minValue="1" maxValue="152"/>
    </cacheField>
    <cacheField name="Tent" numFmtId="1">
      <sharedItems containsString="0" containsBlank="1" containsNumber="1" containsInteger="1" minValue="6" maxValue="90"/>
    </cacheField>
    <cacheField name="Hygiene Kit_LS" numFmtId="0">
      <sharedItems containsString="0" containsBlank="1" containsNumber="1" containsInteger="1" minValue="0" maxValue="165"/>
    </cacheField>
    <cacheField name="NFI Core Kit_LS" numFmtId="0">
      <sharedItems containsString="0" containsBlank="1" containsNumber="1" containsInteger="1" minValue="0" maxValue="139"/>
    </cacheField>
    <cacheField name="Sanitary Kit_LS" numFmtId="0">
      <sharedItems containsString="0" containsBlank="1" containsNumber="1" containsInteger="1" minValue="0" maxValue="657"/>
    </cacheField>
    <cacheField name="Mosquito net_LS" numFmtId="0">
      <sharedItems containsString="0" containsBlank="1" containsNumber="1" containsInteger="1" minValue="0" maxValue="184"/>
    </cacheField>
    <cacheField name="Tarpaulin_LS" numFmtId="0">
      <sharedItems containsString="0" containsBlank="1" containsNumber="1" containsInteger="1" minValue="0" maxValue="170"/>
    </cacheField>
    <cacheField name="Blanket_LS" numFmtId="0">
      <sharedItems containsString="0" containsBlank="1" containsNumber="1" containsInteger="1" minValue="0" maxValue="358"/>
    </cacheField>
    <cacheField name="Kitchen Set_LS" numFmtId="0">
      <sharedItems containsString="0" containsBlank="1" containsNumber="1" containsInteger="1" minValue="0" maxValue="143"/>
    </cacheField>
    <cacheField name="Clothes Kit_LS" numFmtId="0">
      <sharedItems containsString="0" containsBlank="1" containsNumber="1" containsInteger="1" minValue="0" maxValue="0"/>
    </cacheField>
    <cacheField name="Plastic Bucket _LS" numFmtId="0">
      <sharedItems containsString="0" containsBlank="1" containsNumber="1" containsInteger="1" minValue="0" maxValue="91"/>
    </cacheField>
    <cacheField name="Plastic  Mat_LS" numFmtId="0">
      <sharedItems containsString="0" containsBlank="1" containsNumber="1" minValue="0" maxValue="470"/>
    </cacheField>
    <cacheField name="Winter Clothes Adult_LS" numFmtId="0">
      <sharedItems containsString="0" containsBlank="1" containsNumber="1" containsInteger="1" minValue="0" maxValue="540"/>
    </cacheField>
    <cacheField name="Winter Clothes Children_LS" numFmtId="0">
      <sharedItems containsString="0" containsBlank="1" containsNumber="1" containsInteger="1" minValue="0" maxValue="203"/>
    </cacheField>
    <cacheField name="Winter Items Other_LS" numFmtId="0">
      <sharedItems containsString="0" containsBlank="1" containsNumber="1" containsInteger="1" minValue="0" maxValue="0"/>
    </cacheField>
    <cacheField name="Winter Blanket_LS" numFmtId="0">
      <sharedItems containsString="0" containsBlank="1" containsNumber="1" containsInteger="1" minValue="0" maxValue="135"/>
    </cacheField>
    <cacheField name="Winter" numFmtId="0">
      <sharedItems containsString="0" containsBlank="1" containsNumber="1" containsInteger="1" minValue="0" maxValue="1"/>
    </cacheField>
    <cacheField name="Jerry Can_LS" numFmtId="0">
      <sharedItems containsString="0" containsBlank="1" containsNumber="1" containsInteger="1" minValue="0" maxValue="91"/>
    </cacheField>
    <cacheField name="Shelter Tool kit_LS" numFmtId="0">
      <sharedItems containsString="0" containsBlank="1" containsNumber="1" containsInteger="1" minValue="0" maxValue="85"/>
    </cacheField>
    <cacheField name="Tent_LS" numFmtId="0">
      <sharedItems containsString="0" containsBlank="1" containsNumber="1" containsInteger="1" minValue="0" maxValue="49"/>
    </cacheField>
    <cacheField name="Pcode" numFmtId="0">
      <sharedItems containsBlank="1"/>
    </cacheField>
    <cacheField name="opening_date" numFmtId="0">
      <sharedItems containsDate="1" containsBlank="1" containsMixedTypes="1" minDate="1899-12-31T00:00:00" maxDate="2016-08-03T00:00:00" count="42">
        <n v="0"/>
        <s v=""/>
        <n v="1"/>
        <d v="1899-12-30T00:00:00"/>
        <m/>
        <d v="2011-07-01T00:00:00" u="1"/>
        <d v="2012-07-01T00:00:00" u="1"/>
        <d v="1899-12-31T00:00:00" u="1"/>
        <d v="2013-07-01T00:00:00" u="1"/>
        <d v="2014-04-05T00:00:00" u="1"/>
        <d v="2011-06-01T00:00:00" u="1"/>
        <d v="2012-06-01T00:00:00" u="1"/>
        <d v="2013-06-01T00:00:00" u="1"/>
        <d v="2014-03-05T00:00:00" u="1"/>
        <d v="2012-05-01T00:00:00" u="1"/>
        <s v="0" u="1"/>
        <d v="2015-05-01T00:00:00" u="1"/>
        <d v="2014-03-03T00:00:00" u="1"/>
        <d v="2012-04-01T00:00:00" u="1"/>
        <d v="2013-04-01T00:00:00" u="1"/>
        <d v="2011-03-01T00:00:00" u="1"/>
        <d v="2016-08-02T00:00:00" u="1"/>
        <d v="2012-03-01T00:00:00" u="1"/>
        <d v="2011-12-01T00:00:00" u="1"/>
        <d v="2012-02-01T00:00:00" u="1"/>
        <d v="2012-12-01T00:00:00" u="1"/>
        <d v="2013-12-01T00:00:00" u="1"/>
        <d v="2015-02-01T00:00:00" u="1"/>
        <d v="2011-11-01T00:00:00" u="1"/>
        <d v="2012-01-01T00:00:00" u="1"/>
        <d v="2013-01-01T00:00:00" u="1"/>
        <d v="2013-11-01T00:00:00" u="1"/>
        <d v="2016-01-01T00:00:00" u="1"/>
        <d v="2011-10-01T00:00:00" u="1"/>
        <d v="2012-10-01T00:00:00" u="1"/>
        <d v="2013-10-01T00:00:00" u="1"/>
        <d v="2011-09-01T00:00:00" u="1"/>
        <d v="2013-09-01T00:00:00" u="1"/>
        <d v="2011-08-01T00:00:00" u="1"/>
        <d v="2012-08-01T00:00:00" u="1"/>
        <d v="2014-11-04T00:00:00" u="1"/>
        <d v="2013-08-01T00:00:00" u="1"/>
      </sharedItems>
    </cacheField>
    <cacheField name="Status" numFmtId="0">
      <sharedItems containsBlank="1" count="4">
        <s v="Open"/>
        <s v="Closed"/>
        <s v=""/>
        <m u="1"/>
      </sharedItems>
    </cacheField>
    <cacheField name="Priority" numFmtId="0">
      <sharedItems containsBlank="1" containsMixedTypes="1" containsNumber="1" containsInteger="1" minValue="0" maxValue="0"/>
    </cacheField>
    <cacheField name="Coverage" numFmtId="9">
      <sharedItems containsBlank="1" containsMixedTypes="1" containsNumber="1" minValue="0" maxValue="3.9648328097221207E-2"/>
    </cacheField>
    <cacheField name="Planned Distribution"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oe Paing" refreshedDate="42922.61991898148" createdVersion="4" refreshedVersion="5" minRefreshableVersion="3" recordCount="167">
  <cacheSource type="worksheet">
    <worksheetSource name="Table10"/>
  </cacheSource>
  <cacheFields count="14">
    <cacheField name="Pcode" numFmtId="0">
      <sharedItems/>
    </cacheField>
    <cacheField name="Priority" numFmtId="0">
      <sharedItems count="4">
        <s v="P1"/>
        <s v="P2"/>
        <s v="P3"/>
        <s v="P4"/>
      </sharedItems>
    </cacheField>
    <cacheField name="Camp" numFmtId="0">
      <sharedItems/>
    </cacheField>
    <cacheField name="Township" numFmtId="0">
      <sharedItems/>
    </cacheField>
    <cacheField name="HH" numFmtId="0">
      <sharedItems containsSemiMixedTypes="0" containsString="0" containsNumber="1" containsInteger="1" minValue="0" maxValue="1546"/>
    </cacheField>
    <cacheField name="Ind" numFmtId="0">
      <sharedItems containsSemiMixedTypes="0" containsString="0" containsNumber="1" containsInteger="1" minValue="0" maxValue="8610"/>
    </cacheField>
    <cacheField name="Winter Clothes Adult " numFmtId="0">
      <sharedItems containsSemiMixedTypes="0" containsString="0" containsNumber="1" containsInteger="1" minValue="0" maxValue="540"/>
    </cacheField>
    <cacheField name="Winter Clothes Children " numFmtId="0">
      <sharedItems containsSemiMixedTypes="0" containsString="0" containsNumber="1" containsInteger="1" minValue="0" maxValue="203"/>
    </cacheField>
    <cacheField name="Winter Items Other " numFmtId="0">
      <sharedItems containsSemiMixedTypes="0" containsString="0" containsNumber="1" containsInteger="1" minValue="0" maxValue="0"/>
    </cacheField>
    <cacheField name="WC_Adult_Gap" numFmtId="0">
      <sharedItems containsSemiMixedTypes="0" containsString="0" containsNumber="1" containsInteger="1" minValue="0" maxValue="3092"/>
    </cacheField>
    <cacheField name="WC_Child_Gap" numFmtId="0">
      <sharedItems containsSemiMixedTypes="0" containsString="0" containsNumber="1" containsInteger="1" minValue="0" maxValue="1546"/>
    </cacheField>
    <cacheField name="WI_Other_Gap" numFmtId="0">
      <sharedItems containsSemiMixedTypes="0" containsString="0" containsNumber="1" containsInteger="1" minValue="0" maxValue="1546"/>
    </cacheField>
    <cacheField name="Planned Distribution" numFmtId="0">
      <sharedItems/>
    </cacheField>
    <cacheField name="Check1" numFmtId="0">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ay Khaing" refreshedDate="42928.532869675924" missingItemsLimit="0" createdVersion="4" refreshedVersion="5" minRefreshableVersion="3" recordCount="381">
  <cacheSource type="worksheet">
    <worksheetSource name="Table_Shelter"/>
  </cacheSource>
  <cacheFields count="24">
    <cacheField name="Update Date" numFmtId="15">
      <sharedItems containsNonDate="0" containsDate="1" containsString="0" containsBlank="1" minDate="2013-12-01T00:00:00" maxDate="2017-07-04T00:00:00"/>
    </cacheField>
    <cacheField name="Organization" numFmtId="0">
      <sharedItems containsBlank="1" count="18">
        <s v="DRC"/>
        <s v="MHF"/>
        <s v="UNHCR"/>
        <s v="UNOCHA"/>
        <s v="World Vision"/>
        <s v="KBC Zonal"/>
        <s v="Metta"/>
        <s v="Oxfam"/>
        <s v="CC"/>
        <s v="Yedai Foundation"/>
        <s v="ACTED"/>
        <s v="IRRC"/>
        <m/>
        <s v="Caritas"/>
        <s v="FSD"/>
        <s v="COC"/>
        <s v="DFID"/>
        <s v="Misereor"/>
      </sharedItems>
    </cacheField>
    <cacheField name="Implementing  Partner" numFmtId="0">
      <sharedItems containsBlank="1"/>
    </cacheField>
    <cacheField name="State" numFmtId="0">
      <sharedItems count="2">
        <s v="Kachin"/>
        <s v="Shan_North"/>
      </sharedItems>
    </cacheField>
    <cacheField name="Township" numFmtId="0">
      <sharedItems count="17">
        <s v="Waingmaw"/>
        <s v="Myitkyina"/>
        <s v="Hpakant"/>
        <s v="Manton"/>
        <s v="Mansi"/>
        <s v="Bhamo"/>
        <s v="Kutkai"/>
        <s v="Momauk"/>
        <s v="Chipwi"/>
        <s v="Namhkan"/>
        <s v="Puta-O"/>
        <s v="Mogaung"/>
        <s v="Muse"/>
        <s v="Hseni"/>
        <s v="Namtu"/>
        <s v="Mohnyin"/>
        <s v="Shwegu"/>
      </sharedItems>
    </cacheField>
    <cacheField name="CampName" numFmtId="0">
      <sharedItems containsBlank="1" count="148">
        <s v="Maina Catholic Church (St. Joseph)"/>
        <s v="Mading Baptist Church"/>
        <s v="Pa Dauk Myaing(Pa La Na)"/>
        <s v="Maina KBC (Bawng Ring)"/>
        <s v="Shar Du Zut KBC church "/>
        <s v="Mandung - Jinghpaw"/>
        <s v="Du Kahtawng Qtr. 14"/>
        <s v="Njang Dung Baptist Church "/>
        <s v="Man Wing Baptist Church Cultural Compound"/>
        <s v="Robert Church"/>
        <s v="AG Church, Maw Wan"/>
        <s v="Ku Day Maw KBC"/>
        <s v="Qtr. 4 Monestry (Thargaya Thayett Taw)"/>
        <s v="Shar Du Zut RC church"/>
        <s v="Mungji Pa Dabang (Catholic Church)"/>
        <s v="AD-2000 Tharthana Compound"/>
        <s v="Pa Kahtawng "/>
        <s v="Pan Wa"/>
        <s v="Nan Kway St. John Catholic Church"/>
        <s v="Saw Zam"/>
        <s v="Border Post 8"/>
        <s v="Maw Hpawng Lhaovo Baptist Church"/>
        <s v="AG Church, Hmaw Si Sa"/>
        <s v="Chin Church, Seik Mu"/>
        <s v="Dhama Rakhita, Nyein Chan Tar Yar Ward(Lon Khin)"/>
        <s v="Qtr. 2 Lhaovo Baptist Church"/>
        <s v="Lhaovao Baptist Church (LBC)"/>
        <s v="Chipwi KBC camp"/>
        <s v="Lisu Baptist Church, Maw Shan Vil,. Seik Mu"/>
        <s v="Lisu Boarding-House"/>
        <s v="Man Wing Catholic Church"/>
        <s v="Maw Hpawng Hka Nan Baptist Church"/>
        <s v="Lana Zup Ja "/>
        <s v="Nyaung Na Pin "/>
        <s v="Loi Je Lisu Camp"/>
        <s v="Seng Ja "/>
        <s v="Nam Hkam Catholic Church ( St. Thomas I)"/>
        <s v="Hkau Shau (BP 12)"/>
        <s v="Hpare Hkyer - BP6"/>
        <s v="Pajau - Jan Mai"/>
        <s v="Shing Jai"/>
        <s v="Zai Awng - Mung Ga Zup"/>
        <s v="Dum Bung "/>
        <s v="Jan Mai Kawng Baptist Church"/>
        <s v="Lung Sut"/>
        <s v="Maina Lawang Baptist Church"/>
        <s v="Qtr. 2 Myoma Baptist Church"/>
        <s v="Tat Kone Baptist Church"/>
        <s v="Tat Kone Galile Baptist Church"/>
        <s v="Tat Kone San Pya Baptist Church"/>
        <s v="Maing Khaung"/>
        <s v="Nhkawng Pa "/>
        <s v="Post 6 Camp"/>
        <s v="Je Yang Hka "/>
        <s v="Sar Hmaw - KBC"/>
        <s v="Le Kone Ziun Baptist Church "/>
        <s v="Hpun Lum Yang "/>
        <s v="5 Ward RC Church(lon Khin)"/>
        <s v="Shatapru Sut Ngai Tawng"/>
        <s v="Shwe Zet Baptist Church"/>
        <s v="Nam Hkam (KBC Jaw Wang) II"/>
        <s v="Nam Hkawng"/>
        <s v="Nam Sa Larp"/>
        <s v="Namhkan - Pang Long KBC"/>
        <s v="Tat Kone COC Baptist - Tat Kone Htoi San"/>
        <s v="Zup Aung Camp"/>
        <s v="Bum Tsit Pa "/>
        <s v="Bum Tsit Pa Camp II"/>
        <s v="Baptist Church, Naung Hmee VT"/>
        <s v="Lisu Baptist Church, Maw Wan Ward"/>
        <s v="Muse Baptist Church"/>
        <s v="Nam Ma Phyit, COC"/>
        <s v="Nawng Hee Village"/>
        <s v="Thargaya Lisu Baptist Church"/>
        <s v="Loi Je Catholic Church"/>
        <s v="Hkat Cho "/>
        <s v="Man Bung Catholic compound"/>
        <s v="Mansi Baptist Church"/>
        <s v="Mu-yin Baptist Church"/>
        <s v="Qtr. 3 Mu-yin  Baptist Church"/>
        <s v="Momauk Baptist Church"/>
        <s v="Phan Khar Kone"/>
        <s v="Man Kawng Baptist Church"/>
        <s v="5 Ward Baptist Church(lon Khin)"/>
        <s v="Baptist Church, Hmaw Si Sar(Lon Khin)"/>
        <s v="Hmaw Wan, Anglican"/>
        <s v="Lagatyan "/>
        <s v="Maina AG Church"/>
        <s v="Mandung - RC"/>
        <s v="Maw Wan, Mu-yin Baptist Church"/>
        <s v="Nga Pyaw Taw Baptist Nursery School "/>
        <s v="Ni Thaw Ka Monestry"/>
        <s v="Rawan Baptist Church, Maw Shan Vil., Seik Mu"/>
        <s v="Ta Gun Taing Monastery (Shwe Kyi Na)"/>
        <s v="Waingmaw AG Church"/>
        <s v="Woi Chyai "/>
        <s v="Yoe Kyi Monastery"/>
        <s v="Mungji Pa Dabang (Baptist Church)         "/>
        <s v="Sai Nai Baptish Church, Maw Shan Vil., Seki Mu"/>
        <s v="Ward 2 Sai Taung Baptist Church, Seik Mu "/>
        <s v="Howa"/>
        <s v="Kyun Pin Thar Baptist Church"/>
        <s v="Kyun Taw Baptist Church "/>
        <s v="Le Kone Bethlehem Church"/>
        <s v="Loi Je Baptist Church"/>
        <s v="Maliyang Baptist Church"/>
        <s v="Man Hkring Baptist Church"/>
        <s v="Man Wing Baptist Church"/>
        <s v="Mang Hawng Baptist Church"/>
        <s v="Mung Baw "/>
        <s v="Nam Hkam - Nay Win Ni (Palawng)"/>
        <s v="Aung Thar Church"/>
        <s v="Du Kahtawng Qtr. 5"/>
        <s v="Htoi San Church"/>
        <s v="Nam Hkam (KBC Jaw Wang)"/>
        <s v="Jan Mai Kawng Catholic Church"/>
        <s v="Kone Khem Camp"/>
        <s v="Nam Hpak Ka Mare "/>
        <s v="Kutkai downtown (KBC Church)"/>
        <s v="Kutkai downtown (RC Church)"/>
        <s v="Nam Tu Baptist"/>
        <s v="Nant Ma Hpit Catholic Church"/>
        <s v="Nat Gyi Kone Baptist Church "/>
        <s v="Nawng Ing (Indawgyi) Baptist Church  "/>
        <s v="Lung Kawk  ( Hka Hkye Zup)"/>
        <s v="Maga Yang "/>
        <s v="Mai Khat "/>
        <s v="Maing Khaung Catholic Church"/>
        <s v="Mandalay Monestry"/>
        <s v="Mashi Kahtawng Baptist  Church"/>
        <s v="Mine Yu Lay village"/>
        <s v="Momauk Catholic Church (St. Patrick)"/>
        <s v="Mung Ding Pa  (Boarder)"/>
        <s v="Muse Catholic Church"/>
        <s v="Nam Lim Pa"/>
        <s v="Nant Hlaing Church"/>
        <s v="RRD Office"/>
        <s v="Shwe Gu Baptist Church"/>
        <s v="Shwe Gu Catholic Church"/>
        <s v="St. Patrick Catholic Church "/>
        <s v="Waingmaw Baptist Zonal Office"/>
        <s v="Tat Kone Emanuel Church"/>
        <s v="Tharthana Ahlin Yaung New Monastery"/>
        <s v="Ward 2 Cahotlic Church, Seik Mu"/>
        <s v="Warra Zup"/>
        <s v="Wun Tho Buddhist Monastery"/>
        <s v="Yumar Baptist Church"/>
        <m/>
      </sharedItems>
    </cacheField>
    <cacheField name="HH per Shelter" numFmtId="0">
      <sharedItems containsString="0" containsBlank="1" containsNumber="1" containsInteger="1" minValue="1" maxValue="1"/>
    </cacheField>
    <cacheField name="# of Family Tent Planned(Target)" numFmtId="0">
      <sharedItems containsString="0" containsBlank="1" containsNumber="1" containsInteger="1" minValue="1" maxValue="207"/>
    </cacheField>
    <cacheField name="# of Family Tent Distributed" numFmtId="0">
      <sharedItems containsString="0" containsBlank="1" containsNumber="1" containsInteger="1" minValue="1" maxValue="207"/>
    </cacheField>
    <cacheField name="# of Temporary Shelter Units Planned (Target)" numFmtId="0">
      <sharedItems containsString="0" containsBlank="1" containsNumber="1" containsInteger="1" minValue="2" maxValue="700"/>
    </cacheField>
    <cacheField name="# of Temporary Shelter Units Built" numFmtId="0">
      <sharedItems containsString="0" containsBlank="1" containsNumber="1" containsInteger="1" minValue="0" maxValue="700"/>
    </cacheField>
    <cacheField name="# of Temporary Shelter Under  Construction" numFmtId="0">
      <sharedItems containsString="0" containsBlank="1" containsNumber="1" containsInteger="1" minValue="4" maxValue="140"/>
    </cacheField>
    <cacheField name="# of Permanent House Planned (Target)" numFmtId="0">
      <sharedItems containsNonDate="0" containsString="0" containsBlank="1"/>
    </cacheField>
    <cacheField name="# of Permanent House Built" numFmtId="0">
      <sharedItems containsNonDate="0" containsString="0" containsBlank="1"/>
    </cacheField>
    <cacheField name="# of Permanent House Under Construction" numFmtId="0">
      <sharedItems containsNonDate="0" containsString="0" containsBlank="1"/>
    </cacheField>
    <cacheField name="HH Covered" numFmtId="1">
      <sharedItems containsMixedTypes="1" containsNumber="1" containsInteger="1" minValue="0" maxValue="700"/>
    </cacheField>
    <cacheField name="HH Covered2" numFmtId="0">
      <sharedItems containsSemiMixedTypes="0" containsString="0" containsNumber="1" containsInteger="1" minValue="0" maxValue="700"/>
    </cacheField>
    <cacheField name="Planned Renovation" numFmtId="0">
      <sharedItems containsString="0" containsBlank="1" containsNumber="1" containsInteger="1" minValue="2" maxValue="338"/>
    </cacheField>
    <cacheField name="Renovated" numFmtId="0">
      <sharedItems containsString="0" containsBlank="1" containsNumber="1" containsInteger="1" minValue="0" maxValue="338"/>
    </cacheField>
    <cacheField name="Pcode" numFmtId="0">
      <sharedItems count="146">
        <s v="MMR001CMP029"/>
        <s v="MMR001CMP027"/>
        <s v="MMR001CMP162"/>
        <s v="MMR001CMP040"/>
        <s v="MMR001CMP244"/>
        <s v="MMR015CMP009"/>
        <s v="MMR001CMP012"/>
        <s v="MMR001CMP002"/>
        <s v="MMR001CMP230"/>
        <s v="MMR001CMP047"/>
        <s v="MMR001CMP190"/>
        <s v="MMR001CMP231"/>
        <s v="MMR001CMP026"/>
        <s v="MMR001CMP246"/>
        <s v="MMR015CMP217"/>
        <s v="MMR001CMP050"/>
        <s v="MMR001CMP126"/>
        <s v="MMR001CMP210"/>
        <s v="MMR001CMP024"/>
        <s v="MMR001CMP225"/>
        <s v="MMR001CMP113"/>
        <s v="MMR001CMP021"/>
        <s v="MMR001CMP176"/>
        <s v="MMR001CMP109"/>
        <s v="MMR001CMP174"/>
        <s v="MMR001CMP032"/>
        <s v="MMR001CMP195"/>
        <s v="MMR001CMP042"/>
        <s v="MMR001CMP181"/>
        <s v="MMR001CMP049"/>
        <s v="MMR001CMP132"/>
        <s v="MMR001CMP020"/>
        <s v="MMR001CMP128"/>
        <s v="MMR001CMP072"/>
        <s v="MMR001CMP070"/>
        <s v="MMR001CMP073"/>
        <s v="MMR015CMP003"/>
        <s v="MMR001CMP115"/>
        <s v="MMR001CMP043"/>
        <s v="MMR001CMP120"/>
        <s v="MMR001CMP041"/>
        <s v="MMR001CMP111"/>
        <s v="MMR001CMP123"/>
        <s v="MMR001CMP018"/>
        <s v="MMR001CMP234"/>
        <s v="MMR001CMP039"/>
        <s v="MMR001CMP025"/>
        <s v="MMR001CMP001"/>
        <s v="MMR001CMP003"/>
        <s v="MMR001CMP005"/>
        <s v="MMR001CMP218"/>
        <s v="MMR001CMP131"/>
        <s v="MMR001CMP160"/>
        <s v="MMR001CMP121"/>
        <s v="MMR001CMP236"/>
        <s v="MMR001CMP014"/>
        <s v="MMR001CMP122"/>
        <s v="MMR001CMP168"/>
        <s v="MMR001CMP006"/>
        <s v="MMR001CMP009"/>
        <s v="MMR015CMP214"/>
        <s v="MMR015CMP139"/>
        <s v="MMR015CMP218"/>
        <s v="MMR015CMP215"/>
        <s v="MMR001CMP023"/>
        <s v="MMR015CMP020"/>
        <s v="MMR001CMP129"/>
        <s v="MMR001CMP226"/>
        <s v="MMR001CMP188"/>
        <s v="MMR001CMP167"/>
        <s v="MMR015CMP213"/>
        <s v="MMR001CMP192"/>
        <s v="MMR001CMP033"/>
        <s v="MMR001CMP037"/>
        <s v="MMR001CMP069"/>
        <s v="MMR001CMP028"/>
        <s v="MMR001CMP062"/>
        <s v="MMR001CMP066"/>
        <s v="MMR001CMP051"/>
        <s v="MMR001CMP030"/>
        <s v="MMR001CMP056"/>
        <s v="MMR001CMP193"/>
        <s v="MMR001CMP212"/>
        <s v="MMR001CMP179"/>
        <s v="MMR001CMP169"/>
        <s v="MMR001CMP191"/>
        <s v="MMR001CMP202"/>
        <s v="MMR001CMP031"/>
        <s v="MMR015CMP209"/>
        <s v="MMR001CMP091"/>
        <s v="MMR001CMP082"/>
        <s v="MMR001CMP059"/>
        <s v="MMR001CMP182"/>
        <s v="MMR001CMP055"/>
        <s v="MMR001CMP038"/>
        <s v="MMR001CMP116"/>
        <s v="MMR001CMP053"/>
        <s v="MMR015CMP006"/>
        <s v="MMR001CMP183"/>
        <s v="MMR001CMP184"/>
        <s v="MMR015CMP010"/>
        <s v="MMR001CMP013"/>
        <s v="MMR001CMP078"/>
        <s v="MMR001CMP015"/>
        <s v="MMR001CMP071"/>
        <s v="MMR001CMP016"/>
        <s v="MMR001CMP008"/>
        <s v="MMR001CMP133"/>
        <s v="MMR001CMP077"/>
        <s v="MMR015CMP005"/>
        <s v="MMR015CMP004"/>
        <s v="MMR001CMP194"/>
        <s v="MMR001CMP011"/>
        <s v="MMR001CMP052"/>
        <s v="MMR015CMP001"/>
        <s v="MMR001CMP019"/>
        <s v="MMR015CMP015"/>
        <s v="MMR015CMP007"/>
        <s v="MMR015CMP016"/>
        <s v="MMR015CMP017"/>
        <s v="MMR015CMP014"/>
        <s v="MMR001CMP103"/>
        <s v="MMR001CMP079"/>
        <s v="MMR001CMP152"/>
        <s v="MMR001CMP135"/>
        <s v="MMR001CMP119"/>
        <s v="MMR001CMP064"/>
        <s v="MMR001CMP223"/>
        <s v="MMR001CMP058"/>
        <s v="MMR001CMP094"/>
        <s v="MMR015CMP018"/>
        <s v="MMR001CMP057"/>
        <s v="MMR001CMP203"/>
        <s v="MMR015CMP216"/>
        <s v="MMR001CMP204"/>
        <s v="MMR001CMP054"/>
        <s v=""/>
        <s v="MMR001CMP067"/>
        <s v="MMR001CMP068"/>
        <s v="MMR001CMP080"/>
        <s v="MMR001CMP036"/>
        <s v="MMR001CMP004"/>
        <s v="MMR001CMP224"/>
        <s v="MMR001CMP185"/>
        <s v="MMR001CMP022"/>
        <s v="MMR001CMP105"/>
      </sharedItems>
    </cacheField>
    <cacheField name="Status" numFmtId="0">
      <sharedItems count="3">
        <s v="Open"/>
        <s v="Closed"/>
        <s v=""/>
      </sharedItems>
    </cacheField>
    <cacheField name="Coverage" numFmtId="9">
      <sharedItems containsMixedTypes="1" containsNumber="1" minValue="0" maxValue="1"/>
    </cacheField>
    <cacheField name="Replacement (YES/NO)" numFmtId="0">
      <sharedItems containsBlank="1"/>
    </cacheField>
    <cacheField name="Comments" numFmtId="0">
      <sharedItems containsBlank="1"/>
    </cacheField>
  </cacheFields>
  <extLst>
    <ext xmlns:x14="http://schemas.microsoft.com/office/spreadsheetml/2009/9/main" uri="{725AE2AE-9491-48be-B2B4-4EB974FC3084}">
      <x14:pivotCacheDefinition pivotCacheId="2"/>
    </ext>
  </extLst>
</pivotCacheDefinition>
</file>

<file path=xl/pivotCache/pivotCacheDefinition4.xml><?xml version="1.0" encoding="utf-8"?>
<pivotCacheDefinition xmlns="http://schemas.openxmlformats.org/spreadsheetml/2006/main" xmlns:r="http://schemas.openxmlformats.org/officeDocument/2006/relationships" r:id="rId1" refreshOnLoad="1" refreshedBy="May Khaing" refreshedDate="42928.555636805555" missingItemsLimit="0" createdVersion="4" refreshedVersion="5" minRefreshableVersion="3" recordCount="281">
  <cacheSource type="worksheet">
    <worksheetSource name="AllData_CampList"/>
  </cacheSource>
  <cacheFields count="37">
    <cacheField name="Status" numFmtId="0">
      <sharedItems count="2">
        <s v="Open"/>
        <s v="Closed"/>
      </sharedItems>
    </cacheField>
    <cacheField name="State" numFmtId="0">
      <sharedItems count="2">
        <s v="Kachin"/>
        <s v="Shan_North"/>
      </sharedItems>
    </cacheField>
    <cacheField name="S_Pcode" numFmtId="0">
      <sharedItems/>
    </cacheField>
    <cacheField name="District" numFmtId="0">
      <sharedItems/>
    </cacheField>
    <cacheField name="D_Pcode" numFmtId="0">
      <sharedItems/>
    </cacheField>
    <cacheField name="Township" numFmtId="0">
      <sharedItems count="22">
        <s v="Myitkyina"/>
        <s v="Hpakant"/>
        <s v="Waingmaw"/>
        <s v="Namhkan"/>
        <s v="Chipwi"/>
        <s v="Bhamo"/>
        <s v="Momauk"/>
        <s v="Mansi"/>
        <s v="Shwegu"/>
        <s v="Puta-O"/>
        <s v="Mogaung"/>
        <s v="Mohnyin"/>
        <s v="Muse"/>
        <s v="Kutkai"/>
        <s v="Manton"/>
        <s v="Khaunglanhpu"/>
        <s v="Injangyang"/>
        <s v="Machanbaw"/>
        <s v="Namtu"/>
        <s v="Sumprabum"/>
        <s v="Hseni"/>
        <s v="Hsipaw"/>
      </sharedItems>
    </cacheField>
    <cacheField name="T_Pcode" numFmtId="0">
      <sharedItems/>
    </cacheField>
    <cacheField name="VillageTracKTown" numFmtId="0">
      <sharedItems containsBlank="1"/>
    </cacheField>
    <cacheField name="VTT_Pcode" numFmtId="0">
      <sharedItems containsBlank="1"/>
    </cacheField>
    <cacheField name="VillageWard_Name" numFmtId="0">
      <sharedItems containsBlank="1"/>
    </cacheField>
    <cacheField name="VW_Pcode" numFmtId="0">
      <sharedItems containsBlank="1" containsMixedTypes="1" containsNumber="1" containsInteger="1" minValue="165685" maxValue="220512"/>
    </cacheField>
    <cacheField name="Camp" numFmtId="0">
      <sharedItems count="278">
        <s v="Tat Kone Baptist Church"/>
        <s v="Njang Dung Baptist Church "/>
        <s v="Tat Kone Galile Baptist Church"/>
        <s v="Tat Kone Emanuel Church"/>
        <s v="Tat Kone San Pya Baptist Church"/>
        <s v="Shatapru Sut Ngai Tawng"/>
        <s v="Shatapru Thida Aye Baptist Church"/>
        <s v="Man Hkring Baptist Church"/>
        <s v="Shwe Zet Baptist Church"/>
        <s v="Du Kahtawng Qtr. 4"/>
        <s v="Du Kahtawng Qtr. 5"/>
        <s v="Du Kahtawng Qtr. 14"/>
        <s v="Kyun Pin Thar Baptist Church"/>
        <s v="Le Kone Ziun Baptist Church "/>
        <s v="Le Kone Bethlehem Church"/>
        <s v="Maliyang Baptist Church"/>
        <s v="1 Ward, Sein Yadanar Company(Lon Khin)"/>
        <s v="Jan Mai Kawng Baptist Church"/>
        <s v="Jan Mai Kawng Catholic Church"/>
        <s v="Maw Hpawng Hka Nan Baptist Church"/>
        <s v="Maw Hpawng Lhaovo Baptist Church"/>
        <s v="Wun Tho Buddhist Monastery"/>
        <s v="Tat Kone COC Baptist - Tat Kone Htoi San"/>
        <s v="Nan Kway St. John Catholic Church"/>
        <s v="Qtr. 2 Myoma Baptist Church"/>
        <s v="Qtr. 4 Monestry (Thargaya Thayett Taw)"/>
        <s v="Mading Baptist Church"/>
        <s v="Hkat Cho "/>
        <s v="Maina Catholic Church (St. Joseph)"/>
        <s v="Qtr. 3 Mu-yin  Baptist Church"/>
        <s v="Maina AG Church"/>
        <s v="Qtr. 2 Lhaovo Baptist Church"/>
        <s v="Nawng Hee Village"/>
        <s v="A Lo Taw Pyae monastery"/>
        <s v="Anglican Church, Hmaw Si Sar"/>
        <s v="Nam Hkam (KBC Jaw Wang)"/>
        <s v="Thargaya Lisu Baptist Church"/>
        <s v="Waingmaw AG Church"/>
        <s v="Maina Lawang Baptist Church"/>
        <s v="Maina KBC (Bawng Ring)"/>
        <s v="Shing Jai"/>
        <s v="Chipwi KBC camp"/>
        <s v="Hpare Hkyer - BP6"/>
        <s v="Away Yar Rama Monastery, Ka Day village"/>
        <s v="Lan Jaw "/>
        <s v="Aye Mya Tharyar Church of Christ "/>
        <s v="Robert Church"/>
        <s v="Lisu Boarding-House"/>
        <s v="AD-2000 Tharthana Compound"/>
        <s v="Mu-yin Baptist Church"/>
        <s v="Htoi San Church"/>
        <s v="Yoe Kyi Monastery"/>
        <s v="Nant Hlaing Church"/>
        <s v="Ta Gun Taing Monastery (Shwe Kyi Na)"/>
        <s v="Nam Hkam Malut Jak "/>
        <s v="Momauk Baptist Church"/>
        <s v="Nam Hkam Catholic Church ( St. Thomas I)"/>
        <s v="Ban Hkung (School)"/>
        <s v="Ban Hkung Yang"/>
        <s v="Tarli "/>
        <s v="Myo Thit "/>
        <s v="Man Bung Catholic compound"/>
        <s v="Man Nawng "/>
        <s v="Mai Khat "/>
        <s v="Phar Kay/Nant Waing "/>
        <s v="Mansi Baptist Church"/>
        <s v="Shwe Gu Baptist Church"/>
        <s v="Shwe Gu Catholic Church"/>
        <s v="Loi Je Catholic Church"/>
        <s v="Loi Je Lisu Camp"/>
        <s v="Loi Je Baptist Church"/>
        <s v="Nyaung Na Pin "/>
        <s v="Seng Ja "/>
        <s v="Ban Hkung Yang (Boarding School)"/>
        <s v="Tote Tan Ward"/>
        <s v="Mang Hawng Baptist Church"/>
        <s v="Kyun Taw Baptist Church "/>
        <s v="Nat Gyi Kone Baptist Church "/>
        <s v="St. Patrick Catholic Church "/>
        <s v="Baptist Church, Naung Hmee VT"/>
        <s v="Baptist Church, Sai Ra village"/>
        <s v="Border Post 10"/>
        <s v="Bum Tsit Pa Camp II"/>
        <s v="Chin(Zomi) Baptist Church"/>
        <s v="Daw Hpum Yang Ninghtawn"/>
        <s v="Ei Wan Gali Asso., Ward 1, Seik Mu"/>
        <s v="Free Christian Asso., Ward 1, Seik Mu"/>
        <s v="Maw Wan, Mu-yin Baptist Church"/>
        <s v="Nam Hkam - Nay Win Ni (Palawng)"/>
        <s v="Mung Baw "/>
        <s v="Gant Gwin"/>
        <s v="Mungji Pa Dabang (Baptist Church)         "/>
        <s v="Hmaw Wan, Baptist Christian Church"/>
        <s v="Nam Hpak Ka Mare "/>
        <s v="IDPs scattered in South Mansi"/>
        <s v="Mandung - Jinghpaw"/>
        <s v="Howa"/>
        <s v="Kannar Yeik Thar"/>
        <s v="Nam Hkyet"/>
        <s v="Nant Ma Hpit Catholic Church"/>
        <s v="Munekoe Pa (Giwang) - Hka San (Mung  Go  Pa ) "/>
        <s v="Yumar Baptist Church"/>
        <s v="La Ja"/>
        <s v="Lagatyan "/>
        <s v="Laiza Market 3 - Laiza Gat"/>
        <s v="Chin Church, Seik Mu"/>
        <s v="Lawk Hkawng Ginwang"/>
        <s v="Lung Kawk  ( Hka Hkye Zup)"/>
        <s v="Border Post 8"/>
        <s v="Ma Mon Buddhist Monastery"/>
        <s v="Hkau Shau (BP 12)"/>
        <s v="Woi Chyai "/>
        <s v="Machanbaw - KBC"/>
        <s v="Man Kawng Baptist Church"/>
        <s v="Maga Yang "/>
        <s v="Pajau - Jan Mai"/>
        <s v="Je Yang Hka "/>
        <s v="Hpun Lum Yang "/>
        <s v="Dum Bung "/>
        <s v="Pa Kahtawng "/>
        <s v="Lana Zup Ja "/>
        <s v="Bum Tsit Pa "/>
        <s v="Nhkawng Pa "/>
        <s v="Man Wing Catholic Church"/>
        <s v="Man Wing Baptist Church"/>
        <s v="Man Wing Host Families"/>
        <s v="Man Kawng Catholic Church"/>
        <s v="Manau Compound"/>
        <s v="Mandalay Monestry"/>
        <s v="Mashi Kahtawng Baptist  Church"/>
        <s v="Lawk Awng Mare D. (Sinbo Area)"/>
        <s v="Hlaing Naung Baptist"/>
        <s v="Laiza Muklum Hpyen  Yen Mungshawa ni"/>
        <s v="Nawng Ing (Indawgyi) Baptist Church  "/>
        <s v="Post 6 Camp"/>
        <s v="Pa Dauk Myaing(Pa La Na)"/>
        <s v="Host Families"/>
        <s v="Lisu Baptist Church, Maw Wan Ward"/>
        <s v="5 Ward RC Church(lon Khin)"/>
        <s v="Baptist Church, Hmaw Si Sar(Lon Khin)"/>
        <s v="Dhama Rakhita, Nyein Chan Tar Yar Ward(Lon Khin)"/>
        <s v="Mashi Kahtawng Catholic Church"/>
        <s v="Mashi Kahtawng Evangelical Church"/>
        <s v="Mashi Kahtawng Municipal Dammar Yone"/>
        <s v="Mashi Kahtawng Myo Oo Taw Ya Monestry"/>
        <s v="AG Church, Hmaw Si Sa"/>
        <s v="Mashi Kahtawng Rakhine traditional group"/>
        <s v="5 Ward Baptist Church(lon Khin)"/>
        <s v="Mashi Kahtawng Shan Traditional Monestry"/>
        <s v="Mashi Kahtawng Yaung Chi Oo Thi la shin Monestry"/>
        <s v="Lisu Baptist Church, Maw Shan Vil,. Seik Mu"/>
        <s v="Maw Si Zar, Thiriyardanar Sein, Damma Compound, Lone Khin"/>
        <s v="Rawan Baptist Church, Maw Shan Vil., Seik Mu"/>
        <s v="Sai Nai Baptish Church, Maw Shan Vil., Seki Mu"/>
        <s v="Ward 2 Sai Taung Baptist Church, Seik Mu "/>
        <s v="AG Church, Maw Wan"/>
        <s v="Maw Wan, Catholic Church"/>
        <s v="Maw Wan, Kachin Baptist Church"/>
        <s v="Maw Wan, Kyauk Hlaing Gu Pagoda Compound"/>
        <s v="Maw Wan, Myo Oo Pagoda"/>
        <s v="Hmaw Wan, Anglican"/>
        <s v="Nam Ma Phyit, COC"/>
        <s v="Phan Khar Kone"/>
        <s v="Aung Thar Church"/>
        <s v="May Di Ka Rama Monastery(Lon Khin)"/>
        <s v="Lhaovao Baptist Church (LBC)"/>
        <s v="Man Ting"/>
        <s v="Khun Sint Village"/>
        <s v="Moke Lwe Village - Hkar Shi"/>
        <s v="Momauk Catholic Church (St. Patrick)"/>
        <s v="Nam Tu Baptist"/>
        <s v="Kone Khem Camp"/>
        <s v="Sumprabum"/>
        <s v="IDP Boarding School, A Len Bum"/>
        <s v="Kutkai downtown (KBC Church)"/>
        <s v="Pan Wa"/>
        <s v="Kutkai downtown (RC Church)"/>
        <s v="Mung Ding Pa "/>
        <s v="Mung Ding Pa  (Boarder)"/>
        <s v="Mine Yu Lay village"/>
        <s v="Muring Baptist Church, Awng Ra, Wa Ra Zut VT"/>
        <s v="Myay Myint Baptist Church"/>
        <s v="Nam Hka Mare (west of Man Wing)"/>
        <s v="Maing Khaung"/>
        <s v="Mungji Pa Dabang (RC Church)         "/>
        <s v="Zup Aung Camp"/>
        <s v="Hpai Kawng Mare"/>
        <s v="Nam Lim Pa"/>
        <s v="Maing Khaung Catholic Church"/>
        <s v="Nam Lim Pa    (Boarding School)"/>
        <s v="Saw Zam"/>
        <s v="Nam Lim Pa - Scattered IDPs in forest"/>
        <s v="Inn Lel Yan - Host Families"/>
        <s v="Man Wing Catholic Church II"/>
        <s v="Hpakant Baptist Church, Nam Ma Hpit"/>
        <s v="Man Wing Baptist Church Cultural Compound"/>
        <s v="Ku Day Maw KBC"/>
        <s v="Hopin Host Families"/>
        <s v="Moenyin Host Families"/>
        <s v="Lung Sut"/>
        <s v="Sar Hmaw - ICM"/>
        <s v="Sar Hmaw - KBC"/>
        <s v="Ma Hawng RC "/>
        <s v="Ndup Yang"/>
        <s v="Salang Yang"/>
        <s v="Dawthponeyan Boarding School"/>
        <s v="Nam Hkam Catholic Church ( St. Thomas II)"/>
        <s v="Wara Zup KBC Church"/>
        <s v="Nant Mun"/>
        <s v="Shar Du Zut KBC church "/>
        <s v="Naung Khaing"/>
        <s v="Shar Du Zut RC church"/>
        <s v="Muyin church (Aung Yar pre-school compound)"/>
        <s v="Hka Shi"/>
        <s v="Sha-It Yang"/>
        <s v="Lawng Hkang Shait Yang Camp​ ( Lel Pyin)​ "/>
        <s v="Nawng Si Paw Village - Inn Lay"/>
        <s v="Nam Hkawng"/>
        <s v="Narte"/>
        <s v="Nga Pyaw Taw Baptist Nursery School "/>
        <s v="Mandung - RC"/>
        <s v="Nam Tu RC"/>
        <s v="Galeng (Kachin)"/>
        <s v="Nga Pyaw Taw Roman Catholic Church"/>
        <s v="Ni Thaw Ka Monestry"/>
        <s v="Parami, Charity Office, MyoMa Quarter"/>
        <s v="Galeng (Palaung)"/>
        <s v="Sa Baw Sarsana Parla Monastery"/>
        <s v="Muse Baptist Church"/>
        <s v="Nam Hkam (KBC Jaw Wang) II"/>
        <s v="Namhkan - Pang Long KBC"/>
        <s v="San Kyel, Masoe Yein Monestry"/>
        <s v="Muse Catholic Church"/>
        <s v="Mungji Pa Dabang (Catholic Church)"/>
        <s v="Nam Sa Larp"/>
        <s v="New Pang Ku "/>
        <s v="Mai Yu Lay Ta'ang"/>
        <s v="Pan Ta Pyae"/>
        <s v="Man Sa"/>
        <s v="Si Hkan Gyi"/>
        <s v="St. Patrick Church, Bhamo"/>
        <s v="Mong Wee Ta'ang"/>
        <s v="Mong Wee Shan"/>
        <s v="Nam Hpak Ka Ta'ang"/>
        <s v="Tsan Lun - Namjarap"/>
        <s v="Mung Hawm "/>
        <s v="Shwe Myint Thar Monastry "/>
        <s v="Namtu RC"/>
        <s v="Namtu KBC 1"/>
        <s v="Namtu KBC 2"/>
        <s v="Lisu Church Namtu"/>
        <s v="KBC (Ho Mun Ward)"/>
        <s v="Monastery (Myauk Kyaung)_North ward"/>
        <s v="Kamahtan Kyaung_(South ward)"/>
        <s v="Jwan Jaw KBC"/>
        <s v="Aung Mingalar_(Swan Saw ward)"/>
        <s v="Tar Ma Hkan Buddhist Monastery, Haung Par"/>
        <s v="Namt Hkun monastery"/>
        <s v="St. Peter Church (Ho Mun ward)"/>
        <s v="Gawrakha Youth Association"/>
        <s v="B.E.H.S 2 (Ho Mun ward)"/>
        <s v="Thar Ta Na Aung San monastery"/>
        <s v="Tharthana Ahlin Yaung New Monastery"/>
        <s v="Thiri Mingalar Manizay Yone, Myoma Quarter"/>
        <s v="Thu Kha Waddy"/>
        <s v="Waingmaw Baptist Zonal Office"/>
        <s v="Ward 2 Cahotlic Church, Seik Mu"/>
        <s v="B.E.H.S 4 (Ho Mun ward)"/>
        <s v="Women's Affairs Association Building"/>
        <s v="Wrad(5) Christian Association"/>
        <s v="Zai Awng - Mung Ga Zup"/>
        <s v="Zomee Baptist Church camp, Hmaw Wan"/>
        <s v="Wein Sai Church "/>
        <s v="Man Kaung/Naung Ti Kyar Village"/>
        <s v="Kutkai downtown (KBC Church-2)"/>
        <s v="Man Loi"/>
        <s v="Hpai Kawng"/>
        <s v="Kyu Sot"/>
      </sharedItems>
    </cacheField>
    <cacheField name="CP_Pcode" numFmtId="0">
      <sharedItems count="281">
        <s v="MMR001CMP001"/>
        <s v="MMR001CMP002"/>
        <s v="MMR001CMP003"/>
        <s v="MMR001CMP004"/>
        <s v="MMR001CMP005"/>
        <s v="MMR001CMP006"/>
        <s v="MMR001CMP007"/>
        <s v="MMR001CMP008"/>
        <s v="MMR001CMP009"/>
        <s v="MMR001CMP010"/>
        <s v="MMR001CMP011"/>
        <s v="MMR001CMP012"/>
        <s v="MMR001CMP013"/>
        <s v="MMR001CMP014"/>
        <s v="MMR001CMP015"/>
        <s v="MMR001CMP016"/>
        <s v="MMR001CMP171"/>
        <s v="MMR001CMP018"/>
        <s v="MMR001CMP019"/>
        <s v="MMR001CMP020"/>
        <s v="MMR001CMP021"/>
        <s v="MMR001CMP022"/>
        <s v="MMR001CMP023"/>
        <s v="MMR001CMP024"/>
        <s v="MMR001CMP025"/>
        <s v="MMR001CMP026"/>
        <s v="MMR001CMP027"/>
        <s v="MMR001CMP028"/>
        <s v="MMR001CMP029"/>
        <s v="MMR001CMP030"/>
        <s v="MMR001CMP031"/>
        <s v="MMR001CMP032"/>
        <s v="MMR001CMP033"/>
        <s v="MMR001CMP243"/>
        <s v="MMR001CMP173"/>
        <s v="MMR015CMP001"/>
        <s v="MMR001CMP037"/>
        <s v="MMR001CMP038"/>
        <s v="MMR001CMP039"/>
        <s v="MMR001CMP040"/>
        <s v="MMR001CMP041"/>
        <s v="MMR001CMP042"/>
        <s v="MMR001CMP043"/>
        <s v="MMR001CMP170"/>
        <s v="MMR001CMP045"/>
        <s v="MMR001CMP092"/>
        <s v="MMR001CMP047"/>
        <s v="MMR001CMP049"/>
        <s v="MMR001CMP050"/>
        <s v="MMR001CMP051"/>
        <s v="MMR001CMP052"/>
        <s v="MMR001CMP053"/>
        <s v="MMR001CMP054"/>
        <s v="MMR001CMP055"/>
        <s v="MMR015CMP002"/>
        <s v="MMR001CMP056"/>
        <s v="MMR015CMP003"/>
        <s v="MMR001CMP215"/>
        <s v="MMR001CMP216"/>
        <s v="MMR001CMP060"/>
        <s v="MMR001CMP061"/>
        <s v="MMR001CMP062"/>
        <s v="MMR001CMP063"/>
        <s v="MMR001CMP064"/>
        <s v="MMR001CMP065"/>
        <s v="MMR001CMP066"/>
        <s v="MMR001CMP067"/>
        <s v="MMR001CMP068"/>
        <s v="MMR001CMP069"/>
        <s v="MMR001CMP070"/>
        <s v="MMR001CMP071"/>
        <s v="MMR001CMP072"/>
        <s v="MMR001CMP073"/>
        <s v="MMR001CMP214"/>
        <s v="MMR001CMP075"/>
        <s v="MMR001CMP077"/>
        <s v="MMR001CMP078"/>
        <s v="MMR001CMP079"/>
        <s v="MMR001CMP080"/>
        <s v="MMR001CMP188"/>
        <s v="MMR001CMP172"/>
        <s v="MMR001CMP114"/>
        <s v="MMR001CMP226"/>
        <s v="MMR001CMP086"/>
        <s v="MMR001CMP153"/>
        <s v="MMR001CMP180"/>
        <s v="MMR001CMP186"/>
        <s v="MMR001CMP091"/>
        <s v="MMR015CMP004"/>
        <s v="MMR015CMP005"/>
        <s v="MMR001CMP046"/>
        <s v="MMR015CMP006"/>
        <s v="MMR001CMP189"/>
        <s v="MMR015CMP007"/>
        <s v="MMR001CMP217"/>
        <s v="MMR015CMP009"/>
        <s v="MMR015CMP010"/>
        <s v="MMR001CMP048"/>
        <s v="MMR015CMP011"/>
        <s v="MMR001CMP103"/>
        <s v="MMR015CMP012"/>
        <s v="MMR001CMP105"/>
        <s v="MMR001CMP074"/>
        <s v="MMR001CMP202"/>
        <s v="MMR001CMP117"/>
        <s v="MMR001CMP109"/>
        <s v="MMR001CMP146"/>
        <s v="MMR001CMP135"/>
        <s v="MMR001CMP113"/>
        <s v="MMR001CMP107"/>
        <s v="MMR001CMP115"/>
        <s v="MMR001CMP116"/>
        <s v="MMR001CMP221"/>
        <s v="MMR001CMP212"/>
        <s v="MMR001CMP119"/>
        <s v="MMR001CMP120"/>
        <s v="MMR001CMP121"/>
        <s v="MMR001CMP122"/>
        <s v="MMR001CMP123"/>
        <s v="MMR001CMP126"/>
        <s v="MMR001CMP128"/>
        <s v="MMR001CMP129"/>
        <s v="MMR001CMP131"/>
        <s v="MMR001CMP132"/>
        <s v="MMR001CMP133"/>
        <s v="MMR001CMP134"/>
        <s v="MMR001CMP213"/>
        <s v="MMR001CMP118"/>
        <s v="MMR001CMP058"/>
        <s v="MMR001CMP094"/>
        <s v="MMR001CMP147"/>
        <s v="MMR001CMP148"/>
        <s v="MMR001CMP149"/>
        <s v="MMR001CMP152"/>
        <s v="MMR001CMP160"/>
        <s v="MMR001CMP162"/>
        <s v="MMR001CMP163"/>
        <s v="MMR001CMP167"/>
        <s v="MMR001CMP168"/>
        <s v="MMR001CMP169"/>
        <s v="MMR001CMP174"/>
        <s v="MMR001CMP093"/>
        <s v="MMR001CMP096"/>
        <s v="MMR001CMP098"/>
        <s v="MMR001CMP099"/>
        <s v="MMR001CMP176"/>
        <s v="MMR001CMP095"/>
        <s v="MMR001CMP179"/>
        <s v="MMR001CMP100"/>
        <s v="MMR001CMP097"/>
        <s v="MMR001CMP181"/>
        <s v="MMR001CMP106"/>
        <s v="MMR001CMP182"/>
        <s v="MMR001CMP183"/>
        <s v="MMR001CMP184"/>
        <s v="MMR001CMP190"/>
        <s v="MMR001CMP090"/>
        <s v="MMR001CMP085"/>
        <s v="MMR001CMP084"/>
        <s v="MMR001CMP088"/>
        <s v="MMR001CMP191"/>
        <s v="MMR001CMP192"/>
        <s v="MMR001CMP193"/>
        <s v="MMR001CMP194"/>
        <s v="MMR001CMP178"/>
        <s v="MMR001CMP195"/>
        <s v="MMR001CMP196"/>
        <s v="MMR001CMP197"/>
        <s v="MMR001CMP198"/>
        <s v="MMR001CMP199"/>
        <s v="MMR001CMP200"/>
        <s v="MMR001CMP035"/>
        <s v="MMR001CMP057"/>
        <s v="MMR015CMP014"/>
        <s v="MMR015CMP015"/>
        <s v="MMR001CMP206"/>
        <s v="MMR001CMP208"/>
        <s v="MMR015CMP016"/>
        <s v="MMR001CMP210"/>
        <s v="MMR015CMP017"/>
        <s v="MMR001CMP241"/>
        <s v="MMR001CMP203"/>
        <s v="MMR015CMP018"/>
        <s v="MMR001CMP177"/>
        <s v="MMR001CMP017"/>
        <s v="MMR001CMP136"/>
        <s v="MMR001CMP218"/>
        <s v="MMR015CMP019"/>
        <s v="MMR015CMP020"/>
        <s v="MMR015CMP022"/>
        <s v="MMR001CMP204"/>
        <s v="MMR001CMP223"/>
        <s v="MMR001CMP209"/>
        <s v="MMR001CMP225"/>
        <s v="MMR001CMP137"/>
        <s v="MMR001CMP227"/>
        <s v="MMR001CMP228"/>
        <s v="MMR001CMP229"/>
        <s v="MMR001CMP230"/>
        <s v="MMR001CMP231"/>
        <s v="MMR001CMP232"/>
        <s v="MMR001CMP233"/>
        <s v="MMR001CMP234"/>
        <s v="MMR001CMP235"/>
        <s v="MMR001CMP236"/>
        <s v="MMR001CMP237"/>
        <s v="MMR001CMP238"/>
        <s v="MMR001CMP239"/>
        <s v="MMR001CMP240"/>
        <s v="MMR015CMP024"/>
        <s v="MMR001CMP242"/>
        <s v="MMR001CMP081"/>
        <s v="MMR001CMP244"/>
        <s v="MMR001CMP220"/>
        <s v="MMR001CMP246"/>
        <s v="MMR001CMP247"/>
        <s v="MMR001CMP248"/>
        <s v="MMR001CMP249"/>
        <s v="MMR001CMP250"/>
        <s v="MMR001CMP034"/>
        <s v="MMR015CMP139"/>
        <s v="MMR015CMP207"/>
        <s v="MMR001CMP082"/>
        <s v="MMR015CMP209"/>
        <s v="MMR015CMP210"/>
        <s v="MMR015CMP211"/>
        <s v="MMR001CMP083"/>
        <s v="MMR001CMP059"/>
        <s v="MMR001CMP102"/>
        <s v="MMR015CMP212"/>
        <s v="MMR001CMP108"/>
        <s v="MMR015CMP213"/>
        <s v="MMR015CMP214"/>
        <s v="MMR015CMP215"/>
        <s v="MMR001CMP104"/>
        <s v="MMR015CMP216"/>
        <s v="MMR015CMP217"/>
        <s v="MMR015CMP218"/>
        <s v="MMR015CMP219"/>
        <s v="MMR015CMP220"/>
        <s v="MMR015CMP221"/>
        <s v="MMR015CMP222"/>
        <s v="MMR001CMP219"/>
        <s v="MMR001CMP222"/>
        <s v="MMR015CMP223"/>
        <s v="MMR015CMP224"/>
        <s v="MMR015CMP225"/>
        <s v="MMR015CMP226"/>
        <s v="MMR015CMP227"/>
        <s v="MMR015CMP228"/>
        <s v="MMR015CMP229"/>
        <s v="MMR015CMP230"/>
        <s v="MMR015CMP231"/>
        <s v="MMR015CMP232"/>
        <s v="MMR015CMP233"/>
        <s v="MMR015CMP234"/>
        <s v="MMR015CMP235"/>
        <s v="MMR015CMP236"/>
        <s v="MMR015CMP237"/>
        <s v="MMR001CMP110"/>
        <s v="MMR015CMP238"/>
        <s v="MMR015CMP239"/>
        <s v="MMR015CMP240"/>
        <s v="MMR015CMP241"/>
        <s v="MMR001CMP245"/>
        <s v="MMR001CMP224"/>
        <s v="MMR001CMP101"/>
        <s v="MMR001CMP211"/>
        <s v="MMR001CMP036"/>
        <s v="MMR001CMP185"/>
        <s v="MMR015CMP242"/>
        <s v="MMR001CMP044"/>
        <s v="MMR001CMP175"/>
        <s v="MMR001CMP111"/>
        <s v="MMR001CMP201"/>
        <s v="MMR015CMP243"/>
        <s v="MMR015CMP244"/>
        <s v="MMR015CMP245"/>
        <s v="MMR015CMP246"/>
        <s v="MMR015CMP247"/>
        <s v="MMR015CMP248"/>
      </sharedItems>
    </cacheField>
    <cacheField name="Longitude" numFmtId="0">
      <sharedItems containsString="0" containsBlank="1" containsNumber="1" minValue="96.269199999999998" maxValue="98.475719999999995" count="206">
        <n v="97.386718999999999"/>
        <n v="97.394547000000003"/>
        <n v="97.377662999999998"/>
        <n v="97.389778000000007"/>
        <n v="97.382192000000003"/>
        <n v="97.399628000000007"/>
        <n v="97.418004999999994"/>
        <n v="97.418694000000002"/>
        <n v="97.419403000000003"/>
        <n v="97.382997575757599"/>
        <n v="97.381325000000004"/>
        <n v="97.384729629629604"/>
        <n v="97.405202777777802"/>
        <n v="97.403402307692303"/>
        <n v="97.409035000000003"/>
        <n v="97.4113064583333"/>
        <n v="96.359549999999999"/>
        <n v="97.373361000000003"/>
        <n v="97.379594999999995"/>
        <n v="97.2843958974359"/>
        <n v="97.290952037037002"/>
        <n v="97.403878500000005"/>
        <n v="97.379987"/>
        <n v="97.359320179999997"/>
        <n v="97.438432380952406"/>
        <n v="97.432495000000003"/>
        <n v="97.451965000000001"/>
        <n v="97.404195925926004"/>
        <n v="97.437782499999997"/>
        <n v="97.437472666666693"/>
        <n v="97.433419259259296"/>
        <n v="97.441166388888902"/>
        <n v="97.345039"/>
        <n v="96.662092000000001"/>
        <m/>
        <n v="97.669557999999995"/>
        <n v="97.428251153846105"/>
        <n v="97.444283730158702"/>
        <n v="97.426536944444507"/>
        <n v="97.434855869565197"/>
        <n v="98.025662999999994"/>
        <n v="98.131550000000004"/>
        <n v="98.475719999999995"/>
        <n v="96.339870000000005"/>
        <n v="98.354146999999998"/>
        <n v="97.229116811594196"/>
        <n v="97.240183461538507"/>
        <n v="97.238829999999993"/>
        <n v="97.234200000000001"/>
        <n v="97.236919999999998"/>
        <n v="97.240639999999999"/>
        <n v="97.315860000000001"/>
        <n v="97.227789999999999"/>
        <n v="97.344359999999995"/>
        <n v="97.670360000000002"/>
        <n v="97.416826999999998"/>
        <n v="97.407787999999996"/>
        <n v="97.325019999999995"/>
        <n v="97.321659999999994"/>
        <n v="97.409474000000003"/>
        <n v="97.429860000000005"/>
        <n v="97.291820000000001"/>
        <n v="96.807353000000006"/>
        <n v="97.724566999999993"/>
        <n v="97.717133000000004"/>
        <n v="97.718582999999995"/>
        <n v="97.724483000000006"/>
        <n v="97.710864000000001"/>
        <n v="97.415289999999999"/>
        <n v="96.942279999999997"/>
        <n v="96.922619999999995"/>
        <n v="96.948740000000001"/>
        <n v="96.367059999999995"/>
        <n v="96.673805000000002"/>
        <n v="96.353070000000002"/>
        <n v="97.837778"/>
        <n v="97.608249999999998"/>
        <n v="96.319829999999996"/>
        <n v="97.681970000000007"/>
        <n v="98.054946000000001"/>
        <n v="98.220614999999995"/>
        <n v="97.818979999999996"/>
        <n v="97.124403000000001"/>
        <n v="98.116817999999995"/>
        <n v="97.221556500999995"/>
        <n v="98.129380999999995"/>
        <n v="96.341352999999998"/>
        <n v="98.320651999999995"/>
        <n v="96.306910999999999"/>
        <n v="98.144502500000002"/>
        <n v="97.601243999999994"/>
        <n v="97.551507000000001"/>
        <n v="96.283377000000002"/>
        <n v="97.585667000000001"/>
        <n v="97.915833000000006"/>
        <n v="97.807182999999995"/>
        <n v="97.546893999999995"/>
        <n v="97.586470000000006"/>
        <n v="97.710989999999995"/>
        <n v="97.715230000000005"/>
        <n v="97.751389000000003"/>
        <n v="97.568331999999998"/>
        <n v="97.573126000000002"/>
        <n v="97.537099999999995"/>
        <n v="97.752667000000002"/>
        <n v="97.625617000000005"/>
        <n v="97.609832999999995"/>
        <n v="97.669366999999994"/>
        <n v="97.578490000000002"/>
        <n v="97.589979999999997"/>
        <n v="97.588291999999996"/>
        <n v="97.550267000000005"/>
        <n v="97.346940000000004"/>
        <n v="96.310928000000004"/>
        <n v="96.705960000000005"/>
        <n v="97.718008999999995"/>
        <n v="96.364949999999993"/>
        <n v="97.990555999999998"/>
        <n v="97.4345"/>
        <n v="97.228835000000004"/>
        <n v="96.316400000000002"/>
        <n v="96.361609999999999"/>
        <n v="96.346469999999997"/>
        <n v="96.35257"/>
        <n v="96.345569999999995"/>
        <n v="96.355270000000004"/>
        <n v="96.269199999999998"/>
        <n v="96.343350000000001"/>
        <n v="96.279200000000003"/>
        <n v="96.353030000000004"/>
        <n v="96.286680000000004"/>
        <n v="96.317350000000005"/>
        <n v="96.316210999999996"/>
        <n v="96.316564"/>
        <n v="96.339590000000001"/>
        <n v="97.252650000000003"/>
        <n v="96.359309999999994"/>
        <n v="98.129990000000006"/>
        <n v="97.298055000000005"/>
        <n v="97.348405"/>
        <n v="97.276591999999994"/>
        <n v="96.793177"/>
        <n v="97.343406999999999"/>
        <n v="97.421104"/>
        <n v="97.346950000000007"/>
        <n v="97.404089999999997"/>
        <n v="97.848529999999997"/>
        <n v="97.568836000000005"/>
        <n v="97.541793999999996"/>
        <n v="97.926813999999993"/>
        <n v="98.377780000000001"/>
        <n v="97.947360000000003"/>
        <n v="97.174999999999997"/>
        <n v="96.808850000000007"/>
        <n v="97.793019999999999"/>
        <n v="96.354159999999993"/>
        <n v="97.376671999999999"/>
        <n v="97.225881000000001"/>
        <n v="98.213958000000005"/>
        <n v="97.837040000000002"/>
        <n v="98.115809999999996"/>
        <n v="97.132339999999999"/>
        <n v="97.227057000000002"/>
        <n v="98.356260000000006"/>
        <n v="97.561105999999995"/>
        <n v="97.578367"/>
        <n v="96.312790000000007"/>
        <n v="97.590767"/>
        <n v="96.637"/>
        <n v="96.52534"/>
        <n v="96.366919999999993"/>
        <n v="97.416121000000004"/>
        <n v="96.793999999999997"/>
        <n v="97.745480999999998"/>
        <n v="97.75609"/>
        <n v="97.461271999999994"/>
        <n v="97.678299999999993"/>
        <n v="97.58184"/>
        <n v="97.430321000000006"/>
        <n v="98.139397000000002"/>
        <n v="98.352670000000003"/>
        <n v="97.116680000000002"/>
        <n v="97.398989"/>
        <n v="96.31326"/>
        <n v="97.347740000000002"/>
        <n v="97.909400000000005"/>
        <n v="97.700940000000003"/>
        <n v="97.709879999999998"/>
        <n v="97.911647000000002"/>
        <n v="98.248999999999995"/>
        <n v="98.218626999999998"/>
        <n v="97.868876999999998"/>
        <n v="97.796999999999997"/>
        <n v="97.358999999999995"/>
        <n v="97.504999999999995"/>
        <n v="97.506"/>
        <n v="97.810101000000003"/>
        <n v="98.221000000000004"/>
        <n v="98.337999999999994"/>
        <n v="97.400671000000003"/>
        <n v="97.239130000000003"/>
        <n v="97.438259000000002"/>
        <n v="96.288250000000005"/>
        <n v="97.756789999999995"/>
        <n v="96.315601999999998"/>
        <n v="97.314762999999999"/>
      </sharedItems>
    </cacheField>
    <cacheField name="Latitude" numFmtId="0">
      <sharedItems containsString="0" containsBlank="1" containsNumber="1" minValue="22.677008000000001" maxValue="27.337499999999999"/>
    </cacheField>
    <cacheField name="Altitude" numFmtId="0">
      <sharedItems containsString="0" containsBlank="1" containsNumber="1" minValue="0" maxValue="4430"/>
    </cacheField>
    <cacheField name="HH" numFmtId="0">
      <sharedItems containsString="0" containsBlank="1" containsNumber="1" containsInteger="1" minValue="0" maxValue="1546"/>
    </cacheField>
    <cacheField name="Total" numFmtId="0">
      <sharedItems containsString="0" containsBlank="1" containsNumber="1" containsInteger="1" minValue="0" maxValue="8610"/>
    </cacheField>
    <cacheField name="Avg" numFmtId="2">
      <sharedItems containsMixedTypes="1" containsNumber="1" minValue="2.6666666666666665" maxValue="12.535211267605634"/>
    </cacheField>
    <cacheField name="Accessibility" numFmtId="0">
      <sharedItems count="2">
        <s v="GCA"/>
        <s v="NGCA"/>
      </sharedItems>
    </cacheField>
    <cacheField name="Affected Population" numFmtId="49">
      <sharedItems count="2">
        <s v="IDP"/>
        <s v="Crisis Affected"/>
      </sharedItems>
    </cacheField>
    <cacheField name="Type of Accomodation" numFmtId="0">
      <sharedItems count="5">
        <s v="Camp"/>
        <s v="Host Families"/>
        <s v="Rural"/>
        <s v="Village"/>
        <s v="Boarding School"/>
      </sharedItems>
    </cacheField>
    <cacheField name="Type of Location" numFmtId="0">
      <sharedItems containsBlank="1" count="4">
        <s v="Urban"/>
        <m/>
        <s v="Rural"/>
        <s v="Forest/bush"/>
      </sharedItems>
    </cacheField>
    <cacheField name="Opening Date" numFmtId="0">
      <sharedItems containsNonDate="0" containsDate="1" containsString="0" containsBlank="1" minDate="2011-03-01T00:00:00" maxDate="2017-06-02T00:00:00" count="48">
        <d v="2011-06-01T00:00:00"/>
        <d v="2011-07-01T00:00:00"/>
        <d v="2011-08-01T00:00:00"/>
        <d v="2011-10-01T00:00:00"/>
        <d v="2012-01-01T00:00:00"/>
        <d v="2011-03-01T00:00:00"/>
        <m/>
        <d v="2012-04-01T00:00:00"/>
        <d v="2012-02-01T00:00:00"/>
        <d v="2012-05-01T00:00:00"/>
        <d v="2013-06-01T00:00:00"/>
        <d v="2013-07-01T00:00:00"/>
        <d v="2016-08-02T00:00:00"/>
        <d v="2011-12-01T00:00:00"/>
        <d v="2011-11-01T00:00:00"/>
        <d v="2012-06-01T00:00:00"/>
        <d v="2012-12-01T00:00:00"/>
        <d v="2012-10-01T00:00:00"/>
        <d v="2012-08-01T00:00:00"/>
        <d v="2013-11-01T00:00:00"/>
        <d v="2012-03-01T00:00:00"/>
        <d v="2013-01-01T00:00:00"/>
        <d v="2013-12-01T00:00:00"/>
        <d v="2011-09-01T00:00:00"/>
        <d v="2013-08-01T00:00:00"/>
        <d v="2012-07-01T00:00:00"/>
        <d v="2013-04-01T00:00:00"/>
        <d v="2013-09-01T00:00:00"/>
        <d v="2014-03-03T00:00:00"/>
        <d v="2013-10-01T00:00:00"/>
        <d v="2014-06-01T00:00:00"/>
        <d v="2014-04-01T00:00:00"/>
        <d v="2015-01-15T00:00:00"/>
        <d v="2015-06-25T00:00:00"/>
        <d v="2015-05-01T00:00:00"/>
        <d v="2015-02-01T00:00:00"/>
        <d v="2016-01-01T00:00:00"/>
        <d v="2017-01-17T00:00:00"/>
        <d v="2017-06-01T00:00:00"/>
        <d v="2014-03-05T00:00:00"/>
        <d v="2014-11-04T00:00:00"/>
        <d v="2014-04-18T00:00:00"/>
        <d v="2014-04-05T00:00:00"/>
        <d v="2016-03-06T00:00:00"/>
        <d v="2016-02-01T00:00:00"/>
        <d v="2016-03-01T00:00:00"/>
        <d v="2016-12-20T00:00:00"/>
        <d v="2017-02-15T00:00:00"/>
      </sharedItems>
    </cacheField>
    <cacheField name="CM/FP" numFmtId="1">
      <sharedItems containsString="0" containsBlank="1" containsNumber="1" containsInteger="1" minValue="1" maxValue="7"/>
    </cacheField>
    <cacheField name="Responsible Agency" numFmtId="0">
      <sharedItems containsBlank="1" count="6">
        <s v="KBC"/>
        <s v="Shalom"/>
        <m/>
        <s v="KMSS-MYT"/>
        <s v="KMSS-BMO"/>
        <s v="KMSS-LSO"/>
      </sharedItems>
    </cacheField>
    <cacheField name="Source" numFmtId="0">
      <sharedItems containsBlank="1"/>
    </cacheField>
    <cacheField name="Method" numFmtId="0">
      <sharedItems containsBlank="1"/>
    </cacheField>
    <cacheField name="Update Date" numFmtId="0">
      <sharedItems containsNonDate="0" containsDate="1" containsString="0" containsBlank="1" minDate="2013-01-15T00:00:00" maxDate="2017-07-12T00:00:00"/>
    </cacheField>
    <cacheField name="Comment" numFmtId="0">
      <sharedItems containsBlank="1" longText="1"/>
    </cacheField>
    <cacheField name="Priority" numFmtId="1">
      <sharedItems containsBlank="1"/>
    </cacheField>
    <cacheField name="Shelter Gap" numFmtId="0">
      <sharedItems containsSemiMixedTypes="0" containsString="0" containsNumber="1" containsInteger="1" minValue="0" maxValue="1236"/>
    </cacheField>
    <cacheField name="Land Status" numFmtId="0">
      <sharedItems containsString="0" containsBlank="1" containsNumber="1" containsInteger="1" minValue="0" maxValue="20"/>
    </cacheField>
    <cacheField name="Shelter Possible" numFmtId="0">
      <sharedItems containsSemiMixedTypes="0" containsString="0" containsNumber="1" containsInteger="1" minValue="0" maxValue="1236"/>
    </cacheField>
    <cacheField name="Nearest_Town" numFmtId="0">
      <sharedItems containsBlank="1"/>
    </cacheField>
    <cacheField name="Distance" numFmtId="165">
      <sharedItems containsBlank="1" containsMixedTypes="1" containsNumber="1" minValue="0" maxValue="34.344689881690819"/>
    </cacheField>
    <cacheField name="Distance_Cat" numFmtId="0">
      <sharedItems containsBlank="1" containsMixedTypes="1" containsNumber="1" containsInteger="1" minValue="1" maxValue="7"/>
    </cacheField>
  </cacheFields>
  <extLst>
    <ext xmlns:x14="http://schemas.microsoft.com/office/spreadsheetml/2009/9/main" uri="{725AE2AE-9491-48be-B2B4-4EB974FC3084}">
      <x14:pivotCacheDefinition pivotCacheId="1"/>
    </ext>
  </extLst>
</pivotCacheDefinition>
</file>

<file path=xl/pivotCache/pivotCacheDefinition5.xml><?xml version="1.0" encoding="utf-8"?>
<pivotCacheDefinition xmlns="http://schemas.openxmlformats.org/spreadsheetml/2006/main" xmlns:r="http://schemas.openxmlformats.org/officeDocument/2006/relationships" r:id="rId1" refreshOnLoad="1" refreshedBy="May Khaing" refreshedDate="42928.555639120372" missingItemsLimit="0" createdVersion="4" refreshedVersion="5" minRefreshableVersion="3" recordCount="1167">
  <cacheSource type="worksheet">
    <worksheetSource name="Table_NFI"/>
  </cacheSource>
  <cacheFields count="49">
    <cacheField name="Months" numFmtId="1">
      <sharedItems containsSemiMixedTypes="0" containsString="0" containsNumber="1" minValue="-0.96666666666666667" maxValue="66.900000000000006"/>
    </cacheField>
    <cacheField name="Distribution Date" numFmtId="169">
      <sharedItems containsSemiMixedTypes="0" containsNonDate="0" containsDate="1" containsString="0" minDate="2011-11-02T00:00:00" maxDate="2017-05-31T00:00:00"/>
    </cacheField>
    <cacheField name="Organization" numFmtId="0">
      <sharedItems count="15">
        <s v="NRC"/>
        <s v="UNHCR"/>
        <s v="Solidarities"/>
        <s v="Relief International"/>
        <s v="UNHCR "/>
        <s v="ICRC"/>
        <s v="Plan-Myanmar"/>
        <s v="CRCS"/>
        <s v="DRC"/>
        <s v="CRC"/>
        <s v="Save the Children"/>
        <s v="FSD"/>
        <s v="MRCS"/>
        <s v="DFID"/>
        <s v="World Vision"/>
      </sharedItems>
    </cacheField>
    <cacheField name="Implementing Partner" numFmtId="0">
      <sharedItems containsBlank="1"/>
    </cacheField>
    <cacheField name="State" numFmtId="0">
      <sharedItems/>
    </cacheField>
    <cacheField name="Township" numFmtId="0">
      <sharedItems containsBlank="1"/>
    </cacheField>
    <cacheField name="Camp Name" numFmtId="0">
      <sharedItems containsBlank="1"/>
    </cacheField>
    <cacheField name="Hygiene Kit" numFmtId="1">
      <sharedItems containsString="0" containsBlank="1" containsNumber="1" containsInteger="1" minValue="1" maxValue="5228"/>
    </cacheField>
    <cacheField name="NFI Core Kit" numFmtId="1">
      <sharedItems containsString="0" containsBlank="1" containsNumber="1" containsInteger="1" minValue="1" maxValue="200"/>
    </cacheField>
    <cacheField name="Sanitary Kit" numFmtId="1">
      <sharedItems containsString="0" containsBlank="1" containsNumber="1" containsInteger="1" minValue="1" maxValue="2350"/>
    </cacheField>
    <cacheField name="Mosquito net" numFmtId="1">
      <sharedItems containsString="0" containsBlank="1" containsNumber="1" containsInteger="1" minValue="0" maxValue="3256"/>
    </cacheField>
    <cacheField name="Tarpaulin" numFmtId="1">
      <sharedItems containsString="0" containsBlank="1" containsNumber="1" containsInteger="1" minValue="0" maxValue="1628"/>
    </cacheField>
    <cacheField name="Blanket" numFmtId="1">
      <sharedItems containsString="0" containsBlank="1" containsNumber="1" containsInteger="1" minValue="0" maxValue="3256"/>
    </cacheField>
    <cacheField name="Kitchen Set" numFmtId="1">
      <sharedItems containsString="0" containsBlank="1" containsNumber="1" containsInteger="1" minValue="0" maxValue="1628"/>
    </cacheField>
    <cacheField name="Clothes Kit" numFmtId="1">
      <sharedItems containsString="0" containsBlank="1" containsNumber="1" containsInteger="1" minValue="0" maxValue="760"/>
    </cacheField>
    <cacheField name="Plastic Bucket" numFmtId="1">
      <sharedItems containsString="0" containsBlank="1" containsNumber="1" containsInteger="1" minValue="0" maxValue="1628"/>
    </cacheField>
    <cacheField name="Plastic Mat" numFmtId="1">
      <sharedItems containsString="0" containsBlank="1" containsNumber="1" containsInteger="1" minValue="0" maxValue="5268"/>
    </cacheField>
    <cacheField name="Winter Clothes Adult" numFmtId="1">
      <sharedItems containsString="0" containsBlank="1" containsNumber="1" containsInteger="1" minValue="2" maxValue="2676"/>
    </cacheField>
    <cacheField name="Winter Clothes Children" numFmtId="1">
      <sharedItems containsString="0" containsBlank="1" containsNumber="1" containsInteger="1" minValue="8" maxValue="3600"/>
    </cacheField>
    <cacheField name="Winter Items Other" numFmtId="1">
      <sharedItems containsString="0" containsBlank="1" containsNumber="1" containsInteger="1" minValue="0" maxValue="3816"/>
    </cacheField>
    <cacheField name="Winter Blanket" numFmtId="1">
      <sharedItems containsString="0" containsBlank="1" containsNumber="1" containsInteger="1" minValue="10" maxValue="3186"/>
    </cacheField>
    <cacheField name="Jerry Can" numFmtId="1">
      <sharedItems containsString="0" containsBlank="1" containsNumber="1" containsInteger="1" minValue="1" maxValue="405"/>
    </cacheField>
    <cacheField name="Shelter Tool kit" numFmtId="1">
      <sharedItems containsString="0" containsBlank="1" containsNumber="1" containsInteger="1" minValue="1" maxValue="152"/>
    </cacheField>
    <cacheField name="Tent" numFmtId="1">
      <sharedItems containsString="0" containsBlank="1" containsNumber="1" containsInteger="1" minValue="6" maxValue="90"/>
    </cacheField>
    <cacheField name="Hygiene Kit_LS" numFmtId="0">
      <sharedItems containsString="0" containsBlank="1" containsNumber="1" containsInteger="1" minValue="0" maxValue="165"/>
    </cacheField>
    <cacheField name="NFI Core Kit_LS" numFmtId="0">
      <sharedItems containsString="0" containsBlank="1" containsNumber="1" containsInteger="1" minValue="0" maxValue="139"/>
    </cacheField>
    <cacheField name="Sanitary Kit_LS" numFmtId="0">
      <sharedItems containsString="0" containsBlank="1" containsNumber="1" containsInteger="1" minValue="0" maxValue="657"/>
    </cacheField>
    <cacheField name="Mosquito net_LS" numFmtId="0">
      <sharedItems containsString="0" containsBlank="1" containsNumber="1" containsInteger="1" minValue="0" maxValue="184"/>
    </cacheField>
    <cacheField name="Tarpaulin_LS" numFmtId="0">
      <sharedItems containsString="0" containsBlank="1" containsNumber="1" containsInteger="1" minValue="0" maxValue="170"/>
    </cacheField>
    <cacheField name="Blanket_LS" numFmtId="0">
      <sharedItems containsString="0" containsBlank="1" containsNumber="1" containsInteger="1" minValue="0" maxValue="358"/>
    </cacheField>
    <cacheField name="Kitchen Set_LS" numFmtId="0">
      <sharedItems containsString="0" containsBlank="1" containsNumber="1" containsInteger="1" minValue="0" maxValue="143"/>
    </cacheField>
    <cacheField name="Clothes Kit_LS" numFmtId="0">
      <sharedItems containsString="0" containsBlank="1" containsNumber="1" containsInteger="1" minValue="0" maxValue="0"/>
    </cacheField>
    <cacheField name="Plastic Bucket _LS" numFmtId="0">
      <sharedItems containsString="0" containsBlank="1" containsNumber="1" containsInteger="1" minValue="0" maxValue="91"/>
    </cacheField>
    <cacheField name="Plastic  Mat_LS" numFmtId="0">
      <sharedItems containsString="0" containsBlank="1" containsNumber="1" minValue="0" maxValue="470"/>
    </cacheField>
    <cacheField name="Winter Clothes Adult_LS" numFmtId="0">
      <sharedItems containsString="0" containsBlank="1" containsNumber="1" containsInteger="1" minValue="0" maxValue="540"/>
    </cacheField>
    <cacheField name="Winter Clothes Children_LS" numFmtId="0">
      <sharedItems containsString="0" containsBlank="1" containsNumber="1" containsInteger="1" minValue="0" maxValue="203"/>
    </cacheField>
    <cacheField name="Winter Items Other_LS" numFmtId="0">
      <sharedItems containsString="0" containsBlank="1" containsNumber="1" containsInteger="1" minValue="0" maxValue="0"/>
    </cacheField>
    <cacheField name="Winter Blanket_LS" numFmtId="0">
      <sharedItems containsString="0" containsBlank="1" containsNumber="1" containsInteger="1" minValue="0" maxValue="135"/>
    </cacheField>
    <cacheField name="Winter" numFmtId="0">
      <sharedItems containsString="0" containsBlank="1" containsNumber="1" containsInteger="1" minValue="0" maxValue="1" count="3">
        <n v="0"/>
        <n v="1"/>
        <m/>
      </sharedItems>
    </cacheField>
    <cacheField name="Jerry Can_LS" numFmtId="0">
      <sharedItems containsString="0" containsBlank="1" containsNumber="1" containsInteger="1" minValue="0" maxValue="91"/>
    </cacheField>
    <cacheField name="Shelter Tool kit_LS" numFmtId="0">
      <sharedItems containsString="0" containsBlank="1" containsNumber="1" containsInteger="1" minValue="0" maxValue="85"/>
    </cacheField>
    <cacheField name="Tent_LS" numFmtId="0">
      <sharedItems containsString="0" containsBlank="1" containsNumber="1" containsInteger="1" minValue="0" maxValue="49"/>
    </cacheField>
    <cacheField name="Pcode" numFmtId="0">
      <sharedItems containsBlank="1"/>
    </cacheField>
    <cacheField name="opening_date" numFmtId="0">
      <sharedItems containsDate="1" containsBlank="1" containsMixedTypes="1" minDate="1899-12-31T00:00:00" maxDate="1899-12-31T04:01:03" count="5">
        <n v="0"/>
        <n v="1"/>
        <s v=""/>
        <d v="1899-12-30T00:00:00"/>
        <m/>
      </sharedItems>
    </cacheField>
    <cacheField name="Status" numFmtId="0">
      <sharedItems count="3">
        <s v="Open"/>
        <s v=""/>
        <s v="Closed"/>
      </sharedItems>
    </cacheField>
    <cacheField name="Priority" numFmtId="0">
      <sharedItems containsBlank="1" containsMixedTypes="1" containsNumber="1" containsInteger="1" minValue="0" maxValue="0" count="7">
        <s v="P3"/>
        <n v="0"/>
        <s v=""/>
        <s v="P1"/>
        <s v="P4"/>
        <s v="P2"/>
        <m/>
      </sharedItems>
    </cacheField>
    <cacheField name="Coverage" numFmtId="9">
      <sharedItems containsBlank="1" containsMixedTypes="1" containsNumber="1" minValue="0" maxValue="3.9648328097221207E-2"/>
    </cacheField>
    <cacheField name="Planned Distribution" numFmtId="0">
      <sharedItems containsBlank="1"/>
    </cacheField>
    <cacheField name="Comment"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167">
  <r>
    <n v="66.900000000000006"/>
    <d v="2011-11-02T00:00:00"/>
    <x v="0"/>
    <s v="KBC"/>
    <s v="Kachin"/>
    <s v="Myitkyina"/>
    <s v="Du Kahtawng Qtr. 14"/>
    <m/>
    <m/>
    <m/>
    <n v="0"/>
    <n v="5"/>
    <n v="0"/>
    <n v="5"/>
    <n v="5"/>
    <n v="5"/>
    <n v="5"/>
    <m/>
    <m/>
    <m/>
    <m/>
    <m/>
    <m/>
    <m/>
    <n v="0"/>
    <n v="0"/>
    <n v="0"/>
    <n v="0"/>
    <n v="0"/>
    <n v="0"/>
    <n v="0"/>
    <n v="0"/>
    <n v="0"/>
    <n v="0"/>
    <n v="0"/>
    <n v="0"/>
    <n v="0"/>
    <n v="0"/>
    <n v="0"/>
    <n v="0"/>
    <n v="0"/>
    <n v="0"/>
    <s v="MMR001CMP012"/>
    <x v="0"/>
    <x v="0"/>
    <s v="P4"/>
    <n v="1.2286521685710776E-4"/>
    <s v="No"/>
  </r>
  <r>
    <n v="66.900000000000006"/>
    <d v="2011-11-02T00:00:00"/>
    <x v="0"/>
    <s v="KBC"/>
    <s v="Kachin"/>
    <s v="Myitkyina"/>
    <s v="Du Kahtawng Qtr. 4"/>
    <m/>
    <m/>
    <m/>
    <n v="0"/>
    <n v="6"/>
    <n v="0"/>
    <n v="6"/>
    <n v="6"/>
    <n v="6"/>
    <n v="6"/>
    <m/>
    <m/>
    <m/>
    <m/>
    <m/>
    <m/>
    <m/>
    <n v="0"/>
    <n v="0"/>
    <n v="0"/>
    <n v="0"/>
    <n v="0"/>
    <n v="0"/>
    <n v="0"/>
    <n v="0"/>
    <n v="0"/>
    <n v="0"/>
    <n v="0"/>
    <n v="0"/>
    <n v="0"/>
    <n v="0"/>
    <n v="0"/>
    <n v="0"/>
    <n v="0"/>
    <n v="0"/>
    <s v="MMR001CMP010"/>
    <x v="0"/>
    <x v="0"/>
    <s v="P4"/>
    <n v="1.474382602285293E-4"/>
    <s v="No"/>
  </r>
  <r>
    <n v="66.900000000000006"/>
    <d v="2011-11-02T00:00:00"/>
    <x v="0"/>
    <s v="KBC"/>
    <s v="Kachin"/>
    <s v="Myitkyina"/>
    <s v="Du Kahtawng Qtr. 5"/>
    <m/>
    <m/>
    <m/>
    <n v="39"/>
    <n v="8"/>
    <n v="39"/>
    <n v="8"/>
    <n v="8"/>
    <n v="8"/>
    <n v="8"/>
    <m/>
    <m/>
    <m/>
    <m/>
    <m/>
    <m/>
    <m/>
    <n v="0"/>
    <n v="0"/>
    <n v="0"/>
    <n v="0"/>
    <n v="0"/>
    <n v="0"/>
    <n v="0"/>
    <n v="0"/>
    <n v="0"/>
    <n v="0"/>
    <n v="0"/>
    <n v="0"/>
    <n v="0"/>
    <n v="0"/>
    <n v="0"/>
    <n v="0"/>
    <n v="0"/>
    <n v="0"/>
    <s v="MMR001CMP011"/>
    <x v="0"/>
    <x v="0"/>
    <s v="P4"/>
    <n v="1.965843469713724E-4"/>
    <s v="No"/>
  </r>
  <r>
    <n v="66.900000000000006"/>
    <d v="2011-11-02T00:00:00"/>
    <x v="0"/>
    <s v="KBC"/>
    <s v="Kachin"/>
    <s v="Myitkyina"/>
    <s v="Man Hkring Baptist Church"/>
    <m/>
    <m/>
    <m/>
    <n v="112"/>
    <n v="68"/>
    <n v="112"/>
    <n v="68"/>
    <n v="68"/>
    <n v="68"/>
    <n v="68"/>
    <m/>
    <m/>
    <m/>
    <m/>
    <m/>
    <m/>
    <m/>
    <n v="0"/>
    <n v="0"/>
    <n v="0"/>
    <n v="0"/>
    <n v="0"/>
    <n v="0"/>
    <n v="0"/>
    <n v="0"/>
    <n v="0"/>
    <n v="0"/>
    <n v="0"/>
    <n v="0"/>
    <n v="0"/>
    <n v="0"/>
    <n v="0"/>
    <n v="0"/>
    <n v="0"/>
    <n v="0"/>
    <s v="MMR001CMP008"/>
    <x v="0"/>
    <x v="0"/>
    <s v="P4"/>
    <n v="1.6697360343769184E-3"/>
    <s v="No"/>
  </r>
  <r>
    <n v="66.900000000000006"/>
    <d v="2011-11-02T00:00:00"/>
    <x v="0"/>
    <s v="KBC"/>
    <s v="Kachin"/>
    <s v="Myitkyina"/>
    <s v="Shatapru Sut Ngai Tawng"/>
    <m/>
    <m/>
    <m/>
    <n v="219"/>
    <n v="117"/>
    <n v="219"/>
    <n v="117"/>
    <n v="117"/>
    <n v="117"/>
    <n v="117"/>
    <m/>
    <m/>
    <m/>
    <m/>
    <m/>
    <m/>
    <m/>
    <n v="0"/>
    <n v="0"/>
    <n v="0"/>
    <n v="0"/>
    <n v="0"/>
    <n v="0"/>
    <n v="0"/>
    <n v="0"/>
    <n v="0"/>
    <n v="0"/>
    <n v="0"/>
    <n v="0"/>
    <n v="0"/>
    <n v="0"/>
    <n v="0"/>
    <n v="0"/>
    <n v="0"/>
    <n v="0"/>
    <s v="MMR001CMP006"/>
    <x v="0"/>
    <x v="0"/>
    <s v="P4"/>
    <n v="2.87074295809206E-3"/>
    <s v="No"/>
  </r>
  <r>
    <n v="66.900000000000006"/>
    <d v="2011-11-02T00:00:00"/>
    <x v="0"/>
    <s v="KBC"/>
    <s v="Kachin"/>
    <s v="Myitkyina"/>
    <s v="Shatapru Thida Aye Baptist Church"/>
    <m/>
    <m/>
    <m/>
    <n v="2"/>
    <n v="1"/>
    <n v="2"/>
    <n v="1"/>
    <n v="1"/>
    <n v="1"/>
    <n v="1"/>
    <m/>
    <m/>
    <m/>
    <m/>
    <m/>
    <m/>
    <m/>
    <n v="0"/>
    <n v="0"/>
    <n v="0"/>
    <n v="0"/>
    <n v="0"/>
    <n v="0"/>
    <n v="0"/>
    <n v="0"/>
    <n v="0"/>
    <n v="0"/>
    <n v="0"/>
    <n v="0"/>
    <n v="0"/>
    <n v="0"/>
    <n v="0"/>
    <n v="0"/>
    <n v="0"/>
    <n v="0"/>
    <s v="MMR001CMP007"/>
    <x v="0"/>
    <x v="0"/>
    <s v="P4"/>
    <n v="2.4444498765552813E-5"/>
    <s v="No"/>
  </r>
  <r>
    <n v="66.86666666666666"/>
    <d v="2011-11-03T00:00:00"/>
    <x v="0"/>
    <s v="KMSS"/>
    <s v="Kachin"/>
    <s v="Myitkyina"/>
    <s v="Jan Mai Kawng Baptist Church"/>
    <m/>
    <m/>
    <m/>
    <n v="106"/>
    <n v="52"/>
    <n v="106"/>
    <n v="52"/>
    <n v="52"/>
    <n v="52"/>
    <n v="52"/>
    <m/>
    <m/>
    <m/>
    <m/>
    <m/>
    <m/>
    <m/>
    <n v="0"/>
    <n v="0"/>
    <n v="0"/>
    <n v="0"/>
    <n v="0"/>
    <n v="0"/>
    <n v="0"/>
    <n v="0"/>
    <n v="0"/>
    <n v="0"/>
    <n v="0"/>
    <n v="0"/>
    <n v="0"/>
    <n v="0"/>
    <n v="0"/>
    <n v="0"/>
    <n v="0"/>
    <n v="0"/>
    <s v="MMR001CMP018"/>
    <x v="0"/>
    <x v="0"/>
    <s v="P4"/>
    <n v="1.2768569674647024E-3"/>
    <s v="No"/>
  </r>
  <r>
    <n v="66.86666666666666"/>
    <d v="2011-11-03T00:00:00"/>
    <x v="0"/>
    <s v="KBC"/>
    <s v="Kachin"/>
    <s v="Myitkyina"/>
    <s v="Le Kone Ziun Baptist Church "/>
    <m/>
    <m/>
    <m/>
    <n v="116"/>
    <n v="49"/>
    <n v="116"/>
    <n v="49"/>
    <n v="49"/>
    <n v="49"/>
    <n v="49"/>
    <m/>
    <m/>
    <m/>
    <m/>
    <m/>
    <m/>
    <m/>
    <n v="0"/>
    <n v="0"/>
    <n v="0"/>
    <n v="0"/>
    <n v="0"/>
    <n v="0"/>
    <n v="0"/>
    <n v="0"/>
    <n v="0"/>
    <n v="0"/>
    <n v="0"/>
    <n v="0"/>
    <n v="0"/>
    <n v="0"/>
    <n v="0"/>
    <n v="0"/>
    <n v="0"/>
    <n v="0"/>
    <s v="MMR001CMP014"/>
    <x v="0"/>
    <x v="0"/>
    <s v="P4"/>
    <n v="1.204079125199656E-3"/>
    <s v="No"/>
  </r>
  <r>
    <n v="66.86666666666666"/>
    <d v="2011-11-03T00:00:00"/>
    <x v="0"/>
    <s v="KMSS"/>
    <s v="Kachin"/>
    <s v="Myitkyina"/>
    <s v="Shwe Zet Baptist Church"/>
    <m/>
    <m/>
    <m/>
    <n v="18"/>
    <n v="8"/>
    <n v="18"/>
    <n v="8"/>
    <n v="8"/>
    <n v="8"/>
    <n v="8"/>
    <m/>
    <m/>
    <m/>
    <m/>
    <m/>
    <m/>
    <m/>
    <n v="0"/>
    <n v="0"/>
    <n v="0"/>
    <n v="0"/>
    <n v="0"/>
    <n v="0"/>
    <n v="0"/>
    <n v="0"/>
    <n v="0"/>
    <n v="0"/>
    <n v="0"/>
    <n v="0"/>
    <n v="0"/>
    <n v="0"/>
    <n v="0"/>
    <n v="0"/>
    <n v="0"/>
    <n v="0"/>
    <s v="MMR001CMP009"/>
    <x v="0"/>
    <x v="0"/>
    <s v="P4"/>
    <n v="1.9643953345610803E-4"/>
    <s v="No"/>
  </r>
  <r>
    <n v="66.86666666666666"/>
    <d v="2011-11-03T00:00:00"/>
    <x v="0"/>
    <s v="KBC"/>
    <s v="Kachin"/>
    <s v="Myitkyina"/>
    <s v="Tat Kone Baptist Church"/>
    <m/>
    <m/>
    <m/>
    <n v="73"/>
    <n v="34"/>
    <n v="73"/>
    <n v="34"/>
    <n v="34"/>
    <n v="34"/>
    <n v="34"/>
    <m/>
    <m/>
    <m/>
    <m/>
    <m/>
    <m/>
    <m/>
    <n v="0"/>
    <n v="0"/>
    <n v="0"/>
    <n v="0"/>
    <n v="0"/>
    <n v="0"/>
    <n v="0"/>
    <n v="0"/>
    <n v="0"/>
    <n v="0"/>
    <n v="0"/>
    <n v="0"/>
    <n v="0"/>
    <n v="0"/>
    <n v="0"/>
    <n v="0"/>
    <n v="0"/>
    <n v="0"/>
    <s v="MMR001CMP001"/>
    <x v="0"/>
    <x v="0"/>
    <s v="P4"/>
    <n v="8.3548347462833277E-4"/>
    <s v="No"/>
  </r>
  <r>
    <n v="66.86666666666666"/>
    <d v="2011-11-03T00:00:00"/>
    <x v="0"/>
    <s v="KMSS"/>
    <s v="Kachin"/>
    <s v="Myitkyina"/>
    <s v="Tat Kone Emanuel Church"/>
    <m/>
    <m/>
    <m/>
    <n v="18"/>
    <n v="8"/>
    <n v="18"/>
    <n v="8"/>
    <n v="8"/>
    <n v="8"/>
    <n v="8"/>
    <m/>
    <m/>
    <m/>
    <m/>
    <m/>
    <m/>
    <m/>
    <n v="0"/>
    <n v="0"/>
    <n v="0"/>
    <n v="0"/>
    <n v="0"/>
    <n v="0"/>
    <n v="0"/>
    <n v="0"/>
    <n v="0"/>
    <n v="0"/>
    <n v="0"/>
    <n v="0"/>
    <n v="0"/>
    <n v="0"/>
    <n v="0"/>
    <n v="0"/>
    <n v="0"/>
    <n v="0"/>
    <s v="MMR001CMP004"/>
    <x v="0"/>
    <x v="0"/>
    <s v="P4"/>
    <n v="1.962901167926195E-4"/>
    <s v="No"/>
  </r>
  <r>
    <n v="66.833333333333329"/>
    <d v="2011-11-04T00:00:00"/>
    <x v="0"/>
    <s v="KBC"/>
    <s v="Kachin"/>
    <s v="Myitkyina"/>
    <s v="Jan Mai Kawng Baptist Church"/>
    <m/>
    <m/>
    <m/>
    <n v="208"/>
    <n v="102"/>
    <n v="208"/>
    <n v="102"/>
    <n v="102"/>
    <n v="102"/>
    <n v="102"/>
    <m/>
    <m/>
    <m/>
    <m/>
    <m/>
    <m/>
    <m/>
    <n v="0"/>
    <n v="0"/>
    <n v="0"/>
    <n v="0"/>
    <n v="0"/>
    <n v="0"/>
    <n v="0"/>
    <n v="0"/>
    <n v="0"/>
    <n v="0"/>
    <n v="0"/>
    <n v="0"/>
    <n v="0"/>
    <n v="0"/>
    <n v="0"/>
    <n v="0"/>
    <n v="0"/>
    <n v="0"/>
    <s v="MMR001CMP018"/>
    <x v="0"/>
    <x v="0"/>
    <s v="P4"/>
    <n v="2.5046040515653775E-3"/>
    <s v="No"/>
  </r>
  <r>
    <n v="66.833333333333329"/>
    <d v="2011-11-04T00:00:00"/>
    <x v="0"/>
    <s v="KBC"/>
    <s v="Kachin"/>
    <s v="Myitkyina"/>
    <s v="Myay Myint Baptist Church"/>
    <m/>
    <m/>
    <m/>
    <n v="10"/>
    <n v="6"/>
    <n v="10"/>
    <n v="6"/>
    <n v="6"/>
    <n v="6"/>
    <n v="6"/>
    <m/>
    <m/>
    <m/>
    <m/>
    <m/>
    <m/>
    <m/>
    <n v="0"/>
    <n v="0"/>
    <n v="0"/>
    <n v="0"/>
    <n v="0"/>
    <n v="0"/>
    <n v="0"/>
    <n v="0"/>
    <n v="0"/>
    <n v="0"/>
    <n v="0"/>
    <n v="0"/>
    <n v="0"/>
    <n v="0"/>
    <n v="0"/>
    <n v="0"/>
    <n v="0"/>
    <n v="0"/>
    <s v="MMR001CMP017"/>
    <x v="0"/>
    <x v="1"/>
    <s v="P4"/>
    <n v="1.4699757454002008E-4"/>
    <s v="No"/>
  </r>
  <r>
    <n v="66.5"/>
    <d v="2011-11-14T00:00:00"/>
    <x v="0"/>
    <s v="KBC"/>
    <s v="Kachin"/>
    <s v="Myitkyina"/>
    <s v="Kyun Pin Thar Baptist Church"/>
    <m/>
    <m/>
    <m/>
    <n v="47"/>
    <n v="28"/>
    <n v="47"/>
    <n v="28"/>
    <n v="28"/>
    <n v="28"/>
    <n v="28"/>
    <m/>
    <m/>
    <m/>
    <m/>
    <m/>
    <m/>
    <m/>
    <n v="0"/>
    <n v="0"/>
    <n v="0"/>
    <n v="0"/>
    <n v="0"/>
    <n v="0"/>
    <n v="0"/>
    <n v="0"/>
    <n v="0"/>
    <n v="0"/>
    <n v="0"/>
    <n v="0"/>
    <n v="0"/>
    <n v="0"/>
    <n v="0"/>
    <n v="0"/>
    <n v="0"/>
    <n v="0"/>
    <s v="MMR001CMP013"/>
    <x v="0"/>
    <x v="0"/>
    <s v="P4"/>
    <n v="6.8444596543547874E-4"/>
    <s v="No"/>
  </r>
  <r>
    <n v="66.5"/>
    <d v="2011-11-14T00:00:00"/>
    <x v="0"/>
    <s v="KBC"/>
    <s v="Kachin"/>
    <s v="Myitkyina"/>
    <s v="Le Kone Bethlehem Church"/>
    <m/>
    <m/>
    <m/>
    <n v="52"/>
    <n v="25"/>
    <n v="52"/>
    <n v="25"/>
    <n v="25"/>
    <n v="25"/>
    <n v="25"/>
    <m/>
    <m/>
    <m/>
    <m/>
    <m/>
    <m/>
    <m/>
    <n v="0"/>
    <n v="0"/>
    <n v="0"/>
    <n v="0"/>
    <n v="0"/>
    <n v="0"/>
    <n v="0"/>
    <n v="0"/>
    <n v="0"/>
    <n v="0"/>
    <n v="0"/>
    <n v="0"/>
    <n v="0"/>
    <n v="0"/>
    <n v="0"/>
    <n v="0"/>
    <n v="0"/>
    <n v="0"/>
    <s v="MMR001CMP015"/>
    <x v="0"/>
    <x v="0"/>
    <s v="P4"/>
    <n v="6.1571805039036529E-4"/>
    <s v="No"/>
  </r>
  <r>
    <n v="66.5"/>
    <d v="2011-11-14T00:00:00"/>
    <x v="0"/>
    <s v="KBC"/>
    <s v="Kachin"/>
    <s v="Myitkyina"/>
    <s v="Maliyang Baptist Church"/>
    <m/>
    <m/>
    <m/>
    <n v="57"/>
    <n v="30"/>
    <n v="57"/>
    <n v="30"/>
    <n v="30"/>
    <n v="30"/>
    <n v="30"/>
    <m/>
    <m/>
    <m/>
    <m/>
    <m/>
    <m/>
    <m/>
    <n v="0"/>
    <n v="0"/>
    <n v="0"/>
    <n v="0"/>
    <n v="0"/>
    <n v="0"/>
    <n v="0"/>
    <n v="0"/>
    <n v="0"/>
    <n v="0"/>
    <n v="0"/>
    <n v="0"/>
    <n v="0"/>
    <n v="0"/>
    <n v="0"/>
    <n v="0"/>
    <n v="0"/>
    <n v="0"/>
    <s v="MMR001CMP016"/>
    <x v="0"/>
    <x v="0"/>
    <s v="P4"/>
    <n v="7.3608793797232315E-4"/>
    <s v="No"/>
  </r>
  <r>
    <n v="66.466666666666669"/>
    <d v="2011-11-15T00:00:00"/>
    <x v="0"/>
    <s v="KBC"/>
    <s v="Kachin"/>
    <s v="Myitkyina"/>
    <s v="Tat Kone San Pya Baptist Church"/>
    <m/>
    <m/>
    <m/>
    <n v="30"/>
    <n v="17"/>
    <n v="30"/>
    <n v="17"/>
    <n v="17"/>
    <n v="17"/>
    <n v="17"/>
    <m/>
    <m/>
    <m/>
    <m/>
    <m/>
    <m/>
    <m/>
    <n v="0"/>
    <n v="0"/>
    <n v="0"/>
    <n v="0"/>
    <n v="0"/>
    <n v="0"/>
    <n v="0"/>
    <n v="0"/>
    <n v="0"/>
    <n v="0"/>
    <n v="0"/>
    <n v="0"/>
    <n v="0"/>
    <n v="0"/>
    <n v="0"/>
    <n v="0"/>
    <n v="0"/>
    <n v="0"/>
    <s v="MMR001CMP005"/>
    <x v="0"/>
    <x v="0"/>
    <s v="P4"/>
    <n v="4.1649312786339027E-4"/>
    <s v="No"/>
  </r>
  <r>
    <n v="66.433333333333337"/>
    <d v="2011-11-16T00:00:00"/>
    <x v="0"/>
    <s v="KBC"/>
    <s v="Kachin"/>
    <s v="Myitkyina"/>
    <s v="Njang Dung Baptist Church "/>
    <m/>
    <m/>
    <m/>
    <n v="92"/>
    <n v="53"/>
    <n v="92"/>
    <n v="53"/>
    <n v="53"/>
    <n v="53"/>
    <n v="53"/>
    <m/>
    <m/>
    <m/>
    <m/>
    <m/>
    <m/>
    <m/>
    <n v="0"/>
    <n v="0"/>
    <n v="0"/>
    <n v="0"/>
    <n v="0"/>
    <n v="0"/>
    <n v="0"/>
    <n v="0"/>
    <n v="0"/>
    <n v="0"/>
    <n v="0"/>
    <n v="0"/>
    <n v="0"/>
    <n v="0"/>
    <n v="0"/>
    <n v="0"/>
    <n v="0"/>
    <n v="0"/>
    <s v="MMR001CMP002"/>
    <x v="0"/>
    <x v="0"/>
    <s v="P4"/>
    <n v="1.3023712986853422E-3"/>
    <s v="No"/>
  </r>
  <r>
    <n v="66.433333333333337"/>
    <d v="2011-11-16T00:00:00"/>
    <x v="0"/>
    <s v="KBC"/>
    <s v="Kachin"/>
    <s v="Myitkyina"/>
    <s v="Shwe Zet Baptist Church"/>
    <m/>
    <m/>
    <m/>
    <n v="63"/>
    <n v="30"/>
    <n v="63"/>
    <n v="30"/>
    <n v="30"/>
    <n v="30"/>
    <n v="30"/>
    <m/>
    <m/>
    <m/>
    <m/>
    <m/>
    <m/>
    <m/>
    <n v="0"/>
    <n v="0"/>
    <n v="0"/>
    <n v="0"/>
    <n v="0"/>
    <n v="0"/>
    <n v="0"/>
    <n v="0"/>
    <n v="0"/>
    <n v="0"/>
    <n v="0"/>
    <n v="0"/>
    <n v="0"/>
    <n v="0"/>
    <n v="0"/>
    <n v="0"/>
    <n v="0"/>
    <n v="0"/>
    <s v="MMR001CMP009"/>
    <x v="0"/>
    <x v="0"/>
    <s v="P4"/>
    <n v="7.3664825046040514E-4"/>
    <s v="No"/>
  </r>
  <r>
    <n v="66.433333333333337"/>
    <d v="2011-11-16T00:00:00"/>
    <x v="0"/>
    <s v="KBC"/>
    <s v="Kachin"/>
    <s v="Myitkyina"/>
    <s v="Tat Kone Galile Baptist Church"/>
    <m/>
    <m/>
    <m/>
    <n v="53"/>
    <n v="31"/>
    <n v="53"/>
    <n v="31"/>
    <n v="31"/>
    <n v="31"/>
    <n v="31"/>
    <m/>
    <m/>
    <m/>
    <m/>
    <m/>
    <m/>
    <m/>
    <n v="0"/>
    <n v="0"/>
    <n v="0"/>
    <n v="0"/>
    <n v="0"/>
    <n v="0"/>
    <n v="0"/>
    <n v="0"/>
    <n v="0"/>
    <n v="0"/>
    <n v="0"/>
    <n v="0"/>
    <n v="0"/>
    <n v="0"/>
    <n v="0"/>
    <n v="0"/>
    <n v="0"/>
    <n v="0"/>
    <s v="MMR001CMP003"/>
    <x v="0"/>
    <x v="0"/>
    <s v="P4"/>
    <n v="7.6120319214241863E-4"/>
    <s v="No"/>
  </r>
  <r>
    <n v="66.36666666666666"/>
    <d v="2011-11-18T00:00:00"/>
    <x v="0"/>
    <s v="UNHCR"/>
    <s v="Kachin"/>
    <s v="Myitkyina"/>
    <s v="Wun Tho Buddhist Monastery"/>
    <m/>
    <m/>
    <m/>
    <n v="175"/>
    <n v="0"/>
    <n v="175"/>
    <n v="0"/>
    <n v="0"/>
    <m/>
    <m/>
    <m/>
    <m/>
    <m/>
    <m/>
    <m/>
    <m/>
    <m/>
    <n v="0"/>
    <n v="0"/>
    <n v="0"/>
    <n v="0"/>
    <n v="0"/>
    <n v="0"/>
    <n v="0"/>
    <n v="0"/>
    <n v="0"/>
    <n v="0"/>
    <n v="0"/>
    <n v="0"/>
    <n v="0"/>
    <n v="0"/>
    <n v="0"/>
    <n v="0"/>
    <n v="0"/>
    <n v="0"/>
    <s v="MMR001CMP022"/>
    <x v="0"/>
    <x v="0"/>
    <s v="P4"/>
    <n v="0"/>
    <s v="No"/>
  </r>
  <r>
    <n v="66.36666666666666"/>
    <d v="2011-11-18T00:00:00"/>
    <x v="0"/>
    <s v="UNHCR"/>
    <s v="Kachin"/>
    <s v="Myitkyina"/>
    <s v="Bomb Blast Victims"/>
    <m/>
    <m/>
    <m/>
    <n v="24"/>
    <n v="3"/>
    <n v="24"/>
    <n v="3"/>
    <n v="3"/>
    <n v="3"/>
    <n v="3"/>
    <m/>
    <m/>
    <m/>
    <m/>
    <m/>
    <m/>
    <m/>
    <n v="0"/>
    <n v="0"/>
    <n v="0"/>
    <n v="0"/>
    <n v="0"/>
    <n v="0"/>
    <n v="0"/>
    <n v="0"/>
    <n v="0"/>
    <n v="0"/>
    <n v="0"/>
    <n v="0"/>
    <n v="0"/>
    <n v="0"/>
    <n v="0"/>
    <n v="0"/>
    <n v="0"/>
    <n v="0"/>
    <s v=""/>
    <x v="1"/>
    <x v="2"/>
    <s v=""/>
    <s v=""/>
    <s v="No"/>
  </r>
  <r>
    <n v="65.833333333333329"/>
    <d v="2011-12-04T00:00:00"/>
    <x v="0"/>
    <s v="KBC"/>
    <s v="Kachin"/>
    <s v="Myitkyina"/>
    <s v="Shwe Zet Baptist Church"/>
    <m/>
    <m/>
    <m/>
    <n v="52"/>
    <n v="27"/>
    <n v="52"/>
    <n v="27"/>
    <n v="27"/>
    <n v="27"/>
    <n v="27"/>
    <m/>
    <m/>
    <m/>
    <m/>
    <m/>
    <m/>
    <m/>
    <n v="0"/>
    <n v="0"/>
    <n v="0"/>
    <n v="0"/>
    <n v="0"/>
    <n v="0"/>
    <n v="0"/>
    <n v="0"/>
    <n v="0"/>
    <n v="0"/>
    <n v="0"/>
    <n v="0"/>
    <n v="0"/>
    <n v="0"/>
    <n v="0"/>
    <n v="0"/>
    <n v="0"/>
    <n v="0"/>
    <s v="MMR001CMP009"/>
    <x v="0"/>
    <x v="0"/>
    <s v="P4"/>
    <n v="6.6298342541436467E-4"/>
    <s v="No"/>
  </r>
  <r>
    <n v="65.8"/>
    <d v="2011-12-05T00:00:00"/>
    <x v="0"/>
    <s v="KMSS"/>
    <s v="Kachin"/>
    <s v="Myitkyina"/>
    <s v="Jan Mai Kawng Baptist Church"/>
    <m/>
    <m/>
    <m/>
    <n v="80"/>
    <n v="45"/>
    <n v="80"/>
    <n v="45"/>
    <n v="45"/>
    <n v="45"/>
    <n v="45"/>
    <m/>
    <m/>
    <m/>
    <m/>
    <m/>
    <m/>
    <m/>
    <n v="0"/>
    <n v="0"/>
    <n v="0"/>
    <n v="0"/>
    <n v="0"/>
    <n v="0"/>
    <n v="0"/>
    <n v="0"/>
    <n v="0"/>
    <n v="0"/>
    <n v="0"/>
    <n v="0"/>
    <n v="0"/>
    <n v="0"/>
    <n v="0"/>
    <n v="0"/>
    <n v="0"/>
    <n v="0"/>
    <s v="MMR001CMP018"/>
    <x v="0"/>
    <x v="0"/>
    <s v="P4"/>
    <n v="1.1049723756906078E-3"/>
    <s v="No"/>
  </r>
  <r>
    <n v="65.666666666666671"/>
    <d v="2011-12-09T00:00:00"/>
    <x v="0"/>
    <s v="KBC"/>
    <s v="Kachin"/>
    <s v="Myitkyina"/>
    <s v="Le Kone Bethlehem Church"/>
    <m/>
    <m/>
    <m/>
    <n v="13"/>
    <n v="6"/>
    <n v="13"/>
    <n v="6"/>
    <n v="6"/>
    <n v="6"/>
    <n v="6"/>
    <m/>
    <m/>
    <m/>
    <m/>
    <m/>
    <m/>
    <m/>
    <n v="0"/>
    <n v="0"/>
    <n v="0"/>
    <n v="0"/>
    <n v="0"/>
    <n v="0"/>
    <n v="0"/>
    <n v="0"/>
    <n v="0"/>
    <n v="0"/>
    <n v="0"/>
    <n v="0"/>
    <n v="0"/>
    <n v="0"/>
    <n v="0"/>
    <n v="0"/>
    <n v="0"/>
    <n v="0"/>
    <s v="MMR001CMP015"/>
    <x v="0"/>
    <x v="0"/>
    <s v="P4"/>
    <n v="1.4777233209368765E-4"/>
    <s v="No"/>
  </r>
  <r>
    <n v="65.599999999999994"/>
    <d v="2011-12-11T00:00:00"/>
    <x v="0"/>
    <s v="KBC"/>
    <s v="Kachin"/>
    <s v="Myitkyina"/>
    <s v="Man Hkring Baptist Church"/>
    <m/>
    <m/>
    <m/>
    <n v="6"/>
    <n v="4"/>
    <n v="6"/>
    <n v="4"/>
    <n v="4"/>
    <n v="4"/>
    <n v="4"/>
    <m/>
    <m/>
    <m/>
    <m/>
    <m/>
    <m/>
    <m/>
    <n v="0"/>
    <n v="0"/>
    <n v="0"/>
    <n v="0"/>
    <n v="0"/>
    <n v="0"/>
    <n v="0"/>
    <n v="0"/>
    <n v="0"/>
    <n v="0"/>
    <n v="0"/>
    <n v="0"/>
    <n v="0"/>
    <n v="0"/>
    <n v="0"/>
    <n v="0"/>
    <n v="0"/>
    <n v="0"/>
    <s v="MMR001CMP008"/>
    <x v="0"/>
    <x v="0"/>
    <s v="P4"/>
    <n v="9.8219766728054015E-5"/>
    <s v="No"/>
  </r>
  <r>
    <n v="65.599999999999994"/>
    <d v="2011-12-11T00:00:00"/>
    <x v="0"/>
    <s v="KBC"/>
    <s v="Kachin"/>
    <s v="Myitkyina"/>
    <s v="Shatapru Sut Ngai Tawng"/>
    <m/>
    <m/>
    <m/>
    <n v="2"/>
    <n v="2"/>
    <n v="2"/>
    <n v="2"/>
    <n v="2"/>
    <n v="2"/>
    <n v="2"/>
    <m/>
    <m/>
    <m/>
    <m/>
    <m/>
    <m/>
    <m/>
    <n v="0"/>
    <n v="0"/>
    <n v="0"/>
    <n v="0"/>
    <n v="0"/>
    <n v="0"/>
    <n v="0"/>
    <n v="0"/>
    <n v="0"/>
    <n v="0"/>
    <n v="0"/>
    <n v="0"/>
    <n v="0"/>
    <n v="0"/>
    <n v="0"/>
    <n v="0"/>
    <n v="0"/>
    <n v="0"/>
    <s v="MMR001CMP006"/>
    <x v="0"/>
    <x v="0"/>
    <s v="P4"/>
    <n v="4.9072529198154875E-5"/>
    <s v="No"/>
  </r>
  <r>
    <n v="65.599999999999994"/>
    <d v="2011-12-11T00:00:00"/>
    <x v="0"/>
    <s v="KBC"/>
    <s v="Kachin"/>
    <s v="Myitkyina"/>
    <s v="Tat Kone San Pya Baptist Church"/>
    <m/>
    <m/>
    <m/>
    <n v="3"/>
    <n v="2"/>
    <n v="3"/>
    <n v="2"/>
    <n v="2"/>
    <n v="2"/>
    <n v="2"/>
    <m/>
    <m/>
    <m/>
    <m/>
    <m/>
    <m/>
    <m/>
    <n v="0"/>
    <n v="0"/>
    <n v="0"/>
    <n v="0"/>
    <n v="0"/>
    <n v="0"/>
    <n v="0"/>
    <n v="0"/>
    <n v="0"/>
    <n v="0"/>
    <n v="0"/>
    <n v="0"/>
    <n v="0"/>
    <n v="0"/>
    <n v="0"/>
    <n v="0"/>
    <n v="0"/>
    <n v="0"/>
    <s v="MMR001CMP005"/>
    <x v="0"/>
    <x v="0"/>
    <s v="P4"/>
    <n v="4.8999191513340027E-5"/>
    <s v="No"/>
  </r>
  <r>
    <n v="65.599999999999994"/>
    <d v="2011-12-11T00:00:00"/>
    <x v="0"/>
    <s v="Shan Community"/>
    <s v="Kachin"/>
    <s v="Myitkyina"/>
    <s v="Shan Ywar Monestary Camp"/>
    <m/>
    <m/>
    <m/>
    <n v="88"/>
    <n v="49"/>
    <n v="88"/>
    <n v="49"/>
    <n v="49"/>
    <n v="49"/>
    <n v="49"/>
    <m/>
    <m/>
    <m/>
    <m/>
    <m/>
    <m/>
    <m/>
    <n v="0"/>
    <n v="0"/>
    <n v="0"/>
    <n v="0"/>
    <n v="0"/>
    <n v="0"/>
    <n v="0"/>
    <n v="0"/>
    <n v="0"/>
    <n v="0"/>
    <n v="0"/>
    <n v="0"/>
    <n v="0"/>
    <n v="0"/>
    <n v="0"/>
    <n v="0"/>
    <n v="0"/>
    <n v="0"/>
    <s v=""/>
    <x v="1"/>
    <x v="2"/>
    <s v=""/>
    <s v=""/>
    <s v="No"/>
  </r>
  <r>
    <n v="65.533333333333331"/>
    <d v="2011-12-13T00:00:00"/>
    <x v="0"/>
    <s v="IRRC"/>
    <s v="Kachin"/>
    <s v="Momauk"/>
    <s v="Hpun Lum Yang "/>
    <m/>
    <m/>
    <m/>
    <n v="250"/>
    <n v="125"/>
    <n v="250"/>
    <n v="125"/>
    <n v="125"/>
    <n v="125"/>
    <n v="125"/>
    <m/>
    <m/>
    <m/>
    <m/>
    <m/>
    <m/>
    <m/>
    <n v="0"/>
    <n v="0"/>
    <n v="0"/>
    <n v="0"/>
    <n v="0"/>
    <n v="0"/>
    <n v="0"/>
    <n v="0"/>
    <n v="0"/>
    <n v="0"/>
    <n v="0"/>
    <n v="0"/>
    <n v="0"/>
    <n v="0"/>
    <n v="0"/>
    <n v="0"/>
    <n v="0"/>
    <n v="0"/>
    <s v="MMR001CMP122"/>
    <x v="0"/>
    <x v="0"/>
    <s v="P2"/>
    <n v="3.0716304214276936E-3"/>
    <s v="No"/>
  </r>
  <r>
    <n v="65.533333333333331"/>
    <d v="2011-12-13T00:00:00"/>
    <x v="0"/>
    <s v="IRRC"/>
    <s v="Kachin"/>
    <s v="Momauk"/>
    <s v="Je Yang Hka "/>
    <m/>
    <m/>
    <m/>
    <n v="250"/>
    <n v="125"/>
    <n v="250"/>
    <n v="125"/>
    <n v="125"/>
    <n v="125"/>
    <n v="125"/>
    <m/>
    <m/>
    <m/>
    <m/>
    <m/>
    <m/>
    <m/>
    <n v="0"/>
    <n v="0"/>
    <n v="0"/>
    <n v="0"/>
    <n v="0"/>
    <n v="0"/>
    <n v="0"/>
    <n v="0"/>
    <n v="0"/>
    <n v="0"/>
    <n v="0"/>
    <n v="0"/>
    <n v="0"/>
    <n v="0"/>
    <n v="0"/>
    <n v="0"/>
    <n v="0"/>
    <n v="0"/>
    <s v="MMR001CMP121"/>
    <x v="0"/>
    <x v="0"/>
    <s v="P2"/>
    <n v="3.0442512359660019E-3"/>
    <s v="No"/>
  </r>
  <r>
    <n v="65.533333333333331"/>
    <d v="2011-12-13T00:00:00"/>
    <x v="0"/>
    <s v="IRRC"/>
    <s v="Kachin"/>
    <s v="Waingmaw"/>
    <s v="Maga Yang "/>
    <m/>
    <m/>
    <m/>
    <n v="250"/>
    <n v="125"/>
    <n v="250"/>
    <n v="125"/>
    <n v="125"/>
    <n v="125"/>
    <n v="125"/>
    <m/>
    <m/>
    <m/>
    <m/>
    <m/>
    <m/>
    <m/>
    <n v="0"/>
    <n v="0"/>
    <n v="0"/>
    <n v="0"/>
    <n v="0"/>
    <n v="0"/>
    <n v="0"/>
    <n v="0"/>
    <n v="0"/>
    <n v="0"/>
    <n v="0"/>
    <n v="0"/>
    <n v="0"/>
    <n v="0"/>
    <n v="0"/>
    <n v="0"/>
    <n v="0"/>
    <n v="0"/>
    <s v="MMR001CMP119"/>
    <x v="0"/>
    <x v="0"/>
    <s v="P2"/>
    <n v="3.0716304214276936E-3"/>
    <s v="No"/>
  </r>
  <r>
    <n v="65.533333333333331"/>
    <d v="2011-12-13T00:00:00"/>
    <x v="0"/>
    <s v="IRRC"/>
    <s v="Kachin"/>
    <s v="Waingmaw"/>
    <s v="Zai Awng - Mung Ga Zup"/>
    <m/>
    <m/>
    <m/>
    <n v="250"/>
    <n v="125"/>
    <n v="250"/>
    <n v="125"/>
    <n v="125"/>
    <n v="125"/>
    <n v="125"/>
    <m/>
    <m/>
    <m/>
    <m/>
    <m/>
    <m/>
    <m/>
    <n v="0"/>
    <n v="0"/>
    <n v="0"/>
    <n v="0"/>
    <n v="0"/>
    <n v="0"/>
    <n v="0"/>
    <n v="0"/>
    <n v="0"/>
    <n v="0"/>
    <n v="0"/>
    <n v="0"/>
    <n v="0"/>
    <n v="0"/>
    <n v="0"/>
    <n v="0"/>
    <n v="0"/>
    <n v="0"/>
    <s v="MMR001CMP111"/>
    <x v="0"/>
    <x v="1"/>
    <s v="P2"/>
    <n v="3.0601253427340385E-3"/>
    <s v="No"/>
  </r>
  <r>
    <n v="65.233333333333334"/>
    <d v="2011-12-22T00:00:00"/>
    <x v="0"/>
    <s v="UNHCR"/>
    <s v="Kachin"/>
    <s v="Waingmaw"/>
    <s v="Qtr. 2 Lhaovo Baptist Church"/>
    <m/>
    <m/>
    <m/>
    <n v="0"/>
    <n v="0"/>
    <n v="0"/>
    <n v="0"/>
    <n v="4"/>
    <n v="4"/>
    <n v="4"/>
    <m/>
    <m/>
    <m/>
    <m/>
    <m/>
    <m/>
    <m/>
    <n v="0"/>
    <n v="0"/>
    <n v="0"/>
    <n v="0"/>
    <n v="0"/>
    <n v="0"/>
    <n v="0"/>
    <n v="0"/>
    <n v="0"/>
    <n v="0"/>
    <n v="0"/>
    <n v="0"/>
    <n v="0"/>
    <n v="0"/>
    <n v="0"/>
    <n v="0"/>
    <n v="0"/>
    <n v="0"/>
    <s v="MMR001CMP032"/>
    <x v="0"/>
    <x v="0"/>
    <s v="P4"/>
    <n v="0"/>
    <s v="No"/>
  </r>
  <r>
    <n v="65.099999999999994"/>
    <d v="2011-12-26T00:00:00"/>
    <x v="0"/>
    <s v="KBC"/>
    <s v="Kachin"/>
    <s v="Waingmaw"/>
    <s v="Qtr. 2 Myoma Baptist Church"/>
    <m/>
    <m/>
    <m/>
    <n v="54"/>
    <n v="33"/>
    <n v="54"/>
    <n v="33"/>
    <n v="33"/>
    <n v="33"/>
    <n v="33"/>
    <m/>
    <m/>
    <m/>
    <m/>
    <m/>
    <m/>
    <m/>
    <n v="0"/>
    <n v="0"/>
    <n v="0"/>
    <n v="0"/>
    <n v="0"/>
    <n v="0"/>
    <n v="0"/>
    <n v="0"/>
    <n v="0"/>
    <n v="0"/>
    <n v="0"/>
    <n v="0"/>
    <n v="0"/>
    <n v="0"/>
    <n v="0"/>
    <n v="0"/>
    <n v="0"/>
    <n v="0"/>
    <s v="MMR001CMP025"/>
    <x v="0"/>
    <x v="0"/>
    <s v="P4"/>
    <n v="8.1091043125691112E-4"/>
    <s v="No"/>
  </r>
  <r>
    <n v="65.033333333333331"/>
    <d v="2011-12-28T00:00:00"/>
    <x v="0"/>
    <s v="Shan Community"/>
    <s v="Kachin"/>
    <s v="Waingmaw"/>
    <s v="Hkat Cho "/>
    <m/>
    <m/>
    <m/>
    <n v="31"/>
    <n v="19"/>
    <n v="31"/>
    <n v="19"/>
    <n v="19"/>
    <n v="19"/>
    <n v="19"/>
    <m/>
    <m/>
    <m/>
    <m/>
    <m/>
    <m/>
    <m/>
    <n v="0"/>
    <n v="0"/>
    <n v="0"/>
    <n v="0"/>
    <n v="0"/>
    <n v="0"/>
    <n v="0"/>
    <n v="0"/>
    <n v="0"/>
    <n v="0"/>
    <n v="0"/>
    <n v="0"/>
    <n v="0"/>
    <n v="0"/>
    <n v="0"/>
    <n v="0"/>
    <n v="0"/>
    <n v="0"/>
    <s v="MMR001CMP028"/>
    <x v="0"/>
    <x v="0"/>
    <s v="P4"/>
    <n v="4.6688782405700946E-4"/>
    <s v="No"/>
  </r>
  <r>
    <n v="64.966666666666669"/>
    <d v="2011-12-30T00:00:00"/>
    <x v="0"/>
    <s v="KBC"/>
    <s v="Kachin"/>
    <s v="Myitkyina"/>
    <s v="Jan Mai Kawng Baptist Church"/>
    <m/>
    <m/>
    <m/>
    <n v="56"/>
    <n v="29"/>
    <n v="56"/>
    <n v="29"/>
    <n v="29"/>
    <n v="29"/>
    <n v="29"/>
    <m/>
    <m/>
    <m/>
    <m/>
    <m/>
    <m/>
    <m/>
    <n v="0"/>
    <n v="0"/>
    <n v="0"/>
    <n v="0"/>
    <n v="0"/>
    <n v="0"/>
    <n v="0"/>
    <n v="0"/>
    <n v="0"/>
    <n v="0"/>
    <n v="0"/>
    <n v="0"/>
    <n v="0"/>
    <n v="0"/>
    <n v="0"/>
    <n v="0"/>
    <n v="0"/>
    <n v="0"/>
    <s v="MMR001CMP018"/>
    <x v="0"/>
    <x v="0"/>
    <s v="P4"/>
    <n v="7.1209330877839165E-4"/>
    <s v="No"/>
  </r>
  <r>
    <n v="64.933333333333337"/>
    <d v="2011-12-31T00:00:00"/>
    <x v="0"/>
    <s v="KMSS"/>
    <s v="Kachin"/>
    <s v="Waingmaw"/>
    <s v="Maina Catholic Church (St. Joseph)"/>
    <m/>
    <m/>
    <m/>
    <n v="46"/>
    <n v="27"/>
    <n v="47"/>
    <n v="27"/>
    <n v="27"/>
    <n v="27"/>
    <n v="27"/>
    <m/>
    <m/>
    <m/>
    <m/>
    <m/>
    <m/>
    <m/>
    <n v="0"/>
    <n v="0"/>
    <n v="0"/>
    <n v="0"/>
    <n v="0"/>
    <n v="0"/>
    <n v="0"/>
    <n v="0"/>
    <n v="0"/>
    <n v="0"/>
    <n v="0"/>
    <n v="0"/>
    <n v="0"/>
    <n v="0"/>
    <n v="0"/>
    <n v="0"/>
    <n v="0"/>
    <n v="0"/>
    <s v="MMR001CMP029"/>
    <x v="0"/>
    <x v="0"/>
    <s v="P4"/>
    <n v="6.5176459228503839E-4"/>
    <s v="No"/>
  </r>
  <r>
    <n v="64.833333333333329"/>
    <d v="2012-01-03T00:00:00"/>
    <x v="0"/>
    <s v="KMSS"/>
    <s v="Kachin"/>
    <s v="Myitkyina"/>
    <s v="Tat Kone Emanuel Church"/>
    <m/>
    <m/>
    <m/>
    <n v="0"/>
    <n v="0"/>
    <n v="0"/>
    <n v="0"/>
    <n v="8"/>
    <n v="8"/>
    <n v="8"/>
    <m/>
    <m/>
    <m/>
    <m/>
    <m/>
    <m/>
    <m/>
    <n v="0"/>
    <n v="0"/>
    <n v="0"/>
    <n v="0"/>
    <n v="0"/>
    <n v="0"/>
    <n v="0"/>
    <n v="0"/>
    <n v="0"/>
    <n v="0"/>
    <n v="0"/>
    <n v="0"/>
    <n v="0"/>
    <n v="0"/>
    <n v="0"/>
    <n v="0"/>
    <n v="0"/>
    <n v="0"/>
    <s v="MMR001CMP004"/>
    <x v="0"/>
    <x v="0"/>
    <s v="P4"/>
    <n v="0"/>
    <s v="No"/>
  </r>
  <r>
    <n v="64.766666666666666"/>
    <d v="2012-01-05T00:00:00"/>
    <x v="0"/>
    <s v="KBC"/>
    <s v="Kachin"/>
    <s v="Waingmaw"/>
    <s v="Maina Lawang Baptist Church"/>
    <m/>
    <m/>
    <m/>
    <n v="52"/>
    <n v="29"/>
    <n v="52"/>
    <n v="29"/>
    <n v="29"/>
    <n v="29"/>
    <n v="29"/>
    <m/>
    <m/>
    <m/>
    <m/>
    <m/>
    <m/>
    <m/>
    <n v="0"/>
    <n v="0"/>
    <n v="0"/>
    <n v="0"/>
    <n v="0"/>
    <n v="0"/>
    <n v="0"/>
    <n v="0"/>
    <n v="0"/>
    <n v="0"/>
    <n v="0"/>
    <n v="0"/>
    <n v="0"/>
    <n v="0"/>
    <n v="0"/>
    <n v="0"/>
    <n v="0"/>
    <n v="0"/>
    <s v="MMR001CMP039"/>
    <x v="0"/>
    <x v="0"/>
    <s v="P4"/>
    <n v="7.0942805421008858E-4"/>
    <s v="No"/>
  </r>
  <r>
    <n v="64.733333333333334"/>
    <d v="2012-01-06T00:00:00"/>
    <x v="0"/>
    <s v="KMSS"/>
    <s v="Kachin"/>
    <s v="Myitkyina"/>
    <s v="Jan Mai Kawng Catholic Church"/>
    <m/>
    <m/>
    <m/>
    <n v="0"/>
    <n v="0"/>
    <n v="0"/>
    <n v="0"/>
    <n v="9"/>
    <n v="9"/>
    <n v="9"/>
    <m/>
    <m/>
    <m/>
    <m/>
    <m/>
    <m/>
    <m/>
    <n v="0"/>
    <n v="0"/>
    <n v="0"/>
    <n v="0"/>
    <n v="0"/>
    <n v="0"/>
    <n v="0"/>
    <n v="0"/>
    <n v="0"/>
    <n v="0"/>
    <n v="0"/>
    <n v="0"/>
    <n v="0"/>
    <n v="0"/>
    <n v="0"/>
    <n v="0"/>
    <n v="0"/>
    <n v="0"/>
    <s v="MMR001CMP019"/>
    <x v="0"/>
    <x v="0"/>
    <s v="P4"/>
    <n v="0"/>
    <s v="No"/>
  </r>
  <r>
    <n v="64.733333333333334"/>
    <d v="2012-01-06T00:00:00"/>
    <x v="0"/>
    <s v="UNHCR"/>
    <s v="Kachin"/>
    <s v="Waingmaw"/>
    <s v="Thargaya Lisu Baptist Church"/>
    <m/>
    <m/>
    <m/>
    <n v="29"/>
    <n v="0"/>
    <n v="29"/>
    <n v="15"/>
    <n v="15"/>
    <n v="15"/>
    <n v="15"/>
    <m/>
    <m/>
    <m/>
    <m/>
    <m/>
    <m/>
    <m/>
    <n v="0"/>
    <n v="0"/>
    <n v="0"/>
    <n v="0"/>
    <n v="0"/>
    <n v="0"/>
    <n v="0"/>
    <n v="0"/>
    <n v="0"/>
    <n v="0"/>
    <n v="0"/>
    <n v="0"/>
    <n v="0"/>
    <n v="0"/>
    <n v="0"/>
    <n v="0"/>
    <n v="0"/>
    <n v="0"/>
    <s v="MMR001CMP037"/>
    <x v="0"/>
    <x v="0"/>
    <s v="P4"/>
    <n v="3.6721504112808461E-4"/>
    <s v="No"/>
  </r>
  <r>
    <n v="64.733333333333334"/>
    <d v="2012-01-06T00:00:00"/>
    <x v="0"/>
    <s v="UNHCR"/>
    <s v="Kachin"/>
    <s v="Waingmaw"/>
    <s v="Thargaya Lisu Baptist Church"/>
    <m/>
    <m/>
    <m/>
    <n v="59"/>
    <n v="30"/>
    <n v="59"/>
    <n v="30"/>
    <n v="30"/>
    <n v="30"/>
    <n v="30"/>
    <m/>
    <m/>
    <m/>
    <m/>
    <m/>
    <m/>
    <m/>
    <n v="0"/>
    <n v="0"/>
    <n v="0"/>
    <n v="0"/>
    <n v="0"/>
    <n v="0"/>
    <n v="0"/>
    <n v="0"/>
    <n v="0"/>
    <n v="0"/>
    <n v="0"/>
    <n v="0"/>
    <n v="0"/>
    <n v="0"/>
    <n v="0"/>
    <n v="0"/>
    <n v="0"/>
    <n v="0"/>
    <s v="MMR001CMP037"/>
    <x v="0"/>
    <x v="0"/>
    <s v="P4"/>
    <n v="7.3443008225616922E-4"/>
    <s v="No"/>
  </r>
  <r>
    <n v="64.733333333333334"/>
    <d v="2012-01-06T00:00:00"/>
    <x v="0"/>
    <s v="UNHCR"/>
    <s v="Kachin"/>
    <s v="Waingmaw"/>
    <s v="Waingmaw AG Church"/>
    <m/>
    <m/>
    <m/>
    <n v="29"/>
    <n v="14"/>
    <n v="29"/>
    <n v="14"/>
    <n v="14"/>
    <n v="14"/>
    <n v="14"/>
    <m/>
    <m/>
    <m/>
    <m/>
    <m/>
    <m/>
    <m/>
    <n v="0"/>
    <n v="0"/>
    <n v="0"/>
    <n v="0"/>
    <n v="0"/>
    <n v="0"/>
    <n v="0"/>
    <n v="0"/>
    <n v="0"/>
    <n v="0"/>
    <n v="0"/>
    <n v="0"/>
    <n v="0"/>
    <n v="0"/>
    <n v="0"/>
    <n v="0"/>
    <n v="0"/>
    <n v="0"/>
    <s v="MMR001CMP038"/>
    <x v="0"/>
    <x v="0"/>
    <s v="P4"/>
    <n v="3.4273403838621232E-4"/>
    <s v="No"/>
  </r>
  <r>
    <n v="64.7"/>
    <d v="2012-01-07T00:00:00"/>
    <x v="0"/>
    <s v="KMSS"/>
    <s v="Kachin"/>
    <s v="Myitkyina"/>
    <s v="Jan Mai Kawng Baptist Church"/>
    <m/>
    <m/>
    <m/>
    <n v="32"/>
    <n v="16"/>
    <n v="32"/>
    <n v="16"/>
    <n v="16"/>
    <n v="16"/>
    <n v="16"/>
    <m/>
    <m/>
    <m/>
    <m/>
    <m/>
    <m/>
    <m/>
    <n v="0"/>
    <n v="0"/>
    <n v="0"/>
    <n v="0"/>
    <n v="0"/>
    <n v="0"/>
    <n v="0"/>
    <n v="0"/>
    <n v="0"/>
    <n v="0"/>
    <n v="0"/>
    <n v="0"/>
    <n v="0"/>
    <n v="0"/>
    <n v="0"/>
    <n v="0"/>
    <n v="0"/>
    <n v="0"/>
    <s v="MMR001CMP018"/>
    <x v="0"/>
    <x v="0"/>
    <s v="P4"/>
    <n v="3.9287906691221606E-4"/>
    <s v="No"/>
  </r>
  <r>
    <n v="64.7"/>
    <d v="2012-01-07T00:00:00"/>
    <x v="0"/>
    <s v="KMSS"/>
    <s v="Kachin"/>
    <s v="Waingmaw"/>
    <s v="Maina Catholic Church (St. Joseph)"/>
    <m/>
    <m/>
    <m/>
    <n v="50"/>
    <n v="25"/>
    <n v="50"/>
    <n v="25"/>
    <n v="27"/>
    <n v="27"/>
    <n v="27"/>
    <m/>
    <m/>
    <m/>
    <m/>
    <m/>
    <m/>
    <m/>
    <n v="0"/>
    <n v="0"/>
    <n v="0"/>
    <n v="0"/>
    <n v="0"/>
    <n v="0"/>
    <n v="0"/>
    <n v="0"/>
    <n v="0"/>
    <n v="0"/>
    <n v="0"/>
    <n v="0"/>
    <n v="0"/>
    <n v="0"/>
    <n v="0"/>
    <n v="0"/>
    <n v="0"/>
    <n v="0"/>
    <s v="MMR001CMP029"/>
    <x v="0"/>
    <x v="0"/>
    <s v="P4"/>
    <n v="6.0348573359725777E-4"/>
    <s v="No"/>
  </r>
  <r>
    <n v="64.566666666666663"/>
    <d v="2012-01-11T00:00:00"/>
    <x v="0"/>
    <s v="KBC"/>
    <s v="Kachin"/>
    <s v="Waingmaw"/>
    <s v="Shing Jai"/>
    <m/>
    <m/>
    <m/>
    <n v="536"/>
    <n v="268"/>
    <n v="536"/>
    <n v="268"/>
    <n v="268"/>
    <n v="268"/>
    <n v="268"/>
    <m/>
    <m/>
    <m/>
    <m/>
    <m/>
    <m/>
    <m/>
    <n v="0"/>
    <n v="0"/>
    <n v="0"/>
    <n v="0"/>
    <n v="0"/>
    <n v="0"/>
    <n v="0"/>
    <n v="0"/>
    <n v="0"/>
    <n v="0"/>
    <n v="0"/>
    <n v="0"/>
    <n v="0"/>
    <n v="0"/>
    <n v="0"/>
    <n v="0"/>
    <n v="0"/>
    <n v="0"/>
    <s v="MMR001CMP041"/>
    <x v="0"/>
    <x v="0"/>
    <s v="P1"/>
    <n v="6.5609087348217779E-3"/>
    <s v="No"/>
  </r>
  <r>
    <n v="64.5"/>
    <d v="2012-01-13T00:00:00"/>
    <x v="0"/>
    <s v="KBC"/>
    <s v="Kachin"/>
    <s v="Hpakant"/>
    <s v="5 Ward Baptist Church(lon Khin)"/>
    <m/>
    <m/>
    <m/>
    <n v="52"/>
    <n v="26"/>
    <n v="36"/>
    <n v="0"/>
    <n v="26"/>
    <n v="26"/>
    <n v="26"/>
    <m/>
    <m/>
    <m/>
    <m/>
    <m/>
    <m/>
    <m/>
    <n v="0"/>
    <n v="0"/>
    <n v="0"/>
    <n v="0"/>
    <n v="0"/>
    <n v="0"/>
    <n v="0"/>
    <n v="0"/>
    <n v="0"/>
    <n v="0"/>
    <n v="0"/>
    <n v="0"/>
    <n v="0"/>
    <n v="0"/>
    <n v="0"/>
    <n v="0"/>
    <n v="0"/>
    <n v="0"/>
    <s v="MMR001CMP179"/>
    <x v="0"/>
    <x v="1"/>
    <s v="P4"/>
    <n v="0"/>
    <s v="No"/>
  </r>
  <r>
    <n v="64.5"/>
    <d v="2012-01-13T00:00:00"/>
    <x v="0"/>
    <s v="KBC"/>
    <s v="Kachin"/>
    <s v="Hpakant"/>
    <s v="5 Ward Baptist Church(lon Khin)"/>
    <m/>
    <m/>
    <m/>
    <n v="120"/>
    <n v="60"/>
    <n v="60"/>
    <n v="0"/>
    <n v="60"/>
    <n v="60"/>
    <n v="60"/>
    <m/>
    <m/>
    <m/>
    <m/>
    <m/>
    <m/>
    <m/>
    <n v="0"/>
    <n v="0"/>
    <n v="0"/>
    <n v="0"/>
    <n v="0"/>
    <n v="0"/>
    <n v="0"/>
    <n v="0"/>
    <n v="0"/>
    <n v="0"/>
    <n v="0"/>
    <n v="0"/>
    <n v="0"/>
    <n v="0"/>
    <n v="0"/>
    <n v="0"/>
    <n v="0"/>
    <n v="0"/>
    <s v="MMR001CMP179"/>
    <x v="0"/>
    <x v="1"/>
    <s v="P4"/>
    <n v="0"/>
    <s v="No"/>
  </r>
  <r>
    <n v="64.5"/>
    <d v="2012-01-13T00:00:00"/>
    <x v="0"/>
    <s v="KBC"/>
    <s v="Kachin"/>
    <s v="Hpakant"/>
    <s v="5 Ward Baptist Church(lon Khin)"/>
    <m/>
    <m/>
    <m/>
    <n v="148"/>
    <n v="74"/>
    <n v="74"/>
    <n v="0"/>
    <n v="74"/>
    <n v="74"/>
    <n v="74"/>
    <m/>
    <m/>
    <m/>
    <m/>
    <m/>
    <m/>
    <m/>
    <n v="0"/>
    <n v="0"/>
    <n v="0"/>
    <n v="0"/>
    <n v="0"/>
    <n v="0"/>
    <n v="0"/>
    <n v="0"/>
    <n v="0"/>
    <n v="0"/>
    <n v="0"/>
    <n v="0"/>
    <n v="0"/>
    <n v="0"/>
    <n v="0"/>
    <n v="0"/>
    <n v="0"/>
    <n v="0"/>
    <s v="MMR001CMP179"/>
    <x v="0"/>
    <x v="1"/>
    <s v="P4"/>
    <n v="0"/>
    <s v="No"/>
  </r>
  <r>
    <n v="64.5"/>
    <d v="2012-01-13T00:00:00"/>
    <x v="0"/>
    <s v="KBC"/>
    <s v="Kachin"/>
    <s v="Hpakant"/>
    <s v="Baptist Church, Hmaw Si Sar(Lon Khin)"/>
    <m/>
    <m/>
    <m/>
    <n v="70"/>
    <n v="35"/>
    <n v="35"/>
    <n v="0"/>
    <n v="35"/>
    <n v="35"/>
    <n v="35"/>
    <m/>
    <m/>
    <m/>
    <m/>
    <m/>
    <m/>
    <m/>
    <n v="0"/>
    <n v="0"/>
    <n v="0"/>
    <n v="0"/>
    <n v="0"/>
    <n v="0"/>
    <n v="0"/>
    <n v="0"/>
    <n v="0"/>
    <n v="0"/>
    <n v="0"/>
    <n v="0"/>
    <n v="0"/>
    <n v="0"/>
    <n v="0"/>
    <n v="0"/>
    <n v="0"/>
    <n v="0"/>
    <s v="MMR001CMP169"/>
    <x v="0"/>
    <x v="0"/>
    <s v="P4"/>
    <n v="0"/>
    <s v="No"/>
  </r>
  <r>
    <n v="64.5"/>
    <d v="2012-01-13T00:00:00"/>
    <x v="0"/>
    <s v="KBC"/>
    <s v="Kachin"/>
    <s v="Hpakant"/>
    <s v="Hlaing Naung Baptist"/>
    <m/>
    <m/>
    <m/>
    <n v="10"/>
    <n v="5"/>
    <n v="5"/>
    <n v="0"/>
    <n v="5"/>
    <n v="5"/>
    <n v="5"/>
    <m/>
    <m/>
    <m/>
    <m/>
    <m/>
    <m/>
    <m/>
    <n v="0"/>
    <n v="0"/>
    <n v="0"/>
    <n v="0"/>
    <n v="0"/>
    <n v="0"/>
    <n v="0"/>
    <n v="0"/>
    <n v="0"/>
    <n v="0"/>
    <n v="0"/>
    <n v="0"/>
    <n v="0"/>
    <n v="0"/>
    <n v="0"/>
    <n v="0"/>
    <n v="0"/>
    <n v="0"/>
    <s v="MMR001CMP148"/>
    <x v="0"/>
    <x v="0"/>
    <s v="P4"/>
    <n v="0"/>
    <s v="No"/>
  </r>
  <r>
    <n v="64.5"/>
    <d v="2012-01-13T00:00:00"/>
    <x v="0"/>
    <s v="UNHCR"/>
    <s v="Kachin"/>
    <s v="Waingmaw"/>
    <s v="Maina Lawang Baptist Church"/>
    <m/>
    <m/>
    <m/>
    <n v="35"/>
    <n v="17"/>
    <n v="35"/>
    <n v="17"/>
    <n v="17"/>
    <n v="17"/>
    <n v="17"/>
    <m/>
    <m/>
    <m/>
    <m/>
    <m/>
    <m/>
    <m/>
    <n v="0"/>
    <n v="0"/>
    <n v="0"/>
    <n v="0"/>
    <n v="0"/>
    <n v="0"/>
    <n v="0"/>
    <n v="0"/>
    <n v="0"/>
    <n v="0"/>
    <n v="0"/>
    <n v="0"/>
    <n v="0"/>
    <n v="0"/>
    <n v="0"/>
    <n v="0"/>
    <n v="0"/>
    <n v="0"/>
    <s v="MMR001CMP039"/>
    <x v="0"/>
    <x v="0"/>
    <s v="P4"/>
    <n v="4.158716179852243E-4"/>
    <s v="No"/>
  </r>
  <r>
    <n v="64.5"/>
    <d v="2012-01-13T00:00:00"/>
    <x v="0"/>
    <s v="KBC"/>
    <s v="Kachin"/>
    <m/>
    <s v="Kat Hmaw Zut Baptist Church"/>
    <m/>
    <m/>
    <m/>
    <n v="76"/>
    <n v="38"/>
    <n v="38"/>
    <n v="0"/>
    <n v="38"/>
    <n v="38"/>
    <n v="38"/>
    <m/>
    <m/>
    <m/>
    <m/>
    <m/>
    <m/>
    <m/>
    <n v="0"/>
    <n v="0"/>
    <n v="0"/>
    <n v="0"/>
    <n v="0"/>
    <n v="0"/>
    <n v="0"/>
    <n v="0"/>
    <n v="0"/>
    <n v="0"/>
    <n v="0"/>
    <n v="0"/>
    <n v="0"/>
    <n v="0"/>
    <n v="0"/>
    <n v="0"/>
    <n v="0"/>
    <n v="0"/>
    <s v=""/>
    <x v="1"/>
    <x v="2"/>
    <s v=""/>
    <s v=""/>
    <s v="No"/>
  </r>
  <r>
    <n v="64.5"/>
    <d v="2012-01-13T00:00:00"/>
    <x v="0"/>
    <s v="KBC"/>
    <s v="Kachin"/>
    <m/>
    <s v="Le Pyin - Kar Gyi Winn"/>
    <m/>
    <m/>
    <m/>
    <n v="18"/>
    <n v="9"/>
    <n v="9"/>
    <n v="0"/>
    <n v="9"/>
    <n v="9"/>
    <n v="9"/>
    <m/>
    <m/>
    <m/>
    <m/>
    <m/>
    <m/>
    <m/>
    <n v="0"/>
    <n v="0"/>
    <n v="0"/>
    <n v="0"/>
    <n v="0"/>
    <n v="0"/>
    <n v="0"/>
    <n v="0"/>
    <n v="0"/>
    <n v="0"/>
    <n v="0"/>
    <n v="0"/>
    <n v="0"/>
    <n v="0"/>
    <n v="0"/>
    <n v="0"/>
    <n v="0"/>
    <n v="0"/>
    <s v=""/>
    <x v="1"/>
    <x v="2"/>
    <s v=""/>
    <s v=""/>
    <s v="No"/>
  </r>
  <r>
    <n v="64.5"/>
    <d v="2012-01-13T00:00:00"/>
    <x v="0"/>
    <s v="KBC"/>
    <s v="Kachin"/>
    <m/>
    <s v="Le Pyin Christian Church"/>
    <m/>
    <m/>
    <m/>
    <n v="10"/>
    <n v="5"/>
    <n v="5"/>
    <n v="0"/>
    <n v="5"/>
    <n v="5"/>
    <n v="5"/>
    <m/>
    <m/>
    <m/>
    <m/>
    <m/>
    <m/>
    <m/>
    <n v="0"/>
    <n v="0"/>
    <n v="0"/>
    <n v="0"/>
    <n v="0"/>
    <n v="0"/>
    <n v="0"/>
    <n v="0"/>
    <n v="0"/>
    <n v="0"/>
    <n v="0"/>
    <n v="0"/>
    <n v="0"/>
    <n v="0"/>
    <n v="0"/>
    <n v="0"/>
    <n v="0"/>
    <n v="0"/>
    <s v=""/>
    <x v="1"/>
    <x v="2"/>
    <s v=""/>
    <s v=""/>
    <s v="No"/>
  </r>
  <r>
    <n v="64.5"/>
    <d v="2012-01-13T00:00:00"/>
    <x v="0"/>
    <s v="KBC"/>
    <s v="Kachin"/>
    <s v="Hpakant"/>
    <s v="Maw Si Zar, Thiriyardanar Sein, Damma Compound, Lone Khin"/>
    <m/>
    <m/>
    <m/>
    <n v="224"/>
    <n v="112"/>
    <n v="112"/>
    <n v="0"/>
    <n v="112"/>
    <n v="112"/>
    <n v="112"/>
    <m/>
    <m/>
    <m/>
    <m/>
    <m/>
    <m/>
    <m/>
    <n v="0"/>
    <n v="0"/>
    <n v="0"/>
    <n v="0"/>
    <n v="0"/>
    <n v="0"/>
    <n v="0"/>
    <n v="0"/>
    <n v="0"/>
    <n v="0"/>
    <n v="0"/>
    <n v="0"/>
    <n v="0"/>
    <n v="0"/>
    <n v="0"/>
    <n v="0"/>
    <n v="0"/>
    <n v="0"/>
    <s v="MMR001CMP106"/>
    <x v="0"/>
    <x v="1"/>
    <s v=""/>
    <s v=""/>
    <s v="No"/>
  </r>
  <r>
    <n v="64.5"/>
    <d v="2012-01-13T00:00:00"/>
    <x v="0"/>
    <s v="KBC"/>
    <s v="Kachin"/>
    <s v="Hpakant"/>
    <s v="Maw Wan, Kachin Baptist Church"/>
    <m/>
    <m/>
    <m/>
    <n v="34"/>
    <n v="17"/>
    <n v="17"/>
    <n v="0"/>
    <n v="17"/>
    <n v="17"/>
    <n v="17"/>
    <m/>
    <m/>
    <m/>
    <m/>
    <m/>
    <m/>
    <m/>
    <n v="0"/>
    <n v="0"/>
    <n v="0"/>
    <n v="0"/>
    <n v="0"/>
    <n v="0"/>
    <n v="0"/>
    <n v="0"/>
    <n v="0"/>
    <n v="0"/>
    <n v="0"/>
    <n v="0"/>
    <n v="0"/>
    <n v="0"/>
    <n v="0"/>
    <n v="0"/>
    <n v="0"/>
    <n v="0"/>
    <s v="MMR001CMP085"/>
    <x v="0"/>
    <x v="1"/>
    <s v=""/>
    <s v=""/>
    <s v="No"/>
  </r>
  <r>
    <n v="64.5"/>
    <d v="2012-01-13T00:00:00"/>
    <x v="0"/>
    <s v="KBC"/>
    <s v="Kachin"/>
    <m/>
    <s v="Nant Yar Baptist Church"/>
    <m/>
    <m/>
    <m/>
    <n v="126"/>
    <n v="63"/>
    <n v="63"/>
    <n v="0"/>
    <n v="63"/>
    <n v="63"/>
    <n v="63"/>
    <m/>
    <m/>
    <m/>
    <m/>
    <m/>
    <m/>
    <m/>
    <n v="0"/>
    <n v="0"/>
    <n v="0"/>
    <n v="0"/>
    <n v="0"/>
    <n v="0"/>
    <n v="0"/>
    <n v="0"/>
    <n v="0"/>
    <n v="0"/>
    <n v="0"/>
    <n v="0"/>
    <n v="0"/>
    <n v="0"/>
    <n v="0"/>
    <n v="0"/>
    <n v="0"/>
    <n v="0"/>
    <s v=""/>
    <x v="1"/>
    <x v="2"/>
    <s v=""/>
    <s v=""/>
    <s v="No"/>
  </r>
  <r>
    <n v="64.5"/>
    <d v="2012-01-13T00:00:00"/>
    <x v="0"/>
    <s v="KBC"/>
    <s v="Kachin"/>
    <s v="Hpakant"/>
    <s v="Nga Pyaw Taw Baptist Nursery School "/>
    <m/>
    <m/>
    <m/>
    <n v="112"/>
    <n v="56"/>
    <n v="56"/>
    <n v="0"/>
    <n v="56"/>
    <n v="56"/>
    <n v="56"/>
    <m/>
    <m/>
    <m/>
    <m/>
    <m/>
    <m/>
    <m/>
    <n v="0"/>
    <n v="0"/>
    <n v="0"/>
    <n v="0"/>
    <n v="0"/>
    <n v="0"/>
    <n v="0"/>
    <n v="0"/>
    <n v="0"/>
    <n v="0"/>
    <n v="0"/>
    <n v="0"/>
    <n v="0"/>
    <n v="0"/>
    <n v="0"/>
    <n v="0"/>
    <n v="0"/>
    <n v="0"/>
    <s v="MMR001CMP082"/>
    <x v="0"/>
    <x v="1"/>
    <s v=""/>
    <n v="0"/>
    <s v="No"/>
  </r>
  <r>
    <n v="64.3"/>
    <d v="2012-01-19T00:00:00"/>
    <x v="0"/>
    <s v="KBC"/>
    <s v="Kachin"/>
    <s v="Myitkyina"/>
    <s v="Jan Mai Kawng Baptist Church"/>
    <m/>
    <m/>
    <m/>
    <n v="0"/>
    <n v="0"/>
    <n v="0"/>
    <n v="0"/>
    <n v="118"/>
    <n v="118"/>
    <n v="118"/>
    <m/>
    <m/>
    <m/>
    <m/>
    <m/>
    <m/>
    <m/>
    <n v="0"/>
    <n v="0"/>
    <n v="0"/>
    <n v="0"/>
    <n v="0"/>
    <n v="0"/>
    <n v="0"/>
    <n v="0"/>
    <n v="0"/>
    <n v="0"/>
    <n v="0"/>
    <n v="0"/>
    <n v="0"/>
    <n v="0"/>
    <n v="0"/>
    <n v="0"/>
    <n v="0"/>
    <n v="0"/>
    <s v="MMR001CMP018"/>
    <x v="0"/>
    <x v="0"/>
    <s v="P4"/>
    <n v="0"/>
    <s v="No"/>
  </r>
  <r>
    <n v="64.099999999999994"/>
    <d v="2012-01-25T00:00:00"/>
    <x v="1"/>
    <m/>
    <s v="Kachin"/>
    <s v="Bhamo"/>
    <s v="Lisu Boarding-House"/>
    <n v="94"/>
    <m/>
    <m/>
    <m/>
    <m/>
    <m/>
    <m/>
    <m/>
    <m/>
    <m/>
    <m/>
    <m/>
    <m/>
    <m/>
    <m/>
    <m/>
    <m/>
    <n v="0"/>
    <n v="0"/>
    <n v="0"/>
    <n v="0"/>
    <n v="0"/>
    <n v="0"/>
    <n v="0"/>
    <n v="0"/>
    <n v="0"/>
    <n v="0"/>
    <n v="0"/>
    <n v="0"/>
    <n v="0"/>
    <n v="0"/>
    <n v="0"/>
    <n v="0"/>
    <n v="0"/>
    <n v="0"/>
    <s v="MMR001CMP049"/>
    <x v="0"/>
    <x v="0"/>
    <s v="P4"/>
    <n v="0"/>
    <m/>
  </r>
  <r>
    <n v="63.9"/>
    <d v="2012-01-31T00:00:00"/>
    <x v="0"/>
    <s v="UNHCR"/>
    <s v="Kachin"/>
    <s v="Waingmaw"/>
    <s v="Qtr. 4 Monestry (Thargaya Thayett Taw)"/>
    <m/>
    <m/>
    <m/>
    <n v="0"/>
    <n v="0"/>
    <n v="0"/>
    <n v="0"/>
    <n v="61"/>
    <n v="61"/>
    <n v="61"/>
    <m/>
    <m/>
    <m/>
    <m/>
    <m/>
    <m/>
    <m/>
    <n v="0"/>
    <n v="0"/>
    <n v="0"/>
    <n v="0"/>
    <n v="0"/>
    <n v="0"/>
    <n v="0"/>
    <n v="0"/>
    <n v="0"/>
    <n v="0"/>
    <n v="0"/>
    <n v="0"/>
    <n v="0"/>
    <n v="0"/>
    <n v="0"/>
    <n v="0"/>
    <n v="0"/>
    <n v="0"/>
    <s v="MMR001CMP026"/>
    <x v="0"/>
    <x v="0"/>
    <s v="P4"/>
    <n v="0"/>
    <s v="No"/>
  </r>
  <r>
    <n v="63.833333333333336"/>
    <d v="2012-02-02T00:00:00"/>
    <x v="0"/>
    <s v="UNHCR"/>
    <s v="Kachin"/>
    <s v="Mansi"/>
    <s v="Mansi Baptist Church"/>
    <n v="718"/>
    <m/>
    <m/>
    <m/>
    <m/>
    <m/>
    <m/>
    <m/>
    <m/>
    <m/>
    <m/>
    <m/>
    <m/>
    <m/>
    <m/>
    <m/>
    <m/>
    <n v="0"/>
    <n v="0"/>
    <n v="0"/>
    <n v="0"/>
    <n v="0"/>
    <n v="0"/>
    <n v="0"/>
    <n v="0"/>
    <n v="0"/>
    <n v="0"/>
    <n v="0"/>
    <n v="0"/>
    <n v="0"/>
    <n v="0"/>
    <n v="0"/>
    <n v="0"/>
    <n v="0"/>
    <n v="0"/>
    <s v="MMR001CMP066"/>
    <x v="0"/>
    <x v="0"/>
    <s v="P4"/>
    <n v="0"/>
    <m/>
  </r>
  <r>
    <n v="63.833333333333336"/>
    <d v="2012-02-02T00:00:00"/>
    <x v="1"/>
    <s v="Solidarities"/>
    <s v="Kachin"/>
    <s v="Mansi"/>
    <s v="Mansi Baptist Church"/>
    <n v="718"/>
    <m/>
    <m/>
    <m/>
    <m/>
    <m/>
    <m/>
    <m/>
    <m/>
    <m/>
    <m/>
    <m/>
    <m/>
    <m/>
    <m/>
    <m/>
    <m/>
    <n v="0"/>
    <n v="0"/>
    <n v="0"/>
    <n v="0"/>
    <n v="0"/>
    <n v="0"/>
    <n v="0"/>
    <n v="0"/>
    <n v="0"/>
    <n v="0"/>
    <n v="0"/>
    <n v="0"/>
    <n v="0"/>
    <n v="0"/>
    <n v="0"/>
    <n v="0"/>
    <n v="0"/>
    <n v="0"/>
    <s v="MMR001CMP066"/>
    <x v="0"/>
    <x v="0"/>
    <s v="P4"/>
    <n v="0"/>
    <m/>
  </r>
  <r>
    <n v="63.7"/>
    <d v="2012-02-06T00:00:00"/>
    <x v="0"/>
    <s v="UNHCR"/>
    <s v="Kachin"/>
    <s v="Waingmaw"/>
    <s v="Qtr. 4 Monestry (Thargaya Thayett Taw)"/>
    <m/>
    <m/>
    <m/>
    <n v="0"/>
    <n v="0"/>
    <n v="0"/>
    <n v="0"/>
    <n v="13"/>
    <n v="13"/>
    <n v="13"/>
    <m/>
    <m/>
    <m/>
    <m/>
    <m/>
    <m/>
    <m/>
    <n v="0"/>
    <n v="0"/>
    <n v="0"/>
    <n v="0"/>
    <n v="0"/>
    <n v="0"/>
    <n v="0"/>
    <n v="0"/>
    <n v="0"/>
    <n v="0"/>
    <n v="0"/>
    <n v="0"/>
    <n v="0"/>
    <n v="0"/>
    <n v="0"/>
    <n v="0"/>
    <n v="0"/>
    <n v="0"/>
    <s v="MMR001CMP026"/>
    <x v="0"/>
    <x v="0"/>
    <s v="P4"/>
    <n v="0"/>
    <s v="No"/>
  </r>
  <r>
    <n v="63.666666666666664"/>
    <d v="2012-02-07T00:00:00"/>
    <x v="0"/>
    <s v="SC&amp;L Group"/>
    <s v="Kachin"/>
    <s v="Myitkyina"/>
    <s v="Maw Hpawng Hka Nan Baptist Church"/>
    <m/>
    <m/>
    <m/>
    <n v="38"/>
    <n v="18"/>
    <n v="38"/>
    <n v="18"/>
    <n v="18"/>
    <n v="18"/>
    <n v="18"/>
    <m/>
    <m/>
    <m/>
    <m/>
    <m/>
    <m/>
    <m/>
    <n v="0"/>
    <n v="0"/>
    <n v="0"/>
    <n v="0"/>
    <n v="0"/>
    <n v="0"/>
    <n v="0"/>
    <n v="0"/>
    <n v="0"/>
    <n v="0"/>
    <n v="0"/>
    <n v="0"/>
    <n v="0"/>
    <n v="0"/>
    <n v="0"/>
    <n v="0"/>
    <n v="0"/>
    <n v="0"/>
    <s v="MMR001CMP020"/>
    <x v="0"/>
    <x v="0"/>
    <s v="P4"/>
    <n v="4.4099272362006027E-4"/>
    <s v="No"/>
  </r>
  <r>
    <n v="63.666666666666664"/>
    <d v="2012-02-07T00:00:00"/>
    <x v="1"/>
    <s v="Solidarities"/>
    <s v="Kachin"/>
    <s v="Bhamo"/>
    <s v="Nant Hlaing Church"/>
    <n v="90"/>
    <m/>
    <m/>
    <m/>
    <m/>
    <m/>
    <m/>
    <m/>
    <m/>
    <m/>
    <m/>
    <m/>
    <m/>
    <m/>
    <m/>
    <m/>
    <m/>
    <n v="0"/>
    <n v="0"/>
    <n v="0"/>
    <n v="0"/>
    <n v="0"/>
    <n v="0"/>
    <n v="0"/>
    <n v="0"/>
    <n v="0"/>
    <n v="0"/>
    <n v="0"/>
    <n v="0"/>
    <n v="0"/>
    <n v="0"/>
    <n v="0"/>
    <n v="0"/>
    <n v="0"/>
    <n v="0"/>
    <s v="MMR001CMP054"/>
    <x v="0"/>
    <x v="0"/>
    <s v="P4"/>
    <n v="0"/>
    <m/>
  </r>
  <r>
    <n v="63.6"/>
    <d v="2012-02-09T00:00:00"/>
    <x v="1"/>
    <s v="Solidarities"/>
    <s v="Kachin"/>
    <s v="Momauk"/>
    <s v="Momauk Baptist Church"/>
    <n v="138"/>
    <m/>
    <m/>
    <m/>
    <m/>
    <m/>
    <m/>
    <m/>
    <m/>
    <m/>
    <m/>
    <m/>
    <m/>
    <m/>
    <m/>
    <m/>
    <m/>
    <n v="0"/>
    <n v="0"/>
    <n v="0"/>
    <n v="0"/>
    <n v="0"/>
    <n v="0"/>
    <n v="0"/>
    <n v="0"/>
    <n v="0"/>
    <n v="0"/>
    <n v="0"/>
    <n v="0"/>
    <n v="0"/>
    <n v="0"/>
    <n v="0"/>
    <n v="0"/>
    <n v="0"/>
    <n v="0"/>
    <s v="MMR001CMP056"/>
    <x v="0"/>
    <x v="0"/>
    <s v="P4"/>
    <n v="0"/>
    <m/>
  </r>
  <r>
    <n v="63.56666666666667"/>
    <d v="2012-02-10T00:00:00"/>
    <x v="1"/>
    <s v="Solidarities"/>
    <s v="Kachin"/>
    <s v="Momauk"/>
    <s v="Momauk Catholic Church (St. Patrick)"/>
    <n v="192"/>
    <m/>
    <m/>
    <m/>
    <m/>
    <m/>
    <m/>
    <m/>
    <m/>
    <m/>
    <m/>
    <m/>
    <m/>
    <m/>
    <m/>
    <m/>
    <m/>
    <n v="0"/>
    <n v="0"/>
    <n v="0"/>
    <n v="0"/>
    <n v="0"/>
    <n v="0"/>
    <n v="0"/>
    <n v="0"/>
    <n v="0"/>
    <n v="0"/>
    <n v="0"/>
    <n v="0"/>
    <n v="0"/>
    <n v="0"/>
    <n v="0"/>
    <n v="0"/>
    <n v="0"/>
    <n v="0"/>
    <s v="MMR001CMP057"/>
    <x v="0"/>
    <x v="1"/>
    <s v="P4"/>
    <n v="0"/>
    <m/>
  </r>
  <r>
    <n v="63.43333333333333"/>
    <d v="2012-02-14T00:00:00"/>
    <x v="1"/>
    <s v="Solidarities"/>
    <s v="Kachin"/>
    <s v="Shwegu"/>
    <s v="Host Families"/>
    <n v="429"/>
    <m/>
    <m/>
    <m/>
    <m/>
    <m/>
    <m/>
    <m/>
    <m/>
    <m/>
    <m/>
    <m/>
    <m/>
    <m/>
    <m/>
    <m/>
    <m/>
    <n v="0"/>
    <n v="0"/>
    <n v="0"/>
    <n v="0"/>
    <n v="0"/>
    <n v="0"/>
    <n v="0"/>
    <n v="0"/>
    <n v="0"/>
    <n v="0"/>
    <n v="0"/>
    <n v="0"/>
    <n v="0"/>
    <n v="0"/>
    <n v="0"/>
    <n v="0"/>
    <n v="0"/>
    <n v="0"/>
    <s v="MMR001CMP163"/>
    <x v="0"/>
    <x v="0"/>
    <s v="P4"/>
    <s v=""/>
    <m/>
  </r>
  <r>
    <n v="63.4"/>
    <d v="2012-02-15T00:00:00"/>
    <x v="1"/>
    <s v="Solidarities"/>
    <s v="Kachin"/>
    <s v="Shwegu"/>
    <s v="Host Families"/>
    <n v="1070"/>
    <m/>
    <m/>
    <m/>
    <m/>
    <m/>
    <m/>
    <m/>
    <m/>
    <m/>
    <m/>
    <m/>
    <m/>
    <m/>
    <m/>
    <m/>
    <m/>
    <n v="0"/>
    <n v="0"/>
    <n v="0"/>
    <n v="0"/>
    <n v="0"/>
    <n v="0"/>
    <n v="0"/>
    <n v="0"/>
    <n v="0"/>
    <n v="0"/>
    <n v="0"/>
    <n v="0"/>
    <n v="0"/>
    <n v="0"/>
    <n v="0"/>
    <n v="0"/>
    <n v="0"/>
    <n v="0"/>
    <s v="MMR001CMP163"/>
    <x v="0"/>
    <x v="0"/>
    <s v="P4"/>
    <s v=""/>
    <m/>
  </r>
  <r>
    <n v="63.4"/>
    <d v="2012-02-15T00:00:00"/>
    <x v="1"/>
    <s v="Solidarities"/>
    <s v="Kachin"/>
    <s v="Momauk"/>
    <s v="Man Bung Catholic compound"/>
    <n v="8"/>
    <m/>
    <m/>
    <m/>
    <m/>
    <m/>
    <m/>
    <m/>
    <m/>
    <m/>
    <m/>
    <m/>
    <m/>
    <m/>
    <m/>
    <m/>
    <m/>
    <n v="0"/>
    <n v="0"/>
    <n v="0"/>
    <n v="0"/>
    <n v="0"/>
    <n v="0"/>
    <n v="0"/>
    <n v="0"/>
    <n v="0"/>
    <n v="0"/>
    <n v="0"/>
    <n v="0"/>
    <n v="0"/>
    <n v="0"/>
    <n v="0"/>
    <n v="0"/>
    <n v="0"/>
    <n v="0"/>
    <s v="MMR001CMP062"/>
    <x v="0"/>
    <x v="0"/>
    <s v="P4"/>
    <n v="0"/>
    <m/>
  </r>
  <r>
    <n v="63.333333333333336"/>
    <d v="2012-02-17T00:00:00"/>
    <x v="1"/>
    <s v="Solidarities"/>
    <s v="Kachin"/>
    <s v="Bhamo"/>
    <s v="Htoi San Church"/>
    <n v="240"/>
    <m/>
    <m/>
    <m/>
    <m/>
    <m/>
    <m/>
    <m/>
    <m/>
    <m/>
    <m/>
    <m/>
    <m/>
    <m/>
    <m/>
    <m/>
    <m/>
    <n v="0"/>
    <n v="0"/>
    <n v="0"/>
    <n v="0"/>
    <n v="0"/>
    <n v="0"/>
    <n v="0"/>
    <n v="0"/>
    <n v="0"/>
    <n v="0"/>
    <n v="0"/>
    <n v="0"/>
    <n v="0"/>
    <n v="0"/>
    <n v="0"/>
    <n v="0"/>
    <n v="0"/>
    <n v="0"/>
    <s v="MMR001CMP052"/>
    <x v="0"/>
    <x v="0"/>
    <s v="P4"/>
    <n v="0"/>
    <m/>
  </r>
  <r>
    <n v="63.166666666666664"/>
    <d v="2012-02-22T00:00:00"/>
    <x v="1"/>
    <s v="Solidarities"/>
    <s v="Kachin"/>
    <s v="Bhamo"/>
    <s v="Chan Myae monastery"/>
    <n v="23"/>
    <m/>
    <m/>
    <m/>
    <m/>
    <m/>
    <m/>
    <m/>
    <m/>
    <m/>
    <m/>
    <m/>
    <m/>
    <m/>
    <m/>
    <m/>
    <m/>
    <n v="0"/>
    <n v="0"/>
    <n v="0"/>
    <n v="0"/>
    <n v="0"/>
    <n v="0"/>
    <n v="0"/>
    <n v="0"/>
    <n v="0"/>
    <n v="0"/>
    <n v="0"/>
    <n v="0"/>
    <n v="0"/>
    <n v="0"/>
    <n v="0"/>
    <n v="0"/>
    <n v="0"/>
    <n v="0"/>
    <s v=""/>
    <x v="1"/>
    <x v="2"/>
    <s v=""/>
    <s v=""/>
    <m/>
  </r>
  <r>
    <n v="63.166666666666664"/>
    <d v="2012-02-22T00:00:00"/>
    <x v="0"/>
    <s v="Shalom"/>
    <s v="Kachin"/>
    <s v="Momauk"/>
    <s v="Ni Thaw Ka Monestry"/>
    <n v="149"/>
    <m/>
    <m/>
    <m/>
    <m/>
    <m/>
    <m/>
    <m/>
    <m/>
    <m/>
    <m/>
    <m/>
    <m/>
    <m/>
    <m/>
    <m/>
    <m/>
    <n v="0"/>
    <n v="0"/>
    <n v="0"/>
    <n v="0"/>
    <n v="0"/>
    <n v="0"/>
    <n v="0"/>
    <n v="0"/>
    <n v="0"/>
    <n v="0"/>
    <n v="0"/>
    <n v="0"/>
    <n v="0"/>
    <n v="0"/>
    <n v="0"/>
    <n v="0"/>
    <n v="0"/>
    <n v="0"/>
    <s v="MMR001CMP059"/>
    <x v="0"/>
    <x v="1"/>
    <s v="P4"/>
    <n v="0"/>
    <m/>
  </r>
  <r>
    <n v="63.166666666666664"/>
    <d v="2012-02-22T00:00:00"/>
    <x v="1"/>
    <s v="Solidarities"/>
    <s v="Kachin"/>
    <s v="Momauk"/>
    <s v="Ni Thaw Ka Monestry"/>
    <n v="149"/>
    <m/>
    <m/>
    <m/>
    <m/>
    <m/>
    <m/>
    <m/>
    <m/>
    <m/>
    <m/>
    <m/>
    <m/>
    <m/>
    <m/>
    <m/>
    <m/>
    <n v="0"/>
    <n v="0"/>
    <n v="0"/>
    <n v="0"/>
    <n v="0"/>
    <n v="0"/>
    <n v="0"/>
    <n v="0"/>
    <n v="0"/>
    <n v="0"/>
    <n v="0"/>
    <n v="0"/>
    <n v="0"/>
    <n v="0"/>
    <n v="0"/>
    <n v="0"/>
    <n v="0"/>
    <n v="0"/>
    <s v="MMR001CMP059"/>
    <x v="0"/>
    <x v="1"/>
    <s v="P4"/>
    <n v="0"/>
    <m/>
  </r>
  <r>
    <n v="63.133333333333333"/>
    <d v="2012-02-23T00:00:00"/>
    <x v="1"/>
    <s v="Solidarities"/>
    <s v="Kachin"/>
    <s v="Momauk"/>
    <s v="Loi Je Baptist Church"/>
    <n v="172"/>
    <m/>
    <m/>
    <m/>
    <m/>
    <m/>
    <m/>
    <m/>
    <m/>
    <m/>
    <m/>
    <m/>
    <m/>
    <m/>
    <m/>
    <m/>
    <m/>
    <n v="0"/>
    <n v="0"/>
    <n v="0"/>
    <n v="0"/>
    <n v="0"/>
    <n v="0"/>
    <n v="0"/>
    <n v="0"/>
    <n v="0"/>
    <n v="0"/>
    <n v="0"/>
    <n v="0"/>
    <n v="0"/>
    <n v="0"/>
    <n v="0"/>
    <n v="0"/>
    <n v="0"/>
    <n v="0"/>
    <s v="MMR001CMP071"/>
    <x v="0"/>
    <x v="0"/>
    <s v="P3"/>
    <n v="0"/>
    <m/>
  </r>
  <r>
    <n v="63.133333333333333"/>
    <d v="2012-02-23T00:00:00"/>
    <x v="1"/>
    <s v="Solidarities"/>
    <s v="Kachin"/>
    <s v="Momauk"/>
    <s v="Loi Je Catholic Church"/>
    <n v="227"/>
    <m/>
    <m/>
    <m/>
    <m/>
    <m/>
    <m/>
    <m/>
    <m/>
    <m/>
    <m/>
    <m/>
    <m/>
    <m/>
    <m/>
    <m/>
    <m/>
    <n v="0"/>
    <n v="0"/>
    <n v="0"/>
    <n v="0"/>
    <n v="0"/>
    <n v="0"/>
    <n v="0"/>
    <n v="0"/>
    <n v="0"/>
    <n v="0"/>
    <n v="0"/>
    <n v="0"/>
    <n v="0"/>
    <n v="0"/>
    <n v="0"/>
    <n v="0"/>
    <n v="0"/>
    <n v="0"/>
    <s v="MMR001CMP069"/>
    <x v="0"/>
    <x v="0"/>
    <s v="P3"/>
    <n v="0"/>
    <m/>
  </r>
  <r>
    <n v="63.033333333333331"/>
    <d v="2012-02-26T00:00:00"/>
    <x v="0"/>
    <s v="UNHCR"/>
    <s v="Kachin"/>
    <s v="Myitkyina"/>
    <s v="Pamati Kayan"/>
    <m/>
    <m/>
    <m/>
    <n v="25"/>
    <n v="18"/>
    <n v="25"/>
    <n v="18"/>
    <n v="18"/>
    <n v="18"/>
    <n v="18"/>
    <m/>
    <m/>
    <m/>
    <m/>
    <m/>
    <m/>
    <m/>
    <n v="0"/>
    <n v="0"/>
    <n v="0"/>
    <n v="0"/>
    <n v="0"/>
    <n v="0"/>
    <n v="0"/>
    <n v="0"/>
    <n v="0"/>
    <n v="0"/>
    <n v="0"/>
    <n v="0"/>
    <n v="0"/>
    <n v="0"/>
    <n v="0"/>
    <n v="0"/>
    <n v="0"/>
    <n v="0"/>
    <s v=""/>
    <x v="1"/>
    <x v="2"/>
    <s v=""/>
    <s v=""/>
    <s v="No"/>
  </r>
  <r>
    <n v="63.033333333333331"/>
    <d v="2012-02-26T00:00:00"/>
    <x v="0"/>
    <s v="SC&amp;L Group"/>
    <s v="Kachin"/>
    <s v="Myitkyina"/>
    <s v="Pan Ma Tee"/>
    <m/>
    <m/>
    <m/>
    <n v="25"/>
    <n v="0"/>
    <n v="25"/>
    <n v="0"/>
    <n v="10"/>
    <n v="10"/>
    <n v="10"/>
    <m/>
    <m/>
    <m/>
    <m/>
    <m/>
    <m/>
    <m/>
    <n v="0"/>
    <n v="0"/>
    <n v="0"/>
    <n v="0"/>
    <n v="0"/>
    <n v="0"/>
    <n v="0"/>
    <n v="0"/>
    <n v="0"/>
    <n v="0"/>
    <n v="0"/>
    <n v="0"/>
    <n v="0"/>
    <n v="0"/>
    <n v="0"/>
    <n v="0"/>
    <n v="0"/>
    <n v="0"/>
    <s v=""/>
    <x v="1"/>
    <x v="2"/>
    <s v=""/>
    <s v=""/>
    <s v="No"/>
  </r>
  <r>
    <n v="63"/>
    <d v="2012-02-27T00:00:00"/>
    <x v="0"/>
    <s v="SC&amp;L Group"/>
    <s v="Kachin"/>
    <s v="Myitkyina"/>
    <s v="Wun Tho Buddhist Monastery"/>
    <m/>
    <m/>
    <m/>
    <n v="34"/>
    <n v="0"/>
    <n v="34"/>
    <n v="0"/>
    <n v="34"/>
    <n v="34"/>
    <n v="34"/>
    <m/>
    <m/>
    <m/>
    <m/>
    <m/>
    <m/>
    <m/>
    <n v="0"/>
    <n v="0"/>
    <n v="0"/>
    <n v="0"/>
    <n v="0"/>
    <n v="0"/>
    <n v="0"/>
    <n v="0"/>
    <n v="0"/>
    <n v="0"/>
    <n v="0"/>
    <n v="0"/>
    <n v="0"/>
    <n v="0"/>
    <n v="0"/>
    <n v="0"/>
    <n v="0"/>
    <n v="0"/>
    <s v="MMR001CMP022"/>
    <x v="0"/>
    <x v="0"/>
    <s v="P4"/>
    <n v="0"/>
    <s v="No"/>
  </r>
  <r>
    <n v="62.7"/>
    <d v="2012-03-07T00:00:00"/>
    <x v="0"/>
    <s v="UNHCR"/>
    <s v="Kachin"/>
    <s v="Waingmaw"/>
    <s v="Qtr. 2 Lhaovo Baptist Church"/>
    <m/>
    <m/>
    <m/>
    <n v="12"/>
    <n v="8"/>
    <n v="12"/>
    <n v="8"/>
    <n v="8"/>
    <n v="8"/>
    <n v="8"/>
    <m/>
    <m/>
    <m/>
    <m/>
    <m/>
    <m/>
    <m/>
    <n v="0"/>
    <n v="0"/>
    <n v="0"/>
    <n v="0"/>
    <n v="0"/>
    <n v="0"/>
    <n v="0"/>
    <n v="0"/>
    <n v="0"/>
    <n v="0"/>
    <n v="0"/>
    <n v="0"/>
    <n v="0"/>
    <n v="0"/>
    <n v="0"/>
    <n v="0"/>
    <n v="0"/>
    <n v="0"/>
    <s v="MMR001CMP032"/>
    <x v="0"/>
    <x v="0"/>
    <s v="P4"/>
    <n v="1.9643953345610803E-4"/>
    <s v="No"/>
  </r>
  <r>
    <n v="62.7"/>
    <d v="2012-03-07T00:00:00"/>
    <x v="0"/>
    <s v="UNHCR"/>
    <s v="Kachin"/>
    <s v="Waingmaw"/>
    <s v="Thargaya Lisu Baptist Church"/>
    <m/>
    <m/>
    <m/>
    <n v="38"/>
    <n v="18"/>
    <n v="38"/>
    <n v="17"/>
    <n v="18"/>
    <n v="18"/>
    <n v="18"/>
    <m/>
    <m/>
    <m/>
    <m/>
    <m/>
    <m/>
    <m/>
    <n v="0"/>
    <n v="0"/>
    <n v="0"/>
    <n v="0"/>
    <n v="0"/>
    <n v="0"/>
    <n v="0"/>
    <n v="0"/>
    <n v="0"/>
    <n v="0"/>
    <n v="0"/>
    <n v="0"/>
    <n v="0"/>
    <n v="0"/>
    <n v="0"/>
    <n v="0"/>
    <n v="0"/>
    <n v="0"/>
    <s v="MMR001CMP037"/>
    <x v="0"/>
    <x v="0"/>
    <s v="P4"/>
    <n v="4.1617704661182925E-4"/>
    <s v="No"/>
  </r>
  <r>
    <n v="62.6"/>
    <d v="2012-03-10T00:00:00"/>
    <x v="1"/>
    <m/>
    <s v="Kachin"/>
    <s v="Momauk"/>
    <s v="Tarli "/>
    <n v="36"/>
    <m/>
    <m/>
    <m/>
    <m/>
    <m/>
    <m/>
    <m/>
    <m/>
    <m/>
    <m/>
    <m/>
    <m/>
    <m/>
    <m/>
    <m/>
    <m/>
    <n v="0"/>
    <n v="0"/>
    <n v="0"/>
    <n v="0"/>
    <n v="0"/>
    <n v="0"/>
    <n v="0"/>
    <n v="0"/>
    <n v="0"/>
    <n v="0"/>
    <n v="0"/>
    <n v="0"/>
    <n v="0"/>
    <n v="0"/>
    <n v="0"/>
    <n v="0"/>
    <n v="0"/>
    <n v="0"/>
    <s v="MMR001CMP060"/>
    <x v="0"/>
    <x v="0"/>
    <s v="P4"/>
    <s v=""/>
    <m/>
  </r>
  <r>
    <n v="62.466666666666669"/>
    <d v="2012-03-14T00:00:00"/>
    <x v="1"/>
    <s v="Solidarities"/>
    <s v="Kachin"/>
    <s v="Bhamo"/>
    <s v="Robert Church"/>
    <n v="2188"/>
    <m/>
    <m/>
    <m/>
    <m/>
    <m/>
    <m/>
    <m/>
    <m/>
    <m/>
    <m/>
    <m/>
    <m/>
    <m/>
    <m/>
    <m/>
    <m/>
    <n v="0"/>
    <n v="0"/>
    <n v="0"/>
    <n v="0"/>
    <n v="0"/>
    <n v="0"/>
    <n v="0"/>
    <n v="0"/>
    <n v="0"/>
    <n v="0"/>
    <n v="0"/>
    <n v="0"/>
    <n v="0"/>
    <n v="0"/>
    <n v="0"/>
    <n v="0"/>
    <n v="0"/>
    <n v="0"/>
    <s v="MMR001CMP047"/>
    <x v="0"/>
    <x v="0"/>
    <s v="P4"/>
    <n v="0"/>
    <m/>
  </r>
  <r>
    <n v="62.4"/>
    <d v="2012-03-16T00:00:00"/>
    <x v="1"/>
    <s v="LDO"/>
    <s v="Kachin"/>
    <s v="Shwegu"/>
    <s v="Shwe Gu Baptist Church"/>
    <n v="94"/>
    <m/>
    <m/>
    <m/>
    <m/>
    <m/>
    <m/>
    <m/>
    <m/>
    <m/>
    <m/>
    <m/>
    <m/>
    <m/>
    <m/>
    <m/>
    <m/>
    <n v="0"/>
    <n v="0"/>
    <n v="0"/>
    <n v="0"/>
    <n v="0"/>
    <n v="0"/>
    <n v="0"/>
    <n v="0"/>
    <n v="0"/>
    <n v="0"/>
    <n v="0"/>
    <n v="0"/>
    <n v="0"/>
    <n v="0"/>
    <n v="0"/>
    <n v="0"/>
    <n v="0"/>
    <n v="0"/>
    <s v="MMR001CMP067"/>
    <x v="0"/>
    <x v="0"/>
    <s v="P4"/>
    <n v="0"/>
    <m/>
  </r>
  <r>
    <n v="62.4"/>
    <d v="2012-03-16T00:00:00"/>
    <x v="1"/>
    <s v="LDO"/>
    <s v="Kachin"/>
    <s v="Shwegu"/>
    <s v="Shwe Gu Catholic Church"/>
    <n v="49"/>
    <m/>
    <m/>
    <m/>
    <m/>
    <m/>
    <m/>
    <m/>
    <m/>
    <m/>
    <m/>
    <m/>
    <m/>
    <m/>
    <m/>
    <m/>
    <m/>
    <n v="0"/>
    <n v="0"/>
    <n v="0"/>
    <n v="0"/>
    <n v="0"/>
    <n v="0"/>
    <n v="0"/>
    <n v="0"/>
    <n v="0"/>
    <n v="0"/>
    <n v="0"/>
    <n v="0"/>
    <n v="0"/>
    <n v="0"/>
    <n v="0"/>
    <n v="0"/>
    <n v="0"/>
    <n v="0"/>
    <s v="MMR001CMP068"/>
    <x v="0"/>
    <x v="0"/>
    <s v="P4"/>
    <n v="0"/>
    <m/>
  </r>
  <r>
    <n v="62.333333333333336"/>
    <d v="2012-03-18T00:00:00"/>
    <x v="1"/>
    <s v="Solidarities"/>
    <s v="Kachin"/>
    <s v="Momauk"/>
    <s v="Khun Sint Village"/>
    <n v="850"/>
    <m/>
    <m/>
    <m/>
    <m/>
    <m/>
    <m/>
    <m/>
    <m/>
    <m/>
    <m/>
    <m/>
    <m/>
    <m/>
    <m/>
    <m/>
    <m/>
    <n v="0"/>
    <n v="0"/>
    <n v="0"/>
    <n v="0"/>
    <n v="0"/>
    <n v="0"/>
    <n v="0"/>
    <n v="0"/>
    <n v="0"/>
    <n v="0"/>
    <n v="0"/>
    <n v="0"/>
    <n v="0"/>
    <n v="0"/>
    <n v="0"/>
    <n v="0"/>
    <n v="0"/>
    <n v="0"/>
    <s v="MMR001CMP200"/>
    <x v="0"/>
    <x v="0"/>
    <s v="P4"/>
    <s v=""/>
    <m/>
  </r>
  <r>
    <n v="62.06666666666667"/>
    <d v="2012-03-26T00:00:00"/>
    <x v="0"/>
    <s v="UNHCR"/>
    <s v="Kachin"/>
    <s v="Waingmaw"/>
    <s v="Border Post 8"/>
    <m/>
    <m/>
    <m/>
    <n v="460"/>
    <n v="250"/>
    <n v="460"/>
    <n v="230"/>
    <n v="0"/>
    <m/>
    <m/>
    <m/>
    <m/>
    <m/>
    <m/>
    <m/>
    <m/>
    <m/>
    <n v="0"/>
    <n v="0"/>
    <n v="0"/>
    <n v="0"/>
    <n v="0"/>
    <n v="0"/>
    <n v="0"/>
    <n v="0"/>
    <n v="0"/>
    <n v="0"/>
    <n v="0"/>
    <n v="0"/>
    <n v="0"/>
    <n v="0"/>
    <n v="0"/>
    <n v="0"/>
    <n v="0"/>
    <n v="0"/>
    <s v="MMR001CMP113"/>
    <x v="0"/>
    <x v="0"/>
    <s v="P1"/>
    <n v="5.6306306306306304E-3"/>
    <s v="No"/>
  </r>
  <r>
    <n v="62.06666666666667"/>
    <d v="2012-03-26T00:00:00"/>
    <x v="0"/>
    <s v="UNHCR"/>
    <s v="Kachin"/>
    <s v="Momauk"/>
    <s v="Momauk Catholic Church (St. Patrick)"/>
    <m/>
    <m/>
    <m/>
    <n v="49"/>
    <n v="49"/>
    <n v="0"/>
    <n v="0"/>
    <n v="49"/>
    <n v="49"/>
    <n v="49"/>
    <m/>
    <m/>
    <m/>
    <m/>
    <m/>
    <m/>
    <m/>
    <n v="0"/>
    <n v="0"/>
    <n v="0"/>
    <n v="0"/>
    <n v="0"/>
    <n v="0"/>
    <n v="0"/>
    <n v="0"/>
    <n v="0"/>
    <n v="0"/>
    <n v="0"/>
    <n v="0"/>
    <n v="0"/>
    <n v="0"/>
    <n v="0"/>
    <n v="0"/>
    <n v="0"/>
    <n v="0"/>
    <s v="MMR001CMP057"/>
    <x v="0"/>
    <x v="1"/>
    <s v="P4"/>
    <n v="0"/>
    <s v="No"/>
  </r>
  <r>
    <n v="62.033333333333331"/>
    <d v="2012-03-27T00:00:00"/>
    <x v="0"/>
    <s v="UNHCR"/>
    <s v="Kachin"/>
    <s v="Bhamo"/>
    <s v="AD-2000 Tharthana Compound"/>
    <m/>
    <m/>
    <m/>
    <n v="560"/>
    <n v="280"/>
    <n v="560"/>
    <n v="280"/>
    <n v="280"/>
    <n v="280"/>
    <n v="280"/>
    <m/>
    <m/>
    <m/>
    <m/>
    <m/>
    <m/>
    <m/>
    <n v="0"/>
    <n v="0"/>
    <n v="0"/>
    <n v="0"/>
    <n v="0"/>
    <n v="0"/>
    <n v="0"/>
    <n v="0"/>
    <n v="0"/>
    <n v="0"/>
    <n v="0"/>
    <n v="0"/>
    <n v="0"/>
    <n v="0"/>
    <n v="0"/>
    <n v="0"/>
    <n v="0"/>
    <n v="0"/>
    <s v="MMR001CMP050"/>
    <x v="0"/>
    <x v="0"/>
    <s v="P4"/>
    <n v="6.8546807677242463E-3"/>
    <s v="No"/>
  </r>
  <r>
    <n v="62.033333333333331"/>
    <d v="2012-03-27T00:00:00"/>
    <x v="0"/>
    <s v="UNHCR"/>
    <s v="Kachin"/>
    <s v="Waingmaw"/>
    <s v="Border Post 8"/>
    <m/>
    <m/>
    <m/>
    <n v="460"/>
    <n v="228"/>
    <n v="460"/>
    <n v="228"/>
    <n v="228"/>
    <n v="228"/>
    <n v="228"/>
    <m/>
    <m/>
    <m/>
    <m/>
    <m/>
    <m/>
    <m/>
    <n v="0"/>
    <n v="0"/>
    <n v="0"/>
    <n v="0"/>
    <n v="0"/>
    <n v="0"/>
    <n v="0"/>
    <n v="0"/>
    <n v="0"/>
    <n v="0"/>
    <n v="0"/>
    <n v="0"/>
    <n v="0"/>
    <n v="0"/>
    <n v="0"/>
    <n v="0"/>
    <n v="0"/>
    <n v="0"/>
    <s v="MMR001CMP113"/>
    <x v="0"/>
    <x v="0"/>
    <s v="P1"/>
    <n v="5.5816686251468862E-3"/>
    <s v="No"/>
  </r>
  <r>
    <n v="62.033333333333331"/>
    <d v="2012-03-27T00:00:00"/>
    <x v="0"/>
    <s v="UNHCR"/>
    <s v="Kachin"/>
    <s v="Waingmaw"/>
    <s v="Post 6 Camp"/>
    <m/>
    <m/>
    <m/>
    <n v="0"/>
    <n v="40"/>
    <n v="0"/>
    <n v="0"/>
    <n v="0"/>
    <m/>
    <m/>
    <m/>
    <m/>
    <m/>
    <m/>
    <m/>
    <m/>
    <m/>
    <n v="0"/>
    <n v="0"/>
    <n v="0"/>
    <n v="0"/>
    <n v="0"/>
    <n v="0"/>
    <n v="0"/>
    <n v="0"/>
    <n v="0"/>
    <n v="0"/>
    <n v="0"/>
    <n v="0"/>
    <n v="0"/>
    <n v="0"/>
    <n v="0"/>
    <n v="0"/>
    <n v="0"/>
    <n v="0"/>
    <s v="MMR001CMP160"/>
    <x v="0"/>
    <x v="0"/>
    <s v="P1"/>
    <n v="0"/>
    <s v="No"/>
  </r>
  <r>
    <n v="62.033333333333331"/>
    <d v="2012-03-27T00:00:00"/>
    <x v="0"/>
    <s v="UNHCR"/>
    <s v="Kachin"/>
    <s v="Bhamo"/>
    <s v="Robert Church"/>
    <m/>
    <m/>
    <m/>
    <n v="1000"/>
    <n v="500"/>
    <n v="1000"/>
    <n v="500"/>
    <n v="500"/>
    <n v="500"/>
    <n v="500"/>
    <m/>
    <m/>
    <m/>
    <m/>
    <m/>
    <m/>
    <m/>
    <n v="0"/>
    <n v="0"/>
    <n v="0"/>
    <n v="0"/>
    <n v="0"/>
    <n v="0"/>
    <n v="0"/>
    <n v="0"/>
    <n v="0"/>
    <n v="0"/>
    <n v="0"/>
    <n v="0"/>
    <n v="0"/>
    <n v="0"/>
    <n v="0"/>
    <n v="0"/>
    <n v="0"/>
    <n v="0"/>
    <s v="MMR001CMP047"/>
    <x v="0"/>
    <x v="0"/>
    <s v="P4"/>
    <n v="1.2277470841006752E-2"/>
    <s v="No"/>
  </r>
  <r>
    <n v="62.033333333333331"/>
    <d v="2012-03-27T00:00:00"/>
    <x v="0"/>
    <s v="UNHCR"/>
    <s v="Kachin"/>
    <s v="Momauk"/>
    <s v="Mai Ja Yang Gat Pa "/>
    <m/>
    <m/>
    <m/>
    <n v="52"/>
    <n v="52"/>
    <n v="0"/>
    <n v="0"/>
    <n v="0"/>
    <m/>
    <m/>
    <m/>
    <m/>
    <m/>
    <m/>
    <m/>
    <m/>
    <m/>
    <n v="0"/>
    <n v="0"/>
    <n v="0"/>
    <n v="0"/>
    <n v="0"/>
    <n v="0"/>
    <n v="0"/>
    <n v="0"/>
    <n v="0"/>
    <n v="0"/>
    <n v="0"/>
    <n v="0"/>
    <n v="0"/>
    <n v="0"/>
    <n v="0"/>
    <n v="0"/>
    <n v="0"/>
    <n v="0"/>
    <s v=""/>
    <x v="1"/>
    <x v="2"/>
    <s v=""/>
    <s v=""/>
    <s v="No"/>
  </r>
  <r>
    <n v="62"/>
    <d v="2012-03-28T00:00:00"/>
    <x v="0"/>
    <s v="UNHCR"/>
    <s v="Kachin"/>
    <s v="Momauk"/>
    <s v="Mai Ja Yang Ung Lung "/>
    <m/>
    <m/>
    <m/>
    <n v="217"/>
    <n v="217"/>
    <n v="0"/>
    <n v="0"/>
    <n v="0"/>
    <m/>
    <m/>
    <m/>
    <m/>
    <m/>
    <m/>
    <m/>
    <m/>
    <m/>
    <n v="0"/>
    <n v="0"/>
    <n v="0"/>
    <n v="0"/>
    <n v="0"/>
    <n v="0"/>
    <n v="0"/>
    <n v="0"/>
    <n v="0"/>
    <n v="0"/>
    <n v="0"/>
    <n v="0"/>
    <n v="0"/>
    <n v="0"/>
    <n v="0"/>
    <n v="0"/>
    <n v="0"/>
    <n v="0"/>
    <s v=""/>
    <x v="1"/>
    <x v="2"/>
    <s v=""/>
    <s v=""/>
    <s v="No"/>
  </r>
  <r>
    <n v="61.966666666666669"/>
    <d v="2012-03-29T00:00:00"/>
    <x v="0"/>
    <s v="UNHCR"/>
    <s v="Kachin"/>
    <s v="Mansi"/>
    <s v="Bum Tsit Pa "/>
    <m/>
    <m/>
    <m/>
    <n v="66"/>
    <n v="66"/>
    <n v="0"/>
    <n v="0"/>
    <n v="0"/>
    <m/>
    <m/>
    <m/>
    <m/>
    <m/>
    <m/>
    <m/>
    <m/>
    <m/>
    <n v="0"/>
    <n v="0"/>
    <n v="0"/>
    <n v="0"/>
    <n v="0"/>
    <n v="0"/>
    <n v="0"/>
    <n v="0"/>
    <n v="0"/>
    <n v="0"/>
    <n v="0"/>
    <n v="0"/>
    <n v="0"/>
    <n v="0"/>
    <n v="0"/>
    <n v="0"/>
    <n v="0"/>
    <n v="0"/>
    <s v="MMR001CMP129"/>
    <x v="0"/>
    <x v="0"/>
    <s v="P2"/>
    <n v="0"/>
    <s v="No"/>
  </r>
  <r>
    <n v="61.966666666666669"/>
    <d v="2012-03-29T00:00:00"/>
    <x v="0"/>
    <s v="UNHCR"/>
    <s v="Kachin"/>
    <s v="Momauk"/>
    <s v="Pa Kahtawng "/>
    <m/>
    <m/>
    <m/>
    <n v="0"/>
    <n v="50"/>
    <n v="0"/>
    <n v="0"/>
    <n v="0"/>
    <m/>
    <m/>
    <m/>
    <m/>
    <m/>
    <m/>
    <m/>
    <m/>
    <m/>
    <n v="0"/>
    <n v="0"/>
    <n v="0"/>
    <n v="0"/>
    <n v="0"/>
    <n v="0"/>
    <n v="0"/>
    <n v="0"/>
    <n v="0"/>
    <n v="0"/>
    <n v="0"/>
    <n v="0"/>
    <n v="0"/>
    <n v="0"/>
    <n v="0"/>
    <n v="0"/>
    <n v="0"/>
    <n v="0"/>
    <s v="MMR001CMP126"/>
    <x v="0"/>
    <x v="0"/>
    <s v="P2"/>
    <n v="0"/>
    <s v="No"/>
  </r>
  <r>
    <n v="61.966666666666669"/>
    <d v="2012-03-29T00:00:00"/>
    <x v="0"/>
    <s v="UNHCR"/>
    <s v="Kachin"/>
    <s v="Momauk"/>
    <s v="Seng Ja "/>
    <m/>
    <m/>
    <m/>
    <n v="66"/>
    <n v="66"/>
    <n v="0"/>
    <n v="0"/>
    <n v="0"/>
    <m/>
    <m/>
    <m/>
    <m/>
    <m/>
    <m/>
    <m/>
    <m/>
    <m/>
    <n v="0"/>
    <n v="0"/>
    <n v="0"/>
    <n v="0"/>
    <n v="0"/>
    <n v="0"/>
    <n v="0"/>
    <n v="0"/>
    <n v="0"/>
    <n v="0"/>
    <n v="0"/>
    <n v="0"/>
    <n v="0"/>
    <n v="0"/>
    <n v="0"/>
    <n v="0"/>
    <n v="0"/>
    <n v="0"/>
    <s v="MMR001CMP073"/>
    <x v="0"/>
    <x v="0"/>
    <s v="P3"/>
    <n v="0"/>
    <s v="No"/>
  </r>
  <r>
    <n v="61.8"/>
    <d v="2012-04-03T00:00:00"/>
    <x v="0"/>
    <s v="UNHCR"/>
    <s v="Kachin"/>
    <s v="Mansi"/>
    <s v="Lana Zup Ja "/>
    <m/>
    <m/>
    <m/>
    <n v="510"/>
    <n v="0"/>
    <n v="510"/>
    <n v="255"/>
    <n v="255"/>
    <n v="255"/>
    <n v="255"/>
    <m/>
    <m/>
    <m/>
    <m/>
    <m/>
    <m/>
    <m/>
    <n v="0"/>
    <n v="0"/>
    <n v="0"/>
    <n v="0"/>
    <n v="0"/>
    <n v="0"/>
    <n v="0"/>
    <n v="0"/>
    <n v="0"/>
    <n v="0"/>
    <n v="0"/>
    <n v="0"/>
    <n v="0"/>
    <n v="0"/>
    <n v="0"/>
    <n v="0"/>
    <n v="0"/>
    <n v="0"/>
    <s v="MMR001CMP128"/>
    <x v="0"/>
    <x v="0"/>
    <s v="P2"/>
    <n v="6.2473969179508539E-3"/>
    <s v="No"/>
  </r>
  <r>
    <n v="61.766666666666666"/>
    <d v="2012-04-04T00:00:00"/>
    <x v="0"/>
    <s v="UNHCR"/>
    <s v="Kachin"/>
    <s v="Mansi"/>
    <s v="Bum Tsit Pa "/>
    <m/>
    <m/>
    <m/>
    <n v="216"/>
    <n v="108"/>
    <n v="216"/>
    <n v="108"/>
    <n v="108"/>
    <n v="108"/>
    <n v="108"/>
    <m/>
    <m/>
    <m/>
    <m/>
    <m/>
    <m/>
    <m/>
    <n v="0"/>
    <n v="0"/>
    <n v="0"/>
    <n v="0"/>
    <n v="0"/>
    <n v="0"/>
    <n v="0"/>
    <n v="0"/>
    <n v="0"/>
    <n v="0"/>
    <n v="0"/>
    <n v="0"/>
    <n v="0"/>
    <n v="0"/>
    <n v="0"/>
    <n v="0"/>
    <n v="0"/>
    <n v="0"/>
    <s v="MMR001CMP129"/>
    <x v="0"/>
    <x v="0"/>
    <s v="P2"/>
    <n v="2.6459563417203617E-3"/>
    <s v="No"/>
  </r>
  <r>
    <n v="61.733333333333334"/>
    <d v="2012-04-05T00:00:00"/>
    <x v="0"/>
    <s v="UNHCR"/>
    <s v="Kachin"/>
    <s v="Momauk"/>
    <s v="Momauk Catholic Church (St. Patrick)"/>
    <m/>
    <m/>
    <m/>
    <n v="0"/>
    <n v="50"/>
    <n v="0"/>
    <n v="0"/>
    <n v="0"/>
    <m/>
    <m/>
    <m/>
    <m/>
    <m/>
    <m/>
    <m/>
    <m/>
    <m/>
    <n v="0"/>
    <n v="0"/>
    <n v="0"/>
    <n v="0"/>
    <n v="0"/>
    <n v="0"/>
    <n v="0"/>
    <n v="0"/>
    <n v="0"/>
    <n v="0"/>
    <n v="0"/>
    <n v="0"/>
    <n v="0"/>
    <n v="0"/>
    <n v="0"/>
    <n v="0"/>
    <n v="0"/>
    <n v="0"/>
    <s v="MMR001CMP057"/>
    <x v="0"/>
    <x v="1"/>
    <s v="P4"/>
    <n v="0"/>
    <s v="No"/>
  </r>
  <r>
    <n v="61.633333333333333"/>
    <d v="2012-04-08T00:00:00"/>
    <x v="1"/>
    <m/>
    <s v="Kachin"/>
    <s v="Bhamo"/>
    <s v="AD-2000 Tharthana Compound"/>
    <n v="302"/>
    <m/>
    <m/>
    <m/>
    <m/>
    <m/>
    <m/>
    <m/>
    <m/>
    <m/>
    <m/>
    <m/>
    <m/>
    <m/>
    <m/>
    <m/>
    <m/>
    <n v="0"/>
    <n v="0"/>
    <n v="0"/>
    <n v="0"/>
    <n v="0"/>
    <n v="0"/>
    <n v="0"/>
    <n v="0"/>
    <n v="0"/>
    <n v="0"/>
    <n v="0"/>
    <n v="0"/>
    <n v="0"/>
    <n v="0"/>
    <n v="0"/>
    <n v="0"/>
    <n v="0"/>
    <n v="0"/>
    <s v="MMR001CMP050"/>
    <x v="0"/>
    <x v="0"/>
    <s v="P4"/>
    <n v="0"/>
    <m/>
  </r>
  <r>
    <n v="61.56666666666667"/>
    <d v="2012-04-10T00:00:00"/>
    <x v="0"/>
    <s v="KBSS"/>
    <s v="Kachin"/>
    <s v="Shwegu"/>
    <s v="Shwe Gu Baptist Church"/>
    <m/>
    <m/>
    <m/>
    <n v="46"/>
    <n v="27"/>
    <n v="46"/>
    <n v="27"/>
    <n v="27"/>
    <n v="27"/>
    <n v="27"/>
    <m/>
    <m/>
    <m/>
    <m/>
    <m/>
    <m/>
    <m/>
    <n v="0"/>
    <n v="0"/>
    <n v="0"/>
    <n v="0"/>
    <n v="0"/>
    <n v="0"/>
    <n v="0"/>
    <n v="0"/>
    <n v="0"/>
    <n v="0"/>
    <n v="0"/>
    <n v="0"/>
    <n v="0"/>
    <n v="0"/>
    <n v="0"/>
    <n v="0"/>
    <n v="0"/>
    <n v="0"/>
    <s v="MMR001CMP067"/>
    <x v="0"/>
    <x v="0"/>
    <s v="P4"/>
    <n v="6.6298342541436467E-4"/>
    <s v="No"/>
  </r>
  <r>
    <n v="61.56666666666667"/>
    <d v="2012-04-10T00:00:00"/>
    <x v="0"/>
    <s v="KBSS"/>
    <s v="Kachin"/>
    <s v="Shwegu"/>
    <s v="Shwe Gu Catholic Church"/>
    <m/>
    <m/>
    <m/>
    <n v="43"/>
    <n v="25"/>
    <n v="43"/>
    <n v="25"/>
    <n v="25"/>
    <n v="25"/>
    <n v="25"/>
    <m/>
    <m/>
    <m/>
    <m/>
    <m/>
    <m/>
    <m/>
    <n v="0"/>
    <n v="0"/>
    <n v="0"/>
    <n v="0"/>
    <n v="0"/>
    <n v="0"/>
    <n v="0"/>
    <n v="0"/>
    <n v="0"/>
    <n v="0"/>
    <n v="0"/>
    <n v="0"/>
    <n v="0"/>
    <n v="0"/>
    <n v="0"/>
    <n v="0"/>
    <n v="0"/>
    <n v="0"/>
    <s v="MMR001CMP068"/>
    <x v="0"/>
    <x v="0"/>
    <s v="P4"/>
    <n v="6.1387354205033758E-4"/>
    <s v="No"/>
  </r>
  <r>
    <n v="61.5"/>
    <d v="2012-04-12T00:00:00"/>
    <x v="0"/>
    <s v="UNHCR"/>
    <s v="Kachin"/>
    <s v="Waingmaw"/>
    <s v="Post 6 Camp"/>
    <m/>
    <m/>
    <m/>
    <n v="123"/>
    <n v="95"/>
    <n v="123"/>
    <n v="95"/>
    <n v="95"/>
    <n v="95"/>
    <n v="95"/>
    <m/>
    <m/>
    <m/>
    <m/>
    <m/>
    <m/>
    <m/>
    <n v="0"/>
    <n v="0"/>
    <n v="0"/>
    <n v="0"/>
    <n v="0"/>
    <n v="0"/>
    <n v="0"/>
    <n v="0"/>
    <n v="0"/>
    <n v="0"/>
    <n v="0"/>
    <n v="0"/>
    <n v="0"/>
    <n v="0"/>
    <n v="0"/>
    <n v="0"/>
    <n v="0"/>
    <n v="0"/>
    <s v="MMR001CMP160"/>
    <x v="0"/>
    <x v="0"/>
    <s v="P1"/>
    <n v="2.3256952604778693E-3"/>
    <s v="No"/>
  </r>
  <r>
    <n v="61.166666666666664"/>
    <d v="2012-04-22T00:00:00"/>
    <x v="0"/>
    <s v="UNHCR"/>
    <s v="Kachin"/>
    <s v="Momauk"/>
    <s v="Je Gau  (+ WaRaPa )"/>
    <m/>
    <m/>
    <m/>
    <n v="846"/>
    <n v="423"/>
    <n v="846"/>
    <n v="423"/>
    <n v="423"/>
    <n v="423"/>
    <n v="423"/>
    <m/>
    <m/>
    <m/>
    <m/>
    <m/>
    <m/>
    <m/>
    <n v="0"/>
    <n v="0"/>
    <n v="0"/>
    <n v="0"/>
    <n v="0"/>
    <n v="0"/>
    <n v="0"/>
    <n v="0"/>
    <n v="0"/>
    <n v="0"/>
    <n v="0"/>
    <n v="0"/>
    <n v="0"/>
    <n v="0"/>
    <n v="0"/>
    <n v="0"/>
    <n v="0"/>
    <n v="0"/>
    <s v=""/>
    <x v="1"/>
    <x v="2"/>
    <s v=""/>
    <s v=""/>
    <s v="No"/>
  </r>
  <r>
    <n v="61.06666666666667"/>
    <d v="2012-04-25T00:00:00"/>
    <x v="1"/>
    <m/>
    <s v="Kachin"/>
    <s v="Bhamo"/>
    <s v="AD-2000 Tharthana Compound"/>
    <n v="1173"/>
    <m/>
    <m/>
    <m/>
    <m/>
    <m/>
    <m/>
    <m/>
    <m/>
    <m/>
    <m/>
    <m/>
    <m/>
    <m/>
    <m/>
    <m/>
    <m/>
    <n v="0"/>
    <n v="0"/>
    <n v="0"/>
    <n v="0"/>
    <n v="0"/>
    <n v="0"/>
    <n v="0"/>
    <n v="0"/>
    <n v="0"/>
    <n v="0"/>
    <n v="0"/>
    <n v="0"/>
    <n v="0"/>
    <n v="0"/>
    <n v="0"/>
    <n v="0"/>
    <n v="0"/>
    <n v="0"/>
    <s v="MMR001CMP050"/>
    <x v="0"/>
    <x v="0"/>
    <s v="P4"/>
    <n v="0"/>
    <m/>
  </r>
  <r>
    <n v="61.06666666666667"/>
    <d v="2012-04-25T00:00:00"/>
    <x v="0"/>
    <s v="UNHCR"/>
    <s v="Kachin"/>
    <s v="Momauk"/>
    <s v="Dum Bung "/>
    <m/>
    <m/>
    <m/>
    <n v="198"/>
    <n v="99"/>
    <n v="198"/>
    <n v="99"/>
    <n v="99"/>
    <n v="99"/>
    <n v="99"/>
    <m/>
    <m/>
    <m/>
    <m/>
    <m/>
    <m/>
    <m/>
    <n v="0"/>
    <n v="0"/>
    <n v="0"/>
    <n v="0"/>
    <n v="0"/>
    <n v="0"/>
    <n v="0"/>
    <n v="0"/>
    <n v="0"/>
    <n v="0"/>
    <n v="0"/>
    <n v="0"/>
    <n v="0"/>
    <n v="0"/>
    <n v="0"/>
    <n v="0"/>
    <n v="0"/>
    <n v="0"/>
    <s v="MMR001CMP123"/>
    <x v="0"/>
    <x v="0"/>
    <s v="P2"/>
    <n v="2.429090195308666E-3"/>
    <s v="No"/>
  </r>
  <r>
    <n v="61.06666666666667"/>
    <d v="2012-04-25T00:00:00"/>
    <x v="0"/>
    <s v="UNHCR"/>
    <s v="Kachin"/>
    <s v="Myitkyina"/>
    <s v="Wun Tho Buddhist Monastery"/>
    <m/>
    <m/>
    <m/>
    <n v="39"/>
    <n v="19"/>
    <n v="78"/>
    <n v="19"/>
    <n v="0"/>
    <m/>
    <m/>
    <m/>
    <m/>
    <m/>
    <m/>
    <m/>
    <m/>
    <m/>
    <n v="0"/>
    <n v="0"/>
    <n v="0"/>
    <n v="0"/>
    <n v="0"/>
    <n v="0"/>
    <n v="0"/>
    <n v="0"/>
    <n v="0"/>
    <n v="0"/>
    <n v="0"/>
    <n v="0"/>
    <n v="0"/>
    <n v="0"/>
    <n v="0"/>
    <n v="0"/>
    <n v="0"/>
    <n v="0"/>
    <s v="MMR001CMP022"/>
    <x v="0"/>
    <x v="0"/>
    <s v="P4"/>
    <n v="4.6341463414634144E-4"/>
    <s v="No"/>
  </r>
  <r>
    <n v="60.866666666666667"/>
    <d v="2012-05-01T00:00:00"/>
    <x v="0"/>
    <s v="UNHCR"/>
    <s v="Kachin"/>
    <s v="Waingmaw"/>
    <s v="Qtr. 4 Monestry (Thargaya Thayett Taw)"/>
    <m/>
    <m/>
    <m/>
    <n v="52"/>
    <n v="0"/>
    <n v="52"/>
    <n v="0"/>
    <n v="24"/>
    <n v="24"/>
    <n v="24"/>
    <m/>
    <m/>
    <m/>
    <m/>
    <m/>
    <m/>
    <m/>
    <n v="0"/>
    <n v="0"/>
    <n v="0"/>
    <n v="0"/>
    <n v="0"/>
    <n v="0"/>
    <n v="0"/>
    <n v="0"/>
    <n v="0"/>
    <n v="0"/>
    <n v="0"/>
    <n v="0"/>
    <n v="0"/>
    <n v="0"/>
    <n v="0"/>
    <n v="0"/>
    <n v="0"/>
    <n v="0"/>
    <s v="MMR001CMP026"/>
    <x v="0"/>
    <x v="0"/>
    <s v="P4"/>
    <n v="0"/>
    <s v="No"/>
  </r>
  <r>
    <n v="60.8"/>
    <d v="2012-05-03T00:00:00"/>
    <x v="0"/>
    <s v="UNHCR"/>
    <s v="Kachin"/>
    <s v="Waingmaw"/>
    <s v="Maina AG Church"/>
    <m/>
    <m/>
    <m/>
    <n v="42"/>
    <n v="0"/>
    <n v="42"/>
    <n v="0"/>
    <n v="20"/>
    <n v="20"/>
    <n v="20"/>
    <m/>
    <m/>
    <m/>
    <m/>
    <m/>
    <m/>
    <m/>
    <n v="0"/>
    <n v="0"/>
    <n v="0"/>
    <n v="0"/>
    <n v="0"/>
    <n v="0"/>
    <n v="0"/>
    <n v="0"/>
    <n v="0"/>
    <n v="0"/>
    <n v="0"/>
    <n v="0"/>
    <n v="0"/>
    <n v="0"/>
    <n v="0"/>
    <n v="0"/>
    <n v="0"/>
    <n v="0"/>
    <s v="MMR001CMP031"/>
    <x v="0"/>
    <x v="0"/>
    <s v="P4"/>
    <n v="0"/>
    <s v="No"/>
  </r>
  <r>
    <n v="60.8"/>
    <d v="2012-05-03T00:00:00"/>
    <x v="0"/>
    <s v="UNHCR"/>
    <s v="Kachin"/>
    <s v="Waingmaw"/>
    <s v="Qtr. 3 Mu-yin  Baptist Church"/>
    <m/>
    <m/>
    <m/>
    <n v="12"/>
    <n v="0"/>
    <n v="12"/>
    <n v="6"/>
    <n v="6"/>
    <n v="6"/>
    <n v="6"/>
    <m/>
    <m/>
    <m/>
    <m/>
    <m/>
    <m/>
    <m/>
    <n v="0"/>
    <n v="0"/>
    <n v="0"/>
    <n v="0"/>
    <n v="0"/>
    <n v="0"/>
    <n v="0"/>
    <n v="0"/>
    <n v="0"/>
    <n v="0"/>
    <n v="0"/>
    <n v="0"/>
    <n v="0"/>
    <n v="0"/>
    <n v="0"/>
    <n v="0"/>
    <n v="0"/>
    <n v="0"/>
    <s v="MMR001CMP030"/>
    <x v="0"/>
    <x v="0"/>
    <s v="P4"/>
    <n v="1.474382602285293E-4"/>
    <s v="No"/>
  </r>
  <r>
    <n v="60.8"/>
    <d v="2012-05-03T00:00:00"/>
    <x v="0"/>
    <s v="UNHCR"/>
    <s v="Kachin"/>
    <s v="Waingmaw"/>
    <s v="Qtr. 4 Monestry (Thargaya Thayett Taw)"/>
    <m/>
    <m/>
    <m/>
    <n v="34"/>
    <n v="0"/>
    <n v="34"/>
    <n v="0"/>
    <n v="18"/>
    <n v="18"/>
    <n v="18"/>
    <m/>
    <m/>
    <m/>
    <m/>
    <m/>
    <m/>
    <m/>
    <n v="0"/>
    <n v="0"/>
    <n v="0"/>
    <n v="0"/>
    <n v="0"/>
    <n v="0"/>
    <n v="0"/>
    <n v="0"/>
    <n v="0"/>
    <n v="0"/>
    <n v="0"/>
    <n v="0"/>
    <n v="0"/>
    <n v="0"/>
    <n v="0"/>
    <n v="0"/>
    <n v="0"/>
    <n v="0"/>
    <s v="MMR001CMP026"/>
    <x v="0"/>
    <x v="0"/>
    <s v="P4"/>
    <n v="0"/>
    <s v="No"/>
  </r>
  <r>
    <n v="60.8"/>
    <d v="2012-05-03T00:00:00"/>
    <x v="0"/>
    <s v="UNHCR"/>
    <s v="Kachin"/>
    <s v="Myitkyina"/>
    <s v="Myay Myint Baptist Church"/>
    <m/>
    <m/>
    <m/>
    <n v="0"/>
    <n v="0"/>
    <n v="0"/>
    <n v="0"/>
    <n v="5"/>
    <n v="5"/>
    <n v="5"/>
    <m/>
    <m/>
    <m/>
    <m/>
    <m/>
    <m/>
    <m/>
    <n v="0"/>
    <n v="0"/>
    <n v="0"/>
    <n v="0"/>
    <n v="0"/>
    <n v="0"/>
    <n v="0"/>
    <n v="0"/>
    <n v="0"/>
    <n v="0"/>
    <n v="0"/>
    <n v="0"/>
    <n v="0"/>
    <n v="0"/>
    <n v="0"/>
    <n v="0"/>
    <n v="0"/>
    <n v="0"/>
    <s v="MMR001CMP017"/>
    <x v="0"/>
    <x v="1"/>
    <s v="P4"/>
    <n v="0"/>
    <s v="No"/>
  </r>
  <r>
    <n v="60.6"/>
    <d v="2012-05-09T00:00:00"/>
    <x v="0"/>
    <s v="UNHCR"/>
    <s v="Kachin"/>
    <s v="Waingmaw"/>
    <s v="Waingmaw Baptist Zonal Office"/>
    <m/>
    <m/>
    <m/>
    <n v="161"/>
    <n v="83"/>
    <n v="161"/>
    <n v="83"/>
    <n v="83"/>
    <n v="83"/>
    <n v="83"/>
    <m/>
    <m/>
    <m/>
    <m/>
    <m/>
    <m/>
    <m/>
    <n v="0"/>
    <n v="0"/>
    <n v="0"/>
    <n v="0"/>
    <n v="0"/>
    <n v="0"/>
    <n v="0"/>
    <n v="0"/>
    <n v="0"/>
    <n v="0"/>
    <n v="0"/>
    <n v="0"/>
    <n v="0"/>
    <n v="0"/>
    <n v="0"/>
    <n v="0"/>
    <n v="0"/>
    <n v="0"/>
    <s v="MMR001CMP036"/>
    <x v="0"/>
    <x v="1"/>
    <s v="P4"/>
    <n v="2.0319232275754014E-3"/>
    <s v="No"/>
  </r>
  <r>
    <n v="60.533333333333331"/>
    <d v="2012-05-11T00:00:00"/>
    <x v="0"/>
    <s v="UNHCR"/>
    <s v="Kachin"/>
    <s v="Waingmaw"/>
    <s v="Maina Catholic Church (St. Joseph)"/>
    <m/>
    <m/>
    <m/>
    <n v="57"/>
    <n v="29"/>
    <n v="57"/>
    <n v="29"/>
    <n v="29"/>
    <n v="29"/>
    <n v="29"/>
    <m/>
    <m/>
    <m/>
    <m/>
    <m/>
    <m/>
    <m/>
    <n v="0"/>
    <n v="0"/>
    <n v="0"/>
    <n v="0"/>
    <n v="0"/>
    <n v="0"/>
    <n v="0"/>
    <n v="0"/>
    <n v="0"/>
    <n v="0"/>
    <n v="0"/>
    <n v="0"/>
    <n v="0"/>
    <n v="0"/>
    <n v="0"/>
    <n v="0"/>
    <n v="0"/>
    <n v="0"/>
    <s v="MMR001CMP029"/>
    <x v="0"/>
    <x v="0"/>
    <s v="P4"/>
    <n v="7.00043450972819E-4"/>
    <s v="No"/>
  </r>
  <r>
    <n v="60.533333333333331"/>
    <d v="2012-05-11T00:00:00"/>
    <x v="0"/>
    <s v="UNHCR"/>
    <s v="Kachin"/>
    <s v="Waingmaw"/>
    <s v="Maina KBC (Bawng Ring)"/>
    <m/>
    <m/>
    <m/>
    <n v="50"/>
    <n v="25"/>
    <n v="50"/>
    <n v="24"/>
    <n v="13"/>
    <n v="13"/>
    <n v="13"/>
    <m/>
    <m/>
    <m/>
    <m/>
    <m/>
    <m/>
    <m/>
    <n v="0"/>
    <n v="0"/>
    <n v="0"/>
    <n v="0"/>
    <n v="0"/>
    <n v="0"/>
    <n v="0"/>
    <n v="0"/>
    <n v="0"/>
    <n v="0"/>
    <n v="0"/>
    <n v="0"/>
    <n v="0"/>
    <n v="0"/>
    <n v="0"/>
    <n v="0"/>
    <n v="0"/>
    <n v="0"/>
    <s v="MMR001CMP040"/>
    <x v="0"/>
    <x v="0"/>
    <s v="P4"/>
    <n v="5.8449623730547236E-4"/>
    <s v="No"/>
  </r>
  <r>
    <n v="60.533333333333331"/>
    <d v="2012-05-11T00:00:00"/>
    <x v="0"/>
    <s v="KBSS"/>
    <s v="Kachin"/>
    <s v="Shwegu"/>
    <s v="Shwe Gu Baptist Church"/>
    <m/>
    <m/>
    <m/>
    <n v="38"/>
    <n v="23"/>
    <n v="38"/>
    <n v="23"/>
    <n v="23"/>
    <n v="23"/>
    <n v="23"/>
    <m/>
    <m/>
    <m/>
    <m/>
    <m/>
    <m/>
    <m/>
    <n v="0"/>
    <n v="0"/>
    <n v="0"/>
    <n v="0"/>
    <n v="0"/>
    <n v="0"/>
    <n v="0"/>
    <n v="0"/>
    <n v="0"/>
    <n v="0"/>
    <n v="0"/>
    <n v="0"/>
    <n v="0"/>
    <n v="0"/>
    <n v="0"/>
    <n v="0"/>
    <n v="0"/>
    <n v="0"/>
    <s v="MMR001CMP067"/>
    <x v="0"/>
    <x v="0"/>
    <s v="P4"/>
    <n v="5.647636586863106E-4"/>
    <s v="No"/>
  </r>
  <r>
    <n v="60.533333333333331"/>
    <d v="2012-05-11T00:00:00"/>
    <x v="0"/>
    <s v="KBSS"/>
    <s v="Kachin"/>
    <s v="Shwegu"/>
    <s v="Shwe Gu Catholic Church"/>
    <m/>
    <m/>
    <m/>
    <n v="37"/>
    <n v="22"/>
    <n v="37"/>
    <n v="22"/>
    <n v="22"/>
    <n v="22"/>
    <n v="22"/>
    <m/>
    <m/>
    <m/>
    <m/>
    <m/>
    <m/>
    <m/>
    <n v="0"/>
    <n v="0"/>
    <n v="0"/>
    <n v="0"/>
    <n v="0"/>
    <n v="0"/>
    <n v="0"/>
    <n v="0"/>
    <n v="0"/>
    <n v="0"/>
    <n v="0"/>
    <n v="0"/>
    <n v="0"/>
    <n v="0"/>
    <n v="0"/>
    <n v="0"/>
    <n v="0"/>
    <n v="0"/>
    <s v="MMR001CMP068"/>
    <x v="0"/>
    <x v="0"/>
    <s v="P4"/>
    <n v="5.4020871700429711E-4"/>
    <s v="No"/>
  </r>
  <r>
    <n v="60.4"/>
    <d v="2012-05-15T00:00:00"/>
    <x v="0"/>
    <s v="KBSS"/>
    <s v="Kachin"/>
    <s v="Bhamo"/>
    <s v="AD-2000 Tharthana Compound"/>
    <m/>
    <m/>
    <m/>
    <n v="90"/>
    <n v="0"/>
    <n v="0"/>
    <n v="0"/>
    <n v="0"/>
    <m/>
    <m/>
    <m/>
    <m/>
    <m/>
    <m/>
    <m/>
    <m/>
    <m/>
    <n v="0"/>
    <n v="0"/>
    <n v="0"/>
    <n v="0"/>
    <n v="0"/>
    <n v="0"/>
    <n v="0"/>
    <n v="0"/>
    <n v="0"/>
    <n v="0"/>
    <n v="0"/>
    <n v="0"/>
    <n v="0"/>
    <n v="0"/>
    <n v="0"/>
    <n v="0"/>
    <n v="0"/>
    <n v="0"/>
    <s v="MMR001CMP050"/>
    <x v="0"/>
    <x v="0"/>
    <s v="P4"/>
    <n v="0"/>
    <s v="No"/>
  </r>
  <r>
    <n v="60.2"/>
    <d v="2012-05-21T00:00:00"/>
    <x v="0"/>
    <s v="UNHCR"/>
    <s v="Kachin"/>
    <s v="Bhamo"/>
    <s v="AD-2000 Tharthana Compound"/>
    <m/>
    <m/>
    <m/>
    <n v="0"/>
    <n v="15"/>
    <n v="0"/>
    <n v="0"/>
    <n v="0"/>
    <m/>
    <m/>
    <m/>
    <m/>
    <m/>
    <m/>
    <m/>
    <m/>
    <m/>
    <n v="0"/>
    <n v="0"/>
    <n v="0"/>
    <n v="0"/>
    <n v="0"/>
    <n v="0"/>
    <n v="0"/>
    <n v="0"/>
    <n v="0"/>
    <n v="0"/>
    <n v="0"/>
    <n v="0"/>
    <n v="0"/>
    <n v="0"/>
    <n v="0"/>
    <n v="0"/>
    <n v="0"/>
    <n v="0"/>
    <s v="MMR001CMP050"/>
    <x v="0"/>
    <x v="0"/>
    <s v="P4"/>
    <n v="0"/>
    <s v="No"/>
  </r>
  <r>
    <n v="60.133333333333333"/>
    <d v="2012-05-23T00:00:00"/>
    <x v="0"/>
    <s v="UNHCR"/>
    <s v="Kachin"/>
    <s v="Myitkyina"/>
    <s v="Jan Mai Kawng Baptist Church"/>
    <m/>
    <m/>
    <m/>
    <n v="22"/>
    <n v="15"/>
    <n v="22"/>
    <n v="15"/>
    <n v="15"/>
    <n v="15"/>
    <n v="15"/>
    <m/>
    <m/>
    <m/>
    <m/>
    <m/>
    <m/>
    <m/>
    <n v="0"/>
    <n v="0"/>
    <n v="0"/>
    <n v="0"/>
    <n v="0"/>
    <n v="0"/>
    <n v="0"/>
    <n v="0"/>
    <n v="0"/>
    <n v="0"/>
    <n v="0"/>
    <n v="0"/>
    <n v="0"/>
    <n v="0"/>
    <n v="0"/>
    <n v="0"/>
    <n v="0"/>
    <n v="0"/>
    <s v="MMR001CMP018"/>
    <x v="0"/>
    <x v="0"/>
    <s v="P4"/>
    <n v="3.6832412523020257E-4"/>
    <s v="No"/>
  </r>
  <r>
    <n v="60.133333333333333"/>
    <d v="2012-05-23T00:00:00"/>
    <x v="0"/>
    <s v="UNHCR"/>
    <s v="Kachin"/>
    <s v="Myitkyina"/>
    <s v="Nan Kway St. John Catholic Church"/>
    <m/>
    <m/>
    <m/>
    <n v="58"/>
    <n v="29"/>
    <n v="58"/>
    <n v="29"/>
    <n v="29"/>
    <n v="29"/>
    <n v="29"/>
    <m/>
    <m/>
    <m/>
    <m/>
    <m/>
    <m/>
    <m/>
    <n v="0"/>
    <n v="0"/>
    <n v="0"/>
    <n v="0"/>
    <n v="0"/>
    <n v="0"/>
    <n v="0"/>
    <n v="0"/>
    <n v="0"/>
    <n v="0"/>
    <n v="0"/>
    <n v="0"/>
    <n v="0"/>
    <n v="0"/>
    <n v="0"/>
    <n v="0"/>
    <n v="0"/>
    <n v="0"/>
    <s v="MMR001CMP024"/>
    <x v="0"/>
    <x v="0"/>
    <s v="P4"/>
    <n v="7.0889046420103156E-4"/>
    <s v="No"/>
  </r>
  <r>
    <n v="60.133333333333333"/>
    <d v="2012-05-23T00:00:00"/>
    <x v="0"/>
    <s v="UNHCR"/>
    <s v="Kachin"/>
    <s v="Myitkyina"/>
    <s v="Tat Kone Baptist Church"/>
    <m/>
    <m/>
    <m/>
    <n v="54"/>
    <n v="29"/>
    <n v="54"/>
    <n v="29"/>
    <n v="29"/>
    <n v="29"/>
    <n v="29"/>
    <m/>
    <m/>
    <m/>
    <m/>
    <m/>
    <m/>
    <m/>
    <n v="0"/>
    <n v="0"/>
    <n v="0"/>
    <n v="0"/>
    <n v="0"/>
    <n v="0"/>
    <n v="0"/>
    <n v="0"/>
    <n v="0"/>
    <n v="0"/>
    <n v="0"/>
    <n v="0"/>
    <n v="0"/>
    <n v="0"/>
    <n v="0"/>
    <n v="0"/>
    <n v="0"/>
    <n v="0"/>
    <s v="MMR001CMP001"/>
    <x v="0"/>
    <x v="0"/>
    <s v="P4"/>
    <n v="7.1261825777122498E-4"/>
    <s v="No"/>
  </r>
  <r>
    <n v="60.06666666666667"/>
    <d v="2012-05-25T00:00:00"/>
    <x v="0"/>
    <s v="UNHCR"/>
    <s v="Kachin"/>
    <s v="Myitkyina"/>
    <s v="Shwe Zet Baptist Church"/>
    <m/>
    <m/>
    <m/>
    <n v="0"/>
    <n v="25"/>
    <n v="0"/>
    <n v="0"/>
    <n v="0"/>
    <m/>
    <m/>
    <m/>
    <m/>
    <m/>
    <m/>
    <m/>
    <m/>
    <m/>
    <n v="0"/>
    <n v="0"/>
    <n v="0"/>
    <n v="0"/>
    <n v="0"/>
    <n v="0"/>
    <n v="0"/>
    <n v="0"/>
    <n v="0"/>
    <n v="0"/>
    <n v="0"/>
    <n v="0"/>
    <n v="0"/>
    <n v="0"/>
    <n v="0"/>
    <n v="0"/>
    <n v="0"/>
    <n v="0"/>
    <s v="MMR001CMP009"/>
    <x v="0"/>
    <x v="0"/>
    <s v="P4"/>
    <n v="0"/>
    <s v="No"/>
  </r>
  <r>
    <n v="60.033333333333331"/>
    <d v="2012-05-26T00:00:00"/>
    <x v="0"/>
    <s v="KBC"/>
    <s v="Kachin"/>
    <s v="Shwegu"/>
    <s v="Lawk Awng Mare D. (Sinbo Area)"/>
    <m/>
    <m/>
    <m/>
    <n v="200"/>
    <n v="200"/>
    <n v="0"/>
    <n v="0"/>
    <n v="0"/>
    <m/>
    <m/>
    <m/>
    <m/>
    <m/>
    <m/>
    <m/>
    <m/>
    <m/>
    <n v="0"/>
    <n v="0"/>
    <n v="0"/>
    <n v="0"/>
    <n v="0"/>
    <n v="0"/>
    <n v="0"/>
    <n v="0"/>
    <n v="0"/>
    <n v="0"/>
    <n v="0"/>
    <n v="0"/>
    <n v="0"/>
    <n v="0"/>
    <n v="0"/>
    <n v="0"/>
    <n v="0"/>
    <n v="0"/>
    <s v="MMR001CMP147"/>
    <x v="2"/>
    <x v="0"/>
    <s v="P4"/>
    <n v="0"/>
    <s v="No"/>
  </r>
  <r>
    <n v="59.966666666666669"/>
    <d v="2012-05-28T00:00:00"/>
    <x v="0"/>
    <s v="UNHCR"/>
    <s v="Kachin"/>
    <s v="Waingmaw"/>
    <s v="Qtr. 3 Mu-yin  Baptist Church"/>
    <m/>
    <m/>
    <m/>
    <n v="0"/>
    <n v="11"/>
    <n v="0"/>
    <n v="0"/>
    <n v="0"/>
    <m/>
    <m/>
    <m/>
    <m/>
    <m/>
    <m/>
    <m/>
    <m/>
    <m/>
    <n v="0"/>
    <n v="0"/>
    <n v="0"/>
    <n v="0"/>
    <n v="0"/>
    <n v="0"/>
    <n v="0"/>
    <n v="0"/>
    <n v="0"/>
    <n v="0"/>
    <n v="0"/>
    <n v="0"/>
    <n v="0"/>
    <n v="0"/>
    <n v="0"/>
    <n v="0"/>
    <n v="0"/>
    <n v="0"/>
    <s v="MMR001CMP030"/>
    <x v="0"/>
    <x v="0"/>
    <s v="P4"/>
    <n v="0"/>
    <s v="No"/>
  </r>
  <r>
    <n v="59.866666666666667"/>
    <d v="2012-05-31T00:00:00"/>
    <x v="0"/>
    <s v="KBC"/>
    <s v="Kachin"/>
    <s v="Bhamo"/>
    <s v="Robert Church"/>
    <m/>
    <m/>
    <m/>
    <n v="0"/>
    <n v="20"/>
    <n v="0"/>
    <n v="0"/>
    <n v="0"/>
    <m/>
    <m/>
    <m/>
    <m/>
    <m/>
    <m/>
    <m/>
    <m/>
    <m/>
    <n v="0"/>
    <n v="0"/>
    <n v="0"/>
    <n v="0"/>
    <n v="0"/>
    <n v="0"/>
    <n v="0"/>
    <n v="0"/>
    <n v="0"/>
    <n v="0"/>
    <n v="0"/>
    <n v="0"/>
    <n v="0"/>
    <n v="0"/>
    <n v="0"/>
    <n v="0"/>
    <n v="0"/>
    <n v="0"/>
    <s v="MMR001CMP047"/>
    <x v="0"/>
    <x v="0"/>
    <s v="P4"/>
    <n v="0"/>
    <s v="No"/>
  </r>
  <r>
    <n v="59.833333333333336"/>
    <d v="2012-06-01T00:00:00"/>
    <x v="0"/>
    <s v="UNHCR"/>
    <s v="Kachin"/>
    <s v="Myitkyina"/>
    <s v="Maw Hpawng Hka Nan Baptist Church"/>
    <m/>
    <m/>
    <m/>
    <n v="22"/>
    <n v="11"/>
    <n v="22"/>
    <n v="11"/>
    <n v="11"/>
    <n v="11"/>
    <n v="11"/>
    <m/>
    <m/>
    <m/>
    <m/>
    <m/>
    <m/>
    <m/>
    <n v="0"/>
    <n v="0"/>
    <n v="0"/>
    <n v="0"/>
    <n v="0"/>
    <n v="0"/>
    <n v="0"/>
    <n v="0"/>
    <n v="0"/>
    <n v="0"/>
    <n v="0"/>
    <n v="0"/>
    <n v="0"/>
    <n v="0"/>
    <n v="0"/>
    <n v="0"/>
    <n v="0"/>
    <n v="0"/>
    <s v="MMR001CMP020"/>
    <x v="0"/>
    <x v="0"/>
    <s v="P4"/>
    <n v="2.6949555332337016E-4"/>
    <s v="No"/>
  </r>
  <r>
    <n v="59.833333333333336"/>
    <d v="2012-06-01T00:00:00"/>
    <x v="0"/>
    <s v="UNHCR"/>
    <s v="Kachin"/>
    <s v="Myitkyina"/>
    <s v="Maw Hpawng Lhaovo Baptist Church"/>
    <m/>
    <m/>
    <m/>
    <n v="35"/>
    <n v="17"/>
    <n v="35"/>
    <n v="17"/>
    <n v="17"/>
    <n v="17"/>
    <n v="17"/>
    <m/>
    <m/>
    <m/>
    <m/>
    <m/>
    <m/>
    <m/>
    <n v="0"/>
    <n v="0"/>
    <n v="0"/>
    <n v="0"/>
    <n v="0"/>
    <n v="0"/>
    <n v="0"/>
    <n v="0"/>
    <n v="0"/>
    <n v="0"/>
    <n v="0"/>
    <n v="0"/>
    <n v="0"/>
    <n v="0"/>
    <n v="0"/>
    <n v="0"/>
    <n v="0"/>
    <n v="0"/>
    <s v="MMR001CMP021"/>
    <x v="0"/>
    <x v="0"/>
    <s v="P4"/>
    <n v="4.1649312786339027E-4"/>
    <s v="No"/>
  </r>
  <r>
    <n v="59.7"/>
    <d v="2012-06-05T00:00:00"/>
    <x v="0"/>
    <s v="UNHCR"/>
    <s v="Kachin"/>
    <s v="Momauk"/>
    <s v="Momauk Catholic Church (St. Patrick)"/>
    <m/>
    <m/>
    <m/>
    <n v="10"/>
    <n v="5"/>
    <n v="10"/>
    <n v="5"/>
    <n v="5"/>
    <n v="5"/>
    <n v="5"/>
    <m/>
    <m/>
    <m/>
    <m/>
    <m/>
    <m/>
    <m/>
    <n v="0"/>
    <n v="0"/>
    <n v="0"/>
    <n v="0"/>
    <n v="0"/>
    <n v="0"/>
    <n v="0"/>
    <n v="0"/>
    <n v="0"/>
    <n v="0"/>
    <n v="0"/>
    <n v="0"/>
    <n v="0"/>
    <n v="0"/>
    <n v="0"/>
    <n v="0"/>
    <n v="0"/>
    <n v="0"/>
    <s v="MMR001CMP057"/>
    <x v="0"/>
    <x v="1"/>
    <s v="P4"/>
    <n v="1.2268132299538719E-4"/>
    <s v="No"/>
  </r>
  <r>
    <n v="59.666666666666664"/>
    <d v="2012-06-06T00:00:00"/>
    <x v="0"/>
    <s v="UNHCR "/>
    <s v="Kachin"/>
    <s v="Momauk"/>
    <s v="Hpun Lum Yang "/>
    <m/>
    <m/>
    <m/>
    <n v="0"/>
    <n v="200"/>
    <n v="0"/>
    <n v="0"/>
    <n v="0"/>
    <m/>
    <m/>
    <m/>
    <m/>
    <m/>
    <m/>
    <m/>
    <m/>
    <m/>
    <n v="0"/>
    <n v="0"/>
    <n v="0"/>
    <n v="0"/>
    <n v="0"/>
    <n v="0"/>
    <n v="0"/>
    <n v="0"/>
    <n v="0"/>
    <n v="0"/>
    <n v="0"/>
    <n v="0"/>
    <n v="0"/>
    <n v="0"/>
    <n v="0"/>
    <n v="0"/>
    <n v="0"/>
    <n v="0"/>
    <s v="MMR001CMP122"/>
    <x v="0"/>
    <x v="0"/>
    <s v="P2"/>
    <n v="0"/>
    <s v="No"/>
  </r>
  <r>
    <n v="59.666666666666664"/>
    <d v="2012-06-06T00:00:00"/>
    <x v="0"/>
    <s v="UNHCR"/>
    <s v="Kachin"/>
    <s v="Momauk"/>
    <s v="Pa Kahtawng "/>
    <m/>
    <m/>
    <m/>
    <n v="144"/>
    <n v="76"/>
    <n v="143"/>
    <n v="76"/>
    <n v="78"/>
    <n v="78"/>
    <n v="78"/>
    <m/>
    <m/>
    <m/>
    <m/>
    <m/>
    <m/>
    <m/>
    <n v="0"/>
    <n v="0"/>
    <n v="0"/>
    <n v="0"/>
    <n v="0"/>
    <n v="0"/>
    <n v="0"/>
    <n v="0"/>
    <n v="0"/>
    <n v="0"/>
    <n v="0"/>
    <n v="0"/>
    <n v="0"/>
    <n v="0"/>
    <n v="0"/>
    <n v="0"/>
    <n v="0"/>
    <n v="0"/>
    <s v="MMR001CMP126"/>
    <x v="0"/>
    <x v="0"/>
    <s v="P2"/>
    <n v="1.8536585365853658E-3"/>
    <s v="No"/>
  </r>
  <r>
    <n v="59.6"/>
    <d v="2012-06-08T00:00:00"/>
    <x v="1"/>
    <s v="Solidarities"/>
    <s v="Kachin"/>
    <s v="Bhamo"/>
    <s v="Htoi San Church"/>
    <n v="22"/>
    <m/>
    <m/>
    <m/>
    <m/>
    <m/>
    <m/>
    <m/>
    <m/>
    <m/>
    <m/>
    <m/>
    <m/>
    <m/>
    <m/>
    <m/>
    <m/>
    <n v="0"/>
    <n v="0"/>
    <n v="0"/>
    <n v="0"/>
    <n v="0"/>
    <n v="0"/>
    <n v="0"/>
    <n v="0"/>
    <n v="0"/>
    <n v="0"/>
    <n v="0"/>
    <n v="0"/>
    <n v="0"/>
    <n v="0"/>
    <n v="0"/>
    <n v="0"/>
    <n v="0"/>
    <n v="0"/>
    <s v="MMR001CMP052"/>
    <x v="0"/>
    <x v="0"/>
    <s v="P4"/>
    <n v="0"/>
    <m/>
  </r>
  <r>
    <n v="59.6"/>
    <d v="2012-06-08T00:00:00"/>
    <x v="1"/>
    <s v="Solidarities"/>
    <s v="Kachin"/>
    <s v="Bhamo"/>
    <s v="Nant Hlaing Church"/>
    <n v="21"/>
    <m/>
    <m/>
    <m/>
    <m/>
    <m/>
    <m/>
    <m/>
    <m/>
    <m/>
    <m/>
    <m/>
    <m/>
    <m/>
    <m/>
    <m/>
    <m/>
    <n v="0"/>
    <n v="0"/>
    <n v="0"/>
    <n v="0"/>
    <n v="0"/>
    <n v="0"/>
    <n v="0"/>
    <n v="0"/>
    <n v="0"/>
    <n v="0"/>
    <n v="0"/>
    <n v="0"/>
    <n v="0"/>
    <n v="0"/>
    <n v="0"/>
    <n v="0"/>
    <n v="0"/>
    <n v="0"/>
    <s v="MMR001CMP054"/>
    <x v="0"/>
    <x v="0"/>
    <s v="P4"/>
    <n v="0"/>
    <m/>
  </r>
  <r>
    <n v="59.6"/>
    <d v="2012-06-08T00:00:00"/>
    <x v="0"/>
    <s v="UNHCR"/>
    <s v="Kachin"/>
    <s v="Bhamo"/>
    <s v="Nant Hlaing Church"/>
    <m/>
    <m/>
    <m/>
    <n v="12"/>
    <n v="6"/>
    <n v="12"/>
    <n v="6"/>
    <n v="6"/>
    <n v="6"/>
    <n v="6"/>
    <m/>
    <m/>
    <m/>
    <m/>
    <m/>
    <m/>
    <m/>
    <n v="0"/>
    <n v="0"/>
    <n v="0"/>
    <n v="0"/>
    <n v="0"/>
    <n v="0"/>
    <n v="0"/>
    <n v="0"/>
    <n v="0"/>
    <n v="0"/>
    <n v="0"/>
    <n v="0"/>
    <n v="0"/>
    <n v="0"/>
    <n v="0"/>
    <n v="0"/>
    <n v="0"/>
    <n v="0"/>
    <s v="MMR001CMP054"/>
    <x v="0"/>
    <x v="0"/>
    <s v="P4"/>
    <n v="1.4688601645123384E-4"/>
    <s v="No"/>
  </r>
  <r>
    <n v="59.533333333333331"/>
    <d v="2012-06-10T00:00:00"/>
    <x v="0"/>
    <s v="UNHCR"/>
    <s v="Kachin"/>
    <s v="Chipwi"/>
    <s v="Lhaovao Baptist Church (LBC)"/>
    <m/>
    <m/>
    <m/>
    <n v="200"/>
    <n v="100"/>
    <n v="150"/>
    <n v="100"/>
    <n v="100"/>
    <n v="100"/>
    <n v="100"/>
    <m/>
    <m/>
    <m/>
    <m/>
    <m/>
    <m/>
    <m/>
    <n v="0"/>
    <n v="0"/>
    <n v="0"/>
    <n v="0"/>
    <n v="0"/>
    <n v="0"/>
    <n v="0"/>
    <n v="0"/>
    <n v="0"/>
    <n v="0"/>
    <n v="0"/>
    <n v="0"/>
    <n v="0"/>
    <n v="0"/>
    <n v="0"/>
    <n v="0"/>
    <n v="0"/>
    <n v="0"/>
    <s v="MMR001CMP195"/>
    <x v="0"/>
    <x v="0"/>
    <s v="P1"/>
    <n v="2.4425989252564728E-3"/>
    <s v="No"/>
  </r>
  <r>
    <n v="59.233333333333334"/>
    <d v="2012-06-19T00:00:00"/>
    <x v="0"/>
    <s v="UNHCR"/>
    <s v="Kachin"/>
    <s v="Waingmaw"/>
    <s v="Maina KBC (Bawng Ring)"/>
    <m/>
    <m/>
    <m/>
    <n v="32"/>
    <n v="17"/>
    <n v="32"/>
    <n v="17"/>
    <n v="17"/>
    <n v="17"/>
    <n v="17"/>
    <m/>
    <m/>
    <m/>
    <m/>
    <m/>
    <m/>
    <m/>
    <n v="0"/>
    <n v="0"/>
    <n v="0"/>
    <n v="0"/>
    <n v="0"/>
    <n v="0"/>
    <n v="0"/>
    <n v="0"/>
    <n v="0"/>
    <n v="0"/>
    <n v="0"/>
    <n v="0"/>
    <n v="0"/>
    <n v="0"/>
    <n v="0"/>
    <n v="0"/>
    <n v="0"/>
    <n v="0"/>
    <s v="MMR001CMP040"/>
    <x v="0"/>
    <x v="0"/>
    <s v="P4"/>
    <n v="4.1401816809137626E-4"/>
    <s v="No"/>
  </r>
  <r>
    <n v="59.233333333333334"/>
    <d v="2012-06-19T00:00:00"/>
    <x v="0"/>
    <s v="UNHCR"/>
    <s v="Kachin"/>
    <s v="Waingmaw"/>
    <s v="Thargaya Lisu Baptist Church"/>
    <m/>
    <m/>
    <m/>
    <n v="31"/>
    <n v="15"/>
    <n v="31"/>
    <n v="15"/>
    <n v="15"/>
    <n v="15"/>
    <n v="15"/>
    <m/>
    <m/>
    <m/>
    <m/>
    <m/>
    <m/>
    <m/>
    <n v="0"/>
    <n v="0"/>
    <n v="0"/>
    <n v="0"/>
    <n v="0"/>
    <n v="0"/>
    <n v="0"/>
    <n v="0"/>
    <n v="0"/>
    <n v="0"/>
    <n v="0"/>
    <n v="0"/>
    <n v="0"/>
    <n v="0"/>
    <n v="0"/>
    <n v="0"/>
    <n v="0"/>
    <n v="0"/>
    <s v="MMR001CMP037"/>
    <x v="0"/>
    <x v="0"/>
    <s v="P4"/>
    <n v="3.6721504112808461E-4"/>
    <s v="No"/>
  </r>
  <r>
    <n v="59.233333333333334"/>
    <d v="2012-06-19T00:00:00"/>
    <x v="0"/>
    <s v="UNHCR"/>
    <s v="Kachin"/>
    <s v="Waingmaw"/>
    <s v="Waingmaw AG Church"/>
    <m/>
    <m/>
    <m/>
    <n v="28"/>
    <n v="15"/>
    <n v="28"/>
    <n v="15"/>
    <n v="15"/>
    <n v="15"/>
    <n v="15"/>
    <m/>
    <m/>
    <m/>
    <m/>
    <m/>
    <m/>
    <m/>
    <n v="0"/>
    <n v="0"/>
    <n v="0"/>
    <n v="0"/>
    <n v="0"/>
    <n v="0"/>
    <n v="0"/>
    <n v="0"/>
    <n v="0"/>
    <n v="0"/>
    <n v="0"/>
    <n v="0"/>
    <n v="0"/>
    <n v="0"/>
    <n v="0"/>
    <n v="0"/>
    <n v="0"/>
    <n v="0"/>
    <s v="MMR001CMP038"/>
    <x v="0"/>
    <x v="0"/>
    <s v="P4"/>
    <n v="3.6721504112808461E-4"/>
    <s v="No"/>
  </r>
  <r>
    <n v="59.2"/>
    <d v="2012-06-20T00:00:00"/>
    <x v="0"/>
    <s v="UNHCR"/>
    <s v="Kachin"/>
    <s v="Waingmaw"/>
    <s v="Waingmaw Baptist Zonal Office"/>
    <m/>
    <m/>
    <m/>
    <n v="141"/>
    <n v="81"/>
    <n v="148"/>
    <n v="84"/>
    <n v="78"/>
    <n v="78"/>
    <n v="78"/>
    <m/>
    <m/>
    <m/>
    <m/>
    <m/>
    <m/>
    <m/>
    <n v="0"/>
    <n v="0"/>
    <n v="0"/>
    <n v="0"/>
    <n v="0"/>
    <n v="0"/>
    <n v="0"/>
    <n v="0"/>
    <n v="0"/>
    <n v="0"/>
    <n v="0"/>
    <n v="0"/>
    <n v="0"/>
    <n v="0"/>
    <n v="0"/>
    <n v="0"/>
    <n v="0"/>
    <n v="0"/>
    <s v="MMR001CMP036"/>
    <x v="0"/>
    <x v="1"/>
    <s v="P4"/>
    <n v="2.0564042303172739E-3"/>
    <s v="No"/>
  </r>
  <r>
    <n v="59.133333333333333"/>
    <d v="2012-06-22T00:00:00"/>
    <x v="0"/>
    <s v="UNHCR"/>
    <s v="Kachin"/>
    <s v="Momauk"/>
    <s v="Nhkawng Pa "/>
    <m/>
    <m/>
    <m/>
    <n v="140"/>
    <n v="70"/>
    <n v="140"/>
    <n v="70"/>
    <n v="70"/>
    <n v="70"/>
    <n v="70"/>
    <m/>
    <m/>
    <m/>
    <m/>
    <m/>
    <m/>
    <m/>
    <n v="0"/>
    <n v="0"/>
    <n v="0"/>
    <n v="0"/>
    <n v="0"/>
    <n v="0"/>
    <n v="0"/>
    <n v="0"/>
    <n v="0"/>
    <n v="0"/>
    <n v="0"/>
    <n v="0"/>
    <n v="0"/>
    <n v="0"/>
    <n v="0"/>
    <n v="0"/>
    <n v="0"/>
    <n v="0"/>
    <s v="MMR001CMP131"/>
    <x v="0"/>
    <x v="0"/>
    <s v="P1"/>
    <n v="1.7073170731707317E-3"/>
    <s v="No"/>
  </r>
  <r>
    <n v="59.1"/>
    <d v="2012-06-23T00:00:00"/>
    <x v="0"/>
    <s v="UNHCR"/>
    <s v="Kachin"/>
    <s v="Momauk"/>
    <s v="Dum Bung "/>
    <m/>
    <m/>
    <m/>
    <n v="24"/>
    <n v="13"/>
    <n v="24"/>
    <n v="13"/>
    <n v="13"/>
    <n v="13"/>
    <n v="13"/>
    <m/>
    <m/>
    <m/>
    <m/>
    <m/>
    <m/>
    <m/>
    <n v="0"/>
    <n v="0"/>
    <n v="0"/>
    <n v="0"/>
    <n v="0"/>
    <n v="0"/>
    <n v="0"/>
    <n v="0"/>
    <n v="0"/>
    <n v="0"/>
    <n v="0"/>
    <n v="0"/>
    <n v="0"/>
    <n v="0"/>
    <n v="0"/>
    <n v="0"/>
    <n v="0"/>
    <n v="0"/>
    <s v="MMR001CMP123"/>
    <x v="0"/>
    <x v="0"/>
    <s v="P2"/>
    <n v="3.1897143978800666E-4"/>
    <s v="No"/>
  </r>
  <r>
    <n v="59.033333333333331"/>
    <d v="2012-06-25T00:00:00"/>
    <x v="0"/>
    <s v="UNHCR"/>
    <s v="Kachin"/>
    <s v="Momauk"/>
    <s v="Momauk Baptist Church"/>
    <m/>
    <m/>
    <m/>
    <n v="290"/>
    <n v="145"/>
    <n v="290"/>
    <n v="145"/>
    <n v="145"/>
    <n v="145"/>
    <n v="145"/>
    <m/>
    <m/>
    <m/>
    <m/>
    <m/>
    <m/>
    <m/>
    <n v="0"/>
    <n v="0"/>
    <n v="0"/>
    <n v="0"/>
    <n v="0"/>
    <n v="0"/>
    <n v="0"/>
    <n v="0"/>
    <n v="0"/>
    <n v="0"/>
    <n v="0"/>
    <n v="0"/>
    <n v="0"/>
    <n v="0"/>
    <n v="0"/>
    <n v="0"/>
    <n v="0"/>
    <n v="0"/>
    <s v="MMR001CMP056"/>
    <x v="0"/>
    <x v="0"/>
    <s v="P4"/>
    <n v="3.5630912888561248E-3"/>
    <s v="No"/>
  </r>
  <r>
    <n v="58.7"/>
    <d v="2012-07-05T00:00:00"/>
    <x v="0"/>
    <s v="UNHCR"/>
    <s v="Kachin"/>
    <s v="Bhamo"/>
    <s v="Ta Gun Taing Monastery (Shwe Kyi Na)"/>
    <m/>
    <m/>
    <m/>
    <n v="36"/>
    <n v="14"/>
    <n v="36"/>
    <n v="14"/>
    <n v="14"/>
    <n v="14"/>
    <n v="14"/>
    <m/>
    <m/>
    <m/>
    <m/>
    <m/>
    <m/>
    <m/>
    <n v="0"/>
    <n v="0"/>
    <n v="0"/>
    <n v="0"/>
    <n v="0"/>
    <n v="0"/>
    <n v="0"/>
    <n v="0"/>
    <n v="0"/>
    <n v="0"/>
    <n v="0"/>
    <n v="0"/>
    <n v="0"/>
    <n v="0"/>
    <n v="0"/>
    <n v="0"/>
    <n v="0"/>
    <n v="0"/>
    <s v="MMR001CMP055"/>
    <x v="0"/>
    <x v="0"/>
    <s v="P4"/>
    <n v="3.4121374603948332E-4"/>
    <s v="No"/>
  </r>
  <r>
    <n v="58.666666666666664"/>
    <d v="2012-07-06T00:00:00"/>
    <x v="0"/>
    <s v="UNHCR"/>
    <s v="Kachin"/>
    <s v="Waingmaw"/>
    <s v="Waingmaw AG Church"/>
    <m/>
    <m/>
    <m/>
    <n v="17"/>
    <n v="17"/>
    <n v="17"/>
    <n v="17"/>
    <n v="17"/>
    <n v="17"/>
    <n v="17"/>
    <m/>
    <m/>
    <m/>
    <m/>
    <m/>
    <m/>
    <m/>
    <n v="0"/>
    <n v="0"/>
    <n v="0"/>
    <n v="0"/>
    <n v="0"/>
    <n v="0"/>
    <n v="0"/>
    <n v="0"/>
    <n v="0"/>
    <n v="0"/>
    <n v="0"/>
    <n v="0"/>
    <n v="0"/>
    <n v="0"/>
    <n v="0"/>
    <n v="0"/>
    <n v="0"/>
    <n v="0"/>
    <s v="MMR001CMP038"/>
    <x v="0"/>
    <x v="0"/>
    <s v="P4"/>
    <n v="4.1617704661182925E-4"/>
    <s v="No"/>
  </r>
  <r>
    <n v="58.6"/>
    <d v="2012-07-08T00:00:00"/>
    <x v="1"/>
    <s v="Solidarities"/>
    <s v="Kachin"/>
    <s v="Momauk"/>
    <s v="Momauk Baptist Church"/>
    <n v="64"/>
    <m/>
    <m/>
    <m/>
    <m/>
    <m/>
    <m/>
    <m/>
    <m/>
    <m/>
    <m/>
    <m/>
    <m/>
    <m/>
    <m/>
    <m/>
    <m/>
    <n v="0"/>
    <n v="0"/>
    <n v="0"/>
    <n v="0"/>
    <n v="0"/>
    <n v="0"/>
    <n v="0"/>
    <n v="0"/>
    <n v="0"/>
    <n v="0"/>
    <n v="0"/>
    <n v="0"/>
    <n v="0"/>
    <n v="0"/>
    <n v="0"/>
    <n v="0"/>
    <n v="0"/>
    <n v="0"/>
    <s v="MMR001CMP056"/>
    <x v="0"/>
    <x v="0"/>
    <s v="P4"/>
    <n v="0"/>
    <m/>
  </r>
  <r>
    <n v="58.6"/>
    <d v="2012-07-08T00:00:00"/>
    <x v="1"/>
    <s v="Solidarities"/>
    <s v="Kachin"/>
    <s v="Bhamo"/>
    <s v="Chan Myae monastery"/>
    <n v="3"/>
    <m/>
    <m/>
    <m/>
    <m/>
    <m/>
    <m/>
    <m/>
    <m/>
    <m/>
    <m/>
    <m/>
    <m/>
    <m/>
    <m/>
    <m/>
    <m/>
    <n v="0"/>
    <n v="0"/>
    <n v="0"/>
    <n v="0"/>
    <n v="0"/>
    <n v="0"/>
    <n v="0"/>
    <n v="0"/>
    <n v="0"/>
    <n v="0"/>
    <n v="0"/>
    <n v="0"/>
    <n v="0"/>
    <n v="0"/>
    <n v="0"/>
    <n v="0"/>
    <n v="0"/>
    <n v="0"/>
    <s v=""/>
    <x v="1"/>
    <x v="2"/>
    <s v=""/>
    <s v=""/>
    <m/>
  </r>
  <r>
    <n v="58.6"/>
    <d v="2012-07-08T00:00:00"/>
    <x v="0"/>
    <s v="Shalom"/>
    <s v="Kachin"/>
    <s v="Momauk"/>
    <s v="Ni Thaw Ka Monestry"/>
    <n v="16"/>
    <m/>
    <m/>
    <m/>
    <m/>
    <m/>
    <m/>
    <m/>
    <m/>
    <m/>
    <m/>
    <m/>
    <m/>
    <m/>
    <m/>
    <m/>
    <m/>
    <n v="0"/>
    <n v="0"/>
    <n v="0"/>
    <n v="0"/>
    <n v="0"/>
    <n v="0"/>
    <n v="0"/>
    <n v="0"/>
    <n v="0"/>
    <n v="0"/>
    <n v="0"/>
    <n v="0"/>
    <n v="0"/>
    <n v="0"/>
    <n v="0"/>
    <n v="0"/>
    <n v="0"/>
    <n v="0"/>
    <s v="MMR001CMP059"/>
    <x v="0"/>
    <x v="1"/>
    <s v="P4"/>
    <n v="0"/>
    <m/>
  </r>
  <r>
    <n v="58.6"/>
    <d v="2012-07-08T00:00:00"/>
    <x v="1"/>
    <s v="Solidarities"/>
    <s v="Kachin"/>
    <s v="Momauk"/>
    <s v="Ni Thaw Ka Monestry"/>
    <n v="16"/>
    <m/>
    <m/>
    <m/>
    <m/>
    <m/>
    <m/>
    <m/>
    <m/>
    <m/>
    <m/>
    <m/>
    <m/>
    <m/>
    <m/>
    <m/>
    <m/>
    <n v="0"/>
    <n v="0"/>
    <n v="0"/>
    <n v="0"/>
    <n v="0"/>
    <n v="0"/>
    <n v="0"/>
    <n v="0"/>
    <n v="0"/>
    <n v="0"/>
    <n v="0"/>
    <n v="0"/>
    <n v="0"/>
    <n v="0"/>
    <n v="0"/>
    <n v="0"/>
    <n v="0"/>
    <n v="0"/>
    <s v="MMR001CMP059"/>
    <x v="0"/>
    <x v="1"/>
    <s v="P4"/>
    <n v="0"/>
    <m/>
  </r>
  <r>
    <n v="58.56666666666667"/>
    <d v="2012-07-09T00:00:00"/>
    <x v="0"/>
    <s v="UNHCR"/>
    <s v="Kachin"/>
    <s v="Waingmaw"/>
    <s v="Qtr. 2 Lhaovo Baptist Church"/>
    <m/>
    <m/>
    <m/>
    <n v="77"/>
    <n v="34"/>
    <n v="77"/>
    <n v="35"/>
    <n v="52"/>
    <n v="52"/>
    <n v="52"/>
    <m/>
    <m/>
    <m/>
    <m/>
    <m/>
    <m/>
    <m/>
    <n v="0"/>
    <n v="0"/>
    <n v="0"/>
    <n v="0"/>
    <n v="0"/>
    <n v="0"/>
    <n v="0"/>
    <n v="0"/>
    <n v="0"/>
    <n v="0"/>
    <n v="0"/>
    <n v="0"/>
    <n v="0"/>
    <n v="0"/>
    <n v="0"/>
    <n v="0"/>
    <n v="0"/>
    <n v="0"/>
    <s v="MMR001CMP032"/>
    <x v="0"/>
    <x v="0"/>
    <s v="P4"/>
    <n v="8.594229588704727E-4"/>
    <s v="No"/>
  </r>
  <r>
    <n v="58.533333333333331"/>
    <d v="2012-07-10T00:00:00"/>
    <x v="0"/>
    <s v="KMSS"/>
    <s v="Kachin"/>
    <s v="Waingmaw"/>
    <s v="Maga Yang "/>
    <m/>
    <m/>
    <m/>
    <n v="0"/>
    <n v="599"/>
    <n v="675"/>
    <n v="599"/>
    <n v="0"/>
    <m/>
    <m/>
    <m/>
    <m/>
    <m/>
    <m/>
    <m/>
    <m/>
    <m/>
    <n v="0"/>
    <n v="0"/>
    <n v="0"/>
    <n v="0"/>
    <n v="0"/>
    <n v="0"/>
    <n v="0"/>
    <n v="0"/>
    <n v="0"/>
    <n v="0"/>
    <n v="0"/>
    <n v="0"/>
    <n v="0"/>
    <n v="0"/>
    <n v="0"/>
    <n v="0"/>
    <n v="0"/>
    <n v="0"/>
    <s v="MMR001CMP119"/>
    <x v="0"/>
    <x v="0"/>
    <s v="P2"/>
    <n v="1.4719252979481508E-2"/>
    <s v="No"/>
  </r>
  <r>
    <n v="58.43333333333333"/>
    <d v="2012-07-13T00:00:00"/>
    <x v="0"/>
    <s v="UNHCR"/>
    <s v="Kachin"/>
    <s v="Waingmaw"/>
    <s v="Hkat Cho "/>
    <m/>
    <m/>
    <m/>
    <n v="9"/>
    <n v="9"/>
    <n v="9"/>
    <n v="9"/>
    <n v="9"/>
    <n v="9"/>
    <n v="9"/>
    <m/>
    <m/>
    <m/>
    <m/>
    <m/>
    <m/>
    <m/>
    <n v="0"/>
    <n v="0"/>
    <n v="0"/>
    <n v="0"/>
    <n v="0"/>
    <n v="0"/>
    <n v="0"/>
    <n v="0"/>
    <n v="0"/>
    <n v="0"/>
    <n v="0"/>
    <n v="0"/>
    <n v="0"/>
    <n v="0"/>
    <n v="0"/>
    <n v="0"/>
    <n v="0"/>
    <n v="0"/>
    <s v="MMR001CMP028"/>
    <x v="0"/>
    <x v="0"/>
    <s v="P4"/>
    <n v="2.2115739034279396E-4"/>
    <s v="No"/>
  </r>
  <r>
    <n v="58.43333333333333"/>
    <d v="2012-07-13T00:00:00"/>
    <x v="0"/>
    <s v="UNHCR"/>
    <s v="Kachin"/>
    <s v="Waingmaw"/>
    <s v="Maina Lawang Baptist Church"/>
    <m/>
    <m/>
    <m/>
    <n v="6"/>
    <n v="6"/>
    <n v="6"/>
    <n v="6"/>
    <n v="6"/>
    <n v="6"/>
    <n v="6"/>
    <m/>
    <m/>
    <m/>
    <m/>
    <m/>
    <m/>
    <m/>
    <n v="0"/>
    <n v="0"/>
    <n v="0"/>
    <n v="0"/>
    <n v="0"/>
    <n v="0"/>
    <n v="0"/>
    <n v="0"/>
    <n v="0"/>
    <n v="0"/>
    <n v="0"/>
    <n v="0"/>
    <n v="0"/>
    <n v="0"/>
    <n v="0"/>
    <n v="0"/>
    <n v="0"/>
    <n v="0"/>
    <s v="MMR001CMP039"/>
    <x v="0"/>
    <x v="0"/>
    <s v="P4"/>
    <n v="1.4677821811243211E-4"/>
    <s v="No"/>
  </r>
  <r>
    <n v="58.43333333333333"/>
    <d v="2012-07-13T00:00:00"/>
    <x v="0"/>
    <s v="UNHCR"/>
    <s v="Kachin"/>
    <s v="Waingmaw"/>
    <s v="Qtr. 2 Lhaovo Baptist Church"/>
    <m/>
    <m/>
    <m/>
    <n v="13"/>
    <n v="13"/>
    <n v="13"/>
    <n v="13"/>
    <n v="13"/>
    <n v="13"/>
    <n v="13"/>
    <m/>
    <m/>
    <m/>
    <m/>
    <m/>
    <m/>
    <m/>
    <n v="0"/>
    <n v="0"/>
    <n v="0"/>
    <n v="0"/>
    <n v="0"/>
    <n v="0"/>
    <n v="0"/>
    <n v="0"/>
    <n v="0"/>
    <n v="0"/>
    <n v="0"/>
    <n v="0"/>
    <n v="0"/>
    <n v="0"/>
    <n v="0"/>
    <n v="0"/>
    <n v="0"/>
    <n v="0"/>
    <s v="MMR001CMP032"/>
    <x v="0"/>
    <x v="0"/>
    <s v="P4"/>
    <n v="3.1921424186617559E-4"/>
    <s v="No"/>
  </r>
  <r>
    <n v="58.43333333333333"/>
    <d v="2012-07-13T00:00:00"/>
    <x v="0"/>
    <s v="UNHCR"/>
    <s v="Kachin"/>
    <s v="Waingmaw"/>
    <s v="Qtr. 4 Monestry (Thargaya Thayett Taw)"/>
    <m/>
    <m/>
    <m/>
    <n v="3"/>
    <n v="3"/>
    <n v="3"/>
    <n v="3"/>
    <n v="3"/>
    <n v="3"/>
    <n v="3"/>
    <m/>
    <m/>
    <m/>
    <m/>
    <m/>
    <m/>
    <m/>
    <n v="0"/>
    <n v="0"/>
    <n v="0"/>
    <n v="0"/>
    <n v="0"/>
    <n v="0"/>
    <n v="0"/>
    <n v="0"/>
    <n v="0"/>
    <n v="0"/>
    <n v="0"/>
    <n v="0"/>
    <n v="0"/>
    <n v="0"/>
    <n v="0"/>
    <n v="0"/>
    <n v="0"/>
    <n v="0"/>
    <s v="MMR001CMP026"/>
    <x v="0"/>
    <x v="0"/>
    <s v="P4"/>
    <n v="7.3277967757694182E-5"/>
    <s v="No"/>
  </r>
  <r>
    <n v="58.43333333333333"/>
    <d v="2012-07-13T00:00:00"/>
    <x v="0"/>
    <s v="UNHCR"/>
    <s v="Kachin"/>
    <s v="Waingmaw"/>
    <s v="Thargaya Lisu Baptist Church"/>
    <m/>
    <m/>
    <m/>
    <n v="8"/>
    <n v="8"/>
    <n v="8"/>
    <n v="8"/>
    <n v="8"/>
    <n v="8"/>
    <n v="8"/>
    <m/>
    <m/>
    <m/>
    <m/>
    <m/>
    <m/>
    <m/>
    <n v="0"/>
    <n v="0"/>
    <n v="0"/>
    <n v="0"/>
    <n v="0"/>
    <n v="0"/>
    <n v="0"/>
    <n v="0"/>
    <n v="0"/>
    <n v="0"/>
    <n v="0"/>
    <n v="0"/>
    <n v="0"/>
    <n v="0"/>
    <n v="0"/>
    <n v="0"/>
    <n v="0"/>
    <n v="0"/>
    <s v="MMR001CMP037"/>
    <x v="0"/>
    <x v="0"/>
    <s v="P4"/>
    <n v="1.9584802193497845E-4"/>
    <s v="No"/>
  </r>
  <r>
    <n v="58.43333333333333"/>
    <d v="2012-07-13T00:00:00"/>
    <x v="0"/>
    <s v="UNHCR"/>
    <s v="Kachin"/>
    <s v="Waingmaw"/>
    <s v="Waingmaw Baptist Zonal Office"/>
    <m/>
    <m/>
    <m/>
    <n v="2"/>
    <n v="2"/>
    <n v="2"/>
    <n v="2"/>
    <n v="2"/>
    <n v="2"/>
    <n v="2"/>
    <m/>
    <m/>
    <m/>
    <m/>
    <m/>
    <m/>
    <m/>
    <n v="0"/>
    <n v="0"/>
    <n v="0"/>
    <n v="0"/>
    <n v="0"/>
    <n v="0"/>
    <n v="0"/>
    <n v="0"/>
    <n v="0"/>
    <n v="0"/>
    <n v="0"/>
    <n v="0"/>
    <n v="0"/>
    <n v="0"/>
    <n v="0"/>
    <n v="0"/>
    <n v="0"/>
    <n v="0"/>
    <s v="MMR001CMP036"/>
    <x v="0"/>
    <x v="1"/>
    <s v="P4"/>
    <n v="4.8962005483744613E-5"/>
    <s v="No"/>
  </r>
  <r>
    <n v="58.333333333333336"/>
    <d v="2012-07-16T00:00:00"/>
    <x v="0"/>
    <s v="UNHCR"/>
    <s v="Kachin"/>
    <s v="Myitkyina"/>
    <s v="Kyun Pin Thar Baptist Church"/>
    <m/>
    <m/>
    <m/>
    <n v="33"/>
    <n v="33"/>
    <n v="33"/>
    <n v="33"/>
    <n v="33"/>
    <n v="33"/>
    <n v="33"/>
    <m/>
    <m/>
    <m/>
    <m/>
    <m/>
    <m/>
    <m/>
    <n v="0"/>
    <n v="0"/>
    <n v="0"/>
    <n v="0"/>
    <n v="0"/>
    <n v="0"/>
    <n v="0"/>
    <n v="0"/>
    <n v="0"/>
    <n v="0"/>
    <n v="0"/>
    <n v="0"/>
    <n v="0"/>
    <n v="0"/>
    <n v="0"/>
    <n v="0"/>
    <n v="0"/>
    <n v="0"/>
    <s v="MMR001CMP013"/>
    <x v="0"/>
    <x v="0"/>
    <s v="P4"/>
    <n v="8.0666845926324286E-4"/>
    <s v="No"/>
  </r>
  <r>
    <n v="58.333333333333336"/>
    <d v="2012-07-16T00:00:00"/>
    <x v="0"/>
    <s v="UNHCR"/>
    <s v="Kachin"/>
    <s v="Myitkyina"/>
    <s v="Le Kone Bethlehem Church"/>
    <m/>
    <m/>
    <m/>
    <n v="6"/>
    <n v="6"/>
    <n v="6"/>
    <n v="6"/>
    <n v="6"/>
    <n v="6"/>
    <n v="6"/>
    <m/>
    <m/>
    <m/>
    <m/>
    <m/>
    <m/>
    <m/>
    <n v="0"/>
    <n v="0"/>
    <n v="0"/>
    <n v="0"/>
    <n v="0"/>
    <n v="0"/>
    <n v="0"/>
    <n v="0"/>
    <n v="0"/>
    <n v="0"/>
    <n v="0"/>
    <n v="0"/>
    <n v="0"/>
    <n v="0"/>
    <n v="0"/>
    <n v="0"/>
    <n v="0"/>
    <n v="0"/>
    <s v="MMR001CMP015"/>
    <x v="0"/>
    <x v="0"/>
    <s v="P4"/>
    <n v="1.4777233209368765E-4"/>
    <s v="No"/>
  </r>
  <r>
    <n v="58.333333333333336"/>
    <d v="2012-07-16T00:00:00"/>
    <x v="0"/>
    <s v="UNHCR"/>
    <s v="Kachin"/>
    <s v="Myitkyina"/>
    <s v="Le Kone Bethlehem Church"/>
    <m/>
    <m/>
    <m/>
    <n v="13"/>
    <n v="13"/>
    <n v="13"/>
    <n v="13"/>
    <n v="13"/>
    <n v="13"/>
    <n v="13"/>
    <m/>
    <m/>
    <m/>
    <m/>
    <m/>
    <m/>
    <m/>
    <n v="0"/>
    <n v="0"/>
    <n v="0"/>
    <n v="0"/>
    <n v="0"/>
    <n v="0"/>
    <n v="0"/>
    <n v="0"/>
    <n v="0"/>
    <n v="0"/>
    <n v="0"/>
    <n v="0"/>
    <n v="0"/>
    <n v="0"/>
    <n v="0"/>
    <n v="0"/>
    <n v="0"/>
    <n v="0"/>
    <s v="MMR001CMP015"/>
    <x v="0"/>
    <x v="0"/>
    <s v="P4"/>
    <n v="3.2017338620298993E-4"/>
    <s v="No"/>
  </r>
  <r>
    <n v="58.333333333333336"/>
    <d v="2012-07-16T00:00:00"/>
    <x v="0"/>
    <s v="UNHCR"/>
    <s v="Kachin"/>
    <s v="Myitkyina"/>
    <s v="Le Kone Ziun Baptist Church "/>
    <m/>
    <m/>
    <m/>
    <n v="50"/>
    <n v="50"/>
    <n v="50"/>
    <n v="50"/>
    <n v="50"/>
    <n v="50"/>
    <n v="50"/>
    <m/>
    <m/>
    <m/>
    <m/>
    <m/>
    <m/>
    <m/>
    <n v="0"/>
    <n v="0"/>
    <n v="0"/>
    <n v="0"/>
    <n v="0"/>
    <n v="0"/>
    <n v="0"/>
    <n v="0"/>
    <n v="0"/>
    <n v="0"/>
    <n v="0"/>
    <n v="0"/>
    <n v="0"/>
    <n v="0"/>
    <n v="0"/>
    <n v="0"/>
    <n v="0"/>
    <n v="0"/>
    <s v="MMR001CMP014"/>
    <x v="0"/>
    <x v="0"/>
    <s v="P4"/>
    <n v="1.2286521685710775E-3"/>
    <s v="No"/>
  </r>
  <r>
    <n v="58.333333333333336"/>
    <d v="2012-07-16T00:00:00"/>
    <x v="0"/>
    <s v="UNHCR"/>
    <s v="Kachin"/>
    <s v="Myitkyina"/>
    <s v="Maliyang Baptist Church"/>
    <m/>
    <m/>
    <m/>
    <n v="3"/>
    <n v="3"/>
    <n v="3"/>
    <n v="3"/>
    <n v="3"/>
    <n v="3"/>
    <n v="3"/>
    <m/>
    <m/>
    <m/>
    <m/>
    <m/>
    <m/>
    <m/>
    <n v="0"/>
    <n v="0"/>
    <n v="0"/>
    <n v="0"/>
    <n v="0"/>
    <n v="0"/>
    <n v="0"/>
    <n v="0"/>
    <n v="0"/>
    <n v="0"/>
    <n v="0"/>
    <n v="0"/>
    <n v="0"/>
    <n v="0"/>
    <n v="0"/>
    <n v="0"/>
    <n v="0"/>
    <n v="0"/>
    <s v="MMR001CMP016"/>
    <x v="0"/>
    <x v="0"/>
    <s v="P4"/>
    <n v="7.3608793797232309E-5"/>
    <s v="No"/>
  </r>
  <r>
    <n v="58.333333333333336"/>
    <d v="2012-07-16T00:00:00"/>
    <x v="0"/>
    <s v="UNHCR"/>
    <s v="Kachin"/>
    <s v="Myitkyina"/>
    <s v="Njang Dung Baptist Church "/>
    <m/>
    <m/>
    <m/>
    <n v="25"/>
    <n v="25"/>
    <n v="25"/>
    <n v="25"/>
    <n v="25"/>
    <n v="25"/>
    <n v="25"/>
    <m/>
    <m/>
    <m/>
    <m/>
    <m/>
    <m/>
    <m/>
    <n v="0"/>
    <n v="0"/>
    <n v="0"/>
    <n v="0"/>
    <n v="0"/>
    <n v="0"/>
    <n v="0"/>
    <n v="0"/>
    <n v="0"/>
    <n v="0"/>
    <n v="0"/>
    <n v="0"/>
    <n v="0"/>
    <n v="0"/>
    <n v="0"/>
    <n v="0"/>
    <n v="0"/>
    <n v="0"/>
    <s v="MMR001CMP002"/>
    <x v="0"/>
    <x v="0"/>
    <s v="P4"/>
    <n v="6.1432608428553873E-4"/>
    <s v="No"/>
  </r>
  <r>
    <n v="58.3"/>
    <d v="2012-07-17T00:00:00"/>
    <x v="0"/>
    <s v="UNHCR"/>
    <s v="Kachin"/>
    <s v="Waingmaw"/>
    <s v="Border Post 8"/>
    <m/>
    <m/>
    <m/>
    <n v="19"/>
    <n v="19"/>
    <n v="19"/>
    <n v="19"/>
    <n v="19"/>
    <n v="19"/>
    <n v="19"/>
    <m/>
    <m/>
    <m/>
    <m/>
    <m/>
    <m/>
    <m/>
    <n v="0"/>
    <n v="0"/>
    <n v="0"/>
    <n v="0"/>
    <n v="0"/>
    <n v="0"/>
    <n v="0"/>
    <n v="0"/>
    <n v="0"/>
    <n v="0"/>
    <n v="0"/>
    <n v="0"/>
    <n v="0"/>
    <n v="0"/>
    <n v="0"/>
    <n v="0"/>
    <n v="0"/>
    <n v="0"/>
    <s v="MMR001CMP113"/>
    <x v="0"/>
    <x v="0"/>
    <s v="P1"/>
    <n v="4.6513905209557383E-4"/>
    <s v="No"/>
  </r>
  <r>
    <n v="58.3"/>
    <d v="2012-07-17T00:00:00"/>
    <x v="0"/>
    <s v="UNHCR"/>
    <s v="Kachin"/>
    <s v="Myitkyina"/>
    <s v="Du Kahtawng Qtr. 14"/>
    <m/>
    <m/>
    <m/>
    <n v="5"/>
    <n v="5"/>
    <n v="5"/>
    <n v="5"/>
    <n v="5"/>
    <n v="5"/>
    <n v="5"/>
    <m/>
    <m/>
    <m/>
    <m/>
    <m/>
    <m/>
    <m/>
    <n v="0"/>
    <n v="0"/>
    <n v="0"/>
    <n v="0"/>
    <n v="0"/>
    <n v="0"/>
    <n v="0"/>
    <n v="0"/>
    <n v="0"/>
    <n v="0"/>
    <n v="0"/>
    <n v="0"/>
    <n v="0"/>
    <n v="0"/>
    <n v="0"/>
    <n v="0"/>
    <n v="0"/>
    <n v="0"/>
    <s v="MMR001CMP012"/>
    <x v="0"/>
    <x v="0"/>
    <s v="P4"/>
    <n v="1.2286521685710776E-4"/>
    <s v="No"/>
  </r>
  <r>
    <n v="58.3"/>
    <d v="2012-07-17T00:00:00"/>
    <x v="0"/>
    <s v="UNHCR"/>
    <s v="Kachin"/>
    <s v="Myitkyina"/>
    <s v="Du Kahtawng Qtr. 4"/>
    <m/>
    <m/>
    <m/>
    <n v="6"/>
    <n v="6"/>
    <n v="6"/>
    <n v="6"/>
    <n v="6"/>
    <n v="6"/>
    <n v="6"/>
    <m/>
    <m/>
    <m/>
    <m/>
    <m/>
    <m/>
    <m/>
    <n v="0"/>
    <n v="0"/>
    <n v="0"/>
    <n v="0"/>
    <n v="0"/>
    <n v="0"/>
    <n v="0"/>
    <n v="0"/>
    <n v="0"/>
    <n v="0"/>
    <n v="0"/>
    <n v="0"/>
    <n v="0"/>
    <n v="0"/>
    <n v="0"/>
    <n v="0"/>
    <n v="0"/>
    <n v="0"/>
    <s v="MMR001CMP010"/>
    <x v="0"/>
    <x v="0"/>
    <s v="P4"/>
    <n v="1.474382602285293E-4"/>
    <s v="No"/>
  </r>
  <r>
    <n v="58.3"/>
    <d v="2012-07-17T00:00:00"/>
    <x v="0"/>
    <s v="UNHCR"/>
    <s v="Kachin"/>
    <s v="Myitkyina"/>
    <s v="Du Kahtawng Qtr. 5"/>
    <m/>
    <m/>
    <m/>
    <n v="6"/>
    <n v="6"/>
    <n v="6"/>
    <n v="6"/>
    <n v="6"/>
    <n v="6"/>
    <n v="6"/>
    <m/>
    <m/>
    <m/>
    <m/>
    <m/>
    <m/>
    <m/>
    <n v="0"/>
    <n v="0"/>
    <n v="0"/>
    <n v="0"/>
    <n v="0"/>
    <n v="0"/>
    <n v="0"/>
    <n v="0"/>
    <n v="0"/>
    <n v="0"/>
    <n v="0"/>
    <n v="0"/>
    <n v="0"/>
    <n v="0"/>
    <n v="0"/>
    <n v="0"/>
    <n v="0"/>
    <n v="0"/>
    <s v="MMR001CMP011"/>
    <x v="0"/>
    <x v="0"/>
    <s v="P4"/>
    <n v="1.474382602285293E-4"/>
    <s v="No"/>
  </r>
  <r>
    <n v="58.3"/>
    <d v="2012-07-17T00:00:00"/>
    <x v="0"/>
    <s v="UNHCR"/>
    <s v="Kachin"/>
    <s v="Momauk"/>
    <s v="Dum Bung "/>
    <m/>
    <m/>
    <m/>
    <n v="380"/>
    <n v="156"/>
    <n v="380"/>
    <n v="156"/>
    <n v="156"/>
    <n v="156"/>
    <n v="156"/>
    <m/>
    <m/>
    <m/>
    <m/>
    <m/>
    <m/>
    <m/>
    <n v="0"/>
    <n v="0"/>
    <n v="0"/>
    <n v="0"/>
    <n v="0"/>
    <n v="0"/>
    <n v="0"/>
    <n v="0"/>
    <n v="0"/>
    <n v="0"/>
    <n v="0"/>
    <n v="0"/>
    <n v="0"/>
    <n v="0"/>
    <n v="0"/>
    <n v="0"/>
    <n v="0"/>
    <n v="0"/>
    <s v="MMR001CMP123"/>
    <x v="0"/>
    <x v="0"/>
    <s v="P2"/>
    <n v="3.8276572774560802E-3"/>
    <s v="No"/>
  </r>
  <r>
    <n v="58.3"/>
    <d v="2012-07-17T00:00:00"/>
    <x v="0"/>
    <s v="UNHCR"/>
    <s v="Kachin"/>
    <s v="Momauk"/>
    <s v="Hpun Lum Yang "/>
    <m/>
    <m/>
    <m/>
    <n v="0"/>
    <n v="0"/>
    <n v="0"/>
    <n v="0"/>
    <n v="0"/>
    <m/>
    <m/>
    <m/>
    <m/>
    <m/>
    <m/>
    <m/>
    <m/>
    <m/>
    <n v="0"/>
    <n v="0"/>
    <n v="0"/>
    <n v="0"/>
    <n v="0"/>
    <n v="0"/>
    <n v="0"/>
    <n v="0"/>
    <n v="0"/>
    <n v="0"/>
    <n v="0"/>
    <n v="0"/>
    <n v="0"/>
    <n v="0"/>
    <n v="0"/>
    <n v="0"/>
    <n v="0"/>
    <n v="0"/>
    <s v="MMR001CMP122"/>
    <x v="0"/>
    <x v="0"/>
    <s v="P2"/>
    <n v="0"/>
    <s v="No"/>
  </r>
  <r>
    <n v="58.3"/>
    <d v="2012-07-17T00:00:00"/>
    <x v="0"/>
    <s v="UNHCR"/>
    <s v="Kachin"/>
    <s v="Myitkyina"/>
    <s v="Jan Mai Kawng Baptist Church"/>
    <m/>
    <m/>
    <m/>
    <n v="21"/>
    <n v="21"/>
    <n v="21"/>
    <n v="21"/>
    <n v="21"/>
    <n v="21"/>
    <n v="21"/>
    <m/>
    <m/>
    <m/>
    <m/>
    <m/>
    <m/>
    <m/>
    <n v="0"/>
    <n v="0"/>
    <n v="0"/>
    <n v="0"/>
    <n v="0"/>
    <n v="0"/>
    <n v="0"/>
    <n v="0"/>
    <n v="0"/>
    <n v="0"/>
    <n v="0"/>
    <n v="0"/>
    <n v="0"/>
    <n v="0"/>
    <n v="0"/>
    <n v="0"/>
    <n v="0"/>
    <n v="0"/>
    <s v="MMR001CMP018"/>
    <x v="0"/>
    <x v="0"/>
    <s v="P4"/>
    <n v="5.1565377532228362E-4"/>
    <s v="No"/>
  </r>
  <r>
    <n v="58.3"/>
    <d v="2012-07-17T00:00:00"/>
    <x v="0"/>
    <s v="UNHCR"/>
    <s v="Kachin"/>
    <s v="Momauk"/>
    <s v="Loi Je Lisu Camp"/>
    <m/>
    <m/>
    <m/>
    <n v="0"/>
    <n v="0"/>
    <n v="0"/>
    <n v="0"/>
    <n v="0"/>
    <m/>
    <m/>
    <m/>
    <m/>
    <m/>
    <m/>
    <m/>
    <m/>
    <m/>
    <n v="0"/>
    <n v="0"/>
    <n v="0"/>
    <n v="0"/>
    <n v="0"/>
    <n v="0"/>
    <n v="0"/>
    <n v="0"/>
    <n v="0"/>
    <n v="0"/>
    <n v="0"/>
    <n v="0"/>
    <n v="0"/>
    <n v="0"/>
    <n v="0"/>
    <n v="0"/>
    <n v="0"/>
    <n v="0"/>
    <s v="MMR001CMP070"/>
    <x v="0"/>
    <x v="0"/>
    <s v="P3"/>
    <n v="0"/>
    <s v="No"/>
  </r>
  <r>
    <n v="58.3"/>
    <d v="2012-07-17T00:00:00"/>
    <x v="0"/>
    <s v="UNHCR"/>
    <s v="Kachin"/>
    <s v="Momauk"/>
    <s v="Mai Khat "/>
    <m/>
    <m/>
    <m/>
    <n v="0"/>
    <n v="0"/>
    <n v="0"/>
    <n v="0"/>
    <n v="0"/>
    <m/>
    <m/>
    <m/>
    <m/>
    <m/>
    <m/>
    <m/>
    <m/>
    <m/>
    <n v="0"/>
    <n v="0"/>
    <n v="0"/>
    <n v="0"/>
    <n v="0"/>
    <n v="0"/>
    <n v="0"/>
    <n v="0"/>
    <n v="0"/>
    <n v="0"/>
    <n v="0"/>
    <n v="0"/>
    <n v="0"/>
    <n v="0"/>
    <n v="0"/>
    <n v="0"/>
    <n v="0"/>
    <n v="0"/>
    <s v="MMR001CMP064"/>
    <x v="0"/>
    <x v="0"/>
    <s v="P4"/>
    <s v=""/>
    <s v="No"/>
  </r>
  <r>
    <n v="58.3"/>
    <d v="2012-07-17T00:00:00"/>
    <x v="0"/>
    <s v="UNHCR"/>
    <s v="Kachin"/>
    <s v="Momauk"/>
    <s v="Mai Khat "/>
    <m/>
    <m/>
    <m/>
    <n v="0"/>
    <n v="0"/>
    <n v="0"/>
    <n v="0"/>
    <n v="0"/>
    <m/>
    <m/>
    <m/>
    <m/>
    <m/>
    <m/>
    <m/>
    <m/>
    <m/>
    <n v="0"/>
    <n v="0"/>
    <n v="0"/>
    <n v="0"/>
    <n v="0"/>
    <n v="0"/>
    <n v="0"/>
    <n v="0"/>
    <n v="0"/>
    <n v="0"/>
    <n v="0"/>
    <n v="0"/>
    <n v="0"/>
    <n v="0"/>
    <n v="0"/>
    <n v="0"/>
    <n v="0"/>
    <n v="0"/>
    <s v="MMR001CMP064"/>
    <x v="0"/>
    <x v="0"/>
    <s v="P4"/>
    <s v=""/>
    <s v="No"/>
  </r>
  <r>
    <n v="58.3"/>
    <d v="2012-07-17T00:00:00"/>
    <x v="0"/>
    <s v="UNHCR"/>
    <s v="Kachin"/>
    <s v="Mansi"/>
    <s v="Man Wing Baptist Church"/>
    <m/>
    <m/>
    <m/>
    <n v="0"/>
    <n v="0"/>
    <n v="0"/>
    <n v="0"/>
    <n v="0"/>
    <m/>
    <m/>
    <m/>
    <m/>
    <m/>
    <m/>
    <m/>
    <m/>
    <m/>
    <n v="0"/>
    <n v="0"/>
    <n v="0"/>
    <n v="0"/>
    <n v="0"/>
    <n v="0"/>
    <n v="0"/>
    <n v="0"/>
    <n v="0"/>
    <n v="0"/>
    <n v="0"/>
    <n v="0"/>
    <n v="0"/>
    <n v="0"/>
    <n v="0"/>
    <n v="0"/>
    <n v="0"/>
    <n v="0"/>
    <s v="MMR001CMP133"/>
    <x v="0"/>
    <x v="0"/>
    <s v="P4"/>
    <n v="0"/>
    <s v="No"/>
  </r>
  <r>
    <n v="58.3"/>
    <d v="2012-07-17T00:00:00"/>
    <x v="0"/>
    <s v="UNHCR"/>
    <s v="Kachin"/>
    <s v="Myitkyina"/>
    <s v="Maw Hpawng Hka Nan Baptist Church"/>
    <m/>
    <m/>
    <m/>
    <n v="0"/>
    <n v="0"/>
    <n v="0"/>
    <n v="0"/>
    <n v="0"/>
    <m/>
    <m/>
    <m/>
    <m/>
    <m/>
    <m/>
    <m/>
    <m/>
    <m/>
    <n v="0"/>
    <n v="0"/>
    <n v="0"/>
    <n v="0"/>
    <n v="0"/>
    <n v="0"/>
    <n v="0"/>
    <n v="0"/>
    <n v="0"/>
    <n v="0"/>
    <n v="0"/>
    <n v="0"/>
    <n v="0"/>
    <n v="0"/>
    <n v="0"/>
    <n v="0"/>
    <n v="0"/>
    <n v="0"/>
    <s v="MMR001CMP020"/>
    <x v="0"/>
    <x v="0"/>
    <s v="P4"/>
    <n v="0"/>
    <s v="No"/>
  </r>
  <r>
    <n v="58.3"/>
    <d v="2012-07-17T00:00:00"/>
    <x v="0"/>
    <s v="UNHCR"/>
    <s v="Kachin"/>
    <s v="Myitkyina"/>
    <s v="Maw Hpawng Hka Nan Baptist Church"/>
    <m/>
    <m/>
    <m/>
    <n v="19"/>
    <n v="19"/>
    <n v="19"/>
    <n v="19"/>
    <n v="19"/>
    <n v="19"/>
    <n v="19"/>
    <m/>
    <m/>
    <m/>
    <m/>
    <m/>
    <m/>
    <m/>
    <n v="0"/>
    <n v="0"/>
    <n v="0"/>
    <n v="0"/>
    <n v="0"/>
    <n v="0"/>
    <n v="0"/>
    <n v="0"/>
    <n v="0"/>
    <n v="0"/>
    <n v="0"/>
    <n v="0"/>
    <n v="0"/>
    <n v="0"/>
    <n v="0"/>
    <n v="0"/>
    <n v="0"/>
    <n v="0"/>
    <s v="MMR001CMP020"/>
    <x v="0"/>
    <x v="0"/>
    <s v="P4"/>
    <n v="4.6549231937673027E-4"/>
    <s v="No"/>
  </r>
  <r>
    <n v="58.3"/>
    <d v="2012-07-17T00:00:00"/>
    <x v="0"/>
    <s v="UNHCR"/>
    <s v="Kachin"/>
    <s v="Myitkyina"/>
    <s v="Nan Kway St. John Catholic Church"/>
    <m/>
    <m/>
    <m/>
    <n v="6"/>
    <n v="6"/>
    <n v="6"/>
    <n v="6"/>
    <n v="6"/>
    <n v="6"/>
    <n v="6"/>
    <m/>
    <m/>
    <m/>
    <m/>
    <m/>
    <m/>
    <m/>
    <n v="0"/>
    <n v="0"/>
    <n v="0"/>
    <n v="0"/>
    <n v="0"/>
    <n v="0"/>
    <n v="0"/>
    <n v="0"/>
    <n v="0"/>
    <n v="0"/>
    <n v="0"/>
    <n v="0"/>
    <n v="0"/>
    <n v="0"/>
    <n v="0"/>
    <n v="0"/>
    <n v="0"/>
    <n v="0"/>
    <s v="MMR001CMP024"/>
    <x v="0"/>
    <x v="0"/>
    <s v="P4"/>
    <n v="1.4666699259331686E-4"/>
    <s v="No"/>
  </r>
  <r>
    <n v="58.3"/>
    <d v="2012-07-17T00:00:00"/>
    <x v="0"/>
    <s v="UNHCR"/>
    <s v="Kachin"/>
    <s v="Momauk"/>
    <s v="Pa Kahtawng "/>
    <m/>
    <m/>
    <m/>
    <n v="0"/>
    <n v="0"/>
    <n v="0"/>
    <n v="0"/>
    <n v="0"/>
    <m/>
    <m/>
    <m/>
    <m/>
    <m/>
    <m/>
    <m/>
    <m/>
    <m/>
    <n v="0"/>
    <n v="0"/>
    <n v="0"/>
    <n v="0"/>
    <n v="0"/>
    <n v="0"/>
    <n v="0"/>
    <n v="0"/>
    <n v="0"/>
    <n v="0"/>
    <n v="0"/>
    <n v="0"/>
    <n v="0"/>
    <n v="0"/>
    <n v="0"/>
    <n v="0"/>
    <n v="0"/>
    <n v="0"/>
    <s v="MMR001CMP126"/>
    <x v="0"/>
    <x v="0"/>
    <s v="P2"/>
    <n v="0"/>
    <s v="No"/>
  </r>
  <r>
    <n v="58.3"/>
    <d v="2012-07-17T00:00:00"/>
    <x v="0"/>
    <s v="UNHCR"/>
    <s v="Kachin"/>
    <s v="Momauk"/>
    <s v="Pa Kahtawng "/>
    <m/>
    <m/>
    <m/>
    <n v="0"/>
    <n v="0"/>
    <n v="0"/>
    <n v="0"/>
    <n v="0"/>
    <m/>
    <m/>
    <m/>
    <m/>
    <m/>
    <m/>
    <m/>
    <m/>
    <m/>
    <n v="0"/>
    <n v="0"/>
    <n v="0"/>
    <n v="0"/>
    <n v="0"/>
    <n v="0"/>
    <n v="0"/>
    <n v="0"/>
    <n v="0"/>
    <n v="0"/>
    <n v="0"/>
    <n v="0"/>
    <n v="0"/>
    <n v="0"/>
    <n v="0"/>
    <n v="0"/>
    <n v="0"/>
    <n v="0"/>
    <s v="MMR001CMP126"/>
    <x v="0"/>
    <x v="0"/>
    <s v="P2"/>
    <n v="0"/>
    <s v="No"/>
  </r>
  <r>
    <n v="58.3"/>
    <d v="2012-07-17T00:00:00"/>
    <x v="0"/>
    <s v="UNHCR"/>
    <s v="Kachin"/>
    <s v="Myitkyina"/>
    <s v="Shatapru Thida Aye Baptist Church"/>
    <m/>
    <m/>
    <m/>
    <n v="3"/>
    <n v="3"/>
    <n v="3"/>
    <n v="3"/>
    <n v="3"/>
    <n v="3"/>
    <n v="3"/>
    <m/>
    <m/>
    <m/>
    <m/>
    <m/>
    <m/>
    <m/>
    <n v="0"/>
    <n v="0"/>
    <n v="0"/>
    <n v="0"/>
    <n v="0"/>
    <n v="0"/>
    <n v="0"/>
    <n v="0"/>
    <n v="0"/>
    <n v="0"/>
    <n v="0"/>
    <n v="0"/>
    <n v="0"/>
    <n v="0"/>
    <n v="0"/>
    <n v="0"/>
    <n v="0"/>
    <n v="0"/>
    <s v="MMR001CMP007"/>
    <x v="0"/>
    <x v="0"/>
    <s v="P4"/>
    <n v="7.333349629665843E-5"/>
    <s v="No"/>
  </r>
  <r>
    <n v="58.3"/>
    <d v="2012-07-17T00:00:00"/>
    <x v="0"/>
    <s v="UNHCR"/>
    <s v="Kachin"/>
    <s v="Myitkyina"/>
    <s v="Tat Kone Galile Baptist Church"/>
    <m/>
    <m/>
    <m/>
    <n v="7"/>
    <n v="7"/>
    <n v="7"/>
    <n v="7"/>
    <n v="7"/>
    <n v="7"/>
    <n v="7"/>
    <m/>
    <m/>
    <m/>
    <m/>
    <m/>
    <m/>
    <m/>
    <n v="0"/>
    <n v="0"/>
    <n v="0"/>
    <n v="0"/>
    <n v="0"/>
    <n v="0"/>
    <n v="0"/>
    <n v="0"/>
    <n v="0"/>
    <n v="0"/>
    <n v="0"/>
    <n v="0"/>
    <n v="0"/>
    <n v="0"/>
    <n v="0"/>
    <n v="0"/>
    <n v="0"/>
    <n v="0"/>
    <s v="MMR001CMP003"/>
    <x v="0"/>
    <x v="0"/>
    <s v="P4"/>
    <n v="1.7188459177409454E-4"/>
    <s v="No"/>
  </r>
  <r>
    <n v="58.3"/>
    <d v="2012-07-17T00:00:00"/>
    <x v="0"/>
    <s v="UNHCR"/>
    <s v="Kachin"/>
    <s v="Mansi"/>
    <s v="Lung Kawk  ( Hka Hkye Zup)"/>
    <m/>
    <m/>
    <m/>
    <n v="0"/>
    <n v="0"/>
    <n v="0"/>
    <n v="0"/>
    <n v="0"/>
    <m/>
    <m/>
    <m/>
    <m/>
    <m/>
    <m/>
    <m/>
    <m/>
    <m/>
    <n v="0"/>
    <n v="0"/>
    <n v="0"/>
    <n v="0"/>
    <n v="0"/>
    <n v="0"/>
    <n v="0"/>
    <n v="0"/>
    <n v="0"/>
    <n v="0"/>
    <n v="0"/>
    <n v="0"/>
    <n v="0"/>
    <n v="0"/>
    <n v="0"/>
    <n v="0"/>
    <n v="0"/>
    <n v="0"/>
    <s v="MMR001CMP135"/>
    <x v="0"/>
    <x v="1"/>
    <s v="P2"/>
    <n v="0"/>
    <s v="No"/>
  </r>
  <r>
    <n v="58.3"/>
    <d v="2012-07-17T00:00:00"/>
    <x v="0"/>
    <s v="UNHCR"/>
    <s v="Kachin"/>
    <s v="Waingmaw"/>
    <s v="Moke Lwe Village - Hkar Shi"/>
    <m/>
    <m/>
    <m/>
    <n v="0"/>
    <n v="0"/>
    <n v="0"/>
    <n v="0"/>
    <n v="0"/>
    <m/>
    <m/>
    <m/>
    <m/>
    <m/>
    <m/>
    <m/>
    <m/>
    <m/>
    <n v="0"/>
    <n v="0"/>
    <n v="0"/>
    <n v="0"/>
    <n v="0"/>
    <n v="0"/>
    <n v="0"/>
    <n v="0"/>
    <n v="0"/>
    <n v="0"/>
    <n v="0"/>
    <n v="0"/>
    <n v="0"/>
    <n v="0"/>
    <n v="0"/>
    <n v="0"/>
    <n v="0"/>
    <n v="0"/>
    <s v="MMR001CMP035"/>
    <x v="0"/>
    <x v="1"/>
    <s v=""/>
    <s v=""/>
    <s v="No"/>
  </r>
  <r>
    <n v="58.266666666666666"/>
    <d v="2012-07-18T00:00:00"/>
    <x v="1"/>
    <s v="LDO"/>
    <s v="Kachin"/>
    <s v="Momauk"/>
    <s v="Dum Bung "/>
    <n v="33"/>
    <m/>
    <m/>
    <m/>
    <m/>
    <m/>
    <m/>
    <m/>
    <m/>
    <m/>
    <m/>
    <m/>
    <m/>
    <m/>
    <m/>
    <m/>
    <m/>
    <n v="0"/>
    <n v="0"/>
    <n v="0"/>
    <n v="0"/>
    <n v="0"/>
    <n v="0"/>
    <n v="0"/>
    <n v="0"/>
    <n v="0"/>
    <n v="0"/>
    <n v="0"/>
    <n v="0"/>
    <n v="0"/>
    <n v="0"/>
    <n v="0"/>
    <n v="0"/>
    <n v="0"/>
    <n v="0"/>
    <s v="MMR001CMP123"/>
    <x v="0"/>
    <x v="0"/>
    <s v="P2"/>
    <n v="0"/>
    <m/>
  </r>
  <r>
    <n v="58.266666666666666"/>
    <d v="2012-07-18T00:00:00"/>
    <x v="0"/>
    <s v="UNHCR"/>
    <s v="Kachin"/>
    <s v="Mansi"/>
    <s v="Mung Ding Pa  (Boarder)"/>
    <m/>
    <m/>
    <m/>
    <n v="170"/>
    <n v="16"/>
    <n v="170"/>
    <n v="85"/>
    <n v="85"/>
    <n v="85"/>
    <n v="85"/>
    <m/>
    <m/>
    <m/>
    <m/>
    <m/>
    <m/>
    <m/>
    <n v="0"/>
    <n v="0"/>
    <n v="0"/>
    <n v="0"/>
    <n v="0"/>
    <n v="0"/>
    <n v="0"/>
    <n v="0"/>
    <n v="0"/>
    <n v="0"/>
    <n v="0"/>
    <n v="0"/>
    <n v="0"/>
    <n v="0"/>
    <n v="0"/>
    <n v="0"/>
    <n v="0"/>
    <n v="0"/>
    <s v="MMR001CMP203"/>
    <x v="0"/>
    <x v="1"/>
    <s v=""/>
    <n v="2.0685794942931542E-3"/>
    <s v="No"/>
  </r>
  <r>
    <n v="58.266666666666666"/>
    <d v="2012-07-18T00:00:00"/>
    <x v="0"/>
    <s v="UNHCR"/>
    <s v="Kachin"/>
    <s v="Mansi"/>
    <s v="Nam Lim Pa - Scattered IDPs in forest"/>
    <m/>
    <m/>
    <m/>
    <n v="206"/>
    <n v="78"/>
    <n v="206"/>
    <n v="103"/>
    <n v="103"/>
    <n v="103"/>
    <n v="103"/>
    <m/>
    <m/>
    <m/>
    <m/>
    <m/>
    <m/>
    <m/>
    <n v="0"/>
    <n v="0"/>
    <n v="0"/>
    <n v="0"/>
    <n v="0"/>
    <n v="0"/>
    <n v="0"/>
    <n v="0"/>
    <n v="0"/>
    <n v="0"/>
    <n v="0"/>
    <n v="0"/>
    <n v="0"/>
    <n v="0"/>
    <n v="0"/>
    <n v="0"/>
    <n v="0"/>
    <n v="0"/>
    <s v="MMR001CMP137"/>
    <x v="0"/>
    <x v="1"/>
    <s v=""/>
    <s v=""/>
    <s v="No"/>
  </r>
  <r>
    <n v="58.233333333333334"/>
    <d v="2012-07-19T00:00:00"/>
    <x v="0"/>
    <s v="UNHCR"/>
    <s v="Kachin"/>
    <s v="Myitkyina"/>
    <s v="Kyun Pin Thar Baptist Church"/>
    <m/>
    <m/>
    <m/>
    <n v="6"/>
    <n v="4"/>
    <n v="6"/>
    <n v="4"/>
    <n v="4"/>
    <n v="4"/>
    <n v="4"/>
    <m/>
    <m/>
    <m/>
    <m/>
    <m/>
    <m/>
    <m/>
    <n v="0"/>
    <n v="0"/>
    <n v="0"/>
    <n v="0"/>
    <n v="0"/>
    <n v="0"/>
    <n v="0"/>
    <n v="0"/>
    <n v="0"/>
    <n v="0"/>
    <n v="0"/>
    <n v="0"/>
    <n v="0"/>
    <n v="0"/>
    <n v="0"/>
    <n v="0"/>
    <n v="0"/>
    <n v="0"/>
    <s v="MMR001CMP013"/>
    <x v="0"/>
    <x v="0"/>
    <s v="P4"/>
    <n v="9.7777995062211254E-5"/>
    <s v="No"/>
  </r>
  <r>
    <n v="58.233333333333334"/>
    <d v="2012-07-19T00:00:00"/>
    <x v="0"/>
    <s v="UNHCR"/>
    <s v="Kachin"/>
    <s v="Myitkyina"/>
    <s v="Tat Kone COC Baptist - Tat Kone Htoi San"/>
    <m/>
    <m/>
    <m/>
    <n v="3"/>
    <n v="2"/>
    <n v="3"/>
    <n v="2"/>
    <n v="2"/>
    <n v="2"/>
    <n v="2"/>
    <m/>
    <m/>
    <m/>
    <m/>
    <m/>
    <m/>
    <m/>
    <n v="0"/>
    <n v="0"/>
    <n v="0"/>
    <n v="0"/>
    <n v="0"/>
    <n v="0"/>
    <n v="0"/>
    <n v="0"/>
    <n v="0"/>
    <n v="0"/>
    <n v="0"/>
    <n v="0"/>
    <n v="0"/>
    <n v="0"/>
    <n v="0"/>
    <n v="0"/>
    <n v="0"/>
    <n v="0"/>
    <s v="MMR001CMP023"/>
    <x v="0"/>
    <x v="0"/>
    <s v="P4"/>
    <n v="4.8780487804878051E-5"/>
    <s v="No"/>
  </r>
  <r>
    <n v="58.233333333333334"/>
    <d v="2012-07-19T00:00:00"/>
    <x v="0"/>
    <s v="UNHCR"/>
    <s v="Kachin"/>
    <s v="Myitkyina"/>
    <s v="Wun Tho Buddhist Monastery"/>
    <m/>
    <m/>
    <m/>
    <n v="9"/>
    <n v="5"/>
    <n v="9"/>
    <n v="5"/>
    <n v="5"/>
    <n v="5"/>
    <n v="5"/>
    <m/>
    <m/>
    <m/>
    <m/>
    <m/>
    <m/>
    <m/>
    <n v="0"/>
    <n v="0"/>
    <n v="0"/>
    <n v="0"/>
    <n v="0"/>
    <n v="0"/>
    <n v="0"/>
    <n v="0"/>
    <n v="0"/>
    <n v="0"/>
    <n v="0"/>
    <n v="0"/>
    <n v="0"/>
    <n v="0"/>
    <n v="0"/>
    <n v="0"/>
    <n v="0"/>
    <n v="0"/>
    <s v="MMR001CMP022"/>
    <x v="0"/>
    <x v="0"/>
    <s v="P4"/>
    <n v="1.2195121951219512E-4"/>
    <s v="No"/>
  </r>
  <r>
    <n v="58.1"/>
    <d v="2012-07-23T00:00:00"/>
    <x v="0"/>
    <s v="UNHCR"/>
    <s v="Kachin"/>
    <s v="Myitkyina"/>
    <s v="Jan Mai Kawng Catholic Church"/>
    <m/>
    <m/>
    <m/>
    <n v="19"/>
    <n v="10"/>
    <n v="19"/>
    <n v="10"/>
    <n v="11"/>
    <n v="11"/>
    <n v="11"/>
    <m/>
    <m/>
    <m/>
    <m/>
    <m/>
    <m/>
    <m/>
    <n v="0"/>
    <n v="0"/>
    <n v="0"/>
    <n v="0"/>
    <n v="0"/>
    <n v="0"/>
    <n v="0"/>
    <n v="0"/>
    <n v="0"/>
    <n v="0"/>
    <n v="0"/>
    <n v="0"/>
    <n v="0"/>
    <n v="0"/>
    <n v="0"/>
    <n v="0"/>
    <n v="0"/>
    <n v="0"/>
    <s v="MMR001CMP019"/>
    <x v="0"/>
    <x v="0"/>
    <s v="P4"/>
    <n v="2.4554941682013506E-4"/>
    <s v="No"/>
  </r>
  <r>
    <n v="58.1"/>
    <d v="2012-07-23T00:00:00"/>
    <x v="0"/>
    <s v="UNHCR"/>
    <s v="Kachin"/>
    <s v="Myitkyina"/>
    <s v="Maliyang Baptist Church"/>
    <m/>
    <m/>
    <m/>
    <n v="72"/>
    <n v="39"/>
    <n v="72"/>
    <n v="39"/>
    <n v="39"/>
    <n v="39"/>
    <n v="39"/>
    <m/>
    <m/>
    <m/>
    <m/>
    <m/>
    <m/>
    <m/>
    <n v="0"/>
    <n v="0"/>
    <n v="0"/>
    <n v="0"/>
    <n v="0"/>
    <n v="0"/>
    <n v="0"/>
    <n v="0"/>
    <n v="0"/>
    <n v="0"/>
    <n v="0"/>
    <n v="0"/>
    <n v="0"/>
    <n v="0"/>
    <n v="0"/>
    <n v="0"/>
    <n v="0"/>
    <n v="0"/>
    <s v="MMR001CMP016"/>
    <x v="0"/>
    <x v="0"/>
    <s v="P4"/>
    <n v="9.5691431936402005E-4"/>
    <s v="No"/>
  </r>
  <r>
    <n v="58.1"/>
    <d v="2012-07-23T00:00:00"/>
    <x v="0"/>
    <s v="UNHCR"/>
    <s v="Kachin"/>
    <s v="Myitkyina"/>
    <s v="Shatapru Thida Aye Baptist Church"/>
    <m/>
    <m/>
    <m/>
    <n v="30"/>
    <n v="12"/>
    <n v="30"/>
    <n v="12"/>
    <n v="14"/>
    <n v="14"/>
    <n v="14"/>
    <m/>
    <m/>
    <m/>
    <m/>
    <m/>
    <m/>
    <m/>
    <n v="0"/>
    <n v="0"/>
    <n v="0"/>
    <n v="0"/>
    <n v="0"/>
    <n v="0"/>
    <n v="0"/>
    <n v="0"/>
    <n v="0"/>
    <n v="0"/>
    <n v="0"/>
    <n v="0"/>
    <n v="0"/>
    <n v="0"/>
    <n v="0"/>
    <n v="0"/>
    <n v="0"/>
    <n v="0"/>
    <s v="MMR001CMP007"/>
    <x v="0"/>
    <x v="0"/>
    <s v="P4"/>
    <n v="2.9333398518663372E-4"/>
    <s v="No"/>
  </r>
  <r>
    <n v="58.1"/>
    <d v="2012-07-23T00:00:00"/>
    <x v="0"/>
    <s v="UNHCR"/>
    <s v="Kachin"/>
    <s v="Myitkyina"/>
    <s v="Tat Kone San Pya Baptist Church"/>
    <m/>
    <m/>
    <m/>
    <n v="24"/>
    <n v="8"/>
    <n v="24"/>
    <n v="8"/>
    <n v="13"/>
    <n v="13"/>
    <n v="13"/>
    <m/>
    <m/>
    <m/>
    <m/>
    <m/>
    <m/>
    <m/>
    <n v="0"/>
    <n v="0"/>
    <n v="0"/>
    <n v="0"/>
    <n v="0"/>
    <n v="0"/>
    <n v="0"/>
    <n v="0"/>
    <n v="0"/>
    <n v="0"/>
    <n v="0"/>
    <n v="0"/>
    <n v="0"/>
    <n v="0"/>
    <n v="0"/>
    <n v="0"/>
    <n v="0"/>
    <n v="0"/>
    <s v="MMR001CMP005"/>
    <x v="0"/>
    <x v="0"/>
    <s v="P4"/>
    <n v="1.9599676605336011E-4"/>
    <s v="No"/>
  </r>
  <r>
    <n v="58"/>
    <d v="2012-07-26T00:00:00"/>
    <x v="0"/>
    <s v="UNHCR"/>
    <s v="Kachin"/>
    <s v="Mogaung"/>
    <s v="Mang Hawng Baptist Church"/>
    <m/>
    <m/>
    <m/>
    <n v="31"/>
    <n v="15"/>
    <n v="31"/>
    <n v="15"/>
    <n v="16"/>
    <n v="16"/>
    <n v="16"/>
    <m/>
    <m/>
    <m/>
    <m/>
    <m/>
    <m/>
    <m/>
    <n v="0"/>
    <n v="0"/>
    <n v="0"/>
    <n v="0"/>
    <n v="0"/>
    <n v="0"/>
    <n v="0"/>
    <n v="0"/>
    <n v="0"/>
    <n v="0"/>
    <n v="0"/>
    <n v="0"/>
    <n v="0"/>
    <n v="0"/>
    <n v="0"/>
    <n v="0"/>
    <n v="0"/>
    <n v="0"/>
    <s v="MMR001CMP077"/>
    <x v="0"/>
    <x v="0"/>
    <s v="P4"/>
    <n v="3.6558615647087499E-4"/>
    <s v="No"/>
  </r>
  <r>
    <n v="58"/>
    <d v="2012-07-26T00:00:00"/>
    <x v="0"/>
    <s v="UNHCR"/>
    <s v="Kachin"/>
    <s v="Mogaung"/>
    <s v="Nat Gyi Kone Baptist Church "/>
    <m/>
    <m/>
    <m/>
    <n v="21"/>
    <n v="17"/>
    <n v="21"/>
    <n v="17"/>
    <n v="17"/>
    <n v="17"/>
    <n v="17"/>
    <m/>
    <m/>
    <m/>
    <m/>
    <m/>
    <m/>
    <m/>
    <n v="0"/>
    <n v="0"/>
    <n v="0"/>
    <n v="0"/>
    <n v="0"/>
    <n v="0"/>
    <n v="0"/>
    <n v="0"/>
    <n v="0"/>
    <n v="0"/>
    <n v="0"/>
    <n v="0"/>
    <n v="0"/>
    <n v="0"/>
    <n v="0"/>
    <n v="0"/>
    <n v="0"/>
    <n v="0"/>
    <s v="MMR001CMP079"/>
    <x v="0"/>
    <x v="0"/>
    <s v="P4"/>
    <n v="4.1494788742707902E-4"/>
    <s v="No"/>
  </r>
  <r>
    <n v="57.966666666666669"/>
    <d v="2012-07-27T00:00:00"/>
    <x v="0"/>
    <s v="UNHCR"/>
    <s v="Kachin"/>
    <s v="Mogaung"/>
    <s v="Kyun Taw Baptist Church "/>
    <m/>
    <m/>
    <m/>
    <n v="35"/>
    <n v="14"/>
    <n v="35"/>
    <n v="14"/>
    <n v="14"/>
    <n v="14"/>
    <n v="14"/>
    <m/>
    <m/>
    <m/>
    <m/>
    <m/>
    <m/>
    <m/>
    <n v="0"/>
    <n v="0"/>
    <n v="0"/>
    <n v="0"/>
    <n v="0"/>
    <n v="0"/>
    <n v="0"/>
    <n v="0"/>
    <n v="0"/>
    <n v="0"/>
    <n v="0"/>
    <n v="0"/>
    <n v="0"/>
    <n v="0"/>
    <n v="0"/>
    <n v="0"/>
    <n v="0"/>
    <n v="0"/>
    <s v="MMR001CMP078"/>
    <x v="0"/>
    <x v="0"/>
    <s v="P4"/>
    <n v="3.4121374603948332E-4"/>
    <s v="No"/>
  </r>
  <r>
    <n v="57.966666666666669"/>
    <d v="2012-07-27T00:00:00"/>
    <x v="0"/>
    <s v="UNHCR"/>
    <s v="Kachin"/>
    <s v="Mohnyin"/>
    <s v="St. Patrick Catholic Church "/>
    <m/>
    <m/>
    <m/>
    <n v="0"/>
    <n v="8"/>
    <n v="0"/>
    <n v="8"/>
    <n v="8"/>
    <n v="8"/>
    <n v="8"/>
    <m/>
    <m/>
    <m/>
    <m/>
    <m/>
    <m/>
    <m/>
    <n v="0"/>
    <n v="0"/>
    <n v="0"/>
    <n v="0"/>
    <n v="0"/>
    <n v="0"/>
    <n v="0"/>
    <n v="0"/>
    <n v="0"/>
    <n v="0"/>
    <n v="0"/>
    <n v="0"/>
    <n v="0"/>
    <n v="0"/>
    <n v="0"/>
    <n v="0"/>
    <n v="0"/>
    <n v="0"/>
    <s v="MMR001CMP080"/>
    <x v="0"/>
    <x v="0"/>
    <s v="P4"/>
    <n v="1.9483207910182411E-4"/>
    <s v="No"/>
  </r>
  <r>
    <n v="57.6"/>
    <d v="2012-08-07T00:00:00"/>
    <x v="0"/>
    <s v="UNHCR "/>
    <s v="Kachin"/>
    <s v="Mansi"/>
    <s v="Mansi Baptist Church"/>
    <m/>
    <m/>
    <m/>
    <n v="0"/>
    <n v="73"/>
    <n v="0"/>
    <n v="73"/>
    <n v="73"/>
    <n v="73"/>
    <n v="73"/>
    <m/>
    <m/>
    <m/>
    <m/>
    <m/>
    <m/>
    <m/>
    <n v="0"/>
    <n v="0"/>
    <n v="0"/>
    <n v="0"/>
    <n v="0"/>
    <n v="0"/>
    <n v="0"/>
    <n v="0"/>
    <n v="0"/>
    <n v="0"/>
    <n v="0"/>
    <n v="0"/>
    <n v="0"/>
    <n v="0"/>
    <n v="0"/>
    <n v="0"/>
    <n v="0"/>
    <n v="0"/>
    <s v="MMR001CMP066"/>
    <x v="0"/>
    <x v="0"/>
    <s v="P4"/>
    <n v="1.7556939801342023E-3"/>
    <s v="No"/>
  </r>
  <r>
    <n v="57.533333333333331"/>
    <d v="2012-08-09T00:00:00"/>
    <x v="0"/>
    <s v="UNHCR"/>
    <s v="Kachin"/>
    <s v="Myitkyina"/>
    <s v="Jan Mai Kawng Baptist Church"/>
    <m/>
    <m/>
    <m/>
    <n v="7"/>
    <n v="3"/>
    <n v="7"/>
    <n v="3"/>
    <n v="3"/>
    <n v="3"/>
    <n v="3"/>
    <m/>
    <m/>
    <m/>
    <m/>
    <m/>
    <m/>
    <m/>
    <n v="0"/>
    <n v="0"/>
    <n v="0"/>
    <n v="0"/>
    <n v="0"/>
    <n v="0"/>
    <n v="0"/>
    <n v="0"/>
    <n v="0"/>
    <n v="0"/>
    <n v="0"/>
    <n v="0"/>
    <n v="0"/>
    <n v="0"/>
    <n v="0"/>
    <n v="0"/>
    <n v="0"/>
    <n v="0"/>
    <s v="MMR001CMP018"/>
    <x v="0"/>
    <x v="0"/>
    <s v="P4"/>
    <n v="7.3664825046040511E-5"/>
    <s v="No"/>
  </r>
  <r>
    <n v="57.533333333333331"/>
    <d v="2012-08-09T00:00:00"/>
    <x v="0"/>
    <s v="UNHCR"/>
    <s v="Kachin"/>
    <s v="Myitkyina"/>
    <s v="Maliyang Baptist Church"/>
    <m/>
    <m/>
    <m/>
    <n v="2"/>
    <n v="1"/>
    <n v="2"/>
    <n v="1"/>
    <n v="1"/>
    <n v="1"/>
    <n v="1"/>
    <m/>
    <m/>
    <m/>
    <m/>
    <m/>
    <m/>
    <m/>
    <n v="0"/>
    <n v="0"/>
    <n v="0"/>
    <n v="0"/>
    <n v="0"/>
    <n v="0"/>
    <n v="0"/>
    <n v="0"/>
    <n v="0"/>
    <n v="0"/>
    <n v="0"/>
    <n v="0"/>
    <n v="0"/>
    <n v="0"/>
    <n v="0"/>
    <n v="0"/>
    <n v="0"/>
    <n v="0"/>
    <s v="MMR001CMP016"/>
    <x v="0"/>
    <x v="0"/>
    <s v="P4"/>
    <n v="2.4536264599077437E-5"/>
    <s v="No"/>
  </r>
  <r>
    <n v="57.533333333333331"/>
    <d v="2012-08-09T00:00:00"/>
    <x v="0"/>
    <s v="UNHCR"/>
    <s v="Kachin"/>
    <s v="Myitkyina"/>
    <s v="Maw Hpawng Hka Nan Baptist Church"/>
    <m/>
    <m/>
    <m/>
    <n v="2"/>
    <n v="1"/>
    <n v="2"/>
    <n v="1"/>
    <n v="1"/>
    <n v="1"/>
    <n v="1"/>
    <m/>
    <m/>
    <m/>
    <m/>
    <m/>
    <m/>
    <m/>
    <n v="0"/>
    <n v="0"/>
    <n v="0"/>
    <n v="0"/>
    <n v="0"/>
    <n v="0"/>
    <n v="0"/>
    <n v="0"/>
    <n v="0"/>
    <n v="0"/>
    <n v="0"/>
    <n v="0"/>
    <n v="0"/>
    <n v="0"/>
    <n v="0"/>
    <n v="0"/>
    <n v="0"/>
    <n v="0"/>
    <s v="MMR001CMP020"/>
    <x v="0"/>
    <x v="0"/>
    <s v="P4"/>
    <n v="2.4499595756670014E-5"/>
    <s v="No"/>
  </r>
  <r>
    <n v="57.533333333333331"/>
    <d v="2012-08-09T00:00:00"/>
    <x v="0"/>
    <s v="UNHCR"/>
    <s v="Kachin"/>
    <s v="Myitkyina"/>
    <s v="Maw Hpawng Lhaovo Baptist Church"/>
    <m/>
    <m/>
    <m/>
    <n v="10"/>
    <n v="5"/>
    <n v="10"/>
    <n v="5"/>
    <n v="5"/>
    <n v="5"/>
    <n v="5"/>
    <m/>
    <m/>
    <m/>
    <m/>
    <m/>
    <m/>
    <m/>
    <n v="0"/>
    <n v="0"/>
    <n v="0"/>
    <n v="0"/>
    <n v="0"/>
    <n v="0"/>
    <n v="0"/>
    <n v="0"/>
    <n v="0"/>
    <n v="0"/>
    <n v="0"/>
    <n v="0"/>
    <n v="0"/>
    <n v="0"/>
    <n v="0"/>
    <n v="0"/>
    <n v="0"/>
    <n v="0"/>
    <s v="MMR001CMP021"/>
    <x v="0"/>
    <x v="0"/>
    <s v="P4"/>
    <n v="1.2249797878335008E-4"/>
    <s v="No"/>
  </r>
  <r>
    <n v="57.533333333333331"/>
    <d v="2012-08-09T00:00:00"/>
    <x v="0"/>
    <s v="UNHCR"/>
    <s v="Kachin"/>
    <s v="Myitkyina"/>
    <s v="Nan Kway St. John Catholic Church"/>
    <m/>
    <m/>
    <m/>
    <n v="42"/>
    <n v="20"/>
    <n v="42"/>
    <n v="20"/>
    <n v="20"/>
    <n v="20"/>
    <n v="20"/>
    <m/>
    <m/>
    <m/>
    <m/>
    <m/>
    <m/>
    <m/>
    <n v="0"/>
    <n v="0"/>
    <n v="0"/>
    <n v="0"/>
    <n v="0"/>
    <n v="0"/>
    <n v="0"/>
    <n v="0"/>
    <n v="0"/>
    <n v="0"/>
    <n v="0"/>
    <n v="0"/>
    <n v="0"/>
    <n v="0"/>
    <n v="0"/>
    <n v="0"/>
    <n v="0"/>
    <n v="0"/>
    <s v="MMR001CMP024"/>
    <x v="0"/>
    <x v="0"/>
    <s v="P4"/>
    <n v="4.8888997531105626E-4"/>
    <s v="No"/>
  </r>
  <r>
    <n v="57.533333333333331"/>
    <d v="2012-08-09T00:00:00"/>
    <x v="0"/>
    <s v="UNHCR"/>
    <s v="Kachin"/>
    <s v="Myitkyina"/>
    <s v="Wun Tho Buddhist Monastery"/>
    <m/>
    <m/>
    <m/>
    <n v="10"/>
    <n v="5"/>
    <n v="10"/>
    <n v="5"/>
    <n v="5"/>
    <n v="5"/>
    <n v="5"/>
    <m/>
    <m/>
    <m/>
    <m/>
    <m/>
    <m/>
    <m/>
    <n v="0"/>
    <n v="0"/>
    <n v="0"/>
    <n v="0"/>
    <n v="0"/>
    <n v="0"/>
    <n v="0"/>
    <n v="0"/>
    <n v="0"/>
    <n v="0"/>
    <n v="0"/>
    <n v="0"/>
    <n v="0"/>
    <n v="0"/>
    <n v="0"/>
    <n v="0"/>
    <n v="0"/>
    <n v="0"/>
    <s v="MMR001CMP022"/>
    <x v="0"/>
    <x v="0"/>
    <s v="P4"/>
    <n v="1.2195121951219512E-4"/>
    <s v="No"/>
  </r>
  <r>
    <n v="57.4"/>
    <d v="2012-08-13T00:00:00"/>
    <x v="0"/>
    <s v="UNHCR "/>
    <s v="Kachin"/>
    <s v="Bhamo"/>
    <s v="Robert Church"/>
    <m/>
    <m/>
    <m/>
    <n v="310"/>
    <n v="151"/>
    <n v="310"/>
    <n v="151"/>
    <n v="151"/>
    <n v="151"/>
    <n v="151"/>
    <m/>
    <m/>
    <m/>
    <m/>
    <m/>
    <m/>
    <m/>
    <n v="0"/>
    <n v="0"/>
    <n v="0"/>
    <n v="0"/>
    <n v="0"/>
    <n v="0"/>
    <n v="0"/>
    <n v="0"/>
    <n v="0"/>
    <n v="0"/>
    <n v="0"/>
    <n v="0"/>
    <n v="0"/>
    <n v="0"/>
    <n v="0"/>
    <n v="0"/>
    <n v="0"/>
    <n v="0"/>
    <s v="MMR001CMP047"/>
    <x v="0"/>
    <x v="0"/>
    <s v="P4"/>
    <n v="3.7077961939840391E-3"/>
    <s v="No"/>
  </r>
  <r>
    <n v="57.333333333333336"/>
    <d v="2012-08-15T00:00:00"/>
    <x v="1"/>
    <s v="Solidarities"/>
    <s v="Kachin"/>
    <s v="Momauk"/>
    <s v="Loi Je Catholic Church"/>
    <n v="73"/>
    <m/>
    <m/>
    <m/>
    <m/>
    <m/>
    <m/>
    <m/>
    <m/>
    <m/>
    <m/>
    <m/>
    <m/>
    <m/>
    <m/>
    <m/>
    <m/>
    <n v="0"/>
    <n v="0"/>
    <n v="0"/>
    <n v="0"/>
    <n v="0"/>
    <n v="0"/>
    <n v="0"/>
    <n v="0"/>
    <n v="0"/>
    <n v="0"/>
    <n v="0"/>
    <n v="0"/>
    <n v="0"/>
    <n v="0"/>
    <n v="0"/>
    <n v="0"/>
    <n v="0"/>
    <n v="0"/>
    <s v="MMR001CMP069"/>
    <x v="0"/>
    <x v="0"/>
    <s v="P3"/>
    <n v="0"/>
    <m/>
  </r>
  <r>
    <n v="56.93333333333333"/>
    <d v="2012-08-27T00:00:00"/>
    <x v="0"/>
    <s v="UNHCR"/>
    <s v="Kachin"/>
    <s v="Myitkyina"/>
    <s v="Jan Mai Kawng Baptist Church"/>
    <m/>
    <m/>
    <m/>
    <n v="7"/>
    <n v="4"/>
    <n v="7"/>
    <n v="3"/>
    <n v="3"/>
    <n v="3"/>
    <n v="3"/>
    <m/>
    <m/>
    <m/>
    <m/>
    <m/>
    <m/>
    <m/>
    <n v="0"/>
    <n v="0"/>
    <n v="0"/>
    <n v="0"/>
    <n v="0"/>
    <n v="0"/>
    <n v="0"/>
    <n v="0"/>
    <n v="0"/>
    <n v="0"/>
    <n v="0"/>
    <n v="0"/>
    <n v="0"/>
    <n v="0"/>
    <n v="0"/>
    <n v="0"/>
    <n v="0"/>
    <n v="0"/>
    <s v="MMR001CMP018"/>
    <x v="0"/>
    <x v="0"/>
    <s v="P4"/>
    <n v="7.3664825046040511E-5"/>
    <s v="No"/>
  </r>
  <r>
    <n v="56.93333333333333"/>
    <d v="2012-08-27T00:00:00"/>
    <x v="0"/>
    <s v="UNHCR"/>
    <s v="Kachin"/>
    <s v="Myitkyina"/>
    <s v="Maliyang Baptist Church"/>
    <m/>
    <m/>
    <m/>
    <n v="2"/>
    <n v="1"/>
    <n v="2"/>
    <n v="1"/>
    <n v="1"/>
    <n v="1"/>
    <n v="1"/>
    <m/>
    <m/>
    <m/>
    <m/>
    <m/>
    <m/>
    <m/>
    <n v="0"/>
    <n v="0"/>
    <n v="0"/>
    <n v="0"/>
    <n v="0"/>
    <n v="0"/>
    <n v="0"/>
    <n v="0"/>
    <n v="0"/>
    <n v="0"/>
    <n v="0"/>
    <n v="0"/>
    <n v="0"/>
    <n v="0"/>
    <n v="0"/>
    <n v="0"/>
    <n v="0"/>
    <n v="0"/>
    <s v="MMR001CMP016"/>
    <x v="0"/>
    <x v="0"/>
    <s v="P4"/>
    <n v="2.4536264599077437E-5"/>
    <s v="No"/>
  </r>
  <r>
    <n v="56.93333333333333"/>
    <d v="2012-08-27T00:00:00"/>
    <x v="0"/>
    <s v="UNHCR"/>
    <s v="Kachin"/>
    <s v="Myitkyina"/>
    <s v="Maw Hpawng Hka Nan Baptist Church"/>
    <m/>
    <m/>
    <m/>
    <n v="2"/>
    <n v="1"/>
    <n v="2"/>
    <n v="1"/>
    <n v="1"/>
    <n v="1"/>
    <n v="1"/>
    <m/>
    <m/>
    <m/>
    <m/>
    <m/>
    <m/>
    <m/>
    <n v="0"/>
    <n v="0"/>
    <n v="0"/>
    <n v="0"/>
    <n v="0"/>
    <n v="0"/>
    <n v="0"/>
    <n v="0"/>
    <n v="0"/>
    <n v="0"/>
    <n v="0"/>
    <n v="0"/>
    <n v="0"/>
    <n v="0"/>
    <n v="0"/>
    <n v="0"/>
    <n v="0"/>
    <n v="0"/>
    <s v="MMR001CMP020"/>
    <x v="0"/>
    <x v="0"/>
    <s v="P4"/>
    <n v="2.4499595756670014E-5"/>
    <s v="No"/>
  </r>
  <r>
    <n v="56.93333333333333"/>
    <d v="2012-08-27T00:00:00"/>
    <x v="0"/>
    <s v="UNHCR"/>
    <s v="Kachin"/>
    <s v="Myitkyina"/>
    <s v="Maw Hpawng Lhaovo Baptist Church"/>
    <m/>
    <m/>
    <m/>
    <n v="10"/>
    <n v="5"/>
    <n v="10"/>
    <n v="5"/>
    <n v="5"/>
    <n v="5"/>
    <n v="5"/>
    <m/>
    <m/>
    <m/>
    <m/>
    <m/>
    <m/>
    <m/>
    <n v="0"/>
    <n v="0"/>
    <n v="0"/>
    <n v="0"/>
    <n v="0"/>
    <n v="0"/>
    <n v="0"/>
    <n v="0"/>
    <n v="0"/>
    <n v="0"/>
    <n v="0"/>
    <n v="0"/>
    <n v="0"/>
    <n v="0"/>
    <n v="0"/>
    <n v="0"/>
    <n v="0"/>
    <n v="0"/>
    <s v="MMR001CMP021"/>
    <x v="0"/>
    <x v="0"/>
    <s v="P4"/>
    <n v="1.2249797878335008E-4"/>
    <s v="No"/>
  </r>
  <r>
    <n v="56.93333333333333"/>
    <d v="2012-08-27T00:00:00"/>
    <x v="0"/>
    <s v="UNHCR"/>
    <s v="Kachin"/>
    <s v="Myitkyina"/>
    <s v="Wun Tho Buddhist Monastery"/>
    <m/>
    <m/>
    <m/>
    <n v="10"/>
    <n v="5"/>
    <n v="10"/>
    <n v="5"/>
    <n v="5"/>
    <n v="5"/>
    <n v="5"/>
    <m/>
    <m/>
    <m/>
    <m/>
    <m/>
    <m/>
    <m/>
    <n v="0"/>
    <n v="0"/>
    <n v="0"/>
    <n v="0"/>
    <n v="0"/>
    <n v="0"/>
    <n v="0"/>
    <n v="0"/>
    <n v="0"/>
    <n v="0"/>
    <n v="0"/>
    <n v="0"/>
    <n v="0"/>
    <n v="0"/>
    <n v="0"/>
    <n v="0"/>
    <n v="0"/>
    <n v="0"/>
    <s v="MMR001CMP022"/>
    <x v="0"/>
    <x v="0"/>
    <s v="P4"/>
    <n v="1.2195121951219512E-4"/>
    <s v="No"/>
  </r>
  <r>
    <n v="56.866666666666667"/>
    <d v="2012-08-29T00:00:00"/>
    <x v="0"/>
    <s v="UNHCR"/>
    <s v="Kachin"/>
    <s v="Momauk"/>
    <s v="Nyaung Na Pin "/>
    <m/>
    <m/>
    <m/>
    <n v="112"/>
    <n v="41"/>
    <n v="112"/>
    <n v="41"/>
    <n v="41"/>
    <n v="41"/>
    <n v="41"/>
    <m/>
    <m/>
    <m/>
    <m/>
    <m/>
    <m/>
    <m/>
    <n v="0"/>
    <n v="0"/>
    <n v="0"/>
    <n v="0"/>
    <n v="0"/>
    <n v="0"/>
    <n v="0"/>
    <n v="0"/>
    <n v="0"/>
    <n v="0"/>
    <n v="0"/>
    <n v="0"/>
    <n v="0"/>
    <n v="0"/>
    <n v="0"/>
    <n v="0"/>
    <n v="0"/>
    <n v="0"/>
    <s v="MMR001CMP072"/>
    <x v="0"/>
    <x v="0"/>
    <s v="P3"/>
    <n v="9.9703321822868537E-4"/>
    <s v="No"/>
  </r>
  <r>
    <n v="56.633333333333333"/>
    <d v="2012-09-05T00:00:00"/>
    <x v="0"/>
    <s v="UNHCR"/>
    <s v="Kachin"/>
    <s v="Momauk"/>
    <s v="Loi Je Baptist Church"/>
    <m/>
    <m/>
    <m/>
    <n v="40"/>
    <n v="17"/>
    <n v="40"/>
    <n v="17"/>
    <n v="17"/>
    <n v="17"/>
    <n v="17"/>
    <m/>
    <m/>
    <m/>
    <m/>
    <m/>
    <m/>
    <m/>
    <n v="0"/>
    <n v="0"/>
    <n v="0"/>
    <n v="0"/>
    <n v="0"/>
    <n v="0"/>
    <n v="0"/>
    <n v="0"/>
    <n v="0"/>
    <n v="0"/>
    <n v="0"/>
    <n v="0"/>
    <n v="0"/>
    <n v="0"/>
    <n v="0"/>
    <n v="0"/>
    <n v="0"/>
    <n v="0"/>
    <s v="MMR001CMP071"/>
    <x v="0"/>
    <x v="0"/>
    <s v="P3"/>
    <n v="4.1433097733365831E-4"/>
    <s v="No"/>
  </r>
  <r>
    <n v="56.633333333333333"/>
    <d v="2012-09-05T00:00:00"/>
    <x v="0"/>
    <s v="UNHCR"/>
    <s v="Kachin"/>
    <s v="Momauk"/>
    <s v="Loi Je Catholic Church"/>
    <m/>
    <m/>
    <m/>
    <n v="21"/>
    <n v="10"/>
    <n v="21"/>
    <n v="10"/>
    <n v="10"/>
    <n v="10"/>
    <n v="10"/>
    <m/>
    <m/>
    <m/>
    <m/>
    <m/>
    <m/>
    <m/>
    <n v="0"/>
    <n v="0"/>
    <n v="0"/>
    <n v="0"/>
    <n v="0"/>
    <n v="0"/>
    <n v="0"/>
    <n v="0"/>
    <n v="0"/>
    <n v="0"/>
    <n v="0"/>
    <n v="0"/>
    <n v="0"/>
    <n v="0"/>
    <n v="0"/>
    <n v="0"/>
    <n v="0"/>
    <n v="0"/>
    <s v="MMR001CMP069"/>
    <x v="0"/>
    <x v="0"/>
    <s v="P3"/>
    <n v="2.4481002741872309E-4"/>
    <s v="No"/>
  </r>
  <r>
    <n v="56.633333333333333"/>
    <d v="2012-09-05T00:00:00"/>
    <x v="0"/>
    <s v="UNHCR"/>
    <s v="Kachin"/>
    <s v="Momauk"/>
    <s v="Loi Je Lisu Camp"/>
    <m/>
    <m/>
    <m/>
    <n v="133"/>
    <n v="62"/>
    <n v="133"/>
    <n v="62"/>
    <n v="62"/>
    <n v="62"/>
    <n v="62"/>
    <m/>
    <m/>
    <m/>
    <m/>
    <m/>
    <m/>
    <m/>
    <n v="0"/>
    <n v="0"/>
    <n v="0"/>
    <n v="0"/>
    <n v="0"/>
    <n v="0"/>
    <n v="0"/>
    <n v="0"/>
    <n v="0"/>
    <n v="0"/>
    <n v="0"/>
    <n v="0"/>
    <n v="0"/>
    <n v="0"/>
    <n v="0"/>
    <n v="0"/>
    <n v="0"/>
    <n v="0"/>
    <s v="MMR001CMP070"/>
    <x v="0"/>
    <x v="0"/>
    <s v="P3"/>
    <n v="1.5121951219512196E-3"/>
    <s v="No"/>
  </r>
  <r>
    <n v="56.633333333333333"/>
    <d v="2012-09-05T00:00:00"/>
    <x v="0"/>
    <s v="UNHCR"/>
    <s v="Kachin"/>
    <s v="Momauk"/>
    <s v="Seng Ja "/>
    <m/>
    <m/>
    <m/>
    <n v="26"/>
    <n v="11"/>
    <n v="26"/>
    <n v="11"/>
    <n v="11"/>
    <n v="11"/>
    <n v="11"/>
    <m/>
    <m/>
    <m/>
    <m/>
    <m/>
    <m/>
    <m/>
    <n v="0"/>
    <n v="0"/>
    <n v="0"/>
    <n v="0"/>
    <n v="0"/>
    <n v="0"/>
    <n v="0"/>
    <n v="0"/>
    <n v="0"/>
    <n v="0"/>
    <n v="0"/>
    <n v="0"/>
    <n v="0"/>
    <n v="0"/>
    <n v="0"/>
    <n v="0"/>
    <n v="0"/>
    <n v="0"/>
    <s v="MMR001CMP073"/>
    <x v="0"/>
    <x v="0"/>
    <s v="P3"/>
    <n v="2.6749671708574483E-4"/>
    <s v="No"/>
  </r>
  <r>
    <n v="56.466666666666669"/>
    <d v="2012-09-10T00:00:00"/>
    <x v="0"/>
    <s v="UNHCR"/>
    <s v="Kachin"/>
    <s v="Myitkyina"/>
    <s v="Myay Myint Baptist Church"/>
    <m/>
    <m/>
    <m/>
    <n v="10"/>
    <n v="6"/>
    <n v="10"/>
    <n v="6"/>
    <n v="6"/>
    <n v="6"/>
    <n v="6"/>
    <m/>
    <m/>
    <m/>
    <m/>
    <m/>
    <m/>
    <m/>
    <n v="0"/>
    <n v="0"/>
    <n v="0"/>
    <n v="0"/>
    <n v="0"/>
    <n v="0"/>
    <n v="0"/>
    <n v="0"/>
    <n v="0"/>
    <n v="0"/>
    <n v="0"/>
    <n v="0"/>
    <n v="0"/>
    <n v="0"/>
    <n v="0"/>
    <n v="0"/>
    <n v="0"/>
    <n v="0"/>
    <s v="MMR001CMP017"/>
    <x v="0"/>
    <x v="1"/>
    <s v="P4"/>
    <n v="1.4699757454002008E-4"/>
    <s v="No"/>
  </r>
  <r>
    <n v="56.333333333333336"/>
    <d v="2012-09-14T00:00:00"/>
    <x v="0"/>
    <s v="UNHCR"/>
    <s v="Kachin"/>
    <s v="Waingmaw"/>
    <s v="Maina Catholic Church (St. Joseph)"/>
    <m/>
    <m/>
    <m/>
    <n v="94"/>
    <n v="48"/>
    <n v="94"/>
    <n v="48"/>
    <n v="48"/>
    <n v="48"/>
    <n v="48"/>
    <m/>
    <m/>
    <m/>
    <m/>
    <m/>
    <m/>
    <m/>
    <n v="0"/>
    <n v="0"/>
    <n v="0"/>
    <n v="0"/>
    <n v="0"/>
    <n v="0"/>
    <n v="0"/>
    <n v="0"/>
    <n v="0"/>
    <n v="0"/>
    <n v="0"/>
    <n v="0"/>
    <n v="0"/>
    <n v="0"/>
    <n v="0"/>
    <n v="0"/>
    <n v="0"/>
    <n v="0"/>
    <s v="MMR001CMP029"/>
    <x v="0"/>
    <x v="0"/>
    <s v="P4"/>
    <n v="1.1586926085067348E-3"/>
    <s v="No"/>
  </r>
  <r>
    <n v="56.333333333333336"/>
    <d v="2012-09-14T00:00:00"/>
    <x v="0"/>
    <s v="UNHCR"/>
    <s v="Kachin"/>
    <s v="Waingmaw"/>
    <s v="Waingmaw AG Church"/>
    <m/>
    <m/>
    <m/>
    <n v="14"/>
    <n v="8"/>
    <n v="14"/>
    <n v="8"/>
    <n v="8"/>
    <n v="8"/>
    <n v="8"/>
    <m/>
    <m/>
    <m/>
    <m/>
    <m/>
    <m/>
    <m/>
    <n v="0"/>
    <n v="0"/>
    <n v="0"/>
    <n v="0"/>
    <n v="0"/>
    <n v="0"/>
    <n v="0"/>
    <n v="0"/>
    <n v="0"/>
    <n v="0"/>
    <n v="0"/>
    <n v="0"/>
    <n v="0"/>
    <n v="0"/>
    <n v="0"/>
    <n v="0"/>
    <n v="0"/>
    <n v="0"/>
    <s v="MMR001CMP038"/>
    <x v="0"/>
    <x v="0"/>
    <s v="P4"/>
    <n v="1.9584802193497845E-4"/>
    <s v="No"/>
  </r>
  <r>
    <n v="56.233333333333334"/>
    <d v="2012-09-17T00:00:00"/>
    <x v="0"/>
    <s v="UNHCR"/>
    <s v="Kachin"/>
    <s v="Momauk"/>
    <s v="Man Bung Catholic compound"/>
    <m/>
    <m/>
    <m/>
    <n v="86"/>
    <n v="43"/>
    <n v="86"/>
    <n v="43"/>
    <n v="43"/>
    <n v="43"/>
    <n v="43"/>
    <m/>
    <m/>
    <m/>
    <m/>
    <m/>
    <m/>
    <m/>
    <n v="0"/>
    <n v="0"/>
    <n v="0"/>
    <n v="0"/>
    <n v="0"/>
    <n v="0"/>
    <n v="0"/>
    <n v="0"/>
    <n v="0"/>
    <n v="0"/>
    <n v="0"/>
    <n v="0"/>
    <n v="0"/>
    <n v="0"/>
    <n v="0"/>
    <n v="0"/>
    <n v="0"/>
    <n v="0"/>
    <s v="MMR001CMP062"/>
    <x v="0"/>
    <x v="0"/>
    <s v="P4"/>
    <n v="1.0480136485498416E-3"/>
    <s v="No"/>
  </r>
  <r>
    <n v="56.233333333333334"/>
    <d v="2012-09-17T00:00:00"/>
    <x v="0"/>
    <s v="UNHCR"/>
    <s v="Kachin"/>
    <s v="Momauk"/>
    <s v="Momauk Catholic Church (St. Patrick)"/>
    <m/>
    <m/>
    <m/>
    <n v="86"/>
    <n v="43"/>
    <n v="86"/>
    <n v="43"/>
    <n v="43"/>
    <n v="43"/>
    <n v="43"/>
    <m/>
    <m/>
    <m/>
    <m/>
    <m/>
    <m/>
    <m/>
    <n v="0"/>
    <n v="0"/>
    <n v="0"/>
    <n v="0"/>
    <n v="0"/>
    <n v="0"/>
    <n v="0"/>
    <n v="0"/>
    <n v="0"/>
    <n v="0"/>
    <n v="0"/>
    <n v="0"/>
    <n v="0"/>
    <n v="0"/>
    <n v="0"/>
    <n v="0"/>
    <n v="0"/>
    <n v="0"/>
    <s v="MMR001CMP057"/>
    <x v="0"/>
    <x v="1"/>
    <s v="P4"/>
    <n v="1.0550593777603299E-3"/>
    <s v="No"/>
  </r>
  <r>
    <n v="56.2"/>
    <d v="2012-09-18T00:00:00"/>
    <x v="1"/>
    <s v="LDO"/>
    <s v="Kachin"/>
    <s v="Shwegu"/>
    <s v="Shwe Gu Baptist Church"/>
    <n v="98"/>
    <m/>
    <m/>
    <m/>
    <m/>
    <m/>
    <m/>
    <m/>
    <m/>
    <m/>
    <m/>
    <m/>
    <m/>
    <m/>
    <m/>
    <m/>
    <m/>
    <n v="0"/>
    <n v="0"/>
    <n v="0"/>
    <n v="0"/>
    <n v="0"/>
    <n v="0"/>
    <n v="0"/>
    <n v="0"/>
    <n v="0"/>
    <n v="0"/>
    <n v="0"/>
    <n v="0"/>
    <n v="0"/>
    <n v="0"/>
    <n v="0"/>
    <n v="0"/>
    <n v="0"/>
    <n v="0"/>
    <s v="MMR001CMP067"/>
    <x v="0"/>
    <x v="0"/>
    <s v="P4"/>
    <n v="0"/>
    <m/>
  </r>
  <r>
    <n v="56.2"/>
    <d v="2012-09-18T00:00:00"/>
    <x v="1"/>
    <s v="LDO"/>
    <s v="Kachin"/>
    <s v="Shwegu"/>
    <s v="Shwe Gu Catholic Church"/>
    <n v="59"/>
    <m/>
    <m/>
    <m/>
    <m/>
    <m/>
    <m/>
    <m/>
    <m/>
    <m/>
    <m/>
    <m/>
    <m/>
    <m/>
    <m/>
    <m/>
    <m/>
    <n v="0"/>
    <n v="0"/>
    <n v="0"/>
    <n v="0"/>
    <n v="0"/>
    <n v="0"/>
    <n v="0"/>
    <n v="0"/>
    <n v="0"/>
    <n v="0"/>
    <n v="0"/>
    <n v="0"/>
    <n v="0"/>
    <n v="0"/>
    <n v="0"/>
    <n v="0"/>
    <n v="0"/>
    <n v="0"/>
    <s v="MMR001CMP068"/>
    <x v="0"/>
    <x v="0"/>
    <s v="P4"/>
    <n v="0"/>
    <m/>
  </r>
  <r>
    <n v="56.2"/>
    <d v="2012-09-18T00:00:00"/>
    <x v="1"/>
    <s v="LDO"/>
    <s v="Kachin"/>
    <s v="Shwegu"/>
    <s v="Lot Aung"/>
    <n v="45"/>
    <m/>
    <m/>
    <m/>
    <m/>
    <m/>
    <m/>
    <m/>
    <m/>
    <m/>
    <m/>
    <m/>
    <m/>
    <m/>
    <m/>
    <m/>
    <m/>
    <n v="0"/>
    <n v="0"/>
    <n v="0"/>
    <n v="0"/>
    <n v="0"/>
    <n v="0"/>
    <n v="0"/>
    <n v="0"/>
    <n v="0"/>
    <n v="0"/>
    <n v="0"/>
    <n v="0"/>
    <n v="0"/>
    <n v="0"/>
    <n v="0"/>
    <n v="0"/>
    <n v="0"/>
    <n v="0"/>
    <s v=""/>
    <x v="1"/>
    <x v="2"/>
    <s v=""/>
    <s v=""/>
    <m/>
  </r>
  <r>
    <n v="56.2"/>
    <d v="2012-09-18T00:00:00"/>
    <x v="1"/>
    <s v="LDO"/>
    <s v="Kachin"/>
    <s v="Shwegu"/>
    <s v="Pan Dang"/>
    <n v="22"/>
    <m/>
    <m/>
    <m/>
    <m/>
    <m/>
    <m/>
    <m/>
    <m/>
    <m/>
    <m/>
    <m/>
    <m/>
    <m/>
    <m/>
    <m/>
    <m/>
    <n v="0"/>
    <n v="0"/>
    <n v="0"/>
    <n v="0"/>
    <n v="0"/>
    <n v="0"/>
    <n v="0"/>
    <n v="0"/>
    <n v="0"/>
    <n v="0"/>
    <n v="0"/>
    <n v="0"/>
    <n v="0"/>
    <n v="0"/>
    <n v="0"/>
    <n v="0"/>
    <n v="0"/>
    <n v="0"/>
    <s v=""/>
    <x v="1"/>
    <x v="2"/>
    <s v=""/>
    <s v=""/>
    <m/>
  </r>
  <r>
    <n v="56.2"/>
    <d v="2012-09-18T00:00:00"/>
    <x v="1"/>
    <s v="LDO"/>
    <s v="Kachin"/>
    <s v="Shwegu"/>
    <s v="Pan Hkawn"/>
    <n v="130"/>
    <m/>
    <m/>
    <m/>
    <m/>
    <m/>
    <m/>
    <m/>
    <m/>
    <m/>
    <m/>
    <m/>
    <m/>
    <m/>
    <m/>
    <m/>
    <m/>
    <n v="0"/>
    <n v="0"/>
    <n v="0"/>
    <n v="0"/>
    <n v="0"/>
    <n v="0"/>
    <n v="0"/>
    <n v="0"/>
    <n v="0"/>
    <n v="0"/>
    <n v="0"/>
    <n v="0"/>
    <n v="0"/>
    <n v="0"/>
    <n v="0"/>
    <n v="0"/>
    <n v="0"/>
    <n v="0"/>
    <s v=""/>
    <x v="1"/>
    <x v="2"/>
    <s v=""/>
    <s v=""/>
    <m/>
  </r>
  <r>
    <n v="56.133333333333333"/>
    <d v="2012-09-20T00:00:00"/>
    <x v="1"/>
    <s v="LDO"/>
    <s v="Kachin"/>
    <s v="Shwegu"/>
    <s v="Kapaung"/>
    <n v="92"/>
    <m/>
    <m/>
    <m/>
    <m/>
    <m/>
    <m/>
    <m/>
    <m/>
    <m/>
    <m/>
    <m/>
    <m/>
    <m/>
    <m/>
    <m/>
    <m/>
    <n v="0"/>
    <n v="0"/>
    <n v="0"/>
    <n v="0"/>
    <n v="0"/>
    <n v="0"/>
    <n v="0"/>
    <n v="0"/>
    <n v="0"/>
    <n v="0"/>
    <n v="0"/>
    <n v="0"/>
    <n v="0"/>
    <n v="0"/>
    <n v="0"/>
    <n v="0"/>
    <n v="0"/>
    <n v="0"/>
    <s v=""/>
    <x v="1"/>
    <x v="2"/>
    <s v=""/>
    <s v=""/>
    <m/>
  </r>
  <r>
    <n v="55.966666666666669"/>
    <d v="2012-09-25T00:00:00"/>
    <x v="0"/>
    <s v="Chipwe CM"/>
    <s v="Kachin"/>
    <s v="Chipwi"/>
    <s v="Chipwi KBC camp"/>
    <m/>
    <m/>
    <m/>
    <n v="33"/>
    <n v="11"/>
    <n v="33"/>
    <n v="11"/>
    <n v="11"/>
    <n v="11"/>
    <n v="11"/>
    <m/>
    <m/>
    <m/>
    <m/>
    <m/>
    <m/>
    <m/>
    <n v="0"/>
    <n v="0"/>
    <n v="0"/>
    <n v="0"/>
    <n v="0"/>
    <n v="0"/>
    <n v="0"/>
    <n v="0"/>
    <n v="0"/>
    <n v="0"/>
    <n v="0"/>
    <n v="0"/>
    <n v="0"/>
    <n v="0"/>
    <n v="0"/>
    <n v="0"/>
    <n v="0"/>
    <n v="0"/>
    <s v="MMR001CMP042"/>
    <x v="0"/>
    <x v="0"/>
    <s v="P1"/>
    <n v="2.667054601881486E-4"/>
    <s v="No"/>
  </r>
  <r>
    <n v="55.93333333333333"/>
    <d v="2012-09-26T00:00:00"/>
    <x v="0"/>
    <s v="Chipwe CM"/>
    <s v="Kachin"/>
    <s v="Chipwi"/>
    <s v="Gant Gwin"/>
    <m/>
    <m/>
    <m/>
    <n v="33"/>
    <n v="11"/>
    <n v="33"/>
    <n v="11"/>
    <n v="11"/>
    <n v="11"/>
    <n v="11"/>
    <m/>
    <m/>
    <m/>
    <m/>
    <m/>
    <m/>
    <m/>
    <n v="0"/>
    <n v="0"/>
    <n v="0"/>
    <n v="0"/>
    <n v="0"/>
    <n v="0"/>
    <n v="0"/>
    <n v="0"/>
    <n v="0"/>
    <n v="0"/>
    <n v="0"/>
    <n v="0"/>
    <n v="0"/>
    <n v="0"/>
    <n v="0"/>
    <n v="0"/>
    <n v="0"/>
    <n v="0"/>
    <s v="MMR001CMP046"/>
    <x v="0"/>
    <x v="1"/>
    <s v="P1"/>
    <s v=""/>
    <s v="No"/>
  </r>
  <r>
    <n v="55.9"/>
    <d v="2012-09-27T00:00:00"/>
    <x v="0"/>
    <s v="Chipwe CM"/>
    <s v="Kachin"/>
    <s v="Chipwi"/>
    <s v="Hpare Hkyer - BP6"/>
    <m/>
    <m/>
    <m/>
    <n v="33"/>
    <n v="11"/>
    <n v="33"/>
    <n v="11"/>
    <n v="11"/>
    <n v="11"/>
    <n v="11"/>
    <m/>
    <m/>
    <m/>
    <m/>
    <m/>
    <m/>
    <m/>
    <n v="0"/>
    <n v="0"/>
    <n v="0"/>
    <n v="0"/>
    <n v="0"/>
    <n v="0"/>
    <n v="0"/>
    <n v="0"/>
    <n v="0"/>
    <n v="0"/>
    <n v="0"/>
    <n v="0"/>
    <n v="0"/>
    <n v="0"/>
    <n v="0"/>
    <n v="0"/>
    <n v="0"/>
    <n v="0"/>
    <s v="MMR001CMP043"/>
    <x v="0"/>
    <x v="0"/>
    <s v="P1"/>
    <n v="2.6809651474530834E-4"/>
    <s v="No"/>
  </r>
  <r>
    <n v="55.866666666666667"/>
    <d v="2012-09-28T00:00:00"/>
    <x v="0"/>
    <s v="Chipwe CM"/>
    <s v="Kachin"/>
    <s v="Chipwi"/>
    <s v="Lan Jaw "/>
    <m/>
    <m/>
    <m/>
    <n v="33"/>
    <n v="11"/>
    <n v="33"/>
    <n v="11"/>
    <n v="11"/>
    <n v="11"/>
    <n v="11"/>
    <m/>
    <m/>
    <m/>
    <m/>
    <m/>
    <m/>
    <m/>
    <n v="0"/>
    <n v="0"/>
    <n v="0"/>
    <n v="0"/>
    <n v="0"/>
    <n v="0"/>
    <n v="0"/>
    <n v="0"/>
    <n v="0"/>
    <n v="0"/>
    <n v="0"/>
    <n v="0"/>
    <n v="0"/>
    <n v="0"/>
    <n v="0"/>
    <n v="0"/>
    <n v="0"/>
    <n v="0"/>
    <s v="MMR001CMP045"/>
    <x v="0"/>
    <x v="0"/>
    <s v="P1"/>
    <s v=""/>
    <s v="No"/>
  </r>
  <r>
    <n v="55.833333333333336"/>
    <d v="2012-09-29T00:00:00"/>
    <x v="0"/>
    <s v="Chipwe CM"/>
    <s v="Kachin"/>
    <s v="Chipwi"/>
    <s v="Lhaovao Baptist Church (LBC)"/>
    <m/>
    <m/>
    <m/>
    <n v="34"/>
    <n v="12"/>
    <n v="34"/>
    <n v="12"/>
    <n v="12"/>
    <n v="12"/>
    <n v="12"/>
    <m/>
    <m/>
    <m/>
    <m/>
    <m/>
    <m/>
    <m/>
    <n v="0"/>
    <n v="0"/>
    <n v="0"/>
    <n v="0"/>
    <n v="0"/>
    <n v="0"/>
    <n v="0"/>
    <n v="0"/>
    <n v="0"/>
    <n v="0"/>
    <n v="0"/>
    <n v="0"/>
    <n v="0"/>
    <n v="0"/>
    <n v="0"/>
    <n v="0"/>
    <n v="0"/>
    <n v="0"/>
    <s v="MMR001CMP195"/>
    <x v="0"/>
    <x v="0"/>
    <s v="P1"/>
    <n v="2.9311187103077673E-4"/>
    <s v="No"/>
  </r>
  <r>
    <n v="55.833333333333336"/>
    <d v="2012-09-29T00:00:00"/>
    <x v="0"/>
    <s v="UNHCR"/>
    <s v="Kachin"/>
    <s v="Momauk"/>
    <s v="Loi Je Lisu Camp"/>
    <m/>
    <m/>
    <m/>
    <n v="151"/>
    <n v="59"/>
    <n v="151"/>
    <n v="59"/>
    <n v="59"/>
    <n v="59"/>
    <n v="59"/>
    <m/>
    <m/>
    <m/>
    <m/>
    <m/>
    <m/>
    <m/>
    <n v="0"/>
    <n v="0"/>
    <n v="0"/>
    <n v="0"/>
    <n v="0"/>
    <n v="0"/>
    <n v="0"/>
    <n v="0"/>
    <n v="0"/>
    <n v="0"/>
    <n v="0"/>
    <n v="0"/>
    <n v="0"/>
    <n v="0"/>
    <n v="0"/>
    <n v="0"/>
    <n v="0"/>
    <n v="0"/>
    <s v="MMR001CMP070"/>
    <x v="0"/>
    <x v="0"/>
    <s v="P3"/>
    <n v="1.4390243902439024E-3"/>
    <s v="No"/>
  </r>
  <r>
    <n v="55.8"/>
    <d v="2012-09-30T00:00:00"/>
    <x v="0"/>
    <s v="Chipwe CM"/>
    <s v="Kachin"/>
    <s v="Chipwi"/>
    <s v="Women's Affairs Association Building"/>
    <m/>
    <m/>
    <m/>
    <n v="34"/>
    <n v="12"/>
    <n v="34"/>
    <n v="12"/>
    <n v="12"/>
    <n v="12"/>
    <n v="12"/>
    <m/>
    <m/>
    <m/>
    <m/>
    <m/>
    <m/>
    <m/>
    <n v="0"/>
    <n v="0"/>
    <n v="0"/>
    <n v="0"/>
    <n v="0"/>
    <n v="0"/>
    <n v="0"/>
    <n v="0"/>
    <n v="0"/>
    <n v="0"/>
    <n v="0"/>
    <n v="0"/>
    <n v="0"/>
    <n v="0"/>
    <n v="0"/>
    <n v="0"/>
    <n v="0"/>
    <n v="0"/>
    <s v="MMR001CMP044"/>
    <x v="0"/>
    <x v="1"/>
    <s v=""/>
    <s v=""/>
    <s v="No"/>
  </r>
  <r>
    <n v="55.43333333333333"/>
    <d v="2012-10-11T00:00:00"/>
    <x v="0"/>
    <s v="UNHCR"/>
    <s v="Kachin"/>
    <s v="Momauk"/>
    <s v="Seng Ja "/>
    <m/>
    <m/>
    <m/>
    <n v="28"/>
    <n v="17"/>
    <n v="28"/>
    <n v="17"/>
    <n v="17"/>
    <n v="17"/>
    <n v="17"/>
    <m/>
    <m/>
    <m/>
    <m/>
    <m/>
    <m/>
    <m/>
    <n v="0"/>
    <n v="0"/>
    <n v="0"/>
    <n v="0"/>
    <n v="0"/>
    <n v="0"/>
    <n v="0"/>
    <n v="0"/>
    <n v="0"/>
    <n v="0"/>
    <n v="0"/>
    <n v="0"/>
    <n v="0"/>
    <n v="0"/>
    <n v="0"/>
    <n v="0"/>
    <n v="0"/>
    <n v="0"/>
    <s v="MMR001CMP073"/>
    <x v="0"/>
    <x v="0"/>
    <s v="P3"/>
    <n v="4.1340401731433294E-4"/>
    <s v="No"/>
  </r>
  <r>
    <n v="55.3"/>
    <d v="2012-10-15T00:00:00"/>
    <x v="1"/>
    <s v="LDO"/>
    <s v="Kachin"/>
    <s v="Shwegu"/>
    <s v="Thai Ra Yan"/>
    <n v="38"/>
    <m/>
    <m/>
    <m/>
    <m/>
    <m/>
    <m/>
    <m/>
    <m/>
    <m/>
    <m/>
    <m/>
    <m/>
    <m/>
    <m/>
    <m/>
    <m/>
    <n v="0"/>
    <n v="0"/>
    <n v="0"/>
    <n v="0"/>
    <n v="0"/>
    <n v="0"/>
    <n v="0"/>
    <n v="0"/>
    <n v="0"/>
    <n v="0"/>
    <n v="0"/>
    <n v="0"/>
    <n v="0"/>
    <n v="0"/>
    <n v="0"/>
    <n v="0"/>
    <n v="0"/>
    <n v="0"/>
    <s v=""/>
    <x v="1"/>
    <x v="2"/>
    <s v=""/>
    <s v=""/>
    <m/>
  </r>
  <r>
    <n v="55.166666666666664"/>
    <d v="2012-10-19T00:00:00"/>
    <x v="1"/>
    <s v="Solidarities"/>
    <s v="Kachin"/>
    <s v="Bhamo"/>
    <s v="Ta Gun Taing Monastery (Shwe Kyi Na)"/>
    <n v="47"/>
    <m/>
    <m/>
    <m/>
    <m/>
    <m/>
    <m/>
    <m/>
    <m/>
    <m/>
    <m/>
    <m/>
    <m/>
    <m/>
    <m/>
    <m/>
    <m/>
    <n v="0"/>
    <n v="0"/>
    <n v="0"/>
    <n v="0"/>
    <n v="0"/>
    <n v="0"/>
    <n v="0"/>
    <n v="0"/>
    <n v="0"/>
    <n v="0"/>
    <n v="0"/>
    <n v="0"/>
    <n v="0"/>
    <n v="0"/>
    <n v="0"/>
    <n v="0"/>
    <n v="0"/>
    <n v="0"/>
    <s v="MMR001CMP055"/>
    <x v="0"/>
    <x v="0"/>
    <s v="P4"/>
    <n v="0"/>
    <m/>
  </r>
  <r>
    <n v="54.966666666666669"/>
    <d v="2012-10-25T00:00:00"/>
    <x v="1"/>
    <s v="Solidarities"/>
    <s v="Kachin"/>
    <s v="Momauk"/>
    <s v="Khun Sint Village"/>
    <n v="23"/>
    <m/>
    <m/>
    <m/>
    <m/>
    <m/>
    <m/>
    <m/>
    <m/>
    <m/>
    <m/>
    <m/>
    <m/>
    <m/>
    <m/>
    <m/>
    <m/>
    <n v="0"/>
    <n v="0"/>
    <n v="0"/>
    <n v="0"/>
    <n v="0"/>
    <n v="0"/>
    <n v="0"/>
    <n v="0"/>
    <n v="0"/>
    <n v="0"/>
    <n v="0"/>
    <n v="0"/>
    <n v="0"/>
    <n v="0"/>
    <n v="0"/>
    <n v="0"/>
    <n v="0"/>
    <n v="0"/>
    <s v="MMR001CMP200"/>
    <x v="0"/>
    <x v="0"/>
    <s v="P4"/>
    <s v=""/>
    <m/>
  </r>
  <r>
    <n v="54.6"/>
    <d v="2012-11-05T00:00:00"/>
    <x v="0"/>
    <s v="UNHCR"/>
    <s v="Kachin"/>
    <s v="Hpakant"/>
    <s v="Hlaing Naung Baptist"/>
    <m/>
    <m/>
    <m/>
    <n v="70"/>
    <n v="40"/>
    <n v="70"/>
    <n v="40"/>
    <n v="40"/>
    <n v="40"/>
    <n v="40"/>
    <m/>
    <m/>
    <m/>
    <m/>
    <m/>
    <m/>
    <m/>
    <n v="0"/>
    <n v="0"/>
    <n v="0"/>
    <n v="0"/>
    <n v="0"/>
    <n v="0"/>
    <n v="0"/>
    <n v="0"/>
    <n v="0"/>
    <n v="0"/>
    <n v="0"/>
    <n v="0"/>
    <n v="0"/>
    <n v="0"/>
    <n v="0"/>
    <n v="0"/>
    <n v="0"/>
    <n v="0"/>
    <s v="MMR001CMP148"/>
    <x v="0"/>
    <x v="0"/>
    <s v="P4"/>
    <n v="9.7127455503484453E-4"/>
    <s v="No"/>
  </r>
  <r>
    <n v="54.43333333333333"/>
    <d v="2012-11-10T00:00:00"/>
    <x v="0"/>
    <s v="UNHCR"/>
    <s v="Kachin"/>
    <s v="Hpakant"/>
    <s v="Hlaing Naung Baptist"/>
    <m/>
    <m/>
    <m/>
    <n v="12"/>
    <n v="0"/>
    <n v="12"/>
    <n v="0"/>
    <n v="0"/>
    <m/>
    <m/>
    <m/>
    <m/>
    <m/>
    <m/>
    <m/>
    <m/>
    <m/>
    <n v="0"/>
    <n v="0"/>
    <n v="0"/>
    <n v="0"/>
    <n v="0"/>
    <n v="0"/>
    <n v="0"/>
    <n v="0"/>
    <n v="0"/>
    <n v="0"/>
    <n v="0"/>
    <n v="0"/>
    <n v="0"/>
    <n v="0"/>
    <n v="0"/>
    <n v="0"/>
    <n v="0"/>
    <n v="0"/>
    <s v="MMR001CMP148"/>
    <x v="0"/>
    <x v="0"/>
    <s v="P4"/>
    <n v="0"/>
    <s v="No"/>
  </r>
  <r>
    <n v="54.366666666666667"/>
    <d v="2012-11-12T00:00:00"/>
    <x v="0"/>
    <s v="UNHCR"/>
    <s v="Kachin"/>
    <s v="Waingmaw"/>
    <s v="Qtr. 2 Lhaovo Baptist Church"/>
    <m/>
    <m/>
    <m/>
    <n v="12"/>
    <n v="12"/>
    <n v="12"/>
    <n v="5"/>
    <n v="5"/>
    <n v="5"/>
    <n v="5"/>
    <m/>
    <m/>
    <m/>
    <m/>
    <m/>
    <m/>
    <m/>
    <n v="0"/>
    <n v="0"/>
    <n v="0"/>
    <n v="0"/>
    <n v="0"/>
    <n v="0"/>
    <n v="0"/>
    <n v="0"/>
    <n v="0"/>
    <n v="0"/>
    <n v="0"/>
    <n v="0"/>
    <n v="0"/>
    <n v="0"/>
    <n v="0"/>
    <n v="0"/>
    <n v="0"/>
    <n v="0"/>
    <s v="MMR001CMP032"/>
    <x v="0"/>
    <x v="0"/>
    <s v="P4"/>
    <n v="1.2277470841006753E-4"/>
    <s v="No"/>
  </r>
  <r>
    <n v="53.5"/>
    <d v="2012-12-08T00:00:00"/>
    <x v="1"/>
    <s v="KBC"/>
    <s v="Kachin"/>
    <s v="Waingmaw"/>
    <s v="Laiza Market 3 - Laiza Gat"/>
    <n v="1690"/>
    <m/>
    <m/>
    <m/>
    <m/>
    <m/>
    <m/>
    <m/>
    <n v="0"/>
    <n v="0"/>
    <m/>
    <m/>
    <m/>
    <m/>
    <m/>
    <m/>
    <m/>
    <n v="0"/>
    <n v="0"/>
    <n v="0"/>
    <n v="0"/>
    <n v="0"/>
    <n v="0"/>
    <n v="0"/>
    <n v="0"/>
    <n v="0"/>
    <n v="0"/>
    <n v="0"/>
    <n v="0"/>
    <n v="0"/>
    <n v="0"/>
    <n v="0"/>
    <n v="0"/>
    <n v="0"/>
    <n v="0"/>
    <s v="MMR001CMP117"/>
    <x v="0"/>
    <x v="1"/>
    <s v="P2"/>
    <n v="0"/>
    <s v="No"/>
  </r>
  <r>
    <n v="53.43333333333333"/>
    <d v="2012-12-10T00:00:00"/>
    <x v="1"/>
    <s v="KBC"/>
    <s v="Kachin"/>
    <s v="Waingmaw"/>
    <s v="Woi Chyai "/>
    <n v="4285"/>
    <m/>
    <m/>
    <m/>
    <m/>
    <m/>
    <m/>
    <m/>
    <n v="0"/>
    <n v="0"/>
    <m/>
    <m/>
    <m/>
    <m/>
    <m/>
    <m/>
    <m/>
    <n v="0"/>
    <n v="0"/>
    <n v="0"/>
    <n v="0"/>
    <n v="0"/>
    <n v="0"/>
    <n v="0"/>
    <n v="0"/>
    <n v="0"/>
    <n v="0"/>
    <n v="0"/>
    <n v="0"/>
    <n v="0"/>
    <n v="0"/>
    <n v="0"/>
    <n v="0"/>
    <n v="0"/>
    <n v="0"/>
    <s v="MMR001CMP116"/>
    <x v="0"/>
    <x v="0"/>
    <s v="P4"/>
    <n v="0"/>
    <s v="No"/>
  </r>
  <r>
    <n v="53.4"/>
    <d v="2012-12-11T00:00:00"/>
    <x v="1"/>
    <s v="Solidarities"/>
    <s v="Kachin"/>
    <s v="Momauk"/>
    <s v="Hpun Lum Yang "/>
    <n v="1658"/>
    <m/>
    <m/>
    <m/>
    <m/>
    <m/>
    <m/>
    <m/>
    <n v="0"/>
    <n v="0"/>
    <m/>
    <m/>
    <m/>
    <m/>
    <m/>
    <m/>
    <m/>
    <n v="0"/>
    <n v="0"/>
    <n v="0"/>
    <n v="0"/>
    <n v="0"/>
    <n v="0"/>
    <n v="0"/>
    <n v="0"/>
    <n v="0"/>
    <n v="0"/>
    <n v="0"/>
    <n v="0"/>
    <n v="0"/>
    <n v="0"/>
    <n v="0"/>
    <n v="0"/>
    <n v="0"/>
    <n v="0"/>
    <s v="MMR001CMP122"/>
    <x v="0"/>
    <x v="0"/>
    <s v="P2"/>
    <n v="0"/>
    <s v="No"/>
  </r>
  <r>
    <n v="53.366666666666667"/>
    <d v="2012-12-12T00:00:00"/>
    <x v="1"/>
    <s v="Solidarities"/>
    <s v="Kachin"/>
    <s v="Momauk"/>
    <s v="Je Yang Hka "/>
    <n v="5228"/>
    <m/>
    <m/>
    <m/>
    <m/>
    <m/>
    <m/>
    <m/>
    <n v="0"/>
    <n v="0"/>
    <m/>
    <m/>
    <m/>
    <m/>
    <m/>
    <m/>
    <m/>
    <n v="0"/>
    <n v="0"/>
    <n v="0"/>
    <n v="0"/>
    <n v="0"/>
    <n v="0"/>
    <n v="0"/>
    <n v="0"/>
    <n v="0"/>
    <n v="0"/>
    <n v="0"/>
    <n v="0"/>
    <n v="0"/>
    <n v="0"/>
    <n v="0"/>
    <n v="0"/>
    <n v="0"/>
    <n v="0"/>
    <s v="MMR001CMP121"/>
    <x v="0"/>
    <x v="0"/>
    <s v="P2"/>
    <n v="0"/>
    <s v="No"/>
  </r>
  <r>
    <n v="53.333333333333336"/>
    <d v="2012-12-13T00:00:00"/>
    <x v="0"/>
    <s v="UNHCR"/>
    <s v="Kachin"/>
    <s v="Myitkyina"/>
    <s v="Nan Kway St. John Catholic Church"/>
    <m/>
    <m/>
    <m/>
    <n v="16"/>
    <n v="7"/>
    <n v="16"/>
    <n v="7"/>
    <n v="7"/>
    <n v="7"/>
    <n v="7"/>
    <m/>
    <m/>
    <m/>
    <m/>
    <m/>
    <m/>
    <m/>
    <n v="0"/>
    <n v="0"/>
    <n v="0"/>
    <n v="0"/>
    <n v="0"/>
    <n v="0"/>
    <n v="0"/>
    <n v="0"/>
    <n v="0"/>
    <n v="0"/>
    <n v="0"/>
    <n v="0"/>
    <n v="0"/>
    <n v="0"/>
    <n v="0"/>
    <n v="0"/>
    <n v="0"/>
    <n v="0"/>
    <s v="MMR001CMP024"/>
    <x v="0"/>
    <x v="0"/>
    <s v="P4"/>
    <n v="1.7111149135886968E-4"/>
    <s v="No"/>
  </r>
  <r>
    <n v="53.266666666666666"/>
    <d v="2012-12-15T00:00:00"/>
    <x v="1"/>
    <s v="KBC"/>
    <s v="Kachin"/>
    <s v="Mansi"/>
    <s v="Bum Tsit Pa "/>
    <n v="587"/>
    <m/>
    <m/>
    <m/>
    <m/>
    <m/>
    <m/>
    <m/>
    <n v="0"/>
    <n v="0"/>
    <m/>
    <m/>
    <m/>
    <m/>
    <m/>
    <m/>
    <m/>
    <n v="0"/>
    <n v="0"/>
    <n v="0"/>
    <n v="0"/>
    <n v="0"/>
    <n v="0"/>
    <n v="0"/>
    <n v="0"/>
    <n v="0"/>
    <n v="0"/>
    <n v="0"/>
    <n v="0"/>
    <n v="0"/>
    <n v="0"/>
    <n v="0"/>
    <n v="0"/>
    <n v="0"/>
    <n v="0"/>
    <s v="MMR001CMP129"/>
    <x v="0"/>
    <x v="0"/>
    <s v="P2"/>
    <n v="0"/>
    <s v="No"/>
  </r>
  <r>
    <n v="53.166666666666664"/>
    <d v="2012-12-18T00:00:00"/>
    <x v="1"/>
    <s v="Solidarities"/>
    <s v="Kachin"/>
    <s v="Momauk"/>
    <s v="Loi Je Baptist Church"/>
    <m/>
    <m/>
    <n v="54"/>
    <m/>
    <m/>
    <m/>
    <m/>
    <m/>
    <m/>
    <m/>
    <m/>
    <m/>
    <m/>
    <m/>
    <m/>
    <m/>
    <m/>
    <n v="0"/>
    <n v="0"/>
    <n v="0"/>
    <n v="0"/>
    <n v="0"/>
    <n v="0"/>
    <n v="0"/>
    <n v="0"/>
    <n v="0"/>
    <n v="0"/>
    <n v="0"/>
    <n v="0"/>
    <n v="0"/>
    <n v="0"/>
    <n v="0"/>
    <n v="0"/>
    <n v="0"/>
    <n v="0"/>
    <s v="MMR001CMP071"/>
    <x v="0"/>
    <x v="0"/>
    <s v="P3"/>
    <n v="0"/>
    <m/>
  </r>
  <r>
    <n v="53.166666666666664"/>
    <d v="2012-12-18T00:00:00"/>
    <x v="0"/>
    <s v="UNHCR"/>
    <s v="Kachin"/>
    <s v="Myitkyina"/>
    <s v="Shwe Zet Baptist Church"/>
    <m/>
    <m/>
    <m/>
    <n v="30"/>
    <n v="20"/>
    <n v="30"/>
    <n v="20"/>
    <n v="20"/>
    <n v="20"/>
    <n v="20"/>
    <m/>
    <m/>
    <m/>
    <m/>
    <m/>
    <m/>
    <m/>
    <n v="0"/>
    <n v="0"/>
    <n v="0"/>
    <n v="0"/>
    <n v="0"/>
    <n v="0"/>
    <n v="0"/>
    <n v="0"/>
    <n v="0"/>
    <n v="0"/>
    <n v="0"/>
    <n v="0"/>
    <n v="0"/>
    <n v="0"/>
    <n v="0"/>
    <n v="0"/>
    <n v="0"/>
    <n v="0"/>
    <s v="MMR001CMP009"/>
    <x v="0"/>
    <x v="0"/>
    <s v="P4"/>
    <n v="4.9109883364027013E-4"/>
    <s v="No"/>
  </r>
  <r>
    <n v="53.133333333333333"/>
    <d v="2012-12-19T00:00:00"/>
    <x v="0"/>
    <s v="UNHCR"/>
    <s v="Kachin"/>
    <s v="Myitkyina"/>
    <s v="Pa Dauk Myaing(Pa La Na)"/>
    <m/>
    <m/>
    <m/>
    <n v="37"/>
    <n v="10"/>
    <n v="37"/>
    <n v="10"/>
    <n v="10"/>
    <n v="10"/>
    <n v="10"/>
    <m/>
    <m/>
    <m/>
    <m/>
    <m/>
    <m/>
    <m/>
    <n v="0"/>
    <n v="0"/>
    <n v="0"/>
    <n v="0"/>
    <n v="0"/>
    <n v="0"/>
    <n v="0"/>
    <n v="0"/>
    <n v="0"/>
    <n v="0"/>
    <n v="0"/>
    <n v="0"/>
    <n v="0"/>
    <n v="0"/>
    <n v="0"/>
    <n v="0"/>
    <n v="0"/>
    <n v="0"/>
    <s v="MMR001CMP162"/>
    <x v="0"/>
    <x v="0"/>
    <s v="P4"/>
    <n v="2.4245950926195326E-4"/>
    <s v="No"/>
  </r>
  <r>
    <n v="53.1"/>
    <d v="2012-12-20T00:00:00"/>
    <x v="0"/>
    <s v="KBC"/>
    <s v="Kachin"/>
    <s v="Hpakant"/>
    <s v="Hlaing Naung Baptist"/>
    <m/>
    <m/>
    <m/>
    <n v="12"/>
    <n v="0"/>
    <n v="12"/>
    <n v="0"/>
    <n v="0"/>
    <m/>
    <m/>
    <m/>
    <m/>
    <m/>
    <m/>
    <m/>
    <m/>
    <m/>
    <n v="0"/>
    <n v="0"/>
    <n v="0"/>
    <n v="0"/>
    <n v="0"/>
    <n v="0"/>
    <n v="0"/>
    <n v="0"/>
    <n v="0"/>
    <n v="0"/>
    <n v="0"/>
    <n v="0"/>
    <n v="0"/>
    <n v="0"/>
    <n v="0"/>
    <n v="0"/>
    <n v="0"/>
    <n v="0"/>
    <s v="MMR001CMP148"/>
    <x v="0"/>
    <x v="0"/>
    <s v="P4"/>
    <n v="0"/>
    <s v="No"/>
  </r>
  <r>
    <n v="53.1"/>
    <d v="2012-12-20T00:00:00"/>
    <x v="0"/>
    <s v="UNHCR"/>
    <s v="Kachin"/>
    <s v="Myitkyina"/>
    <s v="Jan Mai Kawng Baptist Church"/>
    <m/>
    <m/>
    <m/>
    <n v="19"/>
    <n v="10"/>
    <n v="19"/>
    <n v="10"/>
    <n v="10"/>
    <n v="10"/>
    <n v="10"/>
    <m/>
    <m/>
    <m/>
    <m/>
    <m/>
    <m/>
    <m/>
    <n v="0"/>
    <n v="0"/>
    <n v="0"/>
    <n v="0"/>
    <n v="0"/>
    <n v="0"/>
    <n v="0"/>
    <n v="0"/>
    <n v="0"/>
    <n v="0"/>
    <n v="0"/>
    <n v="0"/>
    <n v="0"/>
    <n v="0"/>
    <n v="0"/>
    <n v="0"/>
    <n v="0"/>
    <n v="0"/>
    <s v="MMR001CMP018"/>
    <x v="0"/>
    <x v="0"/>
    <s v="P4"/>
    <n v="2.4554941682013506E-4"/>
    <s v="No"/>
  </r>
  <r>
    <n v="53.06666666666667"/>
    <d v="2012-12-21T00:00:00"/>
    <x v="0"/>
    <s v="UNHCR"/>
    <s v="Kachin"/>
    <s v="Bhamo"/>
    <s v="Lisu Boarding-House"/>
    <m/>
    <m/>
    <m/>
    <n v="0"/>
    <n v="12"/>
    <n v="0"/>
    <n v="12"/>
    <n v="12"/>
    <n v="12"/>
    <n v="12"/>
    <m/>
    <m/>
    <m/>
    <m/>
    <m/>
    <m/>
    <m/>
    <n v="0"/>
    <n v="0"/>
    <n v="0"/>
    <n v="0"/>
    <n v="0"/>
    <n v="0"/>
    <n v="0"/>
    <n v="0"/>
    <n v="0"/>
    <n v="0"/>
    <n v="0"/>
    <n v="0"/>
    <n v="0"/>
    <n v="0"/>
    <n v="0"/>
    <n v="0"/>
    <n v="0"/>
    <n v="0"/>
    <s v="MMR001CMP049"/>
    <x v="0"/>
    <x v="0"/>
    <s v="P4"/>
    <n v="2.948765204570586E-4"/>
    <s v="No"/>
  </r>
  <r>
    <n v="53.06666666666667"/>
    <d v="2012-12-21T00:00:00"/>
    <x v="0"/>
    <s v="UNHCR"/>
    <s v="Kachin"/>
    <s v="Bhamo"/>
    <s v="Robert Church"/>
    <m/>
    <m/>
    <m/>
    <n v="0"/>
    <n v="0"/>
    <n v="73"/>
    <n v="0"/>
    <n v="0"/>
    <m/>
    <m/>
    <m/>
    <m/>
    <m/>
    <m/>
    <m/>
    <m/>
    <m/>
    <n v="0"/>
    <n v="0"/>
    <n v="0"/>
    <n v="0"/>
    <n v="0"/>
    <n v="0"/>
    <n v="0"/>
    <n v="0"/>
    <n v="0"/>
    <n v="0"/>
    <n v="0"/>
    <n v="0"/>
    <n v="0"/>
    <n v="0"/>
    <n v="0"/>
    <n v="0"/>
    <n v="0"/>
    <n v="0"/>
    <s v="MMR001CMP047"/>
    <x v="0"/>
    <x v="0"/>
    <s v="P4"/>
    <n v="0"/>
    <s v="No"/>
  </r>
  <r>
    <n v="53.06666666666667"/>
    <d v="2012-12-21T00:00:00"/>
    <x v="0"/>
    <s v="UNHCR"/>
    <s v="Kachin"/>
    <s v="Bhamo"/>
    <s v="Robert Church"/>
    <m/>
    <m/>
    <m/>
    <n v="24"/>
    <n v="12"/>
    <n v="24"/>
    <n v="12"/>
    <n v="12"/>
    <n v="12"/>
    <n v="12"/>
    <m/>
    <m/>
    <m/>
    <m/>
    <m/>
    <m/>
    <m/>
    <n v="0"/>
    <n v="0"/>
    <n v="0"/>
    <n v="0"/>
    <n v="0"/>
    <n v="0"/>
    <n v="0"/>
    <n v="0"/>
    <n v="0"/>
    <n v="0"/>
    <n v="0"/>
    <n v="0"/>
    <n v="0"/>
    <n v="0"/>
    <n v="0"/>
    <n v="0"/>
    <n v="0"/>
    <n v="0"/>
    <s v="MMR001CMP047"/>
    <x v="0"/>
    <x v="0"/>
    <s v="P4"/>
    <n v="2.9465930018416205E-4"/>
    <s v="No"/>
  </r>
  <r>
    <n v="53.06666666666667"/>
    <d v="2012-12-21T00:00:00"/>
    <x v="0"/>
    <s v="UNHCR"/>
    <s v="Kachin"/>
    <s v="Shwegu"/>
    <s v="Shwe Gu Baptist Church"/>
    <m/>
    <m/>
    <m/>
    <n v="0"/>
    <n v="0"/>
    <n v="83"/>
    <n v="0"/>
    <n v="0"/>
    <m/>
    <m/>
    <m/>
    <m/>
    <m/>
    <m/>
    <m/>
    <m/>
    <m/>
    <n v="0"/>
    <n v="0"/>
    <n v="0"/>
    <n v="0"/>
    <n v="0"/>
    <n v="0"/>
    <n v="0"/>
    <n v="0"/>
    <n v="0"/>
    <n v="0"/>
    <n v="0"/>
    <n v="0"/>
    <n v="0"/>
    <n v="0"/>
    <n v="0"/>
    <n v="0"/>
    <n v="0"/>
    <n v="0"/>
    <s v="MMR001CMP067"/>
    <x v="0"/>
    <x v="0"/>
    <s v="P4"/>
    <n v="0"/>
    <s v="No"/>
  </r>
  <r>
    <n v="53.06666666666667"/>
    <d v="2012-12-21T00:00:00"/>
    <x v="1"/>
    <s v="Solidarities"/>
    <s v="Kachin"/>
    <s v="Bhamo"/>
    <s v="Yoe Kyi Monastery"/>
    <n v="178"/>
    <m/>
    <m/>
    <m/>
    <m/>
    <m/>
    <m/>
    <m/>
    <m/>
    <m/>
    <m/>
    <m/>
    <m/>
    <m/>
    <m/>
    <m/>
    <m/>
    <n v="0"/>
    <n v="0"/>
    <n v="0"/>
    <n v="0"/>
    <n v="0"/>
    <n v="0"/>
    <n v="0"/>
    <n v="0"/>
    <n v="0"/>
    <n v="0"/>
    <n v="0"/>
    <n v="0"/>
    <n v="0"/>
    <n v="0"/>
    <n v="0"/>
    <n v="0"/>
    <n v="0"/>
    <n v="0"/>
    <s v="MMR001CMP053"/>
    <x v="0"/>
    <x v="0"/>
    <s v="P4"/>
    <n v="0"/>
    <m/>
  </r>
  <r>
    <n v="53.06666666666667"/>
    <d v="2012-12-21T00:00:00"/>
    <x v="0"/>
    <s v="UNHCR"/>
    <s v="Kachin"/>
    <s v="Bhamo"/>
    <s v="Yoe Kyi Monastery"/>
    <m/>
    <m/>
    <m/>
    <n v="0"/>
    <n v="3"/>
    <n v="0"/>
    <n v="3"/>
    <n v="3"/>
    <n v="3"/>
    <n v="3"/>
    <m/>
    <m/>
    <m/>
    <m/>
    <m/>
    <m/>
    <m/>
    <n v="0"/>
    <n v="0"/>
    <n v="0"/>
    <n v="0"/>
    <n v="0"/>
    <n v="0"/>
    <n v="0"/>
    <n v="0"/>
    <n v="0"/>
    <n v="0"/>
    <n v="0"/>
    <n v="0"/>
    <n v="0"/>
    <n v="0"/>
    <n v="0"/>
    <n v="0"/>
    <n v="0"/>
    <n v="0"/>
    <s v="MMR001CMP053"/>
    <x v="0"/>
    <x v="0"/>
    <s v="P4"/>
    <n v="7.2953650114294054E-5"/>
    <s v="No"/>
  </r>
  <r>
    <n v="52.733333333333334"/>
    <d v="2012-12-31T00:00:00"/>
    <x v="2"/>
    <s v="DRC"/>
    <s v="Kachin"/>
    <s v="Hpakant"/>
    <s v="5 Ward Baptist Church(lon Khin)"/>
    <n v="12"/>
    <m/>
    <m/>
    <m/>
    <m/>
    <m/>
    <m/>
    <m/>
    <n v="0"/>
    <n v="0"/>
    <m/>
    <m/>
    <m/>
    <m/>
    <m/>
    <m/>
    <m/>
    <n v="0"/>
    <n v="0"/>
    <n v="0"/>
    <n v="0"/>
    <n v="0"/>
    <n v="0"/>
    <n v="0"/>
    <n v="0"/>
    <n v="0"/>
    <n v="0"/>
    <n v="0"/>
    <n v="0"/>
    <n v="0"/>
    <n v="0"/>
    <n v="0"/>
    <n v="0"/>
    <n v="0"/>
    <n v="0"/>
    <s v="MMR001CMP179"/>
    <x v="0"/>
    <x v="1"/>
    <s v="P4"/>
    <n v="0"/>
    <s v="No"/>
  </r>
  <r>
    <n v="52.733333333333334"/>
    <d v="2012-12-31T00:00:00"/>
    <x v="2"/>
    <s v="DRC"/>
    <s v="Kachin"/>
    <s v="Hpakant"/>
    <s v="5 Ward RC Church(lon Khin)"/>
    <n v="19"/>
    <m/>
    <m/>
    <m/>
    <m/>
    <m/>
    <m/>
    <m/>
    <n v="0"/>
    <n v="0"/>
    <m/>
    <m/>
    <m/>
    <m/>
    <m/>
    <m/>
    <m/>
    <n v="0"/>
    <n v="0"/>
    <n v="0"/>
    <n v="0"/>
    <n v="0"/>
    <n v="0"/>
    <n v="0"/>
    <n v="0"/>
    <n v="0"/>
    <n v="0"/>
    <n v="0"/>
    <n v="0"/>
    <n v="0"/>
    <n v="0"/>
    <n v="0"/>
    <n v="0"/>
    <n v="0"/>
    <n v="0"/>
    <s v="MMR001CMP168"/>
    <x v="0"/>
    <x v="0"/>
    <s v="P4"/>
    <n v="0"/>
    <s v="No"/>
  </r>
  <r>
    <n v="52.733333333333334"/>
    <d v="2012-12-31T00:00:00"/>
    <x v="2"/>
    <s v="DRC"/>
    <s v="Kachin"/>
    <s v="Hpakant"/>
    <s v="AG Church, Hmaw Si Sa"/>
    <n v="7"/>
    <m/>
    <m/>
    <m/>
    <m/>
    <m/>
    <m/>
    <m/>
    <n v="0"/>
    <n v="0"/>
    <m/>
    <m/>
    <m/>
    <m/>
    <m/>
    <m/>
    <m/>
    <n v="0"/>
    <n v="0"/>
    <n v="0"/>
    <n v="0"/>
    <n v="0"/>
    <n v="0"/>
    <n v="0"/>
    <n v="0"/>
    <n v="0"/>
    <n v="0"/>
    <n v="0"/>
    <n v="0"/>
    <n v="0"/>
    <n v="0"/>
    <n v="0"/>
    <n v="0"/>
    <n v="0"/>
    <n v="0"/>
    <s v="MMR001CMP176"/>
    <x v="0"/>
    <x v="0"/>
    <s v="P4"/>
    <n v="0"/>
    <s v="No"/>
  </r>
  <r>
    <n v="52.733333333333334"/>
    <d v="2012-12-31T00:00:00"/>
    <x v="2"/>
    <s v="DRC"/>
    <s v="Kachin"/>
    <s v="Hpakant"/>
    <s v="AG Church, Maw Wan"/>
    <n v="4"/>
    <m/>
    <m/>
    <m/>
    <m/>
    <m/>
    <m/>
    <m/>
    <n v="0"/>
    <n v="0"/>
    <m/>
    <m/>
    <m/>
    <m/>
    <m/>
    <m/>
    <m/>
    <n v="0"/>
    <n v="0"/>
    <n v="0"/>
    <n v="0"/>
    <n v="0"/>
    <n v="0"/>
    <n v="0"/>
    <n v="0"/>
    <n v="0"/>
    <n v="0"/>
    <n v="0"/>
    <n v="0"/>
    <n v="0"/>
    <n v="0"/>
    <n v="0"/>
    <n v="0"/>
    <n v="0"/>
    <n v="0"/>
    <s v="MMR001CMP190"/>
    <x v="0"/>
    <x v="0"/>
    <s v="P4"/>
    <n v="0"/>
    <s v="No"/>
  </r>
  <r>
    <n v="52.733333333333334"/>
    <d v="2012-12-31T00:00:00"/>
    <x v="2"/>
    <s v="DRC"/>
    <s v="Kachin"/>
    <s v="Hpakant"/>
    <s v="Baptist Church, Hmaw Si Sar(Lon Khin)"/>
    <n v="20"/>
    <m/>
    <m/>
    <m/>
    <m/>
    <m/>
    <m/>
    <m/>
    <n v="0"/>
    <n v="0"/>
    <m/>
    <m/>
    <m/>
    <m/>
    <m/>
    <m/>
    <m/>
    <n v="0"/>
    <n v="0"/>
    <n v="0"/>
    <n v="0"/>
    <n v="0"/>
    <n v="0"/>
    <n v="0"/>
    <n v="0"/>
    <n v="0"/>
    <n v="0"/>
    <n v="0"/>
    <n v="0"/>
    <n v="0"/>
    <n v="0"/>
    <n v="0"/>
    <n v="0"/>
    <n v="0"/>
    <n v="0"/>
    <s v="MMR001CMP169"/>
    <x v="0"/>
    <x v="0"/>
    <s v="P4"/>
    <n v="0"/>
    <s v="No"/>
  </r>
  <r>
    <n v="52.733333333333334"/>
    <d v="2012-12-31T00:00:00"/>
    <x v="2"/>
    <s v="DRC"/>
    <s v="Kachin"/>
    <s v="Hpakant"/>
    <s v="Dhama Rakhita, Nyein Chan Tar Yar Ward(Lon Khin)"/>
    <n v="6"/>
    <m/>
    <m/>
    <m/>
    <m/>
    <m/>
    <m/>
    <m/>
    <n v="0"/>
    <n v="0"/>
    <m/>
    <m/>
    <m/>
    <m/>
    <m/>
    <m/>
    <m/>
    <n v="0"/>
    <n v="0"/>
    <n v="0"/>
    <n v="0"/>
    <n v="0"/>
    <n v="0"/>
    <n v="0"/>
    <n v="0"/>
    <n v="0"/>
    <n v="0"/>
    <n v="0"/>
    <n v="0"/>
    <n v="0"/>
    <n v="0"/>
    <n v="0"/>
    <n v="0"/>
    <n v="0"/>
    <n v="0"/>
    <s v="MMR001CMP174"/>
    <x v="0"/>
    <x v="0"/>
    <s v="P4"/>
    <n v="0"/>
    <s v="No"/>
  </r>
  <r>
    <n v="52.733333333333334"/>
    <d v="2012-12-31T00:00:00"/>
    <x v="2"/>
    <s v="DRC"/>
    <s v="Kachin"/>
    <s v="Waingmaw"/>
    <s v="Hkat Cho "/>
    <n v="136"/>
    <m/>
    <m/>
    <m/>
    <m/>
    <m/>
    <m/>
    <m/>
    <n v="0"/>
    <n v="0"/>
    <m/>
    <m/>
    <m/>
    <m/>
    <m/>
    <m/>
    <m/>
    <n v="0"/>
    <n v="0"/>
    <n v="0"/>
    <n v="0"/>
    <n v="0"/>
    <n v="0"/>
    <n v="0"/>
    <n v="0"/>
    <n v="0"/>
    <n v="0"/>
    <n v="0"/>
    <n v="0"/>
    <n v="0"/>
    <n v="0"/>
    <n v="0"/>
    <n v="0"/>
    <n v="0"/>
    <n v="0"/>
    <s v="MMR001CMP028"/>
    <x v="0"/>
    <x v="0"/>
    <s v="P4"/>
    <n v="0"/>
    <s v="No"/>
  </r>
  <r>
    <n v="52.733333333333334"/>
    <d v="2012-12-31T00:00:00"/>
    <x v="2"/>
    <s v="DRC"/>
    <s v="Kachin"/>
    <s v="Hpakant"/>
    <s v="Hlaing Naung Baptist"/>
    <n v="4"/>
    <m/>
    <m/>
    <m/>
    <m/>
    <m/>
    <m/>
    <m/>
    <n v="0"/>
    <n v="0"/>
    <m/>
    <m/>
    <m/>
    <m/>
    <m/>
    <m/>
    <m/>
    <n v="0"/>
    <n v="0"/>
    <n v="0"/>
    <n v="0"/>
    <n v="0"/>
    <n v="0"/>
    <n v="0"/>
    <n v="0"/>
    <n v="0"/>
    <n v="0"/>
    <n v="0"/>
    <n v="0"/>
    <n v="0"/>
    <n v="0"/>
    <n v="0"/>
    <n v="0"/>
    <n v="0"/>
    <n v="0"/>
    <s v="MMR001CMP148"/>
    <x v="0"/>
    <x v="0"/>
    <s v="P4"/>
    <n v="0"/>
    <s v="No"/>
  </r>
  <r>
    <n v="52.733333333333334"/>
    <d v="2012-12-31T00:00:00"/>
    <x v="2"/>
    <s v="DRC"/>
    <s v="Kachin"/>
    <s v="Hpakant"/>
    <s v="Hmaw Wan, Anglican"/>
    <n v="3"/>
    <m/>
    <m/>
    <m/>
    <m/>
    <m/>
    <m/>
    <m/>
    <n v="0"/>
    <n v="0"/>
    <m/>
    <m/>
    <m/>
    <m/>
    <m/>
    <m/>
    <m/>
    <n v="0"/>
    <n v="0"/>
    <n v="0"/>
    <n v="0"/>
    <n v="0"/>
    <n v="0"/>
    <n v="0"/>
    <n v="0"/>
    <n v="0"/>
    <n v="0"/>
    <n v="0"/>
    <n v="0"/>
    <n v="0"/>
    <n v="0"/>
    <n v="0"/>
    <n v="0"/>
    <n v="0"/>
    <n v="0"/>
    <s v="MMR001CMP191"/>
    <x v="0"/>
    <x v="0"/>
    <s v="P4"/>
    <n v="0"/>
    <s v="No"/>
  </r>
  <r>
    <n v="52.733333333333334"/>
    <d v="2012-12-31T00:00:00"/>
    <x v="2"/>
    <s v="DRC"/>
    <s v="Kachin"/>
    <s v="Hpakant"/>
    <s v="Lisu Baptist Church, Maw Wan Ward"/>
    <n v="1"/>
    <m/>
    <m/>
    <m/>
    <m/>
    <m/>
    <m/>
    <m/>
    <n v="0"/>
    <n v="0"/>
    <m/>
    <m/>
    <m/>
    <m/>
    <m/>
    <m/>
    <m/>
    <n v="0"/>
    <n v="0"/>
    <n v="0"/>
    <n v="0"/>
    <n v="0"/>
    <n v="0"/>
    <n v="0"/>
    <n v="0"/>
    <n v="0"/>
    <n v="0"/>
    <n v="0"/>
    <n v="0"/>
    <n v="0"/>
    <n v="0"/>
    <n v="0"/>
    <n v="0"/>
    <n v="0"/>
    <n v="0"/>
    <s v="MMR001CMP167"/>
    <x v="0"/>
    <x v="0"/>
    <s v="P4"/>
    <n v="0"/>
    <s v="No"/>
  </r>
  <r>
    <n v="52.733333333333334"/>
    <d v="2012-12-31T00:00:00"/>
    <x v="2"/>
    <s v="DRC"/>
    <s v="Kachin"/>
    <s v="Waingmaw"/>
    <s v="Mading Baptist Church"/>
    <n v="23"/>
    <m/>
    <m/>
    <m/>
    <m/>
    <m/>
    <m/>
    <m/>
    <n v="0"/>
    <n v="0"/>
    <m/>
    <m/>
    <m/>
    <m/>
    <m/>
    <m/>
    <m/>
    <n v="0"/>
    <n v="0"/>
    <n v="0"/>
    <n v="0"/>
    <n v="0"/>
    <n v="0"/>
    <n v="0"/>
    <n v="0"/>
    <n v="0"/>
    <n v="0"/>
    <n v="0"/>
    <n v="0"/>
    <n v="0"/>
    <n v="0"/>
    <n v="0"/>
    <n v="0"/>
    <n v="0"/>
    <n v="0"/>
    <s v="MMR001CMP027"/>
    <x v="0"/>
    <x v="0"/>
    <s v="P4"/>
    <n v="0"/>
    <s v="No"/>
  </r>
  <r>
    <n v="52.733333333333334"/>
    <d v="2012-12-31T00:00:00"/>
    <x v="2"/>
    <s v="DRC"/>
    <s v="Kachin"/>
    <s v="Waingmaw"/>
    <s v="Maina AG Church"/>
    <n v="79"/>
    <m/>
    <m/>
    <m/>
    <m/>
    <m/>
    <m/>
    <m/>
    <n v="0"/>
    <n v="0"/>
    <m/>
    <m/>
    <m/>
    <m/>
    <m/>
    <m/>
    <m/>
    <n v="0"/>
    <n v="0"/>
    <n v="0"/>
    <n v="0"/>
    <n v="0"/>
    <n v="0"/>
    <n v="0"/>
    <n v="0"/>
    <n v="0"/>
    <n v="0"/>
    <n v="0"/>
    <n v="0"/>
    <n v="0"/>
    <n v="0"/>
    <n v="0"/>
    <n v="0"/>
    <n v="0"/>
    <n v="0"/>
    <s v="MMR001CMP031"/>
    <x v="0"/>
    <x v="0"/>
    <s v="P4"/>
    <n v="0"/>
    <s v="No"/>
  </r>
  <r>
    <n v="52.733333333333334"/>
    <d v="2012-12-31T00:00:00"/>
    <x v="2"/>
    <s v="DRC"/>
    <s v="Kachin"/>
    <s v="Myitkyina"/>
    <s v="Maw Hpawng Hka Nan Baptist Church"/>
    <n v="14"/>
    <m/>
    <m/>
    <m/>
    <m/>
    <m/>
    <m/>
    <m/>
    <n v="0"/>
    <n v="0"/>
    <m/>
    <m/>
    <m/>
    <m/>
    <m/>
    <m/>
    <m/>
    <n v="0"/>
    <n v="0"/>
    <n v="0"/>
    <n v="0"/>
    <n v="0"/>
    <n v="0"/>
    <n v="0"/>
    <n v="0"/>
    <n v="0"/>
    <n v="0"/>
    <n v="0"/>
    <n v="0"/>
    <n v="0"/>
    <n v="0"/>
    <n v="0"/>
    <n v="0"/>
    <n v="0"/>
    <n v="0"/>
    <s v="MMR001CMP020"/>
    <x v="0"/>
    <x v="0"/>
    <s v="P4"/>
    <n v="0"/>
    <s v="No"/>
  </r>
  <r>
    <n v="52.733333333333334"/>
    <d v="2012-12-31T00:00:00"/>
    <x v="2"/>
    <s v="DRC"/>
    <s v="Kachin"/>
    <s v="Myitkyina"/>
    <s v="Maw Hpawng Lhaovo Baptist Church"/>
    <n v="23"/>
    <m/>
    <m/>
    <m/>
    <m/>
    <m/>
    <m/>
    <m/>
    <n v="0"/>
    <n v="0"/>
    <m/>
    <m/>
    <m/>
    <m/>
    <m/>
    <m/>
    <m/>
    <n v="0"/>
    <n v="0"/>
    <n v="0"/>
    <n v="0"/>
    <n v="0"/>
    <n v="0"/>
    <n v="0"/>
    <n v="0"/>
    <n v="0"/>
    <n v="0"/>
    <n v="0"/>
    <n v="0"/>
    <n v="0"/>
    <n v="0"/>
    <n v="0"/>
    <n v="0"/>
    <n v="0"/>
    <n v="0"/>
    <s v="MMR001CMP021"/>
    <x v="0"/>
    <x v="0"/>
    <s v="P4"/>
    <n v="0"/>
    <s v="No"/>
  </r>
  <r>
    <n v="52.733333333333334"/>
    <d v="2012-12-31T00:00:00"/>
    <x v="2"/>
    <s v="DRC"/>
    <s v="Kachin"/>
    <s v="Hpakant"/>
    <s v="Maw Wan, Mu-yin Baptist Church"/>
    <n v="2"/>
    <m/>
    <m/>
    <m/>
    <m/>
    <m/>
    <m/>
    <m/>
    <n v="0"/>
    <n v="0"/>
    <m/>
    <m/>
    <m/>
    <m/>
    <m/>
    <m/>
    <m/>
    <n v="0"/>
    <n v="0"/>
    <n v="0"/>
    <n v="0"/>
    <n v="0"/>
    <n v="0"/>
    <n v="0"/>
    <n v="0"/>
    <n v="0"/>
    <n v="0"/>
    <n v="0"/>
    <n v="0"/>
    <n v="0"/>
    <n v="0"/>
    <n v="0"/>
    <n v="0"/>
    <n v="0"/>
    <n v="0"/>
    <s v="MMR001CMP091"/>
    <x v="0"/>
    <x v="0"/>
    <s v="P4"/>
    <n v="0"/>
    <s v="No"/>
  </r>
  <r>
    <n v="52.733333333333334"/>
    <d v="2012-12-31T00:00:00"/>
    <x v="2"/>
    <s v="DRC"/>
    <s v="Kachin"/>
    <s v="Hpakant"/>
    <s v="Nam Ma Phyit, COC"/>
    <n v="32"/>
    <m/>
    <m/>
    <m/>
    <m/>
    <m/>
    <m/>
    <m/>
    <n v="0"/>
    <n v="0"/>
    <m/>
    <m/>
    <m/>
    <m/>
    <m/>
    <m/>
    <m/>
    <n v="0"/>
    <n v="0"/>
    <n v="0"/>
    <n v="0"/>
    <n v="0"/>
    <n v="0"/>
    <n v="0"/>
    <n v="0"/>
    <n v="0"/>
    <n v="0"/>
    <n v="0"/>
    <n v="0"/>
    <n v="0"/>
    <n v="0"/>
    <n v="0"/>
    <n v="0"/>
    <n v="0"/>
    <n v="0"/>
    <s v="MMR001CMP192"/>
    <x v="0"/>
    <x v="0"/>
    <s v="P4"/>
    <n v="0"/>
    <s v="No"/>
  </r>
  <r>
    <n v="52.733333333333334"/>
    <d v="2012-12-31T00:00:00"/>
    <x v="2"/>
    <s v="DRC"/>
    <s v="Kachin"/>
    <s v="Hpakant"/>
    <s v="Nant Ma Hpit Catholic Church"/>
    <n v="4"/>
    <m/>
    <m/>
    <m/>
    <m/>
    <m/>
    <m/>
    <m/>
    <n v="0"/>
    <n v="0"/>
    <m/>
    <m/>
    <m/>
    <m/>
    <m/>
    <m/>
    <m/>
    <n v="0"/>
    <n v="0"/>
    <n v="0"/>
    <n v="0"/>
    <n v="0"/>
    <n v="0"/>
    <n v="0"/>
    <n v="0"/>
    <n v="0"/>
    <n v="0"/>
    <n v="0"/>
    <n v="0"/>
    <n v="0"/>
    <n v="0"/>
    <n v="0"/>
    <n v="0"/>
    <n v="0"/>
    <n v="0"/>
    <s v="MMR001CMP103"/>
    <x v="0"/>
    <x v="0"/>
    <s v="P4"/>
    <n v="0"/>
    <s v="No"/>
  </r>
  <r>
    <n v="52.733333333333334"/>
    <d v="2012-12-31T00:00:00"/>
    <x v="2"/>
    <s v="DRC"/>
    <s v="Kachin"/>
    <s v="Waingmaw"/>
    <s v="Qtr. 2 Lhaovo Baptist Church"/>
    <n v="92"/>
    <m/>
    <m/>
    <m/>
    <m/>
    <m/>
    <m/>
    <m/>
    <n v="0"/>
    <n v="0"/>
    <m/>
    <m/>
    <m/>
    <m/>
    <m/>
    <m/>
    <m/>
    <n v="0"/>
    <n v="0"/>
    <n v="0"/>
    <n v="0"/>
    <n v="0"/>
    <n v="0"/>
    <n v="0"/>
    <n v="0"/>
    <n v="0"/>
    <n v="0"/>
    <n v="0"/>
    <n v="0"/>
    <n v="0"/>
    <n v="0"/>
    <n v="0"/>
    <n v="0"/>
    <n v="0"/>
    <n v="0"/>
    <s v="MMR001CMP032"/>
    <x v="0"/>
    <x v="0"/>
    <s v="P4"/>
    <n v="0"/>
    <s v="No"/>
  </r>
  <r>
    <n v="52.733333333333334"/>
    <d v="2012-12-31T00:00:00"/>
    <x v="2"/>
    <s v="DRC"/>
    <s v="Kachin"/>
    <s v="Waingmaw"/>
    <s v="Qtr. 3 Mu-yin  Baptist Church"/>
    <n v="27"/>
    <m/>
    <m/>
    <m/>
    <m/>
    <m/>
    <m/>
    <m/>
    <n v="0"/>
    <n v="0"/>
    <m/>
    <m/>
    <m/>
    <m/>
    <m/>
    <m/>
    <m/>
    <n v="0"/>
    <n v="0"/>
    <n v="0"/>
    <n v="0"/>
    <n v="0"/>
    <n v="0"/>
    <n v="0"/>
    <n v="0"/>
    <n v="0"/>
    <n v="0"/>
    <n v="0"/>
    <n v="0"/>
    <n v="0"/>
    <n v="0"/>
    <n v="0"/>
    <n v="0"/>
    <n v="0"/>
    <n v="0"/>
    <s v="MMR001CMP030"/>
    <x v="0"/>
    <x v="0"/>
    <s v="P4"/>
    <n v="0"/>
    <s v="No"/>
  </r>
  <r>
    <n v="52.733333333333334"/>
    <d v="2012-12-31T00:00:00"/>
    <x v="2"/>
    <s v="DRC"/>
    <s v="Kachin"/>
    <s v="Waingmaw"/>
    <s v="Qtr. 4 Monestry (Thargaya Thayett Taw)"/>
    <n v="96"/>
    <m/>
    <m/>
    <m/>
    <m/>
    <m/>
    <m/>
    <m/>
    <n v="0"/>
    <n v="0"/>
    <m/>
    <m/>
    <m/>
    <m/>
    <m/>
    <m/>
    <m/>
    <n v="0"/>
    <n v="0"/>
    <n v="0"/>
    <n v="0"/>
    <n v="0"/>
    <n v="0"/>
    <n v="0"/>
    <n v="0"/>
    <n v="0"/>
    <n v="0"/>
    <n v="0"/>
    <n v="0"/>
    <n v="0"/>
    <n v="0"/>
    <n v="0"/>
    <n v="0"/>
    <n v="0"/>
    <n v="0"/>
    <s v="MMR001CMP026"/>
    <x v="0"/>
    <x v="0"/>
    <s v="P4"/>
    <n v="0"/>
    <s v="No"/>
  </r>
  <r>
    <n v="52.733333333333334"/>
    <d v="2012-12-31T00:00:00"/>
    <x v="2"/>
    <s v="DRC"/>
    <s v="Kachin"/>
    <s v="Myitkyina"/>
    <s v="Shatapru Thida Aye Baptist Church"/>
    <n v="17"/>
    <m/>
    <m/>
    <m/>
    <m/>
    <m/>
    <m/>
    <m/>
    <n v="0"/>
    <n v="0"/>
    <m/>
    <m/>
    <m/>
    <m/>
    <m/>
    <m/>
    <m/>
    <n v="0"/>
    <n v="0"/>
    <n v="0"/>
    <n v="0"/>
    <n v="0"/>
    <n v="0"/>
    <n v="0"/>
    <n v="0"/>
    <n v="0"/>
    <n v="0"/>
    <n v="0"/>
    <n v="0"/>
    <n v="0"/>
    <n v="0"/>
    <n v="0"/>
    <n v="0"/>
    <n v="0"/>
    <n v="0"/>
    <s v="MMR001CMP007"/>
    <x v="0"/>
    <x v="0"/>
    <s v="P4"/>
    <n v="0"/>
    <s v="No"/>
  </r>
  <r>
    <n v="52.733333333333334"/>
    <d v="2012-12-31T00:00:00"/>
    <x v="2"/>
    <s v="DRC"/>
    <s v="Kachin"/>
    <s v="Myitkyina"/>
    <s v="Tat Kone COC Baptist - Tat Kone Htoi San"/>
    <n v="34"/>
    <m/>
    <m/>
    <m/>
    <m/>
    <m/>
    <m/>
    <m/>
    <n v="0"/>
    <n v="0"/>
    <m/>
    <m/>
    <m/>
    <m/>
    <m/>
    <m/>
    <m/>
    <n v="0"/>
    <n v="0"/>
    <n v="0"/>
    <n v="0"/>
    <n v="0"/>
    <n v="0"/>
    <n v="0"/>
    <n v="0"/>
    <n v="0"/>
    <n v="0"/>
    <n v="0"/>
    <n v="0"/>
    <n v="0"/>
    <n v="0"/>
    <n v="0"/>
    <n v="0"/>
    <n v="0"/>
    <n v="0"/>
    <s v="MMR001CMP023"/>
    <x v="0"/>
    <x v="0"/>
    <s v="P4"/>
    <n v="0"/>
    <s v="No"/>
  </r>
  <r>
    <n v="52.733333333333334"/>
    <d v="2012-12-31T00:00:00"/>
    <x v="2"/>
    <s v="DRC"/>
    <s v="Kachin"/>
    <s v="Myitkyina"/>
    <s v="Tat Kone Emanuel Church"/>
    <n v="14"/>
    <m/>
    <m/>
    <m/>
    <m/>
    <m/>
    <m/>
    <m/>
    <n v="0"/>
    <n v="0"/>
    <m/>
    <m/>
    <m/>
    <m/>
    <m/>
    <m/>
    <m/>
    <n v="0"/>
    <n v="0"/>
    <n v="0"/>
    <n v="0"/>
    <n v="0"/>
    <n v="0"/>
    <n v="0"/>
    <n v="0"/>
    <n v="0"/>
    <n v="0"/>
    <n v="0"/>
    <n v="0"/>
    <n v="0"/>
    <n v="0"/>
    <n v="0"/>
    <n v="0"/>
    <n v="0"/>
    <n v="0"/>
    <s v="MMR001CMP004"/>
    <x v="0"/>
    <x v="0"/>
    <s v="P4"/>
    <n v="0"/>
    <s v="No"/>
  </r>
  <r>
    <n v="52.733333333333334"/>
    <d v="2012-12-31T00:00:00"/>
    <x v="2"/>
    <s v="DRC"/>
    <s v="Kachin"/>
    <s v="Waingmaw"/>
    <s v="Thargaya Lisu Baptist Church"/>
    <n v="68"/>
    <m/>
    <m/>
    <m/>
    <m/>
    <m/>
    <m/>
    <m/>
    <n v="0"/>
    <n v="0"/>
    <m/>
    <m/>
    <m/>
    <m/>
    <m/>
    <m/>
    <m/>
    <n v="0"/>
    <n v="0"/>
    <n v="0"/>
    <n v="0"/>
    <n v="0"/>
    <n v="0"/>
    <n v="0"/>
    <n v="0"/>
    <n v="0"/>
    <n v="0"/>
    <n v="0"/>
    <n v="0"/>
    <n v="0"/>
    <n v="0"/>
    <n v="0"/>
    <n v="0"/>
    <n v="0"/>
    <n v="0"/>
    <s v="MMR001CMP037"/>
    <x v="0"/>
    <x v="0"/>
    <s v="P4"/>
    <n v="0"/>
    <s v="No"/>
  </r>
  <r>
    <n v="52.733333333333334"/>
    <d v="2012-12-31T00:00:00"/>
    <x v="2"/>
    <s v="DRC"/>
    <s v="Kachin"/>
    <s v="Waingmaw"/>
    <s v="Waingmaw AG Church"/>
    <n v="56"/>
    <m/>
    <m/>
    <m/>
    <m/>
    <m/>
    <m/>
    <m/>
    <n v="0"/>
    <n v="0"/>
    <m/>
    <m/>
    <m/>
    <m/>
    <m/>
    <m/>
    <m/>
    <n v="0"/>
    <n v="0"/>
    <n v="0"/>
    <n v="0"/>
    <n v="0"/>
    <n v="0"/>
    <n v="0"/>
    <n v="0"/>
    <n v="0"/>
    <n v="0"/>
    <n v="0"/>
    <n v="0"/>
    <n v="0"/>
    <n v="0"/>
    <n v="0"/>
    <n v="0"/>
    <n v="0"/>
    <n v="0"/>
    <s v="MMR001CMP038"/>
    <x v="0"/>
    <x v="0"/>
    <s v="P4"/>
    <n v="0"/>
    <s v="No"/>
  </r>
  <r>
    <n v="52.733333333333334"/>
    <d v="2012-12-31T00:00:00"/>
    <x v="2"/>
    <s v="DRC"/>
    <s v="Kachin"/>
    <s v="Myitkyina"/>
    <s v="Wun Tho Buddhist Monastery"/>
    <n v="24"/>
    <m/>
    <m/>
    <m/>
    <m/>
    <m/>
    <m/>
    <m/>
    <n v="0"/>
    <n v="0"/>
    <m/>
    <m/>
    <m/>
    <m/>
    <m/>
    <m/>
    <m/>
    <n v="0"/>
    <n v="0"/>
    <n v="0"/>
    <n v="0"/>
    <n v="0"/>
    <n v="0"/>
    <n v="0"/>
    <n v="0"/>
    <n v="0"/>
    <n v="0"/>
    <n v="0"/>
    <n v="0"/>
    <n v="0"/>
    <n v="0"/>
    <n v="0"/>
    <n v="0"/>
    <n v="0"/>
    <n v="0"/>
    <s v="MMR001CMP022"/>
    <x v="0"/>
    <x v="0"/>
    <s v="P4"/>
    <n v="0"/>
    <s v="No"/>
  </r>
  <r>
    <n v="52.733333333333334"/>
    <d v="2012-12-31T00:00:00"/>
    <x v="2"/>
    <s v="DRC"/>
    <s v="Kachin"/>
    <s v="Hpakant"/>
    <s v="Yumar Baptist Church"/>
    <n v="42"/>
    <m/>
    <m/>
    <m/>
    <m/>
    <m/>
    <m/>
    <m/>
    <n v="0"/>
    <n v="0"/>
    <m/>
    <m/>
    <m/>
    <m/>
    <m/>
    <m/>
    <m/>
    <n v="0"/>
    <n v="0"/>
    <n v="0"/>
    <n v="0"/>
    <n v="0"/>
    <n v="0"/>
    <n v="0"/>
    <n v="0"/>
    <n v="0"/>
    <n v="0"/>
    <n v="0"/>
    <n v="0"/>
    <n v="0"/>
    <n v="0"/>
    <n v="0"/>
    <n v="0"/>
    <n v="0"/>
    <n v="0"/>
    <s v="MMR001CMP105"/>
    <x v="0"/>
    <x v="0"/>
    <s v="P4"/>
    <n v="0"/>
    <s v="No"/>
  </r>
  <r>
    <n v="52.733333333333334"/>
    <d v="2012-12-31T00:00:00"/>
    <x v="2"/>
    <s v="DRC"/>
    <s v="Kachin"/>
    <s v="Hpakant"/>
    <s v="Aye Mya Tharyar Church of Christ "/>
    <n v="16"/>
    <m/>
    <m/>
    <m/>
    <m/>
    <m/>
    <m/>
    <m/>
    <n v="0"/>
    <n v="0"/>
    <m/>
    <m/>
    <m/>
    <m/>
    <m/>
    <m/>
    <m/>
    <n v="0"/>
    <n v="0"/>
    <n v="0"/>
    <n v="0"/>
    <n v="0"/>
    <n v="0"/>
    <n v="0"/>
    <n v="0"/>
    <n v="0"/>
    <n v="0"/>
    <n v="0"/>
    <n v="0"/>
    <n v="0"/>
    <n v="0"/>
    <n v="0"/>
    <n v="0"/>
    <n v="0"/>
    <n v="0"/>
    <s v="MMR001CMP092"/>
    <x v="0"/>
    <x v="1"/>
    <s v=""/>
    <s v=""/>
    <s v="No"/>
  </r>
  <r>
    <n v="52.733333333333334"/>
    <d v="2012-12-31T00:00:00"/>
    <x v="2"/>
    <s v="DRC"/>
    <s v="Kachin"/>
    <s v="Hpakant"/>
    <s v="Baptist Church, Sai Ra village"/>
    <n v="3"/>
    <m/>
    <m/>
    <m/>
    <m/>
    <m/>
    <m/>
    <m/>
    <n v="0"/>
    <n v="0"/>
    <m/>
    <m/>
    <m/>
    <m/>
    <m/>
    <m/>
    <m/>
    <n v="0"/>
    <n v="0"/>
    <n v="0"/>
    <n v="0"/>
    <n v="0"/>
    <n v="0"/>
    <n v="0"/>
    <n v="0"/>
    <n v="0"/>
    <n v="0"/>
    <n v="0"/>
    <n v="0"/>
    <n v="0"/>
    <n v="0"/>
    <n v="0"/>
    <n v="0"/>
    <n v="0"/>
    <n v="0"/>
    <s v="MMR001CMP172"/>
    <x v="0"/>
    <x v="1"/>
    <s v=""/>
    <n v="0"/>
    <s v="No"/>
  </r>
  <r>
    <n v="52.733333333333334"/>
    <d v="2012-12-31T00:00:00"/>
    <x v="2"/>
    <s v="DRC"/>
    <s v="Kachin"/>
    <s v="Hpakant"/>
    <s v="Mashi Kahtawng Baptist  Church"/>
    <n v="57"/>
    <m/>
    <m/>
    <m/>
    <m/>
    <m/>
    <m/>
    <m/>
    <n v="0"/>
    <n v="0"/>
    <m/>
    <m/>
    <m/>
    <m/>
    <m/>
    <m/>
    <m/>
    <n v="0"/>
    <n v="0"/>
    <n v="0"/>
    <n v="0"/>
    <n v="0"/>
    <n v="0"/>
    <n v="0"/>
    <n v="0"/>
    <n v="0"/>
    <n v="0"/>
    <n v="0"/>
    <n v="0"/>
    <n v="0"/>
    <n v="0"/>
    <n v="0"/>
    <n v="0"/>
    <n v="0"/>
    <n v="0"/>
    <s v="MMR001CMP094"/>
    <x v="0"/>
    <x v="1"/>
    <s v=""/>
    <s v=""/>
    <s v="No"/>
  </r>
  <r>
    <n v="52.733333333333334"/>
    <d v="2012-12-31T00:00:00"/>
    <x v="2"/>
    <s v="DRC"/>
    <s v="Kachin"/>
    <s v="Hpakant"/>
    <s v="Mashi Kahtawng Catholic Church"/>
    <n v="2"/>
    <m/>
    <m/>
    <m/>
    <m/>
    <m/>
    <m/>
    <m/>
    <n v="0"/>
    <n v="0"/>
    <m/>
    <m/>
    <m/>
    <m/>
    <m/>
    <m/>
    <m/>
    <n v="0"/>
    <n v="0"/>
    <n v="0"/>
    <n v="0"/>
    <n v="0"/>
    <n v="0"/>
    <n v="0"/>
    <n v="0"/>
    <n v="0"/>
    <n v="0"/>
    <n v="0"/>
    <n v="0"/>
    <n v="0"/>
    <n v="0"/>
    <n v="0"/>
    <n v="0"/>
    <n v="0"/>
    <n v="0"/>
    <s v="MMR001CMP093"/>
    <x v="0"/>
    <x v="1"/>
    <s v=""/>
    <s v=""/>
    <s v="No"/>
  </r>
  <r>
    <n v="52.733333333333334"/>
    <d v="2012-12-31T00:00:00"/>
    <x v="2"/>
    <s v="DRC"/>
    <s v="Kachin"/>
    <s v="Hpakant"/>
    <s v="Maw Si Zar, Thiriyardanar Sein, Damma Compound, Lone Khin"/>
    <n v="3"/>
    <m/>
    <m/>
    <m/>
    <m/>
    <m/>
    <m/>
    <m/>
    <n v="0"/>
    <n v="0"/>
    <m/>
    <m/>
    <m/>
    <m/>
    <m/>
    <m/>
    <m/>
    <n v="0"/>
    <n v="0"/>
    <n v="0"/>
    <n v="0"/>
    <n v="0"/>
    <n v="0"/>
    <n v="0"/>
    <n v="0"/>
    <n v="0"/>
    <n v="0"/>
    <n v="0"/>
    <n v="0"/>
    <n v="0"/>
    <n v="0"/>
    <n v="0"/>
    <n v="0"/>
    <n v="0"/>
    <n v="0"/>
    <s v="MMR001CMP106"/>
    <x v="0"/>
    <x v="1"/>
    <s v=""/>
    <s v=""/>
    <s v="No"/>
  </r>
  <r>
    <n v="52.733333333333334"/>
    <d v="2012-12-31T00:00:00"/>
    <x v="2"/>
    <s v="DRC"/>
    <s v="Kachin"/>
    <s v="Hpakant"/>
    <s v="Maw Wan, Kachin Baptist Church"/>
    <n v="10"/>
    <m/>
    <m/>
    <m/>
    <m/>
    <m/>
    <m/>
    <m/>
    <n v="0"/>
    <n v="0"/>
    <m/>
    <m/>
    <m/>
    <m/>
    <m/>
    <m/>
    <m/>
    <n v="0"/>
    <n v="0"/>
    <n v="0"/>
    <n v="0"/>
    <n v="0"/>
    <n v="0"/>
    <n v="0"/>
    <n v="0"/>
    <n v="0"/>
    <n v="0"/>
    <n v="0"/>
    <n v="0"/>
    <n v="0"/>
    <n v="0"/>
    <n v="0"/>
    <n v="0"/>
    <n v="0"/>
    <n v="0"/>
    <s v="MMR001CMP085"/>
    <x v="0"/>
    <x v="1"/>
    <s v=""/>
    <s v=""/>
    <s v="No"/>
  </r>
  <r>
    <n v="52.733333333333334"/>
    <d v="2012-12-31T00:00:00"/>
    <x v="2"/>
    <s v="DRC"/>
    <s v="Kachin"/>
    <s v="Hpakant"/>
    <s v="May Di Ka Rama Monastery(Lon Khin)"/>
    <n v="5"/>
    <m/>
    <m/>
    <m/>
    <m/>
    <m/>
    <m/>
    <m/>
    <n v="0"/>
    <n v="0"/>
    <m/>
    <m/>
    <m/>
    <m/>
    <m/>
    <m/>
    <m/>
    <n v="0"/>
    <n v="0"/>
    <n v="0"/>
    <n v="0"/>
    <n v="0"/>
    <n v="0"/>
    <n v="0"/>
    <n v="0"/>
    <n v="0"/>
    <n v="0"/>
    <n v="0"/>
    <n v="0"/>
    <n v="0"/>
    <n v="0"/>
    <n v="0"/>
    <n v="0"/>
    <n v="0"/>
    <n v="0"/>
    <s v="MMR001CMP178"/>
    <x v="0"/>
    <x v="1"/>
    <s v=""/>
    <s v=""/>
    <s v="No"/>
  </r>
  <r>
    <n v="52.733333333333334"/>
    <d v="2012-12-31T00:00:00"/>
    <x v="2"/>
    <s v="DRC"/>
    <s v="Kachin"/>
    <s v="Hpakant"/>
    <s v="Muring Baptist Church, Awng Ra, Wa Ra Zut VT"/>
    <n v="1"/>
    <m/>
    <m/>
    <m/>
    <m/>
    <m/>
    <m/>
    <m/>
    <n v="0"/>
    <n v="0"/>
    <m/>
    <m/>
    <m/>
    <m/>
    <m/>
    <m/>
    <m/>
    <n v="0"/>
    <n v="0"/>
    <n v="0"/>
    <n v="0"/>
    <n v="0"/>
    <n v="0"/>
    <n v="0"/>
    <n v="0"/>
    <n v="0"/>
    <n v="0"/>
    <n v="0"/>
    <n v="0"/>
    <n v="0"/>
    <n v="0"/>
    <n v="0"/>
    <n v="0"/>
    <n v="0"/>
    <n v="0"/>
    <s v="MMR001CMP177"/>
    <x v="0"/>
    <x v="1"/>
    <s v=""/>
    <n v="0"/>
    <s v="No"/>
  </r>
  <r>
    <n v="52.733333333333334"/>
    <d v="2012-12-31T00:00:00"/>
    <x v="2"/>
    <s v="DRC"/>
    <s v="Kachin"/>
    <s v="Myitkyina"/>
    <s v="Myay Myint Baptist Church"/>
    <n v="12"/>
    <m/>
    <m/>
    <m/>
    <m/>
    <m/>
    <m/>
    <m/>
    <n v="0"/>
    <n v="0"/>
    <m/>
    <m/>
    <m/>
    <m/>
    <m/>
    <m/>
    <m/>
    <n v="0"/>
    <n v="0"/>
    <n v="0"/>
    <n v="0"/>
    <n v="0"/>
    <n v="0"/>
    <n v="0"/>
    <n v="0"/>
    <n v="0"/>
    <n v="0"/>
    <n v="0"/>
    <n v="0"/>
    <n v="0"/>
    <n v="0"/>
    <n v="0"/>
    <n v="0"/>
    <n v="0"/>
    <n v="0"/>
    <s v="MMR001CMP017"/>
    <x v="0"/>
    <x v="1"/>
    <s v="P4"/>
    <n v="0"/>
    <s v="No"/>
  </r>
  <r>
    <n v="52.733333333333334"/>
    <d v="2012-12-31T00:00:00"/>
    <x v="2"/>
    <s v="DRC"/>
    <s v="Kachin"/>
    <s v="Hpakant"/>
    <s v="Nga Pyaw Taw Roman Catholic Church"/>
    <n v="3"/>
    <m/>
    <m/>
    <m/>
    <m/>
    <m/>
    <m/>
    <m/>
    <n v="0"/>
    <n v="0"/>
    <m/>
    <m/>
    <m/>
    <m/>
    <m/>
    <m/>
    <m/>
    <n v="0"/>
    <n v="0"/>
    <n v="0"/>
    <n v="0"/>
    <n v="0"/>
    <n v="0"/>
    <n v="0"/>
    <n v="0"/>
    <n v="0"/>
    <n v="0"/>
    <n v="0"/>
    <n v="0"/>
    <n v="0"/>
    <n v="0"/>
    <n v="0"/>
    <n v="0"/>
    <n v="0"/>
    <n v="0"/>
    <s v="MMR001CMP083"/>
    <x v="0"/>
    <x v="1"/>
    <s v=""/>
    <s v=""/>
    <s v="No"/>
  </r>
  <r>
    <n v="52.733333333333334"/>
    <d v="2012-12-31T00:00:00"/>
    <x v="2"/>
    <s v="DRC"/>
    <s v="Kachin"/>
    <s v="Hpakant"/>
    <s v="Wrad(5) Christian Association"/>
    <n v="3"/>
    <m/>
    <m/>
    <m/>
    <m/>
    <m/>
    <m/>
    <m/>
    <n v="0"/>
    <n v="0"/>
    <m/>
    <m/>
    <m/>
    <m/>
    <m/>
    <m/>
    <m/>
    <n v="0"/>
    <n v="0"/>
    <n v="0"/>
    <n v="0"/>
    <n v="0"/>
    <n v="0"/>
    <n v="0"/>
    <n v="0"/>
    <n v="0"/>
    <n v="0"/>
    <n v="0"/>
    <n v="0"/>
    <n v="0"/>
    <n v="0"/>
    <n v="0"/>
    <n v="0"/>
    <n v="0"/>
    <n v="0"/>
    <s v="MMR001CMP175"/>
    <x v="0"/>
    <x v="1"/>
    <s v=""/>
    <s v=""/>
    <s v="No"/>
  </r>
  <r>
    <n v="52.533333333333331"/>
    <d v="2013-01-06T00:00:00"/>
    <x v="1"/>
    <s v="Solidarities"/>
    <s v="Kachin"/>
    <s v="Mansi"/>
    <s v="Mansi Baptist Church"/>
    <n v="351"/>
    <m/>
    <m/>
    <m/>
    <m/>
    <m/>
    <m/>
    <m/>
    <n v="0"/>
    <n v="0"/>
    <m/>
    <m/>
    <m/>
    <m/>
    <m/>
    <m/>
    <m/>
    <n v="0"/>
    <n v="0"/>
    <n v="0"/>
    <n v="0"/>
    <n v="0"/>
    <n v="0"/>
    <n v="0"/>
    <n v="0"/>
    <n v="0"/>
    <n v="0"/>
    <n v="0"/>
    <n v="0"/>
    <n v="0"/>
    <n v="0"/>
    <n v="0"/>
    <n v="0"/>
    <n v="0"/>
    <n v="0"/>
    <s v="MMR001CMP066"/>
    <x v="0"/>
    <x v="0"/>
    <s v="P4"/>
    <n v="0"/>
    <s v="No"/>
  </r>
  <r>
    <n v="52.466666666666669"/>
    <d v="2013-01-08T00:00:00"/>
    <x v="1"/>
    <s v="Solidarities"/>
    <s v="Kachin"/>
    <s v="Momauk"/>
    <s v="Loi Je Catholic Church"/>
    <n v="353"/>
    <m/>
    <m/>
    <m/>
    <m/>
    <m/>
    <m/>
    <m/>
    <n v="0"/>
    <n v="0"/>
    <m/>
    <m/>
    <m/>
    <m/>
    <m/>
    <m/>
    <m/>
    <n v="0"/>
    <n v="0"/>
    <n v="0"/>
    <n v="0"/>
    <n v="0"/>
    <n v="0"/>
    <n v="0"/>
    <n v="0"/>
    <n v="0"/>
    <n v="0"/>
    <n v="0"/>
    <n v="0"/>
    <n v="0"/>
    <n v="0"/>
    <n v="0"/>
    <n v="0"/>
    <n v="0"/>
    <n v="0"/>
    <s v="MMR001CMP069"/>
    <x v="0"/>
    <x v="0"/>
    <s v="P3"/>
    <n v="0"/>
    <s v="No"/>
  </r>
  <r>
    <n v="52.466666666666669"/>
    <d v="2013-01-08T00:00:00"/>
    <x v="1"/>
    <s v="Solidarities"/>
    <s v="Kachin"/>
    <s v="Bhamo"/>
    <s v="Yoe Kyi Monastery"/>
    <n v="132"/>
    <m/>
    <m/>
    <m/>
    <m/>
    <m/>
    <m/>
    <m/>
    <n v="0"/>
    <n v="0"/>
    <m/>
    <m/>
    <m/>
    <m/>
    <m/>
    <m/>
    <m/>
    <n v="0"/>
    <n v="0"/>
    <n v="0"/>
    <n v="0"/>
    <n v="0"/>
    <n v="0"/>
    <n v="0"/>
    <n v="0"/>
    <n v="0"/>
    <n v="0"/>
    <n v="0"/>
    <n v="0"/>
    <n v="0"/>
    <n v="0"/>
    <n v="0"/>
    <n v="0"/>
    <n v="0"/>
    <n v="0"/>
    <s v="MMR001CMP053"/>
    <x v="0"/>
    <x v="0"/>
    <s v="P4"/>
    <n v="0"/>
    <s v="No"/>
  </r>
  <r>
    <n v="52.43333333333333"/>
    <d v="2013-01-09T00:00:00"/>
    <x v="1"/>
    <s v="Solidarities"/>
    <s v="Kachin"/>
    <s v="Bhamo"/>
    <s v="Lisu Boarding-House"/>
    <n v="205"/>
    <m/>
    <m/>
    <m/>
    <m/>
    <m/>
    <m/>
    <m/>
    <n v="0"/>
    <n v="0"/>
    <m/>
    <m/>
    <m/>
    <m/>
    <m/>
    <m/>
    <m/>
    <n v="0"/>
    <n v="0"/>
    <n v="0"/>
    <n v="0"/>
    <n v="0"/>
    <n v="0"/>
    <n v="0"/>
    <n v="0"/>
    <n v="0"/>
    <n v="0"/>
    <n v="0"/>
    <n v="0"/>
    <n v="0"/>
    <n v="0"/>
    <n v="0"/>
    <n v="0"/>
    <n v="0"/>
    <n v="0"/>
    <s v="MMR001CMP049"/>
    <x v="0"/>
    <x v="0"/>
    <s v="P4"/>
    <n v="0"/>
    <s v="No"/>
  </r>
  <r>
    <n v="52.4"/>
    <d v="2013-01-10T00:00:00"/>
    <x v="1"/>
    <s v="Solidarities"/>
    <s v="Kachin"/>
    <s v="Bhamo"/>
    <s v="Htoi San Church"/>
    <n v="212"/>
    <m/>
    <m/>
    <m/>
    <m/>
    <m/>
    <m/>
    <m/>
    <n v="0"/>
    <n v="0"/>
    <m/>
    <m/>
    <m/>
    <m/>
    <m/>
    <m/>
    <m/>
    <n v="0"/>
    <n v="0"/>
    <n v="0"/>
    <n v="0"/>
    <n v="0"/>
    <n v="0"/>
    <n v="0"/>
    <n v="0"/>
    <n v="0"/>
    <n v="0"/>
    <n v="0"/>
    <n v="0"/>
    <n v="0"/>
    <n v="0"/>
    <n v="0"/>
    <n v="0"/>
    <n v="0"/>
    <n v="0"/>
    <s v="MMR001CMP052"/>
    <x v="0"/>
    <x v="0"/>
    <s v="P4"/>
    <n v="0"/>
    <s v="No"/>
  </r>
  <r>
    <n v="52.266666666666666"/>
    <d v="2013-01-14T00:00:00"/>
    <x v="1"/>
    <s v="Solidarities"/>
    <s v="Kachin"/>
    <s v="Bhamo"/>
    <s v="AD-2000 Tharthana Compound"/>
    <n v="940"/>
    <m/>
    <m/>
    <m/>
    <m/>
    <m/>
    <m/>
    <m/>
    <n v="0"/>
    <n v="0"/>
    <m/>
    <m/>
    <m/>
    <m/>
    <m/>
    <m/>
    <m/>
    <n v="0"/>
    <n v="0"/>
    <n v="0"/>
    <n v="0"/>
    <n v="0"/>
    <n v="0"/>
    <n v="0"/>
    <n v="0"/>
    <n v="0"/>
    <n v="0"/>
    <n v="0"/>
    <n v="0"/>
    <n v="0"/>
    <n v="0"/>
    <n v="0"/>
    <n v="0"/>
    <n v="0"/>
    <n v="0"/>
    <s v="MMR001CMP050"/>
    <x v="0"/>
    <x v="0"/>
    <s v="P4"/>
    <n v="0"/>
    <s v="No"/>
  </r>
  <r>
    <n v="52.2"/>
    <d v="2013-01-16T00:00:00"/>
    <x v="1"/>
    <s v="Solidarities"/>
    <s v="Kachin"/>
    <s v="Momauk"/>
    <s v="Momauk Baptist Church"/>
    <n v="1215"/>
    <m/>
    <m/>
    <m/>
    <m/>
    <m/>
    <m/>
    <m/>
    <n v="0"/>
    <n v="0"/>
    <m/>
    <m/>
    <m/>
    <m/>
    <m/>
    <m/>
    <m/>
    <n v="0"/>
    <n v="0"/>
    <n v="0"/>
    <n v="0"/>
    <n v="0"/>
    <n v="0"/>
    <n v="0"/>
    <n v="0"/>
    <n v="0"/>
    <n v="0"/>
    <n v="0"/>
    <n v="0"/>
    <n v="0"/>
    <n v="0"/>
    <n v="0"/>
    <n v="0"/>
    <n v="0"/>
    <n v="0"/>
    <s v="MMR001CMP056"/>
    <x v="0"/>
    <x v="0"/>
    <s v="P4"/>
    <n v="0"/>
    <s v="No"/>
  </r>
  <r>
    <n v="52.033333333333331"/>
    <d v="2013-01-21T00:00:00"/>
    <x v="1"/>
    <s v="Solidarities"/>
    <s v="Kachin"/>
    <s v="Bhamo"/>
    <s v="Nant Hlaing Church"/>
    <n v="85"/>
    <m/>
    <m/>
    <m/>
    <m/>
    <m/>
    <m/>
    <m/>
    <n v="0"/>
    <n v="0"/>
    <m/>
    <m/>
    <m/>
    <m/>
    <m/>
    <m/>
    <m/>
    <n v="0"/>
    <n v="0"/>
    <n v="0"/>
    <n v="0"/>
    <n v="0"/>
    <n v="0"/>
    <n v="0"/>
    <n v="0"/>
    <n v="0"/>
    <n v="0"/>
    <n v="0"/>
    <n v="0"/>
    <n v="0"/>
    <n v="0"/>
    <n v="0"/>
    <n v="0"/>
    <n v="0"/>
    <n v="0"/>
    <s v="MMR001CMP054"/>
    <x v="0"/>
    <x v="0"/>
    <s v="P4"/>
    <n v="0"/>
    <s v="No"/>
  </r>
  <r>
    <n v="52"/>
    <d v="2013-01-22T00:00:00"/>
    <x v="1"/>
    <s v="Solidarities"/>
    <s v="Kachin"/>
    <s v="Bhamo"/>
    <s v="Robert Church"/>
    <n v="1824"/>
    <m/>
    <m/>
    <m/>
    <m/>
    <m/>
    <m/>
    <m/>
    <n v="0"/>
    <n v="0"/>
    <m/>
    <m/>
    <m/>
    <m/>
    <m/>
    <m/>
    <m/>
    <n v="0"/>
    <n v="0"/>
    <n v="0"/>
    <n v="0"/>
    <n v="0"/>
    <n v="0"/>
    <n v="0"/>
    <n v="0"/>
    <n v="0"/>
    <n v="0"/>
    <n v="0"/>
    <n v="0"/>
    <n v="0"/>
    <n v="0"/>
    <n v="0"/>
    <n v="0"/>
    <n v="0"/>
    <n v="0"/>
    <s v="MMR001CMP047"/>
    <x v="0"/>
    <x v="0"/>
    <s v="P4"/>
    <n v="0"/>
    <s v="No"/>
  </r>
  <r>
    <n v="51.93333333333333"/>
    <d v="2013-01-24T00:00:00"/>
    <x v="1"/>
    <s v="Solidarities"/>
    <s v="Kachin"/>
    <s v="Momauk"/>
    <s v="Man Bung Catholic compound"/>
    <n v="200"/>
    <m/>
    <m/>
    <m/>
    <m/>
    <m/>
    <m/>
    <m/>
    <n v="0"/>
    <n v="0"/>
    <m/>
    <m/>
    <m/>
    <m/>
    <m/>
    <m/>
    <m/>
    <n v="0"/>
    <n v="0"/>
    <n v="0"/>
    <n v="0"/>
    <n v="0"/>
    <n v="0"/>
    <n v="0"/>
    <n v="0"/>
    <n v="0"/>
    <n v="0"/>
    <n v="0"/>
    <n v="0"/>
    <n v="0"/>
    <n v="0"/>
    <n v="0"/>
    <n v="0"/>
    <n v="0"/>
    <n v="0"/>
    <s v="MMR001CMP062"/>
    <x v="0"/>
    <x v="0"/>
    <s v="P4"/>
    <n v="0"/>
    <s v="No"/>
  </r>
  <r>
    <n v="51.93333333333333"/>
    <d v="2013-01-24T00:00:00"/>
    <x v="1"/>
    <s v="Solidarities"/>
    <s v="Kachin"/>
    <s v="Momauk"/>
    <s v="Momauk Catholic Church (St. Patrick)"/>
    <n v="793"/>
    <m/>
    <m/>
    <m/>
    <m/>
    <m/>
    <m/>
    <m/>
    <n v="0"/>
    <n v="0"/>
    <m/>
    <m/>
    <m/>
    <m/>
    <m/>
    <m/>
    <m/>
    <n v="0"/>
    <n v="0"/>
    <n v="0"/>
    <n v="0"/>
    <n v="0"/>
    <n v="0"/>
    <n v="0"/>
    <n v="0"/>
    <n v="0"/>
    <n v="0"/>
    <n v="0"/>
    <n v="0"/>
    <n v="0"/>
    <n v="0"/>
    <n v="0"/>
    <n v="0"/>
    <n v="0"/>
    <n v="0"/>
    <s v="MMR001CMP057"/>
    <x v="0"/>
    <x v="1"/>
    <s v="P4"/>
    <n v="0"/>
    <s v="No"/>
  </r>
  <r>
    <n v="51.9"/>
    <d v="2013-01-25T00:00:00"/>
    <x v="1"/>
    <s v="Solidarities"/>
    <s v="Kachin"/>
    <s v="Momauk"/>
    <s v="Ni Thaw Ka Monestry"/>
    <n v="75"/>
    <m/>
    <m/>
    <m/>
    <m/>
    <m/>
    <m/>
    <m/>
    <n v="0"/>
    <n v="0"/>
    <m/>
    <m/>
    <m/>
    <m/>
    <m/>
    <m/>
    <m/>
    <n v="0"/>
    <n v="0"/>
    <n v="0"/>
    <n v="0"/>
    <n v="0"/>
    <n v="0"/>
    <n v="0"/>
    <n v="0"/>
    <n v="0"/>
    <n v="0"/>
    <n v="0"/>
    <n v="0"/>
    <n v="0"/>
    <n v="0"/>
    <n v="0"/>
    <n v="0"/>
    <n v="0"/>
    <n v="0"/>
    <s v="MMR001CMP059"/>
    <x v="0"/>
    <x v="1"/>
    <s v="P4"/>
    <n v="0"/>
    <s v="No"/>
  </r>
  <r>
    <n v="51.766666666666666"/>
    <d v="2013-01-29T00:00:00"/>
    <x v="1"/>
    <s v="LDO"/>
    <s v="Kachin"/>
    <s v="Shwegu"/>
    <s v="Shwe Gu Catholic Church"/>
    <n v="177"/>
    <m/>
    <m/>
    <m/>
    <m/>
    <m/>
    <m/>
    <m/>
    <n v="0"/>
    <n v="0"/>
    <m/>
    <m/>
    <m/>
    <m/>
    <m/>
    <m/>
    <m/>
    <n v="0"/>
    <n v="0"/>
    <n v="0"/>
    <n v="0"/>
    <n v="0"/>
    <n v="0"/>
    <n v="0"/>
    <n v="0"/>
    <n v="0"/>
    <n v="0"/>
    <n v="0"/>
    <n v="0"/>
    <n v="0"/>
    <n v="0"/>
    <n v="0"/>
    <n v="0"/>
    <n v="0"/>
    <n v="0"/>
    <s v="MMR001CMP068"/>
    <x v="0"/>
    <x v="0"/>
    <s v="P4"/>
    <n v="0"/>
    <s v="No"/>
  </r>
  <r>
    <n v="51.733333333333334"/>
    <d v="2013-01-30T00:00:00"/>
    <x v="1"/>
    <s v="LDO"/>
    <s v="Kachin"/>
    <s v="Shwegu"/>
    <s v="Shwe Gu Baptist Church"/>
    <n v="272"/>
    <m/>
    <m/>
    <m/>
    <m/>
    <m/>
    <m/>
    <m/>
    <n v="0"/>
    <n v="0"/>
    <m/>
    <m/>
    <m/>
    <m/>
    <m/>
    <m/>
    <m/>
    <n v="0"/>
    <n v="0"/>
    <n v="0"/>
    <n v="0"/>
    <n v="0"/>
    <n v="0"/>
    <n v="0"/>
    <n v="0"/>
    <n v="0"/>
    <n v="0"/>
    <n v="0"/>
    <n v="0"/>
    <n v="0"/>
    <n v="0"/>
    <n v="0"/>
    <n v="0"/>
    <n v="0"/>
    <n v="0"/>
    <s v="MMR001CMP067"/>
    <x v="0"/>
    <x v="0"/>
    <s v="P4"/>
    <n v="0"/>
    <s v="No"/>
  </r>
  <r>
    <n v="51.7"/>
    <d v="2013-01-31T00:00:00"/>
    <x v="3"/>
    <s v="World Vision"/>
    <s v="Kachin"/>
    <s v="Waingmaw"/>
    <s v="Hkat Cho "/>
    <m/>
    <m/>
    <m/>
    <m/>
    <m/>
    <n v="256"/>
    <m/>
    <m/>
    <n v="0"/>
    <n v="0"/>
    <m/>
    <m/>
    <m/>
    <m/>
    <m/>
    <m/>
    <m/>
    <n v="0"/>
    <n v="0"/>
    <n v="0"/>
    <n v="0"/>
    <n v="0"/>
    <n v="0"/>
    <n v="0"/>
    <n v="0"/>
    <n v="0"/>
    <n v="0"/>
    <n v="0"/>
    <n v="0"/>
    <n v="0"/>
    <n v="0"/>
    <n v="0"/>
    <n v="0"/>
    <n v="0"/>
    <n v="0"/>
    <s v="MMR001CMP028"/>
    <x v="0"/>
    <x v="0"/>
    <s v="P4"/>
    <n v="0"/>
    <s v="No"/>
  </r>
  <r>
    <n v="51.7"/>
    <d v="2013-01-31T00:00:00"/>
    <x v="3"/>
    <s v="World Vision"/>
    <s v="Kachin"/>
    <s v="Waingmaw"/>
    <s v="Mading Baptist Church"/>
    <m/>
    <m/>
    <m/>
    <m/>
    <m/>
    <n v="42"/>
    <m/>
    <m/>
    <n v="0"/>
    <n v="0"/>
    <m/>
    <m/>
    <m/>
    <m/>
    <m/>
    <m/>
    <m/>
    <n v="0"/>
    <n v="0"/>
    <n v="0"/>
    <n v="0"/>
    <n v="0"/>
    <n v="0"/>
    <n v="0"/>
    <n v="0"/>
    <n v="0"/>
    <n v="0"/>
    <n v="0"/>
    <n v="0"/>
    <n v="0"/>
    <n v="0"/>
    <n v="0"/>
    <n v="0"/>
    <n v="0"/>
    <n v="0"/>
    <s v="MMR001CMP027"/>
    <x v="0"/>
    <x v="0"/>
    <s v="P4"/>
    <n v="0"/>
    <s v="No"/>
  </r>
  <r>
    <n v="51.7"/>
    <d v="2013-01-31T00:00:00"/>
    <x v="3"/>
    <s v="World Vision"/>
    <s v="Kachin"/>
    <s v="Waingmaw"/>
    <s v="Maina AG Church"/>
    <m/>
    <m/>
    <m/>
    <m/>
    <m/>
    <n v="128"/>
    <m/>
    <m/>
    <n v="0"/>
    <n v="0"/>
    <m/>
    <m/>
    <m/>
    <m/>
    <m/>
    <m/>
    <m/>
    <n v="0"/>
    <n v="0"/>
    <n v="0"/>
    <n v="0"/>
    <n v="0"/>
    <n v="0"/>
    <n v="0"/>
    <n v="0"/>
    <n v="0"/>
    <n v="0"/>
    <n v="0"/>
    <n v="0"/>
    <n v="0"/>
    <n v="0"/>
    <n v="0"/>
    <n v="0"/>
    <n v="0"/>
    <n v="0"/>
    <s v="MMR001CMP031"/>
    <x v="0"/>
    <x v="0"/>
    <s v="P4"/>
    <n v="0"/>
    <s v="No"/>
  </r>
  <r>
    <n v="51.7"/>
    <d v="2013-01-31T00:00:00"/>
    <x v="3"/>
    <s v="World Vision"/>
    <s v="Kachin"/>
    <s v="Waingmaw"/>
    <s v="Maina Catholic Church (St. Joseph)"/>
    <m/>
    <m/>
    <m/>
    <m/>
    <m/>
    <n v="442"/>
    <m/>
    <m/>
    <n v="0"/>
    <n v="0"/>
    <m/>
    <m/>
    <m/>
    <m/>
    <m/>
    <m/>
    <m/>
    <n v="0"/>
    <n v="0"/>
    <n v="0"/>
    <n v="0"/>
    <n v="0"/>
    <n v="0"/>
    <n v="0"/>
    <n v="0"/>
    <n v="0"/>
    <n v="0"/>
    <n v="0"/>
    <n v="0"/>
    <n v="0"/>
    <n v="0"/>
    <n v="0"/>
    <n v="0"/>
    <n v="0"/>
    <n v="0"/>
    <s v="MMR001CMP029"/>
    <x v="0"/>
    <x v="0"/>
    <s v="P4"/>
    <n v="0"/>
    <s v="No"/>
  </r>
  <r>
    <n v="51.7"/>
    <d v="2013-01-31T00:00:00"/>
    <x v="3"/>
    <s v="World Vision"/>
    <s v="Kachin"/>
    <s v="Waingmaw"/>
    <s v="Maina KBC (Bawng Ring)"/>
    <m/>
    <m/>
    <m/>
    <m/>
    <m/>
    <n v="324"/>
    <m/>
    <m/>
    <n v="0"/>
    <n v="0"/>
    <m/>
    <m/>
    <m/>
    <m/>
    <m/>
    <m/>
    <m/>
    <n v="0"/>
    <n v="0"/>
    <n v="0"/>
    <n v="0"/>
    <n v="0"/>
    <n v="0"/>
    <n v="0"/>
    <n v="0"/>
    <n v="0"/>
    <n v="0"/>
    <n v="0"/>
    <n v="0"/>
    <n v="0"/>
    <n v="0"/>
    <n v="0"/>
    <n v="0"/>
    <n v="0"/>
    <n v="0"/>
    <s v="MMR001CMP040"/>
    <x v="0"/>
    <x v="0"/>
    <s v="P4"/>
    <n v="0"/>
    <s v="No"/>
  </r>
  <r>
    <n v="51.7"/>
    <d v="2013-01-31T00:00:00"/>
    <x v="3"/>
    <s v="World Vision"/>
    <s v="Kachin"/>
    <s v="Waingmaw"/>
    <s v="Maina Lawang Baptist Church"/>
    <m/>
    <m/>
    <m/>
    <m/>
    <m/>
    <n v="94"/>
    <m/>
    <m/>
    <n v="0"/>
    <n v="0"/>
    <m/>
    <m/>
    <m/>
    <m/>
    <m/>
    <m/>
    <m/>
    <n v="0"/>
    <n v="0"/>
    <n v="0"/>
    <n v="0"/>
    <n v="0"/>
    <n v="0"/>
    <n v="0"/>
    <n v="0"/>
    <n v="0"/>
    <n v="0"/>
    <n v="0"/>
    <n v="0"/>
    <n v="0"/>
    <n v="0"/>
    <n v="0"/>
    <n v="0"/>
    <n v="0"/>
    <n v="0"/>
    <s v="MMR001CMP039"/>
    <x v="0"/>
    <x v="0"/>
    <s v="P4"/>
    <n v="0"/>
    <s v="No"/>
  </r>
  <r>
    <n v="51.7"/>
    <d v="2013-01-31T00:00:00"/>
    <x v="3"/>
    <s v="World Vision"/>
    <s v="Kachin"/>
    <s v="Waingmaw"/>
    <s v="Qtr. 2 Lhaovo Baptist Church"/>
    <m/>
    <m/>
    <m/>
    <m/>
    <m/>
    <n v="184"/>
    <m/>
    <m/>
    <n v="0"/>
    <n v="0"/>
    <m/>
    <m/>
    <m/>
    <m/>
    <m/>
    <m/>
    <m/>
    <n v="0"/>
    <n v="0"/>
    <n v="0"/>
    <n v="0"/>
    <n v="0"/>
    <n v="0"/>
    <n v="0"/>
    <n v="0"/>
    <n v="0"/>
    <n v="0"/>
    <n v="0"/>
    <n v="0"/>
    <n v="0"/>
    <n v="0"/>
    <n v="0"/>
    <n v="0"/>
    <n v="0"/>
    <n v="0"/>
    <s v="MMR001CMP032"/>
    <x v="0"/>
    <x v="0"/>
    <s v="P4"/>
    <n v="0"/>
    <s v="No"/>
  </r>
  <r>
    <n v="51.7"/>
    <d v="2013-01-31T00:00:00"/>
    <x v="3"/>
    <s v="World Vision"/>
    <s v="Kachin"/>
    <s v="Waingmaw"/>
    <s v="Qtr. 2 Myoma Baptist Church"/>
    <m/>
    <m/>
    <m/>
    <m/>
    <m/>
    <n v="242"/>
    <m/>
    <m/>
    <n v="0"/>
    <n v="0"/>
    <m/>
    <m/>
    <m/>
    <m/>
    <m/>
    <m/>
    <m/>
    <n v="0"/>
    <n v="0"/>
    <n v="0"/>
    <n v="0"/>
    <n v="0"/>
    <n v="0"/>
    <n v="0"/>
    <n v="0"/>
    <n v="0"/>
    <n v="0"/>
    <n v="0"/>
    <n v="0"/>
    <n v="0"/>
    <n v="0"/>
    <n v="0"/>
    <n v="0"/>
    <n v="0"/>
    <n v="0"/>
    <s v="MMR001CMP025"/>
    <x v="0"/>
    <x v="0"/>
    <s v="P4"/>
    <n v="0"/>
    <s v="No"/>
  </r>
  <r>
    <n v="51.7"/>
    <d v="2013-01-31T00:00:00"/>
    <x v="3"/>
    <s v="World Vision"/>
    <s v="Kachin"/>
    <s v="Waingmaw"/>
    <s v="Qtr. 3 Mu-yin  Baptist Church"/>
    <m/>
    <m/>
    <m/>
    <m/>
    <m/>
    <n v="54"/>
    <m/>
    <m/>
    <n v="0"/>
    <n v="0"/>
    <m/>
    <m/>
    <m/>
    <m/>
    <m/>
    <m/>
    <m/>
    <n v="0"/>
    <n v="0"/>
    <n v="0"/>
    <n v="0"/>
    <n v="0"/>
    <n v="0"/>
    <n v="0"/>
    <n v="0"/>
    <n v="0"/>
    <n v="0"/>
    <n v="0"/>
    <n v="0"/>
    <n v="0"/>
    <n v="0"/>
    <n v="0"/>
    <n v="0"/>
    <n v="0"/>
    <n v="0"/>
    <s v="MMR001CMP030"/>
    <x v="0"/>
    <x v="0"/>
    <s v="P4"/>
    <n v="0"/>
    <s v="No"/>
  </r>
  <r>
    <n v="51.7"/>
    <d v="2013-01-31T00:00:00"/>
    <x v="3"/>
    <s v="World Vision"/>
    <s v="Kachin"/>
    <s v="Waingmaw"/>
    <s v="Qtr. 4 Monestry (Thargaya Thayett Taw)"/>
    <m/>
    <m/>
    <m/>
    <m/>
    <m/>
    <n v="188"/>
    <m/>
    <m/>
    <n v="0"/>
    <n v="0"/>
    <m/>
    <m/>
    <m/>
    <m/>
    <m/>
    <m/>
    <m/>
    <n v="0"/>
    <n v="0"/>
    <n v="0"/>
    <n v="0"/>
    <n v="0"/>
    <n v="0"/>
    <n v="0"/>
    <n v="0"/>
    <n v="0"/>
    <n v="0"/>
    <n v="0"/>
    <n v="0"/>
    <n v="0"/>
    <n v="0"/>
    <n v="0"/>
    <n v="0"/>
    <n v="0"/>
    <n v="0"/>
    <s v="MMR001CMP026"/>
    <x v="0"/>
    <x v="0"/>
    <s v="P4"/>
    <n v="0"/>
    <s v="No"/>
  </r>
  <r>
    <n v="51.7"/>
    <d v="2013-01-31T00:00:00"/>
    <x v="3"/>
    <s v="World Vision"/>
    <s v="Kachin"/>
    <s v="Waingmaw"/>
    <s v="Shing Jai"/>
    <m/>
    <m/>
    <m/>
    <m/>
    <m/>
    <n v="358"/>
    <m/>
    <m/>
    <n v="0"/>
    <n v="0"/>
    <m/>
    <m/>
    <m/>
    <m/>
    <m/>
    <m/>
    <m/>
    <n v="0"/>
    <n v="0"/>
    <n v="0"/>
    <n v="0"/>
    <n v="0"/>
    <n v="0"/>
    <n v="0"/>
    <n v="0"/>
    <n v="0"/>
    <n v="0"/>
    <n v="0"/>
    <n v="0"/>
    <n v="0"/>
    <n v="0"/>
    <n v="0"/>
    <n v="0"/>
    <n v="0"/>
    <n v="0"/>
    <s v="MMR001CMP041"/>
    <x v="0"/>
    <x v="0"/>
    <s v="P1"/>
    <n v="0"/>
    <s v="No"/>
  </r>
  <r>
    <n v="51.7"/>
    <d v="2013-01-31T00:00:00"/>
    <x v="3"/>
    <s v="World Vision"/>
    <s v="Kachin"/>
    <s v="Waingmaw"/>
    <s v="Thargaya Lisu Baptist Church"/>
    <m/>
    <m/>
    <m/>
    <m/>
    <m/>
    <n v="122"/>
    <m/>
    <m/>
    <n v="0"/>
    <n v="0"/>
    <m/>
    <m/>
    <m/>
    <m/>
    <m/>
    <m/>
    <m/>
    <n v="0"/>
    <n v="0"/>
    <n v="0"/>
    <n v="0"/>
    <n v="0"/>
    <n v="0"/>
    <n v="0"/>
    <n v="0"/>
    <n v="0"/>
    <n v="0"/>
    <n v="0"/>
    <n v="0"/>
    <n v="0"/>
    <n v="0"/>
    <n v="0"/>
    <n v="0"/>
    <n v="0"/>
    <n v="0"/>
    <s v="MMR001CMP037"/>
    <x v="0"/>
    <x v="0"/>
    <s v="P4"/>
    <n v="0"/>
    <s v="No"/>
  </r>
  <r>
    <n v="51.7"/>
    <d v="2013-01-31T00:00:00"/>
    <x v="3"/>
    <s v="World Vision"/>
    <s v="Kachin"/>
    <s v="Waingmaw"/>
    <s v="Waingmaw AG Church"/>
    <m/>
    <m/>
    <m/>
    <m/>
    <m/>
    <n v="104"/>
    <m/>
    <m/>
    <n v="0"/>
    <n v="0"/>
    <m/>
    <m/>
    <m/>
    <m/>
    <m/>
    <m/>
    <m/>
    <n v="0"/>
    <n v="0"/>
    <n v="0"/>
    <n v="0"/>
    <n v="0"/>
    <n v="0"/>
    <n v="0"/>
    <n v="0"/>
    <n v="0"/>
    <n v="0"/>
    <n v="0"/>
    <n v="0"/>
    <n v="0"/>
    <n v="0"/>
    <n v="0"/>
    <n v="0"/>
    <n v="0"/>
    <n v="0"/>
    <s v="MMR001CMP038"/>
    <x v="0"/>
    <x v="0"/>
    <s v="P4"/>
    <n v="0"/>
    <s v="No"/>
  </r>
  <r>
    <n v="51.7"/>
    <d v="2013-01-31T00:00:00"/>
    <x v="3"/>
    <s v="World Vision"/>
    <s v="Kachin"/>
    <s v="Hpakant"/>
    <s v="Baptist Church, Naung Hmee VT"/>
    <m/>
    <m/>
    <m/>
    <m/>
    <m/>
    <n v="26"/>
    <m/>
    <m/>
    <n v="0"/>
    <n v="0"/>
    <m/>
    <m/>
    <m/>
    <m/>
    <m/>
    <m/>
    <m/>
    <n v="0"/>
    <n v="0"/>
    <n v="0"/>
    <n v="0"/>
    <n v="0"/>
    <n v="0"/>
    <n v="0"/>
    <n v="0"/>
    <n v="0"/>
    <n v="0"/>
    <n v="0"/>
    <n v="0"/>
    <n v="0"/>
    <n v="0"/>
    <n v="0"/>
    <n v="0"/>
    <n v="0"/>
    <n v="0"/>
    <s v="MMR001CMP188"/>
    <x v="0"/>
    <x v="1"/>
    <s v="P4"/>
    <s v=""/>
    <s v="No"/>
  </r>
  <r>
    <n v="51.7"/>
    <d v="2013-01-31T00:00:00"/>
    <x v="3"/>
    <s v="World Vision"/>
    <s v="Kachin"/>
    <s v="Waingmaw"/>
    <s v="Waingmaw Baptist Zonal Office"/>
    <m/>
    <m/>
    <m/>
    <m/>
    <m/>
    <n v="224"/>
    <m/>
    <m/>
    <n v="0"/>
    <n v="0"/>
    <m/>
    <m/>
    <m/>
    <m/>
    <m/>
    <m/>
    <m/>
    <n v="0"/>
    <n v="0"/>
    <n v="0"/>
    <n v="0"/>
    <n v="0"/>
    <n v="0"/>
    <n v="0"/>
    <n v="0"/>
    <n v="0"/>
    <n v="0"/>
    <n v="0"/>
    <n v="0"/>
    <n v="0"/>
    <n v="0"/>
    <n v="0"/>
    <n v="0"/>
    <n v="0"/>
    <n v="0"/>
    <s v="MMR001CMP036"/>
    <x v="0"/>
    <x v="1"/>
    <s v="P4"/>
    <n v="0"/>
    <s v="No"/>
  </r>
  <r>
    <n v="51.56666666666667"/>
    <d v="2013-02-04T00:00:00"/>
    <x v="4"/>
    <s v="MRCS"/>
    <s v="Kachin"/>
    <s v="Hpakant"/>
    <s v="5 Ward Baptist Church(lon Khin)"/>
    <m/>
    <m/>
    <m/>
    <m/>
    <m/>
    <m/>
    <n v="162"/>
    <m/>
    <n v="0"/>
    <n v="0"/>
    <m/>
    <m/>
    <m/>
    <m/>
    <m/>
    <m/>
    <m/>
    <n v="0"/>
    <n v="0"/>
    <n v="0"/>
    <n v="0"/>
    <n v="0"/>
    <n v="0"/>
    <n v="0"/>
    <n v="0"/>
    <n v="0"/>
    <n v="0"/>
    <n v="0"/>
    <n v="0"/>
    <n v="0"/>
    <n v="0"/>
    <n v="0"/>
    <n v="0"/>
    <n v="0"/>
    <n v="0"/>
    <s v="MMR001CMP179"/>
    <x v="0"/>
    <x v="1"/>
    <s v="P4"/>
    <n v="3.9248940036341615E-3"/>
    <s v="No"/>
  </r>
  <r>
    <n v="51.56666666666667"/>
    <d v="2013-02-04T00:00:00"/>
    <x v="4"/>
    <s v="MRCS"/>
    <s v="Kachin"/>
    <s v="Hpakant"/>
    <s v="5 Ward RC Church(lon Khin)"/>
    <m/>
    <m/>
    <m/>
    <m/>
    <m/>
    <m/>
    <n v="117"/>
    <m/>
    <n v="0"/>
    <n v="0"/>
    <m/>
    <m/>
    <m/>
    <m/>
    <m/>
    <m/>
    <m/>
    <n v="0"/>
    <n v="0"/>
    <n v="0"/>
    <n v="0"/>
    <n v="0"/>
    <n v="0"/>
    <n v="0"/>
    <n v="0"/>
    <n v="0"/>
    <n v="0"/>
    <n v="0"/>
    <n v="0"/>
    <n v="0"/>
    <n v="0"/>
    <n v="0"/>
    <n v="0"/>
    <n v="0"/>
    <n v="0"/>
    <s v="MMR001CMP168"/>
    <x v="0"/>
    <x v="0"/>
    <s v="P4"/>
    <n v="2.8346456692913387E-3"/>
    <s v="No"/>
  </r>
  <r>
    <n v="51.56666666666667"/>
    <d v="2013-02-04T00:00:00"/>
    <x v="4"/>
    <s v="MRCS"/>
    <s v="Kachin"/>
    <s v="Hpakant"/>
    <s v="Baptist Church, Hmaw Si Sar(Lon Khin)"/>
    <m/>
    <m/>
    <m/>
    <m/>
    <m/>
    <m/>
    <n v="106"/>
    <m/>
    <n v="0"/>
    <n v="0"/>
    <m/>
    <m/>
    <m/>
    <m/>
    <m/>
    <m/>
    <m/>
    <n v="0"/>
    <n v="0"/>
    <n v="0"/>
    <n v="0"/>
    <n v="0"/>
    <n v="0"/>
    <n v="0"/>
    <n v="0"/>
    <n v="0"/>
    <n v="0"/>
    <n v="0"/>
    <n v="0"/>
    <n v="0"/>
    <n v="0"/>
    <n v="0"/>
    <n v="0"/>
    <n v="0"/>
    <n v="0"/>
    <s v="MMR001CMP169"/>
    <x v="0"/>
    <x v="0"/>
    <s v="P4"/>
    <n v="2.5681405208964263E-3"/>
    <s v="No"/>
  </r>
  <r>
    <n v="51.56666666666667"/>
    <d v="2013-02-04T00:00:00"/>
    <x v="4"/>
    <s v="MRCS"/>
    <s v="Kachin"/>
    <s v="Hpakant"/>
    <s v="Dhama Rakhita, Nyein Chan Tar Yar Ward(Lon Khin)"/>
    <m/>
    <m/>
    <m/>
    <m/>
    <m/>
    <m/>
    <n v="58"/>
    <m/>
    <n v="0"/>
    <n v="0"/>
    <m/>
    <m/>
    <m/>
    <m/>
    <m/>
    <m/>
    <m/>
    <n v="0"/>
    <n v="0"/>
    <n v="0"/>
    <n v="0"/>
    <n v="0"/>
    <n v="0"/>
    <n v="0"/>
    <n v="0"/>
    <n v="0"/>
    <n v="0"/>
    <n v="0"/>
    <n v="0"/>
    <n v="0"/>
    <n v="0"/>
    <n v="0"/>
    <n v="0"/>
    <n v="0"/>
    <n v="0"/>
    <s v="MMR001CMP174"/>
    <x v="0"/>
    <x v="0"/>
    <s v="P4"/>
    <n v="1.4052089642640824E-3"/>
    <s v="No"/>
  </r>
  <r>
    <n v="51.56666666666667"/>
    <d v="2013-02-04T00:00:00"/>
    <x v="0"/>
    <s v="UNHCR"/>
    <s v="Kachin"/>
    <s v="Myitkyina"/>
    <s v="Pa Dauk Myaing(Pa La Na)"/>
    <m/>
    <m/>
    <n v="5"/>
    <n v="8"/>
    <n v="5"/>
    <n v="8"/>
    <n v="5"/>
    <n v="5"/>
    <n v="5"/>
    <n v="5"/>
    <m/>
    <m/>
    <m/>
    <m/>
    <m/>
    <m/>
    <m/>
    <n v="0"/>
    <n v="0"/>
    <n v="0"/>
    <n v="0"/>
    <n v="0"/>
    <n v="0"/>
    <n v="0"/>
    <n v="0"/>
    <n v="0"/>
    <n v="0"/>
    <n v="0"/>
    <n v="0"/>
    <n v="0"/>
    <n v="0"/>
    <n v="0"/>
    <n v="0"/>
    <n v="0"/>
    <n v="0"/>
    <s v="MMR001CMP162"/>
    <x v="0"/>
    <x v="0"/>
    <s v="P4"/>
    <n v="1.2122975463097663E-4"/>
    <s v="No"/>
  </r>
  <r>
    <n v="51.533333333333331"/>
    <d v="2013-02-05T00:00:00"/>
    <x v="4"/>
    <s v="MRCS"/>
    <s v="Kachin"/>
    <s v="Myitkyina"/>
    <s v="Jan Mai Kawng Baptist Church"/>
    <n v="22"/>
    <m/>
    <m/>
    <m/>
    <m/>
    <m/>
    <m/>
    <m/>
    <n v="0"/>
    <n v="0"/>
    <m/>
    <m/>
    <m/>
    <m/>
    <m/>
    <m/>
    <m/>
    <n v="0"/>
    <n v="0"/>
    <n v="0"/>
    <n v="0"/>
    <n v="0"/>
    <n v="0"/>
    <n v="0"/>
    <n v="0"/>
    <n v="0"/>
    <n v="0"/>
    <n v="0"/>
    <n v="0"/>
    <n v="0"/>
    <n v="0"/>
    <n v="0"/>
    <n v="0"/>
    <n v="0"/>
    <n v="0"/>
    <s v="MMR001CMP018"/>
    <x v="0"/>
    <x v="0"/>
    <s v="P4"/>
    <n v="0"/>
    <s v="No"/>
  </r>
  <r>
    <n v="51.533333333333331"/>
    <d v="2013-02-05T00:00:00"/>
    <x v="0"/>
    <s v="UNHCR"/>
    <s v="Kachin"/>
    <s v="Waingmaw"/>
    <s v="Maina AG Church"/>
    <m/>
    <m/>
    <n v="37"/>
    <n v="70"/>
    <n v="34"/>
    <n v="70"/>
    <n v="34"/>
    <n v="34"/>
    <n v="34"/>
    <n v="34"/>
    <m/>
    <m/>
    <m/>
    <m/>
    <m/>
    <m/>
    <m/>
    <n v="0"/>
    <n v="0"/>
    <n v="0"/>
    <n v="0"/>
    <n v="0"/>
    <n v="0"/>
    <n v="0"/>
    <n v="0"/>
    <n v="0"/>
    <n v="0"/>
    <n v="0"/>
    <n v="0"/>
    <n v="0"/>
    <n v="0"/>
    <n v="0"/>
    <n v="0"/>
    <n v="0"/>
    <n v="0"/>
    <s v="MMR001CMP031"/>
    <x v="0"/>
    <x v="0"/>
    <s v="P4"/>
    <n v="8.2014666152064838E-4"/>
    <s v="No"/>
  </r>
  <r>
    <n v="51.533333333333331"/>
    <d v="2013-02-05T00:00:00"/>
    <x v="4"/>
    <s v="MRCS"/>
    <s v="Kachin"/>
    <s v="Waingmaw"/>
    <s v="Maina Catholic Church (St. Joseph)"/>
    <n v="46"/>
    <m/>
    <m/>
    <m/>
    <m/>
    <m/>
    <m/>
    <m/>
    <n v="0"/>
    <n v="0"/>
    <m/>
    <m/>
    <m/>
    <m/>
    <m/>
    <m/>
    <m/>
    <n v="0"/>
    <n v="0"/>
    <n v="0"/>
    <n v="0"/>
    <n v="0"/>
    <n v="0"/>
    <n v="0"/>
    <n v="0"/>
    <n v="0"/>
    <n v="0"/>
    <n v="0"/>
    <n v="0"/>
    <n v="0"/>
    <n v="0"/>
    <n v="0"/>
    <n v="0"/>
    <n v="0"/>
    <n v="0"/>
    <s v="MMR001CMP029"/>
    <x v="0"/>
    <x v="0"/>
    <s v="P4"/>
    <n v="0"/>
    <s v="No"/>
  </r>
  <r>
    <n v="51.533333333333331"/>
    <d v="2013-02-05T00:00:00"/>
    <x v="0"/>
    <s v="UNHCR"/>
    <s v="Kachin"/>
    <s v="Myitkyina"/>
    <s v="Maw Hpawng Lhaovo Baptist Church"/>
    <m/>
    <m/>
    <n v="10"/>
    <n v="16"/>
    <n v="7"/>
    <n v="16"/>
    <n v="7"/>
    <n v="7"/>
    <n v="7"/>
    <n v="7"/>
    <m/>
    <m/>
    <m/>
    <m/>
    <m/>
    <m/>
    <m/>
    <n v="0"/>
    <n v="0"/>
    <n v="0"/>
    <n v="0"/>
    <n v="0"/>
    <n v="0"/>
    <n v="0"/>
    <n v="0"/>
    <n v="0"/>
    <n v="0"/>
    <n v="0"/>
    <n v="0"/>
    <n v="0"/>
    <n v="0"/>
    <n v="0"/>
    <n v="0"/>
    <n v="0"/>
    <n v="0"/>
    <s v="MMR001CMP021"/>
    <x v="0"/>
    <x v="0"/>
    <s v="P4"/>
    <n v="1.7149717029669011E-4"/>
    <s v="No"/>
  </r>
  <r>
    <n v="51.533333333333331"/>
    <d v="2013-02-05T00:00:00"/>
    <x v="4"/>
    <s v="MRCS"/>
    <s v="Kachin"/>
    <s v="Waingmaw"/>
    <s v="Qtr. 4 Monestry (Thargaya Thayett Taw)"/>
    <n v="20"/>
    <m/>
    <m/>
    <m/>
    <m/>
    <m/>
    <m/>
    <m/>
    <n v="0"/>
    <n v="0"/>
    <m/>
    <m/>
    <m/>
    <m/>
    <m/>
    <m/>
    <m/>
    <n v="0"/>
    <n v="0"/>
    <n v="0"/>
    <n v="0"/>
    <n v="0"/>
    <n v="0"/>
    <n v="0"/>
    <n v="0"/>
    <n v="0"/>
    <n v="0"/>
    <n v="0"/>
    <n v="0"/>
    <n v="0"/>
    <n v="0"/>
    <n v="0"/>
    <n v="0"/>
    <n v="0"/>
    <n v="0"/>
    <s v="MMR001CMP026"/>
    <x v="0"/>
    <x v="0"/>
    <s v="P4"/>
    <n v="0"/>
    <s v="No"/>
  </r>
  <r>
    <n v="51.533333333333331"/>
    <d v="2013-02-05T00:00:00"/>
    <x v="4"/>
    <s v="MRCS"/>
    <s v="Kachin"/>
    <s v="Myitkyina"/>
    <s v="Shatapru Sut Ngai Tawng"/>
    <n v="36"/>
    <m/>
    <m/>
    <m/>
    <m/>
    <m/>
    <m/>
    <m/>
    <n v="0"/>
    <n v="0"/>
    <m/>
    <m/>
    <m/>
    <m/>
    <m/>
    <m/>
    <m/>
    <n v="0"/>
    <n v="0"/>
    <n v="0"/>
    <n v="0"/>
    <n v="0"/>
    <n v="0"/>
    <n v="0"/>
    <n v="0"/>
    <n v="0"/>
    <n v="0"/>
    <n v="0"/>
    <n v="0"/>
    <n v="0"/>
    <n v="0"/>
    <n v="0"/>
    <n v="0"/>
    <n v="0"/>
    <n v="0"/>
    <s v="MMR001CMP006"/>
    <x v="0"/>
    <x v="0"/>
    <s v="P4"/>
    <n v="0"/>
    <s v="No"/>
  </r>
  <r>
    <n v="51.5"/>
    <d v="2013-02-06T00:00:00"/>
    <x v="0"/>
    <s v="UNHCR"/>
    <s v="Kachin"/>
    <s v="Waingmaw"/>
    <s v="Qtr. 2 Lhaovo Baptist Church"/>
    <m/>
    <m/>
    <n v="17"/>
    <n v="20"/>
    <n v="15"/>
    <n v="20"/>
    <n v="14"/>
    <n v="11"/>
    <n v="11"/>
    <n v="11"/>
    <m/>
    <m/>
    <m/>
    <m/>
    <m/>
    <m/>
    <m/>
    <n v="0"/>
    <n v="0"/>
    <n v="0"/>
    <n v="0"/>
    <n v="0"/>
    <n v="0"/>
    <n v="0"/>
    <n v="0"/>
    <n v="0"/>
    <n v="0"/>
    <n v="0"/>
    <n v="0"/>
    <n v="0"/>
    <n v="0"/>
    <n v="0"/>
    <n v="0"/>
    <n v="0"/>
    <n v="0"/>
    <s v="MMR001CMP032"/>
    <x v="0"/>
    <x v="0"/>
    <s v="P4"/>
    <n v="3.4376918354818908E-4"/>
    <s v="No"/>
  </r>
  <r>
    <n v="51.4"/>
    <d v="2013-02-09T00:00:00"/>
    <x v="4"/>
    <s v="MRCS"/>
    <s v="Kachin"/>
    <s v="Myitkyina"/>
    <s v="Jan Mai Kawng Baptist Church"/>
    <m/>
    <m/>
    <m/>
    <m/>
    <n v="177"/>
    <n v="10"/>
    <n v="10"/>
    <m/>
    <n v="0"/>
    <n v="0"/>
    <m/>
    <m/>
    <m/>
    <m/>
    <m/>
    <m/>
    <m/>
    <n v="0"/>
    <n v="0"/>
    <n v="0"/>
    <n v="0"/>
    <n v="0"/>
    <n v="0"/>
    <n v="0"/>
    <n v="0"/>
    <n v="0"/>
    <n v="0"/>
    <n v="0"/>
    <n v="0"/>
    <n v="0"/>
    <n v="0"/>
    <n v="0"/>
    <n v="0"/>
    <n v="0"/>
    <n v="0"/>
    <s v="MMR001CMP018"/>
    <x v="0"/>
    <x v="0"/>
    <s v="P4"/>
    <n v="2.4554941682013506E-4"/>
    <s v="No"/>
  </r>
  <r>
    <n v="51.4"/>
    <d v="2013-02-09T00:00:00"/>
    <x v="4"/>
    <s v="MRCS"/>
    <s v="Kachin"/>
    <s v="Myitkyina"/>
    <s v="Shatapru Sut Ngai Tawng"/>
    <m/>
    <m/>
    <m/>
    <m/>
    <n v="109"/>
    <n v="10"/>
    <n v="10"/>
    <m/>
    <n v="0"/>
    <n v="0"/>
    <m/>
    <m/>
    <m/>
    <m/>
    <m/>
    <m/>
    <m/>
    <n v="0"/>
    <n v="0"/>
    <n v="0"/>
    <n v="0"/>
    <n v="0"/>
    <n v="0"/>
    <n v="0"/>
    <n v="0"/>
    <n v="0"/>
    <n v="0"/>
    <n v="0"/>
    <n v="0"/>
    <n v="0"/>
    <n v="0"/>
    <n v="0"/>
    <n v="0"/>
    <n v="0"/>
    <n v="0"/>
    <s v="MMR001CMP006"/>
    <x v="0"/>
    <x v="0"/>
    <s v="P4"/>
    <n v="2.4536264599077438E-4"/>
    <s v="No"/>
  </r>
  <r>
    <n v="51.366666666666667"/>
    <d v="2013-02-10T00:00:00"/>
    <x v="4"/>
    <s v="MRCS"/>
    <s v="Kachin"/>
    <s v="Mohnyin"/>
    <s v="St. Patrick Catholic Church "/>
    <m/>
    <m/>
    <m/>
    <m/>
    <n v="20"/>
    <m/>
    <n v="12"/>
    <m/>
    <n v="0"/>
    <n v="0"/>
    <m/>
    <m/>
    <m/>
    <m/>
    <m/>
    <m/>
    <m/>
    <n v="0"/>
    <n v="0"/>
    <n v="0"/>
    <n v="0"/>
    <n v="0"/>
    <n v="0"/>
    <n v="0"/>
    <n v="0"/>
    <n v="0"/>
    <n v="0"/>
    <n v="0"/>
    <n v="0"/>
    <n v="0"/>
    <n v="0"/>
    <n v="0"/>
    <n v="0"/>
    <n v="0"/>
    <n v="0"/>
    <s v="MMR001CMP080"/>
    <x v="0"/>
    <x v="0"/>
    <s v="P4"/>
    <n v="2.9224811865273618E-4"/>
    <s v="No"/>
  </r>
  <r>
    <n v="51.366666666666667"/>
    <d v="2013-02-10T00:00:00"/>
    <x v="4"/>
    <s v="MRCS"/>
    <s v="Kachin"/>
    <s v="Mohnyin"/>
    <s v="Nant Mun"/>
    <m/>
    <m/>
    <m/>
    <m/>
    <n v="36"/>
    <m/>
    <n v="22"/>
    <m/>
    <n v="0"/>
    <n v="0"/>
    <m/>
    <m/>
    <m/>
    <m/>
    <m/>
    <m/>
    <m/>
    <n v="0"/>
    <n v="0"/>
    <n v="0"/>
    <n v="0"/>
    <n v="0"/>
    <n v="0"/>
    <n v="0"/>
    <n v="0"/>
    <n v="0"/>
    <n v="0"/>
    <n v="0"/>
    <n v="0"/>
    <n v="0"/>
    <n v="0"/>
    <n v="0"/>
    <n v="0"/>
    <n v="0"/>
    <n v="0"/>
    <s v="MMR001CMP081"/>
    <x v="0"/>
    <x v="1"/>
    <s v="P4"/>
    <n v="5.3699138372916109E-4"/>
    <s v="No"/>
  </r>
  <r>
    <n v="51.1"/>
    <d v="2013-02-18T00:00:00"/>
    <x v="0"/>
    <s v="UNHCR"/>
    <s v="Kachin"/>
    <s v="Hpakant"/>
    <s v="Hlaing Naung Baptist"/>
    <m/>
    <m/>
    <n v="30"/>
    <n v="0"/>
    <n v="0"/>
    <n v="0"/>
    <n v="0"/>
    <n v="0"/>
    <m/>
    <m/>
    <m/>
    <m/>
    <m/>
    <m/>
    <m/>
    <m/>
    <m/>
    <n v="0"/>
    <n v="0"/>
    <n v="0"/>
    <n v="0"/>
    <n v="0"/>
    <n v="0"/>
    <n v="0"/>
    <n v="0"/>
    <n v="0"/>
    <n v="0"/>
    <n v="0"/>
    <n v="0"/>
    <n v="0"/>
    <n v="0"/>
    <n v="0"/>
    <n v="0"/>
    <n v="0"/>
    <n v="0"/>
    <s v="MMR001CMP148"/>
    <x v="0"/>
    <x v="0"/>
    <s v="P4"/>
    <n v="0"/>
    <s v="No"/>
  </r>
  <r>
    <n v="51.1"/>
    <d v="2013-02-18T00:00:00"/>
    <x v="0"/>
    <s v="KBC"/>
    <s v="Shan_North"/>
    <s v="Kutkai"/>
    <s v="Kutkai downtown (KBC Church)"/>
    <m/>
    <m/>
    <n v="120"/>
    <n v="120"/>
    <n v="60"/>
    <n v="120"/>
    <n v="60"/>
    <n v="60"/>
    <n v="60"/>
    <n v="60"/>
    <m/>
    <m/>
    <m/>
    <m/>
    <m/>
    <m/>
    <m/>
    <n v="0"/>
    <n v="0"/>
    <n v="0"/>
    <n v="0"/>
    <n v="0"/>
    <n v="0"/>
    <n v="0"/>
    <n v="0"/>
    <n v="0"/>
    <n v="0"/>
    <n v="0"/>
    <n v="0"/>
    <n v="0"/>
    <n v="0"/>
    <n v="0"/>
    <n v="0"/>
    <n v="0"/>
    <n v="0"/>
    <s v="MMR015CMP016"/>
    <x v="0"/>
    <x v="0"/>
    <s v="P3"/>
    <n v="1.4547570555717194E-3"/>
    <s v="No"/>
  </r>
  <r>
    <n v="51.1"/>
    <d v="2013-02-18T00:00:00"/>
    <x v="0"/>
    <s v="KBC"/>
    <s v="Kachin"/>
    <s v="Mansi"/>
    <s v="Man Wing Baptist Church"/>
    <m/>
    <m/>
    <n v="221"/>
    <n v="221"/>
    <n v="110"/>
    <n v="221"/>
    <n v="110"/>
    <n v="110"/>
    <n v="110"/>
    <n v="110"/>
    <m/>
    <m/>
    <m/>
    <m/>
    <m/>
    <m/>
    <m/>
    <n v="0"/>
    <n v="0"/>
    <n v="0"/>
    <n v="0"/>
    <n v="0"/>
    <n v="0"/>
    <n v="0"/>
    <n v="0"/>
    <n v="0"/>
    <n v="0"/>
    <n v="0"/>
    <n v="0"/>
    <n v="0"/>
    <n v="0"/>
    <n v="0"/>
    <n v="0"/>
    <n v="0"/>
    <n v="0"/>
    <s v="MMR001CMP133"/>
    <x v="0"/>
    <x v="0"/>
    <s v="P4"/>
    <n v="2.6868588177821201E-3"/>
    <s v="No"/>
  </r>
  <r>
    <n v="51.1"/>
    <d v="2013-02-18T00:00:00"/>
    <x v="0"/>
    <s v="KBC"/>
    <s v="Shan_North"/>
    <s v="Manton"/>
    <s v="Mandung - Jinghpaw"/>
    <m/>
    <m/>
    <n v="57"/>
    <n v="57"/>
    <n v="29"/>
    <n v="57"/>
    <n v="29"/>
    <n v="29"/>
    <n v="29"/>
    <n v="29"/>
    <m/>
    <m/>
    <m/>
    <m/>
    <m/>
    <m/>
    <m/>
    <n v="0"/>
    <n v="0"/>
    <n v="0"/>
    <n v="0"/>
    <n v="0"/>
    <n v="0"/>
    <n v="0"/>
    <n v="0"/>
    <n v="0"/>
    <n v="0"/>
    <n v="0"/>
    <n v="0"/>
    <n v="0"/>
    <n v="0"/>
    <n v="0"/>
    <n v="0"/>
    <n v="0"/>
    <n v="0"/>
    <s v="MMR015CMP009"/>
    <x v="0"/>
    <x v="0"/>
    <s v="P2"/>
    <n v="7.0731707317073169E-4"/>
    <s v="No"/>
  </r>
  <r>
    <n v="51.1"/>
    <d v="2013-02-18T00:00:00"/>
    <x v="0"/>
    <s v="KBC"/>
    <s v="Shan_North"/>
    <s v="Kutkai"/>
    <s v="Mungji Pa Dabang (Baptist Church)         "/>
    <m/>
    <m/>
    <n v="93"/>
    <n v="93"/>
    <n v="46"/>
    <n v="93"/>
    <n v="46"/>
    <n v="46"/>
    <n v="46"/>
    <n v="46"/>
    <m/>
    <m/>
    <m/>
    <m/>
    <m/>
    <m/>
    <m/>
    <n v="0"/>
    <n v="0"/>
    <n v="0"/>
    <n v="0"/>
    <n v="0"/>
    <n v="0"/>
    <n v="0"/>
    <n v="0"/>
    <n v="0"/>
    <n v="0"/>
    <n v="0"/>
    <n v="0"/>
    <n v="0"/>
    <n v="0"/>
    <n v="0"/>
    <n v="0"/>
    <n v="0"/>
    <n v="0"/>
    <s v="MMR015CMP006"/>
    <x v="0"/>
    <x v="0"/>
    <s v="P1"/>
    <n v="1.1278103317233432E-3"/>
    <s v="No"/>
  </r>
  <r>
    <n v="51.1"/>
    <d v="2013-02-18T00:00:00"/>
    <x v="0"/>
    <s v="KBC"/>
    <s v="Shan_North"/>
    <s v="Namhkan"/>
    <s v="Nam Hkam - Nay Win Ni (Palawng)"/>
    <m/>
    <m/>
    <n v="118"/>
    <n v="118"/>
    <n v="59"/>
    <n v="118"/>
    <n v="59"/>
    <n v="59"/>
    <n v="59"/>
    <n v="59"/>
    <m/>
    <m/>
    <m/>
    <m/>
    <m/>
    <m/>
    <m/>
    <n v="0"/>
    <n v="0"/>
    <n v="0"/>
    <n v="0"/>
    <n v="0"/>
    <n v="0"/>
    <n v="0"/>
    <n v="0"/>
    <n v="0"/>
    <n v="0"/>
    <n v="0"/>
    <n v="0"/>
    <n v="0"/>
    <n v="0"/>
    <n v="0"/>
    <n v="0"/>
    <n v="0"/>
    <n v="0"/>
    <s v="MMR015CMP004"/>
    <x v="0"/>
    <x v="0"/>
    <s v="P3"/>
    <n v="1.4179624600447018E-3"/>
    <s v="No"/>
  </r>
  <r>
    <n v="51.1"/>
    <d v="2013-02-18T00:00:00"/>
    <x v="0"/>
    <s v="KBC"/>
    <s v="Shan_North"/>
    <s v="Namhkan"/>
    <s v="Nam Hkam (KBC Jaw Wang)"/>
    <m/>
    <m/>
    <n v="139"/>
    <n v="139"/>
    <n v="70"/>
    <n v="139"/>
    <n v="70"/>
    <n v="70"/>
    <n v="70"/>
    <n v="70"/>
    <m/>
    <m/>
    <m/>
    <m/>
    <m/>
    <m/>
    <m/>
    <n v="0"/>
    <n v="0"/>
    <n v="0"/>
    <n v="0"/>
    <n v="0"/>
    <n v="0"/>
    <n v="0"/>
    <n v="0"/>
    <n v="0"/>
    <n v="0"/>
    <n v="0"/>
    <n v="0"/>
    <n v="0"/>
    <n v="0"/>
    <n v="0"/>
    <n v="0"/>
    <n v="0"/>
    <n v="0"/>
    <s v="MMR015CMP001"/>
    <x v="0"/>
    <x v="0"/>
    <s v="P3"/>
    <n v="1.7124125446450413E-3"/>
    <s v="No"/>
  </r>
  <r>
    <n v="51.1"/>
    <d v="2013-02-18T00:00:00"/>
    <x v="0"/>
    <s v="KBC"/>
    <s v="Shan_North"/>
    <s v="Kutkai"/>
    <s v="Nam Hpak Ka Mare "/>
    <m/>
    <m/>
    <n v="86"/>
    <n v="86"/>
    <n v="43"/>
    <n v="86"/>
    <n v="43"/>
    <n v="43"/>
    <n v="43"/>
    <n v="43"/>
    <m/>
    <m/>
    <m/>
    <m/>
    <m/>
    <m/>
    <m/>
    <n v="0"/>
    <n v="0"/>
    <n v="0"/>
    <n v="0"/>
    <n v="0"/>
    <n v="0"/>
    <n v="0"/>
    <n v="0"/>
    <n v="0"/>
    <n v="0"/>
    <n v="0"/>
    <n v="0"/>
    <n v="0"/>
    <n v="0"/>
    <n v="0"/>
    <n v="0"/>
    <n v="0"/>
    <n v="0"/>
    <s v="MMR015CMP007"/>
    <x v="0"/>
    <x v="0"/>
    <s v="P3"/>
    <n v="1.0519105631390969E-3"/>
    <s v="No"/>
  </r>
  <r>
    <n v="51.1"/>
    <d v="2013-02-18T00:00:00"/>
    <x v="0"/>
    <s v="KBC"/>
    <s v="Shan_North"/>
    <s v="Namtu"/>
    <s v="Nam Tu RC"/>
    <m/>
    <m/>
    <n v="90"/>
    <n v="90"/>
    <n v="45"/>
    <n v="90"/>
    <n v="45"/>
    <n v="45"/>
    <n v="45"/>
    <n v="45"/>
    <m/>
    <m/>
    <m/>
    <m/>
    <m/>
    <m/>
    <m/>
    <n v="0"/>
    <n v="0"/>
    <n v="0"/>
    <n v="0"/>
    <n v="0"/>
    <n v="0"/>
    <n v="0"/>
    <n v="0"/>
    <n v="0"/>
    <n v="0"/>
    <n v="0"/>
    <n v="0"/>
    <n v="0"/>
    <n v="0"/>
    <n v="0"/>
    <n v="0"/>
    <n v="0"/>
    <n v="0"/>
    <s v="MMR015CMP210"/>
    <x v="0"/>
    <x v="0"/>
    <s v="P3"/>
    <s v=""/>
    <s v="No"/>
  </r>
  <r>
    <n v="51.1"/>
    <d v="2013-02-18T00:00:00"/>
    <x v="0"/>
    <s v="KBC"/>
    <s v="Shan_North"/>
    <s v="Muse"/>
    <s v="Munekoe Pa (Giwang) - Hka San (Mung  Go  Pa ) "/>
    <m/>
    <m/>
    <n v="60"/>
    <n v="60"/>
    <n v="30"/>
    <n v="60"/>
    <n v="30"/>
    <n v="30"/>
    <n v="30"/>
    <n v="30"/>
    <m/>
    <m/>
    <m/>
    <m/>
    <m/>
    <m/>
    <m/>
    <n v="0"/>
    <n v="0"/>
    <n v="0"/>
    <n v="0"/>
    <n v="0"/>
    <n v="0"/>
    <n v="0"/>
    <n v="0"/>
    <n v="0"/>
    <n v="0"/>
    <n v="0"/>
    <n v="0"/>
    <n v="0"/>
    <n v="0"/>
    <n v="0"/>
    <n v="0"/>
    <n v="0"/>
    <n v="0"/>
    <s v="MMR015CMP012"/>
    <x v="0"/>
    <x v="1"/>
    <s v="P1"/>
    <n v="7.3008688033876035E-4"/>
    <s v="No"/>
  </r>
  <r>
    <n v="51.1"/>
    <d v="2013-02-18T00:00:00"/>
    <x v="0"/>
    <s v="KBC"/>
    <s v="Shan_North"/>
    <s v="Namhkan"/>
    <s v="Nam Hkawng"/>
    <m/>
    <m/>
    <n v="16"/>
    <n v="16"/>
    <n v="8"/>
    <n v="16"/>
    <n v="8"/>
    <n v="8"/>
    <n v="8"/>
    <n v="8"/>
    <m/>
    <m/>
    <m/>
    <m/>
    <m/>
    <m/>
    <m/>
    <n v="0"/>
    <n v="0"/>
    <n v="0"/>
    <n v="0"/>
    <n v="0"/>
    <n v="0"/>
    <n v="0"/>
    <n v="0"/>
    <n v="0"/>
    <n v="0"/>
    <n v="0"/>
    <n v="0"/>
    <n v="0"/>
    <n v="0"/>
    <n v="0"/>
    <n v="0"/>
    <n v="0"/>
    <n v="0"/>
    <s v="MMR015CMP139"/>
    <x v="0"/>
    <x v="0"/>
    <s v="P2"/>
    <n v="1.961409272562336E-4"/>
    <s v="No"/>
  </r>
  <r>
    <n v="51.06666666666667"/>
    <d v="2013-02-19T00:00:00"/>
    <x v="0"/>
    <s v="UNHCR"/>
    <s v="Kachin"/>
    <s v="Hpakant"/>
    <s v="5 Ward Baptist Church(lon Khin)"/>
    <m/>
    <m/>
    <n v="18"/>
    <n v="30"/>
    <n v="17"/>
    <n v="64"/>
    <n v="17"/>
    <n v="17"/>
    <n v="17"/>
    <n v="17"/>
    <m/>
    <m/>
    <m/>
    <m/>
    <m/>
    <m/>
    <m/>
    <n v="0"/>
    <n v="0"/>
    <n v="0"/>
    <n v="0"/>
    <n v="0"/>
    <n v="0"/>
    <n v="0"/>
    <n v="0"/>
    <n v="0"/>
    <n v="0"/>
    <n v="0"/>
    <n v="0"/>
    <n v="0"/>
    <n v="0"/>
    <n v="0"/>
    <n v="0"/>
    <n v="0"/>
    <n v="0"/>
    <s v="MMR001CMP179"/>
    <x v="0"/>
    <x v="1"/>
    <s v="P4"/>
    <n v="4.1187159297395516E-4"/>
    <s v="No"/>
  </r>
  <r>
    <n v="51.06666666666667"/>
    <d v="2013-02-19T00:00:00"/>
    <x v="0"/>
    <s v="UNHCR"/>
    <s v="Kachin"/>
    <s v="Hpakant"/>
    <s v="Dhama Rakhita, Nyein Chan Tar Yar Ward(Lon Khin)"/>
    <m/>
    <m/>
    <n v="74"/>
    <n v="105"/>
    <n v="59"/>
    <n v="105"/>
    <n v="59"/>
    <n v="59"/>
    <n v="59"/>
    <n v="59"/>
    <m/>
    <m/>
    <m/>
    <m/>
    <m/>
    <m/>
    <m/>
    <n v="0"/>
    <n v="0"/>
    <n v="0"/>
    <n v="0"/>
    <n v="0"/>
    <n v="0"/>
    <n v="0"/>
    <n v="0"/>
    <n v="0"/>
    <n v="0"/>
    <n v="0"/>
    <n v="0"/>
    <n v="0"/>
    <n v="0"/>
    <n v="0"/>
    <n v="0"/>
    <n v="0"/>
    <n v="0"/>
    <s v="MMR001CMP174"/>
    <x v="0"/>
    <x v="0"/>
    <s v="P4"/>
    <n v="1.4294367050272563E-3"/>
    <s v="No"/>
  </r>
  <r>
    <n v="51.06666666666667"/>
    <d v="2013-02-19T00:00:00"/>
    <x v="0"/>
    <s v="UNHCR"/>
    <s v="Kachin"/>
    <s v="Hpakant"/>
    <s v="Nam Ma Phyit, COC"/>
    <m/>
    <m/>
    <n v="19"/>
    <n v="30"/>
    <n v="18"/>
    <n v="68"/>
    <n v="18"/>
    <n v="18"/>
    <n v="18"/>
    <n v="18"/>
    <m/>
    <m/>
    <m/>
    <m/>
    <m/>
    <m/>
    <m/>
    <n v="0"/>
    <n v="0"/>
    <n v="0"/>
    <n v="0"/>
    <n v="0"/>
    <n v="0"/>
    <n v="0"/>
    <n v="0"/>
    <n v="0"/>
    <n v="0"/>
    <n v="0"/>
    <n v="0"/>
    <n v="0"/>
    <n v="0"/>
    <n v="0"/>
    <n v="0"/>
    <n v="0"/>
    <n v="0"/>
    <s v="MMR001CMP192"/>
    <x v="0"/>
    <x v="0"/>
    <s v="P4"/>
    <n v="4.3609933373712904E-4"/>
    <s v="No"/>
  </r>
  <r>
    <n v="51.06666666666667"/>
    <d v="2013-02-19T00:00:00"/>
    <x v="0"/>
    <s v="UNHCR"/>
    <s v="Kachin"/>
    <s v="Hpakant"/>
    <s v="1 Ward, Sein Yadanar Company(Lon Khin)"/>
    <m/>
    <m/>
    <n v="3"/>
    <n v="7"/>
    <n v="4"/>
    <n v="7"/>
    <n v="4"/>
    <n v="4"/>
    <n v="4"/>
    <n v="4"/>
    <m/>
    <m/>
    <m/>
    <m/>
    <m/>
    <m/>
    <m/>
    <n v="0"/>
    <n v="0"/>
    <n v="0"/>
    <n v="0"/>
    <n v="0"/>
    <n v="0"/>
    <n v="0"/>
    <n v="0"/>
    <n v="0"/>
    <n v="0"/>
    <n v="0"/>
    <n v="0"/>
    <n v="0"/>
    <n v="0"/>
    <n v="0"/>
    <n v="0"/>
    <n v="0"/>
    <n v="0"/>
    <s v="MMR001CMP171"/>
    <x v="0"/>
    <x v="1"/>
    <s v=""/>
    <s v=""/>
    <s v="No"/>
  </r>
  <r>
    <n v="51.06666666666667"/>
    <d v="2013-02-19T00:00:00"/>
    <x v="0"/>
    <s v="UNHCR"/>
    <s v="Kachin"/>
    <s v="Hpakant"/>
    <s v="Anglican Church, Hmaw Si Sar"/>
    <m/>
    <m/>
    <n v="1"/>
    <n v="6"/>
    <n v="3"/>
    <n v="15"/>
    <n v="4"/>
    <n v="4"/>
    <n v="4"/>
    <n v="4"/>
    <m/>
    <m/>
    <m/>
    <m/>
    <m/>
    <m/>
    <m/>
    <n v="0"/>
    <n v="0"/>
    <n v="0"/>
    <n v="0"/>
    <n v="0"/>
    <n v="0"/>
    <n v="0"/>
    <n v="0"/>
    <n v="0"/>
    <n v="0"/>
    <n v="0"/>
    <n v="0"/>
    <n v="0"/>
    <n v="0"/>
    <n v="0"/>
    <n v="0"/>
    <n v="0"/>
    <n v="0"/>
    <s v="MMR001CMP173"/>
    <x v="0"/>
    <x v="1"/>
    <s v=""/>
    <s v=""/>
    <s v="No"/>
  </r>
  <r>
    <n v="51.06666666666667"/>
    <d v="2013-02-19T00:00:00"/>
    <x v="0"/>
    <s v="UNHCR"/>
    <s v="Kachin"/>
    <s v="Hpakant"/>
    <s v="Anglican Church, Hmaw Si Sar"/>
    <m/>
    <m/>
    <n v="92"/>
    <n v="130"/>
    <n v="67"/>
    <n v="130"/>
    <n v="67"/>
    <n v="67"/>
    <n v="67"/>
    <n v="67"/>
    <m/>
    <m/>
    <m/>
    <m/>
    <m/>
    <m/>
    <m/>
    <n v="0"/>
    <n v="0"/>
    <n v="0"/>
    <n v="0"/>
    <n v="0"/>
    <n v="0"/>
    <n v="0"/>
    <n v="0"/>
    <n v="0"/>
    <n v="0"/>
    <n v="0"/>
    <n v="0"/>
    <n v="0"/>
    <n v="0"/>
    <n v="0"/>
    <n v="0"/>
    <n v="0"/>
    <n v="0"/>
    <s v="MMR001CMP173"/>
    <x v="0"/>
    <x v="1"/>
    <s v=""/>
    <s v=""/>
    <s v="No"/>
  </r>
  <r>
    <n v="51.06666666666667"/>
    <d v="2013-02-19T00:00:00"/>
    <x v="0"/>
    <s v="UNHCR"/>
    <s v="Kachin"/>
    <s v="Hpakant"/>
    <s v="Away Yar Rama Monastery, Ka Day village"/>
    <m/>
    <m/>
    <n v="8"/>
    <n v="16"/>
    <n v="8"/>
    <n v="16"/>
    <n v="8"/>
    <n v="8"/>
    <n v="8"/>
    <n v="8"/>
    <m/>
    <m/>
    <m/>
    <m/>
    <m/>
    <m/>
    <m/>
    <n v="0"/>
    <n v="0"/>
    <n v="0"/>
    <n v="0"/>
    <n v="0"/>
    <n v="0"/>
    <n v="0"/>
    <n v="0"/>
    <n v="0"/>
    <n v="0"/>
    <n v="0"/>
    <n v="0"/>
    <n v="0"/>
    <n v="0"/>
    <n v="0"/>
    <n v="0"/>
    <n v="0"/>
    <n v="0"/>
    <s v="MMR001CMP170"/>
    <x v="0"/>
    <x v="1"/>
    <s v=""/>
    <s v=""/>
    <s v="No"/>
  </r>
  <r>
    <n v="51.06666666666667"/>
    <d v="2013-02-19T00:00:00"/>
    <x v="0"/>
    <s v="UNHCR"/>
    <s v="Kachin"/>
    <s v="Hpakant"/>
    <s v="May Di Ka Rama Monastery(Lon Khin)"/>
    <m/>
    <m/>
    <n v="9"/>
    <n v="21"/>
    <n v="9"/>
    <n v="21"/>
    <n v="9"/>
    <n v="9"/>
    <n v="9"/>
    <n v="9"/>
    <m/>
    <m/>
    <m/>
    <m/>
    <m/>
    <m/>
    <m/>
    <n v="0"/>
    <n v="0"/>
    <n v="0"/>
    <n v="0"/>
    <n v="0"/>
    <n v="0"/>
    <n v="0"/>
    <n v="0"/>
    <n v="0"/>
    <n v="0"/>
    <n v="0"/>
    <n v="0"/>
    <n v="0"/>
    <n v="0"/>
    <n v="0"/>
    <n v="0"/>
    <n v="0"/>
    <n v="0"/>
    <s v="MMR001CMP178"/>
    <x v="0"/>
    <x v="1"/>
    <s v=""/>
    <s v=""/>
    <s v="No"/>
  </r>
  <r>
    <n v="51.06666666666667"/>
    <d v="2013-02-19T00:00:00"/>
    <x v="0"/>
    <s v="UNHCR"/>
    <s v="Kachin"/>
    <s v="Hpakant"/>
    <s v="Wrad(5) Christian Association"/>
    <m/>
    <m/>
    <n v="2"/>
    <n v="3"/>
    <n v="2"/>
    <n v="7"/>
    <n v="2"/>
    <n v="2"/>
    <n v="2"/>
    <n v="2"/>
    <m/>
    <m/>
    <m/>
    <m/>
    <m/>
    <m/>
    <m/>
    <n v="0"/>
    <n v="0"/>
    <n v="0"/>
    <n v="0"/>
    <n v="0"/>
    <n v="0"/>
    <n v="0"/>
    <n v="0"/>
    <n v="0"/>
    <n v="0"/>
    <n v="0"/>
    <n v="0"/>
    <n v="0"/>
    <n v="0"/>
    <n v="0"/>
    <n v="0"/>
    <n v="0"/>
    <n v="0"/>
    <s v="MMR001CMP175"/>
    <x v="0"/>
    <x v="1"/>
    <s v=""/>
    <s v=""/>
    <s v="No"/>
  </r>
  <r>
    <n v="51.033333333333331"/>
    <d v="2013-02-20T00:00:00"/>
    <x v="0"/>
    <s v="UNHCR"/>
    <s v="Kachin"/>
    <s v="Hpakant"/>
    <s v="AG Church, Maw Wan"/>
    <m/>
    <m/>
    <m/>
    <n v="59"/>
    <n v="28"/>
    <n v="0"/>
    <n v="28"/>
    <n v="28"/>
    <n v="28"/>
    <n v="28"/>
    <m/>
    <m/>
    <m/>
    <m/>
    <m/>
    <m/>
    <m/>
    <n v="0"/>
    <n v="0"/>
    <n v="0"/>
    <n v="0"/>
    <n v="0"/>
    <n v="0"/>
    <n v="0"/>
    <n v="0"/>
    <n v="0"/>
    <n v="0"/>
    <n v="0"/>
    <n v="0"/>
    <n v="0"/>
    <n v="0"/>
    <n v="0"/>
    <n v="0"/>
    <n v="0"/>
    <n v="0"/>
    <s v="MMR001CMP190"/>
    <x v="0"/>
    <x v="0"/>
    <s v="P4"/>
    <n v="6.783767413688674E-4"/>
    <s v="No"/>
  </r>
  <r>
    <n v="51.033333333333331"/>
    <d v="2013-02-20T00:00:00"/>
    <x v="0"/>
    <s v="UNHCR"/>
    <s v="Kachin"/>
    <s v="Hpakant"/>
    <s v="Lisu Baptist Church, Maw Wan Ward"/>
    <m/>
    <m/>
    <n v="12"/>
    <n v="20"/>
    <n v="8"/>
    <n v="20"/>
    <n v="8"/>
    <n v="8"/>
    <n v="8"/>
    <n v="8"/>
    <m/>
    <m/>
    <m/>
    <m/>
    <m/>
    <m/>
    <m/>
    <n v="0"/>
    <n v="0"/>
    <n v="0"/>
    <n v="0"/>
    <n v="0"/>
    <n v="0"/>
    <n v="0"/>
    <n v="0"/>
    <n v="0"/>
    <n v="0"/>
    <n v="0"/>
    <n v="0"/>
    <n v="0"/>
    <n v="0"/>
    <n v="0"/>
    <n v="0"/>
    <n v="0"/>
    <n v="0"/>
    <s v="MMR001CMP167"/>
    <x v="0"/>
    <x v="0"/>
    <s v="P4"/>
    <n v="1.9382192610539067E-4"/>
    <s v="No"/>
  </r>
  <r>
    <n v="51.033333333333331"/>
    <d v="2013-02-20T00:00:00"/>
    <x v="0"/>
    <s v="UNHCR"/>
    <s v="Kachin"/>
    <s v="Hpakant"/>
    <s v="Nant Ma Hpit Catholic Church"/>
    <m/>
    <m/>
    <n v="35"/>
    <n v="0"/>
    <n v="0"/>
    <n v="0"/>
    <n v="0"/>
    <n v="0"/>
    <m/>
    <m/>
    <m/>
    <m/>
    <m/>
    <m/>
    <m/>
    <m/>
    <m/>
    <n v="0"/>
    <n v="0"/>
    <n v="0"/>
    <n v="0"/>
    <n v="0"/>
    <n v="0"/>
    <n v="0"/>
    <n v="0"/>
    <n v="0"/>
    <n v="0"/>
    <n v="0"/>
    <n v="0"/>
    <n v="0"/>
    <n v="0"/>
    <n v="0"/>
    <n v="0"/>
    <n v="0"/>
    <n v="0"/>
    <s v="MMR001CMP103"/>
    <x v="0"/>
    <x v="0"/>
    <s v="P4"/>
    <n v="0"/>
    <s v="No"/>
  </r>
  <r>
    <n v="51.033333333333331"/>
    <d v="2013-02-20T00:00:00"/>
    <x v="0"/>
    <s v="UNHCR"/>
    <s v="Kachin"/>
    <s v="Hpakant"/>
    <s v="Nant Ma Hpit Catholic Church"/>
    <m/>
    <m/>
    <n v="32"/>
    <n v="64"/>
    <n v="33"/>
    <n v="64"/>
    <n v="33"/>
    <n v="33"/>
    <n v="33"/>
    <n v="33"/>
    <m/>
    <m/>
    <m/>
    <m/>
    <m/>
    <m/>
    <m/>
    <n v="0"/>
    <n v="0"/>
    <n v="0"/>
    <n v="0"/>
    <n v="0"/>
    <n v="0"/>
    <n v="0"/>
    <n v="0"/>
    <n v="0"/>
    <n v="0"/>
    <n v="0"/>
    <n v="0"/>
    <n v="0"/>
    <n v="0"/>
    <n v="0"/>
    <n v="0"/>
    <n v="0"/>
    <n v="0"/>
    <s v="MMR001CMP103"/>
    <x v="0"/>
    <x v="0"/>
    <s v="P4"/>
    <n v="7.954298937016415E-4"/>
    <s v="No"/>
  </r>
  <r>
    <n v="51.033333333333331"/>
    <d v="2013-02-20T00:00:00"/>
    <x v="0"/>
    <s v="UNHCR"/>
    <s v="Kachin"/>
    <s v="Hpakant"/>
    <s v="Yumar Baptist Church"/>
    <m/>
    <m/>
    <n v="46"/>
    <n v="0"/>
    <n v="0"/>
    <n v="0"/>
    <n v="0"/>
    <n v="0"/>
    <m/>
    <m/>
    <m/>
    <m/>
    <m/>
    <m/>
    <m/>
    <m/>
    <m/>
    <n v="0"/>
    <n v="0"/>
    <n v="0"/>
    <n v="0"/>
    <n v="0"/>
    <n v="0"/>
    <n v="0"/>
    <n v="0"/>
    <n v="0"/>
    <n v="0"/>
    <n v="0"/>
    <n v="0"/>
    <n v="0"/>
    <n v="0"/>
    <n v="0"/>
    <n v="0"/>
    <n v="0"/>
    <n v="0"/>
    <s v="MMR001CMP105"/>
    <x v="0"/>
    <x v="0"/>
    <s v="P4"/>
    <n v="0"/>
    <s v="No"/>
  </r>
  <r>
    <n v="51.033333333333331"/>
    <d v="2013-02-20T00:00:00"/>
    <x v="0"/>
    <s v="UNHCR"/>
    <s v="Kachin"/>
    <s v="Hpakant"/>
    <s v="Aye Mya Tharyar Church of Christ "/>
    <m/>
    <m/>
    <n v="18"/>
    <n v="0"/>
    <n v="0"/>
    <n v="0"/>
    <n v="0"/>
    <n v="0"/>
    <m/>
    <m/>
    <m/>
    <m/>
    <m/>
    <m/>
    <m/>
    <m/>
    <m/>
    <n v="0"/>
    <n v="0"/>
    <n v="0"/>
    <n v="0"/>
    <n v="0"/>
    <n v="0"/>
    <n v="0"/>
    <n v="0"/>
    <n v="0"/>
    <n v="0"/>
    <n v="0"/>
    <n v="0"/>
    <n v="0"/>
    <n v="0"/>
    <n v="0"/>
    <n v="0"/>
    <n v="0"/>
    <n v="0"/>
    <s v="MMR001CMP092"/>
    <x v="0"/>
    <x v="1"/>
    <s v=""/>
    <s v=""/>
    <s v="No"/>
  </r>
  <r>
    <n v="51.033333333333331"/>
    <d v="2013-02-20T00:00:00"/>
    <x v="0"/>
    <s v="UNHCR"/>
    <s v="Kachin"/>
    <s v="Hpakant"/>
    <s v="Chin(Zomi) Baptist Church"/>
    <m/>
    <m/>
    <n v="13"/>
    <n v="28"/>
    <n v="15"/>
    <n v="28"/>
    <n v="15"/>
    <n v="15"/>
    <n v="15"/>
    <n v="15"/>
    <m/>
    <m/>
    <m/>
    <m/>
    <m/>
    <m/>
    <m/>
    <n v="0"/>
    <n v="0"/>
    <n v="0"/>
    <n v="0"/>
    <n v="0"/>
    <n v="0"/>
    <n v="0"/>
    <n v="0"/>
    <n v="0"/>
    <n v="0"/>
    <n v="0"/>
    <n v="0"/>
    <n v="0"/>
    <n v="0"/>
    <n v="0"/>
    <n v="0"/>
    <n v="0"/>
    <n v="0"/>
    <s v="MMR001CMP086"/>
    <x v="0"/>
    <x v="1"/>
    <s v=""/>
    <s v=""/>
    <s v="No"/>
  </r>
  <r>
    <n v="51.033333333333331"/>
    <d v="2013-02-20T00:00:00"/>
    <x v="0"/>
    <s v="UNHCR"/>
    <s v="Kachin"/>
    <s v="Hpakant"/>
    <s v="Mashi Kahtawng Baptist  Church"/>
    <m/>
    <m/>
    <n v="74"/>
    <n v="0"/>
    <n v="0"/>
    <n v="0"/>
    <n v="0"/>
    <n v="0"/>
    <m/>
    <m/>
    <m/>
    <m/>
    <m/>
    <m/>
    <m/>
    <m/>
    <m/>
    <n v="0"/>
    <n v="0"/>
    <n v="0"/>
    <n v="0"/>
    <n v="0"/>
    <n v="0"/>
    <n v="0"/>
    <n v="0"/>
    <n v="0"/>
    <n v="0"/>
    <n v="0"/>
    <n v="0"/>
    <n v="0"/>
    <n v="0"/>
    <n v="0"/>
    <n v="0"/>
    <n v="0"/>
    <n v="0"/>
    <s v="MMR001CMP094"/>
    <x v="0"/>
    <x v="1"/>
    <s v=""/>
    <s v=""/>
    <s v="No"/>
  </r>
  <r>
    <n v="51.033333333333331"/>
    <d v="2013-02-20T00:00:00"/>
    <x v="0"/>
    <s v="UNHCR"/>
    <s v="Kachin"/>
    <s v="Hpakant"/>
    <s v="Mashi Kahtawng Catholic Church"/>
    <m/>
    <m/>
    <n v="16"/>
    <n v="26"/>
    <n v="13"/>
    <n v="26"/>
    <n v="13"/>
    <n v="13"/>
    <n v="13"/>
    <n v="13"/>
    <m/>
    <m/>
    <m/>
    <m/>
    <m/>
    <m/>
    <m/>
    <n v="0"/>
    <n v="0"/>
    <n v="0"/>
    <n v="0"/>
    <n v="0"/>
    <n v="0"/>
    <n v="0"/>
    <n v="0"/>
    <n v="0"/>
    <n v="0"/>
    <n v="0"/>
    <n v="0"/>
    <n v="0"/>
    <n v="0"/>
    <n v="0"/>
    <n v="0"/>
    <n v="0"/>
    <n v="0"/>
    <s v="MMR001CMP093"/>
    <x v="0"/>
    <x v="1"/>
    <s v=""/>
    <s v=""/>
    <s v="No"/>
  </r>
  <r>
    <n v="51.033333333333331"/>
    <d v="2013-02-20T00:00:00"/>
    <x v="0"/>
    <s v="UNHCR"/>
    <s v="Kachin"/>
    <s v="Hpakant"/>
    <s v="Maw Wan, Kachin Baptist Church"/>
    <m/>
    <m/>
    <n v="85"/>
    <n v="138"/>
    <n v="65"/>
    <n v="138"/>
    <n v="65"/>
    <n v="65"/>
    <n v="65"/>
    <n v="65"/>
    <m/>
    <m/>
    <m/>
    <m/>
    <m/>
    <m/>
    <m/>
    <n v="0"/>
    <n v="0"/>
    <n v="0"/>
    <n v="0"/>
    <n v="0"/>
    <n v="0"/>
    <n v="0"/>
    <n v="0"/>
    <n v="0"/>
    <n v="0"/>
    <n v="0"/>
    <n v="0"/>
    <n v="0"/>
    <n v="0"/>
    <n v="0"/>
    <n v="0"/>
    <n v="0"/>
    <n v="0"/>
    <s v="MMR001CMP085"/>
    <x v="0"/>
    <x v="1"/>
    <s v=""/>
    <s v=""/>
    <s v="No"/>
  </r>
  <r>
    <n v="51.033333333333331"/>
    <d v="2013-02-20T00:00:00"/>
    <x v="0"/>
    <s v="UNHCR"/>
    <s v="Kachin"/>
    <s v="Hpakant"/>
    <s v="Nga Pyaw Taw Baptist Nursery School "/>
    <m/>
    <m/>
    <n v="175"/>
    <n v="0"/>
    <n v="0"/>
    <n v="0"/>
    <n v="0"/>
    <n v="0"/>
    <m/>
    <m/>
    <m/>
    <m/>
    <m/>
    <m/>
    <m/>
    <m/>
    <m/>
    <n v="0"/>
    <n v="0"/>
    <n v="0"/>
    <n v="0"/>
    <n v="0"/>
    <n v="0"/>
    <n v="0"/>
    <n v="0"/>
    <n v="0"/>
    <n v="0"/>
    <n v="0"/>
    <n v="0"/>
    <n v="0"/>
    <n v="0"/>
    <n v="0"/>
    <n v="0"/>
    <n v="0"/>
    <n v="0"/>
    <s v="MMR001CMP082"/>
    <x v="0"/>
    <x v="1"/>
    <s v=""/>
    <n v="0"/>
    <s v="No"/>
  </r>
  <r>
    <n v="51.033333333333331"/>
    <d v="2013-02-20T00:00:00"/>
    <x v="0"/>
    <s v="UNHCR"/>
    <s v="Kachin"/>
    <s v="Hpakant"/>
    <s v="Nga Pyaw Taw Roman Catholic Church"/>
    <m/>
    <m/>
    <n v="38"/>
    <n v="89"/>
    <n v="44"/>
    <n v="89"/>
    <n v="44"/>
    <n v="44"/>
    <n v="44"/>
    <n v="44"/>
    <m/>
    <m/>
    <m/>
    <m/>
    <m/>
    <m/>
    <m/>
    <n v="0"/>
    <n v="0"/>
    <n v="0"/>
    <n v="0"/>
    <n v="0"/>
    <n v="0"/>
    <n v="0"/>
    <n v="0"/>
    <n v="0"/>
    <n v="0"/>
    <n v="0"/>
    <n v="0"/>
    <n v="0"/>
    <n v="0"/>
    <n v="0"/>
    <n v="0"/>
    <n v="0"/>
    <n v="0"/>
    <s v="MMR001CMP083"/>
    <x v="0"/>
    <x v="1"/>
    <s v=""/>
    <s v=""/>
    <s v="No"/>
  </r>
  <r>
    <n v="51.033333333333331"/>
    <d v="2013-02-20T00:00:00"/>
    <x v="0"/>
    <s v="UNHCR"/>
    <s v="Kachin"/>
    <s v="Hpakant"/>
    <s v="Zomee Baptist Church camp, Hmaw Wan"/>
    <m/>
    <m/>
    <m/>
    <n v="11"/>
    <n v="6"/>
    <n v="0"/>
    <n v="6"/>
    <n v="6"/>
    <n v="6"/>
    <n v="6"/>
    <m/>
    <m/>
    <m/>
    <m/>
    <m/>
    <m/>
    <m/>
    <n v="0"/>
    <n v="0"/>
    <n v="0"/>
    <n v="0"/>
    <n v="0"/>
    <n v="0"/>
    <n v="0"/>
    <n v="0"/>
    <n v="0"/>
    <n v="0"/>
    <n v="0"/>
    <n v="0"/>
    <n v="0"/>
    <n v="0"/>
    <n v="0"/>
    <n v="0"/>
    <n v="0"/>
    <n v="0"/>
    <s v="MMR001CMP201"/>
    <x v="0"/>
    <x v="1"/>
    <s v=""/>
    <s v=""/>
    <s v="No"/>
  </r>
  <r>
    <n v="50.866666666666667"/>
    <d v="2013-02-25T00:00:00"/>
    <x v="0"/>
    <s v="Chipwe CM"/>
    <s v="Kachin"/>
    <s v="Chipwi"/>
    <s v="Chipwi KBC camp"/>
    <m/>
    <m/>
    <n v="11"/>
    <n v="17"/>
    <n v="7"/>
    <n v="17"/>
    <n v="7"/>
    <n v="7"/>
    <n v="7"/>
    <n v="7"/>
    <m/>
    <m/>
    <m/>
    <m/>
    <m/>
    <m/>
    <m/>
    <n v="0"/>
    <n v="0"/>
    <n v="0"/>
    <n v="0"/>
    <n v="0"/>
    <n v="0"/>
    <n v="0"/>
    <n v="0"/>
    <n v="0"/>
    <n v="0"/>
    <n v="0"/>
    <n v="0"/>
    <n v="0"/>
    <n v="0"/>
    <n v="0"/>
    <n v="0"/>
    <n v="0"/>
    <n v="0"/>
    <s v="MMR001CMP042"/>
    <x v="0"/>
    <x v="0"/>
    <s v="P1"/>
    <n v="1.6972165648336727E-4"/>
    <s v="No"/>
  </r>
  <r>
    <n v="50.866666666666667"/>
    <d v="2013-02-25T00:00:00"/>
    <x v="4"/>
    <s v="MRCS"/>
    <s v="Kachin"/>
    <s v="Waingmaw"/>
    <s v="Hkat Cho "/>
    <m/>
    <m/>
    <m/>
    <m/>
    <n v="1"/>
    <m/>
    <m/>
    <m/>
    <n v="0"/>
    <n v="0"/>
    <m/>
    <m/>
    <m/>
    <m/>
    <m/>
    <m/>
    <m/>
    <n v="0"/>
    <n v="0"/>
    <n v="0"/>
    <n v="0"/>
    <n v="0"/>
    <n v="0"/>
    <n v="0"/>
    <n v="0"/>
    <n v="0"/>
    <n v="0"/>
    <n v="0"/>
    <n v="0"/>
    <n v="0"/>
    <n v="0"/>
    <n v="0"/>
    <n v="0"/>
    <n v="0"/>
    <n v="0"/>
    <s v="MMR001CMP028"/>
    <x v="0"/>
    <x v="0"/>
    <s v="P4"/>
    <n v="0"/>
    <s v="No"/>
  </r>
  <r>
    <n v="50.866666666666667"/>
    <d v="2013-02-25T00:00:00"/>
    <x v="0"/>
    <s v="Chipwe CM"/>
    <s v="Kachin"/>
    <s v="Chipwi"/>
    <s v="Hpare Hkyer - BP6"/>
    <m/>
    <m/>
    <n v="11"/>
    <n v="17"/>
    <n v="7"/>
    <n v="17"/>
    <n v="7"/>
    <n v="7"/>
    <n v="7"/>
    <n v="7"/>
    <m/>
    <m/>
    <m/>
    <m/>
    <m/>
    <m/>
    <m/>
    <n v="0"/>
    <n v="0"/>
    <n v="0"/>
    <n v="0"/>
    <n v="0"/>
    <n v="0"/>
    <n v="0"/>
    <n v="0"/>
    <n v="0"/>
    <n v="0"/>
    <n v="0"/>
    <n v="0"/>
    <n v="0"/>
    <n v="0"/>
    <n v="0"/>
    <n v="0"/>
    <n v="0"/>
    <n v="0"/>
    <s v="MMR001CMP043"/>
    <x v="0"/>
    <x v="0"/>
    <s v="P1"/>
    <n v="1.7060687301974166E-4"/>
    <s v="No"/>
  </r>
  <r>
    <n v="50.866666666666667"/>
    <d v="2013-02-25T00:00:00"/>
    <x v="0"/>
    <s v="Chipwe CM"/>
    <s v="Kachin"/>
    <s v="Chipwi"/>
    <s v="Lan Jaw "/>
    <m/>
    <m/>
    <n v="11"/>
    <n v="17"/>
    <n v="7"/>
    <n v="17"/>
    <n v="7"/>
    <n v="7"/>
    <n v="7"/>
    <n v="7"/>
    <m/>
    <m/>
    <m/>
    <m/>
    <m/>
    <m/>
    <m/>
    <n v="0"/>
    <n v="0"/>
    <n v="0"/>
    <n v="0"/>
    <n v="0"/>
    <n v="0"/>
    <n v="0"/>
    <n v="0"/>
    <n v="0"/>
    <n v="0"/>
    <n v="0"/>
    <n v="0"/>
    <n v="0"/>
    <n v="0"/>
    <n v="0"/>
    <n v="0"/>
    <n v="0"/>
    <n v="0"/>
    <s v="MMR001CMP045"/>
    <x v="0"/>
    <x v="0"/>
    <s v="P1"/>
    <s v=""/>
    <s v="No"/>
  </r>
  <r>
    <n v="50.866666666666667"/>
    <d v="2013-02-25T00:00:00"/>
    <x v="0"/>
    <s v="Chipwe CM"/>
    <s v="Kachin"/>
    <s v="Chipwi"/>
    <s v="Lhaovao Baptist Church (LBC)"/>
    <m/>
    <m/>
    <n v="12"/>
    <n v="17"/>
    <n v="7"/>
    <n v="17"/>
    <n v="7"/>
    <n v="7"/>
    <n v="7"/>
    <n v="7"/>
    <m/>
    <m/>
    <m/>
    <m/>
    <m/>
    <m/>
    <m/>
    <n v="0"/>
    <n v="0"/>
    <n v="0"/>
    <n v="0"/>
    <n v="0"/>
    <n v="0"/>
    <n v="0"/>
    <n v="0"/>
    <n v="0"/>
    <n v="0"/>
    <n v="0"/>
    <n v="0"/>
    <n v="0"/>
    <n v="0"/>
    <n v="0"/>
    <n v="0"/>
    <n v="0"/>
    <n v="0"/>
    <s v="MMR001CMP195"/>
    <x v="0"/>
    <x v="0"/>
    <s v="P1"/>
    <n v="1.7098192476795311E-4"/>
    <s v="No"/>
  </r>
  <r>
    <n v="50.866666666666667"/>
    <d v="2013-02-25T00:00:00"/>
    <x v="4"/>
    <s v="MRCS"/>
    <s v="Kachin"/>
    <s v="Waingmaw"/>
    <s v="Maina KBC (Bawng Ring)"/>
    <m/>
    <m/>
    <n v="235"/>
    <m/>
    <n v="174"/>
    <m/>
    <n v="61"/>
    <m/>
    <n v="0"/>
    <n v="0"/>
    <m/>
    <m/>
    <m/>
    <m/>
    <m/>
    <m/>
    <m/>
    <n v="0"/>
    <n v="0"/>
    <n v="0"/>
    <n v="0"/>
    <n v="0"/>
    <n v="0"/>
    <n v="0"/>
    <n v="0"/>
    <n v="0"/>
    <n v="0"/>
    <n v="0"/>
    <n v="0"/>
    <n v="0"/>
    <n v="0"/>
    <n v="0"/>
    <n v="0"/>
    <n v="0"/>
    <n v="0"/>
    <s v="MMR001CMP040"/>
    <x v="0"/>
    <x v="0"/>
    <s v="P4"/>
    <n v="1.4855946031514088E-3"/>
    <s v="No"/>
  </r>
  <r>
    <n v="50.866666666666667"/>
    <d v="2013-02-25T00:00:00"/>
    <x v="0"/>
    <s v="Chipwe CM"/>
    <s v="Kachin"/>
    <s v="Chipwi"/>
    <s v="Gant Gwin"/>
    <m/>
    <m/>
    <n v="11"/>
    <n v="17"/>
    <n v="7"/>
    <n v="17"/>
    <n v="7"/>
    <n v="7"/>
    <n v="7"/>
    <n v="7"/>
    <m/>
    <m/>
    <m/>
    <m/>
    <m/>
    <m/>
    <m/>
    <n v="0"/>
    <n v="0"/>
    <n v="0"/>
    <n v="0"/>
    <n v="0"/>
    <n v="0"/>
    <n v="0"/>
    <n v="0"/>
    <n v="0"/>
    <n v="0"/>
    <n v="0"/>
    <n v="0"/>
    <n v="0"/>
    <n v="0"/>
    <n v="0"/>
    <n v="0"/>
    <n v="0"/>
    <n v="0"/>
    <s v="MMR001CMP046"/>
    <x v="0"/>
    <x v="1"/>
    <s v="P1"/>
    <s v=""/>
    <s v="No"/>
  </r>
  <r>
    <n v="50.866666666666667"/>
    <d v="2013-02-25T00:00:00"/>
    <x v="0"/>
    <s v="Chipwe CM"/>
    <s v="Kachin"/>
    <s v="Chipwi"/>
    <s v="Women's Affairs Association Building"/>
    <m/>
    <m/>
    <n v="12"/>
    <n v="18"/>
    <n v="8"/>
    <n v="18"/>
    <n v="8"/>
    <n v="8"/>
    <n v="8"/>
    <n v="8"/>
    <m/>
    <m/>
    <m/>
    <m/>
    <m/>
    <m/>
    <m/>
    <n v="0"/>
    <n v="0"/>
    <n v="0"/>
    <n v="0"/>
    <n v="0"/>
    <n v="0"/>
    <n v="0"/>
    <n v="0"/>
    <n v="0"/>
    <n v="0"/>
    <n v="0"/>
    <n v="0"/>
    <n v="0"/>
    <n v="0"/>
    <n v="0"/>
    <n v="0"/>
    <n v="0"/>
    <n v="0"/>
    <s v="MMR001CMP044"/>
    <x v="0"/>
    <x v="1"/>
    <s v=""/>
    <s v=""/>
    <s v="No"/>
  </r>
  <r>
    <n v="50.833333333333336"/>
    <d v="2013-02-26T00:00:00"/>
    <x v="4"/>
    <s v="MRCS"/>
    <s v="Kachin"/>
    <s v="Waingmaw"/>
    <s v="Hkat Cho "/>
    <m/>
    <m/>
    <n v="136"/>
    <m/>
    <n v="66"/>
    <m/>
    <n v="70"/>
    <m/>
    <n v="0"/>
    <n v="0"/>
    <m/>
    <m/>
    <m/>
    <m/>
    <m/>
    <m/>
    <m/>
    <n v="0"/>
    <n v="0"/>
    <n v="0"/>
    <n v="0"/>
    <n v="0"/>
    <n v="0"/>
    <n v="0"/>
    <n v="0"/>
    <n v="0"/>
    <n v="0"/>
    <n v="0"/>
    <n v="0"/>
    <n v="0"/>
    <n v="0"/>
    <n v="0"/>
    <n v="0"/>
    <n v="0"/>
    <n v="0"/>
    <s v="MMR001CMP028"/>
    <x v="0"/>
    <x v="0"/>
    <s v="P4"/>
    <n v="1.7201130359995086E-3"/>
    <s v="No"/>
  </r>
  <r>
    <n v="50.833333333333336"/>
    <d v="2013-02-26T00:00:00"/>
    <x v="4"/>
    <s v="MRCS"/>
    <s v="Kachin"/>
    <s v="Myitkyina"/>
    <s v="Jan Mai Kawng Catholic Church"/>
    <m/>
    <m/>
    <n v="99"/>
    <m/>
    <n v="99"/>
    <m/>
    <m/>
    <m/>
    <n v="0"/>
    <n v="0"/>
    <m/>
    <m/>
    <m/>
    <m/>
    <m/>
    <m/>
    <m/>
    <n v="0"/>
    <n v="0"/>
    <n v="0"/>
    <n v="0"/>
    <n v="0"/>
    <n v="0"/>
    <n v="0"/>
    <n v="0"/>
    <n v="0"/>
    <n v="0"/>
    <n v="0"/>
    <n v="0"/>
    <n v="0"/>
    <n v="0"/>
    <n v="0"/>
    <n v="0"/>
    <n v="0"/>
    <n v="0"/>
    <s v="MMR001CMP019"/>
    <x v="0"/>
    <x v="0"/>
    <s v="P4"/>
    <n v="0"/>
    <s v="No"/>
  </r>
  <r>
    <n v="50.8"/>
    <d v="2013-02-27T00:00:00"/>
    <x v="0"/>
    <s v="UNHCR"/>
    <s v="Kachin"/>
    <s v="Waingmaw"/>
    <s v="Maina AG Church"/>
    <m/>
    <m/>
    <n v="23"/>
    <n v="40"/>
    <n v="18"/>
    <n v="40"/>
    <n v="18"/>
    <n v="18"/>
    <n v="18"/>
    <n v="18"/>
    <m/>
    <m/>
    <m/>
    <m/>
    <m/>
    <m/>
    <m/>
    <n v="0"/>
    <n v="0"/>
    <n v="0"/>
    <n v="0"/>
    <n v="0"/>
    <n v="0"/>
    <n v="0"/>
    <n v="0"/>
    <n v="0"/>
    <n v="0"/>
    <n v="0"/>
    <n v="0"/>
    <n v="0"/>
    <n v="0"/>
    <n v="0"/>
    <n v="0"/>
    <n v="0"/>
    <n v="0"/>
    <s v="MMR001CMP031"/>
    <x v="0"/>
    <x v="0"/>
    <s v="P4"/>
    <n v="4.3419529139328446E-4"/>
    <s v="No"/>
  </r>
  <r>
    <n v="50.8"/>
    <d v="2013-02-27T00:00:00"/>
    <x v="1"/>
    <s v="Solidarities"/>
    <s v="Kachin"/>
    <s v="Mansi"/>
    <s v="Man Wing Baptist Church"/>
    <n v="595"/>
    <m/>
    <m/>
    <m/>
    <m/>
    <m/>
    <m/>
    <m/>
    <n v="0"/>
    <n v="0"/>
    <m/>
    <m/>
    <m/>
    <m/>
    <m/>
    <m/>
    <m/>
    <n v="0"/>
    <n v="0"/>
    <n v="0"/>
    <n v="0"/>
    <n v="0"/>
    <n v="0"/>
    <n v="0"/>
    <n v="0"/>
    <n v="0"/>
    <n v="0"/>
    <n v="0"/>
    <n v="0"/>
    <n v="0"/>
    <n v="0"/>
    <n v="0"/>
    <n v="0"/>
    <n v="0"/>
    <n v="0"/>
    <s v="MMR001CMP133"/>
    <x v="0"/>
    <x v="0"/>
    <s v="P4"/>
    <n v="0"/>
    <s v="No"/>
  </r>
  <r>
    <n v="50.7"/>
    <d v="2013-03-02T00:00:00"/>
    <x v="1"/>
    <s v="Solidarities"/>
    <s v="Kachin"/>
    <s v="Momauk"/>
    <s v="Loi Je Baptist Church"/>
    <n v="3"/>
    <m/>
    <m/>
    <m/>
    <m/>
    <m/>
    <m/>
    <m/>
    <n v="0"/>
    <n v="0"/>
    <m/>
    <m/>
    <m/>
    <m/>
    <m/>
    <m/>
    <m/>
    <n v="0"/>
    <n v="0"/>
    <n v="0"/>
    <n v="0"/>
    <n v="0"/>
    <n v="0"/>
    <n v="0"/>
    <n v="0"/>
    <n v="0"/>
    <n v="0"/>
    <n v="0"/>
    <n v="0"/>
    <n v="0"/>
    <n v="0"/>
    <n v="0"/>
    <n v="0"/>
    <n v="0"/>
    <n v="0"/>
    <s v="MMR001CMP071"/>
    <x v="0"/>
    <x v="0"/>
    <s v="P3"/>
    <n v="0"/>
    <s v="No"/>
  </r>
  <r>
    <n v="50.7"/>
    <d v="2013-03-02T00:00:00"/>
    <x v="1"/>
    <s v="Solidarities"/>
    <s v="Kachin"/>
    <s v="Momauk"/>
    <s v="Loi Je Lisu Camp"/>
    <n v="368"/>
    <m/>
    <m/>
    <m/>
    <m/>
    <m/>
    <m/>
    <m/>
    <n v="0"/>
    <n v="0"/>
    <m/>
    <m/>
    <m/>
    <m/>
    <m/>
    <m/>
    <m/>
    <n v="0"/>
    <n v="0"/>
    <n v="0"/>
    <n v="0"/>
    <n v="0"/>
    <n v="0"/>
    <n v="0"/>
    <n v="0"/>
    <n v="0"/>
    <n v="0"/>
    <n v="0"/>
    <n v="0"/>
    <n v="0"/>
    <n v="0"/>
    <n v="0"/>
    <n v="0"/>
    <n v="0"/>
    <n v="0"/>
    <s v="MMR001CMP070"/>
    <x v="0"/>
    <x v="0"/>
    <s v="P3"/>
    <n v="0"/>
    <s v="No"/>
  </r>
  <r>
    <n v="50.7"/>
    <d v="2013-03-02T00:00:00"/>
    <x v="1"/>
    <s v="Solidarities"/>
    <s v="Kachin"/>
    <s v="Mansi"/>
    <s v="Man Wing Catholic Church"/>
    <n v="1542"/>
    <m/>
    <m/>
    <m/>
    <m/>
    <m/>
    <m/>
    <m/>
    <n v="0"/>
    <n v="0"/>
    <m/>
    <m/>
    <m/>
    <m/>
    <m/>
    <m/>
    <m/>
    <n v="0"/>
    <n v="0"/>
    <n v="0"/>
    <n v="0"/>
    <n v="0"/>
    <n v="0"/>
    <n v="0"/>
    <n v="0"/>
    <n v="0"/>
    <n v="0"/>
    <n v="0"/>
    <n v="0"/>
    <n v="0"/>
    <n v="0"/>
    <n v="0"/>
    <n v="0"/>
    <n v="0"/>
    <n v="0"/>
    <s v="MMR001CMP132"/>
    <x v="0"/>
    <x v="0"/>
    <s v="P4"/>
    <n v="0"/>
    <s v="No"/>
  </r>
  <r>
    <n v="50.666666666666664"/>
    <d v="2013-03-03T00:00:00"/>
    <x v="1"/>
    <s v="Solidarities"/>
    <s v="Kachin"/>
    <s v="Momauk"/>
    <s v="Seng Ja "/>
    <n v="33"/>
    <m/>
    <m/>
    <m/>
    <m/>
    <m/>
    <m/>
    <m/>
    <n v="0"/>
    <n v="0"/>
    <m/>
    <m/>
    <m/>
    <m/>
    <m/>
    <m/>
    <m/>
    <n v="0"/>
    <n v="0"/>
    <n v="0"/>
    <n v="0"/>
    <n v="0"/>
    <n v="0"/>
    <n v="0"/>
    <n v="0"/>
    <n v="0"/>
    <n v="0"/>
    <n v="0"/>
    <n v="0"/>
    <n v="0"/>
    <n v="0"/>
    <n v="0"/>
    <n v="0"/>
    <n v="0"/>
    <n v="0"/>
    <s v="MMR001CMP073"/>
    <x v="0"/>
    <x v="0"/>
    <s v="P3"/>
    <n v="0"/>
    <s v="No"/>
  </r>
  <r>
    <n v="50.56666666666667"/>
    <d v="2013-03-06T00:00:00"/>
    <x v="0"/>
    <s v="UNHCR"/>
    <s v="Kachin"/>
    <s v="Waingmaw"/>
    <s v="Maina KBC (Bawng Ring)"/>
    <m/>
    <m/>
    <n v="34"/>
    <n v="73"/>
    <n v="38"/>
    <n v="73"/>
    <n v="38"/>
    <n v="33"/>
    <n v="33"/>
    <n v="33"/>
    <m/>
    <m/>
    <m/>
    <m/>
    <m/>
    <m/>
    <m/>
    <n v="0"/>
    <n v="0"/>
    <n v="0"/>
    <n v="0"/>
    <n v="0"/>
    <n v="0"/>
    <n v="0"/>
    <n v="0"/>
    <n v="0"/>
    <n v="0"/>
    <n v="0"/>
    <n v="0"/>
    <n v="0"/>
    <n v="0"/>
    <n v="0"/>
    <n v="0"/>
    <n v="0"/>
    <n v="0"/>
    <s v="MMR001CMP040"/>
    <x v="0"/>
    <x v="0"/>
    <s v="P4"/>
    <n v="9.2545237573366456E-4"/>
    <s v="No"/>
  </r>
  <r>
    <n v="50.56666666666667"/>
    <d v="2013-03-06T00:00:00"/>
    <x v="0"/>
    <s v="UNHCR"/>
    <s v="Kachin"/>
    <s v="Waingmaw"/>
    <s v="Qtr. 2 Lhaovo Baptist Church"/>
    <m/>
    <m/>
    <n v="6"/>
    <n v="11"/>
    <n v="5"/>
    <n v="11"/>
    <n v="5"/>
    <n v="5"/>
    <n v="5"/>
    <n v="5"/>
    <m/>
    <m/>
    <m/>
    <m/>
    <m/>
    <m/>
    <m/>
    <n v="0"/>
    <n v="0"/>
    <n v="0"/>
    <n v="0"/>
    <n v="0"/>
    <n v="0"/>
    <n v="0"/>
    <n v="0"/>
    <n v="0"/>
    <n v="0"/>
    <n v="0"/>
    <n v="0"/>
    <n v="0"/>
    <n v="0"/>
    <n v="0"/>
    <n v="0"/>
    <n v="0"/>
    <n v="0"/>
    <s v="MMR001CMP032"/>
    <x v="0"/>
    <x v="0"/>
    <s v="P4"/>
    <n v="1.2277470841006753E-4"/>
    <s v="No"/>
  </r>
  <r>
    <n v="50.1"/>
    <d v="2013-03-20T00:00:00"/>
    <x v="0"/>
    <s v="UNHCR"/>
    <s v="Kachin"/>
    <s v="Hpakant"/>
    <s v="AG Church, Maw Wan"/>
    <m/>
    <m/>
    <n v="24"/>
    <n v="17"/>
    <n v="17"/>
    <n v="41"/>
    <n v="17"/>
    <n v="41"/>
    <n v="41"/>
    <n v="41"/>
    <m/>
    <m/>
    <m/>
    <m/>
    <m/>
    <m/>
    <m/>
    <n v="0"/>
    <n v="0"/>
    <n v="0"/>
    <n v="0"/>
    <n v="0"/>
    <n v="0"/>
    <n v="0"/>
    <n v="0"/>
    <n v="0"/>
    <n v="0"/>
    <n v="0"/>
    <n v="0"/>
    <n v="0"/>
    <n v="0"/>
    <n v="0"/>
    <n v="0"/>
    <n v="0"/>
    <n v="0"/>
    <s v="MMR001CMP190"/>
    <x v="0"/>
    <x v="0"/>
    <s v="P4"/>
    <n v="4.1187159297395516E-4"/>
    <s v="No"/>
  </r>
  <r>
    <n v="50.1"/>
    <d v="2013-03-20T00:00:00"/>
    <x v="0"/>
    <s v="UNHCR"/>
    <s v="Kachin"/>
    <s v="Hpakant"/>
    <s v="Chin Church, Seik Mu"/>
    <m/>
    <m/>
    <n v="3"/>
    <n v="8"/>
    <n v="8"/>
    <n v="15"/>
    <n v="8"/>
    <n v="15"/>
    <n v="15"/>
    <n v="15"/>
    <m/>
    <m/>
    <m/>
    <m/>
    <m/>
    <m/>
    <m/>
    <n v="0"/>
    <n v="0"/>
    <n v="0"/>
    <n v="0"/>
    <n v="0"/>
    <n v="0"/>
    <n v="0"/>
    <n v="0"/>
    <n v="0"/>
    <n v="0"/>
    <n v="0"/>
    <n v="0"/>
    <n v="0"/>
    <n v="0"/>
    <n v="0"/>
    <n v="0"/>
    <n v="0"/>
    <n v="0"/>
    <s v="MMR001CMP109"/>
    <x v="0"/>
    <x v="0"/>
    <s v="P4"/>
    <n v="1.9283148938221612E-4"/>
    <s v="No"/>
  </r>
  <r>
    <n v="50.1"/>
    <d v="2013-03-20T00:00:00"/>
    <x v="0"/>
    <s v="UNHCR"/>
    <s v="Kachin"/>
    <s v="Hpakant"/>
    <s v="Lisu Baptist Church, Maw Wan Ward"/>
    <m/>
    <m/>
    <n v="32"/>
    <n v="27"/>
    <n v="27"/>
    <n v="66"/>
    <n v="27"/>
    <n v="66"/>
    <n v="66"/>
    <n v="66"/>
    <m/>
    <m/>
    <m/>
    <m/>
    <m/>
    <m/>
    <m/>
    <n v="0"/>
    <n v="0"/>
    <n v="0"/>
    <n v="0"/>
    <n v="0"/>
    <n v="0"/>
    <n v="0"/>
    <n v="0"/>
    <n v="0"/>
    <n v="0"/>
    <n v="0"/>
    <n v="0"/>
    <n v="0"/>
    <n v="0"/>
    <n v="0"/>
    <n v="0"/>
    <n v="0"/>
    <n v="0"/>
    <s v="MMR001CMP167"/>
    <x v="0"/>
    <x v="0"/>
    <s v="P4"/>
    <n v="6.5414900060569347E-4"/>
    <s v="No"/>
  </r>
  <r>
    <n v="50.1"/>
    <d v="2013-03-20T00:00:00"/>
    <x v="0"/>
    <s v="UNHCR"/>
    <s v="Kachin"/>
    <s v="Hpakant"/>
    <s v="Maw Wan, Mu-yin Baptist Church"/>
    <m/>
    <m/>
    <n v="17"/>
    <n v="17"/>
    <n v="17"/>
    <n v="41"/>
    <n v="17"/>
    <n v="41"/>
    <n v="41"/>
    <n v="41"/>
    <m/>
    <m/>
    <m/>
    <m/>
    <m/>
    <m/>
    <m/>
    <n v="0"/>
    <n v="0"/>
    <n v="0"/>
    <n v="0"/>
    <n v="0"/>
    <n v="0"/>
    <n v="0"/>
    <n v="0"/>
    <n v="0"/>
    <n v="0"/>
    <n v="0"/>
    <n v="0"/>
    <n v="0"/>
    <n v="0"/>
    <n v="0"/>
    <n v="0"/>
    <n v="0"/>
    <n v="0"/>
    <s v="MMR001CMP091"/>
    <x v="0"/>
    <x v="0"/>
    <s v="P4"/>
    <n v="4.1340401731433294E-4"/>
    <s v="No"/>
  </r>
  <r>
    <n v="50.1"/>
    <d v="2013-03-20T00:00:00"/>
    <x v="0"/>
    <s v="UNHCR"/>
    <s v="Kachin"/>
    <s v="Hpakant"/>
    <s v="Ward 2 Sai Taung Baptist Church, Seik Mu "/>
    <m/>
    <m/>
    <n v="124"/>
    <n v="117"/>
    <n v="121"/>
    <n v="227"/>
    <n v="122"/>
    <n v="263"/>
    <n v="263"/>
    <n v="263"/>
    <m/>
    <m/>
    <m/>
    <m/>
    <m/>
    <m/>
    <m/>
    <n v="0"/>
    <n v="0"/>
    <n v="0"/>
    <n v="0"/>
    <n v="0"/>
    <n v="0"/>
    <n v="0"/>
    <n v="0"/>
    <n v="0"/>
    <n v="0"/>
    <n v="0"/>
    <n v="0"/>
    <n v="0"/>
    <n v="0"/>
    <n v="0"/>
    <n v="0"/>
    <n v="0"/>
    <n v="0"/>
    <s v="MMR001CMP184"/>
    <x v="0"/>
    <x v="0"/>
    <s v="P4"/>
    <n v="2.9557843731072078E-3"/>
    <s v="No"/>
  </r>
  <r>
    <n v="50.1"/>
    <d v="2013-03-20T00:00:00"/>
    <x v="0"/>
    <s v="UNHCR"/>
    <s v="Kachin"/>
    <s v="Hpakant"/>
    <s v="Anglican Church, Hmaw Si Sar"/>
    <m/>
    <m/>
    <n v="38"/>
    <n v="11"/>
    <n v="11"/>
    <n v="87"/>
    <n v="11"/>
    <n v="26"/>
    <n v="26"/>
    <n v="26"/>
    <m/>
    <m/>
    <m/>
    <m/>
    <m/>
    <m/>
    <m/>
    <n v="0"/>
    <n v="0"/>
    <n v="0"/>
    <n v="0"/>
    <n v="0"/>
    <n v="0"/>
    <n v="0"/>
    <n v="0"/>
    <n v="0"/>
    <n v="0"/>
    <n v="0"/>
    <n v="0"/>
    <n v="0"/>
    <n v="0"/>
    <n v="0"/>
    <n v="0"/>
    <n v="0"/>
    <n v="0"/>
    <s v="MMR001CMP173"/>
    <x v="0"/>
    <x v="1"/>
    <s v=""/>
    <s v=""/>
    <s v="No"/>
  </r>
  <r>
    <n v="50.1"/>
    <d v="2013-03-20T00:00:00"/>
    <x v="0"/>
    <s v="UNHCR"/>
    <s v="Kachin"/>
    <s v="Hpakant"/>
    <s v="Chin(Zomi) Baptist Church"/>
    <m/>
    <m/>
    <n v="9"/>
    <n v="6"/>
    <n v="6"/>
    <n v="15"/>
    <n v="6"/>
    <n v="15"/>
    <n v="15"/>
    <n v="15"/>
    <m/>
    <m/>
    <m/>
    <m/>
    <m/>
    <m/>
    <m/>
    <n v="0"/>
    <n v="0"/>
    <n v="0"/>
    <n v="0"/>
    <n v="0"/>
    <n v="0"/>
    <n v="0"/>
    <n v="0"/>
    <n v="0"/>
    <n v="0"/>
    <n v="0"/>
    <n v="0"/>
    <n v="0"/>
    <n v="0"/>
    <n v="0"/>
    <n v="0"/>
    <n v="0"/>
    <n v="0"/>
    <s v="MMR001CMP086"/>
    <x v="0"/>
    <x v="1"/>
    <s v=""/>
    <s v=""/>
    <s v="No"/>
  </r>
  <r>
    <n v="50.1"/>
    <d v="2013-03-20T00:00:00"/>
    <x v="0"/>
    <s v="UNHCR"/>
    <s v="Kachin"/>
    <s v="Hpakant"/>
    <s v="Maw Wan, Kachin Baptist Church"/>
    <m/>
    <m/>
    <n v="18"/>
    <n v="17"/>
    <n v="17"/>
    <n v="42"/>
    <n v="17"/>
    <n v="42"/>
    <n v="42"/>
    <n v="42"/>
    <m/>
    <m/>
    <m/>
    <m/>
    <m/>
    <m/>
    <m/>
    <n v="0"/>
    <n v="0"/>
    <n v="0"/>
    <n v="0"/>
    <n v="0"/>
    <n v="0"/>
    <n v="0"/>
    <n v="0"/>
    <n v="0"/>
    <n v="0"/>
    <n v="0"/>
    <n v="0"/>
    <n v="0"/>
    <n v="0"/>
    <n v="0"/>
    <n v="0"/>
    <n v="0"/>
    <n v="0"/>
    <s v="MMR001CMP085"/>
    <x v="0"/>
    <x v="1"/>
    <s v=""/>
    <s v=""/>
    <s v="No"/>
  </r>
  <r>
    <n v="50.1"/>
    <d v="2013-03-20T00:00:00"/>
    <x v="0"/>
    <s v="UNHCR"/>
    <s v="Kachin"/>
    <s v="Hpakant"/>
    <s v="Muring Baptist Church, Awng Ra, Wa Ra Zut VT"/>
    <m/>
    <m/>
    <n v="48"/>
    <n v="48"/>
    <n v="48"/>
    <n v="98"/>
    <n v="48"/>
    <n v="98"/>
    <n v="98"/>
    <n v="98"/>
    <m/>
    <m/>
    <m/>
    <m/>
    <m/>
    <m/>
    <m/>
    <n v="0"/>
    <n v="0"/>
    <n v="0"/>
    <n v="0"/>
    <n v="0"/>
    <n v="0"/>
    <n v="0"/>
    <n v="0"/>
    <n v="0"/>
    <n v="0"/>
    <n v="0"/>
    <n v="0"/>
    <n v="0"/>
    <n v="0"/>
    <n v="0"/>
    <n v="0"/>
    <n v="0"/>
    <n v="0"/>
    <s v="MMR001CMP177"/>
    <x v="0"/>
    <x v="1"/>
    <s v=""/>
    <n v="1.162931556632344E-3"/>
    <s v="No"/>
  </r>
  <r>
    <n v="50.1"/>
    <d v="2013-03-20T00:00:00"/>
    <x v="0"/>
    <s v="UNHCR"/>
    <s v="Kachin"/>
    <s v="Hpakant"/>
    <s v="Wrad(5) Christian Association"/>
    <m/>
    <m/>
    <n v="34"/>
    <n v="26"/>
    <n v="26"/>
    <n v="60"/>
    <n v="26"/>
    <n v="60"/>
    <n v="60"/>
    <n v="60"/>
    <m/>
    <m/>
    <m/>
    <m/>
    <m/>
    <m/>
    <m/>
    <n v="0"/>
    <n v="0"/>
    <n v="0"/>
    <n v="0"/>
    <n v="0"/>
    <n v="0"/>
    <n v="0"/>
    <n v="0"/>
    <n v="0"/>
    <n v="0"/>
    <n v="0"/>
    <n v="0"/>
    <n v="0"/>
    <n v="0"/>
    <n v="0"/>
    <n v="0"/>
    <n v="0"/>
    <n v="0"/>
    <s v="MMR001CMP175"/>
    <x v="0"/>
    <x v="1"/>
    <s v=""/>
    <s v=""/>
    <s v="No"/>
  </r>
  <r>
    <n v="50.1"/>
    <d v="2013-03-20T00:00:00"/>
    <x v="0"/>
    <s v="UNHCR"/>
    <s v="Kachin"/>
    <s v="Hpakant"/>
    <s v="Zomee Baptist Church camp, Hmaw Wan"/>
    <m/>
    <m/>
    <n v="6"/>
    <n v="0"/>
    <n v="0"/>
    <n v="11"/>
    <n v="0"/>
    <n v="0"/>
    <m/>
    <m/>
    <m/>
    <m/>
    <m/>
    <m/>
    <m/>
    <m/>
    <m/>
    <n v="0"/>
    <n v="0"/>
    <n v="0"/>
    <n v="0"/>
    <n v="0"/>
    <n v="0"/>
    <n v="0"/>
    <n v="0"/>
    <n v="0"/>
    <n v="0"/>
    <n v="0"/>
    <n v="0"/>
    <n v="0"/>
    <n v="0"/>
    <n v="0"/>
    <n v="0"/>
    <n v="0"/>
    <n v="0"/>
    <s v="MMR001CMP201"/>
    <x v="0"/>
    <x v="1"/>
    <s v=""/>
    <s v=""/>
    <s v="No"/>
  </r>
  <r>
    <n v="50.06666666666667"/>
    <d v="2013-03-21T00:00:00"/>
    <x v="0"/>
    <s v="UNHCR"/>
    <s v="Kachin"/>
    <s v="Hpakant"/>
    <s v="Lisu Baptist Church, Maw Shan Vil,. Seik Mu"/>
    <m/>
    <m/>
    <n v="34"/>
    <n v="40"/>
    <n v="40"/>
    <n v="75"/>
    <n v="40"/>
    <n v="75"/>
    <n v="75"/>
    <n v="75"/>
    <m/>
    <m/>
    <m/>
    <m/>
    <m/>
    <m/>
    <m/>
    <n v="0"/>
    <n v="0"/>
    <n v="0"/>
    <n v="0"/>
    <n v="0"/>
    <n v="0"/>
    <n v="0"/>
    <n v="0"/>
    <n v="0"/>
    <n v="0"/>
    <n v="0"/>
    <n v="0"/>
    <n v="0"/>
    <n v="0"/>
    <n v="0"/>
    <n v="0"/>
    <n v="0"/>
    <n v="0"/>
    <s v="MMR001CMP181"/>
    <x v="0"/>
    <x v="0"/>
    <s v="P4"/>
    <n v="9.6910963052695336E-4"/>
    <s v="No"/>
  </r>
  <r>
    <n v="50.06666666666667"/>
    <d v="2013-03-21T00:00:00"/>
    <x v="0"/>
    <s v="UNHCR"/>
    <s v="Kachin"/>
    <s v="Hpakant"/>
    <s v="Rawan Baptist Church, Maw Shan Vil., Seik Mu"/>
    <m/>
    <m/>
    <n v="15"/>
    <n v="8"/>
    <n v="8"/>
    <n v="17"/>
    <n v="8"/>
    <n v="17"/>
    <n v="17"/>
    <n v="17"/>
    <m/>
    <m/>
    <m/>
    <m/>
    <m/>
    <m/>
    <m/>
    <n v="0"/>
    <n v="0"/>
    <n v="0"/>
    <n v="0"/>
    <n v="0"/>
    <n v="0"/>
    <n v="0"/>
    <n v="0"/>
    <n v="0"/>
    <n v="0"/>
    <n v="0"/>
    <n v="0"/>
    <n v="0"/>
    <n v="0"/>
    <n v="0"/>
    <n v="0"/>
    <n v="0"/>
    <n v="0"/>
    <s v="MMR001CMP182"/>
    <x v="0"/>
    <x v="0"/>
    <s v="P4"/>
    <n v="1.9382192610539067E-4"/>
    <s v="No"/>
  </r>
  <r>
    <n v="49.8"/>
    <d v="2013-03-29T00:00:00"/>
    <x v="4"/>
    <s v="MRCS"/>
    <s v="Kachin"/>
    <s v="Sumprabum"/>
    <s v="Sumprabum"/>
    <m/>
    <m/>
    <n v="6"/>
    <m/>
    <m/>
    <m/>
    <n v="6"/>
    <m/>
    <n v="0"/>
    <n v="0"/>
    <m/>
    <m/>
    <m/>
    <m/>
    <m/>
    <m/>
    <m/>
    <n v="0"/>
    <n v="0"/>
    <n v="0"/>
    <n v="0"/>
    <n v="0"/>
    <n v="0"/>
    <n v="0"/>
    <n v="0"/>
    <n v="0"/>
    <n v="0"/>
    <n v="0"/>
    <n v="0"/>
    <n v="0"/>
    <n v="0"/>
    <n v="0"/>
    <n v="0"/>
    <n v="0"/>
    <n v="0"/>
    <s v="MMR001CMP206"/>
    <x v="0"/>
    <x v="0"/>
    <s v="P4"/>
    <s v=""/>
    <s v="No"/>
  </r>
  <r>
    <n v="49.633333333333333"/>
    <d v="2013-04-03T00:00:00"/>
    <x v="0"/>
    <s v="UNHCR"/>
    <s v="Kachin"/>
    <s v="Waingmaw"/>
    <s v="Maina AG Church"/>
    <m/>
    <m/>
    <n v="15"/>
    <n v="22"/>
    <n v="11"/>
    <n v="22"/>
    <n v="11"/>
    <n v="11"/>
    <n v="11"/>
    <n v="11"/>
    <m/>
    <m/>
    <m/>
    <m/>
    <m/>
    <m/>
    <m/>
    <n v="0"/>
    <n v="0"/>
    <n v="0"/>
    <n v="0"/>
    <n v="0"/>
    <n v="0"/>
    <n v="0"/>
    <n v="0"/>
    <n v="0"/>
    <n v="0"/>
    <n v="0"/>
    <n v="0"/>
    <n v="0"/>
    <n v="0"/>
    <n v="0"/>
    <n v="0"/>
    <n v="0"/>
    <n v="0"/>
    <s v="MMR001CMP031"/>
    <x v="0"/>
    <x v="0"/>
    <s v="P4"/>
    <n v="2.6534156696256272E-4"/>
    <s v="No"/>
  </r>
  <r>
    <n v="49.633333333333333"/>
    <d v="2013-04-03T00:00:00"/>
    <x v="0"/>
    <s v="UNHCR"/>
    <s v="Kachin"/>
    <s v="Waingmaw"/>
    <s v="Waingmaw AG Church"/>
    <m/>
    <m/>
    <n v="4"/>
    <n v="7"/>
    <n v="3"/>
    <n v="7"/>
    <n v="3"/>
    <n v="3"/>
    <n v="3"/>
    <n v="3"/>
    <m/>
    <m/>
    <m/>
    <m/>
    <m/>
    <m/>
    <m/>
    <n v="0"/>
    <n v="0"/>
    <n v="0"/>
    <n v="0"/>
    <n v="0"/>
    <n v="0"/>
    <n v="0"/>
    <n v="0"/>
    <n v="0"/>
    <n v="0"/>
    <n v="0"/>
    <n v="0"/>
    <n v="0"/>
    <n v="0"/>
    <n v="0"/>
    <n v="0"/>
    <n v="0"/>
    <n v="0"/>
    <s v="MMR001CMP038"/>
    <x v="0"/>
    <x v="0"/>
    <s v="P4"/>
    <n v="7.3443008225616919E-5"/>
    <s v="No"/>
  </r>
  <r>
    <n v="48.5"/>
    <d v="2013-05-07T00:00:00"/>
    <x v="5"/>
    <s v="KMSS"/>
    <s v="Kachin"/>
    <s v="Myitkyina"/>
    <s v="Pa Dauk Myaing(Pa La Na)"/>
    <n v="149"/>
    <m/>
    <m/>
    <m/>
    <m/>
    <m/>
    <m/>
    <m/>
    <m/>
    <m/>
    <m/>
    <m/>
    <m/>
    <m/>
    <m/>
    <m/>
    <m/>
    <n v="0"/>
    <n v="0"/>
    <n v="0"/>
    <n v="0"/>
    <n v="0"/>
    <n v="0"/>
    <n v="0"/>
    <n v="0"/>
    <n v="0"/>
    <n v="0"/>
    <n v="0"/>
    <n v="0"/>
    <n v="0"/>
    <n v="0"/>
    <n v="0"/>
    <n v="0"/>
    <n v="0"/>
    <n v="0"/>
    <s v="MMR001CMP162"/>
    <x v="0"/>
    <x v="0"/>
    <s v="P4"/>
    <n v="0"/>
    <s v="No"/>
  </r>
  <r>
    <n v="48.466666666666669"/>
    <d v="2013-05-08T00:00:00"/>
    <x v="5"/>
    <s v="KMSS"/>
    <s v="Kachin"/>
    <s v="Waingmaw"/>
    <s v="Maina Catholic Church (St. Joseph)"/>
    <n v="1062"/>
    <m/>
    <m/>
    <m/>
    <m/>
    <m/>
    <m/>
    <m/>
    <m/>
    <m/>
    <m/>
    <m/>
    <m/>
    <m/>
    <m/>
    <m/>
    <m/>
    <n v="0"/>
    <n v="0"/>
    <n v="0"/>
    <n v="0"/>
    <n v="0"/>
    <n v="0"/>
    <n v="0"/>
    <n v="0"/>
    <n v="0"/>
    <n v="0"/>
    <n v="0"/>
    <n v="0"/>
    <n v="0"/>
    <n v="0"/>
    <n v="0"/>
    <n v="0"/>
    <n v="0"/>
    <n v="0"/>
    <s v="MMR001CMP029"/>
    <x v="0"/>
    <x v="0"/>
    <s v="P4"/>
    <n v="0"/>
    <s v="No"/>
  </r>
  <r>
    <n v="48.43333333333333"/>
    <d v="2013-05-09T00:00:00"/>
    <x v="5"/>
    <s v="KMSS"/>
    <s v="Kachin"/>
    <s v="Myitkyina"/>
    <s v="Jan Mai Kawng Catholic Church"/>
    <n v="460"/>
    <m/>
    <m/>
    <m/>
    <m/>
    <m/>
    <m/>
    <m/>
    <m/>
    <m/>
    <m/>
    <m/>
    <m/>
    <m/>
    <m/>
    <m/>
    <m/>
    <n v="0"/>
    <n v="0"/>
    <n v="0"/>
    <n v="0"/>
    <n v="0"/>
    <n v="0"/>
    <n v="0"/>
    <n v="0"/>
    <n v="0"/>
    <n v="0"/>
    <n v="0"/>
    <n v="0"/>
    <n v="0"/>
    <n v="0"/>
    <n v="0"/>
    <n v="0"/>
    <n v="0"/>
    <n v="0"/>
    <s v="MMR001CMP019"/>
    <x v="0"/>
    <x v="0"/>
    <s v="P4"/>
    <n v="0"/>
    <s v="No"/>
  </r>
  <r>
    <n v="48.43333333333333"/>
    <d v="2013-05-09T00:00:00"/>
    <x v="5"/>
    <s v="KMSS"/>
    <s v="Kachin"/>
    <s v="Myitkyina"/>
    <s v="Nan Kway St. John Catholic Church"/>
    <n v="324"/>
    <m/>
    <m/>
    <m/>
    <m/>
    <m/>
    <m/>
    <m/>
    <m/>
    <m/>
    <m/>
    <m/>
    <m/>
    <m/>
    <m/>
    <m/>
    <m/>
    <n v="0"/>
    <n v="0"/>
    <n v="0"/>
    <n v="0"/>
    <n v="0"/>
    <n v="0"/>
    <n v="0"/>
    <n v="0"/>
    <n v="0"/>
    <n v="0"/>
    <n v="0"/>
    <n v="0"/>
    <n v="0"/>
    <n v="0"/>
    <n v="0"/>
    <n v="0"/>
    <n v="0"/>
    <n v="0"/>
    <s v="MMR001CMP024"/>
    <x v="0"/>
    <x v="0"/>
    <s v="P4"/>
    <n v="0"/>
    <s v="No"/>
  </r>
  <r>
    <n v="48.366666666666667"/>
    <d v="2013-05-11T00:00:00"/>
    <x v="5"/>
    <s v="KMSS"/>
    <s v="Kachin"/>
    <s v="Waingmaw"/>
    <s v="Post 6 Camp"/>
    <n v="490"/>
    <m/>
    <m/>
    <m/>
    <m/>
    <m/>
    <m/>
    <m/>
    <m/>
    <m/>
    <m/>
    <m/>
    <m/>
    <m/>
    <m/>
    <m/>
    <m/>
    <n v="0"/>
    <n v="0"/>
    <n v="0"/>
    <n v="0"/>
    <n v="0"/>
    <n v="0"/>
    <n v="0"/>
    <n v="0"/>
    <n v="0"/>
    <n v="0"/>
    <n v="0"/>
    <n v="0"/>
    <n v="0"/>
    <n v="0"/>
    <n v="0"/>
    <n v="0"/>
    <n v="0"/>
    <n v="0"/>
    <s v="MMR001CMP160"/>
    <x v="0"/>
    <x v="0"/>
    <s v="P1"/>
    <n v="0"/>
    <s v="No"/>
  </r>
  <r>
    <n v="48.266666666666666"/>
    <d v="2013-05-14T00:00:00"/>
    <x v="5"/>
    <s v="KMSS"/>
    <s v="Kachin"/>
    <s v="Waingmaw"/>
    <s v="Border Post 8"/>
    <n v="604"/>
    <m/>
    <m/>
    <m/>
    <m/>
    <m/>
    <m/>
    <m/>
    <m/>
    <m/>
    <m/>
    <m/>
    <m/>
    <m/>
    <m/>
    <m/>
    <m/>
    <n v="0"/>
    <n v="0"/>
    <n v="0"/>
    <n v="0"/>
    <n v="0"/>
    <n v="0"/>
    <n v="0"/>
    <n v="0"/>
    <n v="0"/>
    <n v="0"/>
    <n v="0"/>
    <n v="0"/>
    <n v="0"/>
    <n v="0"/>
    <n v="0"/>
    <n v="0"/>
    <n v="0"/>
    <n v="0"/>
    <s v="MMR001CMP113"/>
    <x v="0"/>
    <x v="0"/>
    <s v="P1"/>
    <n v="0"/>
    <s v="No"/>
  </r>
  <r>
    <n v="48.2"/>
    <d v="2013-05-16T00:00:00"/>
    <x v="5"/>
    <s v="KMSS"/>
    <s v="Kachin"/>
    <s v="Hpakant"/>
    <s v="Nant Ma Hpit Catholic Church"/>
    <n v="423"/>
    <m/>
    <m/>
    <m/>
    <m/>
    <m/>
    <m/>
    <m/>
    <m/>
    <m/>
    <m/>
    <m/>
    <m/>
    <m/>
    <m/>
    <m/>
    <m/>
    <n v="0"/>
    <n v="0"/>
    <n v="0"/>
    <n v="0"/>
    <n v="0"/>
    <n v="0"/>
    <n v="0"/>
    <n v="0"/>
    <n v="0"/>
    <n v="0"/>
    <n v="0"/>
    <n v="0"/>
    <n v="0"/>
    <n v="0"/>
    <n v="0"/>
    <n v="0"/>
    <n v="0"/>
    <n v="0"/>
    <s v="MMR001CMP103"/>
    <x v="0"/>
    <x v="0"/>
    <s v="P4"/>
    <n v="0"/>
    <s v="No"/>
  </r>
  <r>
    <n v="48.2"/>
    <d v="2013-05-16T00:00:00"/>
    <x v="5"/>
    <s v="KMSS"/>
    <s v="Kachin"/>
    <s v="Hpakant"/>
    <s v="Lawng Hkang"/>
    <n v="394"/>
    <m/>
    <m/>
    <m/>
    <m/>
    <m/>
    <m/>
    <m/>
    <m/>
    <m/>
    <m/>
    <m/>
    <m/>
    <m/>
    <m/>
    <m/>
    <m/>
    <n v="0"/>
    <n v="0"/>
    <n v="0"/>
    <n v="0"/>
    <n v="0"/>
    <n v="0"/>
    <n v="0"/>
    <n v="0"/>
    <n v="0"/>
    <n v="0"/>
    <n v="0"/>
    <n v="0"/>
    <n v="0"/>
    <n v="0"/>
    <n v="0"/>
    <n v="0"/>
    <n v="0"/>
    <n v="0"/>
    <s v=""/>
    <x v="1"/>
    <x v="2"/>
    <s v=""/>
    <s v=""/>
    <s v="No"/>
  </r>
  <r>
    <n v="48.2"/>
    <d v="2013-05-16T00:00:00"/>
    <x v="5"/>
    <s v="KMSS"/>
    <s v="Kachin"/>
    <s v="Hpakant"/>
    <s v="Ward 2 Cahotlic Church, Seik Mu"/>
    <n v="103"/>
    <m/>
    <m/>
    <m/>
    <m/>
    <m/>
    <m/>
    <m/>
    <m/>
    <m/>
    <m/>
    <m/>
    <m/>
    <m/>
    <m/>
    <m/>
    <m/>
    <n v="0"/>
    <n v="0"/>
    <n v="0"/>
    <n v="0"/>
    <n v="0"/>
    <n v="0"/>
    <n v="0"/>
    <n v="0"/>
    <n v="0"/>
    <n v="0"/>
    <n v="0"/>
    <n v="0"/>
    <n v="0"/>
    <n v="0"/>
    <n v="0"/>
    <n v="0"/>
    <n v="0"/>
    <n v="0"/>
    <s v="MMR001CMP185"/>
    <x v="0"/>
    <x v="1"/>
    <s v=""/>
    <n v="0"/>
    <s v="No"/>
  </r>
  <r>
    <n v="48"/>
    <d v="2013-05-22T00:00:00"/>
    <x v="5"/>
    <s v="KMSS"/>
    <s v="Kachin"/>
    <s v="Chipwi"/>
    <s v="Chipwi KBC camp"/>
    <n v="510"/>
    <m/>
    <m/>
    <m/>
    <m/>
    <m/>
    <m/>
    <m/>
    <m/>
    <m/>
    <m/>
    <m/>
    <m/>
    <m/>
    <m/>
    <m/>
    <m/>
    <n v="0"/>
    <n v="0"/>
    <n v="0"/>
    <n v="0"/>
    <n v="0"/>
    <n v="0"/>
    <n v="0"/>
    <n v="0"/>
    <n v="0"/>
    <n v="0"/>
    <n v="0"/>
    <n v="0"/>
    <n v="0"/>
    <n v="0"/>
    <n v="0"/>
    <n v="0"/>
    <n v="0"/>
    <n v="0"/>
    <s v="MMR001CMP042"/>
    <x v="0"/>
    <x v="0"/>
    <s v="P1"/>
    <n v="0"/>
    <s v="No"/>
  </r>
  <r>
    <n v="48"/>
    <d v="2013-05-22T00:00:00"/>
    <x v="0"/>
    <s v="UNHCR"/>
    <s v="Kachin"/>
    <s v="Chipwi"/>
    <s v="Chipwi KBC camp"/>
    <m/>
    <m/>
    <n v="80"/>
    <n v="84"/>
    <n v="41"/>
    <n v="84"/>
    <n v="41"/>
    <n v="41"/>
    <n v="41"/>
    <n v="41"/>
    <m/>
    <m/>
    <m/>
    <m/>
    <m/>
    <m/>
    <m/>
    <n v="0"/>
    <n v="0"/>
    <n v="0"/>
    <n v="0"/>
    <n v="0"/>
    <n v="0"/>
    <n v="0"/>
    <n v="0"/>
    <n v="0"/>
    <n v="0"/>
    <n v="0"/>
    <n v="0"/>
    <n v="0"/>
    <n v="0"/>
    <n v="0"/>
    <n v="0"/>
    <n v="0"/>
    <n v="0"/>
    <s v="MMR001CMP042"/>
    <x v="0"/>
    <x v="0"/>
    <s v="P1"/>
    <n v="9.9408398797400837E-4"/>
    <s v="No"/>
  </r>
  <r>
    <n v="48"/>
    <d v="2013-05-22T00:00:00"/>
    <x v="5"/>
    <s v="KMSS"/>
    <s v="Kachin"/>
    <s v="Chipwi"/>
    <s v="Lhaovao Baptist Church (LBC)"/>
    <n v="35"/>
    <m/>
    <m/>
    <m/>
    <m/>
    <m/>
    <m/>
    <m/>
    <m/>
    <m/>
    <m/>
    <m/>
    <m/>
    <m/>
    <m/>
    <m/>
    <m/>
    <n v="0"/>
    <n v="0"/>
    <n v="0"/>
    <n v="0"/>
    <n v="0"/>
    <n v="0"/>
    <n v="0"/>
    <n v="0"/>
    <n v="0"/>
    <n v="0"/>
    <n v="0"/>
    <n v="0"/>
    <n v="0"/>
    <n v="0"/>
    <n v="0"/>
    <n v="0"/>
    <n v="0"/>
    <n v="0"/>
    <s v="MMR001CMP195"/>
    <x v="0"/>
    <x v="0"/>
    <s v="P1"/>
    <n v="0"/>
    <s v="No"/>
  </r>
  <r>
    <n v="48"/>
    <d v="2013-05-22T00:00:00"/>
    <x v="0"/>
    <s v="UNHCR"/>
    <s v="Kachin"/>
    <s v="Hpakant"/>
    <s v="Nam Ma Phyit, COC"/>
    <m/>
    <m/>
    <n v="34"/>
    <n v="61"/>
    <n v="30"/>
    <n v="61"/>
    <n v="30"/>
    <n v="30"/>
    <n v="30"/>
    <n v="30"/>
    <m/>
    <m/>
    <m/>
    <m/>
    <m/>
    <m/>
    <m/>
    <n v="0"/>
    <n v="0"/>
    <n v="0"/>
    <n v="0"/>
    <n v="0"/>
    <n v="0"/>
    <n v="0"/>
    <n v="0"/>
    <n v="0"/>
    <n v="0"/>
    <n v="0"/>
    <n v="0"/>
    <n v="0"/>
    <n v="0"/>
    <n v="0"/>
    <n v="0"/>
    <n v="0"/>
    <n v="0"/>
    <s v="MMR001CMP192"/>
    <x v="0"/>
    <x v="0"/>
    <s v="P4"/>
    <n v="7.2683222289521504E-4"/>
    <s v="No"/>
  </r>
  <r>
    <n v="48"/>
    <d v="2013-05-22T00:00:00"/>
    <x v="0"/>
    <s v="UNHCR"/>
    <s v="Kachin"/>
    <s v="Waingmaw"/>
    <s v="Qtr. 2 Lhaovo Baptist Church"/>
    <m/>
    <m/>
    <n v="18"/>
    <n v="20"/>
    <n v="14"/>
    <n v="20"/>
    <n v="10"/>
    <n v="10"/>
    <n v="10"/>
    <n v="10"/>
    <m/>
    <m/>
    <m/>
    <m/>
    <m/>
    <m/>
    <m/>
    <n v="0"/>
    <n v="0"/>
    <n v="0"/>
    <n v="0"/>
    <n v="0"/>
    <n v="0"/>
    <n v="0"/>
    <n v="0"/>
    <n v="0"/>
    <n v="0"/>
    <n v="0"/>
    <n v="0"/>
    <n v="0"/>
    <n v="0"/>
    <n v="0"/>
    <n v="0"/>
    <n v="0"/>
    <n v="0"/>
    <s v="MMR001CMP032"/>
    <x v="0"/>
    <x v="0"/>
    <s v="P4"/>
    <n v="2.4554941682013506E-4"/>
    <s v="No"/>
  </r>
  <r>
    <n v="48"/>
    <d v="2013-05-22T00:00:00"/>
    <x v="0"/>
    <s v="UNHCR"/>
    <s v="Kachin"/>
    <s v="Hpakant"/>
    <s v="Yumar Baptist Church"/>
    <m/>
    <m/>
    <n v="42"/>
    <n v="66"/>
    <n v="28"/>
    <n v="66"/>
    <n v="28"/>
    <n v="28"/>
    <n v="28"/>
    <n v="28"/>
    <m/>
    <m/>
    <m/>
    <m/>
    <m/>
    <m/>
    <m/>
    <n v="0"/>
    <n v="0"/>
    <n v="0"/>
    <n v="0"/>
    <n v="0"/>
    <n v="0"/>
    <n v="0"/>
    <n v="0"/>
    <n v="0"/>
    <n v="0"/>
    <n v="0"/>
    <n v="0"/>
    <n v="0"/>
    <n v="0"/>
    <n v="0"/>
    <n v="0"/>
    <n v="0"/>
    <n v="0"/>
    <s v="MMR001CMP105"/>
    <x v="0"/>
    <x v="0"/>
    <s v="P4"/>
    <n v="6.8090073440007777E-4"/>
    <s v="No"/>
  </r>
  <r>
    <n v="48"/>
    <d v="2013-05-22T00:00:00"/>
    <x v="0"/>
    <s v="UNHCR"/>
    <s v="Kachin"/>
    <s v="Hpakant"/>
    <s v="Mashi Kahtawng Baptist  Church"/>
    <m/>
    <m/>
    <n v="48"/>
    <n v="74"/>
    <n v="31"/>
    <n v="74"/>
    <n v="31"/>
    <n v="31"/>
    <n v="31"/>
    <n v="31"/>
    <m/>
    <m/>
    <m/>
    <m/>
    <m/>
    <m/>
    <m/>
    <n v="0"/>
    <n v="0"/>
    <n v="0"/>
    <n v="0"/>
    <n v="0"/>
    <n v="0"/>
    <n v="0"/>
    <n v="0"/>
    <n v="0"/>
    <n v="0"/>
    <n v="0"/>
    <n v="0"/>
    <n v="0"/>
    <n v="0"/>
    <n v="0"/>
    <n v="0"/>
    <n v="0"/>
    <n v="0"/>
    <s v="MMR001CMP094"/>
    <x v="0"/>
    <x v="1"/>
    <s v=""/>
    <s v=""/>
    <s v="No"/>
  </r>
  <r>
    <n v="48"/>
    <d v="2013-05-22T00:00:00"/>
    <x v="0"/>
    <s v="UNHCR"/>
    <s v="Kachin"/>
    <s v="Hpakant"/>
    <s v="Nga Pyaw Taw Baptist Nursery School "/>
    <m/>
    <m/>
    <n v="273"/>
    <n v="339"/>
    <n v="151"/>
    <n v="339"/>
    <n v="151"/>
    <n v="151"/>
    <n v="151"/>
    <n v="151"/>
    <m/>
    <m/>
    <m/>
    <m/>
    <m/>
    <m/>
    <m/>
    <n v="0"/>
    <n v="0"/>
    <n v="0"/>
    <n v="0"/>
    <n v="0"/>
    <n v="0"/>
    <n v="0"/>
    <n v="0"/>
    <n v="0"/>
    <n v="0"/>
    <n v="0"/>
    <n v="0"/>
    <n v="0"/>
    <n v="0"/>
    <n v="0"/>
    <n v="0"/>
    <n v="0"/>
    <n v="0"/>
    <s v="MMR001CMP082"/>
    <x v="0"/>
    <x v="1"/>
    <s v=""/>
    <n v="3.6720003890861339E-3"/>
    <s v="No"/>
  </r>
  <r>
    <n v="47.266666666666666"/>
    <d v="2013-06-13T00:00:00"/>
    <x v="0"/>
    <s v="UNHCR"/>
    <s v="Kachin"/>
    <s v="Momauk"/>
    <s v="Loi Je Baptist Church"/>
    <m/>
    <m/>
    <n v="152"/>
    <n v="11"/>
    <n v="4"/>
    <n v="11"/>
    <n v="4"/>
    <n v="4"/>
    <n v="4"/>
    <n v="4"/>
    <m/>
    <m/>
    <m/>
    <m/>
    <m/>
    <m/>
    <m/>
    <n v="0"/>
    <n v="0"/>
    <n v="0"/>
    <n v="0"/>
    <n v="0"/>
    <n v="0"/>
    <n v="0"/>
    <n v="0"/>
    <n v="0"/>
    <n v="0"/>
    <n v="0"/>
    <n v="0"/>
    <n v="0"/>
    <n v="0"/>
    <n v="0"/>
    <n v="0"/>
    <n v="0"/>
    <n v="0"/>
    <s v="MMR001CMP071"/>
    <x v="0"/>
    <x v="0"/>
    <s v="P3"/>
    <n v="9.7489641725566662E-5"/>
    <s v="No"/>
  </r>
  <r>
    <n v="47.266666666666666"/>
    <d v="2013-06-13T00:00:00"/>
    <x v="0"/>
    <s v="UNHCR"/>
    <s v="Kachin"/>
    <s v="Momauk"/>
    <s v="Loi Je Catholic Church"/>
    <m/>
    <m/>
    <n v="425"/>
    <n v="30"/>
    <n v="11"/>
    <n v="30"/>
    <n v="11"/>
    <n v="11"/>
    <n v="11"/>
    <n v="11"/>
    <m/>
    <m/>
    <m/>
    <m/>
    <m/>
    <m/>
    <m/>
    <n v="0"/>
    <n v="0"/>
    <n v="0"/>
    <n v="0"/>
    <n v="0"/>
    <n v="0"/>
    <n v="0"/>
    <n v="0"/>
    <n v="0"/>
    <n v="0"/>
    <n v="0"/>
    <n v="0"/>
    <n v="0"/>
    <n v="0"/>
    <n v="0"/>
    <n v="0"/>
    <n v="0"/>
    <n v="0"/>
    <s v="MMR001CMP069"/>
    <x v="0"/>
    <x v="0"/>
    <s v="P3"/>
    <n v="2.6929103016059538E-4"/>
    <s v="No"/>
  </r>
  <r>
    <n v="47.266666666666666"/>
    <d v="2013-06-13T00:00:00"/>
    <x v="0"/>
    <s v="UNHCR"/>
    <s v="Kachin"/>
    <s v="Momauk"/>
    <s v="Loi Je Lisu Camp"/>
    <m/>
    <m/>
    <n v="941"/>
    <n v="67"/>
    <n v="24"/>
    <n v="67"/>
    <n v="24"/>
    <n v="24"/>
    <n v="24"/>
    <n v="24"/>
    <m/>
    <m/>
    <m/>
    <m/>
    <m/>
    <m/>
    <m/>
    <n v="0"/>
    <n v="0"/>
    <n v="0"/>
    <n v="0"/>
    <n v="0"/>
    <n v="0"/>
    <n v="0"/>
    <n v="0"/>
    <n v="0"/>
    <n v="0"/>
    <n v="0"/>
    <n v="0"/>
    <n v="0"/>
    <n v="0"/>
    <n v="0"/>
    <n v="0"/>
    <n v="0"/>
    <n v="0"/>
    <s v="MMR001CMP070"/>
    <x v="0"/>
    <x v="0"/>
    <s v="P3"/>
    <n v="5.8536585365853656E-4"/>
    <s v="No"/>
  </r>
  <r>
    <n v="47.233333333333334"/>
    <d v="2013-06-14T00:00:00"/>
    <x v="0"/>
    <s v="UNHCR"/>
    <s v="Kachin"/>
    <s v="Momauk"/>
    <s v="Pa Kahtawng "/>
    <m/>
    <m/>
    <n v="42"/>
    <n v="42"/>
    <n v="21"/>
    <n v="42"/>
    <n v="21"/>
    <n v="21"/>
    <n v="21"/>
    <n v="21"/>
    <m/>
    <m/>
    <m/>
    <m/>
    <m/>
    <m/>
    <m/>
    <n v="0"/>
    <n v="0"/>
    <n v="0"/>
    <n v="0"/>
    <n v="0"/>
    <n v="0"/>
    <n v="0"/>
    <n v="0"/>
    <n v="0"/>
    <n v="0"/>
    <n v="0"/>
    <n v="0"/>
    <n v="0"/>
    <n v="0"/>
    <n v="0"/>
    <n v="0"/>
    <n v="0"/>
    <n v="0"/>
    <s v="MMR001CMP126"/>
    <x v="0"/>
    <x v="0"/>
    <s v="P2"/>
    <n v="5.1219512195121953E-4"/>
    <s v="No"/>
  </r>
  <r>
    <n v="46.8"/>
    <d v="2013-06-27T00:00:00"/>
    <x v="0"/>
    <m/>
    <s v="Kachin"/>
    <s v="Mansi"/>
    <s v="Maing Khaung"/>
    <m/>
    <m/>
    <m/>
    <n v="54"/>
    <n v="18"/>
    <n v="45"/>
    <n v="18"/>
    <m/>
    <n v="18"/>
    <n v="50"/>
    <m/>
    <m/>
    <m/>
    <m/>
    <m/>
    <m/>
    <m/>
    <n v="0"/>
    <n v="0"/>
    <n v="0"/>
    <n v="0"/>
    <n v="0"/>
    <n v="0"/>
    <n v="0"/>
    <n v="0"/>
    <n v="0"/>
    <n v="0"/>
    <n v="0"/>
    <n v="0"/>
    <n v="0"/>
    <n v="0"/>
    <n v="0"/>
    <n v="0"/>
    <n v="0"/>
    <n v="0"/>
    <s v="MMR001CMP218"/>
    <x v="0"/>
    <x v="0"/>
    <s v="P4"/>
    <n v="4.332338500048137E-4"/>
    <m/>
  </r>
  <r>
    <n v="46.766666666666666"/>
    <d v="2013-06-28T00:00:00"/>
    <x v="0"/>
    <m/>
    <s v="Kachin"/>
    <s v="Mansi"/>
    <s v="Maing Khaung"/>
    <m/>
    <m/>
    <m/>
    <n v="10"/>
    <n v="3"/>
    <n v="10"/>
    <n v="3"/>
    <m/>
    <n v="3"/>
    <n v="10"/>
    <m/>
    <m/>
    <m/>
    <m/>
    <m/>
    <m/>
    <m/>
    <n v="0"/>
    <n v="0"/>
    <n v="0"/>
    <n v="0"/>
    <n v="0"/>
    <n v="0"/>
    <n v="0"/>
    <n v="0"/>
    <n v="0"/>
    <n v="0"/>
    <n v="0"/>
    <n v="0"/>
    <n v="0"/>
    <n v="0"/>
    <n v="0"/>
    <n v="0"/>
    <n v="0"/>
    <n v="0"/>
    <s v="MMR001CMP218"/>
    <x v="0"/>
    <x v="0"/>
    <s v="P4"/>
    <n v="7.2205641667468946E-5"/>
    <m/>
  </r>
  <r>
    <n v="46.733333333333334"/>
    <d v="2013-06-29T00:00:00"/>
    <x v="0"/>
    <m/>
    <s v="Kachin"/>
    <s v="Mansi"/>
    <s v="Maing Khaung"/>
    <m/>
    <m/>
    <m/>
    <m/>
    <n v="19"/>
    <m/>
    <n v="19"/>
    <m/>
    <m/>
    <n v="100"/>
    <m/>
    <m/>
    <m/>
    <m/>
    <m/>
    <m/>
    <m/>
    <n v="0"/>
    <n v="0"/>
    <n v="0"/>
    <n v="0"/>
    <n v="0"/>
    <n v="0"/>
    <n v="0"/>
    <n v="0"/>
    <n v="0"/>
    <n v="0"/>
    <n v="0"/>
    <n v="0"/>
    <n v="0"/>
    <n v="0"/>
    <n v="0"/>
    <n v="0"/>
    <n v="0"/>
    <n v="0"/>
    <s v="MMR001CMP218"/>
    <x v="0"/>
    <x v="0"/>
    <s v="P4"/>
    <n v="4.5730239722730338E-4"/>
    <m/>
  </r>
  <r>
    <n v="46.7"/>
    <d v="2013-06-30T00:00:00"/>
    <x v="0"/>
    <m/>
    <s v="Kachin"/>
    <s v="Mansi"/>
    <s v="Maing Khaung"/>
    <m/>
    <m/>
    <m/>
    <m/>
    <m/>
    <n v="9"/>
    <m/>
    <m/>
    <n v="19"/>
    <n v="1"/>
    <m/>
    <m/>
    <m/>
    <m/>
    <m/>
    <m/>
    <m/>
    <n v="0"/>
    <n v="0"/>
    <n v="0"/>
    <n v="0"/>
    <n v="0"/>
    <n v="0"/>
    <n v="0"/>
    <n v="0"/>
    <n v="0"/>
    <n v="0"/>
    <n v="0"/>
    <n v="0"/>
    <n v="0"/>
    <n v="0"/>
    <n v="0"/>
    <n v="0"/>
    <n v="0"/>
    <n v="0"/>
    <s v="MMR001CMP218"/>
    <x v="0"/>
    <x v="0"/>
    <s v="P4"/>
    <n v="0"/>
    <m/>
  </r>
  <r>
    <n v="46.7"/>
    <d v="2013-06-30T00:00:00"/>
    <x v="0"/>
    <m/>
    <s v="Kachin"/>
    <s v="Mansi"/>
    <s v="Maing Khaung Catholic Church"/>
    <m/>
    <m/>
    <m/>
    <n v="50"/>
    <n v="15"/>
    <m/>
    <n v="15"/>
    <m/>
    <n v="15"/>
    <n v="60"/>
    <m/>
    <m/>
    <m/>
    <m/>
    <m/>
    <m/>
    <m/>
    <n v="0"/>
    <n v="0"/>
    <n v="0"/>
    <n v="0"/>
    <n v="0"/>
    <n v="0"/>
    <n v="0"/>
    <n v="0"/>
    <n v="0"/>
    <n v="0"/>
    <n v="0"/>
    <n v="0"/>
    <n v="0"/>
    <n v="0"/>
    <n v="0"/>
    <n v="0"/>
    <n v="0"/>
    <n v="0"/>
    <s v="MMR001CMP223"/>
    <x v="0"/>
    <x v="0"/>
    <s v="P4"/>
    <n v="3.6102820833734477E-4"/>
    <m/>
  </r>
  <r>
    <n v="46.166666666666664"/>
    <d v="2013-07-16T00:00:00"/>
    <x v="0"/>
    <s v="Shalom"/>
    <s v="Kachin"/>
    <s v="Myitkyina"/>
    <s v="Tat Kone COC Baptist - Tat Kone Htoi San"/>
    <m/>
    <m/>
    <n v="55"/>
    <n v="74"/>
    <n v="31"/>
    <n v="74"/>
    <n v="31"/>
    <n v="31"/>
    <n v="31"/>
    <n v="31"/>
    <m/>
    <m/>
    <m/>
    <m/>
    <m/>
    <m/>
    <m/>
    <n v="0"/>
    <n v="0"/>
    <n v="0"/>
    <n v="0"/>
    <n v="0"/>
    <n v="0"/>
    <n v="0"/>
    <n v="0"/>
    <n v="0"/>
    <n v="0"/>
    <n v="0"/>
    <n v="0"/>
    <n v="0"/>
    <n v="0"/>
    <n v="0"/>
    <n v="0"/>
    <n v="0"/>
    <n v="0"/>
    <s v="MMR001CMP023"/>
    <x v="0"/>
    <x v="0"/>
    <s v="P4"/>
    <n v="7.5609756097560978E-4"/>
    <s v="No"/>
  </r>
  <r>
    <n v="45.9"/>
    <d v="2013-07-24T00:00:00"/>
    <x v="0"/>
    <s v="KBC"/>
    <s v="Kachin"/>
    <s v="Myitkyina"/>
    <s v="Le Kone Bethlehem Church"/>
    <m/>
    <m/>
    <n v="66"/>
    <n v="98"/>
    <n v="45"/>
    <n v="98"/>
    <n v="45"/>
    <n v="45"/>
    <n v="45"/>
    <n v="45"/>
    <m/>
    <m/>
    <m/>
    <m/>
    <m/>
    <m/>
    <m/>
    <n v="0"/>
    <n v="0"/>
    <n v="0"/>
    <n v="0"/>
    <n v="0"/>
    <n v="0"/>
    <n v="0"/>
    <n v="0"/>
    <n v="0"/>
    <n v="0"/>
    <n v="0"/>
    <n v="0"/>
    <n v="0"/>
    <n v="0"/>
    <n v="0"/>
    <n v="0"/>
    <n v="0"/>
    <n v="0"/>
    <s v="MMR001CMP015"/>
    <x v="0"/>
    <x v="0"/>
    <s v="P4"/>
    <n v="1.1082924907026574E-3"/>
    <s v="No"/>
  </r>
  <r>
    <n v="45.9"/>
    <d v="2013-07-24T00:00:00"/>
    <x v="0"/>
    <s v="KBC"/>
    <s v="Kachin"/>
    <s v="Myitkyina"/>
    <s v="Le Kone Ziun Baptist Church "/>
    <m/>
    <m/>
    <n v="100"/>
    <n v="158"/>
    <n v="65"/>
    <n v="158"/>
    <n v="65"/>
    <n v="65"/>
    <n v="65"/>
    <n v="65"/>
    <m/>
    <m/>
    <m/>
    <m/>
    <m/>
    <m/>
    <m/>
    <n v="0"/>
    <n v="0"/>
    <n v="0"/>
    <n v="0"/>
    <n v="0"/>
    <n v="0"/>
    <n v="0"/>
    <n v="0"/>
    <n v="0"/>
    <n v="0"/>
    <n v="0"/>
    <n v="0"/>
    <n v="0"/>
    <n v="0"/>
    <n v="0"/>
    <n v="0"/>
    <n v="0"/>
    <n v="0"/>
    <s v="MMR001CMP014"/>
    <x v="0"/>
    <x v="0"/>
    <s v="P4"/>
    <n v="1.5972478191424008E-3"/>
    <s v="No"/>
  </r>
  <r>
    <n v="45.9"/>
    <d v="2013-07-24T00:00:00"/>
    <x v="0"/>
    <s v="Shalom"/>
    <s v="Kachin"/>
    <s v="Waingmaw"/>
    <s v="Maina AG Church"/>
    <m/>
    <m/>
    <n v="10"/>
    <n v="14"/>
    <n v="7"/>
    <n v="14"/>
    <n v="7"/>
    <n v="7"/>
    <n v="7"/>
    <n v="7"/>
    <m/>
    <m/>
    <m/>
    <m/>
    <m/>
    <m/>
    <m/>
    <n v="0"/>
    <n v="0"/>
    <n v="0"/>
    <n v="0"/>
    <n v="0"/>
    <n v="0"/>
    <n v="0"/>
    <n v="0"/>
    <n v="0"/>
    <n v="0"/>
    <n v="0"/>
    <n v="0"/>
    <n v="0"/>
    <n v="0"/>
    <n v="0"/>
    <n v="0"/>
    <n v="0"/>
    <n v="0"/>
    <s v="MMR001CMP031"/>
    <x v="0"/>
    <x v="0"/>
    <s v="P4"/>
    <n v="1.6885372443072174E-4"/>
    <s v="No"/>
  </r>
  <r>
    <n v="45.9"/>
    <d v="2013-07-24T00:00:00"/>
    <x v="0"/>
    <s v="KMSS"/>
    <s v="Kachin"/>
    <s v="Waingmaw"/>
    <s v="Maina Catholic Church (St. Joseph)"/>
    <m/>
    <m/>
    <n v="40"/>
    <n v="49"/>
    <n v="23"/>
    <n v="49"/>
    <n v="23"/>
    <n v="23"/>
    <n v="23"/>
    <n v="23"/>
    <m/>
    <m/>
    <m/>
    <m/>
    <m/>
    <m/>
    <m/>
    <n v="0"/>
    <n v="0"/>
    <n v="0"/>
    <n v="0"/>
    <n v="0"/>
    <n v="0"/>
    <n v="0"/>
    <n v="0"/>
    <n v="0"/>
    <n v="0"/>
    <n v="0"/>
    <n v="0"/>
    <n v="0"/>
    <n v="0"/>
    <n v="0"/>
    <n v="0"/>
    <n v="0"/>
    <n v="0"/>
    <s v="MMR001CMP029"/>
    <x v="0"/>
    <x v="0"/>
    <s v="P4"/>
    <n v="5.5520687490947715E-4"/>
    <s v="No"/>
  </r>
  <r>
    <n v="45.9"/>
    <d v="2013-07-24T00:00:00"/>
    <x v="0"/>
    <s v="KMSS"/>
    <s v="Kachin"/>
    <s v="Myitkyina"/>
    <s v="Nan Kway St. John Catholic Church"/>
    <m/>
    <m/>
    <n v="21"/>
    <n v="30"/>
    <n v="15"/>
    <n v="30"/>
    <n v="15"/>
    <n v="15"/>
    <n v="15"/>
    <n v="15"/>
    <m/>
    <m/>
    <m/>
    <m/>
    <m/>
    <m/>
    <m/>
    <n v="0"/>
    <n v="0"/>
    <n v="0"/>
    <n v="0"/>
    <n v="0"/>
    <n v="0"/>
    <n v="0"/>
    <n v="0"/>
    <n v="0"/>
    <n v="0"/>
    <n v="0"/>
    <n v="0"/>
    <n v="0"/>
    <n v="0"/>
    <n v="0"/>
    <n v="0"/>
    <n v="0"/>
    <n v="0"/>
    <s v="MMR001CMP024"/>
    <x v="0"/>
    <x v="0"/>
    <s v="P4"/>
    <n v="3.6666748148329219E-4"/>
    <s v="No"/>
  </r>
  <r>
    <n v="45.9"/>
    <d v="2013-07-24T00:00:00"/>
    <x v="0"/>
    <s v="KMSS"/>
    <s v="Kachin"/>
    <s v="Hpakant"/>
    <s v="Nant Ma Hpit Catholic Church"/>
    <m/>
    <m/>
    <n v="15"/>
    <n v="25"/>
    <n v="10"/>
    <n v="25"/>
    <n v="10"/>
    <n v="10"/>
    <n v="10"/>
    <n v="10"/>
    <m/>
    <m/>
    <m/>
    <m/>
    <m/>
    <m/>
    <m/>
    <n v="0"/>
    <n v="0"/>
    <n v="0"/>
    <n v="0"/>
    <n v="0"/>
    <n v="0"/>
    <n v="0"/>
    <n v="0"/>
    <n v="0"/>
    <n v="0"/>
    <n v="0"/>
    <n v="0"/>
    <n v="0"/>
    <n v="0"/>
    <n v="0"/>
    <n v="0"/>
    <n v="0"/>
    <n v="0"/>
    <s v="MMR001CMP103"/>
    <x v="0"/>
    <x v="0"/>
    <s v="P4"/>
    <n v="2.4103936172777015E-4"/>
    <s v="No"/>
  </r>
  <r>
    <n v="45.9"/>
    <d v="2013-07-24T00:00:00"/>
    <x v="0"/>
    <s v="KMSS"/>
    <s v="Kachin"/>
    <s v="Myitkyina"/>
    <s v="Pa Dauk Myaing(Pa La Na)"/>
    <m/>
    <m/>
    <n v="31"/>
    <n v="41"/>
    <n v="17"/>
    <n v="41"/>
    <n v="17"/>
    <n v="17"/>
    <n v="17"/>
    <n v="17"/>
    <m/>
    <m/>
    <m/>
    <m/>
    <m/>
    <m/>
    <m/>
    <n v="0"/>
    <n v="0"/>
    <n v="0"/>
    <n v="0"/>
    <n v="0"/>
    <n v="0"/>
    <n v="0"/>
    <n v="0"/>
    <n v="0"/>
    <n v="0"/>
    <n v="0"/>
    <n v="0"/>
    <n v="0"/>
    <n v="0"/>
    <n v="0"/>
    <n v="0"/>
    <n v="0"/>
    <n v="0"/>
    <s v="MMR001CMP162"/>
    <x v="0"/>
    <x v="0"/>
    <s v="P4"/>
    <n v="4.1218116574532053E-4"/>
    <s v="No"/>
  </r>
  <r>
    <n v="45.9"/>
    <d v="2013-07-24T00:00:00"/>
    <x v="0"/>
    <s v="KBC"/>
    <s v="Kachin"/>
    <s v="Waingmaw"/>
    <s v="Qtr. 2 Myoma Baptist Church"/>
    <m/>
    <m/>
    <n v="31"/>
    <n v="44"/>
    <n v="18"/>
    <n v="44"/>
    <n v="18"/>
    <n v="18"/>
    <n v="18"/>
    <n v="18"/>
    <m/>
    <m/>
    <m/>
    <m/>
    <m/>
    <m/>
    <m/>
    <n v="0"/>
    <n v="0"/>
    <n v="0"/>
    <n v="0"/>
    <n v="0"/>
    <n v="0"/>
    <n v="0"/>
    <n v="0"/>
    <n v="0"/>
    <n v="0"/>
    <n v="0"/>
    <n v="0"/>
    <n v="0"/>
    <n v="0"/>
    <n v="0"/>
    <n v="0"/>
    <n v="0"/>
    <n v="0"/>
    <s v="MMR001CMP025"/>
    <x v="0"/>
    <x v="0"/>
    <s v="P4"/>
    <n v="4.4231478068558792E-4"/>
    <s v="No"/>
  </r>
  <r>
    <n v="45.9"/>
    <d v="2013-07-24T00:00:00"/>
    <x v="0"/>
    <s v="Shalom"/>
    <s v="Kachin"/>
    <s v="Waingmaw"/>
    <s v="Qtr. 4 Monestry (Thargaya Thayett Taw)"/>
    <m/>
    <m/>
    <n v="41"/>
    <n v="73"/>
    <n v="31"/>
    <n v="73"/>
    <n v="31"/>
    <n v="31"/>
    <n v="31"/>
    <n v="31"/>
    <m/>
    <m/>
    <m/>
    <m/>
    <m/>
    <m/>
    <m/>
    <n v="0"/>
    <n v="0"/>
    <n v="0"/>
    <n v="0"/>
    <n v="0"/>
    <n v="0"/>
    <n v="0"/>
    <n v="0"/>
    <n v="0"/>
    <n v="0"/>
    <n v="0"/>
    <n v="0"/>
    <n v="0"/>
    <n v="0"/>
    <n v="0"/>
    <n v="0"/>
    <n v="0"/>
    <n v="0"/>
    <s v="MMR001CMP026"/>
    <x v="0"/>
    <x v="0"/>
    <s v="P4"/>
    <n v="7.572056668295066E-4"/>
    <s v="No"/>
  </r>
  <r>
    <n v="45.9"/>
    <d v="2013-07-24T00:00:00"/>
    <x v="0"/>
    <s v="KBC"/>
    <s v="Kachin"/>
    <s v="Myitkyina"/>
    <s v="Shatapru Sut Ngai Tawng"/>
    <m/>
    <m/>
    <n v="21"/>
    <n v="36"/>
    <n v="16"/>
    <n v="36"/>
    <n v="16"/>
    <n v="16"/>
    <n v="16"/>
    <n v="16"/>
    <m/>
    <m/>
    <m/>
    <m/>
    <m/>
    <m/>
    <m/>
    <n v="0"/>
    <n v="0"/>
    <n v="0"/>
    <n v="0"/>
    <n v="0"/>
    <n v="0"/>
    <n v="0"/>
    <n v="0"/>
    <n v="0"/>
    <n v="0"/>
    <n v="0"/>
    <n v="0"/>
    <n v="0"/>
    <n v="0"/>
    <n v="0"/>
    <n v="0"/>
    <n v="0"/>
    <n v="0"/>
    <s v="MMR001CMP006"/>
    <x v="0"/>
    <x v="0"/>
    <s v="P4"/>
    <n v="3.92580233585239E-4"/>
    <s v="No"/>
  </r>
  <r>
    <n v="45.9"/>
    <d v="2013-07-24T00:00:00"/>
    <x v="0"/>
    <s v="KBC"/>
    <s v="Kachin"/>
    <s v="Myitkyina"/>
    <s v="Tat Kone COC Baptist - Tat Kone Htoi San"/>
    <m/>
    <m/>
    <n v="34"/>
    <n v="46"/>
    <n v="22"/>
    <n v="46"/>
    <n v="22"/>
    <n v="22"/>
    <n v="22"/>
    <n v="22"/>
    <m/>
    <m/>
    <m/>
    <m/>
    <m/>
    <m/>
    <m/>
    <n v="0"/>
    <n v="0"/>
    <n v="0"/>
    <n v="0"/>
    <n v="0"/>
    <n v="0"/>
    <n v="0"/>
    <n v="0"/>
    <n v="0"/>
    <n v="0"/>
    <n v="0"/>
    <n v="0"/>
    <n v="0"/>
    <n v="0"/>
    <n v="0"/>
    <n v="0"/>
    <n v="0"/>
    <n v="0"/>
    <s v="MMR001CMP023"/>
    <x v="0"/>
    <x v="0"/>
    <s v="P4"/>
    <n v="5.3658536585365858E-4"/>
    <s v="No"/>
  </r>
  <r>
    <n v="45.9"/>
    <d v="2013-07-24T00:00:00"/>
    <x v="0"/>
    <s v="Shalom"/>
    <s v="Kachin"/>
    <s v="Waingmaw"/>
    <s v="Waingmaw AG Church"/>
    <m/>
    <m/>
    <n v="22"/>
    <n v="32"/>
    <n v="15"/>
    <n v="32"/>
    <n v="15"/>
    <n v="15"/>
    <n v="15"/>
    <n v="15"/>
    <m/>
    <m/>
    <m/>
    <m/>
    <m/>
    <m/>
    <m/>
    <n v="0"/>
    <n v="0"/>
    <n v="0"/>
    <n v="0"/>
    <n v="0"/>
    <n v="0"/>
    <n v="0"/>
    <n v="0"/>
    <n v="0"/>
    <n v="0"/>
    <n v="0"/>
    <n v="0"/>
    <n v="0"/>
    <n v="0"/>
    <n v="0"/>
    <n v="0"/>
    <n v="0"/>
    <n v="0"/>
    <s v="MMR001CMP038"/>
    <x v="0"/>
    <x v="0"/>
    <s v="P4"/>
    <n v="3.6721504112808461E-4"/>
    <s v="No"/>
  </r>
  <r>
    <n v="45.43333333333333"/>
    <d v="2013-08-07T00:00:00"/>
    <x v="0"/>
    <s v="UNHCR"/>
    <s v="Kachin"/>
    <s v="Waingmaw"/>
    <s v="Mading Baptist Church"/>
    <m/>
    <m/>
    <n v="15"/>
    <n v="57"/>
    <n v="24"/>
    <n v="57"/>
    <n v="24"/>
    <n v="24"/>
    <n v="24"/>
    <n v="24"/>
    <m/>
    <m/>
    <m/>
    <m/>
    <m/>
    <m/>
    <m/>
    <n v="0"/>
    <n v="0"/>
    <n v="0"/>
    <n v="0"/>
    <n v="0"/>
    <n v="0"/>
    <n v="0"/>
    <n v="0"/>
    <n v="0"/>
    <n v="0"/>
    <n v="0"/>
    <n v="0"/>
    <n v="0"/>
    <n v="0"/>
    <n v="0"/>
    <n v="0"/>
    <n v="0"/>
    <n v="0"/>
    <s v="MMR001CMP027"/>
    <x v="0"/>
    <x v="0"/>
    <s v="P4"/>
    <n v="5.849378503534E-4"/>
    <s v="No"/>
  </r>
  <r>
    <n v="45.43333333333333"/>
    <d v="2013-08-07T00:00:00"/>
    <x v="0"/>
    <s v="UNHCR"/>
    <s v="Kachin"/>
    <s v="Waingmaw"/>
    <s v="Maina AG Church"/>
    <m/>
    <m/>
    <n v="20"/>
    <n v="40"/>
    <n v="17"/>
    <n v="40"/>
    <n v="17"/>
    <n v="17"/>
    <n v="17"/>
    <n v="17"/>
    <m/>
    <m/>
    <m/>
    <m/>
    <m/>
    <m/>
    <m/>
    <n v="0"/>
    <n v="0"/>
    <n v="0"/>
    <n v="0"/>
    <n v="0"/>
    <n v="0"/>
    <n v="0"/>
    <n v="0"/>
    <n v="0"/>
    <n v="0"/>
    <n v="0"/>
    <n v="0"/>
    <n v="0"/>
    <n v="0"/>
    <n v="0"/>
    <n v="0"/>
    <n v="0"/>
    <n v="0"/>
    <s v="MMR001CMP031"/>
    <x v="0"/>
    <x v="0"/>
    <s v="P4"/>
    <n v="4.1007333076032419E-4"/>
    <s v="No"/>
  </r>
  <r>
    <n v="45.43333333333333"/>
    <d v="2013-08-07T00:00:00"/>
    <x v="0"/>
    <s v="UNHCR"/>
    <s v="Kachin"/>
    <s v="Myitkyina"/>
    <s v="Maliyang Baptist Church"/>
    <m/>
    <m/>
    <n v="15"/>
    <n v="25"/>
    <n v="11"/>
    <n v="25"/>
    <n v="11"/>
    <n v="11"/>
    <n v="11"/>
    <n v="11"/>
    <m/>
    <m/>
    <m/>
    <m/>
    <m/>
    <m/>
    <m/>
    <n v="0"/>
    <n v="0"/>
    <n v="0"/>
    <n v="0"/>
    <n v="0"/>
    <n v="0"/>
    <n v="0"/>
    <n v="0"/>
    <n v="0"/>
    <n v="0"/>
    <n v="0"/>
    <n v="0"/>
    <n v="0"/>
    <n v="0"/>
    <n v="0"/>
    <n v="0"/>
    <n v="0"/>
    <n v="0"/>
    <s v="MMR001CMP016"/>
    <x v="0"/>
    <x v="0"/>
    <s v="P4"/>
    <n v="2.6989891058985181E-4"/>
    <s v="No"/>
  </r>
  <r>
    <n v="45.233333333333334"/>
    <d v="2013-08-13T00:00:00"/>
    <x v="0"/>
    <s v="KMSS"/>
    <s v="Shan_North"/>
    <s v="Manton"/>
    <s v="Host Families"/>
    <m/>
    <m/>
    <n v="49"/>
    <n v="90"/>
    <n v="30"/>
    <n v="90"/>
    <n v="30"/>
    <n v="30"/>
    <n v="30"/>
    <n v="30"/>
    <m/>
    <m/>
    <m/>
    <m/>
    <m/>
    <m/>
    <m/>
    <n v="0"/>
    <n v="0"/>
    <n v="0"/>
    <n v="0"/>
    <n v="0"/>
    <n v="0"/>
    <n v="0"/>
    <n v="0"/>
    <n v="0"/>
    <n v="0"/>
    <n v="0"/>
    <n v="0"/>
    <n v="0"/>
    <n v="0"/>
    <n v="0"/>
    <n v="0"/>
    <n v="0"/>
    <n v="0"/>
    <s v="MMR001CMP163"/>
    <x v="0"/>
    <x v="0"/>
    <s v="P4"/>
    <s v=""/>
    <s v="No"/>
  </r>
  <r>
    <n v="45.233333333333334"/>
    <d v="2013-08-13T00:00:00"/>
    <x v="0"/>
    <s v="KBC"/>
    <s v="Shan_North"/>
    <s v="Kutkai"/>
    <s v="Kone Khem Camp"/>
    <m/>
    <m/>
    <n v="70"/>
    <n v="120"/>
    <n v="48"/>
    <n v="120"/>
    <n v="48"/>
    <n v="48"/>
    <n v="48"/>
    <n v="48"/>
    <m/>
    <m/>
    <m/>
    <m/>
    <m/>
    <m/>
    <m/>
    <n v="0"/>
    <n v="0"/>
    <n v="0"/>
    <n v="0"/>
    <n v="0"/>
    <n v="0"/>
    <n v="0"/>
    <n v="0"/>
    <n v="0"/>
    <n v="0"/>
    <n v="0"/>
    <n v="0"/>
    <n v="0"/>
    <n v="0"/>
    <n v="0"/>
    <n v="0"/>
    <n v="0"/>
    <n v="0"/>
    <s v="MMR015CMP015"/>
    <x v="0"/>
    <x v="1"/>
    <s v="P3"/>
    <n v="1.162931556632344E-3"/>
    <s v="No"/>
  </r>
  <r>
    <n v="45.233333333333334"/>
    <d v="2013-08-13T00:00:00"/>
    <x v="0"/>
    <s v="KMSS"/>
    <s v="Shan_North"/>
    <s v="Kutkai"/>
    <s v="Kutkai downtown (RC Church)"/>
    <m/>
    <m/>
    <n v="47"/>
    <n v="103"/>
    <n v="41"/>
    <n v="103"/>
    <n v="41"/>
    <n v="41"/>
    <n v="41"/>
    <n v="41"/>
    <m/>
    <m/>
    <m/>
    <m/>
    <m/>
    <m/>
    <m/>
    <n v="0"/>
    <n v="0"/>
    <n v="0"/>
    <n v="0"/>
    <n v="0"/>
    <n v="0"/>
    <n v="0"/>
    <n v="0"/>
    <n v="0"/>
    <n v="0"/>
    <n v="0"/>
    <n v="0"/>
    <n v="0"/>
    <n v="0"/>
    <n v="0"/>
    <n v="0"/>
    <n v="0"/>
    <n v="0"/>
    <s v="MMR015CMP017"/>
    <x v="0"/>
    <x v="0"/>
    <s v="P3"/>
    <n v="9.9408398797400837E-4"/>
    <s v="No"/>
  </r>
  <r>
    <n v="45.233333333333334"/>
    <d v="2013-08-13T00:00:00"/>
    <x v="0"/>
    <s v="KBC"/>
    <s v="Shan_North"/>
    <s v="Manton"/>
    <s v="Mandung - Jinghpaw"/>
    <m/>
    <m/>
    <n v="36"/>
    <n v="84"/>
    <n v="42"/>
    <n v="84"/>
    <n v="42"/>
    <n v="42"/>
    <n v="42"/>
    <n v="42"/>
    <m/>
    <m/>
    <m/>
    <m/>
    <m/>
    <m/>
    <m/>
    <n v="0"/>
    <n v="0"/>
    <n v="0"/>
    <n v="0"/>
    <n v="0"/>
    <n v="0"/>
    <n v="0"/>
    <n v="0"/>
    <n v="0"/>
    <n v="0"/>
    <n v="0"/>
    <n v="0"/>
    <n v="0"/>
    <n v="0"/>
    <n v="0"/>
    <n v="0"/>
    <n v="0"/>
    <n v="0"/>
    <s v="MMR015CMP009"/>
    <x v="0"/>
    <x v="0"/>
    <s v="P2"/>
    <n v="1.0243902439024391E-3"/>
    <s v="No"/>
  </r>
  <r>
    <n v="45.233333333333334"/>
    <d v="2013-08-13T00:00:00"/>
    <x v="0"/>
    <s v="KBC"/>
    <s v="Shan_North"/>
    <s v="Kutkai"/>
    <s v="Mine Yu Lay village"/>
    <m/>
    <m/>
    <n v="113"/>
    <n v="160"/>
    <n v="32"/>
    <n v="160"/>
    <n v="32"/>
    <n v="32"/>
    <n v="32"/>
    <n v="32"/>
    <m/>
    <m/>
    <m/>
    <m/>
    <m/>
    <m/>
    <m/>
    <n v="0"/>
    <n v="0"/>
    <n v="0"/>
    <n v="0"/>
    <n v="0"/>
    <n v="0"/>
    <n v="0"/>
    <n v="0"/>
    <n v="0"/>
    <n v="0"/>
    <n v="0"/>
    <n v="0"/>
    <n v="0"/>
    <n v="0"/>
    <n v="0"/>
    <n v="0"/>
    <n v="0"/>
    <n v="0"/>
    <s v="MMR015CMP018"/>
    <x v="0"/>
    <x v="0"/>
    <s v="P3"/>
    <n v="7.7528770442156269E-4"/>
    <s v="No"/>
  </r>
  <r>
    <n v="45.233333333333334"/>
    <d v="2013-08-13T00:00:00"/>
    <x v="0"/>
    <s v="KMSS"/>
    <s v="Shan_North"/>
    <s v="Kutkai"/>
    <s v="Mungji Pa Dabang (Baptist Church)         "/>
    <m/>
    <m/>
    <n v="30"/>
    <n v="56"/>
    <n v="23"/>
    <n v="56"/>
    <n v="23"/>
    <n v="23"/>
    <n v="23"/>
    <n v="23"/>
    <m/>
    <m/>
    <m/>
    <m/>
    <m/>
    <m/>
    <m/>
    <n v="0"/>
    <n v="0"/>
    <n v="0"/>
    <n v="0"/>
    <n v="0"/>
    <n v="0"/>
    <n v="0"/>
    <n v="0"/>
    <n v="0"/>
    <n v="0"/>
    <n v="0"/>
    <n v="0"/>
    <n v="0"/>
    <n v="0"/>
    <n v="0"/>
    <n v="0"/>
    <n v="0"/>
    <n v="0"/>
    <s v="MMR015CMP006"/>
    <x v="0"/>
    <x v="0"/>
    <s v="P1"/>
    <n v="5.6390516586167158E-4"/>
    <s v="No"/>
  </r>
  <r>
    <n v="45.233333333333334"/>
    <d v="2013-08-13T00:00:00"/>
    <x v="0"/>
    <s v="KBC"/>
    <s v="Shan_North"/>
    <s v="Namhkan"/>
    <s v="Nam Hkam - Nay Win Ni (Palawng)"/>
    <m/>
    <m/>
    <n v="125"/>
    <n v="233"/>
    <n v="93"/>
    <n v="233"/>
    <n v="93"/>
    <n v="93"/>
    <n v="93"/>
    <n v="93"/>
    <m/>
    <m/>
    <m/>
    <m/>
    <m/>
    <m/>
    <m/>
    <n v="0"/>
    <n v="0"/>
    <n v="0"/>
    <n v="0"/>
    <n v="0"/>
    <n v="0"/>
    <n v="0"/>
    <n v="0"/>
    <n v="0"/>
    <n v="0"/>
    <n v="0"/>
    <n v="0"/>
    <n v="0"/>
    <n v="0"/>
    <n v="0"/>
    <n v="0"/>
    <n v="0"/>
    <n v="0"/>
    <s v="MMR015CMP004"/>
    <x v="0"/>
    <x v="0"/>
    <s v="P3"/>
    <n v="2.2350933692230047E-3"/>
    <s v="No"/>
  </r>
  <r>
    <n v="45.233333333333334"/>
    <d v="2013-08-13T00:00:00"/>
    <x v="0"/>
    <s v="KMSS"/>
    <s v="Shan_North"/>
    <s v="Namhkan"/>
    <s v="Nam Hkam (KBC Jaw Wang)"/>
    <m/>
    <m/>
    <n v="100"/>
    <n v="188"/>
    <n v="75"/>
    <n v="188"/>
    <n v="75"/>
    <n v="75"/>
    <n v="75"/>
    <n v="75"/>
    <m/>
    <m/>
    <m/>
    <m/>
    <m/>
    <m/>
    <m/>
    <n v="0"/>
    <n v="0"/>
    <n v="0"/>
    <n v="0"/>
    <n v="0"/>
    <n v="0"/>
    <n v="0"/>
    <n v="0"/>
    <n v="0"/>
    <n v="0"/>
    <n v="0"/>
    <n v="0"/>
    <n v="0"/>
    <n v="0"/>
    <n v="0"/>
    <n v="0"/>
    <n v="0"/>
    <n v="0"/>
    <s v="MMR015CMP001"/>
    <x v="0"/>
    <x v="0"/>
    <s v="P3"/>
    <n v="1.8347277264054015E-3"/>
    <s v="No"/>
  </r>
  <r>
    <n v="45.233333333333334"/>
    <d v="2013-08-13T00:00:00"/>
    <x v="0"/>
    <s v="KMSS"/>
    <s v="Shan_North"/>
    <s v="Namhkan"/>
    <s v="Nam Hkam Catholic Church ( St. Thomas I)"/>
    <m/>
    <m/>
    <n v="36"/>
    <n v="72"/>
    <n v="33"/>
    <n v="72"/>
    <n v="33"/>
    <n v="33"/>
    <n v="33"/>
    <n v="33"/>
    <m/>
    <m/>
    <m/>
    <m/>
    <m/>
    <m/>
    <m/>
    <n v="0"/>
    <n v="0"/>
    <n v="0"/>
    <n v="0"/>
    <n v="0"/>
    <n v="0"/>
    <n v="0"/>
    <n v="0"/>
    <n v="0"/>
    <n v="0"/>
    <n v="0"/>
    <n v="0"/>
    <n v="0"/>
    <n v="0"/>
    <n v="0"/>
    <n v="0"/>
    <n v="0"/>
    <n v="0"/>
    <s v="MMR015CMP003"/>
    <x v="0"/>
    <x v="0"/>
    <s v="P3"/>
    <n v="8.0728019961837658E-4"/>
    <s v="No"/>
  </r>
  <r>
    <n v="45.233333333333334"/>
    <d v="2013-08-13T00:00:00"/>
    <x v="0"/>
    <s v="KMSS"/>
    <s v="Shan_North"/>
    <s v="Namtu"/>
    <s v="Nam Tu RC"/>
    <m/>
    <m/>
    <n v="130"/>
    <n v="288"/>
    <n v="115"/>
    <n v="288"/>
    <n v="115"/>
    <n v="115"/>
    <n v="115"/>
    <n v="115"/>
    <m/>
    <m/>
    <m/>
    <m/>
    <m/>
    <m/>
    <m/>
    <n v="0"/>
    <n v="0"/>
    <n v="0"/>
    <n v="0"/>
    <n v="0"/>
    <n v="0"/>
    <n v="0"/>
    <n v="0"/>
    <n v="0"/>
    <n v="0"/>
    <n v="0"/>
    <n v="0"/>
    <n v="0"/>
    <n v="0"/>
    <n v="0"/>
    <n v="0"/>
    <n v="0"/>
    <n v="0"/>
    <s v="MMR015CMP210"/>
    <x v="0"/>
    <x v="0"/>
    <s v="P3"/>
    <s v=""/>
    <s v="No"/>
  </r>
  <r>
    <n v="45.233333333333334"/>
    <d v="2013-08-13T00:00:00"/>
    <x v="0"/>
    <s v="KBC"/>
    <s v="Shan_North"/>
    <s v="Hseni"/>
    <s v="Narte"/>
    <m/>
    <m/>
    <n v="27"/>
    <n v="43"/>
    <n v="17"/>
    <n v="43"/>
    <n v="17"/>
    <n v="17"/>
    <n v="17"/>
    <n v="17"/>
    <m/>
    <m/>
    <m/>
    <m/>
    <m/>
    <m/>
    <m/>
    <n v="0"/>
    <n v="0"/>
    <n v="0"/>
    <n v="0"/>
    <n v="0"/>
    <n v="0"/>
    <n v="0"/>
    <n v="0"/>
    <n v="0"/>
    <n v="0"/>
    <n v="0"/>
    <n v="0"/>
    <n v="0"/>
    <n v="0"/>
    <n v="0"/>
    <n v="0"/>
    <n v="0"/>
    <n v="0"/>
    <s v="MMR015CMP207"/>
    <x v="0"/>
    <x v="0"/>
    <s v="P4"/>
    <n v="4.1097546234739513E-4"/>
    <s v="No"/>
  </r>
  <r>
    <n v="44.233333333333334"/>
    <d v="2013-09-12T00:00:00"/>
    <x v="0"/>
    <s v="UNHCR"/>
    <s v="Kachin"/>
    <s v="Momauk"/>
    <s v="Nhkawng Pa "/>
    <m/>
    <m/>
    <n v="640"/>
    <n v="640"/>
    <n v="320"/>
    <n v="320"/>
    <n v="320"/>
    <n v="320"/>
    <n v="640"/>
    <n v="320"/>
    <m/>
    <m/>
    <m/>
    <m/>
    <m/>
    <m/>
    <m/>
    <n v="0"/>
    <n v="0"/>
    <n v="0"/>
    <n v="0"/>
    <n v="0"/>
    <n v="0"/>
    <n v="0"/>
    <n v="0"/>
    <n v="0"/>
    <n v="0"/>
    <n v="0"/>
    <n v="0"/>
    <n v="0"/>
    <n v="0"/>
    <n v="0"/>
    <n v="0"/>
    <n v="0"/>
    <n v="0"/>
    <s v="MMR001CMP131"/>
    <x v="0"/>
    <x v="0"/>
    <s v="P1"/>
    <n v="7.8048780487804878E-3"/>
    <s v="No"/>
  </r>
  <r>
    <n v="45.233333333333334"/>
    <d v="2013-08-13T00:00:00"/>
    <x v="0"/>
    <s v="KMSS"/>
    <s v="Shan_North"/>
    <s v="Kutkai"/>
    <s v="Mungji Pa Dabang (RC Church)         "/>
    <m/>
    <m/>
    <n v="70"/>
    <n v="130"/>
    <n v="52"/>
    <n v="130"/>
    <n v="52"/>
    <n v="52"/>
    <n v="52"/>
    <n v="52"/>
    <m/>
    <m/>
    <m/>
    <m/>
    <m/>
    <m/>
    <m/>
    <n v="0"/>
    <n v="0"/>
    <n v="0"/>
    <n v="0"/>
    <n v="0"/>
    <n v="0"/>
    <n v="0"/>
    <n v="0"/>
    <n v="0"/>
    <n v="0"/>
    <n v="0"/>
    <n v="0"/>
    <n v="0"/>
    <n v="0"/>
    <n v="0"/>
    <n v="0"/>
    <n v="0"/>
    <n v="0"/>
    <s v="MMR015CMP019"/>
    <x v="0"/>
    <x v="1"/>
    <s v=""/>
    <n v="1.2749160271655184E-3"/>
    <s v="No"/>
  </r>
  <r>
    <n v="45.233333333333334"/>
    <d v="2013-08-13T00:00:00"/>
    <x v="0"/>
    <s v="KBC"/>
    <s v="Shan_North"/>
    <s v="Hseni"/>
    <s v="Na Ti (Koe Kant Traditional school)"/>
    <m/>
    <m/>
    <n v="67"/>
    <n v="90"/>
    <n v="30"/>
    <n v="90"/>
    <n v="30"/>
    <n v="30"/>
    <n v="30"/>
    <n v="30"/>
    <m/>
    <m/>
    <m/>
    <m/>
    <m/>
    <m/>
    <m/>
    <n v="0"/>
    <n v="0"/>
    <n v="0"/>
    <n v="0"/>
    <n v="0"/>
    <n v="0"/>
    <n v="0"/>
    <n v="0"/>
    <n v="0"/>
    <n v="0"/>
    <n v="0"/>
    <n v="0"/>
    <n v="0"/>
    <n v="0"/>
    <n v="0"/>
    <n v="0"/>
    <n v="0"/>
    <n v="0"/>
    <s v=""/>
    <x v="1"/>
    <x v="2"/>
    <s v=""/>
    <s v=""/>
    <s v="No"/>
  </r>
  <r>
    <n v="45.233333333333334"/>
    <d v="2013-08-13T00:00:00"/>
    <x v="0"/>
    <s v="KMSS"/>
    <s v="Shan_North"/>
    <s v="Namhkan"/>
    <s v="Nam Hkam Catholic Church ( St. Thomas II)"/>
    <m/>
    <m/>
    <n v="40"/>
    <n v="83"/>
    <n v="33"/>
    <n v="83"/>
    <n v="33"/>
    <n v="33"/>
    <n v="33"/>
    <n v="33"/>
    <m/>
    <m/>
    <m/>
    <m/>
    <m/>
    <m/>
    <m/>
    <n v="0"/>
    <n v="0"/>
    <n v="0"/>
    <n v="0"/>
    <n v="0"/>
    <n v="0"/>
    <n v="0"/>
    <n v="0"/>
    <n v="0"/>
    <n v="0"/>
    <n v="0"/>
    <n v="0"/>
    <n v="0"/>
    <n v="0"/>
    <n v="0"/>
    <n v="0"/>
    <n v="0"/>
    <n v="0"/>
    <s v="MMR015CMP024"/>
    <x v="0"/>
    <x v="1"/>
    <s v=""/>
    <s v=""/>
    <s v="No"/>
  </r>
  <r>
    <n v="44.033333333333331"/>
    <d v="2013-09-18T00:00:00"/>
    <x v="0"/>
    <s v="UNHCR"/>
    <s v="Kachin"/>
    <s v="Waingmaw"/>
    <s v="Woi Chyai "/>
    <m/>
    <m/>
    <n v="1520"/>
    <n v="1520"/>
    <n v="760"/>
    <n v="1520"/>
    <n v="760"/>
    <n v="760"/>
    <m/>
    <m/>
    <m/>
    <m/>
    <m/>
    <m/>
    <m/>
    <m/>
    <m/>
    <n v="0"/>
    <n v="0"/>
    <n v="0"/>
    <n v="0"/>
    <n v="0"/>
    <n v="0"/>
    <n v="0"/>
    <n v="0"/>
    <n v="0"/>
    <n v="0"/>
    <n v="0"/>
    <n v="0"/>
    <n v="0"/>
    <n v="0"/>
    <n v="0"/>
    <n v="0"/>
    <n v="0"/>
    <n v="0"/>
    <s v="MMR001CMP116"/>
    <x v="0"/>
    <x v="0"/>
    <s v="P4"/>
    <n v="1.8675512962280379E-2"/>
    <s v="No"/>
  </r>
  <r>
    <n v="43.766666666666666"/>
    <d v="2013-09-26T00:00:00"/>
    <x v="0"/>
    <s v="UNHCR"/>
    <s v="Kachin"/>
    <s v="Momauk"/>
    <s v="Hpun Lum Yang "/>
    <m/>
    <m/>
    <n v="882"/>
    <n v="882"/>
    <n v="441"/>
    <n v="882"/>
    <n v="441"/>
    <m/>
    <n v="441"/>
    <n v="882"/>
    <m/>
    <m/>
    <m/>
    <m/>
    <m/>
    <m/>
    <m/>
    <n v="0"/>
    <n v="0"/>
    <n v="0"/>
    <n v="0"/>
    <n v="0"/>
    <n v="0"/>
    <n v="0"/>
    <n v="0"/>
    <n v="0"/>
    <n v="0"/>
    <n v="0"/>
    <n v="0"/>
    <n v="0"/>
    <n v="0"/>
    <n v="0"/>
    <n v="0"/>
    <n v="0"/>
    <n v="0"/>
    <s v="MMR001CMP122"/>
    <x v="0"/>
    <x v="0"/>
    <s v="P2"/>
    <n v="1.0836712126796905E-2"/>
    <s v="No"/>
  </r>
  <r>
    <n v="43.766666666666666"/>
    <d v="2013-09-26T00:00:00"/>
    <x v="0"/>
    <s v="UNHCR"/>
    <s v="Kachin"/>
    <s v="Momauk"/>
    <s v="Je Yang Hka "/>
    <m/>
    <m/>
    <n v="1628"/>
    <n v="3256"/>
    <n v="1628"/>
    <n v="3256"/>
    <n v="1628"/>
    <m/>
    <n v="1628"/>
    <n v="3256"/>
    <m/>
    <m/>
    <m/>
    <m/>
    <m/>
    <m/>
    <m/>
    <n v="0"/>
    <n v="0"/>
    <n v="0"/>
    <n v="0"/>
    <n v="0"/>
    <n v="0"/>
    <n v="0"/>
    <n v="0"/>
    <n v="0"/>
    <n v="0"/>
    <n v="0"/>
    <n v="0"/>
    <n v="0"/>
    <n v="0"/>
    <n v="0"/>
    <n v="0"/>
    <n v="0"/>
    <n v="0"/>
    <s v="MMR001CMP121"/>
    <x v="0"/>
    <x v="0"/>
    <s v="P2"/>
    <n v="3.9648328097221207E-2"/>
    <s v="No"/>
  </r>
  <r>
    <n v="42.633333333333333"/>
    <d v="2013-10-30T00:00:00"/>
    <x v="0"/>
    <s v="UNHCR"/>
    <s v="Kachin"/>
    <s v="Bhamo"/>
    <s v="AD-2000 Tharthana Compound"/>
    <m/>
    <m/>
    <n v="22"/>
    <n v="40"/>
    <n v="21"/>
    <n v="40"/>
    <n v="21"/>
    <n v="21"/>
    <n v="21"/>
    <n v="21"/>
    <m/>
    <m/>
    <m/>
    <m/>
    <m/>
    <m/>
    <m/>
    <n v="0"/>
    <n v="0"/>
    <n v="0"/>
    <n v="0"/>
    <n v="0"/>
    <n v="0"/>
    <n v="0"/>
    <n v="0"/>
    <n v="0"/>
    <n v="0"/>
    <n v="0"/>
    <n v="0"/>
    <n v="0"/>
    <n v="0"/>
    <n v="0"/>
    <n v="0"/>
    <n v="0"/>
    <n v="0"/>
    <s v="MMR001CMP050"/>
    <x v="0"/>
    <x v="0"/>
    <s v="P4"/>
    <n v="5.1410105757931847E-4"/>
    <s v="No"/>
  </r>
  <r>
    <n v="43.766666666666666"/>
    <d v="2013-09-26T00:00:00"/>
    <x v="0"/>
    <s v="UNHCR"/>
    <s v="Kachin"/>
    <s v="Waingmaw"/>
    <s v="Laiza Market 3 - Laiza Gat"/>
    <m/>
    <m/>
    <n v="437"/>
    <n v="874"/>
    <n v="437"/>
    <n v="874"/>
    <n v="437"/>
    <n v="54"/>
    <n v="383"/>
    <n v="766"/>
    <m/>
    <m/>
    <m/>
    <m/>
    <m/>
    <m/>
    <m/>
    <n v="0"/>
    <n v="0"/>
    <n v="0"/>
    <n v="0"/>
    <n v="0"/>
    <n v="0"/>
    <n v="0"/>
    <n v="0"/>
    <n v="0"/>
    <n v="0"/>
    <n v="0"/>
    <n v="0"/>
    <n v="0"/>
    <n v="0"/>
    <n v="0"/>
    <n v="0"/>
    <n v="0"/>
    <n v="0"/>
    <s v="MMR001CMP117"/>
    <x v="0"/>
    <x v="1"/>
    <s v="P2"/>
    <n v="1.0738419953311217E-2"/>
    <s v="No"/>
  </r>
  <r>
    <n v="42.633333333333333"/>
    <d v="2013-10-30T00:00:00"/>
    <x v="0"/>
    <s v="UNHCR"/>
    <s v="Kachin"/>
    <s v="Bhamo"/>
    <s v="Htoi San Church"/>
    <m/>
    <m/>
    <n v="72"/>
    <n v="61"/>
    <n v="36"/>
    <n v="61"/>
    <n v="36"/>
    <n v="36"/>
    <n v="36"/>
    <n v="36"/>
    <m/>
    <m/>
    <m/>
    <m/>
    <m/>
    <m/>
    <m/>
    <n v="0"/>
    <n v="0"/>
    <n v="0"/>
    <n v="0"/>
    <n v="0"/>
    <n v="0"/>
    <n v="0"/>
    <n v="0"/>
    <n v="0"/>
    <n v="0"/>
    <n v="0"/>
    <n v="0"/>
    <n v="0"/>
    <n v="0"/>
    <n v="0"/>
    <n v="0"/>
    <n v="0"/>
    <n v="0"/>
    <s v="MMR001CMP052"/>
    <x v="0"/>
    <x v="0"/>
    <s v="P4"/>
    <n v="8.8066930867459266E-4"/>
    <s v="No"/>
  </r>
  <r>
    <n v="42.633333333333333"/>
    <d v="2013-10-30T00:00:00"/>
    <x v="0"/>
    <s v="UNHCR"/>
    <s v="Kachin"/>
    <s v="Bhamo"/>
    <s v="Phan Khar Kone"/>
    <m/>
    <m/>
    <n v="81"/>
    <n v="94"/>
    <n v="50"/>
    <n v="94"/>
    <n v="50"/>
    <n v="50"/>
    <n v="50"/>
    <n v="50"/>
    <m/>
    <m/>
    <m/>
    <m/>
    <m/>
    <m/>
    <m/>
    <n v="0"/>
    <n v="0"/>
    <n v="0"/>
    <n v="0"/>
    <n v="0"/>
    <n v="0"/>
    <n v="0"/>
    <n v="0"/>
    <n v="0"/>
    <n v="0"/>
    <n v="0"/>
    <n v="0"/>
    <n v="0"/>
    <n v="0"/>
    <n v="0"/>
    <n v="0"/>
    <n v="0"/>
    <n v="0"/>
    <s v="MMR001CMP193"/>
    <x v="0"/>
    <x v="0"/>
    <s v="P4"/>
    <n v="1.2113870381586917E-3"/>
    <s v="No"/>
  </r>
  <r>
    <n v="42.56666666666667"/>
    <d v="2013-11-01T00:00:00"/>
    <x v="0"/>
    <s v="UNHCR"/>
    <s v="Kachin"/>
    <s v="Bhamo"/>
    <s v="Aung Thar Church"/>
    <m/>
    <m/>
    <n v="8"/>
    <n v="6"/>
    <n v="4"/>
    <n v="6"/>
    <n v="4"/>
    <n v="4"/>
    <m/>
    <m/>
    <m/>
    <m/>
    <m/>
    <m/>
    <m/>
    <m/>
    <m/>
    <n v="0"/>
    <n v="0"/>
    <n v="0"/>
    <n v="0"/>
    <n v="0"/>
    <n v="0"/>
    <n v="0"/>
    <n v="0"/>
    <n v="0"/>
    <n v="0"/>
    <n v="0"/>
    <n v="0"/>
    <n v="0"/>
    <n v="0"/>
    <n v="0"/>
    <n v="0"/>
    <n v="0"/>
    <n v="0"/>
    <s v="MMR001CMP194"/>
    <x v="0"/>
    <x v="0"/>
    <s v="P4"/>
    <n v="9.8070463628116802E-5"/>
    <s v="No"/>
  </r>
  <r>
    <n v="42.56666666666667"/>
    <d v="2013-11-01T00:00:00"/>
    <x v="0"/>
    <s v="UNHCR"/>
    <s v="Kachin"/>
    <s v="Bhamo"/>
    <s v="Htoi San Church"/>
    <m/>
    <m/>
    <n v="12"/>
    <n v="9"/>
    <n v="6"/>
    <n v="9"/>
    <n v="6"/>
    <n v="6"/>
    <n v="6"/>
    <m/>
    <m/>
    <m/>
    <m/>
    <m/>
    <m/>
    <m/>
    <m/>
    <n v="0"/>
    <n v="0"/>
    <n v="0"/>
    <n v="0"/>
    <n v="0"/>
    <n v="0"/>
    <n v="0"/>
    <n v="0"/>
    <n v="0"/>
    <n v="0"/>
    <n v="0"/>
    <n v="0"/>
    <n v="0"/>
    <n v="0"/>
    <n v="0"/>
    <n v="0"/>
    <n v="0"/>
    <n v="0"/>
    <s v="MMR001CMP052"/>
    <x v="0"/>
    <x v="0"/>
    <s v="P4"/>
    <n v="1.4677821811243211E-4"/>
    <s v="No"/>
  </r>
  <r>
    <n v="42.56666666666667"/>
    <d v="2013-11-01T00:00:00"/>
    <x v="0"/>
    <s v="UNHCR"/>
    <s v="Kachin"/>
    <s v="Bhamo"/>
    <s v="Robert Church"/>
    <m/>
    <m/>
    <n v="40"/>
    <n v="48"/>
    <n v="20"/>
    <n v="48"/>
    <n v="20"/>
    <n v="20"/>
    <n v="500"/>
    <n v="500"/>
    <m/>
    <m/>
    <m/>
    <m/>
    <m/>
    <m/>
    <m/>
    <n v="0"/>
    <n v="0"/>
    <n v="0"/>
    <n v="0"/>
    <n v="0"/>
    <n v="0"/>
    <n v="0"/>
    <n v="0"/>
    <n v="0"/>
    <n v="0"/>
    <n v="0"/>
    <n v="0"/>
    <n v="0"/>
    <n v="0"/>
    <n v="0"/>
    <n v="0"/>
    <n v="0"/>
    <n v="0"/>
    <s v="MMR001CMP047"/>
    <x v="0"/>
    <x v="0"/>
    <s v="P4"/>
    <n v="4.9109883364027013E-4"/>
    <s v="No"/>
  </r>
  <r>
    <n v="42.5"/>
    <d v="2013-11-03T00:00:00"/>
    <x v="4"/>
    <s v="MRCS"/>
    <s v="Kachin"/>
    <s v="Bhamo"/>
    <s v="AD-2000 Tharthana Compound"/>
    <m/>
    <m/>
    <n v="21"/>
    <m/>
    <m/>
    <m/>
    <n v="21"/>
    <m/>
    <m/>
    <m/>
    <m/>
    <m/>
    <m/>
    <m/>
    <m/>
    <m/>
    <m/>
    <n v="0"/>
    <n v="0"/>
    <n v="0"/>
    <n v="0"/>
    <n v="0"/>
    <n v="0"/>
    <n v="0"/>
    <n v="0"/>
    <n v="0"/>
    <n v="0"/>
    <n v="0"/>
    <n v="0"/>
    <n v="0"/>
    <n v="0"/>
    <n v="0"/>
    <n v="0"/>
    <n v="0"/>
    <n v="0"/>
    <s v="MMR001CMP050"/>
    <x v="0"/>
    <x v="0"/>
    <s v="P4"/>
    <n v="5.1410105757931847E-4"/>
    <s v="No"/>
  </r>
  <r>
    <n v="42.5"/>
    <d v="2013-11-03T00:00:00"/>
    <x v="0"/>
    <s v="UNHCR "/>
    <s v="Kachin"/>
    <s v="Mansi"/>
    <s v="Bum Tsit Pa "/>
    <m/>
    <m/>
    <n v="130"/>
    <n v="130"/>
    <n v="65"/>
    <n v="65"/>
    <n v="65"/>
    <n v="65"/>
    <m/>
    <m/>
    <m/>
    <m/>
    <m/>
    <m/>
    <m/>
    <m/>
    <m/>
    <n v="0"/>
    <n v="0"/>
    <n v="0"/>
    <n v="0"/>
    <n v="0"/>
    <n v="0"/>
    <n v="0"/>
    <n v="0"/>
    <n v="0"/>
    <n v="0"/>
    <n v="0"/>
    <n v="0"/>
    <n v="0"/>
    <n v="0"/>
    <n v="0"/>
    <n v="0"/>
    <n v="0"/>
    <n v="0"/>
    <s v="MMR001CMP129"/>
    <x v="0"/>
    <x v="0"/>
    <s v="P2"/>
    <n v="1.5924737241835509E-3"/>
    <s v="No"/>
  </r>
  <r>
    <n v="42.5"/>
    <d v="2013-11-03T00:00:00"/>
    <x v="4"/>
    <s v="MRCS"/>
    <s v="Kachin"/>
    <s v="Bhamo"/>
    <s v="Htoi San Church"/>
    <m/>
    <m/>
    <n v="41"/>
    <m/>
    <m/>
    <m/>
    <n v="41"/>
    <m/>
    <m/>
    <m/>
    <m/>
    <m/>
    <m/>
    <m/>
    <m/>
    <m/>
    <m/>
    <n v="0"/>
    <n v="0"/>
    <n v="0"/>
    <n v="0"/>
    <n v="0"/>
    <n v="0"/>
    <n v="0"/>
    <n v="0"/>
    <n v="0"/>
    <n v="0"/>
    <n v="0"/>
    <n v="0"/>
    <n v="0"/>
    <n v="0"/>
    <n v="0"/>
    <n v="0"/>
    <n v="0"/>
    <n v="0"/>
    <s v="MMR001CMP052"/>
    <x v="0"/>
    <x v="0"/>
    <s v="P4"/>
    <n v="1.0029844904349528E-3"/>
    <s v="No"/>
  </r>
  <r>
    <n v="42.5"/>
    <d v="2013-11-03T00:00:00"/>
    <x v="0"/>
    <s v="UNHCR "/>
    <s v="Kachin"/>
    <s v="Mansi"/>
    <s v="Lana Zup Ja "/>
    <m/>
    <m/>
    <n v="592"/>
    <n v="592"/>
    <n v="296"/>
    <n v="296"/>
    <n v="296"/>
    <n v="296"/>
    <m/>
    <m/>
    <m/>
    <m/>
    <m/>
    <m/>
    <m/>
    <m/>
    <m/>
    <n v="0"/>
    <n v="0"/>
    <n v="0"/>
    <n v="0"/>
    <n v="0"/>
    <n v="0"/>
    <n v="0"/>
    <n v="0"/>
    <n v="0"/>
    <n v="0"/>
    <n v="0"/>
    <n v="0"/>
    <n v="0"/>
    <n v="0"/>
    <n v="0"/>
    <n v="0"/>
    <n v="0"/>
    <n v="0"/>
    <s v="MMR001CMP128"/>
    <x v="0"/>
    <x v="0"/>
    <s v="P2"/>
    <n v="7.2518803439743243E-3"/>
    <s v="No"/>
  </r>
  <r>
    <n v="42.5"/>
    <d v="2013-11-03T00:00:00"/>
    <x v="0"/>
    <s v="UNHCR "/>
    <s v="Kachin"/>
    <s v="Momauk"/>
    <s v="Loi Je Lisu Camp"/>
    <m/>
    <m/>
    <n v="24"/>
    <n v="24"/>
    <n v="12"/>
    <n v="12"/>
    <n v="12"/>
    <n v="12"/>
    <m/>
    <m/>
    <m/>
    <m/>
    <m/>
    <m/>
    <m/>
    <m/>
    <m/>
    <n v="0"/>
    <n v="0"/>
    <n v="0"/>
    <n v="0"/>
    <n v="0"/>
    <n v="0"/>
    <n v="0"/>
    <n v="0"/>
    <n v="0"/>
    <n v="0"/>
    <n v="0"/>
    <n v="0"/>
    <n v="0"/>
    <n v="0"/>
    <n v="0"/>
    <n v="0"/>
    <n v="0"/>
    <n v="0"/>
    <s v="MMR001CMP070"/>
    <x v="0"/>
    <x v="0"/>
    <s v="P3"/>
    <n v="2.9268292682926828E-4"/>
    <s v="No"/>
  </r>
  <r>
    <n v="42.5"/>
    <d v="2013-11-03T00:00:00"/>
    <x v="4"/>
    <s v="MRCS"/>
    <s v="Kachin"/>
    <s v="Mansi"/>
    <s v="Mansi Baptist Church"/>
    <m/>
    <m/>
    <n v="29"/>
    <m/>
    <m/>
    <m/>
    <n v="29"/>
    <m/>
    <m/>
    <m/>
    <m/>
    <m/>
    <m/>
    <m/>
    <m/>
    <m/>
    <m/>
    <n v="0"/>
    <n v="0"/>
    <n v="0"/>
    <n v="0"/>
    <n v="0"/>
    <n v="0"/>
    <n v="0"/>
    <n v="0"/>
    <n v="0"/>
    <n v="0"/>
    <n v="0"/>
    <n v="0"/>
    <n v="0"/>
    <n v="0"/>
    <n v="0"/>
    <n v="0"/>
    <n v="0"/>
    <n v="0"/>
    <s v="MMR001CMP066"/>
    <x v="0"/>
    <x v="0"/>
    <s v="P4"/>
    <n v="6.9746747156016256E-4"/>
    <s v="No"/>
  </r>
  <r>
    <n v="42.5"/>
    <d v="2013-11-03T00:00:00"/>
    <x v="4"/>
    <s v="MRCS"/>
    <s v="Kachin"/>
    <s v="Bhamo"/>
    <s v="Phan Khar Kone"/>
    <m/>
    <m/>
    <n v="49"/>
    <m/>
    <m/>
    <m/>
    <n v="49"/>
    <m/>
    <m/>
    <m/>
    <m/>
    <m/>
    <m/>
    <m/>
    <m/>
    <m/>
    <m/>
    <n v="0"/>
    <n v="0"/>
    <n v="0"/>
    <n v="0"/>
    <n v="0"/>
    <n v="0"/>
    <n v="0"/>
    <n v="0"/>
    <n v="0"/>
    <n v="0"/>
    <n v="0"/>
    <n v="0"/>
    <n v="0"/>
    <n v="0"/>
    <n v="0"/>
    <n v="0"/>
    <n v="0"/>
    <n v="0"/>
    <s v="MMR001CMP193"/>
    <x v="0"/>
    <x v="0"/>
    <s v="P4"/>
    <n v="1.1871592973955178E-3"/>
    <s v="No"/>
  </r>
  <r>
    <n v="42.43333333333333"/>
    <d v="2013-11-05T00:00:00"/>
    <x v="0"/>
    <s v="UNHCR"/>
    <s v="Kachin"/>
    <s v="Mansi"/>
    <s v="Mansi Baptist Church"/>
    <m/>
    <m/>
    <n v="60"/>
    <n v="54"/>
    <n v="30"/>
    <n v="54"/>
    <n v="30"/>
    <n v="30"/>
    <m/>
    <m/>
    <m/>
    <m/>
    <m/>
    <m/>
    <m/>
    <m/>
    <m/>
    <n v="0"/>
    <n v="0"/>
    <n v="0"/>
    <n v="0"/>
    <n v="0"/>
    <n v="0"/>
    <n v="0"/>
    <n v="0"/>
    <n v="0"/>
    <n v="0"/>
    <n v="0"/>
    <n v="0"/>
    <n v="0"/>
    <n v="0"/>
    <n v="0"/>
    <n v="0"/>
    <n v="0"/>
    <n v="0"/>
    <s v="MMR001CMP066"/>
    <x v="0"/>
    <x v="0"/>
    <s v="P4"/>
    <n v="7.215180740277544E-4"/>
    <s v="No"/>
  </r>
  <r>
    <n v="42.366666666666667"/>
    <d v="2013-11-07T00:00:00"/>
    <x v="1"/>
    <s v="Solidarities"/>
    <s v="Kachin"/>
    <s v="Bhamo"/>
    <s v="Phan Khar Kone"/>
    <m/>
    <m/>
    <m/>
    <m/>
    <m/>
    <m/>
    <m/>
    <m/>
    <m/>
    <m/>
    <n v="23"/>
    <n v="41"/>
    <n v="128"/>
    <n v="64"/>
    <m/>
    <m/>
    <m/>
    <n v="0"/>
    <n v="0"/>
    <n v="0"/>
    <n v="0"/>
    <n v="0"/>
    <n v="0"/>
    <n v="0"/>
    <n v="0"/>
    <n v="0"/>
    <n v="0"/>
    <n v="0"/>
    <n v="0"/>
    <n v="0"/>
    <n v="0"/>
    <n v="1"/>
    <n v="0"/>
    <n v="0"/>
    <n v="0"/>
    <s v="MMR001CMP193"/>
    <x v="0"/>
    <x v="0"/>
    <s v="P4"/>
    <n v="0"/>
    <m/>
  </r>
  <r>
    <n v="42.366666666666667"/>
    <d v="2013-11-07T00:00:00"/>
    <x v="0"/>
    <s v="UNHCR"/>
    <s v="Kachin"/>
    <s v="Bhamo"/>
    <s v="Phan Khar Kone"/>
    <m/>
    <m/>
    <n v="58"/>
    <n v="46"/>
    <n v="29"/>
    <n v="46"/>
    <n v="29"/>
    <n v="29"/>
    <m/>
    <m/>
    <m/>
    <m/>
    <m/>
    <m/>
    <m/>
    <m/>
    <m/>
    <n v="0"/>
    <n v="0"/>
    <n v="0"/>
    <n v="0"/>
    <n v="0"/>
    <n v="0"/>
    <n v="0"/>
    <n v="0"/>
    <n v="0"/>
    <n v="0"/>
    <n v="0"/>
    <n v="0"/>
    <n v="0"/>
    <n v="0"/>
    <n v="0"/>
    <n v="0"/>
    <n v="0"/>
    <n v="0"/>
    <s v="MMR001CMP193"/>
    <x v="0"/>
    <x v="0"/>
    <s v="P4"/>
    <n v="7.0260448213204122E-4"/>
    <s v="No"/>
  </r>
  <r>
    <n v="42.366666666666667"/>
    <d v="2013-11-07T00:00:00"/>
    <x v="1"/>
    <s v="Solidarities"/>
    <s v="Kachin"/>
    <s v="Bhamo"/>
    <s v="Ta Gun Taing Monastery (Shwe Kyi Na)"/>
    <m/>
    <m/>
    <m/>
    <m/>
    <m/>
    <m/>
    <m/>
    <m/>
    <m/>
    <m/>
    <n v="64"/>
    <n v="118"/>
    <n v="364"/>
    <n v="182"/>
    <m/>
    <m/>
    <m/>
    <n v="0"/>
    <n v="0"/>
    <n v="0"/>
    <n v="0"/>
    <n v="0"/>
    <n v="0"/>
    <n v="0"/>
    <n v="0"/>
    <n v="0"/>
    <n v="0"/>
    <n v="0"/>
    <n v="0"/>
    <n v="0"/>
    <n v="0"/>
    <n v="1"/>
    <n v="0"/>
    <n v="0"/>
    <n v="0"/>
    <s v="MMR001CMP055"/>
    <x v="0"/>
    <x v="0"/>
    <s v="P4"/>
    <n v="0"/>
    <m/>
  </r>
  <r>
    <n v="42.233333333333334"/>
    <d v="2013-11-11T00:00:00"/>
    <x v="0"/>
    <s v="UNHCR "/>
    <s v="Kachin"/>
    <s v="Momauk"/>
    <s v="Nhkawng Pa "/>
    <m/>
    <m/>
    <n v="36"/>
    <n v="200"/>
    <n v="100"/>
    <m/>
    <n v="100"/>
    <n v="100"/>
    <m/>
    <m/>
    <m/>
    <m/>
    <m/>
    <m/>
    <m/>
    <m/>
    <m/>
    <n v="0"/>
    <n v="0"/>
    <n v="0"/>
    <n v="0"/>
    <n v="0"/>
    <n v="0"/>
    <n v="0"/>
    <n v="0"/>
    <n v="0"/>
    <n v="0"/>
    <n v="0"/>
    <n v="0"/>
    <n v="0"/>
    <n v="0"/>
    <n v="0"/>
    <n v="0"/>
    <n v="0"/>
    <n v="0"/>
    <s v="MMR001CMP131"/>
    <x v="0"/>
    <x v="0"/>
    <s v="P1"/>
    <n v="2.4390243902439024E-3"/>
    <s v="No"/>
  </r>
  <r>
    <n v="42.366666666666667"/>
    <d v="2013-11-07T00:00:00"/>
    <x v="1"/>
    <s v="Solidarities"/>
    <s v="Kachin"/>
    <s v="Bhamo"/>
    <s v="Aung Thar Church"/>
    <m/>
    <m/>
    <m/>
    <m/>
    <m/>
    <m/>
    <m/>
    <m/>
    <m/>
    <m/>
    <n v="25"/>
    <n v="73"/>
    <n v="196"/>
    <n v="98"/>
    <m/>
    <m/>
    <m/>
    <n v="0"/>
    <n v="0"/>
    <n v="0"/>
    <n v="0"/>
    <n v="0"/>
    <n v="0"/>
    <n v="0"/>
    <n v="0"/>
    <n v="0"/>
    <n v="0"/>
    <n v="0"/>
    <n v="0"/>
    <n v="0"/>
    <n v="0"/>
    <n v="1"/>
    <n v="0"/>
    <n v="0"/>
    <n v="0"/>
    <s v="MMR001CMP194"/>
    <x v="0"/>
    <x v="1"/>
    <s v="P4"/>
    <n v="0"/>
    <m/>
  </r>
  <r>
    <n v="42.366666666666667"/>
    <d v="2013-11-07T00:00:00"/>
    <x v="0"/>
    <s v="UNHCR"/>
    <s v="Kachin"/>
    <s v="Hpakant"/>
    <s v="Baptist Church, Naung Hmee VT"/>
    <m/>
    <m/>
    <n v="13"/>
    <n v="32"/>
    <n v="15"/>
    <n v="32"/>
    <n v="15"/>
    <m/>
    <n v="15"/>
    <n v="32"/>
    <m/>
    <m/>
    <m/>
    <m/>
    <m/>
    <m/>
    <m/>
    <n v="0"/>
    <n v="0"/>
    <n v="0"/>
    <n v="0"/>
    <n v="0"/>
    <n v="0"/>
    <n v="0"/>
    <n v="0"/>
    <n v="0"/>
    <n v="0"/>
    <n v="0"/>
    <n v="0"/>
    <n v="0"/>
    <n v="0"/>
    <n v="0"/>
    <n v="0"/>
    <n v="0"/>
    <n v="0"/>
    <s v="MMR001CMP188"/>
    <x v="0"/>
    <x v="1"/>
    <s v="P4"/>
    <s v=""/>
    <s v="No"/>
  </r>
  <r>
    <n v="42.166666666666664"/>
    <d v="2013-11-13T00:00:00"/>
    <x v="1"/>
    <s v="Solidarities"/>
    <s v="Kachin"/>
    <s v="Mansi"/>
    <s v="Man Wing Baptist Church"/>
    <m/>
    <m/>
    <m/>
    <m/>
    <m/>
    <m/>
    <m/>
    <m/>
    <m/>
    <m/>
    <m/>
    <n v="160"/>
    <n v="320"/>
    <n v="160"/>
    <m/>
    <m/>
    <m/>
    <n v="0"/>
    <n v="0"/>
    <n v="0"/>
    <n v="0"/>
    <n v="0"/>
    <n v="0"/>
    <n v="0"/>
    <n v="0"/>
    <n v="0"/>
    <n v="0"/>
    <n v="0"/>
    <n v="0"/>
    <n v="0"/>
    <n v="0"/>
    <n v="1"/>
    <n v="0"/>
    <n v="0"/>
    <n v="0"/>
    <s v="MMR001CMP133"/>
    <x v="0"/>
    <x v="0"/>
    <s v="P4"/>
    <n v="0"/>
    <m/>
  </r>
  <r>
    <n v="42.166666666666664"/>
    <d v="2013-11-13T00:00:00"/>
    <x v="1"/>
    <s v="LDO"/>
    <s v="Kachin"/>
    <s v="Momauk"/>
    <s v="Pa Kahtawng "/>
    <m/>
    <m/>
    <m/>
    <m/>
    <m/>
    <m/>
    <m/>
    <m/>
    <m/>
    <m/>
    <n v="514"/>
    <n v="1016"/>
    <n v="3060"/>
    <n v="1530"/>
    <m/>
    <m/>
    <m/>
    <n v="0"/>
    <n v="0"/>
    <n v="0"/>
    <n v="0"/>
    <n v="0"/>
    <n v="0"/>
    <n v="0"/>
    <n v="0"/>
    <n v="0"/>
    <n v="0"/>
    <n v="0"/>
    <n v="0"/>
    <n v="0"/>
    <n v="0"/>
    <n v="1"/>
    <n v="0"/>
    <n v="0"/>
    <n v="0"/>
    <s v="MMR001CMP126"/>
    <x v="0"/>
    <x v="0"/>
    <s v="P2"/>
    <n v="0"/>
    <m/>
  </r>
  <r>
    <n v="42.133333333333333"/>
    <d v="2013-11-14T00:00:00"/>
    <x v="0"/>
    <s v="UNHCR "/>
    <s v="Kachin"/>
    <s v="Bhamo"/>
    <s v="Aung Thar Church"/>
    <m/>
    <m/>
    <m/>
    <n v="12"/>
    <n v="9"/>
    <n v="12"/>
    <n v="9"/>
    <n v="9"/>
    <m/>
    <m/>
    <m/>
    <m/>
    <m/>
    <m/>
    <m/>
    <m/>
    <m/>
    <n v="0"/>
    <n v="0"/>
    <n v="0"/>
    <n v="0"/>
    <n v="0"/>
    <n v="0"/>
    <n v="0"/>
    <n v="0"/>
    <n v="0"/>
    <n v="0"/>
    <n v="0"/>
    <n v="0"/>
    <n v="0"/>
    <n v="0"/>
    <n v="0"/>
    <n v="0"/>
    <n v="0"/>
    <n v="0"/>
    <s v="MMR001CMP194"/>
    <x v="0"/>
    <x v="0"/>
    <s v="P4"/>
    <n v="2.2065854316326281E-4"/>
    <s v="No"/>
  </r>
  <r>
    <n v="42.133333333333333"/>
    <d v="2013-11-14T00:00:00"/>
    <x v="1"/>
    <s v="LDO"/>
    <s v="Kachin"/>
    <s v="Mansi"/>
    <s v="Lana Zup Ja "/>
    <m/>
    <m/>
    <m/>
    <m/>
    <m/>
    <m/>
    <m/>
    <m/>
    <m/>
    <m/>
    <n v="550"/>
    <n v="1101"/>
    <n v="3302"/>
    <n v="1651"/>
    <m/>
    <m/>
    <m/>
    <n v="0"/>
    <n v="0"/>
    <n v="0"/>
    <n v="0"/>
    <n v="0"/>
    <n v="0"/>
    <n v="0"/>
    <n v="0"/>
    <n v="0"/>
    <n v="0"/>
    <n v="0"/>
    <n v="0"/>
    <n v="0"/>
    <n v="0"/>
    <n v="1"/>
    <n v="0"/>
    <n v="0"/>
    <n v="0"/>
    <s v="MMR001CMP128"/>
    <x v="0"/>
    <x v="0"/>
    <s v="P2"/>
    <n v="0"/>
    <m/>
  </r>
  <r>
    <n v="42.133333333333333"/>
    <d v="2013-11-14T00:00:00"/>
    <x v="2"/>
    <m/>
    <s v="Kachin"/>
    <s v="Momauk"/>
    <s v="Loi Je Baptist Church"/>
    <m/>
    <m/>
    <m/>
    <m/>
    <m/>
    <n v="75"/>
    <m/>
    <m/>
    <m/>
    <m/>
    <m/>
    <m/>
    <m/>
    <m/>
    <m/>
    <m/>
    <m/>
    <n v="0"/>
    <n v="0"/>
    <n v="0"/>
    <n v="0"/>
    <n v="0"/>
    <n v="0"/>
    <n v="0"/>
    <n v="0"/>
    <n v="0"/>
    <n v="0"/>
    <n v="0"/>
    <n v="0"/>
    <n v="0"/>
    <n v="0"/>
    <n v="0"/>
    <n v="0"/>
    <n v="0"/>
    <n v="0"/>
    <s v="MMR001CMP071"/>
    <x v="0"/>
    <x v="0"/>
    <s v="P3"/>
    <n v="0"/>
    <s v="No"/>
  </r>
  <r>
    <n v="42.133333333333333"/>
    <d v="2013-11-14T00:00:00"/>
    <x v="2"/>
    <m/>
    <s v="Kachin"/>
    <s v="Mansi"/>
    <s v="Man Wing Baptist Church"/>
    <m/>
    <m/>
    <m/>
    <m/>
    <m/>
    <m/>
    <m/>
    <m/>
    <m/>
    <m/>
    <m/>
    <n v="32"/>
    <m/>
    <m/>
    <m/>
    <m/>
    <m/>
    <n v="0"/>
    <n v="0"/>
    <n v="0"/>
    <n v="0"/>
    <n v="0"/>
    <n v="0"/>
    <n v="0"/>
    <n v="0"/>
    <n v="0"/>
    <n v="0"/>
    <n v="0"/>
    <n v="0"/>
    <n v="0"/>
    <n v="0"/>
    <n v="1"/>
    <n v="0"/>
    <n v="0"/>
    <n v="0"/>
    <s v="MMR001CMP133"/>
    <x v="0"/>
    <x v="0"/>
    <s v="P4"/>
    <n v="0"/>
    <s v="No"/>
  </r>
  <r>
    <n v="42.133333333333333"/>
    <d v="2013-11-14T00:00:00"/>
    <x v="1"/>
    <s v="Solidarities"/>
    <s v="Kachin"/>
    <s v="Mansi"/>
    <s v="Man Wing Catholic Church"/>
    <m/>
    <m/>
    <m/>
    <m/>
    <m/>
    <m/>
    <m/>
    <m/>
    <m/>
    <m/>
    <m/>
    <n v="176"/>
    <n v="352"/>
    <n v="176"/>
    <m/>
    <m/>
    <m/>
    <n v="0"/>
    <n v="0"/>
    <n v="0"/>
    <n v="0"/>
    <n v="0"/>
    <n v="0"/>
    <n v="0"/>
    <n v="0"/>
    <n v="0"/>
    <n v="0"/>
    <n v="0"/>
    <n v="0"/>
    <n v="0"/>
    <n v="0"/>
    <n v="1"/>
    <n v="0"/>
    <n v="0"/>
    <n v="0"/>
    <s v="MMR001CMP132"/>
    <x v="0"/>
    <x v="0"/>
    <s v="P4"/>
    <n v="0"/>
    <m/>
  </r>
  <r>
    <n v="42.133333333333333"/>
    <d v="2013-11-14T00:00:00"/>
    <x v="0"/>
    <s v="UNHCR"/>
    <s v="Kachin"/>
    <s v="Mansi"/>
    <s v="Mansi Baptist Church"/>
    <m/>
    <m/>
    <n v="18"/>
    <n v="31"/>
    <n v="18"/>
    <n v="31"/>
    <n v="18"/>
    <n v="18"/>
    <m/>
    <m/>
    <m/>
    <m/>
    <m/>
    <m/>
    <m/>
    <m/>
    <m/>
    <n v="0"/>
    <n v="0"/>
    <n v="0"/>
    <n v="0"/>
    <n v="0"/>
    <n v="0"/>
    <n v="0"/>
    <n v="0"/>
    <n v="0"/>
    <n v="0"/>
    <n v="0"/>
    <n v="0"/>
    <n v="0"/>
    <n v="0"/>
    <n v="0"/>
    <n v="0"/>
    <n v="0"/>
    <n v="0"/>
    <s v="MMR001CMP066"/>
    <x v="0"/>
    <x v="0"/>
    <s v="P4"/>
    <n v="4.3291084441665265E-4"/>
    <s v="No"/>
  </r>
  <r>
    <n v="42.133333333333333"/>
    <d v="2013-11-14T00:00:00"/>
    <x v="2"/>
    <m/>
    <s v="Kachin"/>
    <s v="Momauk"/>
    <s v="Seng Ja "/>
    <m/>
    <m/>
    <m/>
    <m/>
    <m/>
    <n v="110"/>
    <m/>
    <m/>
    <m/>
    <m/>
    <m/>
    <m/>
    <m/>
    <m/>
    <m/>
    <m/>
    <m/>
    <n v="0"/>
    <n v="0"/>
    <n v="0"/>
    <n v="0"/>
    <n v="0"/>
    <n v="0"/>
    <n v="0"/>
    <n v="0"/>
    <n v="0"/>
    <n v="0"/>
    <n v="0"/>
    <n v="0"/>
    <n v="0"/>
    <n v="0"/>
    <n v="0"/>
    <n v="0"/>
    <n v="0"/>
    <n v="0"/>
    <s v="MMR001CMP073"/>
    <x v="0"/>
    <x v="0"/>
    <s v="P3"/>
    <n v="0"/>
    <s v="No"/>
  </r>
  <r>
    <n v="42.1"/>
    <d v="2013-11-15T00:00:00"/>
    <x v="1"/>
    <s v="LDO"/>
    <s v="Kachin"/>
    <s v="Momauk"/>
    <s v="Nhkawng Pa "/>
    <m/>
    <m/>
    <m/>
    <m/>
    <m/>
    <m/>
    <m/>
    <m/>
    <m/>
    <m/>
    <n v="387"/>
    <n v="760"/>
    <n v="2294"/>
    <n v="1147"/>
    <m/>
    <m/>
    <m/>
    <n v="0"/>
    <n v="0"/>
    <n v="0"/>
    <n v="0"/>
    <n v="0"/>
    <n v="0"/>
    <n v="0"/>
    <n v="0"/>
    <n v="0"/>
    <n v="0"/>
    <n v="0"/>
    <n v="0"/>
    <n v="0"/>
    <n v="0"/>
    <n v="1"/>
    <n v="0"/>
    <n v="0"/>
    <n v="0"/>
    <s v="MMR001CMP131"/>
    <x v="0"/>
    <x v="0"/>
    <s v="P1"/>
    <n v="0"/>
    <m/>
  </r>
  <r>
    <n v="42.133333333333333"/>
    <d v="2013-11-14T00:00:00"/>
    <x v="1"/>
    <s v="Solidarities"/>
    <s v="Kachin"/>
    <s v="Mansi"/>
    <s v="Lagatyan "/>
    <m/>
    <m/>
    <m/>
    <m/>
    <m/>
    <m/>
    <m/>
    <m/>
    <m/>
    <m/>
    <n v="120"/>
    <n v="207"/>
    <n v="654"/>
    <n v="327"/>
    <m/>
    <m/>
    <m/>
    <n v="0"/>
    <n v="0"/>
    <n v="0"/>
    <n v="0"/>
    <n v="0"/>
    <n v="0"/>
    <n v="0"/>
    <n v="0"/>
    <n v="0"/>
    <n v="0"/>
    <n v="0"/>
    <n v="0"/>
    <n v="0"/>
    <n v="0"/>
    <n v="1"/>
    <n v="0"/>
    <n v="0"/>
    <n v="0"/>
    <s v="MMR001CMP202"/>
    <x v="0"/>
    <x v="1"/>
    <s v="P4"/>
    <n v="0"/>
    <m/>
  </r>
  <r>
    <n v="42.06666666666667"/>
    <d v="2013-11-16T00:00:00"/>
    <x v="0"/>
    <s v="UNHCR "/>
    <s v="Kachin"/>
    <s v="Bhamo"/>
    <s v="Phan Khar Kone"/>
    <m/>
    <m/>
    <m/>
    <m/>
    <n v="11"/>
    <m/>
    <m/>
    <m/>
    <m/>
    <m/>
    <m/>
    <m/>
    <m/>
    <m/>
    <m/>
    <m/>
    <m/>
    <n v="0"/>
    <n v="0"/>
    <n v="0"/>
    <n v="0"/>
    <n v="0"/>
    <n v="0"/>
    <n v="0"/>
    <n v="0"/>
    <n v="0"/>
    <n v="0"/>
    <n v="0"/>
    <n v="0"/>
    <n v="0"/>
    <n v="0"/>
    <n v="0"/>
    <n v="0"/>
    <n v="0"/>
    <n v="0"/>
    <s v="MMR001CMP193"/>
    <x v="0"/>
    <x v="0"/>
    <s v="P4"/>
    <n v="0"/>
    <s v="No"/>
  </r>
  <r>
    <n v="42.1"/>
    <d v="2013-11-15T00:00:00"/>
    <x v="1"/>
    <s v="LDO"/>
    <s v="Kachin"/>
    <s v="Mansi"/>
    <s v="Lung Kawk  ( Hka Hkye Zup)"/>
    <m/>
    <m/>
    <m/>
    <m/>
    <m/>
    <m/>
    <m/>
    <m/>
    <m/>
    <m/>
    <n v="54"/>
    <n v="106"/>
    <n v="320"/>
    <n v="160"/>
    <m/>
    <m/>
    <m/>
    <n v="0"/>
    <n v="0"/>
    <n v="0"/>
    <n v="0"/>
    <n v="0"/>
    <n v="0"/>
    <n v="0"/>
    <n v="0"/>
    <n v="0"/>
    <n v="0"/>
    <n v="0"/>
    <n v="0"/>
    <n v="0"/>
    <n v="0"/>
    <n v="1"/>
    <n v="0"/>
    <n v="0"/>
    <n v="0"/>
    <s v="MMR001CMP135"/>
    <x v="0"/>
    <x v="1"/>
    <s v="P2"/>
    <n v="0"/>
    <m/>
  </r>
  <r>
    <n v="42.1"/>
    <d v="2013-11-15T00:00:00"/>
    <x v="0"/>
    <s v="UNHCR "/>
    <s v="Kachin"/>
    <s v="Bhamo"/>
    <m/>
    <m/>
    <m/>
    <m/>
    <m/>
    <n v="12"/>
    <m/>
    <m/>
    <m/>
    <m/>
    <m/>
    <m/>
    <m/>
    <m/>
    <m/>
    <m/>
    <m/>
    <m/>
    <n v="0"/>
    <n v="0"/>
    <n v="0"/>
    <n v="0"/>
    <n v="0"/>
    <n v="0"/>
    <n v="0"/>
    <n v="0"/>
    <n v="0"/>
    <n v="0"/>
    <n v="0"/>
    <n v="0"/>
    <n v="0"/>
    <n v="0"/>
    <n v="0"/>
    <n v="0"/>
    <n v="0"/>
    <n v="0"/>
    <s v=""/>
    <x v="1"/>
    <x v="2"/>
    <s v=""/>
    <s v=""/>
    <s v="No"/>
  </r>
  <r>
    <n v="42.06666666666667"/>
    <d v="2013-11-16T00:00:00"/>
    <x v="0"/>
    <s v="UNHCR"/>
    <s v="Kachin"/>
    <s v="Bhamo"/>
    <s v="Robert Church"/>
    <m/>
    <m/>
    <m/>
    <m/>
    <n v="10"/>
    <m/>
    <m/>
    <m/>
    <m/>
    <m/>
    <m/>
    <m/>
    <m/>
    <m/>
    <m/>
    <m/>
    <m/>
    <n v="0"/>
    <n v="0"/>
    <n v="0"/>
    <n v="0"/>
    <n v="0"/>
    <n v="0"/>
    <n v="0"/>
    <n v="0"/>
    <n v="0"/>
    <n v="0"/>
    <n v="0"/>
    <n v="0"/>
    <n v="0"/>
    <n v="0"/>
    <n v="0"/>
    <n v="0"/>
    <n v="0"/>
    <n v="0"/>
    <s v="MMR001CMP047"/>
    <x v="0"/>
    <x v="0"/>
    <s v="P4"/>
    <n v="0"/>
    <s v="No"/>
  </r>
  <r>
    <n v="42.033333333333331"/>
    <d v="2013-11-17T00:00:00"/>
    <x v="2"/>
    <m/>
    <s v="Kachin"/>
    <s v="Momauk"/>
    <s v="Loi Je Catholic Church"/>
    <m/>
    <m/>
    <m/>
    <m/>
    <m/>
    <n v="141"/>
    <m/>
    <m/>
    <m/>
    <m/>
    <m/>
    <m/>
    <m/>
    <m/>
    <m/>
    <m/>
    <m/>
    <n v="0"/>
    <n v="0"/>
    <n v="0"/>
    <n v="0"/>
    <n v="0"/>
    <n v="0"/>
    <n v="0"/>
    <n v="0"/>
    <n v="0"/>
    <n v="0"/>
    <n v="0"/>
    <n v="0"/>
    <n v="0"/>
    <n v="0"/>
    <n v="0"/>
    <n v="0"/>
    <n v="0"/>
    <n v="0"/>
    <s v="MMR001CMP069"/>
    <x v="0"/>
    <x v="0"/>
    <s v="P3"/>
    <n v="0"/>
    <s v="No"/>
  </r>
  <r>
    <n v="42.033333333333331"/>
    <d v="2013-11-17T00:00:00"/>
    <x v="0"/>
    <s v="UNHCR "/>
    <s v="Kachin"/>
    <s v="Mansi"/>
    <s v="Man Wing Catholic Church"/>
    <m/>
    <m/>
    <m/>
    <n v="700"/>
    <n v="350"/>
    <n v="700"/>
    <n v="350"/>
    <n v="350"/>
    <m/>
    <m/>
    <m/>
    <m/>
    <m/>
    <m/>
    <m/>
    <m/>
    <m/>
    <n v="0"/>
    <n v="0"/>
    <n v="0"/>
    <n v="0"/>
    <n v="0"/>
    <n v="0"/>
    <n v="0"/>
    <n v="0"/>
    <n v="0"/>
    <n v="0"/>
    <n v="0"/>
    <n v="0"/>
    <n v="0"/>
    <n v="0"/>
    <n v="0"/>
    <n v="0"/>
    <n v="0"/>
    <n v="0"/>
    <s v="MMR001CMP132"/>
    <x v="0"/>
    <x v="0"/>
    <s v="P4"/>
    <n v="8.5683509596553072E-3"/>
    <s v="No"/>
  </r>
  <r>
    <n v="42.033333333333331"/>
    <d v="2013-11-17T00:00:00"/>
    <x v="2"/>
    <m/>
    <s v="Kachin"/>
    <s v="Momauk"/>
    <s v="Nyaung Na Pin "/>
    <m/>
    <m/>
    <m/>
    <m/>
    <m/>
    <n v="145"/>
    <m/>
    <m/>
    <m/>
    <m/>
    <m/>
    <m/>
    <m/>
    <m/>
    <m/>
    <m/>
    <m/>
    <n v="0"/>
    <n v="0"/>
    <n v="0"/>
    <n v="0"/>
    <n v="0"/>
    <n v="0"/>
    <n v="0"/>
    <n v="0"/>
    <n v="0"/>
    <n v="0"/>
    <n v="0"/>
    <n v="0"/>
    <n v="0"/>
    <n v="0"/>
    <n v="0"/>
    <n v="0"/>
    <n v="0"/>
    <n v="0"/>
    <s v="MMR001CMP072"/>
    <x v="0"/>
    <x v="0"/>
    <s v="P3"/>
    <n v="0"/>
    <s v="No"/>
  </r>
  <r>
    <n v="42"/>
    <d v="2013-11-18T00:00:00"/>
    <x v="2"/>
    <m/>
    <s v="Kachin"/>
    <s v="Momauk"/>
    <s v="Loi Je Lisu Camp"/>
    <m/>
    <m/>
    <m/>
    <m/>
    <m/>
    <n v="395"/>
    <m/>
    <m/>
    <m/>
    <m/>
    <m/>
    <m/>
    <m/>
    <m/>
    <m/>
    <m/>
    <m/>
    <n v="0"/>
    <n v="0"/>
    <n v="0"/>
    <n v="0"/>
    <n v="0"/>
    <n v="0"/>
    <n v="0"/>
    <n v="0"/>
    <n v="0"/>
    <n v="0"/>
    <n v="0"/>
    <n v="0"/>
    <n v="0"/>
    <n v="0"/>
    <n v="0"/>
    <n v="0"/>
    <n v="0"/>
    <n v="0"/>
    <s v="MMR001CMP070"/>
    <x v="0"/>
    <x v="0"/>
    <s v="P3"/>
    <n v="0"/>
    <s v="No"/>
  </r>
  <r>
    <n v="41.966666666666669"/>
    <d v="2013-11-19T00:00:00"/>
    <x v="0"/>
    <s v="UNHCR"/>
    <s v="Kachin"/>
    <s v="Bhamo"/>
    <s v="Host Families"/>
    <m/>
    <m/>
    <m/>
    <n v="57"/>
    <n v="33"/>
    <n v="57"/>
    <n v="33"/>
    <n v="33"/>
    <m/>
    <m/>
    <m/>
    <m/>
    <m/>
    <m/>
    <m/>
    <m/>
    <m/>
    <n v="0"/>
    <n v="0"/>
    <n v="0"/>
    <n v="0"/>
    <n v="0"/>
    <n v="0"/>
    <n v="0"/>
    <n v="0"/>
    <n v="0"/>
    <n v="0"/>
    <n v="0"/>
    <n v="0"/>
    <n v="0"/>
    <n v="0"/>
    <n v="0"/>
    <n v="0"/>
    <n v="0"/>
    <n v="0"/>
    <s v="MMR001CMP163"/>
    <x v="0"/>
    <x v="0"/>
    <s v="P4"/>
    <s v=""/>
    <s v="No"/>
  </r>
  <r>
    <n v="41.966666666666669"/>
    <d v="2013-11-19T00:00:00"/>
    <x v="1"/>
    <s v="KBC"/>
    <s v="Kachin"/>
    <s v="Waingmaw"/>
    <s v="Maga Yang "/>
    <m/>
    <m/>
    <m/>
    <m/>
    <m/>
    <m/>
    <m/>
    <m/>
    <m/>
    <m/>
    <n v="613"/>
    <n v="1226"/>
    <n v="3678"/>
    <n v="1839"/>
    <m/>
    <m/>
    <m/>
    <n v="0"/>
    <n v="0"/>
    <n v="0"/>
    <n v="0"/>
    <n v="0"/>
    <n v="0"/>
    <n v="0"/>
    <n v="0"/>
    <n v="0"/>
    <n v="0"/>
    <n v="0"/>
    <n v="0"/>
    <n v="0"/>
    <n v="0"/>
    <n v="1"/>
    <n v="0"/>
    <n v="0"/>
    <n v="0"/>
    <s v="MMR001CMP119"/>
    <x v="0"/>
    <x v="0"/>
    <s v="P2"/>
    <n v="0"/>
    <m/>
  </r>
  <r>
    <n v="41.966666666666669"/>
    <d v="2013-11-19T00:00:00"/>
    <x v="0"/>
    <s v="UNHCR"/>
    <s v="Kachin"/>
    <s v="Bhamo"/>
    <s v="Robert Church"/>
    <m/>
    <m/>
    <n v="40"/>
    <n v="38"/>
    <n v="20"/>
    <n v="38"/>
    <n v="20"/>
    <n v="20"/>
    <m/>
    <m/>
    <m/>
    <m/>
    <m/>
    <m/>
    <m/>
    <m/>
    <m/>
    <n v="0"/>
    <n v="0"/>
    <n v="0"/>
    <n v="0"/>
    <n v="0"/>
    <n v="0"/>
    <n v="0"/>
    <n v="0"/>
    <n v="0"/>
    <n v="0"/>
    <n v="0"/>
    <n v="0"/>
    <n v="0"/>
    <n v="0"/>
    <n v="0"/>
    <n v="0"/>
    <n v="0"/>
    <n v="0"/>
    <s v="MMR001CMP047"/>
    <x v="0"/>
    <x v="0"/>
    <s v="P4"/>
    <n v="4.9109883364027013E-4"/>
    <s v="No"/>
  </r>
  <r>
    <n v="41.93333333333333"/>
    <d v="2013-11-20T00:00:00"/>
    <x v="1"/>
    <s v="Solidarities"/>
    <s v="Kachin"/>
    <s v="Bhamo"/>
    <s v="Robert Church"/>
    <m/>
    <m/>
    <m/>
    <m/>
    <m/>
    <m/>
    <m/>
    <m/>
    <m/>
    <m/>
    <m/>
    <n v="19"/>
    <n v="38"/>
    <n v="19"/>
    <m/>
    <m/>
    <m/>
    <n v="0"/>
    <n v="0"/>
    <n v="0"/>
    <n v="0"/>
    <n v="0"/>
    <n v="0"/>
    <n v="0"/>
    <n v="0"/>
    <n v="0"/>
    <n v="0"/>
    <n v="0"/>
    <n v="0"/>
    <n v="0"/>
    <n v="0"/>
    <n v="1"/>
    <n v="0"/>
    <n v="0"/>
    <n v="0"/>
    <s v="MMR001CMP047"/>
    <x v="0"/>
    <x v="0"/>
    <s v="P4"/>
    <n v="0"/>
    <m/>
  </r>
  <r>
    <n v="41.966666666666669"/>
    <d v="2013-11-19T00:00:00"/>
    <x v="0"/>
    <s v="UNHCR"/>
    <s v="Kachin"/>
    <s v="Bhamo"/>
    <s v="Thu Kha Waddy"/>
    <m/>
    <m/>
    <m/>
    <n v="13"/>
    <n v="9"/>
    <n v="13"/>
    <n v="9"/>
    <n v="9"/>
    <m/>
    <m/>
    <m/>
    <m/>
    <m/>
    <m/>
    <m/>
    <m/>
    <m/>
    <n v="0"/>
    <n v="0"/>
    <n v="0"/>
    <n v="0"/>
    <n v="0"/>
    <n v="0"/>
    <n v="0"/>
    <n v="0"/>
    <n v="0"/>
    <n v="0"/>
    <n v="0"/>
    <n v="0"/>
    <n v="0"/>
    <n v="0"/>
    <n v="0"/>
    <n v="0"/>
    <n v="0"/>
    <n v="0"/>
    <s v="MMR001CMP211"/>
    <x v="0"/>
    <x v="1"/>
    <s v=""/>
    <s v=""/>
    <s v="No"/>
  </r>
  <r>
    <n v="41.9"/>
    <d v="2013-11-21T00:00:00"/>
    <x v="0"/>
    <s v="UNHCR"/>
    <s v="Kachin"/>
    <s v="Bhamo"/>
    <s v="Aung Thar Church"/>
    <m/>
    <m/>
    <m/>
    <n v="34"/>
    <n v="18"/>
    <n v="34"/>
    <n v="18"/>
    <n v="18"/>
    <m/>
    <m/>
    <m/>
    <m/>
    <m/>
    <m/>
    <m/>
    <m/>
    <m/>
    <n v="0"/>
    <n v="0"/>
    <n v="0"/>
    <n v="0"/>
    <n v="0"/>
    <n v="0"/>
    <n v="0"/>
    <n v="0"/>
    <n v="0"/>
    <n v="0"/>
    <n v="0"/>
    <n v="0"/>
    <n v="0"/>
    <n v="0"/>
    <n v="0"/>
    <n v="0"/>
    <n v="0"/>
    <n v="0"/>
    <s v="MMR001CMP194"/>
    <x v="0"/>
    <x v="0"/>
    <s v="P4"/>
    <n v="4.4131708632652562E-4"/>
    <s v="No"/>
  </r>
  <r>
    <n v="41.9"/>
    <d v="2013-11-21T00:00:00"/>
    <x v="0"/>
    <s v="UNHCR"/>
    <s v="Kachin"/>
    <s v="Bhamo"/>
    <s v="Phan Khar Kone"/>
    <m/>
    <m/>
    <m/>
    <n v="15"/>
    <n v="9"/>
    <n v="15"/>
    <n v="9"/>
    <n v="9"/>
    <m/>
    <m/>
    <m/>
    <m/>
    <m/>
    <m/>
    <m/>
    <m/>
    <m/>
    <n v="0"/>
    <n v="0"/>
    <n v="0"/>
    <n v="0"/>
    <n v="0"/>
    <n v="0"/>
    <n v="0"/>
    <n v="0"/>
    <n v="0"/>
    <n v="0"/>
    <n v="0"/>
    <n v="0"/>
    <n v="0"/>
    <n v="0"/>
    <n v="0"/>
    <n v="0"/>
    <n v="0"/>
    <n v="0"/>
    <s v="MMR001CMP193"/>
    <x v="0"/>
    <x v="0"/>
    <s v="P4"/>
    <n v="2.1804966686856452E-4"/>
    <s v="No"/>
  </r>
  <r>
    <n v="41.833333333333336"/>
    <d v="2013-11-23T00:00:00"/>
    <x v="2"/>
    <m/>
    <s v="Kachin"/>
    <s v="Waingmaw"/>
    <s v="Border Post 8"/>
    <m/>
    <m/>
    <m/>
    <m/>
    <m/>
    <n v="358"/>
    <m/>
    <m/>
    <m/>
    <m/>
    <m/>
    <m/>
    <m/>
    <m/>
    <m/>
    <m/>
    <m/>
    <n v="0"/>
    <n v="0"/>
    <n v="0"/>
    <n v="0"/>
    <n v="0"/>
    <n v="0"/>
    <n v="0"/>
    <n v="0"/>
    <n v="0"/>
    <n v="0"/>
    <n v="0"/>
    <n v="0"/>
    <n v="0"/>
    <n v="0"/>
    <n v="0"/>
    <n v="0"/>
    <n v="0"/>
    <n v="0"/>
    <s v="MMR001CMP113"/>
    <x v="0"/>
    <x v="0"/>
    <s v="P1"/>
    <n v="0"/>
    <s v="No"/>
  </r>
  <r>
    <n v="41.9"/>
    <d v="2013-11-21T00:00:00"/>
    <x v="0"/>
    <s v="UNHCR "/>
    <s v="Kachin"/>
    <s v="Mansi"/>
    <s v="Man Kawng Baptist Church"/>
    <m/>
    <m/>
    <m/>
    <n v="400"/>
    <n v="210"/>
    <n v="400"/>
    <n v="210"/>
    <m/>
    <m/>
    <n v="210"/>
    <m/>
    <m/>
    <m/>
    <m/>
    <m/>
    <m/>
    <m/>
    <n v="0"/>
    <n v="0"/>
    <n v="0"/>
    <n v="0"/>
    <n v="0"/>
    <n v="0"/>
    <n v="0"/>
    <n v="0"/>
    <n v="0"/>
    <n v="0"/>
    <n v="0"/>
    <n v="0"/>
    <n v="0"/>
    <n v="0"/>
    <n v="0"/>
    <n v="0"/>
    <n v="0"/>
    <n v="0"/>
    <s v="MMR001CMP212"/>
    <x v="0"/>
    <x v="1"/>
    <s v=""/>
    <s v=""/>
    <s v="No"/>
  </r>
  <r>
    <n v="41.8"/>
    <d v="2013-11-24T00:00:00"/>
    <x v="1"/>
    <s v="Solidarities"/>
    <s v="Kachin"/>
    <s v="Shwegu"/>
    <s v="Lawk Awng Mare D. (Sinbo Area)"/>
    <m/>
    <m/>
    <m/>
    <m/>
    <m/>
    <m/>
    <m/>
    <m/>
    <m/>
    <m/>
    <n v="45"/>
    <n v="90"/>
    <n v="270"/>
    <n v="135"/>
    <m/>
    <m/>
    <m/>
    <n v="0"/>
    <n v="0"/>
    <n v="0"/>
    <n v="0"/>
    <n v="0"/>
    <n v="0"/>
    <n v="0"/>
    <n v="0"/>
    <n v="0"/>
    <n v="0"/>
    <n v="0"/>
    <n v="0"/>
    <n v="0"/>
    <n v="0"/>
    <n v="1"/>
    <n v="0"/>
    <n v="0"/>
    <n v="0"/>
    <s v="MMR001CMP147"/>
    <x v="2"/>
    <x v="0"/>
    <s v="P4"/>
    <n v="0"/>
    <m/>
  </r>
  <r>
    <n v="41.766666666666666"/>
    <d v="2013-11-25T00:00:00"/>
    <x v="1"/>
    <s v="Solidarities"/>
    <s v="Kachin"/>
    <s v="Mansi"/>
    <s v="Man Wing Baptist Church"/>
    <m/>
    <m/>
    <m/>
    <m/>
    <m/>
    <m/>
    <m/>
    <m/>
    <m/>
    <m/>
    <m/>
    <m/>
    <m/>
    <m/>
    <m/>
    <m/>
    <m/>
    <n v="0"/>
    <n v="0"/>
    <n v="0"/>
    <n v="0"/>
    <n v="0"/>
    <n v="0"/>
    <n v="0"/>
    <n v="0"/>
    <n v="0"/>
    <n v="0"/>
    <n v="0"/>
    <n v="0"/>
    <n v="0"/>
    <n v="0"/>
    <n v="0"/>
    <n v="0"/>
    <n v="0"/>
    <n v="0"/>
    <s v="MMR001CMP133"/>
    <x v="0"/>
    <x v="0"/>
    <s v="P4"/>
    <n v="0"/>
    <m/>
  </r>
  <r>
    <n v="41.8"/>
    <d v="2013-11-24T00:00:00"/>
    <x v="1"/>
    <s v="Solidarities"/>
    <s v="Kachin"/>
    <s v="Mansi"/>
    <s v="Ban Hkung (School)"/>
    <m/>
    <m/>
    <m/>
    <m/>
    <m/>
    <m/>
    <m/>
    <m/>
    <m/>
    <m/>
    <n v="24"/>
    <n v="48"/>
    <n v="144"/>
    <n v="72"/>
    <m/>
    <m/>
    <m/>
    <n v="0"/>
    <n v="0"/>
    <n v="0"/>
    <n v="0"/>
    <n v="0"/>
    <n v="0"/>
    <n v="0"/>
    <n v="0"/>
    <n v="0"/>
    <n v="0"/>
    <n v="0"/>
    <n v="0"/>
    <n v="0"/>
    <n v="0"/>
    <n v="1"/>
    <n v="0"/>
    <n v="0"/>
    <n v="0"/>
    <s v="MMR001CMP215"/>
    <x v="0"/>
    <x v="1"/>
    <s v=""/>
    <s v=""/>
    <m/>
  </r>
  <r>
    <n v="41.8"/>
    <d v="2013-11-24T00:00:00"/>
    <x v="1"/>
    <s v="Solidarities"/>
    <s v="Kachin"/>
    <s v="Mansi"/>
    <s v="Ban Hkung Yang (Boarding School)"/>
    <m/>
    <m/>
    <m/>
    <m/>
    <m/>
    <m/>
    <m/>
    <m/>
    <m/>
    <m/>
    <n v="135"/>
    <n v="270"/>
    <n v="810"/>
    <n v="405"/>
    <m/>
    <m/>
    <m/>
    <n v="0"/>
    <n v="0"/>
    <n v="0"/>
    <n v="0"/>
    <n v="0"/>
    <n v="0"/>
    <n v="0"/>
    <n v="0"/>
    <n v="0"/>
    <n v="0"/>
    <n v="0"/>
    <n v="0"/>
    <n v="0"/>
    <n v="0"/>
    <n v="1"/>
    <n v="0"/>
    <n v="0"/>
    <n v="0"/>
    <s v="MMR001CMP214"/>
    <x v="0"/>
    <x v="1"/>
    <s v=""/>
    <s v=""/>
    <m/>
  </r>
  <r>
    <n v="41.766666666666666"/>
    <d v="2013-11-25T00:00:00"/>
    <x v="1"/>
    <s v="Solidarities"/>
    <s v="Kachin"/>
    <s v="Mansi"/>
    <s v="Man Wing Baptist Church"/>
    <m/>
    <m/>
    <m/>
    <m/>
    <m/>
    <m/>
    <m/>
    <m/>
    <m/>
    <m/>
    <n v="19"/>
    <n v="38"/>
    <n v="114"/>
    <n v="57"/>
    <m/>
    <m/>
    <m/>
    <n v="0"/>
    <n v="0"/>
    <n v="0"/>
    <n v="0"/>
    <n v="0"/>
    <n v="0"/>
    <n v="0"/>
    <n v="0"/>
    <n v="0"/>
    <n v="0"/>
    <n v="0"/>
    <n v="0"/>
    <n v="0"/>
    <n v="0"/>
    <n v="1"/>
    <n v="0"/>
    <n v="0"/>
    <n v="0"/>
    <s v="MMR001CMP133"/>
    <x v="0"/>
    <x v="0"/>
    <s v="P4"/>
    <n v="0"/>
    <m/>
  </r>
  <r>
    <n v="41.766666666666666"/>
    <d v="2013-11-25T00:00:00"/>
    <x v="1"/>
    <s v="Solidarities"/>
    <s v="Kachin"/>
    <s v="Mansi"/>
    <s v="Man Wing Catholic Church"/>
    <m/>
    <m/>
    <m/>
    <m/>
    <m/>
    <m/>
    <m/>
    <m/>
    <m/>
    <m/>
    <n v="60"/>
    <n v="120"/>
    <n v="360"/>
    <n v="180"/>
    <m/>
    <m/>
    <m/>
    <n v="0"/>
    <n v="0"/>
    <n v="0"/>
    <n v="0"/>
    <n v="0"/>
    <n v="0"/>
    <n v="0"/>
    <n v="0"/>
    <n v="0"/>
    <n v="0"/>
    <n v="0"/>
    <n v="0"/>
    <n v="0"/>
    <n v="0"/>
    <n v="1"/>
    <n v="0"/>
    <n v="0"/>
    <n v="0"/>
    <s v="MMR001CMP132"/>
    <x v="0"/>
    <x v="0"/>
    <s v="P4"/>
    <n v="0"/>
    <m/>
  </r>
  <r>
    <n v="41.733333333333334"/>
    <d v="2013-11-26T00:00:00"/>
    <x v="0"/>
    <s v="UNHCR"/>
    <s v="Kachin"/>
    <s v="Bhamo"/>
    <s v="Aung Thar Church"/>
    <m/>
    <m/>
    <m/>
    <n v="11"/>
    <n v="5"/>
    <n v="11"/>
    <n v="5"/>
    <n v="5"/>
    <m/>
    <m/>
    <m/>
    <m/>
    <m/>
    <m/>
    <m/>
    <m/>
    <m/>
    <n v="0"/>
    <n v="0"/>
    <n v="0"/>
    <n v="0"/>
    <n v="0"/>
    <n v="0"/>
    <n v="0"/>
    <n v="0"/>
    <n v="0"/>
    <n v="0"/>
    <n v="0"/>
    <n v="0"/>
    <n v="0"/>
    <n v="0"/>
    <n v="0"/>
    <n v="0"/>
    <n v="0"/>
    <n v="0"/>
    <s v="MMR001CMP194"/>
    <x v="0"/>
    <x v="0"/>
    <s v="P4"/>
    <n v="1.2258807953514599E-4"/>
    <s v="No"/>
  </r>
  <r>
    <n v="41.733333333333334"/>
    <d v="2013-11-26T00:00:00"/>
    <x v="0"/>
    <s v="UNHCR"/>
    <s v="Kachin"/>
    <s v="Bhamo"/>
    <s v="Host Families"/>
    <m/>
    <m/>
    <m/>
    <n v="25"/>
    <n v="13"/>
    <n v="25"/>
    <n v="13"/>
    <n v="13"/>
    <m/>
    <m/>
    <m/>
    <m/>
    <m/>
    <m/>
    <m/>
    <m/>
    <m/>
    <n v="0"/>
    <n v="0"/>
    <n v="0"/>
    <n v="0"/>
    <n v="0"/>
    <n v="0"/>
    <n v="0"/>
    <n v="0"/>
    <n v="0"/>
    <n v="0"/>
    <n v="0"/>
    <n v="0"/>
    <n v="0"/>
    <n v="0"/>
    <n v="0"/>
    <n v="0"/>
    <n v="0"/>
    <n v="0"/>
    <s v="MMR001CMP163"/>
    <x v="0"/>
    <x v="0"/>
    <s v="P4"/>
    <s v=""/>
    <s v="No"/>
  </r>
  <r>
    <n v="41.733333333333334"/>
    <d v="2013-11-26T00:00:00"/>
    <x v="0"/>
    <s v="UNHCR"/>
    <s v="Kachin"/>
    <s v="Bhamo"/>
    <s v="Lisu Boarding-House"/>
    <m/>
    <m/>
    <m/>
    <n v="31"/>
    <n v="13"/>
    <n v="31"/>
    <n v="13"/>
    <n v="13"/>
    <m/>
    <m/>
    <m/>
    <m/>
    <m/>
    <m/>
    <m/>
    <m/>
    <m/>
    <n v="0"/>
    <n v="0"/>
    <n v="0"/>
    <n v="0"/>
    <n v="0"/>
    <n v="0"/>
    <n v="0"/>
    <n v="0"/>
    <n v="0"/>
    <n v="0"/>
    <n v="0"/>
    <n v="0"/>
    <n v="0"/>
    <n v="0"/>
    <n v="0"/>
    <n v="0"/>
    <n v="0"/>
    <n v="0"/>
    <s v="MMR001CMP049"/>
    <x v="0"/>
    <x v="0"/>
    <s v="P4"/>
    <n v="3.1944956382848013E-4"/>
    <s v="No"/>
  </r>
  <r>
    <n v="41.733333333333334"/>
    <d v="2013-11-26T00:00:00"/>
    <x v="0"/>
    <s v="UNHCR"/>
    <s v="Kachin"/>
    <s v="Bhamo"/>
    <s v="Mu-yin Baptist Church"/>
    <m/>
    <m/>
    <m/>
    <n v="22"/>
    <n v="11"/>
    <n v="22"/>
    <n v="11"/>
    <n v="11"/>
    <m/>
    <m/>
    <m/>
    <m/>
    <m/>
    <m/>
    <m/>
    <m/>
    <m/>
    <n v="0"/>
    <n v="0"/>
    <n v="0"/>
    <n v="0"/>
    <n v="0"/>
    <n v="0"/>
    <n v="0"/>
    <n v="0"/>
    <n v="0"/>
    <n v="0"/>
    <n v="0"/>
    <n v="0"/>
    <n v="0"/>
    <n v="0"/>
    <n v="0"/>
    <n v="0"/>
    <n v="0"/>
    <n v="0"/>
    <s v="MMR001CMP051"/>
    <x v="0"/>
    <x v="0"/>
    <s v="P4"/>
    <n v="2.6710050263458222E-4"/>
    <s v="No"/>
  </r>
  <r>
    <n v="41.733333333333334"/>
    <d v="2013-11-26T00:00:00"/>
    <x v="1"/>
    <s v="KBC"/>
    <s v="Kachin"/>
    <s v="Waingmaw"/>
    <s v="Pajau - Jan Mai"/>
    <m/>
    <m/>
    <m/>
    <m/>
    <m/>
    <m/>
    <m/>
    <m/>
    <m/>
    <m/>
    <n v="98"/>
    <n v="196"/>
    <n v="588"/>
    <n v="294"/>
    <m/>
    <m/>
    <m/>
    <n v="0"/>
    <n v="0"/>
    <n v="0"/>
    <n v="0"/>
    <n v="0"/>
    <n v="0"/>
    <n v="0"/>
    <n v="0"/>
    <n v="0"/>
    <n v="0"/>
    <n v="0"/>
    <n v="0"/>
    <n v="0"/>
    <n v="0"/>
    <n v="1"/>
    <n v="0"/>
    <n v="0"/>
    <n v="0"/>
    <s v="MMR001CMP120"/>
    <x v="0"/>
    <x v="0"/>
    <s v="P1"/>
    <n v="0"/>
    <m/>
  </r>
  <r>
    <n v="41.666666666666664"/>
    <d v="2013-11-28T00:00:00"/>
    <x v="0"/>
    <s v="UNHCR"/>
    <s v="Kachin"/>
    <s v="Mansi"/>
    <s v="Mansi Baptist Church"/>
    <m/>
    <m/>
    <m/>
    <n v="20"/>
    <n v="7"/>
    <n v="22"/>
    <n v="7"/>
    <n v="7"/>
    <m/>
    <m/>
    <m/>
    <m/>
    <m/>
    <m/>
    <m/>
    <m/>
    <m/>
    <n v="0"/>
    <n v="0"/>
    <n v="0"/>
    <n v="0"/>
    <n v="0"/>
    <n v="0"/>
    <n v="0"/>
    <n v="0"/>
    <n v="0"/>
    <n v="0"/>
    <n v="0"/>
    <n v="0"/>
    <n v="0"/>
    <n v="0"/>
    <n v="0"/>
    <n v="0"/>
    <n v="0"/>
    <n v="0"/>
    <s v="MMR001CMP066"/>
    <x v="0"/>
    <x v="0"/>
    <s v="P4"/>
    <n v="1.6835421727314268E-4"/>
    <s v="No"/>
  </r>
  <r>
    <n v="41.733333333333334"/>
    <d v="2013-11-26T00:00:00"/>
    <x v="1"/>
    <s v="Solidarities"/>
    <s v="Kachin"/>
    <s v="Mansi"/>
    <s v="Lagatyan "/>
    <m/>
    <m/>
    <m/>
    <m/>
    <m/>
    <m/>
    <m/>
    <m/>
    <m/>
    <m/>
    <n v="80"/>
    <n v="160"/>
    <n v="480"/>
    <n v="240"/>
    <m/>
    <m/>
    <m/>
    <n v="0"/>
    <n v="0"/>
    <n v="0"/>
    <n v="0"/>
    <n v="0"/>
    <n v="0"/>
    <n v="0"/>
    <n v="0"/>
    <n v="0"/>
    <n v="0"/>
    <n v="0"/>
    <n v="0"/>
    <n v="0"/>
    <n v="0"/>
    <n v="1"/>
    <n v="0"/>
    <n v="0"/>
    <n v="0"/>
    <s v="MMR001CMP202"/>
    <x v="0"/>
    <x v="1"/>
    <s v="P4"/>
    <n v="0"/>
    <m/>
  </r>
  <r>
    <n v="41.633333333333333"/>
    <d v="2013-11-29T00:00:00"/>
    <x v="1"/>
    <s v="KBC"/>
    <s v="Kachin"/>
    <s v="Waingmaw"/>
    <s v="Hkau Shau (BP 12)"/>
    <m/>
    <m/>
    <m/>
    <m/>
    <m/>
    <m/>
    <m/>
    <m/>
    <m/>
    <m/>
    <n v="177"/>
    <n v="354"/>
    <n v="1062"/>
    <n v="531"/>
    <m/>
    <m/>
    <m/>
    <n v="0"/>
    <n v="0"/>
    <n v="0"/>
    <n v="0"/>
    <n v="0"/>
    <n v="0"/>
    <n v="0"/>
    <n v="0"/>
    <n v="0"/>
    <n v="0"/>
    <n v="0"/>
    <n v="0"/>
    <n v="0"/>
    <n v="0"/>
    <n v="1"/>
    <n v="0"/>
    <n v="0"/>
    <n v="0"/>
    <s v="MMR001CMP115"/>
    <x v="0"/>
    <x v="0"/>
    <s v="P1"/>
    <n v="0"/>
    <m/>
  </r>
  <r>
    <n v="41.666666666666664"/>
    <d v="2013-11-28T00:00:00"/>
    <x v="1"/>
    <s v="KBC"/>
    <s v="Kachin"/>
    <s v="Waingmaw"/>
    <s v="Zai Awng - Mung Ga Zup"/>
    <m/>
    <m/>
    <m/>
    <m/>
    <m/>
    <m/>
    <m/>
    <m/>
    <m/>
    <m/>
    <n v="636"/>
    <n v="1272"/>
    <n v="3816"/>
    <n v="1908"/>
    <m/>
    <m/>
    <m/>
    <n v="0"/>
    <n v="0"/>
    <n v="0"/>
    <n v="0"/>
    <n v="0"/>
    <n v="0"/>
    <n v="0"/>
    <n v="0"/>
    <n v="0"/>
    <n v="0"/>
    <n v="0"/>
    <n v="0"/>
    <n v="0"/>
    <n v="0"/>
    <n v="1"/>
    <n v="0"/>
    <n v="0"/>
    <n v="0"/>
    <s v="MMR001CMP111"/>
    <x v="0"/>
    <x v="1"/>
    <s v="P2"/>
    <n v="0"/>
    <m/>
  </r>
  <r>
    <n v="41.6"/>
    <d v="2013-11-30T00:00:00"/>
    <x v="6"/>
    <s v="MDCG"/>
    <s v="Kachin"/>
    <s v="Bhamo"/>
    <s v="AD-2000 Tharthana Compound"/>
    <m/>
    <m/>
    <m/>
    <m/>
    <m/>
    <n v="104"/>
    <m/>
    <m/>
    <m/>
    <m/>
    <n v="146"/>
    <n v="39"/>
    <n v="0"/>
    <m/>
    <m/>
    <m/>
    <m/>
    <n v="0"/>
    <n v="0"/>
    <n v="0"/>
    <n v="0"/>
    <n v="0"/>
    <n v="0"/>
    <n v="0"/>
    <n v="0"/>
    <n v="0"/>
    <n v="0"/>
    <n v="0"/>
    <n v="0"/>
    <n v="0"/>
    <n v="0"/>
    <n v="1"/>
    <n v="0"/>
    <n v="0"/>
    <n v="0"/>
    <s v="MMR001CMP050"/>
    <x v="0"/>
    <x v="0"/>
    <s v="P4"/>
    <n v="0"/>
    <s v="No"/>
  </r>
  <r>
    <n v="41.6"/>
    <d v="2013-11-30T00:00:00"/>
    <x v="1"/>
    <m/>
    <s v="Kachin"/>
    <s v="Bhamo"/>
    <s v="Aung Thar Church"/>
    <m/>
    <m/>
    <m/>
    <m/>
    <m/>
    <m/>
    <m/>
    <m/>
    <m/>
    <m/>
    <m/>
    <m/>
    <m/>
    <m/>
    <m/>
    <m/>
    <m/>
    <n v="0"/>
    <n v="0"/>
    <n v="0"/>
    <n v="0"/>
    <n v="0"/>
    <n v="0"/>
    <n v="0"/>
    <n v="0"/>
    <n v="0"/>
    <n v="0"/>
    <n v="0"/>
    <n v="0"/>
    <n v="0"/>
    <n v="0"/>
    <n v="0"/>
    <n v="0"/>
    <n v="0"/>
    <n v="0"/>
    <s v="MMR001CMP194"/>
    <x v="0"/>
    <x v="1"/>
    <s v="P4"/>
    <n v="0"/>
    <s v="No"/>
  </r>
  <r>
    <n v="41.6"/>
    <d v="2013-11-30T00:00:00"/>
    <x v="1"/>
    <m/>
    <s v="Kachin"/>
    <s v="Bhamo"/>
    <s v="AD-2000 Tharthana Compound"/>
    <m/>
    <m/>
    <m/>
    <m/>
    <m/>
    <m/>
    <m/>
    <m/>
    <m/>
    <n v="660"/>
    <m/>
    <m/>
    <m/>
    <m/>
    <m/>
    <m/>
    <m/>
    <n v="0"/>
    <n v="0"/>
    <n v="0"/>
    <n v="0"/>
    <n v="0"/>
    <n v="0"/>
    <n v="0"/>
    <n v="0"/>
    <n v="0"/>
    <n v="0"/>
    <n v="0"/>
    <n v="0"/>
    <n v="0"/>
    <n v="0"/>
    <n v="0"/>
    <n v="0"/>
    <n v="0"/>
    <n v="0"/>
    <s v="MMR001CMP050"/>
    <x v="0"/>
    <x v="0"/>
    <s v="P4"/>
    <n v="0"/>
    <s v="No"/>
  </r>
  <r>
    <n v="41.6"/>
    <d v="2013-11-30T00:00:00"/>
    <x v="0"/>
    <s v="UNHCR"/>
    <s v="Kachin"/>
    <s v="Bhamo"/>
    <s v="AD-2000 Tharthana Compound"/>
    <m/>
    <m/>
    <m/>
    <n v="6"/>
    <n v="6"/>
    <n v="6"/>
    <n v="6"/>
    <n v="6"/>
    <m/>
    <m/>
    <m/>
    <m/>
    <m/>
    <m/>
    <m/>
    <m/>
    <m/>
    <n v="0"/>
    <n v="0"/>
    <n v="0"/>
    <n v="0"/>
    <n v="0"/>
    <n v="0"/>
    <n v="0"/>
    <n v="0"/>
    <n v="0"/>
    <n v="0"/>
    <n v="0"/>
    <n v="0"/>
    <n v="0"/>
    <n v="0"/>
    <n v="0"/>
    <n v="0"/>
    <n v="0"/>
    <n v="0"/>
    <s v="MMR001CMP050"/>
    <x v="0"/>
    <x v="0"/>
    <s v="P4"/>
    <n v="1.4688601645123384E-4"/>
    <s v="No"/>
  </r>
  <r>
    <n v="41.6"/>
    <d v="2013-11-30T00:00:00"/>
    <x v="1"/>
    <s v="KBC"/>
    <s v="Kachin"/>
    <s v="Waingmaw"/>
    <s v="Border Post 8"/>
    <m/>
    <m/>
    <m/>
    <m/>
    <m/>
    <m/>
    <m/>
    <m/>
    <m/>
    <m/>
    <m/>
    <m/>
    <m/>
    <m/>
    <m/>
    <m/>
    <m/>
    <n v="0"/>
    <n v="0"/>
    <n v="0"/>
    <n v="0"/>
    <n v="0"/>
    <n v="0"/>
    <n v="0"/>
    <n v="0"/>
    <n v="0"/>
    <n v="0"/>
    <n v="0"/>
    <n v="0"/>
    <n v="0"/>
    <n v="0"/>
    <n v="0"/>
    <n v="0"/>
    <n v="0"/>
    <n v="0"/>
    <s v="MMR001CMP113"/>
    <x v="0"/>
    <x v="0"/>
    <s v="P1"/>
    <n v="0"/>
    <s v="No"/>
  </r>
  <r>
    <n v="41.6"/>
    <d v="2013-11-30T00:00:00"/>
    <x v="6"/>
    <s v="MDCG"/>
    <s v="Kachin"/>
    <s v="Mansi"/>
    <s v="Bum Tsit Pa "/>
    <m/>
    <m/>
    <m/>
    <m/>
    <m/>
    <n v="819"/>
    <m/>
    <m/>
    <m/>
    <m/>
    <n v="966"/>
    <n v="484"/>
    <n v="0"/>
    <m/>
    <m/>
    <m/>
    <m/>
    <n v="0"/>
    <n v="0"/>
    <n v="0"/>
    <n v="0"/>
    <n v="0"/>
    <n v="0"/>
    <n v="0"/>
    <n v="0"/>
    <n v="0"/>
    <n v="0"/>
    <n v="0"/>
    <n v="0"/>
    <n v="0"/>
    <n v="0"/>
    <n v="1"/>
    <n v="0"/>
    <n v="0"/>
    <n v="0"/>
    <s v="MMR001CMP129"/>
    <x v="0"/>
    <x v="0"/>
    <s v="P2"/>
    <n v="0"/>
    <s v="No"/>
  </r>
  <r>
    <n v="41.6"/>
    <d v="2013-11-30T00:00:00"/>
    <x v="1"/>
    <s v="KBC"/>
    <s v="Kachin"/>
    <s v="Mansi"/>
    <s v="Bum Tsit Pa "/>
    <m/>
    <m/>
    <m/>
    <m/>
    <m/>
    <m/>
    <m/>
    <m/>
    <m/>
    <n v="321"/>
    <m/>
    <m/>
    <m/>
    <m/>
    <m/>
    <m/>
    <m/>
    <n v="0"/>
    <n v="0"/>
    <n v="0"/>
    <n v="0"/>
    <n v="0"/>
    <n v="0"/>
    <n v="0"/>
    <n v="0"/>
    <n v="0"/>
    <n v="0"/>
    <n v="0"/>
    <n v="0"/>
    <n v="0"/>
    <n v="0"/>
    <n v="0"/>
    <n v="0"/>
    <n v="0"/>
    <n v="0"/>
    <s v="MMR001CMP129"/>
    <x v="0"/>
    <x v="0"/>
    <s v="P2"/>
    <n v="0"/>
    <s v="No"/>
  </r>
  <r>
    <n v="41.6"/>
    <d v="2013-11-30T00:00:00"/>
    <x v="0"/>
    <s v="UNHCR"/>
    <s v="Kachin"/>
    <s v="Mansi"/>
    <s v="Bum Tsit Pa "/>
    <m/>
    <m/>
    <m/>
    <m/>
    <m/>
    <m/>
    <m/>
    <m/>
    <m/>
    <m/>
    <m/>
    <m/>
    <m/>
    <m/>
    <m/>
    <m/>
    <m/>
    <n v="0"/>
    <n v="0"/>
    <n v="0"/>
    <n v="0"/>
    <n v="0"/>
    <n v="0"/>
    <n v="0"/>
    <n v="0"/>
    <n v="0"/>
    <n v="0"/>
    <n v="0"/>
    <n v="0"/>
    <n v="0"/>
    <n v="0"/>
    <n v="0"/>
    <n v="0"/>
    <n v="0"/>
    <n v="0"/>
    <s v="MMR001CMP129"/>
    <x v="0"/>
    <x v="0"/>
    <s v="P2"/>
    <n v="0"/>
    <s v="No"/>
  </r>
  <r>
    <n v="41.6"/>
    <d v="2013-11-30T00:00:00"/>
    <x v="1"/>
    <s v="KBC"/>
    <s v="Kachin"/>
    <s v="Momauk"/>
    <s v="Dum Bung "/>
    <m/>
    <m/>
    <m/>
    <m/>
    <m/>
    <m/>
    <m/>
    <m/>
    <m/>
    <m/>
    <m/>
    <m/>
    <m/>
    <m/>
    <m/>
    <m/>
    <m/>
    <n v="0"/>
    <n v="0"/>
    <n v="0"/>
    <n v="0"/>
    <n v="0"/>
    <n v="0"/>
    <n v="0"/>
    <n v="0"/>
    <n v="0"/>
    <n v="0"/>
    <n v="0"/>
    <n v="0"/>
    <n v="0"/>
    <n v="0"/>
    <n v="0"/>
    <n v="0"/>
    <n v="0"/>
    <n v="0"/>
    <s v="MMR001CMP123"/>
    <x v="0"/>
    <x v="0"/>
    <s v="P2"/>
    <n v="0"/>
    <s v="No"/>
  </r>
  <r>
    <n v="41.6"/>
    <d v="2013-11-30T00:00:00"/>
    <x v="0"/>
    <s v="UNHCR"/>
    <s v="Kachin"/>
    <s v="Momauk"/>
    <s v="Dum Bung "/>
    <m/>
    <m/>
    <m/>
    <m/>
    <m/>
    <m/>
    <m/>
    <m/>
    <m/>
    <m/>
    <m/>
    <m/>
    <m/>
    <m/>
    <m/>
    <m/>
    <m/>
    <n v="0"/>
    <n v="0"/>
    <n v="0"/>
    <n v="0"/>
    <n v="0"/>
    <n v="0"/>
    <n v="0"/>
    <n v="0"/>
    <n v="0"/>
    <n v="0"/>
    <n v="0"/>
    <n v="0"/>
    <n v="0"/>
    <n v="0"/>
    <n v="0"/>
    <n v="0"/>
    <n v="0"/>
    <n v="0"/>
    <s v="MMR001CMP123"/>
    <x v="0"/>
    <x v="0"/>
    <s v="P2"/>
    <n v="0"/>
    <s v="No"/>
  </r>
  <r>
    <n v="41.6"/>
    <d v="2013-11-30T00:00:00"/>
    <x v="1"/>
    <s v="KBC"/>
    <s v="Kachin"/>
    <s v="Waingmaw"/>
    <s v="Hkat Cho "/>
    <m/>
    <m/>
    <m/>
    <m/>
    <m/>
    <m/>
    <m/>
    <m/>
    <m/>
    <m/>
    <m/>
    <m/>
    <m/>
    <m/>
    <m/>
    <m/>
    <m/>
    <n v="0"/>
    <n v="0"/>
    <n v="0"/>
    <n v="0"/>
    <n v="0"/>
    <n v="0"/>
    <n v="0"/>
    <n v="0"/>
    <n v="0"/>
    <n v="0"/>
    <n v="0"/>
    <n v="0"/>
    <n v="0"/>
    <n v="0"/>
    <n v="0"/>
    <n v="0"/>
    <n v="0"/>
    <n v="0"/>
    <s v="MMR001CMP028"/>
    <x v="0"/>
    <x v="0"/>
    <s v="P4"/>
    <n v="0"/>
    <s v="No"/>
  </r>
  <r>
    <n v="41.6"/>
    <d v="2013-11-30T00:00:00"/>
    <x v="1"/>
    <s v="KBC"/>
    <s v="Kachin"/>
    <s v="Waingmaw"/>
    <s v="Hkau Shau (BP 12)"/>
    <m/>
    <m/>
    <m/>
    <m/>
    <m/>
    <m/>
    <m/>
    <m/>
    <m/>
    <m/>
    <m/>
    <m/>
    <m/>
    <m/>
    <m/>
    <m/>
    <m/>
    <n v="0"/>
    <n v="0"/>
    <n v="0"/>
    <n v="0"/>
    <n v="0"/>
    <n v="0"/>
    <n v="0"/>
    <n v="0"/>
    <n v="0"/>
    <n v="0"/>
    <n v="0"/>
    <n v="0"/>
    <n v="0"/>
    <n v="0"/>
    <n v="0"/>
    <n v="0"/>
    <n v="0"/>
    <n v="0"/>
    <s v="MMR001CMP115"/>
    <x v="0"/>
    <x v="0"/>
    <s v="P1"/>
    <n v="0"/>
    <s v="No"/>
  </r>
  <r>
    <n v="41.6"/>
    <d v="2013-11-30T00:00:00"/>
    <x v="1"/>
    <s v="KBC"/>
    <s v="Kachin"/>
    <s v="Momauk"/>
    <s v="Hpun Lum Yang "/>
    <m/>
    <m/>
    <m/>
    <m/>
    <m/>
    <m/>
    <m/>
    <m/>
    <m/>
    <n v="978"/>
    <m/>
    <m/>
    <m/>
    <m/>
    <m/>
    <m/>
    <m/>
    <n v="0"/>
    <n v="0"/>
    <n v="0"/>
    <n v="0"/>
    <n v="0"/>
    <n v="0"/>
    <n v="0"/>
    <n v="0"/>
    <n v="0"/>
    <n v="0"/>
    <n v="0"/>
    <n v="0"/>
    <n v="0"/>
    <n v="0"/>
    <n v="0"/>
    <n v="0"/>
    <n v="0"/>
    <n v="0"/>
    <s v="MMR001CMP122"/>
    <x v="0"/>
    <x v="0"/>
    <s v="P2"/>
    <n v="0"/>
    <s v="No"/>
  </r>
  <r>
    <n v="41.6"/>
    <d v="2013-11-30T00:00:00"/>
    <x v="6"/>
    <s v="MDCG"/>
    <s v="Kachin"/>
    <s v="Mansi"/>
    <s v="Lagatyan "/>
    <m/>
    <m/>
    <m/>
    <m/>
    <m/>
    <n v="447"/>
    <m/>
    <m/>
    <m/>
    <m/>
    <n v="398"/>
    <n v="390"/>
    <n v="0"/>
    <m/>
    <m/>
    <m/>
    <m/>
    <n v="0"/>
    <n v="0"/>
    <n v="0"/>
    <n v="0"/>
    <n v="0"/>
    <n v="0"/>
    <n v="0"/>
    <n v="0"/>
    <n v="0"/>
    <n v="0"/>
    <n v="0"/>
    <n v="0"/>
    <n v="0"/>
    <n v="0"/>
    <n v="1"/>
    <n v="0"/>
    <n v="0"/>
    <n v="0"/>
    <s v="MMR001CMP202"/>
    <x v="0"/>
    <x v="1"/>
    <s v="P4"/>
    <n v="0"/>
    <s v="No"/>
  </r>
  <r>
    <n v="41.6"/>
    <d v="2013-11-30T00:00:00"/>
    <x v="1"/>
    <m/>
    <s v="Kachin"/>
    <s v="Mansi"/>
    <s v="Lagatyan "/>
    <m/>
    <m/>
    <m/>
    <m/>
    <m/>
    <m/>
    <m/>
    <m/>
    <m/>
    <m/>
    <m/>
    <m/>
    <m/>
    <m/>
    <m/>
    <m/>
    <m/>
    <n v="0"/>
    <n v="0"/>
    <n v="0"/>
    <n v="0"/>
    <n v="0"/>
    <n v="0"/>
    <n v="0"/>
    <n v="0"/>
    <n v="0"/>
    <n v="0"/>
    <n v="0"/>
    <n v="0"/>
    <n v="0"/>
    <n v="0"/>
    <n v="0"/>
    <n v="0"/>
    <n v="0"/>
    <n v="0"/>
    <s v="MMR001CMP202"/>
    <x v="0"/>
    <x v="1"/>
    <s v="P4"/>
    <n v="0"/>
    <s v="No"/>
  </r>
  <r>
    <n v="41.6"/>
    <d v="2013-11-30T00:00:00"/>
    <x v="1"/>
    <s v="KBC"/>
    <s v="Kachin"/>
    <s v="Waingmaw"/>
    <s v="Laiza Market 3 - Laiza Gat"/>
    <m/>
    <m/>
    <m/>
    <m/>
    <m/>
    <m/>
    <m/>
    <m/>
    <m/>
    <n v="729"/>
    <m/>
    <m/>
    <m/>
    <m/>
    <m/>
    <m/>
    <m/>
    <n v="0"/>
    <n v="0"/>
    <n v="0"/>
    <n v="0"/>
    <n v="0"/>
    <n v="0"/>
    <n v="0"/>
    <n v="0"/>
    <n v="0"/>
    <n v="0"/>
    <n v="0"/>
    <n v="0"/>
    <n v="0"/>
    <n v="0"/>
    <n v="0"/>
    <n v="0"/>
    <n v="0"/>
    <n v="0"/>
    <s v="MMR001CMP117"/>
    <x v="0"/>
    <x v="1"/>
    <s v="P2"/>
    <n v="0"/>
    <s v="No"/>
  </r>
  <r>
    <n v="41.6"/>
    <d v="2013-11-30T00:00:00"/>
    <x v="6"/>
    <s v="MDCG"/>
    <s v="Kachin"/>
    <s v="Bhamo"/>
    <s v="Htoi San Church"/>
    <m/>
    <m/>
    <m/>
    <m/>
    <m/>
    <n v="105"/>
    <m/>
    <m/>
    <m/>
    <m/>
    <n v="154"/>
    <n v="26"/>
    <n v="0"/>
    <m/>
    <m/>
    <m/>
    <m/>
    <n v="0"/>
    <n v="0"/>
    <n v="0"/>
    <n v="0"/>
    <n v="0"/>
    <n v="0"/>
    <n v="0"/>
    <n v="0"/>
    <n v="0"/>
    <n v="0"/>
    <n v="0"/>
    <n v="0"/>
    <n v="0"/>
    <n v="0"/>
    <n v="1"/>
    <n v="0"/>
    <n v="0"/>
    <n v="0"/>
    <s v="MMR001CMP052"/>
    <x v="0"/>
    <x v="0"/>
    <s v="P4"/>
    <n v="0"/>
    <s v="No"/>
  </r>
  <r>
    <n v="41.6"/>
    <d v="2013-11-30T00:00:00"/>
    <x v="1"/>
    <m/>
    <s v="Kachin"/>
    <s v="Bhamo"/>
    <s v="Htoi San Church"/>
    <m/>
    <m/>
    <m/>
    <m/>
    <m/>
    <m/>
    <m/>
    <m/>
    <m/>
    <n v="138"/>
    <m/>
    <m/>
    <m/>
    <m/>
    <m/>
    <m/>
    <m/>
    <n v="0"/>
    <n v="0"/>
    <n v="0"/>
    <n v="0"/>
    <n v="0"/>
    <n v="0"/>
    <n v="0"/>
    <n v="0"/>
    <n v="0"/>
    <n v="0"/>
    <n v="0"/>
    <n v="0"/>
    <n v="0"/>
    <n v="0"/>
    <n v="0"/>
    <n v="0"/>
    <n v="0"/>
    <n v="0"/>
    <s v="MMR001CMP052"/>
    <x v="0"/>
    <x v="0"/>
    <s v="P4"/>
    <n v="0"/>
    <s v="No"/>
  </r>
  <r>
    <n v="41.6"/>
    <d v="2013-11-30T00:00:00"/>
    <x v="1"/>
    <s v="KBC"/>
    <s v="Kachin"/>
    <s v="Momauk"/>
    <s v="Je Yang Hka "/>
    <m/>
    <m/>
    <m/>
    <m/>
    <m/>
    <m/>
    <m/>
    <m/>
    <m/>
    <n v="5268"/>
    <m/>
    <m/>
    <m/>
    <m/>
    <m/>
    <m/>
    <m/>
    <n v="0"/>
    <n v="0"/>
    <n v="0"/>
    <n v="0"/>
    <n v="0"/>
    <n v="0"/>
    <n v="0"/>
    <n v="0"/>
    <n v="0"/>
    <n v="0"/>
    <n v="0"/>
    <n v="0"/>
    <n v="0"/>
    <n v="0"/>
    <n v="0"/>
    <n v="0"/>
    <n v="0"/>
    <n v="0"/>
    <s v="MMR001CMP121"/>
    <x v="0"/>
    <x v="0"/>
    <s v="P2"/>
    <n v="0"/>
    <s v="No"/>
  </r>
  <r>
    <n v="41.6"/>
    <d v="2013-11-30T00:00:00"/>
    <x v="1"/>
    <s v="LDO"/>
    <s v="Kachin"/>
    <s v="Mansi"/>
    <s v="Lana Zup Ja "/>
    <m/>
    <m/>
    <m/>
    <m/>
    <m/>
    <m/>
    <m/>
    <m/>
    <m/>
    <m/>
    <m/>
    <m/>
    <m/>
    <m/>
    <m/>
    <m/>
    <m/>
    <n v="0"/>
    <n v="0"/>
    <n v="0"/>
    <n v="0"/>
    <n v="0"/>
    <n v="0"/>
    <n v="0"/>
    <n v="0"/>
    <n v="0"/>
    <n v="0"/>
    <n v="0"/>
    <n v="0"/>
    <n v="0"/>
    <n v="0"/>
    <n v="0"/>
    <n v="0"/>
    <n v="0"/>
    <n v="0"/>
    <s v="MMR001CMP128"/>
    <x v="0"/>
    <x v="0"/>
    <s v="P2"/>
    <n v="0"/>
    <s v="No"/>
  </r>
  <r>
    <n v="41.6"/>
    <d v="2013-11-30T00:00:00"/>
    <x v="0"/>
    <s v="UNHCR"/>
    <s v="Kachin"/>
    <s v="Mansi"/>
    <s v="Lana Zup Ja "/>
    <m/>
    <m/>
    <m/>
    <m/>
    <m/>
    <m/>
    <m/>
    <m/>
    <m/>
    <m/>
    <m/>
    <m/>
    <m/>
    <m/>
    <m/>
    <m/>
    <m/>
    <n v="0"/>
    <n v="0"/>
    <n v="0"/>
    <n v="0"/>
    <n v="0"/>
    <n v="0"/>
    <n v="0"/>
    <n v="0"/>
    <n v="0"/>
    <n v="0"/>
    <n v="0"/>
    <n v="0"/>
    <n v="0"/>
    <n v="0"/>
    <n v="0"/>
    <n v="0"/>
    <n v="0"/>
    <n v="0"/>
    <s v="MMR001CMP128"/>
    <x v="0"/>
    <x v="0"/>
    <s v="P2"/>
    <n v="0"/>
    <s v="No"/>
  </r>
  <r>
    <n v="41.6"/>
    <d v="2013-11-30T00:00:00"/>
    <x v="1"/>
    <s v="KBC"/>
    <s v="Kachin"/>
    <s v="Chipwi"/>
    <s v="Lhaovao Baptist Church (LBC)"/>
    <m/>
    <m/>
    <m/>
    <m/>
    <m/>
    <m/>
    <m/>
    <m/>
    <m/>
    <m/>
    <m/>
    <m/>
    <m/>
    <m/>
    <m/>
    <m/>
    <m/>
    <n v="0"/>
    <n v="0"/>
    <n v="0"/>
    <n v="0"/>
    <n v="0"/>
    <n v="0"/>
    <n v="0"/>
    <n v="0"/>
    <n v="0"/>
    <n v="0"/>
    <n v="0"/>
    <n v="0"/>
    <n v="0"/>
    <n v="0"/>
    <n v="0"/>
    <n v="0"/>
    <n v="0"/>
    <n v="0"/>
    <s v="MMR001CMP195"/>
    <x v="0"/>
    <x v="0"/>
    <s v="P1"/>
    <n v="0"/>
    <s v="No"/>
  </r>
  <r>
    <n v="41.6"/>
    <d v="2013-11-30T00:00:00"/>
    <x v="6"/>
    <s v="MDCG"/>
    <s v="Kachin"/>
    <s v="Bhamo"/>
    <s v="Lisu Boarding-House"/>
    <m/>
    <m/>
    <m/>
    <m/>
    <m/>
    <n v="206"/>
    <m/>
    <m/>
    <m/>
    <m/>
    <n v="242"/>
    <n v="156"/>
    <n v="0"/>
    <m/>
    <m/>
    <m/>
    <m/>
    <n v="0"/>
    <n v="0"/>
    <n v="0"/>
    <n v="0"/>
    <n v="0"/>
    <n v="0"/>
    <n v="0"/>
    <n v="0"/>
    <n v="0"/>
    <n v="0"/>
    <n v="0"/>
    <n v="0"/>
    <n v="0"/>
    <n v="0"/>
    <n v="1"/>
    <n v="0"/>
    <n v="0"/>
    <n v="0"/>
    <s v="MMR001CMP049"/>
    <x v="0"/>
    <x v="0"/>
    <s v="P4"/>
    <n v="0"/>
    <s v="No"/>
  </r>
  <r>
    <n v="41.6"/>
    <d v="2013-11-30T00:00:00"/>
    <x v="1"/>
    <m/>
    <s v="Kachin"/>
    <s v="Bhamo"/>
    <s v="Lisu Boarding-House"/>
    <m/>
    <m/>
    <m/>
    <m/>
    <m/>
    <m/>
    <m/>
    <m/>
    <m/>
    <n v="120"/>
    <m/>
    <m/>
    <m/>
    <m/>
    <m/>
    <m/>
    <m/>
    <n v="0"/>
    <n v="0"/>
    <n v="0"/>
    <n v="0"/>
    <n v="0"/>
    <n v="0"/>
    <n v="0"/>
    <n v="0"/>
    <n v="0"/>
    <n v="0"/>
    <n v="0"/>
    <n v="0"/>
    <n v="0"/>
    <n v="0"/>
    <n v="0"/>
    <n v="0"/>
    <n v="0"/>
    <n v="0"/>
    <s v="MMR001CMP049"/>
    <x v="0"/>
    <x v="0"/>
    <s v="P4"/>
    <n v="0"/>
    <s v="No"/>
  </r>
  <r>
    <n v="41.6"/>
    <d v="2013-11-30T00:00:00"/>
    <x v="1"/>
    <m/>
    <s v="Kachin"/>
    <s v="Momauk"/>
    <s v="Loi Je Baptist Church"/>
    <m/>
    <m/>
    <m/>
    <m/>
    <m/>
    <m/>
    <m/>
    <m/>
    <m/>
    <n v="105"/>
    <m/>
    <m/>
    <m/>
    <m/>
    <m/>
    <m/>
    <m/>
    <n v="0"/>
    <n v="0"/>
    <n v="0"/>
    <n v="0"/>
    <n v="0"/>
    <n v="0"/>
    <n v="0"/>
    <n v="0"/>
    <n v="0"/>
    <n v="0"/>
    <n v="0"/>
    <n v="0"/>
    <n v="0"/>
    <n v="0"/>
    <n v="0"/>
    <n v="0"/>
    <n v="0"/>
    <n v="0"/>
    <s v="MMR001CMP071"/>
    <x v="0"/>
    <x v="0"/>
    <s v="P3"/>
    <n v="0"/>
    <s v="No"/>
  </r>
  <r>
    <n v="41.6"/>
    <d v="2013-11-30T00:00:00"/>
    <x v="1"/>
    <s v="LDO"/>
    <s v="Kachin"/>
    <s v="Mansi"/>
    <s v="Lung Kawk  ( Hka Hkye Zup)"/>
    <m/>
    <m/>
    <m/>
    <m/>
    <m/>
    <m/>
    <m/>
    <m/>
    <m/>
    <m/>
    <m/>
    <m/>
    <m/>
    <m/>
    <m/>
    <m/>
    <m/>
    <n v="0"/>
    <n v="0"/>
    <n v="0"/>
    <n v="0"/>
    <n v="0"/>
    <n v="0"/>
    <n v="0"/>
    <n v="0"/>
    <n v="0"/>
    <n v="0"/>
    <n v="0"/>
    <n v="0"/>
    <n v="0"/>
    <n v="0"/>
    <n v="0"/>
    <n v="0"/>
    <n v="0"/>
    <n v="0"/>
    <s v="MMR001CMP135"/>
    <x v="0"/>
    <x v="1"/>
    <s v="P2"/>
    <n v="0"/>
    <s v="No"/>
  </r>
  <r>
    <n v="41.6"/>
    <d v="2013-11-30T00:00:00"/>
    <x v="1"/>
    <m/>
    <s v="Kachin"/>
    <s v="Momauk"/>
    <s v="Loi Je Catholic Church"/>
    <m/>
    <m/>
    <m/>
    <m/>
    <m/>
    <m/>
    <m/>
    <m/>
    <m/>
    <n v="246"/>
    <m/>
    <m/>
    <m/>
    <m/>
    <m/>
    <m/>
    <m/>
    <n v="0"/>
    <n v="0"/>
    <n v="0"/>
    <n v="0"/>
    <n v="0"/>
    <n v="0"/>
    <n v="0"/>
    <n v="0"/>
    <n v="0"/>
    <n v="0"/>
    <n v="0"/>
    <n v="0"/>
    <n v="0"/>
    <n v="0"/>
    <n v="0"/>
    <n v="0"/>
    <n v="0"/>
    <n v="0"/>
    <s v="MMR001CMP069"/>
    <x v="0"/>
    <x v="0"/>
    <s v="P3"/>
    <n v="0"/>
    <s v="No"/>
  </r>
  <r>
    <n v="41.6"/>
    <d v="2013-11-30T00:00:00"/>
    <x v="1"/>
    <m/>
    <s v="Kachin"/>
    <s v="Momauk"/>
    <s v="Loi Je Lisu Camp"/>
    <m/>
    <m/>
    <m/>
    <m/>
    <m/>
    <m/>
    <m/>
    <m/>
    <m/>
    <n v="369"/>
    <m/>
    <m/>
    <m/>
    <m/>
    <m/>
    <m/>
    <m/>
    <n v="0"/>
    <n v="0"/>
    <n v="0"/>
    <n v="0"/>
    <n v="0"/>
    <n v="0"/>
    <n v="0"/>
    <n v="0"/>
    <n v="0"/>
    <n v="0"/>
    <n v="0"/>
    <n v="0"/>
    <n v="0"/>
    <n v="0"/>
    <n v="0"/>
    <n v="0"/>
    <n v="0"/>
    <n v="0"/>
    <s v="MMR001CMP070"/>
    <x v="0"/>
    <x v="0"/>
    <s v="P3"/>
    <n v="0"/>
    <s v="No"/>
  </r>
  <r>
    <n v="41.6"/>
    <d v="2013-11-30T00:00:00"/>
    <x v="1"/>
    <s v="KBC"/>
    <s v="Kachin"/>
    <s v="Waingmaw"/>
    <s v="Mading Baptist Church"/>
    <m/>
    <m/>
    <m/>
    <m/>
    <m/>
    <m/>
    <m/>
    <m/>
    <m/>
    <m/>
    <m/>
    <m/>
    <m/>
    <m/>
    <m/>
    <m/>
    <m/>
    <n v="0"/>
    <n v="0"/>
    <n v="0"/>
    <n v="0"/>
    <n v="0"/>
    <n v="0"/>
    <n v="0"/>
    <n v="0"/>
    <n v="0"/>
    <n v="0"/>
    <n v="0"/>
    <n v="0"/>
    <n v="0"/>
    <n v="0"/>
    <n v="0"/>
    <n v="0"/>
    <n v="0"/>
    <n v="0"/>
    <s v="MMR001CMP027"/>
    <x v="0"/>
    <x v="0"/>
    <s v="P4"/>
    <n v="0"/>
    <s v="No"/>
  </r>
  <r>
    <n v="41.6"/>
    <d v="2013-11-30T00:00:00"/>
    <x v="1"/>
    <s v="KBC"/>
    <s v="Kachin"/>
    <s v="Waingmaw"/>
    <s v="Maga Yang "/>
    <m/>
    <m/>
    <m/>
    <m/>
    <m/>
    <m/>
    <m/>
    <m/>
    <m/>
    <m/>
    <m/>
    <m/>
    <m/>
    <m/>
    <m/>
    <m/>
    <m/>
    <n v="0"/>
    <n v="0"/>
    <n v="0"/>
    <n v="0"/>
    <n v="0"/>
    <n v="0"/>
    <n v="0"/>
    <n v="0"/>
    <n v="0"/>
    <n v="0"/>
    <n v="0"/>
    <n v="0"/>
    <n v="0"/>
    <n v="0"/>
    <n v="0"/>
    <n v="0"/>
    <n v="0"/>
    <n v="0"/>
    <s v="MMR001CMP119"/>
    <x v="0"/>
    <x v="0"/>
    <s v="P2"/>
    <n v="0"/>
    <s v="No"/>
  </r>
  <r>
    <n v="41.6"/>
    <d v="2013-11-30T00:00:00"/>
    <x v="1"/>
    <s v="KBC"/>
    <s v="Kachin"/>
    <s v="Waingmaw"/>
    <s v="Maina AG Church"/>
    <m/>
    <m/>
    <m/>
    <m/>
    <m/>
    <m/>
    <m/>
    <m/>
    <m/>
    <m/>
    <m/>
    <m/>
    <m/>
    <m/>
    <m/>
    <m/>
    <m/>
    <n v="0"/>
    <n v="0"/>
    <n v="0"/>
    <n v="0"/>
    <n v="0"/>
    <n v="0"/>
    <n v="0"/>
    <n v="0"/>
    <n v="0"/>
    <n v="0"/>
    <n v="0"/>
    <n v="0"/>
    <n v="0"/>
    <n v="0"/>
    <n v="0"/>
    <n v="0"/>
    <n v="0"/>
    <n v="0"/>
    <s v="MMR001CMP031"/>
    <x v="0"/>
    <x v="0"/>
    <s v="P4"/>
    <n v="0"/>
    <s v="No"/>
  </r>
  <r>
    <n v="41.6"/>
    <d v="2013-11-30T00:00:00"/>
    <x v="1"/>
    <s v="KBC"/>
    <s v="Kachin"/>
    <s v="Waingmaw"/>
    <s v="Maina KBC (Bawng Ring)"/>
    <m/>
    <m/>
    <m/>
    <m/>
    <m/>
    <m/>
    <m/>
    <m/>
    <m/>
    <m/>
    <m/>
    <m/>
    <m/>
    <m/>
    <m/>
    <m/>
    <m/>
    <n v="0"/>
    <n v="0"/>
    <n v="0"/>
    <n v="0"/>
    <n v="0"/>
    <n v="0"/>
    <n v="0"/>
    <n v="0"/>
    <n v="0"/>
    <n v="0"/>
    <n v="0"/>
    <n v="0"/>
    <n v="0"/>
    <n v="0"/>
    <n v="0"/>
    <n v="0"/>
    <n v="0"/>
    <n v="0"/>
    <s v="MMR001CMP040"/>
    <x v="0"/>
    <x v="0"/>
    <s v="P4"/>
    <n v="0"/>
    <s v="No"/>
  </r>
  <r>
    <n v="41.6"/>
    <d v="2013-11-30T00:00:00"/>
    <x v="1"/>
    <s v="KBC"/>
    <s v="Kachin"/>
    <s v="Waingmaw"/>
    <s v="Maina Lawang Baptist Church"/>
    <m/>
    <m/>
    <m/>
    <m/>
    <m/>
    <m/>
    <m/>
    <m/>
    <m/>
    <m/>
    <m/>
    <m/>
    <m/>
    <m/>
    <m/>
    <m/>
    <m/>
    <n v="0"/>
    <n v="0"/>
    <n v="0"/>
    <n v="0"/>
    <n v="0"/>
    <n v="0"/>
    <n v="0"/>
    <n v="0"/>
    <n v="0"/>
    <n v="0"/>
    <n v="0"/>
    <n v="0"/>
    <n v="0"/>
    <n v="0"/>
    <n v="0"/>
    <n v="0"/>
    <n v="0"/>
    <n v="0"/>
    <s v="MMR001CMP039"/>
    <x v="0"/>
    <x v="0"/>
    <s v="P4"/>
    <n v="0"/>
    <s v="No"/>
  </r>
  <r>
    <n v="41.6"/>
    <d v="2013-11-30T00:00:00"/>
    <x v="1"/>
    <m/>
    <s v="Kachin"/>
    <s v="Momauk"/>
    <s v="Man Bung Catholic compound"/>
    <m/>
    <m/>
    <m/>
    <m/>
    <m/>
    <m/>
    <m/>
    <m/>
    <m/>
    <n v="141"/>
    <m/>
    <m/>
    <m/>
    <m/>
    <m/>
    <m/>
    <m/>
    <n v="0"/>
    <n v="0"/>
    <n v="0"/>
    <n v="0"/>
    <n v="0"/>
    <n v="0"/>
    <n v="0"/>
    <n v="0"/>
    <n v="0"/>
    <n v="0"/>
    <n v="0"/>
    <n v="0"/>
    <n v="0"/>
    <n v="0"/>
    <n v="0"/>
    <n v="0"/>
    <n v="0"/>
    <n v="0"/>
    <s v="MMR001CMP062"/>
    <x v="0"/>
    <x v="0"/>
    <s v="P4"/>
    <n v="0"/>
    <s v="No"/>
  </r>
  <r>
    <n v="41.6"/>
    <d v="2013-11-30T00:00:00"/>
    <x v="6"/>
    <s v="MDCG"/>
    <s v="Kachin"/>
    <s v="Mansi"/>
    <s v="Man Wing Baptist Church"/>
    <m/>
    <m/>
    <m/>
    <m/>
    <m/>
    <n v="347"/>
    <m/>
    <m/>
    <m/>
    <m/>
    <n v="386"/>
    <n v="234"/>
    <n v="0"/>
    <m/>
    <m/>
    <m/>
    <m/>
    <n v="0"/>
    <n v="0"/>
    <n v="0"/>
    <n v="0"/>
    <n v="0"/>
    <n v="0"/>
    <n v="0"/>
    <n v="0"/>
    <n v="0"/>
    <n v="0"/>
    <n v="0"/>
    <n v="0"/>
    <n v="0"/>
    <n v="0"/>
    <n v="1"/>
    <n v="0"/>
    <n v="0"/>
    <n v="0"/>
    <s v="MMR001CMP133"/>
    <x v="0"/>
    <x v="0"/>
    <s v="P4"/>
    <n v="0"/>
    <s v="No"/>
  </r>
  <r>
    <n v="41.6"/>
    <d v="2013-11-30T00:00:00"/>
    <x v="1"/>
    <m/>
    <s v="Kachin"/>
    <s v="Mansi"/>
    <s v="Man Wing Baptist Church"/>
    <m/>
    <m/>
    <m/>
    <m/>
    <m/>
    <m/>
    <m/>
    <m/>
    <m/>
    <n v="444"/>
    <m/>
    <m/>
    <m/>
    <m/>
    <m/>
    <m/>
    <m/>
    <n v="0"/>
    <n v="0"/>
    <n v="0"/>
    <n v="0"/>
    <n v="0"/>
    <n v="0"/>
    <n v="0"/>
    <n v="0"/>
    <n v="0"/>
    <n v="0"/>
    <n v="0"/>
    <n v="0"/>
    <n v="0"/>
    <n v="0"/>
    <n v="0"/>
    <n v="0"/>
    <n v="0"/>
    <n v="0"/>
    <s v="MMR001CMP133"/>
    <x v="0"/>
    <x v="0"/>
    <s v="P4"/>
    <n v="0"/>
    <s v="No"/>
  </r>
  <r>
    <n v="41.6"/>
    <d v="2013-11-30T00:00:00"/>
    <x v="6"/>
    <s v="MDCG"/>
    <s v="Kachin"/>
    <s v="Mansi"/>
    <s v="Man Wing Catholic Church"/>
    <m/>
    <m/>
    <m/>
    <m/>
    <m/>
    <n v="770"/>
    <m/>
    <m/>
    <m/>
    <m/>
    <n v="889"/>
    <n v="492"/>
    <n v="0"/>
    <m/>
    <m/>
    <m/>
    <m/>
    <n v="0"/>
    <n v="0"/>
    <n v="0"/>
    <n v="0"/>
    <n v="0"/>
    <n v="0"/>
    <n v="0"/>
    <n v="0"/>
    <n v="0"/>
    <n v="0"/>
    <n v="0"/>
    <n v="0"/>
    <n v="0"/>
    <n v="0"/>
    <n v="1"/>
    <n v="0"/>
    <n v="0"/>
    <n v="0"/>
    <s v="MMR001CMP132"/>
    <x v="0"/>
    <x v="0"/>
    <s v="P4"/>
    <n v="0"/>
    <s v="No"/>
  </r>
  <r>
    <n v="41.6"/>
    <d v="2013-11-30T00:00:00"/>
    <x v="1"/>
    <m/>
    <s v="Kachin"/>
    <s v="Mansi"/>
    <s v="Man Wing Catholic Church"/>
    <m/>
    <m/>
    <m/>
    <m/>
    <m/>
    <m/>
    <m/>
    <m/>
    <m/>
    <n v="1080"/>
    <m/>
    <m/>
    <m/>
    <m/>
    <m/>
    <m/>
    <m/>
    <n v="0"/>
    <n v="0"/>
    <n v="0"/>
    <n v="0"/>
    <n v="0"/>
    <n v="0"/>
    <n v="0"/>
    <n v="0"/>
    <n v="0"/>
    <n v="0"/>
    <n v="0"/>
    <n v="0"/>
    <n v="0"/>
    <n v="0"/>
    <n v="0"/>
    <n v="0"/>
    <n v="0"/>
    <n v="0"/>
    <s v="MMR001CMP132"/>
    <x v="0"/>
    <x v="0"/>
    <s v="P4"/>
    <n v="0"/>
    <s v="No"/>
  </r>
  <r>
    <n v="41.6"/>
    <d v="2013-11-30T00:00:00"/>
    <x v="1"/>
    <m/>
    <s v="Kachin"/>
    <s v="Mansi"/>
    <s v="Mansi Baptist Church"/>
    <m/>
    <m/>
    <m/>
    <m/>
    <m/>
    <m/>
    <m/>
    <m/>
    <m/>
    <n v="225"/>
    <m/>
    <m/>
    <m/>
    <m/>
    <m/>
    <m/>
    <m/>
    <n v="0"/>
    <n v="0"/>
    <n v="0"/>
    <n v="0"/>
    <n v="0"/>
    <n v="0"/>
    <n v="0"/>
    <n v="0"/>
    <n v="0"/>
    <n v="0"/>
    <n v="0"/>
    <n v="0"/>
    <n v="0"/>
    <n v="0"/>
    <n v="0"/>
    <n v="0"/>
    <n v="0"/>
    <n v="0"/>
    <s v="MMR001CMP066"/>
    <x v="0"/>
    <x v="0"/>
    <s v="P4"/>
    <n v="0"/>
    <s v="No"/>
  </r>
  <r>
    <n v="41.6"/>
    <d v="2013-11-30T00:00:00"/>
    <x v="1"/>
    <m/>
    <s v="Kachin"/>
    <s v="Momauk"/>
    <s v="Momauk Catholic Church (St. Patrick)"/>
    <m/>
    <m/>
    <m/>
    <m/>
    <m/>
    <m/>
    <m/>
    <m/>
    <m/>
    <n v="543"/>
    <m/>
    <m/>
    <m/>
    <m/>
    <m/>
    <m/>
    <m/>
    <n v="0"/>
    <n v="0"/>
    <n v="0"/>
    <n v="0"/>
    <n v="0"/>
    <n v="0"/>
    <n v="0"/>
    <n v="0"/>
    <n v="0"/>
    <n v="0"/>
    <n v="0"/>
    <n v="0"/>
    <n v="0"/>
    <n v="0"/>
    <n v="0"/>
    <n v="0"/>
    <n v="0"/>
    <n v="0"/>
    <s v="MMR001CMP057"/>
    <x v="0"/>
    <x v="1"/>
    <s v="P4"/>
    <n v="0"/>
    <s v="No"/>
  </r>
  <r>
    <n v="41.6"/>
    <d v="2013-11-30T00:00:00"/>
    <x v="1"/>
    <s v="KBC"/>
    <s v="Kachin"/>
    <s v="Mansi"/>
    <s v="Nam Lim Pa - Scattered IDPs in forest"/>
    <m/>
    <m/>
    <m/>
    <m/>
    <m/>
    <m/>
    <m/>
    <m/>
    <m/>
    <m/>
    <m/>
    <m/>
    <m/>
    <m/>
    <m/>
    <m/>
    <m/>
    <n v="0"/>
    <n v="0"/>
    <n v="0"/>
    <n v="0"/>
    <n v="0"/>
    <n v="0"/>
    <n v="0"/>
    <n v="0"/>
    <n v="0"/>
    <n v="0"/>
    <n v="0"/>
    <n v="0"/>
    <n v="0"/>
    <n v="0"/>
    <n v="0"/>
    <n v="0"/>
    <n v="0"/>
    <n v="0"/>
    <s v="MMR001CMP137"/>
    <x v="0"/>
    <x v="1"/>
    <s v=""/>
    <s v=""/>
    <s v="No"/>
  </r>
  <r>
    <n v="41.6"/>
    <d v="2013-11-30T00:00:00"/>
    <x v="6"/>
    <s v="MDCG"/>
    <s v="Shan_North"/>
    <s v="Kutkai"/>
    <s v="Mine Yu Lay village"/>
    <m/>
    <m/>
    <m/>
    <m/>
    <m/>
    <n v="258"/>
    <m/>
    <m/>
    <m/>
    <m/>
    <n v="349"/>
    <n v="175"/>
    <n v="0"/>
    <m/>
    <m/>
    <m/>
    <m/>
    <n v="0"/>
    <n v="0"/>
    <n v="0"/>
    <n v="0"/>
    <n v="0"/>
    <n v="0"/>
    <n v="0"/>
    <n v="0"/>
    <n v="0"/>
    <n v="0"/>
    <n v="0"/>
    <n v="0"/>
    <n v="0"/>
    <n v="0"/>
    <n v="1"/>
    <n v="0"/>
    <n v="0"/>
    <n v="0"/>
    <s v="MMR015CMP018"/>
    <x v="0"/>
    <x v="0"/>
    <s v="P3"/>
    <n v="0"/>
    <s v="No"/>
  </r>
  <r>
    <n v="41.6"/>
    <d v="2013-11-30T00:00:00"/>
    <x v="1"/>
    <m/>
    <s v="Kachin"/>
    <s v="Momauk"/>
    <s v="Momauk Baptist Church"/>
    <m/>
    <m/>
    <m/>
    <m/>
    <m/>
    <m/>
    <m/>
    <m/>
    <m/>
    <n v="906"/>
    <m/>
    <m/>
    <m/>
    <m/>
    <m/>
    <m/>
    <m/>
    <n v="0"/>
    <n v="0"/>
    <n v="0"/>
    <n v="0"/>
    <n v="0"/>
    <n v="0"/>
    <n v="0"/>
    <n v="0"/>
    <n v="0"/>
    <n v="0"/>
    <n v="0"/>
    <n v="0"/>
    <n v="0"/>
    <n v="0"/>
    <n v="0"/>
    <n v="0"/>
    <n v="0"/>
    <n v="0"/>
    <s v="MMR001CMP056"/>
    <x v="0"/>
    <x v="0"/>
    <s v="P4"/>
    <n v="0"/>
    <s v="No"/>
  </r>
  <r>
    <n v="41.6"/>
    <d v="2013-11-30T00:00:00"/>
    <x v="1"/>
    <m/>
    <s v="Kachin"/>
    <s v="Bhamo"/>
    <s v="Nant Hlaing Church"/>
    <m/>
    <m/>
    <m/>
    <m/>
    <m/>
    <m/>
    <m/>
    <m/>
    <m/>
    <n v="57"/>
    <m/>
    <m/>
    <m/>
    <m/>
    <m/>
    <m/>
    <m/>
    <n v="0"/>
    <n v="0"/>
    <n v="0"/>
    <n v="0"/>
    <n v="0"/>
    <n v="0"/>
    <n v="0"/>
    <n v="0"/>
    <n v="0"/>
    <n v="0"/>
    <n v="0"/>
    <n v="0"/>
    <n v="0"/>
    <n v="0"/>
    <n v="0"/>
    <n v="0"/>
    <n v="0"/>
    <n v="0"/>
    <s v="MMR001CMP054"/>
    <x v="0"/>
    <x v="0"/>
    <s v="P4"/>
    <n v="0"/>
    <s v="No"/>
  </r>
  <r>
    <n v="41.6"/>
    <d v="2013-11-30T00:00:00"/>
    <x v="1"/>
    <m/>
    <s v="Kachin"/>
    <s v="Momauk"/>
    <s v="Ni Thaw Ka Monestry"/>
    <m/>
    <m/>
    <m/>
    <m/>
    <m/>
    <m/>
    <m/>
    <m/>
    <m/>
    <n v="60"/>
    <m/>
    <m/>
    <m/>
    <m/>
    <m/>
    <m/>
    <m/>
    <n v="0"/>
    <n v="0"/>
    <n v="0"/>
    <n v="0"/>
    <n v="0"/>
    <n v="0"/>
    <n v="0"/>
    <n v="0"/>
    <n v="0"/>
    <n v="0"/>
    <n v="0"/>
    <n v="0"/>
    <n v="0"/>
    <n v="0"/>
    <n v="0"/>
    <n v="0"/>
    <n v="0"/>
    <n v="0"/>
    <s v="MMR001CMP059"/>
    <x v="0"/>
    <x v="1"/>
    <s v="P4"/>
    <n v="0"/>
    <s v="No"/>
  </r>
  <r>
    <n v="41.6"/>
    <d v="2013-11-30T00:00:00"/>
    <x v="6"/>
    <s v="MDCG"/>
    <s v="Shan_North"/>
    <s v="Hseni"/>
    <s v="Narte"/>
    <m/>
    <m/>
    <m/>
    <m/>
    <m/>
    <n v="201"/>
    <m/>
    <m/>
    <m/>
    <m/>
    <n v="266"/>
    <n v="126"/>
    <n v="0"/>
    <m/>
    <m/>
    <m/>
    <m/>
    <n v="0"/>
    <n v="0"/>
    <n v="0"/>
    <n v="0"/>
    <n v="0"/>
    <n v="0"/>
    <n v="0"/>
    <n v="0"/>
    <n v="0"/>
    <n v="0"/>
    <n v="0"/>
    <n v="0"/>
    <n v="0"/>
    <n v="0"/>
    <n v="1"/>
    <n v="0"/>
    <n v="0"/>
    <n v="0"/>
    <s v="MMR015CMP207"/>
    <x v="0"/>
    <x v="0"/>
    <s v="P4"/>
    <n v="0"/>
    <s v="No"/>
  </r>
  <r>
    <n v="41.6"/>
    <d v="2013-11-30T00:00:00"/>
    <x v="1"/>
    <s v="LDO"/>
    <s v="Kachin"/>
    <s v="Momauk"/>
    <s v="Nhkawng Pa "/>
    <m/>
    <m/>
    <m/>
    <m/>
    <m/>
    <m/>
    <m/>
    <m/>
    <m/>
    <m/>
    <m/>
    <m/>
    <m/>
    <m/>
    <m/>
    <m/>
    <m/>
    <n v="0"/>
    <n v="0"/>
    <n v="0"/>
    <n v="0"/>
    <n v="0"/>
    <n v="0"/>
    <n v="0"/>
    <n v="0"/>
    <n v="0"/>
    <n v="0"/>
    <n v="0"/>
    <n v="0"/>
    <n v="0"/>
    <n v="0"/>
    <n v="0"/>
    <n v="0"/>
    <n v="0"/>
    <n v="0"/>
    <s v="MMR001CMP131"/>
    <x v="0"/>
    <x v="0"/>
    <s v="P1"/>
    <n v="0"/>
    <s v="No"/>
  </r>
  <r>
    <n v="41.6"/>
    <d v="2013-11-30T00:00:00"/>
    <x v="1"/>
    <m/>
    <s v="Kachin"/>
    <s v="Momauk"/>
    <s v="Nyaung Na Pin "/>
    <m/>
    <m/>
    <m/>
    <m/>
    <m/>
    <m/>
    <m/>
    <m/>
    <m/>
    <n v="135"/>
    <m/>
    <m/>
    <m/>
    <m/>
    <m/>
    <m/>
    <m/>
    <n v="0"/>
    <n v="0"/>
    <n v="0"/>
    <n v="0"/>
    <n v="0"/>
    <n v="0"/>
    <n v="0"/>
    <n v="0"/>
    <n v="0"/>
    <n v="0"/>
    <n v="0"/>
    <n v="0"/>
    <n v="0"/>
    <n v="0"/>
    <n v="0"/>
    <n v="0"/>
    <n v="0"/>
    <n v="0"/>
    <s v="MMR001CMP072"/>
    <x v="0"/>
    <x v="0"/>
    <s v="P3"/>
    <n v="0"/>
    <s v="No"/>
  </r>
  <r>
    <n v="41.6"/>
    <d v="2013-11-30T00:00:00"/>
    <x v="1"/>
    <s v="LDO"/>
    <s v="Kachin"/>
    <s v="Momauk"/>
    <s v="Pa Kahtawng "/>
    <m/>
    <m/>
    <m/>
    <m/>
    <m/>
    <m/>
    <m/>
    <m/>
    <m/>
    <m/>
    <m/>
    <m/>
    <m/>
    <m/>
    <m/>
    <m/>
    <m/>
    <n v="0"/>
    <n v="0"/>
    <n v="0"/>
    <n v="0"/>
    <n v="0"/>
    <n v="0"/>
    <n v="0"/>
    <n v="0"/>
    <n v="0"/>
    <n v="0"/>
    <n v="0"/>
    <n v="0"/>
    <n v="0"/>
    <n v="0"/>
    <n v="0"/>
    <n v="0"/>
    <n v="0"/>
    <n v="0"/>
    <s v="MMR001CMP126"/>
    <x v="0"/>
    <x v="0"/>
    <s v="P2"/>
    <n v="0"/>
    <s v="No"/>
  </r>
  <r>
    <n v="41.6"/>
    <d v="2013-11-30T00:00:00"/>
    <x v="0"/>
    <s v="UNHCR"/>
    <s v="Kachin"/>
    <s v="Momauk"/>
    <s v="Pa Kahtawng "/>
    <m/>
    <m/>
    <m/>
    <m/>
    <m/>
    <m/>
    <m/>
    <m/>
    <m/>
    <m/>
    <m/>
    <m/>
    <m/>
    <m/>
    <m/>
    <m/>
    <m/>
    <n v="0"/>
    <n v="0"/>
    <n v="0"/>
    <n v="0"/>
    <n v="0"/>
    <n v="0"/>
    <n v="0"/>
    <n v="0"/>
    <n v="0"/>
    <n v="0"/>
    <n v="0"/>
    <n v="0"/>
    <n v="0"/>
    <n v="0"/>
    <n v="0"/>
    <n v="0"/>
    <n v="0"/>
    <n v="0"/>
    <s v="MMR001CMP126"/>
    <x v="0"/>
    <x v="0"/>
    <s v="P2"/>
    <n v="0"/>
    <s v="No"/>
  </r>
  <r>
    <n v="41.6"/>
    <d v="2013-11-30T00:00:00"/>
    <x v="1"/>
    <s v="KBC"/>
    <s v="Kachin"/>
    <s v="Waingmaw"/>
    <s v="Pajau - Jan Mai"/>
    <m/>
    <m/>
    <m/>
    <m/>
    <m/>
    <m/>
    <m/>
    <m/>
    <m/>
    <m/>
    <m/>
    <m/>
    <m/>
    <m/>
    <m/>
    <m/>
    <m/>
    <n v="0"/>
    <n v="0"/>
    <n v="0"/>
    <n v="0"/>
    <n v="0"/>
    <n v="0"/>
    <n v="0"/>
    <n v="0"/>
    <n v="0"/>
    <n v="0"/>
    <n v="0"/>
    <n v="0"/>
    <n v="0"/>
    <n v="0"/>
    <n v="0"/>
    <n v="0"/>
    <n v="0"/>
    <n v="0"/>
    <s v="MMR001CMP120"/>
    <x v="0"/>
    <x v="0"/>
    <s v="P1"/>
    <n v="0"/>
    <s v="No"/>
  </r>
  <r>
    <n v="41.6"/>
    <d v="2013-11-30T00:00:00"/>
    <x v="6"/>
    <s v="MDCG"/>
    <s v="Kachin"/>
    <s v="Bhamo"/>
    <s v="Phan Khar Kone"/>
    <m/>
    <m/>
    <m/>
    <m/>
    <m/>
    <n v="320"/>
    <m/>
    <m/>
    <m/>
    <m/>
    <n v="234"/>
    <n v="336"/>
    <n v="0"/>
    <m/>
    <m/>
    <m/>
    <m/>
    <n v="0"/>
    <n v="0"/>
    <n v="0"/>
    <n v="0"/>
    <n v="0"/>
    <n v="0"/>
    <n v="0"/>
    <n v="0"/>
    <n v="0"/>
    <n v="0"/>
    <n v="0"/>
    <n v="0"/>
    <n v="0"/>
    <n v="0"/>
    <n v="1"/>
    <n v="0"/>
    <n v="0"/>
    <n v="0"/>
    <s v="MMR001CMP193"/>
    <x v="0"/>
    <x v="0"/>
    <s v="P4"/>
    <n v="0"/>
    <s v="No"/>
  </r>
  <r>
    <n v="41.6"/>
    <d v="2013-11-30T00:00:00"/>
    <x v="1"/>
    <m/>
    <s v="Kachin"/>
    <s v="Bhamo"/>
    <s v="Phan Khar Kone"/>
    <m/>
    <m/>
    <m/>
    <m/>
    <m/>
    <m/>
    <m/>
    <m/>
    <m/>
    <m/>
    <m/>
    <m/>
    <m/>
    <m/>
    <m/>
    <m/>
    <m/>
    <n v="0"/>
    <n v="0"/>
    <n v="0"/>
    <n v="0"/>
    <n v="0"/>
    <n v="0"/>
    <n v="0"/>
    <n v="0"/>
    <n v="0"/>
    <n v="0"/>
    <n v="0"/>
    <n v="0"/>
    <n v="0"/>
    <n v="0"/>
    <n v="0"/>
    <n v="0"/>
    <n v="0"/>
    <n v="0"/>
    <s v="MMR001CMP193"/>
    <x v="0"/>
    <x v="0"/>
    <s v="P4"/>
    <n v="0"/>
    <s v="No"/>
  </r>
  <r>
    <n v="41.6"/>
    <d v="2013-11-30T00:00:00"/>
    <x v="1"/>
    <s v="KBC"/>
    <s v="Kachin"/>
    <s v="Waingmaw"/>
    <s v="Post 6 Camp"/>
    <m/>
    <m/>
    <m/>
    <m/>
    <m/>
    <m/>
    <m/>
    <m/>
    <m/>
    <m/>
    <m/>
    <m/>
    <m/>
    <m/>
    <m/>
    <m/>
    <m/>
    <n v="0"/>
    <n v="0"/>
    <n v="0"/>
    <n v="0"/>
    <n v="0"/>
    <n v="0"/>
    <n v="0"/>
    <n v="0"/>
    <n v="0"/>
    <n v="0"/>
    <n v="0"/>
    <n v="0"/>
    <n v="0"/>
    <n v="0"/>
    <n v="0"/>
    <n v="0"/>
    <n v="0"/>
    <n v="0"/>
    <s v="MMR001CMP160"/>
    <x v="0"/>
    <x v="0"/>
    <s v="P1"/>
    <n v="0"/>
    <s v="No"/>
  </r>
  <r>
    <n v="41.6"/>
    <d v="2013-11-30T00:00:00"/>
    <x v="1"/>
    <s v="KBC"/>
    <s v="Kachin"/>
    <s v="Waingmaw"/>
    <s v="Qtr. 2 Myoma Baptist Church"/>
    <m/>
    <m/>
    <m/>
    <m/>
    <m/>
    <m/>
    <m/>
    <m/>
    <m/>
    <m/>
    <m/>
    <m/>
    <m/>
    <m/>
    <m/>
    <m/>
    <m/>
    <n v="0"/>
    <n v="0"/>
    <n v="0"/>
    <n v="0"/>
    <n v="0"/>
    <n v="0"/>
    <n v="0"/>
    <n v="0"/>
    <n v="0"/>
    <n v="0"/>
    <n v="0"/>
    <n v="0"/>
    <n v="0"/>
    <n v="0"/>
    <n v="0"/>
    <n v="0"/>
    <n v="0"/>
    <n v="0"/>
    <s v="MMR001CMP025"/>
    <x v="0"/>
    <x v="0"/>
    <s v="P4"/>
    <n v="0"/>
    <s v="No"/>
  </r>
  <r>
    <n v="41.6"/>
    <d v="2013-11-30T00:00:00"/>
    <x v="1"/>
    <s v="KBC"/>
    <s v="Kachin"/>
    <s v="Waingmaw"/>
    <s v="Qtr. 3 Mu-yin  Baptist Church"/>
    <m/>
    <m/>
    <m/>
    <m/>
    <m/>
    <m/>
    <m/>
    <m/>
    <m/>
    <m/>
    <m/>
    <m/>
    <m/>
    <m/>
    <m/>
    <m/>
    <m/>
    <n v="0"/>
    <n v="0"/>
    <n v="0"/>
    <n v="0"/>
    <n v="0"/>
    <n v="0"/>
    <n v="0"/>
    <n v="0"/>
    <n v="0"/>
    <n v="0"/>
    <n v="0"/>
    <n v="0"/>
    <n v="0"/>
    <n v="0"/>
    <n v="0"/>
    <n v="0"/>
    <n v="0"/>
    <n v="0"/>
    <s v="MMR001CMP030"/>
    <x v="0"/>
    <x v="0"/>
    <s v="P4"/>
    <n v="0"/>
    <s v="No"/>
  </r>
  <r>
    <n v="41.6"/>
    <d v="2013-11-30T00:00:00"/>
    <x v="1"/>
    <s v="KBC"/>
    <s v="Kachin"/>
    <s v="Waingmaw"/>
    <s v="Qtr. 4 Monestry (Thargaya Thayett Taw)"/>
    <m/>
    <m/>
    <m/>
    <m/>
    <m/>
    <m/>
    <m/>
    <m/>
    <m/>
    <m/>
    <m/>
    <m/>
    <m/>
    <m/>
    <m/>
    <m/>
    <m/>
    <n v="0"/>
    <n v="0"/>
    <n v="0"/>
    <n v="0"/>
    <n v="0"/>
    <n v="0"/>
    <n v="0"/>
    <n v="0"/>
    <n v="0"/>
    <n v="0"/>
    <n v="0"/>
    <n v="0"/>
    <n v="0"/>
    <n v="0"/>
    <n v="0"/>
    <n v="0"/>
    <n v="0"/>
    <n v="0"/>
    <s v="MMR001CMP026"/>
    <x v="0"/>
    <x v="0"/>
    <s v="P4"/>
    <n v="0"/>
    <s v="No"/>
  </r>
  <r>
    <n v="41.6"/>
    <d v="2013-11-30T00:00:00"/>
    <x v="1"/>
    <m/>
    <s v="Kachin"/>
    <s v="Bhamo"/>
    <s v="Robert Church"/>
    <m/>
    <m/>
    <m/>
    <m/>
    <m/>
    <m/>
    <m/>
    <m/>
    <m/>
    <n v="1164"/>
    <m/>
    <m/>
    <m/>
    <m/>
    <m/>
    <m/>
    <m/>
    <n v="0"/>
    <n v="0"/>
    <n v="0"/>
    <n v="0"/>
    <n v="0"/>
    <n v="0"/>
    <n v="0"/>
    <n v="0"/>
    <n v="0"/>
    <n v="0"/>
    <n v="0"/>
    <n v="0"/>
    <n v="0"/>
    <n v="0"/>
    <n v="0"/>
    <n v="0"/>
    <n v="0"/>
    <n v="0"/>
    <s v="MMR001CMP047"/>
    <x v="0"/>
    <x v="0"/>
    <s v="P4"/>
    <n v="0"/>
    <s v="No"/>
  </r>
  <r>
    <n v="41.6"/>
    <d v="2013-11-30T00:00:00"/>
    <x v="0"/>
    <s v="UNHCR"/>
    <s v="Kachin"/>
    <s v="Bhamo"/>
    <s v="Robert Church"/>
    <m/>
    <m/>
    <m/>
    <n v="75"/>
    <n v="36"/>
    <n v="75"/>
    <n v="36"/>
    <n v="36"/>
    <m/>
    <m/>
    <m/>
    <m/>
    <m/>
    <m/>
    <m/>
    <m/>
    <m/>
    <n v="0"/>
    <n v="0"/>
    <n v="0"/>
    <n v="0"/>
    <n v="0"/>
    <n v="0"/>
    <n v="0"/>
    <n v="0"/>
    <n v="0"/>
    <n v="0"/>
    <n v="0"/>
    <n v="0"/>
    <n v="0"/>
    <n v="0"/>
    <n v="0"/>
    <n v="0"/>
    <n v="0"/>
    <n v="0"/>
    <s v="MMR001CMP047"/>
    <x v="0"/>
    <x v="0"/>
    <s v="P4"/>
    <n v="8.8397790055248619E-4"/>
    <s v="No"/>
  </r>
  <r>
    <n v="41.6"/>
    <d v="2013-11-30T00:00:00"/>
    <x v="1"/>
    <m/>
    <s v="Kachin"/>
    <s v="Momauk"/>
    <s v="Seng Ja "/>
    <m/>
    <m/>
    <m/>
    <m/>
    <m/>
    <m/>
    <m/>
    <m/>
    <m/>
    <n v="99"/>
    <m/>
    <m/>
    <m/>
    <m/>
    <m/>
    <m/>
    <m/>
    <n v="0"/>
    <n v="0"/>
    <n v="0"/>
    <n v="0"/>
    <n v="0"/>
    <n v="0"/>
    <n v="0"/>
    <n v="0"/>
    <n v="0"/>
    <n v="0"/>
    <n v="0"/>
    <n v="0"/>
    <n v="0"/>
    <n v="0"/>
    <n v="0"/>
    <n v="0"/>
    <n v="0"/>
    <n v="0"/>
    <s v="MMR001CMP073"/>
    <x v="0"/>
    <x v="0"/>
    <s v="P3"/>
    <n v="0"/>
    <s v="No"/>
  </r>
  <r>
    <n v="41.6"/>
    <d v="2013-11-30T00:00:00"/>
    <x v="1"/>
    <s v="KBC"/>
    <s v="Kachin"/>
    <s v="Waingmaw"/>
    <s v="Shing Jai"/>
    <m/>
    <m/>
    <m/>
    <m/>
    <m/>
    <m/>
    <m/>
    <m/>
    <m/>
    <m/>
    <m/>
    <m/>
    <m/>
    <m/>
    <m/>
    <m/>
    <m/>
    <n v="0"/>
    <n v="0"/>
    <n v="0"/>
    <n v="0"/>
    <n v="0"/>
    <n v="0"/>
    <n v="0"/>
    <n v="0"/>
    <n v="0"/>
    <n v="0"/>
    <n v="0"/>
    <n v="0"/>
    <n v="0"/>
    <n v="0"/>
    <n v="0"/>
    <n v="0"/>
    <n v="0"/>
    <n v="0"/>
    <s v="MMR001CMP041"/>
    <x v="0"/>
    <x v="0"/>
    <s v="P1"/>
    <n v="0"/>
    <s v="No"/>
  </r>
  <r>
    <n v="41.6"/>
    <d v="2013-11-30T00:00:00"/>
    <x v="6"/>
    <s v="MDCG"/>
    <s v="Kachin"/>
    <s v="Shwegu"/>
    <s v="Shwe Gu Baptist Church"/>
    <m/>
    <m/>
    <m/>
    <m/>
    <m/>
    <n v="197"/>
    <m/>
    <m/>
    <m/>
    <m/>
    <n v="226"/>
    <n v="68"/>
    <n v="0"/>
    <m/>
    <m/>
    <m/>
    <m/>
    <n v="0"/>
    <n v="0"/>
    <n v="0"/>
    <n v="0"/>
    <n v="0"/>
    <n v="0"/>
    <n v="0"/>
    <n v="0"/>
    <n v="0"/>
    <n v="0"/>
    <n v="0"/>
    <n v="0"/>
    <n v="0"/>
    <n v="0"/>
    <n v="1"/>
    <n v="0"/>
    <n v="0"/>
    <n v="0"/>
    <s v="MMR001CMP067"/>
    <x v="0"/>
    <x v="0"/>
    <s v="P4"/>
    <n v="0"/>
    <s v="No"/>
  </r>
  <r>
    <n v="41.6"/>
    <d v="2013-11-30T00:00:00"/>
    <x v="1"/>
    <m/>
    <s v="Kachin"/>
    <s v="Shwegu"/>
    <s v="Shwe Gu Baptist Church"/>
    <m/>
    <m/>
    <m/>
    <m/>
    <m/>
    <m/>
    <m/>
    <m/>
    <m/>
    <n v="204"/>
    <m/>
    <m/>
    <m/>
    <m/>
    <m/>
    <m/>
    <m/>
    <n v="0"/>
    <n v="0"/>
    <n v="0"/>
    <n v="0"/>
    <n v="0"/>
    <n v="0"/>
    <n v="0"/>
    <n v="0"/>
    <n v="0"/>
    <n v="0"/>
    <n v="0"/>
    <n v="0"/>
    <n v="0"/>
    <n v="0"/>
    <n v="0"/>
    <n v="0"/>
    <n v="0"/>
    <n v="0"/>
    <s v="MMR001CMP067"/>
    <x v="0"/>
    <x v="0"/>
    <s v="P4"/>
    <n v="0"/>
    <s v="No"/>
  </r>
  <r>
    <n v="41.6"/>
    <d v="2013-11-30T00:00:00"/>
    <x v="6"/>
    <s v="MDCG"/>
    <s v="Kachin"/>
    <s v="Shwegu"/>
    <s v="Shwe Gu Catholic Church"/>
    <m/>
    <m/>
    <m/>
    <m/>
    <m/>
    <n v="142"/>
    <m/>
    <m/>
    <m/>
    <m/>
    <n v="182"/>
    <n v="60"/>
    <n v="0"/>
    <m/>
    <m/>
    <m/>
    <m/>
    <n v="0"/>
    <n v="0"/>
    <n v="0"/>
    <n v="0"/>
    <n v="0"/>
    <n v="0"/>
    <n v="0"/>
    <n v="0"/>
    <n v="0"/>
    <n v="0"/>
    <n v="0"/>
    <n v="0"/>
    <n v="0"/>
    <n v="0"/>
    <n v="1"/>
    <n v="0"/>
    <n v="0"/>
    <n v="0"/>
    <s v="MMR001CMP068"/>
    <x v="0"/>
    <x v="0"/>
    <s v="P4"/>
    <n v="0"/>
    <s v="No"/>
  </r>
  <r>
    <n v="41.6"/>
    <d v="2013-11-30T00:00:00"/>
    <x v="1"/>
    <m/>
    <s v="Kachin"/>
    <s v="Shwegu"/>
    <s v="Shwe Gu Catholic Church"/>
    <m/>
    <m/>
    <m/>
    <m/>
    <m/>
    <m/>
    <m/>
    <m/>
    <m/>
    <n v="126"/>
    <m/>
    <m/>
    <m/>
    <m/>
    <m/>
    <m/>
    <m/>
    <n v="0"/>
    <n v="0"/>
    <n v="0"/>
    <n v="0"/>
    <n v="0"/>
    <n v="0"/>
    <n v="0"/>
    <n v="0"/>
    <n v="0"/>
    <n v="0"/>
    <n v="0"/>
    <n v="0"/>
    <n v="0"/>
    <n v="0"/>
    <n v="0"/>
    <n v="0"/>
    <n v="0"/>
    <n v="0"/>
    <s v="MMR001CMP068"/>
    <x v="0"/>
    <x v="0"/>
    <s v="P4"/>
    <n v="0"/>
    <s v="No"/>
  </r>
  <r>
    <n v="41.6"/>
    <d v="2013-11-30T00:00:00"/>
    <x v="6"/>
    <s v="MDCG"/>
    <s v="Kachin"/>
    <s v="Bhamo"/>
    <s v="Ta Gun Taing Monastery (Shwe Kyi Na)"/>
    <m/>
    <m/>
    <m/>
    <m/>
    <m/>
    <n v="135"/>
    <m/>
    <m/>
    <m/>
    <m/>
    <n v="68"/>
    <n v="61"/>
    <n v="0"/>
    <m/>
    <m/>
    <m/>
    <m/>
    <n v="0"/>
    <n v="0"/>
    <n v="0"/>
    <n v="0"/>
    <n v="0"/>
    <n v="0"/>
    <n v="0"/>
    <n v="0"/>
    <n v="0"/>
    <n v="0"/>
    <n v="0"/>
    <n v="0"/>
    <n v="0"/>
    <n v="0"/>
    <n v="1"/>
    <n v="0"/>
    <n v="0"/>
    <n v="0"/>
    <s v="MMR001CMP055"/>
    <x v="0"/>
    <x v="0"/>
    <s v="P4"/>
    <n v="0"/>
    <s v="No"/>
  </r>
  <r>
    <n v="41.6"/>
    <d v="2013-11-30T00:00:00"/>
    <x v="1"/>
    <m/>
    <s v="Kachin"/>
    <s v="Bhamo"/>
    <s v="Ta Gun Taing Monastery (Shwe Kyi Na)"/>
    <m/>
    <m/>
    <m/>
    <m/>
    <m/>
    <m/>
    <m/>
    <m/>
    <m/>
    <m/>
    <m/>
    <m/>
    <m/>
    <m/>
    <m/>
    <m/>
    <m/>
    <n v="0"/>
    <n v="0"/>
    <n v="0"/>
    <n v="0"/>
    <n v="0"/>
    <n v="0"/>
    <n v="0"/>
    <n v="0"/>
    <n v="0"/>
    <n v="0"/>
    <n v="0"/>
    <n v="0"/>
    <n v="0"/>
    <n v="0"/>
    <n v="0"/>
    <n v="0"/>
    <n v="0"/>
    <n v="0"/>
    <s v="MMR001CMP055"/>
    <x v="0"/>
    <x v="0"/>
    <s v="P4"/>
    <n v="0"/>
    <s v="No"/>
  </r>
  <r>
    <n v="41.6"/>
    <d v="2013-11-30T00:00:00"/>
    <x v="1"/>
    <s v="KBC"/>
    <s v="Kachin"/>
    <s v="Waingmaw"/>
    <s v="Thargaya Lisu Baptist Church"/>
    <m/>
    <m/>
    <m/>
    <m/>
    <m/>
    <m/>
    <m/>
    <m/>
    <m/>
    <m/>
    <m/>
    <m/>
    <m/>
    <m/>
    <m/>
    <m/>
    <m/>
    <n v="0"/>
    <n v="0"/>
    <n v="0"/>
    <n v="0"/>
    <n v="0"/>
    <n v="0"/>
    <n v="0"/>
    <n v="0"/>
    <n v="0"/>
    <n v="0"/>
    <n v="0"/>
    <n v="0"/>
    <n v="0"/>
    <n v="0"/>
    <n v="0"/>
    <n v="0"/>
    <n v="0"/>
    <n v="0"/>
    <s v="MMR001CMP037"/>
    <x v="0"/>
    <x v="0"/>
    <s v="P4"/>
    <n v="0"/>
    <s v="No"/>
  </r>
  <r>
    <n v="41.6"/>
    <d v="2013-11-30T00:00:00"/>
    <x v="1"/>
    <s v="KBC"/>
    <s v="Kachin"/>
    <s v="Waingmaw"/>
    <s v="Waingmaw AG Church"/>
    <m/>
    <m/>
    <m/>
    <m/>
    <m/>
    <m/>
    <m/>
    <m/>
    <m/>
    <m/>
    <m/>
    <m/>
    <m/>
    <m/>
    <m/>
    <m/>
    <m/>
    <n v="0"/>
    <n v="0"/>
    <n v="0"/>
    <n v="0"/>
    <n v="0"/>
    <n v="0"/>
    <n v="0"/>
    <n v="0"/>
    <n v="0"/>
    <n v="0"/>
    <n v="0"/>
    <n v="0"/>
    <n v="0"/>
    <n v="0"/>
    <n v="0"/>
    <n v="0"/>
    <n v="0"/>
    <n v="0"/>
    <s v="MMR001CMP038"/>
    <x v="0"/>
    <x v="0"/>
    <s v="P4"/>
    <n v="0"/>
    <s v="No"/>
  </r>
  <r>
    <n v="41.6"/>
    <d v="2013-11-30T00:00:00"/>
    <x v="1"/>
    <s v="KBC"/>
    <s v="Kachin"/>
    <s v="Waingmaw"/>
    <s v="Woi Chyai "/>
    <m/>
    <m/>
    <m/>
    <m/>
    <m/>
    <m/>
    <m/>
    <m/>
    <m/>
    <n v="1851"/>
    <m/>
    <m/>
    <m/>
    <m/>
    <m/>
    <m/>
    <m/>
    <n v="0"/>
    <n v="0"/>
    <n v="0"/>
    <n v="0"/>
    <n v="0"/>
    <n v="0"/>
    <n v="0"/>
    <n v="0"/>
    <n v="0"/>
    <n v="0"/>
    <n v="0"/>
    <n v="0"/>
    <n v="0"/>
    <n v="0"/>
    <n v="0"/>
    <n v="0"/>
    <n v="0"/>
    <n v="0"/>
    <s v="MMR001CMP116"/>
    <x v="0"/>
    <x v="0"/>
    <s v="P4"/>
    <n v="0"/>
    <s v="No"/>
  </r>
  <r>
    <n v="41.6"/>
    <d v="2013-11-30T00:00:00"/>
    <x v="6"/>
    <s v="MDCG"/>
    <s v="Kachin"/>
    <s v="Bhamo"/>
    <s v="Yoe Kyi Monastery"/>
    <m/>
    <m/>
    <m/>
    <m/>
    <m/>
    <n v="64"/>
    <m/>
    <m/>
    <m/>
    <m/>
    <n v="58"/>
    <n v="52"/>
    <n v="0"/>
    <m/>
    <m/>
    <m/>
    <m/>
    <n v="0"/>
    <n v="0"/>
    <n v="0"/>
    <n v="0"/>
    <n v="0"/>
    <n v="0"/>
    <n v="0"/>
    <n v="0"/>
    <n v="0"/>
    <n v="0"/>
    <n v="0"/>
    <n v="0"/>
    <n v="0"/>
    <n v="0"/>
    <n v="1"/>
    <n v="0"/>
    <n v="0"/>
    <n v="0"/>
    <s v="MMR001CMP053"/>
    <x v="0"/>
    <x v="0"/>
    <s v="P4"/>
    <n v="0"/>
    <s v="No"/>
  </r>
  <r>
    <n v="41.6"/>
    <d v="2013-11-30T00:00:00"/>
    <x v="1"/>
    <m/>
    <s v="Kachin"/>
    <s v="Bhamo"/>
    <s v="Yoe Kyi Monastery"/>
    <m/>
    <m/>
    <m/>
    <m/>
    <m/>
    <m/>
    <m/>
    <m/>
    <m/>
    <n v="99"/>
    <m/>
    <m/>
    <m/>
    <m/>
    <m/>
    <m/>
    <m/>
    <n v="0"/>
    <n v="0"/>
    <n v="0"/>
    <n v="0"/>
    <n v="0"/>
    <n v="0"/>
    <n v="0"/>
    <n v="0"/>
    <n v="0"/>
    <n v="0"/>
    <n v="0"/>
    <n v="0"/>
    <n v="0"/>
    <n v="0"/>
    <n v="0"/>
    <n v="0"/>
    <n v="0"/>
    <n v="0"/>
    <s v="MMR001CMP053"/>
    <x v="0"/>
    <x v="0"/>
    <s v="P4"/>
    <n v="0"/>
    <s v="No"/>
  </r>
  <r>
    <n v="41.56666666666667"/>
    <d v="2013-12-01T00:00:00"/>
    <x v="0"/>
    <s v="UNHCR"/>
    <s v="Kachin"/>
    <s v="Bhamo"/>
    <s v="Robert Church"/>
    <m/>
    <m/>
    <m/>
    <m/>
    <m/>
    <n v="30"/>
    <m/>
    <m/>
    <m/>
    <m/>
    <m/>
    <m/>
    <m/>
    <m/>
    <m/>
    <m/>
    <m/>
    <n v="0"/>
    <n v="0"/>
    <n v="0"/>
    <n v="0"/>
    <n v="0"/>
    <n v="0"/>
    <n v="0"/>
    <n v="0"/>
    <n v="0"/>
    <n v="0"/>
    <n v="0"/>
    <n v="0"/>
    <n v="0"/>
    <n v="0"/>
    <n v="0"/>
    <n v="0"/>
    <n v="0"/>
    <n v="0"/>
    <s v="MMR001CMP047"/>
    <x v="0"/>
    <x v="0"/>
    <s v="P4"/>
    <n v="0"/>
    <s v="No"/>
  </r>
  <r>
    <n v="41.533333333333331"/>
    <d v="2013-12-02T00:00:00"/>
    <x v="1"/>
    <s v="KBC"/>
    <s v="Kachin"/>
    <s v="Waingmaw"/>
    <s v="Post 6 Camp"/>
    <m/>
    <m/>
    <m/>
    <m/>
    <m/>
    <m/>
    <m/>
    <m/>
    <m/>
    <m/>
    <n v="124"/>
    <n v="248"/>
    <n v="744"/>
    <n v="372"/>
    <m/>
    <m/>
    <m/>
    <n v="0"/>
    <n v="0"/>
    <n v="0"/>
    <n v="0"/>
    <n v="0"/>
    <n v="0"/>
    <n v="0"/>
    <n v="0"/>
    <n v="0"/>
    <n v="0"/>
    <n v="0"/>
    <n v="0"/>
    <n v="0"/>
    <n v="0"/>
    <n v="1"/>
    <n v="0"/>
    <n v="0"/>
    <n v="0"/>
    <s v="MMR001CMP160"/>
    <x v="0"/>
    <x v="0"/>
    <s v="P1"/>
    <n v="0"/>
    <m/>
  </r>
  <r>
    <n v="41.6"/>
    <d v="2013-11-30T00:00:00"/>
    <x v="1"/>
    <s v="KBC"/>
    <s v="Kachin"/>
    <s v="Waingmaw"/>
    <s v="Zai Awng - Mung Ga Zup"/>
    <m/>
    <m/>
    <m/>
    <m/>
    <m/>
    <m/>
    <m/>
    <m/>
    <m/>
    <m/>
    <m/>
    <m/>
    <m/>
    <m/>
    <m/>
    <m/>
    <m/>
    <n v="0"/>
    <n v="0"/>
    <n v="0"/>
    <n v="0"/>
    <n v="0"/>
    <n v="0"/>
    <n v="0"/>
    <n v="0"/>
    <n v="0"/>
    <n v="0"/>
    <n v="0"/>
    <n v="0"/>
    <n v="0"/>
    <n v="0"/>
    <n v="0"/>
    <n v="0"/>
    <n v="0"/>
    <n v="0"/>
    <s v="MMR001CMP111"/>
    <x v="0"/>
    <x v="1"/>
    <s v="P2"/>
    <n v="0"/>
    <s v="No"/>
  </r>
  <r>
    <n v="41.5"/>
    <d v="2013-12-03T00:00:00"/>
    <x v="1"/>
    <s v="KBC"/>
    <s v="Kachin"/>
    <s v="Waingmaw"/>
    <s v="Border Post 8"/>
    <m/>
    <m/>
    <m/>
    <m/>
    <m/>
    <m/>
    <m/>
    <m/>
    <m/>
    <m/>
    <n v="181"/>
    <n v="362"/>
    <n v="1086"/>
    <n v="543"/>
    <m/>
    <m/>
    <m/>
    <n v="0"/>
    <n v="0"/>
    <n v="0"/>
    <n v="0"/>
    <n v="0"/>
    <n v="0"/>
    <n v="0"/>
    <n v="0"/>
    <n v="0"/>
    <n v="0"/>
    <n v="0"/>
    <n v="0"/>
    <n v="0"/>
    <n v="0"/>
    <n v="1"/>
    <n v="0"/>
    <n v="0"/>
    <n v="0"/>
    <s v="MMR001CMP113"/>
    <x v="0"/>
    <x v="0"/>
    <s v="P1"/>
    <n v="0"/>
    <m/>
  </r>
  <r>
    <n v="41.5"/>
    <d v="2013-12-03T00:00:00"/>
    <x v="0"/>
    <s v="UNHCR"/>
    <s v="Kachin"/>
    <s v="Momauk"/>
    <s v="Momauk Baptist Church"/>
    <m/>
    <m/>
    <m/>
    <n v="25"/>
    <n v="13"/>
    <n v="25"/>
    <n v="13"/>
    <n v="13"/>
    <m/>
    <m/>
    <m/>
    <m/>
    <m/>
    <m/>
    <m/>
    <m/>
    <m/>
    <n v="0"/>
    <n v="0"/>
    <n v="0"/>
    <n v="0"/>
    <n v="0"/>
    <n v="0"/>
    <n v="0"/>
    <n v="0"/>
    <n v="0"/>
    <n v="0"/>
    <n v="0"/>
    <n v="0"/>
    <n v="0"/>
    <n v="0"/>
    <n v="0"/>
    <n v="0"/>
    <n v="0"/>
    <n v="0"/>
    <s v="MMR001CMP056"/>
    <x v="0"/>
    <x v="0"/>
    <s v="P4"/>
    <n v="3.1944956382848013E-4"/>
    <s v="No"/>
  </r>
  <r>
    <n v="41.466666666666669"/>
    <d v="2013-12-04T00:00:00"/>
    <x v="0"/>
    <s v="UNHCR"/>
    <s v="Kachin"/>
    <s v="Bhamo"/>
    <s v="Aung Thar Church"/>
    <m/>
    <m/>
    <m/>
    <m/>
    <m/>
    <n v="10"/>
    <n v="5"/>
    <n v="5"/>
    <m/>
    <m/>
    <m/>
    <m/>
    <m/>
    <m/>
    <m/>
    <m/>
    <m/>
    <n v="0"/>
    <n v="0"/>
    <n v="0"/>
    <n v="0"/>
    <n v="0"/>
    <n v="0"/>
    <n v="0"/>
    <n v="0"/>
    <n v="0"/>
    <n v="0"/>
    <n v="0"/>
    <n v="0"/>
    <n v="0"/>
    <n v="0"/>
    <n v="0"/>
    <n v="0"/>
    <n v="0"/>
    <n v="0"/>
    <s v="MMR001CMP194"/>
    <x v="0"/>
    <x v="0"/>
    <s v="P4"/>
    <n v="1.2258807953514599E-4"/>
    <s v="No"/>
  </r>
  <r>
    <n v="41.466666666666669"/>
    <d v="2013-12-04T00:00:00"/>
    <x v="0"/>
    <s v="UNHCR"/>
    <s v="Kachin"/>
    <s v="Bhamo"/>
    <s v="Robert Church"/>
    <m/>
    <m/>
    <m/>
    <m/>
    <m/>
    <n v="120"/>
    <m/>
    <m/>
    <m/>
    <m/>
    <m/>
    <m/>
    <m/>
    <m/>
    <m/>
    <m/>
    <m/>
    <n v="0"/>
    <n v="0"/>
    <n v="0"/>
    <n v="0"/>
    <n v="0"/>
    <n v="0"/>
    <n v="0"/>
    <n v="0"/>
    <n v="0"/>
    <n v="0"/>
    <n v="0"/>
    <n v="0"/>
    <n v="0"/>
    <n v="0"/>
    <n v="0"/>
    <n v="0"/>
    <n v="0"/>
    <n v="0"/>
    <s v="MMR001CMP047"/>
    <x v="0"/>
    <x v="0"/>
    <s v="P4"/>
    <n v="0"/>
    <s v="No"/>
  </r>
  <r>
    <n v="41.466666666666669"/>
    <d v="2013-12-04T00:00:00"/>
    <x v="0"/>
    <s v="UNHCR"/>
    <s v="Kachin"/>
    <s v="Bhamo"/>
    <s v="Robert Church"/>
    <m/>
    <m/>
    <m/>
    <m/>
    <n v="5"/>
    <m/>
    <m/>
    <m/>
    <m/>
    <m/>
    <m/>
    <m/>
    <m/>
    <m/>
    <m/>
    <m/>
    <m/>
    <n v="0"/>
    <n v="0"/>
    <n v="0"/>
    <n v="0"/>
    <n v="0"/>
    <n v="0"/>
    <n v="0"/>
    <n v="0"/>
    <n v="0"/>
    <n v="0"/>
    <n v="0"/>
    <n v="0"/>
    <n v="0"/>
    <n v="0"/>
    <n v="0"/>
    <n v="0"/>
    <n v="0"/>
    <n v="0"/>
    <s v="MMR001CMP047"/>
    <x v="0"/>
    <x v="0"/>
    <s v="P4"/>
    <n v="0"/>
    <s v="No"/>
  </r>
  <r>
    <n v="41.43333333333333"/>
    <d v="2013-12-05T00:00:00"/>
    <x v="1"/>
    <s v="KBC"/>
    <s v="Kachin"/>
    <s v="Momauk"/>
    <s v="Dum Bung "/>
    <m/>
    <m/>
    <m/>
    <m/>
    <m/>
    <m/>
    <m/>
    <m/>
    <m/>
    <m/>
    <n v="120"/>
    <n v="240"/>
    <n v="720"/>
    <n v="360"/>
    <m/>
    <m/>
    <m/>
    <n v="0"/>
    <n v="0"/>
    <n v="0"/>
    <n v="0"/>
    <n v="0"/>
    <n v="0"/>
    <n v="0"/>
    <n v="0"/>
    <n v="0"/>
    <n v="0"/>
    <n v="0"/>
    <n v="0"/>
    <n v="0"/>
    <n v="0"/>
    <n v="1"/>
    <n v="0"/>
    <n v="0"/>
    <n v="0"/>
    <s v="MMR001CMP123"/>
    <x v="0"/>
    <x v="0"/>
    <s v="P2"/>
    <n v="0"/>
    <m/>
  </r>
  <r>
    <n v="41.266666666666666"/>
    <d v="2013-12-10T00:00:00"/>
    <x v="2"/>
    <m/>
    <s v="Kachin"/>
    <s v="Mansi"/>
    <s v="Man Wing Catholic Church"/>
    <m/>
    <m/>
    <m/>
    <m/>
    <m/>
    <m/>
    <m/>
    <m/>
    <m/>
    <m/>
    <m/>
    <n v="256"/>
    <m/>
    <m/>
    <m/>
    <m/>
    <m/>
    <n v="0"/>
    <n v="0"/>
    <n v="0"/>
    <n v="0"/>
    <n v="0"/>
    <n v="0"/>
    <n v="0"/>
    <n v="0"/>
    <n v="0"/>
    <n v="0"/>
    <n v="0"/>
    <n v="0"/>
    <n v="0"/>
    <n v="0"/>
    <n v="1"/>
    <n v="0"/>
    <n v="0"/>
    <n v="0"/>
    <s v="MMR001CMP132"/>
    <x v="0"/>
    <x v="0"/>
    <s v="P4"/>
    <n v="0"/>
    <s v="No"/>
  </r>
  <r>
    <n v="41.233333333333334"/>
    <d v="2013-12-11T00:00:00"/>
    <x v="7"/>
    <s v="WPN"/>
    <s v="Kachin"/>
    <s v="Mansi"/>
    <s v="Bum Tsit Pa "/>
    <m/>
    <m/>
    <m/>
    <m/>
    <m/>
    <n v="278"/>
    <m/>
    <m/>
    <m/>
    <m/>
    <m/>
    <m/>
    <m/>
    <m/>
    <m/>
    <m/>
    <m/>
    <n v="0"/>
    <n v="0"/>
    <n v="0"/>
    <n v="0"/>
    <n v="0"/>
    <n v="0"/>
    <n v="0"/>
    <n v="0"/>
    <n v="0"/>
    <n v="0"/>
    <n v="0"/>
    <n v="0"/>
    <n v="0"/>
    <n v="0"/>
    <n v="0"/>
    <n v="0"/>
    <n v="0"/>
    <n v="0"/>
    <s v="MMR001CMP129"/>
    <x v="0"/>
    <x v="0"/>
    <s v="P2"/>
    <n v="0"/>
    <s v="No"/>
  </r>
  <r>
    <n v="41.233333333333334"/>
    <d v="2013-12-11T00:00:00"/>
    <x v="7"/>
    <s v="WPN"/>
    <s v="Kachin"/>
    <s v="Mansi"/>
    <s v="Bum Tsit Pa "/>
    <m/>
    <m/>
    <m/>
    <m/>
    <m/>
    <n v="174"/>
    <m/>
    <m/>
    <m/>
    <m/>
    <m/>
    <m/>
    <m/>
    <m/>
    <m/>
    <m/>
    <m/>
    <n v="0"/>
    <n v="0"/>
    <n v="0"/>
    <n v="0"/>
    <n v="0"/>
    <n v="0"/>
    <n v="0"/>
    <n v="0"/>
    <n v="0"/>
    <n v="0"/>
    <n v="0"/>
    <n v="0"/>
    <n v="0"/>
    <n v="0"/>
    <n v="0"/>
    <n v="0"/>
    <n v="0"/>
    <n v="0"/>
    <s v="MMR001CMP129"/>
    <x v="0"/>
    <x v="0"/>
    <s v="P2"/>
    <n v="0"/>
    <s v="No"/>
  </r>
  <r>
    <n v="41.233333333333334"/>
    <d v="2013-12-11T00:00:00"/>
    <x v="7"/>
    <s v="WPN"/>
    <s v="Kachin"/>
    <s v="Mansi"/>
    <s v="Lung Kawk  ( Hka Hkye Zup)"/>
    <m/>
    <m/>
    <m/>
    <m/>
    <m/>
    <n v="38"/>
    <m/>
    <m/>
    <m/>
    <m/>
    <m/>
    <m/>
    <m/>
    <m/>
    <m/>
    <m/>
    <m/>
    <n v="0"/>
    <n v="0"/>
    <n v="0"/>
    <n v="0"/>
    <n v="0"/>
    <n v="0"/>
    <n v="0"/>
    <n v="0"/>
    <n v="0"/>
    <n v="0"/>
    <n v="0"/>
    <n v="0"/>
    <n v="0"/>
    <n v="0"/>
    <n v="0"/>
    <n v="0"/>
    <n v="0"/>
    <n v="0"/>
    <s v="MMR001CMP135"/>
    <x v="0"/>
    <x v="1"/>
    <s v="P2"/>
    <n v="0"/>
    <s v="No"/>
  </r>
  <r>
    <n v="41.233333333333334"/>
    <d v="2013-12-11T00:00:00"/>
    <x v="7"/>
    <s v="WPN"/>
    <s v="Kachin"/>
    <s v="Mansi"/>
    <s v="Lana Zup Ja "/>
    <m/>
    <m/>
    <m/>
    <m/>
    <m/>
    <n v="543"/>
    <m/>
    <m/>
    <m/>
    <m/>
    <m/>
    <m/>
    <m/>
    <m/>
    <m/>
    <m/>
    <m/>
    <n v="0"/>
    <n v="0"/>
    <n v="0"/>
    <n v="0"/>
    <n v="0"/>
    <n v="0"/>
    <n v="0"/>
    <n v="0"/>
    <n v="0"/>
    <n v="0"/>
    <n v="0"/>
    <n v="0"/>
    <n v="0"/>
    <n v="0"/>
    <n v="0"/>
    <n v="0"/>
    <n v="0"/>
    <n v="0"/>
    <s v="MMR001CMP128"/>
    <x v="0"/>
    <x v="0"/>
    <s v="P2"/>
    <n v="0"/>
    <s v="No"/>
  </r>
  <r>
    <n v="41.233333333333334"/>
    <d v="2013-12-11T00:00:00"/>
    <x v="7"/>
    <s v="WPN"/>
    <s v="Kachin"/>
    <s v="Momauk"/>
    <s v="Nhkawng Pa "/>
    <m/>
    <m/>
    <m/>
    <m/>
    <m/>
    <n v="350"/>
    <m/>
    <m/>
    <m/>
    <m/>
    <m/>
    <m/>
    <m/>
    <m/>
    <m/>
    <m/>
    <m/>
    <n v="0"/>
    <n v="0"/>
    <n v="0"/>
    <n v="0"/>
    <n v="0"/>
    <n v="0"/>
    <n v="0"/>
    <n v="0"/>
    <n v="0"/>
    <n v="0"/>
    <n v="0"/>
    <n v="0"/>
    <n v="0"/>
    <n v="0"/>
    <n v="0"/>
    <n v="0"/>
    <n v="0"/>
    <n v="0"/>
    <s v="MMR001CMP131"/>
    <x v="0"/>
    <x v="0"/>
    <s v="P1"/>
    <n v="0"/>
    <s v="No"/>
  </r>
  <r>
    <n v="41.233333333333334"/>
    <d v="2013-12-11T00:00:00"/>
    <x v="7"/>
    <s v="WPN"/>
    <s v="Kachin"/>
    <s v="Momauk"/>
    <s v="Pa Kahtawng "/>
    <m/>
    <m/>
    <m/>
    <m/>
    <m/>
    <n v="417"/>
    <m/>
    <m/>
    <m/>
    <m/>
    <m/>
    <m/>
    <m/>
    <m/>
    <m/>
    <m/>
    <m/>
    <n v="0"/>
    <n v="0"/>
    <n v="0"/>
    <n v="0"/>
    <n v="0"/>
    <n v="0"/>
    <n v="0"/>
    <n v="0"/>
    <n v="0"/>
    <n v="0"/>
    <n v="0"/>
    <n v="0"/>
    <n v="0"/>
    <n v="0"/>
    <n v="0"/>
    <n v="0"/>
    <n v="0"/>
    <n v="0"/>
    <s v="MMR001CMP126"/>
    <x v="0"/>
    <x v="0"/>
    <s v="P2"/>
    <n v="0"/>
    <s v="No"/>
  </r>
  <r>
    <n v="41.166666666666664"/>
    <d v="2013-12-13T00:00:00"/>
    <x v="1"/>
    <s v="Solidarities"/>
    <s v="Kachin"/>
    <s v="Mansi"/>
    <s v="Mansi Baptist Church"/>
    <m/>
    <m/>
    <m/>
    <m/>
    <m/>
    <m/>
    <m/>
    <m/>
    <m/>
    <m/>
    <n v="13"/>
    <n v="53"/>
    <n v="132"/>
    <n v="66"/>
    <m/>
    <m/>
    <m/>
    <n v="0"/>
    <n v="0"/>
    <n v="0"/>
    <n v="0"/>
    <n v="0"/>
    <n v="0"/>
    <n v="0"/>
    <n v="0"/>
    <n v="0"/>
    <n v="0"/>
    <n v="0"/>
    <n v="0"/>
    <n v="0"/>
    <n v="0"/>
    <n v="1"/>
    <n v="0"/>
    <n v="0"/>
    <n v="0"/>
    <s v="MMR001CMP066"/>
    <x v="0"/>
    <x v="0"/>
    <s v="P4"/>
    <n v="0"/>
    <m/>
  </r>
  <r>
    <n v="41.06666666666667"/>
    <d v="2013-12-16T00:00:00"/>
    <x v="1"/>
    <s v="KBC"/>
    <s v="Kachin"/>
    <s v="Waingmaw"/>
    <s v="Waingmaw AG Church"/>
    <m/>
    <m/>
    <m/>
    <m/>
    <m/>
    <m/>
    <m/>
    <m/>
    <m/>
    <m/>
    <n v="77"/>
    <n v="153"/>
    <n v="460"/>
    <n v="230"/>
    <m/>
    <m/>
    <m/>
    <n v="0"/>
    <n v="0"/>
    <n v="0"/>
    <n v="0"/>
    <n v="0"/>
    <n v="0"/>
    <n v="0"/>
    <n v="0"/>
    <n v="0"/>
    <n v="0"/>
    <n v="0"/>
    <n v="0"/>
    <n v="0"/>
    <n v="0"/>
    <n v="1"/>
    <n v="0"/>
    <n v="0"/>
    <n v="0"/>
    <s v="MMR001CMP038"/>
    <x v="0"/>
    <x v="0"/>
    <s v="P4"/>
    <n v="0"/>
    <m/>
  </r>
  <r>
    <n v="41.033333333333331"/>
    <d v="2013-12-17T00:00:00"/>
    <x v="1"/>
    <s v="KBC"/>
    <s v="Kachin"/>
    <s v="Waingmaw"/>
    <s v="Qtr. 2 Myoma Baptist Church"/>
    <m/>
    <m/>
    <m/>
    <m/>
    <m/>
    <m/>
    <m/>
    <m/>
    <m/>
    <m/>
    <n v="73"/>
    <n v="146"/>
    <n v="438"/>
    <n v="219"/>
    <m/>
    <m/>
    <m/>
    <n v="0"/>
    <n v="0"/>
    <n v="0"/>
    <n v="0"/>
    <n v="0"/>
    <n v="0"/>
    <n v="0"/>
    <n v="0"/>
    <n v="0"/>
    <n v="0"/>
    <n v="0"/>
    <n v="0"/>
    <n v="0"/>
    <n v="0"/>
    <n v="1"/>
    <n v="0"/>
    <n v="0"/>
    <n v="0"/>
    <s v="MMR001CMP025"/>
    <x v="0"/>
    <x v="0"/>
    <s v="P4"/>
    <n v="0"/>
    <m/>
  </r>
  <r>
    <n v="41.033333333333331"/>
    <d v="2013-12-17T00:00:00"/>
    <x v="1"/>
    <s v="KBC"/>
    <s v="Kachin"/>
    <s v="Waingmaw"/>
    <s v="Shing Jai"/>
    <m/>
    <m/>
    <m/>
    <m/>
    <m/>
    <m/>
    <m/>
    <m/>
    <m/>
    <m/>
    <n v="188"/>
    <n v="343"/>
    <n v="1062"/>
    <n v="531"/>
    <m/>
    <m/>
    <m/>
    <n v="0"/>
    <n v="0"/>
    <n v="0"/>
    <n v="0"/>
    <n v="0"/>
    <n v="0"/>
    <n v="0"/>
    <n v="0"/>
    <n v="0"/>
    <n v="0"/>
    <n v="0"/>
    <n v="0"/>
    <n v="0"/>
    <n v="0"/>
    <n v="1"/>
    <n v="0"/>
    <n v="0"/>
    <n v="0"/>
    <s v="MMR001CMP041"/>
    <x v="0"/>
    <x v="0"/>
    <s v="P1"/>
    <n v="0"/>
    <m/>
  </r>
  <r>
    <n v="41"/>
    <d v="2013-12-18T00:00:00"/>
    <x v="1"/>
    <s v="KBC"/>
    <s v="Kachin"/>
    <s v="Waingmaw"/>
    <s v="Hkat Cho "/>
    <m/>
    <m/>
    <m/>
    <m/>
    <m/>
    <m/>
    <m/>
    <m/>
    <m/>
    <m/>
    <n v="134"/>
    <n v="238"/>
    <n v="744"/>
    <n v="372"/>
    <m/>
    <m/>
    <m/>
    <n v="0"/>
    <n v="0"/>
    <n v="0"/>
    <n v="0"/>
    <n v="0"/>
    <n v="0"/>
    <n v="0"/>
    <n v="0"/>
    <n v="0"/>
    <n v="0"/>
    <n v="0"/>
    <n v="0"/>
    <n v="0"/>
    <n v="0"/>
    <n v="1"/>
    <n v="0"/>
    <n v="0"/>
    <n v="0"/>
    <s v="MMR001CMP028"/>
    <x v="0"/>
    <x v="0"/>
    <s v="P4"/>
    <n v="0"/>
    <m/>
  </r>
  <r>
    <n v="41"/>
    <d v="2013-12-18T00:00:00"/>
    <x v="0"/>
    <s v="UNHCR"/>
    <s v="Kachin"/>
    <s v="Bhamo"/>
    <s v="Host Families"/>
    <m/>
    <m/>
    <m/>
    <m/>
    <n v="4"/>
    <m/>
    <m/>
    <m/>
    <m/>
    <m/>
    <m/>
    <m/>
    <m/>
    <m/>
    <m/>
    <m/>
    <m/>
    <n v="0"/>
    <n v="0"/>
    <n v="0"/>
    <n v="0"/>
    <n v="0"/>
    <n v="0"/>
    <n v="0"/>
    <n v="0"/>
    <n v="0"/>
    <n v="0"/>
    <n v="0"/>
    <n v="0"/>
    <n v="0"/>
    <n v="0"/>
    <n v="0"/>
    <n v="0"/>
    <n v="0"/>
    <n v="0"/>
    <s v="MMR001CMP163"/>
    <x v="0"/>
    <x v="0"/>
    <s v="P4"/>
    <s v=""/>
    <s v="No"/>
  </r>
  <r>
    <n v="41"/>
    <d v="2013-12-18T00:00:00"/>
    <x v="1"/>
    <s v="KBC"/>
    <s v="Kachin"/>
    <s v="Waingmaw"/>
    <s v="Mading Baptist Church"/>
    <m/>
    <m/>
    <m/>
    <m/>
    <m/>
    <m/>
    <m/>
    <m/>
    <m/>
    <m/>
    <n v="23"/>
    <n v="45"/>
    <n v="136"/>
    <n v="68"/>
    <m/>
    <m/>
    <m/>
    <n v="0"/>
    <n v="0"/>
    <n v="0"/>
    <n v="0"/>
    <n v="0"/>
    <n v="0"/>
    <n v="0"/>
    <n v="0"/>
    <n v="0"/>
    <n v="0"/>
    <n v="0"/>
    <n v="0"/>
    <n v="0"/>
    <n v="0"/>
    <n v="1"/>
    <n v="0"/>
    <n v="0"/>
    <n v="0"/>
    <s v="MMR001CMP027"/>
    <x v="0"/>
    <x v="0"/>
    <s v="P4"/>
    <n v="0"/>
    <m/>
  </r>
  <r>
    <n v="41"/>
    <d v="2013-12-18T00:00:00"/>
    <x v="1"/>
    <s v="KBC"/>
    <s v="Kachin"/>
    <s v="Waingmaw"/>
    <s v="Qtr. 3 Mu-yin  Baptist Church"/>
    <m/>
    <m/>
    <m/>
    <m/>
    <m/>
    <m/>
    <m/>
    <m/>
    <m/>
    <m/>
    <n v="30"/>
    <n v="57"/>
    <n v="174"/>
    <n v="87"/>
    <m/>
    <m/>
    <m/>
    <n v="0"/>
    <n v="0"/>
    <n v="0"/>
    <n v="0"/>
    <n v="0"/>
    <n v="0"/>
    <n v="0"/>
    <n v="0"/>
    <n v="0"/>
    <n v="0"/>
    <n v="0"/>
    <n v="0"/>
    <n v="0"/>
    <n v="0"/>
    <n v="1"/>
    <n v="0"/>
    <n v="0"/>
    <n v="0"/>
    <s v="MMR001CMP030"/>
    <x v="0"/>
    <x v="0"/>
    <s v="P4"/>
    <n v="0"/>
    <m/>
  </r>
  <r>
    <n v="40.966666666666669"/>
    <d v="2013-12-19T00:00:00"/>
    <x v="1"/>
    <s v="KBC"/>
    <s v="Kachin"/>
    <s v="Waingmaw"/>
    <s v="Maina KBC (Bawng Ring)"/>
    <m/>
    <m/>
    <m/>
    <m/>
    <m/>
    <m/>
    <m/>
    <m/>
    <m/>
    <m/>
    <n v="414"/>
    <n v="764"/>
    <n v="2356"/>
    <n v="1178"/>
    <m/>
    <m/>
    <m/>
    <n v="0"/>
    <n v="0"/>
    <n v="0"/>
    <n v="0"/>
    <n v="0"/>
    <n v="0"/>
    <n v="0"/>
    <n v="0"/>
    <n v="0"/>
    <n v="0"/>
    <n v="0"/>
    <n v="0"/>
    <n v="0"/>
    <n v="0"/>
    <n v="1"/>
    <n v="0"/>
    <n v="0"/>
    <n v="0"/>
    <s v="MMR001CMP040"/>
    <x v="0"/>
    <x v="0"/>
    <s v="P4"/>
    <n v="0"/>
    <m/>
  </r>
  <r>
    <n v="40.93333333333333"/>
    <d v="2013-12-20T00:00:00"/>
    <x v="1"/>
    <s v="KBC"/>
    <s v="Kachin"/>
    <s v="Waingmaw"/>
    <s v="Maina AG Church"/>
    <m/>
    <m/>
    <m/>
    <m/>
    <m/>
    <m/>
    <m/>
    <m/>
    <m/>
    <m/>
    <n v="141"/>
    <n v="265"/>
    <n v="812"/>
    <n v="406"/>
    <m/>
    <m/>
    <m/>
    <n v="0"/>
    <n v="0"/>
    <n v="0"/>
    <n v="0"/>
    <n v="0"/>
    <n v="0"/>
    <n v="0"/>
    <n v="0"/>
    <n v="0"/>
    <n v="0"/>
    <n v="0"/>
    <n v="0"/>
    <n v="0"/>
    <n v="0"/>
    <n v="1"/>
    <n v="0"/>
    <n v="0"/>
    <n v="0"/>
    <s v="MMR001CMP031"/>
    <x v="0"/>
    <x v="0"/>
    <s v="P4"/>
    <n v="0"/>
    <m/>
  </r>
  <r>
    <n v="40.93333333333333"/>
    <d v="2013-12-20T00:00:00"/>
    <x v="1"/>
    <s v="KBC"/>
    <s v="Kachin"/>
    <s v="Waingmaw"/>
    <s v="Maina Lawang Baptist Church"/>
    <m/>
    <m/>
    <m/>
    <m/>
    <m/>
    <m/>
    <m/>
    <m/>
    <m/>
    <m/>
    <n v="47"/>
    <n v="85"/>
    <n v="264"/>
    <n v="132"/>
    <m/>
    <m/>
    <m/>
    <n v="0"/>
    <n v="0"/>
    <n v="0"/>
    <n v="0"/>
    <n v="0"/>
    <n v="0"/>
    <n v="0"/>
    <n v="0"/>
    <n v="0"/>
    <n v="0"/>
    <n v="0"/>
    <n v="0"/>
    <n v="0"/>
    <n v="0"/>
    <n v="1"/>
    <n v="0"/>
    <n v="0"/>
    <n v="0"/>
    <s v="MMR001CMP039"/>
    <x v="0"/>
    <x v="0"/>
    <s v="P4"/>
    <n v="0"/>
    <m/>
  </r>
  <r>
    <n v="40.93333333333333"/>
    <d v="2013-12-20T00:00:00"/>
    <x v="1"/>
    <s v="KBC"/>
    <s v="Kachin"/>
    <s v="Waingmaw"/>
    <s v="Qtr. 4 Monestry (Thargaya Thayett Taw)"/>
    <m/>
    <m/>
    <m/>
    <m/>
    <m/>
    <m/>
    <m/>
    <m/>
    <m/>
    <m/>
    <n v="102"/>
    <n v="188"/>
    <n v="580"/>
    <n v="290"/>
    <m/>
    <m/>
    <m/>
    <n v="0"/>
    <n v="0"/>
    <n v="0"/>
    <n v="0"/>
    <n v="0"/>
    <n v="0"/>
    <n v="0"/>
    <n v="0"/>
    <n v="0"/>
    <n v="0"/>
    <n v="0"/>
    <n v="0"/>
    <n v="0"/>
    <n v="0"/>
    <n v="1"/>
    <n v="0"/>
    <n v="0"/>
    <n v="0"/>
    <s v="MMR001CMP026"/>
    <x v="0"/>
    <x v="0"/>
    <s v="P4"/>
    <n v="0"/>
    <m/>
  </r>
  <r>
    <n v="40.9"/>
    <d v="2013-12-21T00:00:00"/>
    <x v="1"/>
    <s v="KBC"/>
    <s v="Kachin"/>
    <s v="Waingmaw"/>
    <s v="Thargaya Lisu Baptist Church"/>
    <m/>
    <m/>
    <m/>
    <m/>
    <m/>
    <m/>
    <m/>
    <m/>
    <m/>
    <m/>
    <n v="75"/>
    <n v="139"/>
    <n v="428"/>
    <n v="214"/>
    <m/>
    <m/>
    <m/>
    <n v="0"/>
    <n v="0"/>
    <n v="0"/>
    <n v="0"/>
    <n v="0"/>
    <n v="0"/>
    <n v="0"/>
    <n v="0"/>
    <n v="0"/>
    <n v="0"/>
    <n v="0"/>
    <n v="0"/>
    <n v="0"/>
    <n v="0"/>
    <n v="1"/>
    <n v="0"/>
    <n v="0"/>
    <n v="0"/>
    <s v="MMR001CMP037"/>
    <x v="0"/>
    <x v="0"/>
    <s v="P4"/>
    <n v="0"/>
    <m/>
  </r>
  <r>
    <n v="40.833333333333336"/>
    <d v="2013-12-23T00:00:00"/>
    <x v="0"/>
    <s v="UNHCR"/>
    <s v="Kachin"/>
    <s v="Bhamo"/>
    <s v="AD-2000 Tharthana Compound"/>
    <m/>
    <m/>
    <n v="10"/>
    <n v="10"/>
    <n v="7"/>
    <n v="10"/>
    <n v="7"/>
    <n v="7"/>
    <m/>
    <m/>
    <m/>
    <m/>
    <m/>
    <m/>
    <m/>
    <m/>
    <m/>
    <n v="0"/>
    <n v="0"/>
    <n v="0"/>
    <n v="0"/>
    <n v="0"/>
    <n v="0"/>
    <n v="0"/>
    <n v="0"/>
    <n v="0"/>
    <n v="0"/>
    <n v="0"/>
    <n v="0"/>
    <n v="0"/>
    <n v="0"/>
    <n v="0"/>
    <n v="0"/>
    <n v="0"/>
    <n v="0"/>
    <s v="MMR001CMP050"/>
    <x v="0"/>
    <x v="0"/>
    <s v="P4"/>
    <n v="1.7136701919310616E-4"/>
    <s v="No"/>
  </r>
  <r>
    <n v="40.833333333333336"/>
    <d v="2013-12-23T00:00:00"/>
    <x v="1"/>
    <s v="KBC"/>
    <s v="Kachin"/>
    <s v="Waingmaw"/>
    <s v="IDP Boarding School, A Len Bum"/>
    <m/>
    <m/>
    <m/>
    <m/>
    <m/>
    <m/>
    <m/>
    <m/>
    <m/>
    <m/>
    <n v="2"/>
    <n v="111"/>
    <n v="226"/>
    <n v="113"/>
    <m/>
    <m/>
    <m/>
    <n v="0"/>
    <n v="0"/>
    <n v="0"/>
    <n v="0"/>
    <n v="0"/>
    <n v="0"/>
    <n v="0"/>
    <n v="0"/>
    <n v="0"/>
    <n v="0"/>
    <n v="0"/>
    <n v="0"/>
    <n v="0"/>
    <n v="0"/>
    <n v="1"/>
    <n v="0"/>
    <n v="0"/>
    <n v="0"/>
    <s v="MMR001CMP208"/>
    <x v="0"/>
    <x v="0"/>
    <s v="P2"/>
    <s v=""/>
    <m/>
  </r>
  <r>
    <n v="40.833333333333336"/>
    <d v="2013-12-23T00:00:00"/>
    <x v="1"/>
    <s v="KBC"/>
    <s v="Kachin"/>
    <s v="Waingmaw"/>
    <s v="Qtr. 2 Lhaovo Baptist Church"/>
    <m/>
    <m/>
    <m/>
    <m/>
    <m/>
    <m/>
    <m/>
    <m/>
    <m/>
    <m/>
    <n v="59"/>
    <n v="196"/>
    <n v="510"/>
    <n v="255"/>
    <m/>
    <m/>
    <m/>
    <n v="0"/>
    <n v="0"/>
    <n v="0"/>
    <n v="0"/>
    <n v="0"/>
    <n v="0"/>
    <n v="0"/>
    <n v="0"/>
    <n v="0"/>
    <n v="0"/>
    <n v="0"/>
    <n v="0"/>
    <n v="0"/>
    <n v="0"/>
    <n v="1"/>
    <n v="0"/>
    <n v="0"/>
    <n v="0"/>
    <s v="MMR001CMP032"/>
    <x v="0"/>
    <x v="0"/>
    <s v="P4"/>
    <n v="0"/>
    <m/>
  </r>
  <r>
    <n v="40.533333333333331"/>
    <d v="2014-01-01T00:00:00"/>
    <x v="8"/>
    <s v="MRCS"/>
    <s v="Kachin"/>
    <s v="Mogaung"/>
    <s v="Mang Hawng Baptist Church"/>
    <m/>
    <m/>
    <m/>
    <m/>
    <m/>
    <m/>
    <n v="14"/>
    <m/>
    <m/>
    <m/>
    <m/>
    <m/>
    <m/>
    <m/>
    <m/>
    <m/>
    <m/>
    <n v="0"/>
    <n v="0"/>
    <n v="0"/>
    <n v="0"/>
    <n v="0"/>
    <n v="0"/>
    <n v="0"/>
    <n v="0"/>
    <n v="0"/>
    <n v="0"/>
    <n v="0"/>
    <n v="0"/>
    <n v="0"/>
    <n v="0"/>
    <n v="0"/>
    <n v="0"/>
    <n v="0"/>
    <n v="0"/>
    <s v="MMR001CMP077"/>
    <x v="0"/>
    <x v="0"/>
    <s v="P4"/>
    <n v="3.4121374603948332E-4"/>
    <s v="No"/>
  </r>
  <r>
    <n v="40.533333333333331"/>
    <d v="2014-01-01T00:00:00"/>
    <x v="8"/>
    <s v="MRCS"/>
    <s v="Kachin"/>
    <s v="Mogaung"/>
    <s v="Nat Gyi Kone Baptist Church "/>
    <m/>
    <m/>
    <m/>
    <m/>
    <m/>
    <m/>
    <n v="13"/>
    <m/>
    <m/>
    <m/>
    <m/>
    <m/>
    <m/>
    <m/>
    <m/>
    <m/>
    <m/>
    <n v="0"/>
    <n v="0"/>
    <n v="0"/>
    <n v="0"/>
    <n v="0"/>
    <n v="0"/>
    <n v="0"/>
    <n v="0"/>
    <n v="0"/>
    <n v="0"/>
    <n v="0"/>
    <n v="0"/>
    <n v="0"/>
    <n v="0"/>
    <n v="0"/>
    <n v="0"/>
    <n v="0"/>
    <n v="0"/>
    <s v="MMR001CMP079"/>
    <x v="0"/>
    <x v="0"/>
    <s v="P4"/>
    <n v="3.1731309038541335E-4"/>
    <s v="No"/>
  </r>
  <r>
    <n v="40.533333333333331"/>
    <d v="2014-01-01T00:00:00"/>
    <x v="8"/>
    <s v="MRCS"/>
    <s v="Kachin"/>
    <s v="Mohnyin"/>
    <s v="Nant Mun"/>
    <m/>
    <m/>
    <m/>
    <m/>
    <m/>
    <m/>
    <n v="12"/>
    <m/>
    <m/>
    <m/>
    <m/>
    <m/>
    <m/>
    <m/>
    <m/>
    <m/>
    <m/>
    <n v="0"/>
    <n v="0"/>
    <n v="0"/>
    <n v="0"/>
    <n v="0"/>
    <n v="0"/>
    <n v="0"/>
    <n v="0"/>
    <n v="0"/>
    <n v="0"/>
    <n v="0"/>
    <n v="0"/>
    <n v="0"/>
    <n v="0"/>
    <n v="0"/>
    <n v="0"/>
    <n v="0"/>
    <n v="0"/>
    <s v="MMR001CMP081"/>
    <x v="0"/>
    <x v="1"/>
    <s v="P4"/>
    <n v="2.9290439112499695E-4"/>
    <s v="No"/>
  </r>
  <r>
    <n v="40.533333333333331"/>
    <d v="2014-01-01T00:00:00"/>
    <x v="8"/>
    <s v="MRCS"/>
    <s v="Kachin"/>
    <s v="Chipwi"/>
    <s v="Pan Wa"/>
    <m/>
    <m/>
    <m/>
    <m/>
    <m/>
    <m/>
    <n v="92"/>
    <m/>
    <m/>
    <m/>
    <m/>
    <m/>
    <m/>
    <m/>
    <m/>
    <m/>
    <m/>
    <n v="0"/>
    <n v="0"/>
    <n v="0"/>
    <n v="0"/>
    <n v="0"/>
    <n v="0"/>
    <n v="0"/>
    <n v="0"/>
    <n v="0"/>
    <n v="0"/>
    <n v="0"/>
    <n v="0"/>
    <n v="0"/>
    <n v="0"/>
    <n v="0"/>
    <n v="0"/>
    <n v="0"/>
    <n v="0"/>
    <s v="MMR001CMP210"/>
    <x v="0"/>
    <x v="0"/>
    <s v="P1"/>
    <n v="2.2389330997055318E-3"/>
    <s v="No"/>
  </r>
  <r>
    <n v="40.333333333333336"/>
    <d v="2014-01-07T00:00:00"/>
    <x v="0"/>
    <s v="UNHCR"/>
    <s v="Kachin"/>
    <s v="Bhamo"/>
    <s v="Robert Church"/>
    <m/>
    <m/>
    <m/>
    <n v="44"/>
    <n v="30"/>
    <n v="44"/>
    <n v="20"/>
    <n v="20"/>
    <m/>
    <m/>
    <m/>
    <m/>
    <m/>
    <m/>
    <m/>
    <m/>
    <m/>
    <n v="0"/>
    <n v="0"/>
    <n v="0"/>
    <n v="0"/>
    <n v="0"/>
    <n v="0"/>
    <n v="0"/>
    <n v="0"/>
    <n v="0"/>
    <n v="0"/>
    <n v="0"/>
    <n v="0"/>
    <n v="0"/>
    <n v="0"/>
    <n v="0"/>
    <n v="0"/>
    <n v="0"/>
    <n v="0"/>
    <s v="MMR001CMP047"/>
    <x v="0"/>
    <x v="0"/>
    <s v="P4"/>
    <n v="4.9109883364027013E-4"/>
    <s v="No"/>
  </r>
  <r>
    <n v="40.200000000000003"/>
    <d v="2014-01-11T00:00:00"/>
    <x v="0"/>
    <m/>
    <s v="Kachin"/>
    <s v="Bhamo"/>
    <s v="Phan Khar Kone"/>
    <m/>
    <m/>
    <m/>
    <m/>
    <n v="10"/>
    <m/>
    <m/>
    <m/>
    <m/>
    <m/>
    <m/>
    <m/>
    <m/>
    <m/>
    <m/>
    <m/>
    <m/>
    <n v="0"/>
    <n v="0"/>
    <n v="0"/>
    <n v="0"/>
    <n v="0"/>
    <n v="0"/>
    <n v="0"/>
    <n v="0"/>
    <n v="0"/>
    <n v="0"/>
    <n v="0"/>
    <n v="0"/>
    <n v="0"/>
    <n v="0"/>
    <n v="0"/>
    <n v="0"/>
    <n v="0"/>
    <n v="0"/>
    <s v="MMR001CMP193"/>
    <x v="0"/>
    <x v="0"/>
    <s v="P4"/>
    <n v="0"/>
    <m/>
  </r>
  <r>
    <n v="40.166666666666664"/>
    <d v="2014-01-12T00:00:00"/>
    <x v="2"/>
    <s v="KMSS"/>
    <s v="Kachin"/>
    <s v="Momauk"/>
    <s v="Dum Bung "/>
    <m/>
    <m/>
    <m/>
    <m/>
    <m/>
    <m/>
    <m/>
    <n v="125"/>
    <m/>
    <m/>
    <m/>
    <m/>
    <m/>
    <m/>
    <m/>
    <m/>
    <m/>
    <n v="0"/>
    <n v="0"/>
    <n v="0"/>
    <n v="0"/>
    <n v="0"/>
    <n v="0"/>
    <n v="0"/>
    <n v="0"/>
    <n v="0"/>
    <n v="0"/>
    <n v="0"/>
    <n v="0"/>
    <n v="0"/>
    <n v="0"/>
    <n v="0"/>
    <n v="0"/>
    <n v="0"/>
    <n v="0"/>
    <s v="MMR001CMP123"/>
    <x v="0"/>
    <x v="0"/>
    <s v="P2"/>
    <n v="0"/>
    <s v="No"/>
  </r>
  <r>
    <n v="40.266666666666666"/>
    <d v="2014-01-09T00:00:00"/>
    <x v="1"/>
    <s v="KBC"/>
    <s v="Kachin"/>
    <s v="Mansi"/>
    <s v="IDPs scattered in South Mansi"/>
    <m/>
    <m/>
    <m/>
    <m/>
    <m/>
    <m/>
    <m/>
    <m/>
    <m/>
    <m/>
    <n v="142"/>
    <n v="284"/>
    <n v="852"/>
    <n v="426"/>
    <m/>
    <m/>
    <m/>
    <n v="0"/>
    <n v="0"/>
    <n v="0"/>
    <n v="0"/>
    <n v="0"/>
    <n v="0"/>
    <n v="0"/>
    <n v="0"/>
    <n v="0"/>
    <n v="0"/>
    <n v="0"/>
    <n v="0"/>
    <n v="0"/>
    <n v="0"/>
    <n v="1"/>
    <n v="0"/>
    <n v="0"/>
    <n v="0"/>
    <s v="MMR001CMP217"/>
    <x v="0"/>
    <x v="1"/>
    <s v=""/>
    <s v=""/>
    <m/>
  </r>
  <r>
    <n v="40.166666666666664"/>
    <d v="2014-01-12T00:00:00"/>
    <x v="2"/>
    <s v="KMSS"/>
    <s v="Kachin"/>
    <s v="Momauk"/>
    <s v="Dum Bung "/>
    <m/>
    <m/>
    <m/>
    <m/>
    <m/>
    <m/>
    <m/>
    <m/>
    <m/>
    <m/>
    <n v="393"/>
    <n v="232"/>
    <m/>
    <m/>
    <m/>
    <m/>
    <m/>
    <n v="0"/>
    <n v="0"/>
    <n v="0"/>
    <n v="0"/>
    <n v="0"/>
    <n v="0"/>
    <n v="0"/>
    <n v="0"/>
    <n v="0"/>
    <n v="0"/>
    <n v="0"/>
    <n v="0"/>
    <n v="0"/>
    <n v="0"/>
    <n v="1"/>
    <n v="0"/>
    <n v="0"/>
    <n v="0"/>
    <s v="MMR001CMP123"/>
    <x v="0"/>
    <x v="0"/>
    <s v="P2"/>
    <n v="0"/>
    <s v="No"/>
  </r>
  <r>
    <n v="40.1"/>
    <d v="2014-01-14T00:00:00"/>
    <x v="2"/>
    <s v="KMSS"/>
    <s v="Kachin"/>
    <s v="Waingmaw"/>
    <s v="Border Post 8"/>
    <m/>
    <m/>
    <m/>
    <m/>
    <m/>
    <m/>
    <m/>
    <n v="180"/>
    <m/>
    <m/>
    <m/>
    <m/>
    <m/>
    <m/>
    <m/>
    <m/>
    <m/>
    <n v="0"/>
    <n v="0"/>
    <n v="0"/>
    <n v="0"/>
    <n v="0"/>
    <n v="0"/>
    <n v="0"/>
    <n v="0"/>
    <n v="0"/>
    <n v="0"/>
    <n v="0"/>
    <n v="0"/>
    <n v="0"/>
    <n v="0"/>
    <n v="0"/>
    <n v="0"/>
    <n v="0"/>
    <n v="0"/>
    <s v="MMR001CMP113"/>
    <x v="0"/>
    <x v="0"/>
    <s v="P1"/>
    <n v="0"/>
    <s v="No"/>
  </r>
  <r>
    <n v="40.1"/>
    <d v="2014-01-14T00:00:00"/>
    <x v="2"/>
    <s v="KMSS"/>
    <s v="Kachin"/>
    <s v="Waingmaw"/>
    <s v="Border Post 8"/>
    <m/>
    <m/>
    <m/>
    <m/>
    <m/>
    <m/>
    <m/>
    <m/>
    <m/>
    <m/>
    <n v="501"/>
    <n v="335"/>
    <m/>
    <m/>
    <m/>
    <m/>
    <m/>
    <n v="0"/>
    <n v="0"/>
    <n v="0"/>
    <n v="0"/>
    <n v="0"/>
    <n v="0"/>
    <n v="0"/>
    <n v="0"/>
    <n v="0"/>
    <n v="0"/>
    <n v="0"/>
    <n v="0"/>
    <n v="0"/>
    <n v="0"/>
    <n v="1"/>
    <n v="0"/>
    <n v="0"/>
    <n v="0"/>
    <s v="MMR001CMP113"/>
    <x v="0"/>
    <x v="0"/>
    <s v="P1"/>
    <n v="0"/>
    <s v="No"/>
  </r>
  <r>
    <n v="40.1"/>
    <d v="2014-01-14T00:00:00"/>
    <x v="0"/>
    <s v="UNHCR"/>
    <s v="Kachin"/>
    <s v="Mansi"/>
    <s v="Lana Zup Ja "/>
    <m/>
    <m/>
    <m/>
    <n v="140"/>
    <n v="70"/>
    <n v="140"/>
    <n v="70"/>
    <m/>
    <n v="70"/>
    <n v="350"/>
    <m/>
    <m/>
    <m/>
    <m/>
    <m/>
    <m/>
    <m/>
    <n v="0"/>
    <n v="0"/>
    <n v="0"/>
    <n v="0"/>
    <n v="0"/>
    <n v="0"/>
    <n v="0"/>
    <n v="0"/>
    <n v="0"/>
    <n v="0"/>
    <n v="0"/>
    <n v="0"/>
    <n v="0"/>
    <n v="0"/>
    <n v="0"/>
    <n v="0"/>
    <n v="0"/>
    <n v="0"/>
    <s v="MMR001CMP128"/>
    <x v="0"/>
    <x v="0"/>
    <s v="P2"/>
    <n v="1.7149717029669011E-3"/>
    <s v="No"/>
  </r>
  <r>
    <n v="40.033333333333331"/>
    <d v="2014-01-16T00:00:00"/>
    <x v="0"/>
    <s v="UNHCR"/>
    <s v="Kachin"/>
    <s v="Mansi"/>
    <s v="Bum Tsit Pa "/>
    <m/>
    <m/>
    <m/>
    <n v="45"/>
    <n v="30"/>
    <n v="45"/>
    <n v="30"/>
    <m/>
    <n v="30"/>
    <n v="150"/>
    <m/>
    <m/>
    <m/>
    <m/>
    <m/>
    <m/>
    <m/>
    <n v="0"/>
    <n v="0"/>
    <n v="0"/>
    <n v="0"/>
    <n v="0"/>
    <n v="0"/>
    <n v="0"/>
    <n v="0"/>
    <n v="0"/>
    <n v="0"/>
    <n v="0"/>
    <n v="0"/>
    <n v="0"/>
    <n v="0"/>
    <n v="0"/>
    <n v="0"/>
    <n v="0"/>
    <n v="0"/>
    <s v="MMR001CMP129"/>
    <x v="0"/>
    <x v="0"/>
    <s v="P2"/>
    <n v="7.3498787270010043E-4"/>
    <s v="No"/>
  </r>
  <r>
    <n v="40.033333333333331"/>
    <d v="2014-01-16T00:00:00"/>
    <x v="2"/>
    <s v="KMSS"/>
    <s v="Kachin"/>
    <s v="Waingmaw"/>
    <s v="Maga Yang "/>
    <m/>
    <m/>
    <m/>
    <m/>
    <m/>
    <m/>
    <m/>
    <n v="600"/>
    <m/>
    <m/>
    <m/>
    <m/>
    <m/>
    <m/>
    <m/>
    <m/>
    <m/>
    <n v="0"/>
    <n v="0"/>
    <n v="0"/>
    <n v="0"/>
    <n v="0"/>
    <n v="0"/>
    <n v="0"/>
    <n v="0"/>
    <n v="0"/>
    <n v="0"/>
    <n v="0"/>
    <n v="0"/>
    <n v="0"/>
    <n v="0"/>
    <n v="0"/>
    <n v="0"/>
    <n v="0"/>
    <n v="0"/>
    <s v="MMR001CMP119"/>
    <x v="0"/>
    <x v="0"/>
    <s v="P2"/>
    <n v="0"/>
    <s v="No"/>
  </r>
  <r>
    <n v="39.9"/>
    <d v="2014-01-20T00:00:00"/>
    <x v="2"/>
    <s v="KMSS"/>
    <s v="Kachin"/>
    <s v="Waingmaw"/>
    <s v="Maga Yang "/>
    <m/>
    <m/>
    <m/>
    <m/>
    <m/>
    <m/>
    <m/>
    <m/>
    <m/>
    <m/>
    <n v="1497"/>
    <n v="925"/>
    <m/>
    <m/>
    <m/>
    <m/>
    <m/>
    <n v="0"/>
    <n v="0"/>
    <n v="0"/>
    <n v="0"/>
    <n v="0"/>
    <n v="0"/>
    <n v="0"/>
    <n v="0"/>
    <n v="0"/>
    <n v="0"/>
    <n v="0"/>
    <n v="0"/>
    <n v="0"/>
    <n v="0"/>
    <n v="1"/>
    <n v="0"/>
    <n v="0"/>
    <n v="0"/>
    <s v="MMR001CMP119"/>
    <x v="0"/>
    <x v="0"/>
    <s v="P2"/>
    <n v="0"/>
    <s v="No"/>
  </r>
  <r>
    <n v="39.9"/>
    <d v="2014-01-20T00:00:00"/>
    <x v="2"/>
    <s v="KMSS"/>
    <s v="Kachin"/>
    <s v="Waingmaw"/>
    <s v="Post 6 Camp"/>
    <m/>
    <m/>
    <m/>
    <m/>
    <m/>
    <m/>
    <m/>
    <n v="127"/>
    <m/>
    <m/>
    <m/>
    <m/>
    <m/>
    <m/>
    <m/>
    <m/>
    <m/>
    <n v="0"/>
    <n v="0"/>
    <n v="0"/>
    <n v="0"/>
    <n v="0"/>
    <n v="0"/>
    <n v="0"/>
    <n v="0"/>
    <n v="0"/>
    <n v="0"/>
    <n v="0"/>
    <n v="0"/>
    <n v="0"/>
    <n v="0"/>
    <n v="0"/>
    <n v="0"/>
    <n v="0"/>
    <n v="0"/>
    <s v="MMR001CMP160"/>
    <x v="0"/>
    <x v="0"/>
    <s v="P1"/>
    <n v="0"/>
    <s v="No"/>
  </r>
  <r>
    <n v="39.9"/>
    <d v="2014-01-20T00:00:00"/>
    <x v="9"/>
    <s v="MRCS"/>
    <s v="Kachin"/>
    <s v="Machanbaw"/>
    <s v="Machanbaw - KBC"/>
    <m/>
    <m/>
    <m/>
    <n v="8"/>
    <n v="16"/>
    <n v="16"/>
    <n v="8"/>
    <m/>
    <m/>
    <m/>
    <n v="19"/>
    <n v="9"/>
    <m/>
    <m/>
    <m/>
    <m/>
    <m/>
    <n v="0"/>
    <n v="0"/>
    <n v="0"/>
    <n v="0"/>
    <n v="0"/>
    <n v="0"/>
    <n v="0"/>
    <n v="0"/>
    <n v="0"/>
    <n v="0"/>
    <n v="0"/>
    <n v="0"/>
    <n v="0"/>
    <n v="0"/>
    <n v="1"/>
    <n v="0"/>
    <n v="0"/>
    <n v="0"/>
    <s v="MMR001CMP221"/>
    <x v="0"/>
    <x v="1"/>
    <s v="P3"/>
    <n v="1.9268750903222699E-4"/>
    <m/>
  </r>
  <r>
    <n v="39.9"/>
    <d v="2014-01-20T00:00:00"/>
    <x v="9"/>
    <s v="MRCS"/>
    <s v="Kachin"/>
    <s v="Puta-O"/>
    <s v="Naung Khaing"/>
    <m/>
    <m/>
    <m/>
    <n v="17"/>
    <n v="34"/>
    <n v="34"/>
    <n v="17"/>
    <m/>
    <m/>
    <m/>
    <n v="31"/>
    <n v="28"/>
    <m/>
    <m/>
    <m/>
    <m/>
    <m/>
    <n v="0"/>
    <n v="0"/>
    <n v="0"/>
    <n v="0"/>
    <n v="0"/>
    <n v="0"/>
    <n v="0"/>
    <n v="0"/>
    <n v="0"/>
    <n v="0"/>
    <n v="0"/>
    <n v="0"/>
    <n v="0"/>
    <n v="0"/>
    <n v="1"/>
    <n v="0"/>
    <n v="0"/>
    <n v="0"/>
    <s v="MMR001CMP220"/>
    <x v="0"/>
    <x v="1"/>
    <s v="P3"/>
    <n v="4.0976691493720927E-4"/>
    <m/>
  </r>
  <r>
    <n v="39.9"/>
    <d v="2014-01-20T00:00:00"/>
    <x v="2"/>
    <s v="KMSS"/>
    <s v="Kachin"/>
    <s v="Waingmaw"/>
    <s v="Post 6 Camp"/>
    <m/>
    <m/>
    <m/>
    <m/>
    <m/>
    <m/>
    <m/>
    <m/>
    <m/>
    <m/>
    <n v="443"/>
    <n v="218"/>
    <m/>
    <m/>
    <m/>
    <m/>
    <m/>
    <n v="0"/>
    <n v="0"/>
    <n v="0"/>
    <n v="0"/>
    <n v="0"/>
    <n v="0"/>
    <n v="0"/>
    <n v="0"/>
    <n v="0"/>
    <n v="0"/>
    <n v="0"/>
    <n v="0"/>
    <n v="0"/>
    <n v="0"/>
    <n v="1"/>
    <n v="0"/>
    <n v="0"/>
    <n v="0"/>
    <s v="MMR001CMP160"/>
    <x v="0"/>
    <x v="0"/>
    <s v="P1"/>
    <n v="0"/>
    <s v="No"/>
  </r>
  <r>
    <n v="39.9"/>
    <d v="2014-01-20T00:00:00"/>
    <x v="9"/>
    <s v="MRCS"/>
    <s v="Kachin"/>
    <s v="Puta-O"/>
    <s v="Tote Tan Ward"/>
    <m/>
    <m/>
    <m/>
    <n v="18"/>
    <n v="36"/>
    <n v="36"/>
    <n v="18"/>
    <m/>
    <m/>
    <m/>
    <n v="53"/>
    <n v="42"/>
    <m/>
    <m/>
    <m/>
    <m/>
    <m/>
    <n v="0"/>
    <n v="0"/>
    <n v="0"/>
    <n v="0"/>
    <n v="0"/>
    <n v="0"/>
    <n v="0"/>
    <n v="0"/>
    <n v="0"/>
    <n v="0"/>
    <n v="0"/>
    <n v="0"/>
    <n v="0"/>
    <n v="0"/>
    <n v="1"/>
    <n v="0"/>
    <n v="0"/>
    <n v="0"/>
    <s v="MMR001CMP075"/>
    <x v="0"/>
    <x v="0"/>
    <s v="P3"/>
    <s v=""/>
    <m/>
  </r>
  <r>
    <n v="39.766666666666666"/>
    <d v="2014-01-24T00:00:00"/>
    <x v="2"/>
    <m/>
    <s v="Kachin"/>
    <s v="Mansi"/>
    <s v="Bum Tsit Pa "/>
    <m/>
    <m/>
    <m/>
    <m/>
    <m/>
    <m/>
    <m/>
    <m/>
    <m/>
    <m/>
    <m/>
    <n v="838"/>
    <m/>
    <m/>
    <m/>
    <m/>
    <m/>
    <n v="0"/>
    <n v="0"/>
    <n v="0"/>
    <n v="0"/>
    <n v="0"/>
    <n v="0"/>
    <n v="0"/>
    <n v="0"/>
    <n v="0"/>
    <n v="0"/>
    <n v="0"/>
    <n v="0"/>
    <n v="0"/>
    <n v="0"/>
    <n v="1"/>
    <n v="0"/>
    <n v="0"/>
    <n v="0"/>
    <s v="MMR001CMP129"/>
    <x v="0"/>
    <x v="0"/>
    <s v="P2"/>
    <n v="0"/>
    <s v="No"/>
  </r>
  <r>
    <n v="39.766666666666666"/>
    <d v="2014-01-24T00:00:00"/>
    <x v="0"/>
    <s v="UNHCR"/>
    <s v="Kachin"/>
    <s v="Momauk"/>
    <s v="Pa Kahtawng "/>
    <m/>
    <m/>
    <m/>
    <n v="60"/>
    <n v="30"/>
    <n v="60"/>
    <n v="30"/>
    <m/>
    <n v="30"/>
    <n v="150"/>
    <m/>
    <m/>
    <m/>
    <m/>
    <m/>
    <m/>
    <m/>
    <n v="0"/>
    <n v="0"/>
    <n v="0"/>
    <n v="0"/>
    <n v="0"/>
    <n v="0"/>
    <n v="0"/>
    <n v="0"/>
    <n v="0"/>
    <n v="0"/>
    <n v="0"/>
    <n v="0"/>
    <n v="0"/>
    <n v="0"/>
    <n v="0"/>
    <n v="0"/>
    <n v="0"/>
    <n v="0"/>
    <s v="MMR001CMP126"/>
    <x v="0"/>
    <x v="0"/>
    <s v="P2"/>
    <n v="7.3170731707317073E-4"/>
    <s v="No"/>
  </r>
  <r>
    <n v="39.733333333333334"/>
    <d v="2014-01-25T00:00:00"/>
    <x v="0"/>
    <s v="UNHCR"/>
    <s v="Kachin"/>
    <s v="Momauk"/>
    <s v="Dum Bung "/>
    <m/>
    <m/>
    <m/>
    <n v="62"/>
    <n v="31"/>
    <n v="62"/>
    <n v="31"/>
    <m/>
    <n v="31"/>
    <n v="155"/>
    <m/>
    <m/>
    <m/>
    <m/>
    <m/>
    <m/>
    <m/>
    <n v="0"/>
    <n v="0"/>
    <n v="0"/>
    <n v="0"/>
    <n v="0"/>
    <n v="0"/>
    <n v="0"/>
    <n v="0"/>
    <n v="0"/>
    <n v="0"/>
    <n v="0"/>
    <n v="0"/>
    <n v="0"/>
    <n v="0"/>
    <n v="0"/>
    <n v="0"/>
    <n v="0"/>
    <n v="0"/>
    <s v="MMR001CMP123"/>
    <x v="0"/>
    <x v="0"/>
    <s v="P2"/>
    <n v="7.6062420257140052E-4"/>
    <s v="No"/>
  </r>
  <r>
    <n v="39.733333333333334"/>
    <d v="2014-01-25T00:00:00"/>
    <x v="10"/>
    <s v="KBC"/>
    <s v="Kachin"/>
    <s v="Waingmaw"/>
    <s v="Pajau - Jan Mai"/>
    <m/>
    <m/>
    <m/>
    <m/>
    <m/>
    <n v="191"/>
    <n v="191"/>
    <n v="191"/>
    <m/>
    <n v="191"/>
    <m/>
    <m/>
    <m/>
    <m/>
    <m/>
    <m/>
    <m/>
    <n v="0"/>
    <n v="0"/>
    <n v="0"/>
    <n v="0"/>
    <n v="0"/>
    <n v="0"/>
    <n v="0"/>
    <n v="0"/>
    <n v="0"/>
    <n v="0"/>
    <n v="0"/>
    <n v="0"/>
    <n v="0"/>
    <n v="0"/>
    <n v="0"/>
    <n v="0"/>
    <n v="0"/>
    <n v="0"/>
    <s v="MMR001CMP120"/>
    <x v="0"/>
    <x v="0"/>
    <s v="P1"/>
    <n v="4.6899938612645796E-3"/>
    <s v="No"/>
  </r>
  <r>
    <n v="39.733333333333334"/>
    <d v="2014-01-25T00:00:00"/>
    <x v="10"/>
    <s v="KBC"/>
    <s v="Kachin"/>
    <s v="Waingmaw"/>
    <s v="Shing Jai"/>
    <m/>
    <m/>
    <m/>
    <m/>
    <m/>
    <n v="198"/>
    <n v="198"/>
    <n v="198"/>
    <m/>
    <n v="198"/>
    <m/>
    <m/>
    <m/>
    <m/>
    <m/>
    <m/>
    <m/>
    <n v="0"/>
    <n v="0"/>
    <n v="0"/>
    <n v="0"/>
    <n v="0"/>
    <n v="0"/>
    <n v="0"/>
    <n v="0"/>
    <n v="0"/>
    <n v="0"/>
    <n v="0"/>
    <n v="0"/>
    <n v="0"/>
    <n v="0"/>
    <n v="0"/>
    <n v="0"/>
    <n v="0"/>
    <n v="0"/>
    <s v="MMR001CMP041"/>
    <x v="0"/>
    <x v="0"/>
    <s v="P1"/>
    <n v="4.847238542890717E-3"/>
    <s v="No"/>
  </r>
  <r>
    <n v="39.666666666666664"/>
    <d v="2014-01-27T00:00:00"/>
    <x v="10"/>
    <s v="KBC"/>
    <s v="Kachin"/>
    <s v="Waingmaw"/>
    <s v="Hkau Shau (BP 12)"/>
    <m/>
    <m/>
    <m/>
    <m/>
    <m/>
    <n v="181"/>
    <n v="181"/>
    <n v="181"/>
    <m/>
    <n v="181"/>
    <m/>
    <m/>
    <m/>
    <m/>
    <m/>
    <m/>
    <m/>
    <n v="0"/>
    <n v="0"/>
    <n v="0"/>
    <n v="0"/>
    <n v="0"/>
    <n v="0"/>
    <n v="0"/>
    <n v="0"/>
    <n v="0"/>
    <n v="0"/>
    <n v="0"/>
    <n v="0"/>
    <n v="0"/>
    <n v="0"/>
    <n v="0"/>
    <n v="0"/>
    <n v="0"/>
    <n v="0"/>
    <s v="MMR001CMP115"/>
    <x v="0"/>
    <x v="0"/>
    <s v="P1"/>
    <n v="4.4278095797250358E-3"/>
    <s v="No"/>
  </r>
  <r>
    <n v="39.666666666666664"/>
    <d v="2014-01-27T00:00:00"/>
    <x v="10"/>
    <s v="KBC"/>
    <s v="Kachin"/>
    <s v="Chipwi"/>
    <s v="Hpare Hkyer - BP6"/>
    <m/>
    <m/>
    <m/>
    <m/>
    <m/>
    <n v="155"/>
    <n v="155"/>
    <n v="155"/>
    <m/>
    <n v="155"/>
    <m/>
    <m/>
    <m/>
    <m/>
    <m/>
    <m/>
    <m/>
    <n v="0"/>
    <n v="0"/>
    <n v="0"/>
    <n v="0"/>
    <n v="0"/>
    <n v="0"/>
    <n v="0"/>
    <n v="0"/>
    <n v="0"/>
    <n v="0"/>
    <n v="0"/>
    <n v="0"/>
    <n v="0"/>
    <n v="0"/>
    <n v="0"/>
    <n v="0"/>
    <n v="0"/>
    <n v="0"/>
    <s v="MMR001CMP043"/>
    <x v="0"/>
    <x v="0"/>
    <s v="P1"/>
    <n v="3.777723616865708E-3"/>
    <s v="No"/>
  </r>
  <r>
    <n v="39.733333333333334"/>
    <d v="2014-01-25T00:00:00"/>
    <x v="10"/>
    <s v="KBC"/>
    <s v="Kachin"/>
    <s v="Waingmaw"/>
    <s v="Zai Awng - Mung Ga Zup"/>
    <m/>
    <m/>
    <m/>
    <m/>
    <m/>
    <n v="646"/>
    <n v="646"/>
    <n v="646"/>
    <m/>
    <n v="646"/>
    <m/>
    <m/>
    <m/>
    <m/>
    <m/>
    <m/>
    <m/>
    <n v="0"/>
    <n v="0"/>
    <n v="0"/>
    <n v="0"/>
    <n v="0"/>
    <n v="0"/>
    <n v="0"/>
    <n v="0"/>
    <n v="0"/>
    <n v="0"/>
    <n v="0"/>
    <n v="0"/>
    <n v="0"/>
    <n v="0"/>
    <n v="0"/>
    <n v="0"/>
    <n v="0"/>
    <n v="0"/>
    <s v="MMR001CMP111"/>
    <x v="0"/>
    <x v="1"/>
    <s v="P2"/>
    <n v="1.5814727771249509E-2"/>
    <s v="No"/>
  </r>
  <r>
    <n v="39.633333333333333"/>
    <d v="2014-01-28T00:00:00"/>
    <x v="0"/>
    <m/>
    <s v="Kachin"/>
    <s v="Mansi"/>
    <s v="Maing Khaung Catholic Church"/>
    <m/>
    <m/>
    <m/>
    <n v="18"/>
    <n v="10"/>
    <n v="18"/>
    <n v="40"/>
    <m/>
    <n v="10"/>
    <n v="50"/>
    <m/>
    <m/>
    <m/>
    <m/>
    <m/>
    <m/>
    <m/>
    <n v="0"/>
    <n v="0"/>
    <n v="0"/>
    <n v="0"/>
    <n v="0"/>
    <n v="0"/>
    <n v="0"/>
    <n v="0"/>
    <n v="0"/>
    <n v="0"/>
    <n v="0"/>
    <n v="0"/>
    <n v="0"/>
    <n v="0"/>
    <n v="0"/>
    <n v="0"/>
    <n v="0"/>
    <n v="0"/>
    <s v="MMR001CMP223"/>
    <x v="0"/>
    <x v="0"/>
    <s v="P4"/>
    <n v="9.6274188889958602E-4"/>
    <m/>
  </r>
  <r>
    <n v="39.6"/>
    <d v="2014-01-29T00:00:00"/>
    <x v="0"/>
    <s v="UNHCR"/>
    <s v="Kachin"/>
    <s v="Mansi"/>
    <s v="Maing Khaung"/>
    <m/>
    <m/>
    <m/>
    <n v="100"/>
    <n v="58"/>
    <n v="100"/>
    <n v="58"/>
    <m/>
    <n v="58"/>
    <n v="290"/>
    <m/>
    <m/>
    <m/>
    <m/>
    <m/>
    <m/>
    <m/>
    <n v="0"/>
    <n v="0"/>
    <n v="0"/>
    <n v="0"/>
    <n v="0"/>
    <n v="0"/>
    <n v="0"/>
    <n v="0"/>
    <n v="0"/>
    <n v="0"/>
    <n v="0"/>
    <n v="0"/>
    <n v="0"/>
    <n v="0"/>
    <n v="0"/>
    <n v="0"/>
    <n v="0"/>
    <n v="0"/>
    <s v="MMR001CMP218"/>
    <x v="0"/>
    <x v="0"/>
    <s v="P4"/>
    <n v="1.3959757389043997E-3"/>
    <s v="No"/>
  </r>
  <r>
    <n v="38.799999999999997"/>
    <d v="2014-02-22T00:00:00"/>
    <x v="11"/>
    <s v="MRCS"/>
    <s v="Kachin"/>
    <s v="Chipwi"/>
    <s v="Pan Wa"/>
    <m/>
    <m/>
    <m/>
    <m/>
    <m/>
    <m/>
    <m/>
    <m/>
    <m/>
    <m/>
    <m/>
    <m/>
    <m/>
    <n v="126"/>
    <m/>
    <m/>
    <m/>
    <n v="0"/>
    <n v="0"/>
    <n v="0"/>
    <n v="0"/>
    <n v="0"/>
    <n v="0"/>
    <n v="0"/>
    <n v="0"/>
    <n v="0"/>
    <n v="0"/>
    <n v="0"/>
    <n v="0"/>
    <n v="0"/>
    <n v="0"/>
    <n v="1"/>
    <n v="0"/>
    <n v="0"/>
    <n v="0"/>
    <s v="MMR001CMP210"/>
    <x v="0"/>
    <x v="0"/>
    <s v="P1"/>
    <n v="0"/>
    <m/>
  </r>
  <r>
    <n v="38.799999999999997"/>
    <d v="2014-02-22T00:00:00"/>
    <x v="11"/>
    <s v="MRCS"/>
    <s v="Kachin"/>
    <s v="Chipwi"/>
    <s v="Saw Zam"/>
    <m/>
    <m/>
    <m/>
    <m/>
    <m/>
    <m/>
    <m/>
    <m/>
    <m/>
    <m/>
    <m/>
    <m/>
    <m/>
    <n v="58"/>
    <m/>
    <m/>
    <m/>
    <n v="0"/>
    <n v="0"/>
    <n v="0"/>
    <n v="0"/>
    <n v="0"/>
    <n v="0"/>
    <n v="0"/>
    <n v="0"/>
    <n v="0"/>
    <n v="0"/>
    <n v="0"/>
    <n v="0"/>
    <n v="0"/>
    <n v="0"/>
    <n v="1"/>
    <n v="0"/>
    <n v="0"/>
    <n v="0"/>
    <s v="MMR001CMP225"/>
    <x v="0"/>
    <x v="0"/>
    <s v="P1"/>
    <n v="0"/>
    <m/>
  </r>
  <r>
    <n v="38.799999999999997"/>
    <d v="2014-02-22T00:00:00"/>
    <x v="11"/>
    <s v="MRCS"/>
    <s v="Kachin"/>
    <s v="Sumprabum"/>
    <s v="Sumprabum"/>
    <m/>
    <m/>
    <m/>
    <m/>
    <m/>
    <m/>
    <m/>
    <m/>
    <m/>
    <m/>
    <m/>
    <m/>
    <m/>
    <n v="16"/>
    <m/>
    <m/>
    <m/>
    <n v="0"/>
    <n v="0"/>
    <n v="0"/>
    <n v="0"/>
    <n v="0"/>
    <n v="0"/>
    <n v="0"/>
    <n v="0"/>
    <n v="0"/>
    <n v="0"/>
    <n v="0"/>
    <n v="0"/>
    <n v="0"/>
    <n v="0"/>
    <n v="1"/>
    <n v="0"/>
    <n v="0"/>
    <n v="0"/>
    <s v="MMR001CMP206"/>
    <x v="0"/>
    <x v="0"/>
    <s v="P4"/>
    <s v=""/>
    <m/>
  </r>
  <r>
    <n v="38.766666666666666"/>
    <d v="2014-02-23T00:00:00"/>
    <x v="11"/>
    <s v="MRCS"/>
    <s v="Kachin"/>
    <s v="Chipwi"/>
    <s v="Chipwi KBC camp"/>
    <m/>
    <m/>
    <m/>
    <m/>
    <m/>
    <m/>
    <m/>
    <m/>
    <m/>
    <m/>
    <m/>
    <m/>
    <m/>
    <n v="222"/>
    <m/>
    <m/>
    <m/>
    <n v="0"/>
    <n v="0"/>
    <n v="0"/>
    <n v="0"/>
    <n v="0"/>
    <n v="0"/>
    <n v="0"/>
    <n v="0"/>
    <n v="0"/>
    <n v="0"/>
    <n v="0"/>
    <n v="0"/>
    <n v="0"/>
    <n v="0"/>
    <n v="1"/>
    <n v="0"/>
    <n v="0"/>
    <n v="0"/>
    <s v="MMR001CMP042"/>
    <x v="0"/>
    <x v="0"/>
    <s v="P1"/>
    <n v="0"/>
    <m/>
  </r>
  <r>
    <n v="38.766666666666666"/>
    <d v="2014-02-23T00:00:00"/>
    <x v="11"/>
    <s v="MRCS"/>
    <s v="Kachin"/>
    <s v="Chipwi"/>
    <s v="Lhaovao Baptist Church (LBC)"/>
    <m/>
    <m/>
    <m/>
    <m/>
    <m/>
    <m/>
    <m/>
    <m/>
    <m/>
    <m/>
    <m/>
    <m/>
    <m/>
    <n v="278"/>
    <m/>
    <m/>
    <m/>
    <n v="0"/>
    <n v="0"/>
    <n v="0"/>
    <n v="0"/>
    <n v="0"/>
    <n v="0"/>
    <n v="0"/>
    <n v="0"/>
    <n v="0"/>
    <n v="0"/>
    <n v="0"/>
    <n v="0"/>
    <n v="0"/>
    <n v="0"/>
    <n v="1"/>
    <n v="0"/>
    <n v="0"/>
    <n v="0"/>
    <s v="MMR001CMP195"/>
    <x v="0"/>
    <x v="0"/>
    <s v="P1"/>
    <n v="0"/>
    <m/>
  </r>
  <r>
    <n v="38.766666666666666"/>
    <d v="2014-02-23T00:00:00"/>
    <x v="11"/>
    <s v="MRCS"/>
    <s v="Kachin"/>
    <s v="Momauk"/>
    <s v="Seng Ja "/>
    <m/>
    <m/>
    <m/>
    <m/>
    <m/>
    <m/>
    <m/>
    <m/>
    <m/>
    <m/>
    <m/>
    <m/>
    <m/>
    <n v="376"/>
    <m/>
    <m/>
    <m/>
    <n v="0"/>
    <n v="0"/>
    <n v="0"/>
    <n v="0"/>
    <n v="0"/>
    <n v="0"/>
    <n v="0"/>
    <n v="0"/>
    <n v="0"/>
    <n v="0"/>
    <n v="0"/>
    <n v="0"/>
    <n v="0"/>
    <n v="0"/>
    <n v="1"/>
    <n v="0"/>
    <n v="0"/>
    <n v="0"/>
    <s v="MMR001CMP073"/>
    <x v="0"/>
    <x v="0"/>
    <s v="P3"/>
    <n v="0"/>
    <m/>
  </r>
  <r>
    <n v="38.700000000000003"/>
    <d v="2014-02-25T00:00:00"/>
    <x v="11"/>
    <s v="MRCS"/>
    <s v="Kachin"/>
    <s v="Mogaung"/>
    <s v="Kyun Taw Baptist Church "/>
    <m/>
    <m/>
    <m/>
    <m/>
    <m/>
    <m/>
    <m/>
    <m/>
    <m/>
    <m/>
    <m/>
    <m/>
    <m/>
    <n v="26"/>
    <m/>
    <m/>
    <m/>
    <n v="0"/>
    <n v="0"/>
    <n v="0"/>
    <n v="0"/>
    <n v="0"/>
    <n v="0"/>
    <n v="0"/>
    <n v="0"/>
    <n v="0"/>
    <n v="0"/>
    <n v="0"/>
    <n v="0"/>
    <n v="0"/>
    <n v="0"/>
    <n v="1"/>
    <n v="0"/>
    <n v="0"/>
    <n v="0"/>
    <s v="MMR001CMP078"/>
    <x v="0"/>
    <x v="0"/>
    <s v="P4"/>
    <n v="0"/>
    <m/>
  </r>
  <r>
    <n v="38.700000000000003"/>
    <d v="2014-02-25T00:00:00"/>
    <x v="11"/>
    <s v="MRCS"/>
    <s v="Kachin"/>
    <s v="Mogaung"/>
    <s v="Mang Hawng Baptist Church"/>
    <m/>
    <m/>
    <m/>
    <m/>
    <m/>
    <m/>
    <m/>
    <m/>
    <m/>
    <m/>
    <m/>
    <m/>
    <m/>
    <n v="26"/>
    <m/>
    <m/>
    <m/>
    <n v="0"/>
    <n v="0"/>
    <n v="0"/>
    <n v="0"/>
    <n v="0"/>
    <n v="0"/>
    <n v="0"/>
    <n v="0"/>
    <n v="0"/>
    <n v="0"/>
    <n v="0"/>
    <n v="0"/>
    <n v="0"/>
    <n v="0"/>
    <n v="1"/>
    <n v="0"/>
    <n v="0"/>
    <n v="0"/>
    <s v="MMR001CMP077"/>
    <x v="0"/>
    <x v="0"/>
    <s v="P4"/>
    <n v="0"/>
    <m/>
  </r>
  <r>
    <n v="38.700000000000003"/>
    <d v="2014-02-25T00:00:00"/>
    <x v="11"/>
    <s v="MRCS"/>
    <s v="Kachin"/>
    <s v="Mogaung"/>
    <s v="Nat Gyi Kone Baptist Church "/>
    <m/>
    <m/>
    <m/>
    <m/>
    <m/>
    <m/>
    <m/>
    <m/>
    <m/>
    <m/>
    <m/>
    <m/>
    <m/>
    <n v="28"/>
    <m/>
    <m/>
    <m/>
    <n v="0"/>
    <n v="0"/>
    <n v="0"/>
    <n v="0"/>
    <n v="0"/>
    <n v="0"/>
    <n v="0"/>
    <n v="0"/>
    <n v="0"/>
    <n v="0"/>
    <n v="0"/>
    <n v="0"/>
    <n v="0"/>
    <n v="0"/>
    <n v="1"/>
    <n v="0"/>
    <n v="0"/>
    <n v="0"/>
    <s v="MMR001CMP079"/>
    <x v="0"/>
    <x v="0"/>
    <s v="P4"/>
    <n v="0"/>
    <m/>
  </r>
  <r>
    <n v="37.5"/>
    <d v="2014-04-02T00:00:00"/>
    <x v="0"/>
    <s v="UNHCR"/>
    <s v="Kachin"/>
    <s v="Bhamo"/>
    <s v="Mu-yin Baptist Church"/>
    <m/>
    <m/>
    <m/>
    <m/>
    <n v="1"/>
    <n v="3"/>
    <n v="2"/>
    <m/>
    <n v="3"/>
    <m/>
    <m/>
    <m/>
    <m/>
    <m/>
    <m/>
    <m/>
    <m/>
    <n v="0"/>
    <n v="0"/>
    <n v="0"/>
    <n v="0"/>
    <n v="0"/>
    <n v="0"/>
    <n v="0"/>
    <n v="0"/>
    <n v="0"/>
    <n v="0"/>
    <n v="0"/>
    <n v="0"/>
    <n v="0"/>
    <n v="0"/>
    <n v="0"/>
    <n v="0"/>
    <n v="0"/>
    <n v="0"/>
    <s v="MMR001CMP051"/>
    <x v="0"/>
    <x v="0"/>
    <s v="P4"/>
    <n v="4.8563727751742226E-5"/>
    <s v="No"/>
  </r>
  <r>
    <n v="37.4"/>
    <d v="2014-04-05T00:00:00"/>
    <x v="11"/>
    <s v="MRCS"/>
    <s v="Kachin"/>
    <s v="Hpakant"/>
    <s v="Hlaing Naung Baptist"/>
    <m/>
    <m/>
    <m/>
    <m/>
    <m/>
    <m/>
    <m/>
    <m/>
    <m/>
    <m/>
    <m/>
    <m/>
    <m/>
    <n v="44"/>
    <m/>
    <m/>
    <m/>
    <n v="0"/>
    <n v="0"/>
    <n v="0"/>
    <n v="0"/>
    <n v="0"/>
    <n v="0"/>
    <n v="0"/>
    <n v="0"/>
    <n v="0"/>
    <n v="0"/>
    <n v="0"/>
    <n v="0"/>
    <n v="0"/>
    <n v="0"/>
    <n v="1"/>
    <n v="0"/>
    <n v="0"/>
    <n v="0"/>
    <s v="MMR001CMP148"/>
    <x v="0"/>
    <x v="0"/>
    <s v="P4"/>
    <n v="0"/>
    <m/>
  </r>
  <r>
    <n v="37.333333333333336"/>
    <d v="2014-04-07T00:00:00"/>
    <x v="11"/>
    <s v="MRCS"/>
    <s v="Kachin"/>
    <s v="Mansi"/>
    <s v="Host Families"/>
    <m/>
    <m/>
    <m/>
    <m/>
    <m/>
    <m/>
    <m/>
    <m/>
    <m/>
    <m/>
    <m/>
    <m/>
    <m/>
    <n v="558"/>
    <m/>
    <m/>
    <m/>
    <n v="0"/>
    <n v="0"/>
    <n v="0"/>
    <n v="0"/>
    <n v="0"/>
    <n v="0"/>
    <n v="0"/>
    <n v="0"/>
    <n v="0"/>
    <n v="0"/>
    <n v="0"/>
    <n v="0"/>
    <n v="0"/>
    <n v="0"/>
    <n v="1"/>
    <n v="0"/>
    <n v="0"/>
    <n v="0"/>
    <s v="MMR001CMP163"/>
    <x v="0"/>
    <x v="0"/>
    <s v="P4"/>
    <s v=""/>
    <m/>
  </r>
  <r>
    <n v="37.333333333333336"/>
    <d v="2014-04-07T00:00:00"/>
    <x v="11"/>
    <s v="MRCS"/>
    <s v="Kachin"/>
    <s v="Mansi"/>
    <s v="Maing Khaung"/>
    <m/>
    <m/>
    <m/>
    <m/>
    <m/>
    <m/>
    <m/>
    <m/>
    <m/>
    <m/>
    <m/>
    <m/>
    <m/>
    <n v="478"/>
    <m/>
    <m/>
    <m/>
    <n v="0"/>
    <n v="0"/>
    <n v="0"/>
    <n v="0"/>
    <n v="0"/>
    <n v="0"/>
    <n v="0"/>
    <n v="0"/>
    <n v="0"/>
    <n v="0"/>
    <n v="0"/>
    <n v="0"/>
    <n v="0"/>
    <n v="0"/>
    <n v="1"/>
    <n v="0"/>
    <n v="0"/>
    <n v="0"/>
    <s v="MMR001CMP218"/>
    <x v="0"/>
    <x v="0"/>
    <s v="P4"/>
    <n v="0"/>
    <m/>
  </r>
  <r>
    <n v="37.366666666666667"/>
    <d v="2014-04-06T00:00:00"/>
    <x v="11"/>
    <s v="MRCS"/>
    <s v="Kachin"/>
    <s v="Hpakant"/>
    <s v="Baptist Church, Naung Hmee VT"/>
    <m/>
    <m/>
    <m/>
    <m/>
    <m/>
    <m/>
    <m/>
    <m/>
    <m/>
    <m/>
    <m/>
    <m/>
    <m/>
    <n v="30"/>
    <m/>
    <m/>
    <m/>
    <n v="0"/>
    <n v="0"/>
    <n v="0"/>
    <n v="0"/>
    <n v="0"/>
    <n v="0"/>
    <n v="0"/>
    <n v="0"/>
    <n v="0"/>
    <n v="0"/>
    <n v="0"/>
    <n v="0"/>
    <n v="0"/>
    <n v="0"/>
    <n v="1"/>
    <n v="0"/>
    <n v="0"/>
    <n v="0"/>
    <s v="MMR001CMP188"/>
    <x v="0"/>
    <x v="1"/>
    <s v="P4"/>
    <s v=""/>
    <m/>
  </r>
  <r>
    <n v="37.333333333333336"/>
    <d v="2014-04-07T00:00:00"/>
    <x v="11"/>
    <s v="MRCS"/>
    <s v="Kachin"/>
    <s v="Mansi"/>
    <s v="Maing Khaung Catholic Church"/>
    <m/>
    <m/>
    <m/>
    <m/>
    <m/>
    <m/>
    <m/>
    <m/>
    <m/>
    <m/>
    <m/>
    <m/>
    <m/>
    <n v="158"/>
    <m/>
    <m/>
    <m/>
    <n v="0"/>
    <n v="0"/>
    <n v="0"/>
    <n v="0"/>
    <n v="0"/>
    <n v="0"/>
    <n v="0"/>
    <n v="0"/>
    <n v="0"/>
    <n v="0"/>
    <n v="0"/>
    <n v="0"/>
    <n v="0"/>
    <n v="0"/>
    <n v="1"/>
    <n v="0"/>
    <n v="0"/>
    <n v="0"/>
    <s v="MMR001CMP223"/>
    <x v="0"/>
    <x v="0"/>
    <s v="P4"/>
    <n v="0"/>
    <m/>
  </r>
  <r>
    <n v="37.333333333333336"/>
    <d v="2014-04-07T00:00:00"/>
    <x v="11"/>
    <s v="MRCS"/>
    <s v="Kachin"/>
    <s v="Mansi"/>
    <s v="Mansi Baptist Church"/>
    <m/>
    <m/>
    <m/>
    <m/>
    <m/>
    <m/>
    <m/>
    <m/>
    <m/>
    <m/>
    <m/>
    <m/>
    <m/>
    <n v="262"/>
    <m/>
    <m/>
    <m/>
    <n v="0"/>
    <n v="0"/>
    <n v="0"/>
    <n v="0"/>
    <n v="0"/>
    <n v="0"/>
    <n v="0"/>
    <n v="0"/>
    <n v="0"/>
    <n v="0"/>
    <n v="0"/>
    <n v="0"/>
    <n v="0"/>
    <n v="0"/>
    <n v="1"/>
    <n v="0"/>
    <n v="0"/>
    <n v="0"/>
    <s v="MMR001CMP066"/>
    <x v="0"/>
    <x v="0"/>
    <s v="P4"/>
    <n v="0"/>
    <m/>
  </r>
  <r>
    <n v="37.299999999999997"/>
    <d v="2014-04-08T00:00:00"/>
    <x v="11"/>
    <s v="MRCS"/>
    <s v="Kachin"/>
    <s v="Bhamo"/>
    <s v="Htoi San Church"/>
    <m/>
    <m/>
    <m/>
    <m/>
    <m/>
    <m/>
    <m/>
    <m/>
    <m/>
    <m/>
    <m/>
    <m/>
    <m/>
    <n v="90"/>
    <m/>
    <m/>
    <m/>
    <n v="0"/>
    <n v="0"/>
    <n v="0"/>
    <n v="0"/>
    <n v="0"/>
    <n v="0"/>
    <n v="0"/>
    <n v="0"/>
    <n v="0"/>
    <n v="0"/>
    <n v="0"/>
    <n v="0"/>
    <n v="0"/>
    <n v="0"/>
    <n v="1"/>
    <n v="0"/>
    <n v="0"/>
    <n v="0"/>
    <s v="MMR001CMP052"/>
    <x v="0"/>
    <x v="0"/>
    <s v="P4"/>
    <n v="0"/>
    <m/>
  </r>
  <r>
    <n v="37.299999999999997"/>
    <d v="2014-04-08T00:00:00"/>
    <x v="11"/>
    <s v="MRCS"/>
    <s v="Kachin"/>
    <s v="Bhamo"/>
    <s v="Phan Khar Kone"/>
    <m/>
    <m/>
    <m/>
    <m/>
    <m/>
    <m/>
    <m/>
    <m/>
    <m/>
    <m/>
    <m/>
    <m/>
    <m/>
    <n v="372"/>
    <m/>
    <m/>
    <m/>
    <n v="0"/>
    <n v="0"/>
    <n v="0"/>
    <n v="0"/>
    <n v="0"/>
    <n v="0"/>
    <n v="0"/>
    <n v="0"/>
    <n v="0"/>
    <n v="0"/>
    <n v="0"/>
    <n v="0"/>
    <n v="0"/>
    <n v="0"/>
    <n v="1"/>
    <n v="0"/>
    <n v="0"/>
    <n v="0"/>
    <s v="MMR001CMP193"/>
    <x v="0"/>
    <x v="0"/>
    <s v="P4"/>
    <n v="0"/>
    <m/>
  </r>
  <r>
    <n v="37.299999999999997"/>
    <d v="2014-04-08T00:00:00"/>
    <x v="11"/>
    <s v="MRCS"/>
    <s v="Kachin"/>
    <s v="Momauk"/>
    <s v="Mandalay Monestry"/>
    <m/>
    <m/>
    <m/>
    <m/>
    <m/>
    <m/>
    <m/>
    <m/>
    <m/>
    <m/>
    <m/>
    <m/>
    <m/>
    <n v="10"/>
    <m/>
    <m/>
    <m/>
    <n v="0"/>
    <n v="0"/>
    <n v="0"/>
    <n v="0"/>
    <n v="0"/>
    <n v="0"/>
    <n v="0"/>
    <n v="0"/>
    <n v="0"/>
    <n v="0"/>
    <n v="0"/>
    <n v="0"/>
    <n v="0"/>
    <n v="0"/>
    <n v="1"/>
    <n v="0"/>
    <n v="0"/>
    <n v="0"/>
    <s v="MMR001CMP058"/>
    <x v="0"/>
    <x v="1"/>
    <s v="P4"/>
    <n v="0"/>
    <m/>
  </r>
  <r>
    <n v="37.299999999999997"/>
    <d v="2014-04-08T00:00:00"/>
    <x v="11"/>
    <s v="MRCS"/>
    <s v="Kachin"/>
    <s v="Momauk"/>
    <s v="Ni Thaw Ka Monestry"/>
    <m/>
    <m/>
    <m/>
    <m/>
    <m/>
    <m/>
    <m/>
    <m/>
    <m/>
    <m/>
    <m/>
    <m/>
    <m/>
    <n v="46"/>
    <m/>
    <m/>
    <m/>
    <n v="0"/>
    <n v="0"/>
    <n v="0"/>
    <n v="0"/>
    <n v="0"/>
    <n v="0"/>
    <n v="0"/>
    <n v="0"/>
    <n v="0"/>
    <n v="0"/>
    <n v="0"/>
    <n v="0"/>
    <n v="0"/>
    <n v="0"/>
    <n v="1"/>
    <n v="0"/>
    <n v="0"/>
    <n v="0"/>
    <s v="MMR001CMP059"/>
    <x v="0"/>
    <x v="1"/>
    <s v="P4"/>
    <n v="0"/>
    <m/>
  </r>
  <r>
    <n v="37.266666666666666"/>
    <d v="2014-04-09T00:00:00"/>
    <x v="11"/>
    <s v="MRCS"/>
    <s v="Kachin"/>
    <s v="Bhamo"/>
    <s v="Ta Gun Taing Monastery (Shwe Kyi Na)"/>
    <m/>
    <m/>
    <m/>
    <m/>
    <m/>
    <m/>
    <m/>
    <m/>
    <m/>
    <m/>
    <m/>
    <m/>
    <m/>
    <n v="122"/>
    <m/>
    <m/>
    <m/>
    <n v="0"/>
    <n v="0"/>
    <n v="0"/>
    <n v="0"/>
    <n v="0"/>
    <n v="0"/>
    <n v="0"/>
    <n v="0"/>
    <n v="0"/>
    <n v="0"/>
    <n v="0"/>
    <n v="0"/>
    <n v="0"/>
    <n v="0"/>
    <n v="1"/>
    <n v="0"/>
    <n v="0"/>
    <n v="0"/>
    <s v="MMR001CMP055"/>
    <x v="0"/>
    <x v="0"/>
    <s v="P4"/>
    <n v="0"/>
    <m/>
  </r>
  <r>
    <n v="37.266666666666666"/>
    <d v="2014-04-09T00:00:00"/>
    <x v="11"/>
    <s v="MRCS"/>
    <s v="Kachin"/>
    <s v="Bhamo"/>
    <s v="Yoe Kyi Monastery"/>
    <m/>
    <m/>
    <m/>
    <m/>
    <m/>
    <m/>
    <m/>
    <m/>
    <m/>
    <m/>
    <m/>
    <m/>
    <m/>
    <n v="42"/>
    <m/>
    <m/>
    <m/>
    <n v="0"/>
    <n v="0"/>
    <n v="0"/>
    <n v="0"/>
    <n v="0"/>
    <n v="0"/>
    <n v="0"/>
    <n v="0"/>
    <n v="0"/>
    <n v="0"/>
    <n v="0"/>
    <n v="0"/>
    <n v="0"/>
    <n v="0"/>
    <n v="1"/>
    <n v="0"/>
    <n v="0"/>
    <n v="0"/>
    <s v="MMR001CMP053"/>
    <x v="0"/>
    <x v="0"/>
    <s v="P4"/>
    <n v="0"/>
    <m/>
  </r>
  <r>
    <n v="37.1"/>
    <d v="2014-04-14T00:00:00"/>
    <x v="0"/>
    <s v="UNHCR"/>
    <s v="Kachin"/>
    <s v="Momauk"/>
    <s v="Momauk Baptist Church"/>
    <m/>
    <m/>
    <m/>
    <n v="10"/>
    <n v="5"/>
    <n v="15"/>
    <n v="5"/>
    <n v="5"/>
    <n v="5"/>
    <m/>
    <m/>
    <m/>
    <m/>
    <m/>
    <m/>
    <m/>
    <m/>
    <n v="0"/>
    <n v="0"/>
    <n v="0"/>
    <n v="0"/>
    <n v="0"/>
    <n v="0"/>
    <n v="0"/>
    <n v="0"/>
    <n v="0"/>
    <n v="0"/>
    <n v="0"/>
    <n v="0"/>
    <n v="0"/>
    <n v="0"/>
    <n v="0"/>
    <n v="0"/>
    <n v="0"/>
    <n v="0"/>
    <s v="MMR001CMP056"/>
    <x v="0"/>
    <x v="0"/>
    <s v="P4"/>
    <n v="1.2286521685710776E-4"/>
    <s v="No"/>
  </r>
  <r>
    <n v="37"/>
    <d v="2014-04-17T00:00:00"/>
    <x v="0"/>
    <s v="UNHCR"/>
    <s v="Kachin"/>
    <s v="Momauk"/>
    <s v="Momauk Baptist Church"/>
    <m/>
    <m/>
    <m/>
    <n v="8"/>
    <n v="4"/>
    <n v="12"/>
    <n v="4"/>
    <n v="4"/>
    <n v="4"/>
    <n v="41"/>
    <m/>
    <m/>
    <m/>
    <m/>
    <m/>
    <m/>
    <m/>
    <n v="0"/>
    <n v="0"/>
    <n v="0"/>
    <n v="0"/>
    <n v="0"/>
    <n v="0"/>
    <n v="0"/>
    <n v="0"/>
    <n v="0"/>
    <n v="0"/>
    <n v="0"/>
    <n v="0"/>
    <n v="0"/>
    <n v="0"/>
    <n v="0"/>
    <n v="0"/>
    <n v="0"/>
    <n v="0"/>
    <s v="MMR001CMP056"/>
    <x v="0"/>
    <x v="0"/>
    <s v="P4"/>
    <n v="9.8292173485686198E-5"/>
    <s v="No"/>
  </r>
  <r>
    <n v="36.93333333333333"/>
    <d v="2014-04-19T00:00:00"/>
    <x v="0"/>
    <m/>
    <s v="Kachin"/>
    <s v="Mansi"/>
    <s v="Man Wing Catholic Church"/>
    <m/>
    <m/>
    <m/>
    <n v="400"/>
    <n v="190"/>
    <n v="870"/>
    <n v="190"/>
    <m/>
    <n v="190"/>
    <n v="1000"/>
    <m/>
    <m/>
    <m/>
    <m/>
    <m/>
    <m/>
    <m/>
    <n v="0"/>
    <n v="0"/>
    <n v="0"/>
    <n v="0"/>
    <n v="0"/>
    <n v="0"/>
    <n v="0"/>
    <n v="0"/>
    <n v="0"/>
    <n v="0"/>
    <n v="0"/>
    <n v="0"/>
    <n v="0"/>
    <n v="0"/>
    <n v="0"/>
    <n v="0"/>
    <n v="0"/>
    <n v="0"/>
    <s v="MMR001CMP132"/>
    <x v="0"/>
    <x v="0"/>
    <s v="P4"/>
    <n v="4.6513905209557387E-3"/>
    <m/>
  </r>
  <r>
    <n v="36.9"/>
    <d v="2014-04-20T00:00:00"/>
    <x v="0"/>
    <m/>
    <s v="Kachin"/>
    <s v="Mansi"/>
    <s v="Man Wing Baptist Church"/>
    <m/>
    <m/>
    <m/>
    <n v="220"/>
    <n v="110"/>
    <n v="1000"/>
    <n v="110"/>
    <m/>
    <n v="110"/>
    <n v="550"/>
    <m/>
    <m/>
    <m/>
    <m/>
    <m/>
    <m/>
    <m/>
    <n v="0"/>
    <n v="0"/>
    <n v="0"/>
    <n v="0"/>
    <n v="0"/>
    <n v="0"/>
    <n v="0"/>
    <n v="0"/>
    <n v="0"/>
    <n v="0"/>
    <n v="0"/>
    <n v="0"/>
    <n v="0"/>
    <n v="0"/>
    <n v="0"/>
    <n v="0"/>
    <n v="0"/>
    <n v="0"/>
    <s v="MMR001CMP133"/>
    <x v="0"/>
    <x v="0"/>
    <s v="P4"/>
    <n v="2.6868588177821201E-3"/>
    <m/>
  </r>
  <r>
    <n v="36.866666666666667"/>
    <d v="2014-04-21T00:00:00"/>
    <x v="0"/>
    <s v="UNHCR"/>
    <s v="Kachin"/>
    <s v="Bhamo"/>
    <s v="AD-2000 Tharthana Compound"/>
    <m/>
    <m/>
    <n v="5"/>
    <n v="6"/>
    <n v="2"/>
    <n v="6"/>
    <n v="2"/>
    <n v="2"/>
    <n v="2"/>
    <n v="6"/>
    <m/>
    <m/>
    <m/>
    <m/>
    <m/>
    <m/>
    <m/>
    <n v="0"/>
    <n v="0"/>
    <n v="0"/>
    <n v="0"/>
    <n v="0"/>
    <n v="0"/>
    <n v="0"/>
    <n v="0"/>
    <n v="0"/>
    <n v="0"/>
    <n v="0"/>
    <n v="0"/>
    <n v="0"/>
    <n v="0"/>
    <n v="0"/>
    <n v="0"/>
    <n v="0"/>
    <n v="0"/>
    <s v="MMR001CMP050"/>
    <x v="0"/>
    <x v="0"/>
    <s v="P4"/>
    <n v="4.8962005483744613E-5"/>
    <s v="No"/>
  </r>
  <r>
    <n v="36.866666666666667"/>
    <d v="2014-04-21T00:00:00"/>
    <x v="0"/>
    <s v="UNHCR"/>
    <s v="Kachin"/>
    <s v="Mansi"/>
    <s v="Mansi Baptist Church"/>
    <m/>
    <m/>
    <n v="20"/>
    <n v="30"/>
    <n v="13"/>
    <n v="40"/>
    <n v="13"/>
    <n v="13"/>
    <n v="13"/>
    <n v="25"/>
    <m/>
    <m/>
    <m/>
    <m/>
    <m/>
    <m/>
    <m/>
    <n v="0"/>
    <n v="0"/>
    <n v="0"/>
    <n v="0"/>
    <n v="0"/>
    <n v="0"/>
    <n v="0"/>
    <n v="0"/>
    <n v="0"/>
    <n v="0"/>
    <n v="0"/>
    <n v="0"/>
    <n v="0"/>
    <n v="0"/>
    <n v="0"/>
    <n v="0"/>
    <n v="0"/>
    <n v="0"/>
    <s v="MMR001CMP066"/>
    <x v="0"/>
    <x v="0"/>
    <s v="P4"/>
    <n v="3.1265783207869358E-4"/>
    <s v="No"/>
  </r>
  <r>
    <n v="36.866666666666667"/>
    <d v="2014-04-21T00:00:00"/>
    <x v="0"/>
    <m/>
    <s v="Kachin"/>
    <s v="Mansi"/>
    <s v="Bum Tsit Pa Camp II"/>
    <m/>
    <m/>
    <m/>
    <n v="800"/>
    <n v="400"/>
    <m/>
    <n v="100"/>
    <m/>
    <n v="400"/>
    <n v="2000"/>
    <m/>
    <m/>
    <m/>
    <m/>
    <m/>
    <m/>
    <m/>
    <n v="0"/>
    <n v="0"/>
    <n v="0"/>
    <n v="0"/>
    <n v="0"/>
    <n v="0"/>
    <n v="0"/>
    <n v="0"/>
    <n v="0"/>
    <n v="0"/>
    <n v="0"/>
    <n v="0"/>
    <n v="0"/>
    <n v="0"/>
    <n v="0"/>
    <n v="0"/>
    <n v="0"/>
    <n v="0"/>
    <s v="MMR001CMP226"/>
    <x v="0"/>
    <x v="1"/>
    <s v="P2"/>
    <n v="2.4499595756670013E-3"/>
    <m/>
  </r>
  <r>
    <n v="36.866666666666667"/>
    <d v="2014-04-21T00:00:00"/>
    <x v="0"/>
    <s v="UNHCR"/>
    <s v="Kachin"/>
    <s v="Momauk"/>
    <s v="Momauk Baptist Church"/>
    <m/>
    <m/>
    <n v="15"/>
    <n v="16"/>
    <n v="50"/>
    <n v="16"/>
    <n v="7"/>
    <n v="7"/>
    <n v="7"/>
    <n v="13"/>
    <m/>
    <m/>
    <m/>
    <m/>
    <m/>
    <m/>
    <m/>
    <n v="0"/>
    <n v="0"/>
    <n v="0"/>
    <n v="0"/>
    <n v="0"/>
    <n v="0"/>
    <n v="0"/>
    <n v="0"/>
    <n v="0"/>
    <n v="0"/>
    <n v="0"/>
    <n v="0"/>
    <n v="0"/>
    <n v="0"/>
    <n v="0"/>
    <n v="0"/>
    <n v="0"/>
    <n v="0"/>
    <s v="MMR001CMP056"/>
    <x v="0"/>
    <x v="0"/>
    <s v="P4"/>
    <n v="1.7201130359995086E-4"/>
    <s v="No"/>
  </r>
  <r>
    <n v="36.866666666666667"/>
    <d v="2014-04-21T00:00:00"/>
    <x v="0"/>
    <m/>
    <s v="Shan_North"/>
    <s v="Namhkan"/>
    <s v="Nam Hkam (KBC Jaw Wang) II"/>
    <m/>
    <m/>
    <m/>
    <n v="0"/>
    <n v="1"/>
    <n v="167"/>
    <n v="1"/>
    <n v="0"/>
    <n v="1"/>
    <n v="0"/>
    <m/>
    <m/>
    <m/>
    <m/>
    <m/>
    <m/>
    <m/>
    <n v="0"/>
    <n v="0"/>
    <n v="0"/>
    <n v="0"/>
    <n v="0"/>
    <n v="0"/>
    <n v="0"/>
    <n v="0"/>
    <n v="0"/>
    <n v="0"/>
    <n v="0"/>
    <n v="0"/>
    <n v="0"/>
    <n v="0"/>
    <n v="0"/>
    <n v="0"/>
    <n v="0"/>
    <n v="0"/>
    <s v="MMR015CMP214"/>
    <x v="2"/>
    <x v="0"/>
    <s v="P4"/>
    <n v="2.3839607123274607E-5"/>
    <m/>
  </r>
  <r>
    <n v="36.866666666666667"/>
    <d v="2014-04-21T00:00:00"/>
    <x v="0"/>
    <m/>
    <s v="Shan_North"/>
    <s v="Namhkan"/>
    <s v="Nam Hkam (KBC Jaw Wang) II"/>
    <m/>
    <m/>
    <m/>
    <n v="90"/>
    <n v="49"/>
    <n v="98"/>
    <n v="49"/>
    <m/>
    <n v="49"/>
    <n v="225"/>
    <m/>
    <m/>
    <m/>
    <m/>
    <m/>
    <m/>
    <m/>
    <n v="0"/>
    <n v="0"/>
    <n v="0"/>
    <n v="0"/>
    <n v="0"/>
    <n v="0"/>
    <n v="0"/>
    <n v="0"/>
    <n v="0"/>
    <n v="0"/>
    <n v="0"/>
    <n v="0"/>
    <n v="0"/>
    <n v="0"/>
    <n v="0"/>
    <n v="0"/>
    <n v="0"/>
    <n v="0"/>
    <s v="MMR015CMP214"/>
    <x v="2"/>
    <x v="0"/>
    <s v="P4"/>
    <n v="1.1681407490404558E-3"/>
    <m/>
  </r>
  <r>
    <n v="36.266666666666666"/>
    <d v="2014-05-09T00:00:00"/>
    <x v="11"/>
    <s v="MRCS"/>
    <s v="Kachin"/>
    <s v="Myitkyina"/>
    <s v="Pa Dauk Myaing(Pa La Na)"/>
    <m/>
    <m/>
    <m/>
    <m/>
    <m/>
    <m/>
    <m/>
    <m/>
    <m/>
    <m/>
    <m/>
    <m/>
    <m/>
    <n v="58"/>
    <m/>
    <m/>
    <m/>
    <n v="0"/>
    <n v="0"/>
    <n v="0"/>
    <n v="0"/>
    <n v="0"/>
    <n v="0"/>
    <n v="0"/>
    <n v="0"/>
    <n v="0"/>
    <n v="0"/>
    <n v="0"/>
    <n v="0"/>
    <n v="0"/>
    <n v="0"/>
    <n v="1"/>
    <n v="0"/>
    <n v="0"/>
    <n v="0"/>
    <s v="MMR001CMP162"/>
    <x v="0"/>
    <x v="0"/>
    <s v="P4"/>
    <n v="0"/>
    <m/>
  </r>
  <r>
    <n v="36.266666666666666"/>
    <d v="2014-05-09T00:00:00"/>
    <x v="11"/>
    <s v="MRCS"/>
    <s v="Kachin"/>
    <s v="Myitkyina"/>
    <s v="Shatapru Sut Ngai Tawng"/>
    <m/>
    <m/>
    <m/>
    <m/>
    <m/>
    <m/>
    <m/>
    <m/>
    <m/>
    <m/>
    <m/>
    <m/>
    <m/>
    <n v="208"/>
    <m/>
    <m/>
    <m/>
    <n v="0"/>
    <n v="0"/>
    <n v="0"/>
    <n v="0"/>
    <n v="0"/>
    <n v="0"/>
    <n v="0"/>
    <n v="0"/>
    <n v="0"/>
    <n v="0"/>
    <n v="0"/>
    <n v="0"/>
    <n v="0"/>
    <n v="0"/>
    <n v="1"/>
    <n v="0"/>
    <n v="0"/>
    <n v="0"/>
    <s v="MMR001CMP006"/>
    <x v="0"/>
    <x v="0"/>
    <s v="P4"/>
    <n v="0"/>
    <m/>
  </r>
  <r>
    <n v="36.200000000000003"/>
    <d v="2014-05-11T00:00:00"/>
    <x v="0"/>
    <m/>
    <s v="Shan_North"/>
    <s v="Muse"/>
    <s v="Muse Baptist Church"/>
    <m/>
    <m/>
    <m/>
    <n v="138"/>
    <n v="19"/>
    <n v="238"/>
    <n v="19"/>
    <n v="0"/>
    <n v="19"/>
    <n v="95"/>
    <m/>
    <m/>
    <m/>
    <m/>
    <m/>
    <m/>
    <m/>
    <n v="0"/>
    <n v="0"/>
    <n v="0"/>
    <n v="0"/>
    <n v="0"/>
    <n v="0"/>
    <n v="0"/>
    <n v="0"/>
    <n v="0"/>
    <n v="0"/>
    <n v="0"/>
    <n v="0"/>
    <n v="0"/>
    <n v="0"/>
    <n v="0"/>
    <n v="0"/>
    <n v="0"/>
    <n v="0"/>
    <s v="MMR015CMP213"/>
    <x v="2"/>
    <x v="0"/>
    <s v="P4"/>
    <n v="4.5560271443301442E-4"/>
    <m/>
  </r>
  <r>
    <n v="36.200000000000003"/>
    <d v="2014-05-11T00:00:00"/>
    <x v="0"/>
    <m/>
    <s v="Shan_North"/>
    <s v="Muse"/>
    <s v="Muse Baptist Church"/>
    <m/>
    <m/>
    <m/>
    <n v="162"/>
    <n v="81"/>
    <n v="162"/>
    <n v="81"/>
    <m/>
    <n v="81"/>
    <n v="405"/>
    <m/>
    <m/>
    <m/>
    <m/>
    <m/>
    <m/>
    <m/>
    <n v="0"/>
    <n v="0"/>
    <n v="0"/>
    <n v="0"/>
    <n v="0"/>
    <n v="0"/>
    <n v="0"/>
    <n v="0"/>
    <n v="0"/>
    <n v="0"/>
    <n v="0"/>
    <n v="0"/>
    <n v="0"/>
    <n v="0"/>
    <n v="0"/>
    <n v="0"/>
    <n v="0"/>
    <n v="0"/>
    <s v="MMR015CMP213"/>
    <x v="2"/>
    <x v="0"/>
    <s v="P4"/>
    <n v="1.9423063088986404E-3"/>
    <m/>
  </r>
  <r>
    <n v="36.166666666666664"/>
    <d v="2014-05-12T00:00:00"/>
    <x v="11"/>
    <s v="MRCS"/>
    <s v="Kachin"/>
    <s v="Myitkyina"/>
    <s v="Man Hkring Baptist Church"/>
    <m/>
    <m/>
    <m/>
    <m/>
    <m/>
    <m/>
    <m/>
    <m/>
    <m/>
    <m/>
    <m/>
    <m/>
    <m/>
    <n v="184"/>
    <m/>
    <m/>
    <m/>
    <n v="0"/>
    <n v="0"/>
    <n v="0"/>
    <n v="0"/>
    <n v="0"/>
    <n v="0"/>
    <n v="0"/>
    <n v="0"/>
    <n v="0"/>
    <n v="0"/>
    <n v="0"/>
    <n v="0"/>
    <n v="0"/>
    <n v="0"/>
    <n v="1"/>
    <n v="0"/>
    <n v="0"/>
    <n v="0"/>
    <s v="MMR001CMP008"/>
    <x v="0"/>
    <x v="0"/>
    <s v="P4"/>
    <n v="0"/>
    <m/>
  </r>
  <r>
    <n v="36.166666666666664"/>
    <d v="2014-05-12T00:00:00"/>
    <x v="0"/>
    <m/>
    <s v="Shan_North"/>
    <s v="Muse"/>
    <s v="Muse Catholic Church"/>
    <m/>
    <m/>
    <m/>
    <n v="68"/>
    <n v="9"/>
    <n v="118"/>
    <n v="9"/>
    <n v="0"/>
    <n v="9"/>
    <n v="45"/>
    <m/>
    <m/>
    <m/>
    <m/>
    <m/>
    <m/>
    <m/>
    <n v="0"/>
    <n v="0"/>
    <n v="0"/>
    <n v="0"/>
    <n v="0"/>
    <n v="0"/>
    <n v="0"/>
    <n v="0"/>
    <n v="0"/>
    <n v="0"/>
    <n v="0"/>
    <n v="0"/>
    <n v="0"/>
    <n v="0"/>
    <n v="0"/>
    <n v="0"/>
    <n v="0"/>
    <n v="0"/>
    <s v="MMR015CMP216"/>
    <x v="2"/>
    <x v="0"/>
    <s v="P4"/>
    <n v="2.156515071644223E-4"/>
    <m/>
  </r>
  <r>
    <n v="36.166666666666664"/>
    <d v="2014-05-12T00:00:00"/>
    <x v="0"/>
    <m/>
    <s v="Shan_North"/>
    <s v="Muse"/>
    <s v="Muse Catholic Church"/>
    <m/>
    <m/>
    <m/>
    <n v="82"/>
    <n v="41"/>
    <n v="82"/>
    <n v="41"/>
    <m/>
    <n v="41"/>
    <n v="205"/>
    <m/>
    <m/>
    <m/>
    <m/>
    <m/>
    <m/>
    <m/>
    <n v="0"/>
    <n v="0"/>
    <n v="0"/>
    <n v="0"/>
    <n v="0"/>
    <n v="0"/>
    <n v="0"/>
    <n v="0"/>
    <n v="0"/>
    <n v="0"/>
    <n v="0"/>
    <n v="0"/>
    <n v="0"/>
    <n v="0"/>
    <n v="0"/>
    <n v="0"/>
    <n v="0"/>
    <n v="0"/>
    <s v="MMR015CMP216"/>
    <x v="2"/>
    <x v="0"/>
    <s v="P4"/>
    <n v="9.8241242152681259E-4"/>
    <m/>
  </r>
  <r>
    <n v="36.166666666666664"/>
    <d v="2014-05-12T00:00:00"/>
    <x v="11"/>
    <s v="MRCS"/>
    <s v="Kachin"/>
    <s v="Myitkyina"/>
    <s v="Shwe Zet Baptist Church"/>
    <m/>
    <m/>
    <m/>
    <m/>
    <m/>
    <m/>
    <m/>
    <m/>
    <m/>
    <m/>
    <m/>
    <m/>
    <m/>
    <n v="168"/>
    <m/>
    <m/>
    <m/>
    <n v="0"/>
    <n v="0"/>
    <n v="0"/>
    <n v="0"/>
    <n v="0"/>
    <n v="0"/>
    <n v="0"/>
    <n v="0"/>
    <n v="0"/>
    <n v="0"/>
    <n v="0"/>
    <n v="0"/>
    <n v="0"/>
    <n v="0"/>
    <n v="1"/>
    <n v="0"/>
    <n v="0"/>
    <n v="0"/>
    <s v="MMR001CMP009"/>
    <x v="0"/>
    <x v="0"/>
    <s v="P4"/>
    <n v="0"/>
    <m/>
  </r>
  <r>
    <n v="36.133333333333333"/>
    <d v="2014-05-13T00:00:00"/>
    <x v="11"/>
    <s v="MRCS"/>
    <s v="Kachin"/>
    <s v="Myitkyina"/>
    <s v="Njang Dung Baptist Church "/>
    <m/>
    <m/>
    <m/>
    <m/>
    <m/>
    <m/>
    <m/>
    <m/>
    <m/>
    <m/>
    <m/>
    <m/>
    <m/>
    <n v="112"/>
    <m/>
    <m/>
    <m/>
    <n v="0"/>
    <n v="0"/>
    <n v="0"/>
    <n v="0"/>
    <n v="0"/>
    <n v="0"/>
    <n v="0"/>
    <n v="0"/>
    <n v="0"/>
    <n v="0"/>
    <n v="0"/>
    <n v="0"/>
    <n v="0"/>
    <n v="0"/>
    <n v="1"/>
    <n v="0"/>
    <n v="0"/>
    <n v="0"/>
    <s v="MMR001CMP002"/>
    <x v="0"/>
    <x v="0"/>
    <s v="P4"/>
    <n v="0"/>
    <m/>
  </r>
  <r>
    <n v="36.1"/>
    <d v="2014-05-14T00:00:00"/>
    <x v="0"/>
    <s v="UNHCR"/>
    <s v="Kachin"/>
    <s v="Bhamo"/>
    <s v="AD-2000 Tharthana Compound"/>
    <m/>
    <m/>
    <n v="11"/>
    <n v="12"/>
    <n v="4"/>
    <n v="12"/>
    <n v="4"/>
    <n v="4"/>
    <n v="4"/>
    <n v="15"/>
    <m/>
    <m/>
    <m/>
    <m/>
    <m/>
    <m/>
    <m/>
    <n v="0"/>
    <n v="0"/>
    <n v="0"/>
    <n v="0"/>
    <n v="0"/>
    <n v="0"/>
    <n v="0"/>
    <n v="0"/>
    <n v="0"/>
    <n v="0"/>
    <n v="0"/>
    <n v="0"/>
    <n v="0"/>
    <n v="0"/>
    <n v="0"/>
    <n v="0"/>
    <n v="0"/>
    <n v="0"/>
    <s v="MMR001CMP050"/>
    <x v="0"/>
    <x v="0"/>
    <s v="P4"/>
    <n v="9.7924010967489225E-5"/>
    <s v="No"/>
  </r>
  <r>
    <n v="36.1"/>
    <d v="2014-05-14T00:00:00"/>
    <x v="0"/>
    <s v="UNHCR"/>
    <s v="Kachin"/>
    <s v="Momauk"/>
    <s v="Momauk Baptist Church"/>
    <m/>
    <m/>
    <n v="5"/>
    <n v="6"/>
    <n v="32"/>
    <n v="6"/>
    <n v="2"/>
    <n v="2"/>
    <n v="2"/>
    <n v="10"/>
    <m/>
    <m/>
    <m/>
    <m/>
    <m/>
    <m/>
    <m/>
    <n v="0"/>
    <n v="0"/>
    <n v="0"/>
    <n v="0"/>
    <n v="0"/>
    <n v="0"/>
    <n v="0"/>
    <n v="0"/>
    <n v="0"/>
    <n v="0"/>
    <n v="0"/>
    <n v="0"/>
    <n v="0"/>
    <n v="0"/>
    <n v="0"/>
    <n v="0"/>
    <n v="0"/>
    <n v="0"/>
    <s v="MMR001CMP056"/>
    <x v="0"/>
    <x v="0"/>
    <s v="P4"/>
    <n v="4.9146086742843099E-5"/>
    <s v="No"/>
  </r>
  <r>
    <n v="36.1"/>
    <d v="2014-05-14T00:00:00"/>
    <x v="0"/>
    <s v="UNHCR"/>
    <s v="Kachin"/>
    <s v="Bhamo"/>
    <s v="Ta Gun Taing Monastery (Shwe Kyi Na)"/>
    <m/>
    <m/>
    <n v="17"/>
    <n v="108"/>
    <n v="36"/>
    <n v="108"/>
    <n v="36"/>
    <n v="36"/>
    <n v="36"/>
    <n v="142"/>
    <m/>
    <m/>
    <m/>
    <m/>
    <m/>
    <m/>
    <m/>
    <n v="0"/>
    <n v="0"/>
    <n v="0"/>
    <n v="0"/>
    <n v="0"/>
    <n v="0"/>
    <n v="0"/>
    <n v="0"/>
    <n v="0"/>
    <n v="0"/>
    <n v="0"/>
    <n v="0"/>
    <n v="0"/>
    <n v="0"/>
    <n v="0"/>
    <n v="0"/>
    <n v="0"/>
    <n v="0"/>
    <s v="MMR001CMP055"/>
    <x v="0"/>
    <x v="0"/>
    <s v="P4"/>
    <n v="8.7740677553009995E-4"/>
    <s v="No"/>
  </r>
  <r>
    <n v="36.06666666666667"/>
    <d v="2014-05-15T00:00:00"/>
    <x v="0"/>
    <s v="UNHCR"/>
    <s v="Kachin"/>
    <s v="Bhamo"/>
    <s v="AD-2000 Tharthana Compound"/>
    <m/>
    <m/>
    <m/>
    <n v="10"/>
    <n v="4"/>
    <n v="12"/>
    <n v="4"/>
    <n v="4"/>
    <n v="4"/>
    <n v="12"/>
    <m/>
    <m/>
    <m/>
    <m/>
    <m/>
    <m/>
    <m/>
    <n v="0"/>
    <n v="0"/>
    <n v="0"/>
    <n v="0"/>
    <n v="0"/>
    <n v="0"/>
    <n v="0"/>
    <n v="0"/>
    <n v="0"/>
    <n v="0"/>
    <n v="0"/>
    <n v="0"/>
    <n v="0"/>
    <n v="0"/>
    <n v="0"/>
    <n v="0"/>
    <n v="0"/>
    <n v="0"/>
    <s v="MMR001CMP050"/>
    <x v="0"/>
    <x v="0"/>
    <s v="P4"/>
    <n v="9.7924010967489225E-5"/>
    <s v="No"/>
  </r>
  <r>
    <n v="36.06666666666667"/>
    <d v="2014-05-15T00:00:00"/>
    <x v="0"/>
    <s v="UNHCR"/>
    <s v="Kachin"/>
    <s v="Mansi"/>
    <s v="Maing Khaung"/>
    <m/>
    <m/>
    <n v="10"/>
    <n v="10"/>
    <n v="5"/>
    <n v="15"/>
    <n v="5"/>
    <n v="5"/>
    <n v="5"/>
    <n v="20"/>
    <m/>
    <m/>
    <m/>
    <m/>
    <m/>
    <m/>
    <m/>
    <n v="0"/>
    <n v="0"/>
    <n v="0"/>
    <n v="0"/>
    <n v="0"/>
    <n v="0"/>
    <n v="0"/>
    <n v="0"/>
    <n v="0"/>
    <n v="0"/>
    <n v="0"/>
    <n v="0"/>
    <n v="0"/>
    <n v="0"/>
    <n v="0"/>
    <n v="0"/>
    <n v="0"/>
    <n v="0"/>
    <s v="MMR001CMP218"/>
    <x v="0"/>
    <x v="0"/>
    <s v="P4"/>
    <n v="1.2034273611244825E-4"/>
    <s v="No"/>
  </r>
  <r>
    <n v="36.033333333333331"/>
    <d v="2014-05-16T00:00:00"/>
    <x v="11"/>
    <s v="MRCS"/>
    <s v="Kachin"/>
    <s v="Waingmaw"/>
    <s v="Maina Catholic Church (St. Joseph)"/>
    <m/>
    <m/>
    <m/>
    <m/>
    <m/>
    <m/>
    <m/>
    <m/>
    <m/>
    <m/>
    <m/>
    <m/>
    <m/>
    <n v="470"/>
    <m/>
    <m/>
    <m/>
    <n v="0"/>
    <n v="0"/>
    <n v="0"/>
    <n v="0"/>
    <n v="0"/>
    <n v="0"/>
    <n v="0"/>
    <n v="0"/>
    <n v="0"/>
    <n v="0"/>
    <n v="0"/>
    <n v="0"/>
    <n v="0"/>
    <n v="0"/>
    <n v="1"/>
    <n v="0"/>
    <n v="0"/>
    <n v="0"/>
    <s v="MMR001CMP029"/>
    <x v="0"/>
    <x v="0"/>
    <s v="P4"/>
    <n v="0"/>
    <m/>
  </r>
  <r>
    <n v="36.033333333333331"/>
    <d v="2014-05-16T00:00:00"/>
    <x v="0"/>
    <s v="UNHCR"/>
    <s v="Kachin"/>
    <s v="Bhamo"/>
    <s v="Mu-yin Baptist Church"/>
    <m/>
    <m/>
    <m/>
    <n v="10"/>
    <n v="4"/>
    <n v="10"/>
    <n v="4"/>
    <n v="4"/>
    <n v="4"/>
    <n v="18"/>
    <m/>
    <m/>
    <m/>
    <m/>
    <m/>
    <m/>
    <m/>
    <n v="0"/>
    <n v="0"/>
    <n v="0"/>
    <n v="0"/>
    <n v="0"/>
    <n v="0"/>
    <n v="0"/>
    <n v="0"/>
    <n v="0"/>
    <n v="0"/>
    <n v="0"/>
    <n v="0"/>
    <n v="0"/>
    <n v="0"/>
    <n v="0"/>
    <n v="0"/>
    <n v="0"/>
    <n v="0"/>
    <s v="MMR001CMP051"/>
    <x v="0"/>
    <x v="0"/>
    <s v="P4"/>
    <n v="9.7127455503484453E-5"/>
    <s v="No"/>
  </r>
  <r>
    <n v="36.033333333333331"/>
    <d v="2014-05-16T00:00:00"/>
    <x v="11"/>
    <s v="MRCS"/>
    <s v="Kachin"/>
    <s v="Myitkyina"/>
    <s v="Nan Kway St. John Catholic Church"/>
    <m/>
    <m/>
    <m/>
    <m/>
    <m/>
    <m/>
    <m/>
    <m/>
    <m/>
    <m/>
    <m/>
    <m/>
    <m/>
    <n v="142"/>
    <m/>
    <m/>
    <m/>
    <n v="0"/>
    <n v="0"/>
    <n v="0"/>
    <n v="0"/>
    <n v="0"/>
    <n v="0"/>
    <n v="0"/>
    <n v="0"/>
    <n v="0"/>
    <n v="0"/>
    <n v="0"/>
    <n v="0"/>
    <n v="0"/>
    <n v="0"/>
    <n v="1"/>
    <n v="0"/>
    <n v="0"/>
    <n v="0"/>
    <s v="MMR001CMP024"/>
    <x v="0"/>
    <x v="0"/>
    <s v="P4"/>
    <n v="0"/>
    <m/>
  </r>
  <r>
    <n v="36.033333333333331"/>
    <d v="2014-05-16T00:00:00"/>
    <x v="0"/>
    <s v="UNHCR"/>
    <s v="Kachin"/>
    <s v="Bhamo"/>
    <s v="Ta Gun Taing Monastery (Shwe Kyi Na)"/>
    <m/>
    <m/>
    <m/>
    <n v="24"/>
    <n v="13"/>
    <n v="24"/>
    <n v="13"/>
    <n v="13"/>
    <n v="13"/>
    <n v="33"/>
    <m/>
    <m/>
    <m/>
    <m/>
    <m/>
    <m/>
    <m/>
    <n v="0"/>
    <n v="0"/>
    <n v="0"/>
    <n v="0"/>
    <n v="0"/>
    <n v="0"/>
    <n v="0"/>
    <n v="0"/>
    <n v="0"/>
    <n v="0"/>
    <n v="0"/>
    <n v="0"/>
    <n v="0"/>
    <n v="0"/>
    <n v="0"/>
    <n v="0"/>
    <n v="0"/>
    <n v="0"/>
    <s v="MMR001CMP055"/>
    <x v="0"/>
    <x v="0"/>
    <s v="P4"/>
    <n v="3.1684133560809166E-4"/>
    <s v="No"/>
  </r>
  <r>
    <n v="35.93333333333333"/>
    <d v="2014-05-19T00:00:00"/>
    <x v="11"/>
    <s v="MRCS"/>
    <s v="Kachin"/>
    <s v="Waingmaw"/>
    <s v="Maina AG Church"/>
    <m/>
    <m/>
    <m/>
    <m/>
    <m/>
    <m/>
    <m/>
    <m/>
    <m/>
    <m/>
    <m/>
    <m/>
    <m/>
    <n v="224"/>
    <m/>
    <m/>
    <m/>
    <n v="0"/>
    <n v="0"/>
    <n v="0"/>
    <n v="0"/>
    <n v="0"/>
    <n v="0"/>
    <n v="0"/>
    <n v="0"/>
    <n v="0"/>
    <n v="0"/>
    <n v="0"/>
    <n v="0"/>
    <n v="0"/>
    <n v="0"/>
    <n v="1"/>
    <n v="0"/>
    <n v="0"/>
    <n v="0"/>
    <s v="MMR001CMP031"/>
    <x v="0"/>
    <x v="0"/>
    <s v="P4"/>
    <n v="0"/>
    <m/>
  </r>
  <r>
    <n v="35.93333333333333"/>
    <d v="2014-05-19T00:00:00"/>
    <x v="11"/>
    <s v="MRCS"/>
    <s v="Kachin"/>
    <s v="Waingmaw"/>
    <s v="Maina Lawang Baptist Church"/>
    <m/>
    <m/>
    <m/>
    <m/>
    <m/>
    <m/>
    <m/>
    <m/>
    <m/>
    <m/>
    <m/>
    <m/>
    <m/>
    <n v="230"/>
    <m/>
    <m/>
    <m/>
    <n v="0"/>
    <n v="0"/>
    <n v="0"/>
    <n v="0"/>
    <n v="0"/>
    <n v="0"/>
    <n v="0"/>
    <n v="0"/>
    <n v="0"/>
    <n v="0"/>
    <n v="0"/>
    <n v="0"/>
    <n v="0"/>
    <n v="0"/>
    <n v="1"/>
    <n v="0"/>
    <n v="0"/>
    <n v="0"/>
    <s v="MMR001CMP039"/>
    <x v="0"/>
    <x v="0"/>
    <s v="P4"/>
    <n v="0"/>
    <m/>
  </r>
  <r>
    <n v="35.93333333333333"/>
    <d v="2014-05-19T00:00:00"/>
    <x v="11"/>
    <s v="MRCS"/>
    <s v="Kachin"/>
    <s v="Waingmaw"/>
    <s v="Qtr. 3 Mu-yin  Baptist Church"/>
    <m/>
    <m/>
    <m/>
    <m/>
    <m/>
    <m/>
    <m/>
    <m/>
    <m/>
    <m/>
    <m/>
    <m/>
    <m/>
    <n v="60"/>
    <m/>
    <m/>
    <m/>
    <n v="0"/>
    <n v="0"/>
    <n v="0"/>
    <n v="0"/>
    <n v="0"/>
    <n v="0"/>
    <n v="0"/>
    <n v="0"/>
    <n v="0"/>
    <n v="0"/>
    <n v="0"/>
    <n v="0"/>
    <n v="0"/>
    <n v="0"/>
    <n v="1"/>
    <n v="0"/>
    <n v="0"/>
    <n v="0"/>
    <s v="MMR001CMP030"/>
    <x v="0"/>
    <x v="0"/>
    <s v="P4"/>
    <n v="0"/>
    <m/>
  </r>
  <r>
    <n v="35.9"/>
    <d v="2014-05-20T00:00:00"/>
    <x v="11"/>
    <s v="MRCS"/>
    <s v="Kachin"/>
    <s v="Myitkyina"/>
    <s v="Kyun Pin Thar Baptist Church"/>
    <m/>
    <m/>
    <m/>
    <m/>
    <m/>
    <m/>
    <m/>
    <m/>
    <m/>
    <m/>
    <m/>
    <m/>
    <m/>
    <n v="88"/>
    <m/>
    <m/>
    <m/>
    <n v="0"/>
    <n v="0"/>
    <n v="0"/>
    <n v="0"/>
    <n v="0"/>
    <n v="0"/>
    <n v="0"/>
    <n v="0"/>
    <n v="0"/>
    <n v="0"/>
    <n v="0"/>
    <n v="0"/>
    <n v="0"/>
    <n v="0"/>
    <n v="1"/>
    <n v="0"/>
    <n v="0"/>
    <n v="0"/>
    <s v="MMR001CMP013"/>
    <x v="0"/>
    <x v="0"/>
    <s v="P4"/>
    <n v="0"/>
    <m/>
  </r>
  <r>
    <n v="35.9"/>
    <d v="2014-05-20T00:00:00"/>
    <x v="11"/>
    <s v="MRCS"/>
    <s v="Kachin"/>
    <s v="Myitkyina"/>
    <s v="Le Kone Bethlehem Church"/>
    <m/>
    <m/>
    <m/>
    <m/>
    <m/>
    <m/>
    <m/>
    <m/>
    <m/>
    <m/>
    <m/>
    <m/>
    <m/>
    <n v="188"/>
    <m/>
    <m/>
    <m/>
    <n v="0"/>
    <n v="0"/>
    <n v="0"/>
    <n v="0"/>
    <n v="0"/>
    <n v="0"/>
    <n v="0"/>
    <n v="0"/>
    <n v="0"/>
    <n v="0"/>
    <n v="0"/>
    <n v="0"/>
    <n v="0"/>
    <n v="0"/>
    <n v="1"/>
    <n v="0"/>
    <n v="0"/>
    <n v="0"/>
    <s v="MMR001CMP015"/>
    <x v="0"/>
    <x v="0"/>
    <s v="P4"/>
    <n v="0"/>
    <m/>
  </r>
  <r>
    <n v="35.9"/>
    <d v="2014-05-20T00:00:00"/>
    <x v="11"/>
    <s v="MRCS"/>
    <s v="Kachin"/>
    <s v="Myitkyina"/>
    <s v="Le Kone Ziun Baptist Church "/>
    <m/>
    <m/>
    <m/>
    <m/>
    <m/>
    <m/>
    <m/>
    <m/>
    <m/>
    <m/>
    <m/>
    <m/>
    <m/>
    <n v="278"/>
    <m/>
    <m/>
    <m/>
    <n v="0"/>
    <n v="0"/>
    <n v="0"/>
    <n v="0"/>
    <n v="0"/>
    <n v="0"/>
    <n v="0"/>
    <n v="0"/>
    <n v="0"/>
    <n v="0"/>
    <n v="0"/>
    <n v="0"/>
    <n v="0"/>
    <n v="0"/>
    <n v="1"/>
    <n v="0"/>
    <n v="0"/>
    <n v="0"/>
    <s v="MMR001CMP014"/>
    <x v="0"/>
    <x v="0"/>
    <s v="P4"/>
    <n v="0"/>
    <m/>
  </r>
  <r>
    <n v="35.9"/>
    <d v="2014-05-20T00:00:00"/>
    <x v="11"/>
    <s v="MRCS"/>
    <s v="Kachin"/>
    <s v="Waingmaw"/>
    <s v="Maina KBC (Bawng Ring)"/>
    <m/>
    <m/>
    <m/>
    <m/>
    <m/>
    <m/>
    <m/>
    <m/>
    <m/>
    <m/>
    <m/>
    <m/>
    <m/>
    <n v="824"/>
    <m/>
    <m/>
    <m/>
    <n v="0"/>
    <n v="0"/>
    <n v="0"/>
    <n v="0"/>
    <n v="0"/>
    <n v="0"/>
    <n v="0"/>
    <n v="0"/>
    <n v="0"/>
    <n v="0"/>
    <n v="0"/>
    <n v="0"/>
    <n v="0"/>
    <n v="0"/>
    <n v="1"/>
    <n v="0"/>
    <n v="0"/>
    <n v="0"/>
    <s v="MMR001CMP040"/>
    <x v="0"/>
    <x v="0"/>
    <s v="P4"/>
    <n v="0"/>
    <m/>
  </r>
  <r>
    <n v="35.9"/>
    <d v="2014-05-20T00:00:00"/>
    <x v="11"/>
    <s v="MRCS"/>
    <s v="Kachin"/>
    <s v="Myitkyina"/>
    <s v="Maliyang Baptist Church"/>
    <m/>
    <m/>
    <m/>
    <m/>
    <m/>
    <m/>
    <m/>
    <m/>
    <m/>
    <m/>
    <m/>
    <m/>
    <m/>
    <n v="142"/>
    <m/>
    <m/>
    <m/>
    <n v="0"/>
    <n v="0"/>
    <n v="0"/>
    <n v="0"/>
    <n v="0"/>
    <n v="0"/>
    <n v="0"/>
    <n v="0"/>
    <n v="0"/>
    <n v="0"/>
    <n v="0"/>
    <n v="0"/>
    <n v="0"/>
    <n v="0"/>
    <n v="1"/>
    <n v="0"/>
    <n v="0"/>
    <n v="0"/>
    <s v="MMR001CMP016"/>
    <x v="0"/>
    <x v="0"/>
    <s v="P4"/>
    <n v="0"/>
    <m/>
  </r>
  <r>
    <n v="35.866666666666667"/>
    <d v="2014-05-21T00:00:00"/>
    <x v="11"/>
    <s v="MRCS"/>
    <s v="Kachin"/>
    <s v="Myitkyina"/>
    <s v="Shatapru Thida Aye Baptist Church"/>
    <m/>
    <m/>
    <m/>
    <m/>
    <m/>
    <m/>
    <m/>
    <m/>
    <m/>
    <m/>
    <m/>
    <m/>
    <m/>
    <n v="30"/>
    <m/>
    <m/>
    <m/>
    <n v="0"/>
    <n v="0"/>
    <n v="0"/>
    <n v="0"/>
    <n v="0"/>
    <n v="0"/>
    <n v="0"/>
    <n v="0"/>
    <n v="0"/>
    <n v="0"/>
    <n v="0"/>
    <n v="0"/>
    <n v="0"/>
    <n v="0"/>
    <n v="1"/>
    <n v="0"/>
    <n v="0"/>
    <n v="0"/>
    <s v="MMR001CMP007"/>
    <x v="0"/>
    <x v="0"/>
    <s v="P4"/>
    <n v="0"/>
    <m/>
  </r>
  <r>
    <n v="35.866666666666667"/>
    <d v="2014-05-21T00:00:00"/>
    <x v="11"/>
    <s v="MRCS"/>
    <s v="Kachin"/>
    <s v="Waingmaw"/>
    <s v="Thargaya Lisu Baptist Church"/>
    <m/>
    <m/>
    <m/>
    <m/>
    <m/>
    <m/>
    <m/>
    <m/>
    <m/>
    <m/>
    <m/>
    <m/>
    <m/>
    <n v="136"/>
    <m/>
    <m/>
    <m/>
    <n v="0"/>
    <n v="0"/>
    <n v="0"/>
    <n v="0"/>
    <n v="0"/>
    <n v="0"/>
    <n v="0"/>
    <n v="0"/>
    <n v="0"/>
    <n v="0"/>
    <n v="0"/>
    <n v="0"/>
    <n v="0"/>
    <n v="0"/>
    <n v="1"/>
    <n v="0"/>
    <n v="0"/>
    <n v="0"/>
    <s v="MMR001CMP037"/>
    <x v="0"/>
    <x v="0"/>
    <s v="P4"/>
    <n v="0"/>
    <m/>
  </r>
  <r>
    <n v="35.866666666666667"/>
    <d v="2014-05-21T00:00:00"/>
    <x v="11"/>
    <s v="MRCS"/>
    <s v="Kachin"/>
    <s v="Myitkyina"/>
    <s v="Myay Myint Baptist Church"/>
    <m/>
    <m/>
    <m/>
    <m/>
    <m/>
    <m/>
    <m/>
    <m/>
    <m/>
    <m/>
    <m/>
    <m/>
    <m/>
    <n v="24"/>
    <m/>
    <m/>
    <m/>
    <n v="0"/>
    <n v="0"/>
    <n v="0"/>
    <n v="0"/>
    <n v="0"/>
    <n v="0"/>
    <n v="0"/>
    <n v="0"/>
    <n v="0"/>
    <n v="0"/>
    <n v="0"/>
    <n v="0"/>
    <n v="0"/>
    <n v="0"/>
    <n v="1"/>
    <n v="0"/>
    <n v="0"/>
    <n v="0"/>
    <s v="MMR001CMP017"/>
    <x v="0"/>
    <x v="1"/>
    <s v="P4"/>
    <n v="0"/>
    <m/>
  </r>
  <r>
    <n v="35.833333333333336"/>
    <d v="2014-05-22T00:00:00"/>
    <x v="11"/>
    <s v="MRCS"/>
    <s v="Kachin"/>
    <s v="Waingmaw"/>
    <s v="Mading Baptist Church"/>
    <m/>
    <m/>
    <m/>
    <m/>
    <m/>
    <m/>
    <m/>
    <m/>
    <m/>
    <m/>
    <m/>
    <m/>
    <m/>
    <n v="46"/>
    <m/>
    <m/>
    <m/>
    <n v="0"/>
    <n v="0"/>
    <n v="0"/>
    <n v="0"/>
    <n v="0"/>
    <n v="0"/>
    <n v="0"/>
    <n v="0"/>
    <n v="0"/>
    <n v="0"/>
    <n v="0"/>
    <n v="0"/>
    <n v="0"/>
    <n v="0"/>
    <n v="1"/>
    <n v="0"/>
    <n v="0"/>
    <n v="0"/>
    <s v="MMR001CMP027"/>
    <x v="0"/>
    <x v="0"/>
    <s v="P4"/>
    <n v="0"/>
    <m/>
  </r>
  <r>
    <n v="35.833333333333336"/>
    <d v="2014-05-22T00:00:00"/>
    <x v="11"/>
    <s v="MRCS"/>
    <s v="Kachin"/>
    <s v="Waingmaw"/>
    <s v="Qtr. 2 Lhaovo Baptist Church"/>
    <m/>
    <m/>
    <m/>
    <m/>
    <m/>
    <m/>
    <m/>
    <m/>
    <m/>
    <m/>
    <m/>
    <m/>
    <m/>
    <n v="88"/>
    <m/>
    <m/>
    <m/>
    <n v="0"/>
    <n v="0"/>
    <n v="0"/>
    <n v="0"/>
    <n v="0"/>
    <n v="0"/>
    <n v="0"/>
    <n v="0"/>
    <n v="0"/>
    <n v="0"/>
    <n v="0"/>
    <n v="0"/>
    <n v="0"/>
    <n v="0"/>
    <n v="1"/>
    <n v="0"/>
    <n v="0"/>
    <n v="0"/>
    <s v="MMR001CMP032"/>
    <x v="0"/>
    <x v="0"/>
    <s v="P4"/>
    <n v="0"/>
    <m/>
  </r>
  <r>
    <n v="35.833333333333336"/>
    <d v="2014-05-22T00:00:00"/>
    <x v="11"/>
    <s v="MRCS"/>
    <s v="Kachin"/>
    <s v="Waingmaw"/>
    <s v="Qtr. 2 Myoma Baptist Church"/>
    <m/>
    <m/>
    <m/>
    <m/>
    <m/>
    <m/>
    <m/>
    <m/>
    <m/>
    <m/>
    <m/>
    <m/>
    <m/>
    <n v="140"/>
    <m/>
    <m/>
    <m/>
    <n v="0"/>
    <n v="0"/>
    <n v="0"/>
    <n v="0"/>
    <n v="0"/>
    <n v="0"/>
    <n v="0"/>
    <n v="0"/>
    <n v="0"/>
    <n v="0"/>
    <n v="0"/>
    <n v="0"/>
    <n v="0"/>
    <n v="0"/>
    <n v="1"/>
    <n v="0"/>
    <n v="0"/>
    <n v="0"/>
    <s v="MMR001CMP025"/>
    <x v="0"/>
    <x v="0"/>
    <s v="P4"/>
    <n v="0"/>
    <m/>
  </r>
  <r>
    <n v="35.733333333333334"/>
    <d v="2014-05-25T00:00:00"/>
    <x v="11"/>
    <s v="MRCS"/>
    <s v="Kachin"/>
    <s v="Waingmaw"/>
    <s v="Hkat Cho "/>
    <m/>
    <m/>
    <m/>
    <m/>
    <m/>
    <m/>
    <m/>
    <m/>
    <m/>
    <m/>
    <m/>
    <m/>
    <m/>
    <n v="224"/>
    <m/>
    <m/>
    <m/>
    <n v="0"/>
    <n v="0"/>
    <n v="0"/>
    <n v="0"/>
    <n v="0"/>
    <n v="0"/>
    <n v="0"/>
    <n v="0"/>
    <n v="0"/>
    <n v="0"/>
    <n v="0"/>
    <n v="0"/>
    <n v="0"/>
    <n v="0"/>
    <n v="1"/>
    <n v="0"/>
    <n v="0"/>
    <n v="0"/>
    <s v="MMR001CMP028"/>
    <x v="0"/>
    <x v="0"/>
    <s v="P4"/>
    <n v="0"/>
    <m/>
  </r>
  <r>
    <n v="35.733333333333334"/>
    <d v="2014-05-25T00:00:00"/>
    <x v="11"/>
    <s v="MRCS"/>
    <s v="Kachin"/>
    <s v="Waingmaw"/>
    <s v="Qtr. 4 Monestry (Thargaya Thayett Taw)"/>
    <m/>
    <m/>
    <m/>
    <m/>
    <m/>
    <m/>
    <m/>
    <m/>
    <m/>
    <m/>
    <m/>
    <m/>
    <m/>
    <n v="182"/>
    <m/>
    <m/>
    <m/>
    <n v="0"/>
    <n v="0"/>
    <n v="0"/>
    <n v="0"/>
    <n v="0"/>
    <n v="0"/>
    <n v="0"/>
    <n v="0"/>
    <n v="0"/>
    <n v="0"/>
    <n v="0"/>
    <n v="0"/>
    <n v="0"/>
    <n v="0"/>
    <n v="1"/>
    <n v="0"/>
    <n v="0"/>
    <n v="0"/>
    <s v="MMR001CMP026"/>
    <x v="0"/>
    <x v="0"/>
    <s v="P4"/>
    <n v="0"/>
    <m/>
  </r>
  <r>
    <n v="35.700000000000003"/>
    <d v="2014-05-26T00:00:00"/>
    <x v="11"/>
    <s v="MRCS"/>
    <s v="Kachin"/>
    <s v="Waingmaw"/>
    <s v="Nawng Hee Village"/>
    <m/>
    <m/>
    <m/>
    <m/>
    <m/>
    <m/>
    <m/>
    <m/>
    <m/>
    <m/>
    <m/>
    <m/>
    <m/>
    <n v="36"/>
    <m/>
    <m/>
    <m/>
    <n v="0"/>
    <n v="0"/>
    <n v="0"/>
    <n v="0"/>
    <n v="0"/>
    <n v="0"/>
    <n v="0"/>
    <n v="0"/>
    <n v="0"/>
    <n v="0"/>
    <n v="0"/>
    <n v="0"/>
    <n v="0"/>
    <n v="0"/>
    <n v="1"/>
    <n v="0"/>
    <n v="0"/>
    <n v="0"/>
    <s v="MMR001CMP033"/>
    <x v="0"/>
    <x v="0"/>
    <s v="P4"/>
    <n v="0"/>
    <m/>
  </r>
  <r>
    <n v="35.666666666666664"/>
    <d v="2014-05-27T00:00:00"/>
    <x v="0"/>
    <s v="Shalom"/>
    <s v="Kachin"/>
    <s v="Chipwi"/>
    <s v="Chipwi KBC camp"/>
    <m/>
    <m/>
    <n v="36"/>
    <n v="18"/>
    <n v="36"/>
    <n v="18"/>
    <m/>
    <n v="18"/>
    <n v="90"/>
    <m/>
    <m/>
    <m/>
    <m/>
    <m/>
    <m/>
    <m/>
    <m/>
    <n v="0"/>
    <n v="0"/>
    <n v="0"/>
    <n v="0"/>
    <n v="0"/>
    <n v="0"/>
    <n v="0"/>
    <n v="0"/>
    <n v="0"/>
    <n v="0"/>
    <n v="0"/>
    <n v="0"/>
    <n v="0"/>
    <n v="0"/>
    <n v="0"/>
    <n v="0"/>
    <n v="0"/>
    <n v="0"/>
    <s v="MMR001CMP042"/>
    <x v="0"/>
    <x v="0"/>
    <s v="P1"/>
    <n v="0"/>
    <m/>
  </r>
  <r>
    <n v="35.666666666666664"/>
    <d v="2014-05-27T00:00:00"/>
    <x v="0"/>
    <s v="Shalom"/>
    <s v="Kachin"/>
    <s v="Waingmaw"/>
    <s v="Hkat Cho "/>
    <m/>
    <m/>
    <n v="2"/>
    <n v="1"/>
    <n v="2"/>
    <n v="1"/>
    <m/>
    <n v="1"/>
    <n v="5"/>
    <m/>
    <m/>
    <m/>
    <m/>
    <m/>
    <m/>
    <m/>
    <m/>
    <n v="0"/>
    <n v="0"/>
    <n v="0"/>
    <n v="0"/>
    <n v="0"/>
    <n v="0"/>
    <n v="0"/>
    <n v="0"/>
    <n v="0"/>
    <n v="0"/>
    <n v="0"/>
    <n v="0"/>
    <n v="0"/>
    <n v="0"/>
    <n v="0"/>
    <n v="0"/>
    <n v="0"/>
    <n v="0"/>
    <s v="MMR001CMP028"/>
    <x v="0"/>
    <x v="0"/>
    <s v="P4"/>
    <n v="0"/>
    <m/>
  </r>
  <r>
    <n v="35.666666666666664"/>
    <d v="2014-05-27T00:00:00"/>
    <x v="0"/>
    <s v="Shalom"/>
    <s v="Kachin"/>
    <s v="Waingmaw"/>
    <s v="Maina AG Church"/>
    <m/>
    <m/>
    <n v="50"/>
    <n v="25"/>
    <n v="50"/>
    <n v="25"/>
    <m/>
    <n v="25"/>
    <n v="125"/>
    <m/>
    <m/>
    <m/>
    <m/>
    <m/>
    <m/>
    <m/>
    <m/>
    <n v="0"/>
    <n v="0"/>
    <n v="0"/>
    <n v="0"/>
    <n v="0"/>
    <n v="0"/>
    <n v="0"/>
    <n v="0"/>
    <n v="0"/>
    <n v="0"/>
    <n v="0"/>
    <n v="0"/>
    <n v="0"/>
    <n v="0"/>
    <n v="0"/>
    <n v="0"/>
    <n v="0"/>
    <n v="0"/>
    <s v="MMR001CMP031"/>
    <x v="0"/>
    <x v="0"/>
    <s v="P4"/>
    <n v="0"/>
    <m/>
  </r>
  <r>
    <n v="35.666666666666664"/>
    <d v="2014-05-27T00:00:00"/>
    <x v="0"/>
    <s v="Shalom"/>
    <s v="Kachin"/>
    <s v="Myitkyina"/>
    <s v="Maw Hpawng Hka Nan Baptist Church"/>
    <m/>
    <m/>
    <n v="12"/>
    <n v="6"/>
    <n v="12"/>
    <n v="6"/>
    <m/>
    <n v="6"/>
    <n v="30"/>
    <m/>
    <m/>
    <m/>
    <m/>
    <m/>
    <m/>
    <m/>
    <m/>
    <n v="0"/>
    <n v="0"/>
    <n v="0"/>
    <n v="0"/>
    <n v="0"/>
    <n v="0"/>
    <n v="0"/>
    <n v="0"/>
    <n v="0"/>
    <n v="0"/>
    <n v="0"/>
    <n v="0"/>
    <n v="0"/>
    <n v="0"/>
    <n v="0"/>
    <n v="0"/>
    <n v="0"/>
    <n v="0"/>
    <s v="MMR001CMP020"/>
    <x v="0"/>
    <x v="0"/>
    <s v="P4"/>
    <n v="0"/>
    <m/>
  </r>
  <r>
    <n v="35.666666666666664"/>
    <d v="2014-05-27T00:00:00"/>
    <x v="0"/>
    <s v="Shalom"/>
    <s v="Kachin"/>
    <s v="Waingmaw"/>
    <s v="Qtr. 4 Monestry (Thargaya Thayett Taw)"/>
    <m/>
    <m/>
    <n v="3"/>
    <n v="3"/>
    <n v="6"/>
    <n v="3"/>
    <m/>
    <n v="3"/>
    <n v="15"/>
    <m/>
    <m/>
    <m/>
    <m/>
    <m/>
    <m/>
    <m/>
    <m/>
    <n v="0"/>
    <n v="0"/>
    <n v="0"/>
    <n v="0"/>
    <n v="0"/>
    <n v="0"/>
    <n v="0"/>
    <n v="0"/>
    <n v="0"/>
    <n v="0"/>
    <n v="0"/>
    <n v="0"/>
    <n v="0"/>
    <n v="0"/>
    <n v="0"/>
    <n v="0"/>
    <n v="0"/>
    <n v="0"/>
    <s v="MMR001CMP026"/>
    <x v="0"/>
    <x v="0"/>
    <s v="P4"/>
    <n v="0"/>
    <m/>
  </r>
  <r>
    <n v="35.666666666666664"/>
    <d v="2014-05-27T00:00:00"/>
    <x v="0"/>
    <s v="Shalom"/>
    <s v="Kachin"/>
    <s v="Waingmaw"/>
    <s v="Thargaya Lisu Baptist Church"/>
    <m/>
    <m/>
    <n v="18"/>
    <n v="9"/>
    <n v="18"/>
    <n v="9"/>
    <m/>
    <n v="9"/>
    <n v="45"/>
    <m/>
    <m/>
    <m/>
    <m/>
    <m/>
    <m/>
    <m/>
    <m/>
    <n v="0"/>
    <n v="0"/>
    <n v="0"/>
    <n v="0"/>
    <n v="0"/>
    <n v="0"/>
    <n v="0"/>
    <n v="0"/>
    <n v="0"/>
    <n v="0"/>
    <n v="0"/>
    <n v="0"/>
    <n v="0"/>
    <n v="0"/>
    <n v="0"/>
    <n v="0"/>
    <n v="0"/>
    <n v="0"/>
    <s v="MMR001CMP037"/>
    <x v="0"/>
    <x v="0"/>
    <s v="P4"/>
    <n v="0"/>
    <m/>
  </r>
  <r>
    <n v="35.633333333333333"/>
    <d v="2014-05-28T00:00:00"/>
    <x v="11"/>
    <s v="MRCS"/>
    <s v="Kachin"/>
    <s v="Myitkyina"/>
    <s v="Tat Kone Baptist Church"/>
    <m/>
    <m/>
    <m/>
    <m/>
    <m/>
    <m/>
    <m/>
    <m/>
    <m/>
    <m/>
    <m/>
    <m/>
    <m/>
    <n v="120"/>
    <m/>
    <m/>
    <m/>
    <n v="0"/>
    <n v="0"/>
    <n v="0"/>
    <n v="0"/>
    <n v="0"/>
    <n v="0"/>
    <n v="0"/>
    <n v="0"/>
    <n v="0"/>
    <n v="0"/>
    <n v="0"/>
    <n v="0"/>
    <n v="0"/>
    <n v="0"/>
    <n v="1"/>
    <n v="0"/>
    <n v="0"/>
    <n v="0"/>
    <s v="MMR001CMP001"/>
    <x v="0"/>
    <x v="0"/>
    <s v="P4"/>
    <n v="0"/>
    <m/>
  </r>
  <r>
    <n v="35.633333333333333"/>
    <d v="2014-05-28T00:00:00"/>
    <x v="11"/>
    <s v="MRCS"/>
    <s v="Kachin"/>
    <s v="Myitkyina"/>
    <s v="Tat Kone COC Baptist - Tat Kone Htoi San"/>
    <m/>
    <m/>
    <m/>
    <m/>
    <m/>
    <m/>
    <m/>
    <m/>
    <m/>
    <m/>
    <m/>
    <m/>
    <m/>
    <n v="138"/>
    <m/>
    <m/>
    <m/>
    <n v="0"/>
    <n v="0"/>
    <n v="0"/>
    <n v="0"/>
    <n v="0"/>
    <n v="0"/>
    <n v="0"/>
    <n v="0"/>
    <n v="0"/>
    <n v="0"/>
    <n v="0"/>
    <n v="0"/>
    <n v="0"/>
    <n v="0"/>
    <n v="1"/>
    <n v="0"/>
    <n v="0"/>
    <n v="0"/>
    <s v="MMR001CMP023"/>
    <x v="0"/>
    <x v="0"/>
    <s v="P4"/>
    <n v="0"/>
    <m/>
  </r>
  <r>
    <n v="35.633333333333333"/>
    <d v="2014-05-28T00:00:00"/>
    <x v="11"/>
    <s v="MRCS"/>
    <s v="Kachin"/>
    <s v="Myitkyina"/>
    <s v="Tat Kone Galile Baptist Church"/>
    <m/>
    <m/>
    <m/>
    <m/>
    <m/>
    <m/>
    <m/>
    <m/>
    <m/>
    <m/>
    <m/>
    <m/>
    <m/>
    <n v="58"/>
    <m/>
    <m/>
    <m/>
    <n v="0"/>
    <n v="0"/>
    <n v="0"/>
    <n v="0"/>
    <n v="0"/>
    <n v="0"/>
    <n v="0"/>
    <n v="0"/>
    <n v="0"/>
    <n v="0"/>
    <n v="0"/>
    <n v="0"/>
    <n v="0"/>
    <n v="0"/>
    <n v="1"/>
    <n v="0"/>
    <n v="0"/>
    <n v="0"/>
    <s v="MMR001CMP003"/>
    <x v="0"/>
    <x v="0"/>
    <s v="P4"/>
    <n v="0"/>
    <m/>
  </r>
  <r>
    <n v="35.56666666666667"/>
    <d v="2014-05-30T00:00:00"/>
    <x v="11"/>
    <s v="MRCS"/>
    <s v="Kachin"/>
    <s v="Myitkyina"/>
    <s v="Wun Tho Buddhist Monastery"/>
    <m/>
    <m/>
    <m/>
    <m/>
    <m/>
    <m/>
    <m/>
    <m/>
    <m/>
    <m/>
    <m/>
    <m/>
    <m/>
    <n v="12"/>
    <m/>
    <m/>
    <m/>
    <n v="0"/>
    <n v="0"/>
    <n v="0"/>
    <n v="0"/>
    <n v="0"/>
    <n v="0"/>
    <n v="0"/>
    <n v="0"/>
    <n v="0"/>
    <n v="0"/>
    <n v="0"/>
    <n v="0"/>
    <n v="0"/>
    <n v="0"/>
    <n v="1"/>
    <n v="0"/>
    <n v="0"/>
    <n v="0"/>
    <s v="MMR001CMP022"/>
    <x v="0"/>
    <x v="0"/>
    <s v="P4"/>
    <n v="0"/>
    <m/>
  </r>
  <r>
    <n v="35.4"/>
    <d v="2014-06-04T00:00:00"/>
    <x v="0"/>
    <s v="KBC"/>
    <s v="Kachin"/>
    <s v="Momauk"/>
    <s v="Momauk Baptist Church"/>
    <m/>
    <m/>
    <m/>
    <m/>
    <n v="80"/>
    <m/>
    <m/>
    <m/>
    <m/>
    <m/>
    <m/>
    <m/>
    <m/>
    <m/>
    <m/>
    <m/>
    <m/>
    <n v="0"/>
    <n v="0"/>
    <n v="0"/>
    <n v="0"/>
    <n v="0"/>
    <n v="0"/>
    <n v="0"/>
    <n v="0"/>
    <n v="0"/>
    <n v="0"/>
    <n v="0"/>
    <n v="0"/>
    <n v="0"/>
    <n v="0"/>
    <n v="0"/>
    <n v="0"/>
    <n v="0"/>
    <n v="0"/>
    <s v="MMR001CMP056"/>
    <x v="0"/>
    <x v="0"/>
    <s v="P4"/>
    <n v="0"/>
    <s v="No"/>
  </r>
  <r>
    <n v="35.333333333333336"/>
    <d v="2014-06-06T00:00:00"/>
    <x v="11"/>
    <s v="MRCS"/>
    <s v="Kachin"/>
    <s v="Mohnyin"/>
    <s v="St. Patrick Catholic Church "/>
    <m/>
    <m/>
    <m/>
    <m/>
    <m/>
    <m/>
    <m/>
    <m/>
    <m/>
    <m/>
    <m/>
    <m/>
    <m/>
    <n v="24"/>
    <m/>
    <m/>
    <m/>
    <n v="0"/>
    <n v="0"/>
    <n v="0"/>
    <n v="0"/>
    <n v="0"/>
    <n v="0"/>
    <n v="0"/>
    <n v="0"/>
    <n v="0"/>
    <n v="0"/>
    <n v="0"/>
    <n v="0"/>
    <n v="0"/>
    <n v="0"/>
    <n v="1"/>
    <n v="0"/>
    <n v="0"/>
    <n v="0"/>
    <s v="MMR001CMP080"/>
    <x v="0"/>
    <x v="0"/>
    <s v="P4"/>
    <n v="0"/>
    <m/>
  </r>
  <r>
    <n v="35.299999999999997"/>
    <d v="2014-06-07T00:00:00"/>
    <x v="11"/>
    <s v="MRCS"/>
    <s v="Kachin"/>
    <s v="Mohnyin"/>
    <s v="Nawng Ing (Indawgyi) Baptist Church  "/>
    <m/>
    <m/>
    <m/>
    <m/>
    <m/>
    <m/>
    <m/>
    <m/>
    <m/>
    <m/>
    <m/>
    <m/>
    <m/>
    <n v="40"/>
    <m/>
    <m/>
    <m/>
    <n v="0"/>
    <n v="0"/>
    <n v="0"/>
    <n v="0"/>
    <n v="0"/>
    <n v="0"/>
    <n v="0"/>
    <n v="0"/>
    <n v="0"/>
    <n v="0"/>
    <n v="0"/>
    <n v="0"/>
    <n v="0"/>
    <n v="0"/>
    <n v="1"/>
    <n v="0"/>
    <n v="0"/>
    <n v="0"/>
    <s v="MMR001CMP152"/>
    <x v="0"/>
    <x v="0"/>
    <s v="P4"/>
    <n v="0"/>
    <m/>
  </r>
  <r>
    <n v="35.1"/>
    <d v="2014-06-13T00:00:00"/>
    <x v="0"/>
    <m/>
    <s v="Kachin"/>
    <s v="Mansi"/>
    <s v="Maing Khaung"/>
    <m/>
    <m/>
    <m/>
    <n v="54"/>
    <n v="18"/>
    <n v="45"/>
    <n v="18"/>
    <m/>
    <n v="18"/>
    <n v="50"/>
    <m/>
    <m/>
    <m/>
    <m/>
    <m/>
    <m/>
    <m/>
    <n v="0"/>
    <n v="0"/>
    <n v="0"/>
    <n v="0"/>
    <n v="0"/>
    <n v="0"/>
    <n v="0"/>
    <n v="0"/>
    <n v="0"/>
    <n v="0"/>
    <n v="0"/>
    <n v="0"/>
    <n v="0"/>
    <n v="0"/>
    <n v="0"/>
    <n v="0"/>
    <n v="0"/>
    <n v="0"/>
    <s v="MMR001CMP218"/>
    <x v="0"/>
    <x v="0"/>
    <s v="P4"/>
    <n v="4.332338500048137E-4"/>
    <m/>
  </r>
  <r>
    <n v="35.06666666666667"/>
    <d v="2014-06-14T00:00:00"/>
    <x v="11"/>
    <s v="MRCS"/>
    <s v="Kachin"/>
    <s v="Myitkyina"/>
    <s v="Jan Mai Kawng Baptist Church"/>
    <m/>
    <m/>
    <m/>
    <m/>
    <m/>
    <m/>
    <m/>
    <m/>
    <m/>
    <m/>
    <m/>
    <m/>
    <m/>
    <n v="406"/>
    <m/>
    <m/>
    <m/>
    <n v="0"/>
    <n v="0"/>
    <n v="0"/>
    <n v="0"/>
    <n v="0"/>
    <n v="0"/>
    <n v="0"/>
    <n v="0"/>
    <n v="0"/>
    <n v="0"/>
    <n v="0"/>
    <n v="0"/>
    <n v="0"/>
    <n v="0"/>
    <n v="1"/>
    <n v="0"/>
    <n v="0"/>
    <n v="0"/>
    <s v="MMR001CMP018"/>
    <x v="0"/>
    <x v="0"/>
    <s v="P4"/>
    <n v="0"/>
    <m/>
  </r>
  <r>
    <n v="35.06666666666667"/>
    <d v="2014-06-14T00:00:00"/>
    <x v="11"/>
    <s v="MRCS"/>
    <s v="Kachin"/>
    <s v="Myitkyina"/>
    <s v="Jan Mai Kawng Catholic Church"/>
    <m/>
    <m/>
    <m/>
    <m/>
    <m/>
    <m/>
    <m/>
    <m/>
    <m/>
    <m/>
    <m/>
    <m/>
    <m/>
    <n v="216"/>
    <m/>
    <m/>
    <m/>
    <n v="0"/>
    <n v="0"/>
    <n v="0"/>
    <n v="0"/>
    <n v="0"/>
    <n v="0"/>
    <n v="0"/>
    <n v="0"/>
    <n v="0"/>
    <n v="0"/>
    <n v="0"/>
    <n v="0"/>
    <n v="0"/>
    <n v="0"/>
    <n v="1"/>
    <n v="0"/>
    <n v="0"/>
    <n v="0"/>
    <s v="MMR001CMP019"/>
    <x v="0"/>
    <x v="0"/>
    <s v="P4"/>
    <n v="0"/>
    <m/>
  </r>
  <r>
    <n v="35.033333333333331"/>
    <d v="2014-06-15T00:00:00"/>
    <x v="11"/>
    <s v="MRCS"/>
    <s v="Kachin"/>
    <s v="Shwegu"/>
    <s v="Shwe Gu Baptist Church"/>
    <m/>
    <m/>
    <m/>
    <m/>
    <m/>
    <m/>
    <m/>
    <m/>
    <m/>
    <m/>
    <m/>
    <m/>
    <m/>
    <n v="158"/>
    <m/>
    <m/>
    <m/>
    <n v="0"/>
    <n v="0"/>
    <n v="0"/>
    <n v="0"/>
    <n v="0"/>
    <n v="0"/>
    <n v="0"/>
    <n v="0"/>
    <n v="0"/>
    <n v="0"/>
    <n v="0"/>
    <n v="0"/>
    <n v="0"/>
    <n v="0"/>
    <n v="1"/>
    <n v="0"/>
    <n v="0"/>
    <n v="0"/>
    <s v="MMR001CMP067"/>
    <x v="0"/>
    <x v="0"/>
    <s v="P4"/>
    <n v="0"/>
    <m/>
  </r>
  <r>
    <n v="35.033333333333331"/>
    <d v="2014-06-15T00:00:00"/>
    <x v="11"/>
    <s v="MRCS"/>
    <s v="Kachin"/>
    <s v="Shwegu"/>
    <s v="Shwe Gu Catholic Church"/>
    <m/>
    <m/>
    <m/>
    <m/>
    <m/>
    <m/>
    <m/>
    <m/>
    <m/>
    <m/>
    <m/>
    <m/>
    <m/>
    <n v="112"/>
    <m/>
    <m/>
    <m/>
    <n v="0"/>
    <n v="0"/>
    <n v="0"/>
    <n v="0"/>
    <n v="0"/>
    <n v="0"/>
    <n v="0"/>
    <n v="0"/>
    <n v="0"/>
    <n v="0"/>
    <n v="0"/>
    <n v="0"/>
    <n v="0"/>
    <n v="0"/>
    <n v="1"/>
    <n v="0"/>
    <n v="0"/>
    <n v="0"/>
    <s v="MMR001CMP068"/>
    <x v="0"/>
    <x v="0"/>
    <s v="P4"/>
    <n v="0"/>
    <m/>
  </r>
  <r>
    <n v="34.966666666666669"/>
    <d v="2014-06-17T00:00:00"/>
    <x v="0"/>
    <m/>
    <s v="Kachin"/>
    <s v="Mansi"/>
    <s v="Maing Khaung"/>
    <m/>
    <m/>
    <m/>
    <n v="10"/>
    <n v="3"/>
    <n v="10"/>
    <n v="3"/>
    <m/>
    <n v="3"/>
    <n v="10"/>
    <m/>
    <m/>
    <m/>
    <m/>
    <m/>
    <m/>
    <m/>
    <n v="0"/>
    <n v="0"/>
    <n v="0"/>
    <n v="0"/>
    <n v="0"/>
    <n v="0"/>
    <n v="0"/>
    <n v="0"/>
    <n v="0"/>
    <n v="0"/>
    <n v="0"/>
    <n v="0"/>
    <n v="0"/>
    <n v="0"/>
    <n v="0"/>
    <n v="0"/>
    <n v="0"/>
    <n v="0"/>
    <s v="MMR001CMP218"/>
    <x v="0"/>
    <x v="0"/>
    <s v="P4"/>
    <n v="7.2205641667468946E-5"/>
    <m/>
  </r>
  <r>
    <n v="34.866666666666667"/>
    <d v="2014-06-20T00:00:00"/>
    <x v="11"/>
    <s v="MRCS"/>
    <s v="Kachin"/>
    <s v="Myitkyina"/>
    <s v="Tat Kone Emanuel Church"/>
    <m/>
    <m/>
    <m/>
    <m/>
    <m/>
    <m/>
    <m/>
    <m/>
    <m/>
    <m/>
    <m/>
    <m/>
    <m/>
    <n v="16"/>
    <m/>
    <m/>
    <m/>
    <n v="0"/>
    <n v="0"/>
    <n v="0"/>
    <n v="0"/>
    <n v="0"/>
    <n v="0"/>
    <n v="0"/>
    <n v="0"/>
    <n v="0"/>
    <n v="0"/>
    <n v="0"/>
    <n v="0"/>
    <n v="0"/>
    <n v="0"/>
    <n v="1"/>
    <n v="0"/>
    <n v="0"/>
    <n v="0"/>
    <s v="MMR001CMP004"/>
    <x v="0"/>
    <x v="0"/>
    <s v="P4"/>
    <n v="0"/>
    <m/>
  </r>
  <r>
    <n v="34.833333333333336"/>
    <d v="2014-06-21T00:00:00"/>
    <x v="11"/>
    <s v="MRCS"/>
    <s v="Kachin"/>
    <s v="Myitkyina"/>
    <s v="Du Kahtawng Qtr. 14"/>
    <m/>
    <m/>
    <m/>
    <m/>
    <m/>
    <m/>
    <m/>
    <m/>
    <m/>
    <m/>
    <m/>
    <m/>
    <m/>
    <n v="12"/>
    <m/>
    <m/>
    <m/>
    <n v="0"/>
    <n v="0"/>
    <n v="0"/>
    <n v="0"/>
    <n v="0"/>
    <n v="0"/>
    <n v="0"/>
    <n v="0"/>
    <n v="0"/>
    <n v="0"/>
    <n v="0"/>
    <n v="0"/>
    <n v="0"/>
    <n v="0"/>
    <n v="1"/>
    <n v="0"/>
    <n v="0"/>
    <n v="0"/>
    <s v="MMR001CMP012"/>
    <x v="0"/>
    <x v="0"/>
    <s v="P4"/>
    <n v="0"/>
    <m/>
  </r>
  <r>
    <n v="34.833333333333336"/>
    <d v="2014-06-21T00:00:00"/>
    <x v="11"/>
    <s v="MRCS"/>
    <s v="Kachin"/>
    <s v="Myitkyina"/>
    <s v="Du Kahtawng Qtr. 4"/>
    <m/>
    <m/>
    <m/>
    <m/>
    <m/>
    <m/>
    <m/>
    <m/>
    <m/>
    <m/>
    <m/>
    <m/>
    <m/>
    <n v="12"/>
    <m/>
    <m/>
    <m/>
    <n v="0"/>
    <n v="0"/>
    <n v="0"/>
    <n v="0"/>
    <n v="0"/>
    <n v="0"/>
    <n v="0"/>
    <n v="0"/>
    <n v="0"/>
    <n v="0"/>
    <n v="0"/>
    <n v="0"/>
    <n v="0"/>
    <n v="0"/>
    <n v="1"/>
    <n v="0"/>
    <n v="0"/>
    <n v="0"/>
    <s v="MMR001CMP010"/>
    <x v="0"/>
    <x v="0"/>
    <s v="P4"/>
    <n v="0"/>
    <m/>
  </r>
  <r>
    <n v="34.833333333333336"/>
    <d v="2014-06-21T00:00:00"/>
    <x v="11"/>
    <s v="MRCS"/>
    <s v="Kachin"/>
    <s v="Myitkyina"/>
    <s v="Du Kahtawng Qtr. 5"/>
    <m/>
    <m/>
    <m/>
    <m/>
    <m/>
    <m/>
    <m/>
    <m/>
    <m/>
    <m/>
    <m/>
    <m/>
    <m/>
    <n v="16"/>
    <m/>
    <m/>
    <m/>
    <n v="0"/>
    <n v="0"/>
    <n v="0"/>
    <n v="0"/>
    <n v="0"/>
    <n v="0"/>
    <n v="0"/>
    <n v="0"/>
    <n v="0"/>
    <n v="0"/>
    <n v="0"/>
    <n v="0"/>
    <n v="0"/>
    <n v="0"/>
    <n v="1"/>
    <n v="0"/>
    <n v="0"/>
    <n v="0"/>
    <s v="MMR001CMP011"/>
    <x v="0"/>
    <x v="0"/>
    <s v="P4"/>
    <n v="0"/>
    <m/>
  </r>
  <r>
    <n v="34.766666666666666"/>
    <d v="2014-06-23T00:00:00"/>
    <x v="11"/>
    <s v="MRCS"/>
    <s v="Kachin"/>
    <s v="Myitkyina"/>
    <s v="Tat Kone San Pya Baptist Church"/>
    <m/>
    <m/>
    <m/>
    <m/>
    <m/>
    <m/>
    <m/>
    <m/>
    <m/>
    <m/>
    <m/>
    <m/>
    <m/>
    <n v="88"/>
    <m/>
    <m/>
    <m/>
    <n v="0"/>
    <n v="0"/>
    <n v="0"/>
    <n v="0"/>
    <n v="0"/>
    <n v="0"/>
    <n v="0"/>
    <n v="0"/>
    <n v="0"/>
    <n v="0"/>
    <n v="0"/>
    <n v="0"/>
    <n v="0"/>
    <n v="0"/>
    <n v="1"/>
    <n v="0"/>
    <n v="0"/>
    <n v="0"/>
    <s v="MMR001CMP005"/>
    <x v="0"/>
    <x v="0"/>
    <s v="P4"/>
    <n v="0"/>
    <m/>
  </r>
  <r>
    <n v="34.733333333333334"/>
    <d v="2014-06-24T00:00:00"/>
    <x v="11"/>
    <s v="MRCS"/>
    <s v="Kachin"/>
    <s v="Myitkyina"/>
    <s v="Maw Hpawng Hka Nan Baptist Church"/>
    <m/>
    <m/>
    <m/>
    <m/>
    <m/>
    <m/>
    <m/>
    <m/>
    <m/>
    <m/>
    <m/>
    <m/>
    <m/>
    <n v="44"/>
    <m/>
    <m/>
    <m/>
    <n v="0"/>
    <n v="0"/>
    <n v="0"/>
    <n v="0"/>
    <n v="0"/>
    <n v="0"/>
    <n v="0"/>
    <n v="0"/>
    <n v="0"/>
    <n v="0"/>
    <n v="0"/>
    <n v="0"/>
    <n v="0"/>
    <n v="0"/>
    <n v="1"/>
    <n v="0"/>
    <n v="0"/>
    <n v="0"/>
    <s v="MMR001CMP020"/>
    <x v="0"/>
    <x v="0"/>
    <s v="P4"/>
    <n v="0"/>
    <m/>
  </r>
  <r>
    <n v="34.799999999999997"/>
    <d v="2014-06-22T00:00:00"/>
    <x v="11"/>
    <s v="MRCS"/>
    <s v="Kachin"/>
    <s v="Momauk"/>
    <s v="Momauk Catholic Church (St. Patrick)"/>
    <m/>
    <m/>
    <m/>
    <m/>
    <m/>
    <m/>
    <m/>
    <m/>
    <m/>
    <m/>
    <m/>
    <m/>
    <m/>
    <n v="462"/>
    <m/>
    <m/>
    <m/>
    <n v="0"/>
    <n v="0"/>
    <n v="0"/>
    <n v="0"/>
    <n v="0"/>
    <n v="0"/>
    <n v="0"/>
    <n v="0"/>
    <n v="0"/>
    <n v="0"/>
    <n v="0"/>
    <n v="0"/>
    <n v="0"/>
    <n v="0"/>
    <n v="1"/>
    <n v="0"/>
    <n v="0"/>
    <n v="0"/>
    <s v="MMR001CMP057"/>
    <x v="0"/>
    <x v="1"/>
    <s v="P4"/>
    <n v="0"/>
    <m/>
  </r>
  <r>
    <n v="34.733333333333334"/>
    <d v="2014-06-24T00:00:00"/>
    <x v="11"/>
    <s v="MRCS"/>
    <s v="Kachin"/>
    <s v="Myitkyina"/>
    <s v="Maw Hpawng Lhaovo Baptist Church"/>
    <m/>
    <m/>
    <m/>
    <m/>
    <m/>
    <m/>
    <m/>
    <m/>
    <m/>
    <m/>
    <m/>
    <m/>
    <m/>
    <n v="28"/>
    <m/>
    <m/>
    <m/>
    <n v="0"/>
    <n v="0"/>
    <n v="0"/>
    <n v="0"/>
    <n v="0"/>
    <n v="0"/>
    <n v="0"/>
    <n v="0"/>
    <n v="0"/>
    <n v="0"/>
    <n v="0"/>
    <n v="0"/>
    <n v="0"/>
    <n v="0"/>
    <n v="1"/>
    <n v="0"/>
    <n v="0"/>
    <n v="0"/>
    <s v="MMR001CMP021"/>
    <x v="0"/>
    <x v="0"/>
    <s v="P4"/>
    <n v="0"/>
    <m/>
  </r>
  <r>
    <n v="34.700000000000003"/>
    <d v="2014-06-25T00:00:00"/>
    <x v="11"/>
    <s v="MRCS"/>
    <s v="Kachin"/>
    <s v="Momauk"/>
    <s v="Momauk Baptist Church"/>
    <m/>
    <m/>
    <m/>
    <m/>
    <m/>
    <m/>
    <m/>
    <m/>
    <m/>
    <m/>
    <m/>
    <m/>
    <m/>
    <n v="832"/>
    <m/>
    <m/>
    <m/>
    <n v="0"/>
    <n v="0"/>
    <n v="0"/>
    <n v="0"/>
    <n v="0"/>
    <n v="0"/>
    <n v="0"/>
    <n v="0"/>
    <n v="0"/>
    <n v="0"/>
    <n v="0"/>
    <n v="0"/>
    <n v="0"/>
    <n v="0"/>
    <n v="1"/>
    <n v="0"/>
    <n v="0"/>
    <n v="0"/>
    <s v="MMR001CMP056"/>
    <x v="0"/>
    <x v="0"/>
    <s v="P4"/>
    <n v="0"/>
    <m/>
  </r>
  <r>
    <n v="34.5"/>
    <d v="2014-07-01T00:00:00"/>
    <x v="0"/>
    <m/>
    <s v="Kachin"/>
    <s v="Mansi"/>
    <s v="Maing Khaung"/>
    <m/>
    <m/>
    <m/>
    <m/>
    <n v="19"/>
    <m/>
    <n v="19"/>
    <m/>
    <m/>
    <n v="100"/>
    <m/>
    <m/>
    <m/>
    <m/>
    <m/>
    <m/>
    <m/>
    <n v="0"/>
    <n v="0"/>
    <n v="0"/>
    <n v="0"/>
    <n v="0"/>
    <n v="0"/>
    <n v="0"/>
    <n v="0"/>
    <n v="0"/>
    <n v="0"/>
    <n v="0"/>
    <n v="0"/>
    <n v="0"/>
    <n v="0"/>
    <n v="0"/>
    <n v="0"/>
    <n v="0"/>
    <n v="0"/>
    <s v="MMR001CMP218"/>
    <x v="0"/>
    <x v="0"/>
    <s v="P4"/>
    <n v="4.5730239722730338E-4"/>
    <m/>
  </r>
  <r>
    <n v="34.43333333333333"/>
    <d v="2014-07-03T00:00:00"/>
    <x v="0"/>
    <m/>
    <s v="Kachin"/>
    <s v="Mansi"/>
    <s v="Maing Khaung"/>
    <m/>
    <m/>
    <m/>
    <m/>
    <m/>
    <n v="9"/>
    <m/>
    <m/>
    <n v="19"/>
    <n v="1"/>
    <m/>
    <m/>
    <m/>
    <m/>
    <m/>
    <m/>
    <m/>
    <n v="0"/>
    <n v="0"/>
    <n v="0"/>
    <n v="0"/>
    <n v="0"/>
    <n v="0"/>
    <n v="0"/>
    <n v="0"/>
    <n v="0"/>
    <n v="0"/>
    <n v="0"/>
    <n v="0"/>
    <n v="0"/>
    <n v="0"/>
    <n v="0"/>
    <n v="0"/>
    <n v="0"/>
    <n v="0"/>
    <s v="MMR001CMP218"/>
    <x v="0"/>
    <x v="0"/>
    <s v="P4"/>
    <n v="0"/>
    <m/>
  </r>
  <r>
    <n v="34.43333333333333"/>
    <d v="2014-07-03T00:00:00"/>
    <x v="0"/>
    <m/>
    <s v="Kachin"/>
    <s v="Mansi"/>
    <s v="Maing Khaung Catholic Church"/>
    <m/>
    <m/>
    <m/>
    <n v="50"/>
    <n v="15"/>
    <m/>
    <n v="15"/>
    <m/>
    <n v="15"/>
    <n v="60"/>
    <m/>
    <m/>
    <m/>
    <m/>
    <m/>
    <m/>
    <m/>
    <n v="0"/>
    <n v="0"/>
    <n v="0"/>
    <n v="0"/>
    <n v="0"/>
    <n v="0"/>
    <n v="0"/>
    <n v="0"/>
    <n v="0"/>
    <n v="0"/>
    <n v="0"/>
    <n v="0"/>
    <n v="0"/>
    <n v="0"/>
    <n v="0"/>
    <n v="0"/>
    <n v="0"/>
    <n v="0"/>
    <s v="MMR001CMP223"/>
    <x v="0"/>
    <x v="0"/>
    <s v="P4"/>
    <n v="3.6102820833734477E-4"/>
    <m/>
  </r>
  <r>
    <n v="34.366666666666667"/>
    <d v="2014-07-05T00:00:00"/>
    <x v="11"/>
    <s v="MRCS"/>
    <s v="Kachin"/>
    <s v="Waingmaw"/>
    <s v="Waingmaw AG Church"/>
    <m/>
    <m/>
    <m/>
    <m/>
    <m/>
    <m/>
    <m/>
    <m/>
    <m/>
    <m/>
    <m/>
    <m/>
    <m/>
    <n v="124"/>
    <m/>
    <m/>
    <m/>
    <n v="0"/>
    <n v="0"/>
    <n v="0"/>
    <n v="0"/>
    <n v="0"/>
    <n v="0"/>
    <n v="0"/>
    <n v="0"/>
    <n v="0"/>
    <n v="0"/>
    <n v="0"/>
    <n v="0"/>
    <n v="0"/>
    <n v="0"/>
    <n v="1"/>
    <n v="0"/>
    <n v="0"/>
    <n v="0"/>
    <s v="MMR001CMP038"/>
    <x v="0"/>
    <x v="0"/>
    <s v="P4"/>
    <n v="0"/>
    <m/>
  </r>
  <r>
    <n v="34.233333333333334"/>
    <d v="2014-07-09T00:00:00"/>
    <x v="0"/>
    <m/>
    <s v="Kachin"/>
    <s v="Mansi"/>
    <s v="Maing Khaung"/>
    <m/>
    <m/>
    <m/>
    <m/>
    <m/>
    <n v="10"/>
    <m/>
    <m/>
    <m/>
    <m/>
    <m/>
    <m/>
    <m/>
    <m/>
    <m/>
    <m/>
    <m/>
    <n v="0"/>
    <n v="0"/>
    <n v="0"/>
    <n v="0"/>
    <n v="0"/>
    <n v="0"/>
    <n v="0"/>
    <n v="0"/>
    <n v="0"/>
    <n v="0"/>
    <n v="0"/>
    <n v="0"/>
    <n v="0"/>
    <n v="0"/>
    <n v="0"/>
    <n v="0"/>
    <n v="0"/>
    <n v="0"/>
    <s v="MMR001CMP218"/>
    <x v="0"/>
    <x v="0"/>
    <s v="P4"/>
    <n v="0"/>
    <m/>
  </r>
  <r>
    <n v="34.233333333333334"/>
    <d v="2014-07-09T00:00:00"/>
    <x v="0"/>
    <m/>
    <s v="Kachin"/>
    <s v="Mansi"/>
    <s v="Maing Khaung Catholic Church"/>
    <m/>
    <m/>
    <m/>
    <n v="35"/>
    <n v="13"/>
    <n v="70"/>
    <n v="13"/>
    <m/>
    <n v="13"/>
    <n v="25"/>
    <m/>
    <m/>
    <m/>
    <m/>
    <m/>
    <m/>
    <m/>
    <n v="0"/>
    <n v="0"/>
    <n v="0"/>
    <n v="0"/>
    <n v="0"/>
    <n v="0"/>
    <n v="0"/>
    <n v="0"/>
    <n v="0"/>
    <n v="0"/>
    <n v="0"/>
    <n v="0"/>
    <n v="0"/>
    <n v="0"/>
    <n v="0"/>
    <n v="0"/>
    <n v="0"/>
    <n v="0"/>
    <s v="MMR001CMP223"/>
    <x v="0"/>
    <x v="0"/>
    <s v="P4"/>
    <n v="3.1289111389236547E-4"/>
    <m/>
  </r>
  <r>
    <n v="33.833333333333336"/>
    <d v="2014-07-21T00:00:00"/>
    <x v="0"/>
    <m/>
    <s v="Kachin"/>
    <s v="Bhamo"/>
    <s v="Lisu Boarding-House"/>
    <m/>
    <m/>
    <m/>
    <n v="10"/>
    <n v="36"/>
    <n v="10"/>
    <n v="5"/>
    <m/>
    <n v="33"/>
    <n v="117"/>
    <m/>
    <m/>
    <m/>
    <m/>
    <m/>
    <m/>
    <m/>
    <n v="0"/>
    <n v="0"/>
    <n v="0"/>
    <n v="0"/>
    <n v="0"/>
    <n v="0"/>
    <n v="0"/>
    <n v="0"/>
    <n v="0"/>
    <n v="0"/>
    <n v="0"/>
    <n v="0"/>
    <n v="0"/>
    <n v="0"/>
    <n v="0"/>
    <n v="0"/>
    <n v="0"/>
    <n v="0"/>
    <s v="MMR001CMP049"/>
    <x v="0"/>
    <x v="0"/>
    <s v="P4"/>
    <n v="1.2286521685710776E-4"/>
    <m/>
  </r>
  <r>
    <n v="33.833333333333336"/>
    <d v="2014-07-21T00:00:00"/>
    <x v="0"/>
    <m/>
    <s v="Kachin"/>
    <s v="Momauk"/>
    <s v="Momauk Baptist Church"/>
    <m/>
    <m/>
    <m/>
    <m/>
    <n v="75"/>
    <m/>
    <m/>
    <m/>
    <m/>
    <m/>
    <m/>
    <m/>
    <m/>
    <m/>
    <m/>
    <m/>
    <m/>
    <n v="0"/>
    <n v="0"/>
    <n v="0"/>
    <n v="0"/>
    <n v="0"/>
    <n v="0"/>
    <n v="0"/>
    <n v="0"/>
    <n v="0"/>
    <n v="0"/>
    <n v="0"/>
    <n v="0"/>
    <n v="0"/>
    <n v="0"/>
    <n v="0"/>
    <n v="0"/>
    <n v="0"/>
    <n v="0"/>
    <s v="MMR001CMP056"/>
    <x v="0"/>
    <x v="0"/>
    <s v="P4"/>
    <n v="0"/>
    <m/>
  </r>
  <r>
    <n v="33.700000000000003"/>
    <d v="2014-07-25T00:00:00"/>
    <x v="0"/>
    <m/>
    <s v="Kachin"/>
    <s v="Bhamo"/>
    <s v="Lisu Boarding-House"/>
    <m/>
    <m/>
    <m/>
    <m/>
    <n v="7"/>
    <n v="3"/>
    <m/>
    <m/>
    <n v="4"/>
    <n v="9"/>
    <m/>
    <m/>
    <m/>
    <m/>
    <m/>
    <m/>
    <m/>
    <n v="0"/>
    <n v="0"/>
    <n v="0"/>
    <n v="0"/>
    <n v="0"/>
    <n v="0"/>
    <n v="0"/>
    <n v="0"/>
    <n v="0"/>
    <n v="0"/>
    <n v="0"/>
    <n v="0"/>
    <n v="0"/>
    <n v="0"/>
    <n v="0"/>
    <n v="0"/>
    <n v="0"/>
    <n v="0"/>
    <s v="MMR001CMP049"/>
    <x v="0"/>
    <x v="0"/>
    <s v="P4"/>
    <n v="0"/>
    <m/>
  </r>
  <r>
    <n v="33.56666666666667"/>
    <d v="2014-07-29T00:00:00"/>
    <x v="0"/>
    <m/>
    <s v="Kachin"/>
    <s v="Momauk"/>
    <s v="Je Yang Hka "/>
    <m/>
    <m/>
    <m/>
    <n v="254"/>
    <n v="204"/>
    <n v="254"/>
    <n v="134"/>
    <m/>
    <n v="134"/>
    <n v="608"/>
    <m/>
    <m/>
    <m/>
    <m/>
    <m/>
    <m/>
    <m/>
    <n v="0"/>
    <n v="0"/>
    <n v="0"/>
    <n v="0"/>
    <n v="0"/>
    <n v="0"/>
    <n v="0"/>
    <n v="0"/>
    <n v="0"/>
    <n v="0"/>
    <n v="0"/>
    <n v="0"/>
    <n v="0"/>
    <n v="0"/>
    <n v="0"/>
    <n v="0"/>
    <n v="0"/>
    <n v="0"/>
    <s v="MMR001CMP121"/>
    <x v="0"/>
    <x v="0"/>
    <s v="P2"/>
    <n v="3.2634373249555539E-3"/>
    <m/>
  </r>
  <r>
    <n v="33.56666666666667"/>
    <d v="2014-07-29T00:00:00"/>
    <x v="0"/>
    <m/>
    <s v="Kachin"/>
    <s v="Waingmaw"/>
    <s v="Woi Chyai "/>
    <m/>
    <m/>
    <m/>
    <n v="46"/>
    <n v="46"/>
    <n v="46"/>
    <n v="16"/>
    <m/>
    <n v="16"/>
    <n v="142"/>
    <m/>
    <m/>
    <m/>
    <m/>
    <m/>
    <m/>
    <m/>
    <n v="0"/>
    <n v="0"/>
    <n v="0"/>
    <n v="0"/>
    <n v="0"/>
    <n v="0"/>
    <n v="0"/>
    <n v="0"/>
    <n v="0"/>
    <n v="0"/>
    <n v="0"/>
    <n v="0"/>
    <n v="0"/>
    <n v="0"/>
    <n v="0"/>
    <n v="0"/>
    <n v="0"/>
    <n v="0"/>
    <s v="MMR001CMP116"/>
    <x v="0"/>
    <x v="0"/>
    <s v="P4"/>
    <n v="3.9316869394274479E-4"/>
    <m/>
  </r>
  <r>
    <n v="33.366666666666667"/>
    <d v="2014-08-04T00:00:00"/>
    <x v="0"/>
    <m/>
    <s v="Kachin"/>
    <s v="Momauk"/>
    <s v="Loi Je Catholic Church"/>
    <m/>
    <m/>
    <m/>
    <m/>
    <n v="116"/>
    <m/>
    <m/>
    <m/>
    <m/>
    <m/>
    <m/>
    <m/>
    <m/>
    <m/>
    <m/>
    <m/>
    <m/>
    <n v="0"/>
    <n v="0"/>
    <n v="0"/>
    <n v="0"/>
    <n v="0"/>
    <n v="0"/>
    <n v="0"/>
    <n v="0"/>
    <n v="0"/>
    <n v="0"/>
    <n v="0"/>
    <n v="0"/>
    <n v="0"/>
    <n v="0"/>
    <n v="0"/>
    <n v="0"/>
    <n v="0"/>
    <n v="0"/>
    <s v="MMR001CMP069"/>
    <x v="0"/>
    <x v="0"/>
    <s v="P3"/>
    <n v="0"/>
    <m/>
  </r>
  <r>
    <n v="33.366666666666667"/>
    <d v="2014-08-04T00:00:00"/>
    <x v="0"/>
    <m/>
    <s v="Kachin"/>
    <s v="Momauk"/>
    <s v="Loi Je Lisu Camp"/>
    <m/>
    <m/>
    <m/>
    <n v="84"/>
    <n v="36"/>
    <n v="84"/>
    <n v="36"/>
    <m/>
    <n v="36"/>
    <n v="180"/>
    <m/>
    <m/>
    <m/>
    <m/>
    <m/>
    <m/>
    <m/>
    <n v="0"/>
    <n v="0"/>
    <n v="0"/>
    <n v="0"/>
    <n v="0"/>
    <n v="0"/>
    <n v="0"/>
    <n v="0"/>
    <n v="0"/>
    <n v="0"/>
    <n v="0"/>
    <n v="0"/>
    <n v="0"/>
    <n v="0"/>
    <n v="0"/>
    <n v="0"/>
    <n v="0"/>
    <n v="0"/>
    <s v="MMR001CMP070"/>
    <x v="0"/>
    <x v="0"/>
    <s v="P3"/>
    <n v="8.780487804878049E-4"/>
    <m/>
  </r>
  <r>
    <n v="33.366666666666667"/>
    <d v="2014-08-04T00:00:00"/>
    <x v="0"/>
    <m/>
    <s v="Kachin"/>
    <s v="Mansi"/>
    <s v="Maing Khaung Catholic Church"/>
    <m/>
    <m/>
    <m/>
    <m/>
    <m/>
    <m/>
    <m/>
    <m/>
    <n v="2"/>
    <m/>
    <m/>
    <m/>
    <m/>
    <m/>
    <m/>
    <m/>
    <m/>
    <n v="0"/>
    <n v="0"/>
    <n v="0"/>
    <n v="0"/>
    <n v="0"/>
    <n v="0"/>
    <n v="0"/>
    <n v="0"/>
    <n v="0"/>
    <n v="0"/>
    <n v="0"/>
    <n v="0"/>
    <n v="0"/>
    <n v="0"/>
    <n v="0"/>
    <n v="0"/>
    <n v="0"/>
    <n v="0"/>
    <s v="MMR001CMP223"/>
    <x v="0"/>
    <x v="0"/>
    <s v="P4"/>
    <n v="0"/>
    <m/>
  </r>
  <r>
    <n v="33.366666666666667"/>
    <d v="2014-08-04T00:00:00"/>
    <x v="0"/>
    <m/>
    <s v="Kachin"/>
    <s v="Bhamo"/>
    <m/>
    <m/>
    <m/>
    <m/>
    <m/>
    <n v="5"/>
    <m/>
    <m/>
    <m/>
    <m/>
    <m/>
    <m/>
    <m/>
    <m/>
    <m/>
    <m/>
    <m/>
    <m/>
    <n v="0"/>
    <n v="0"/>
    <n v="0"/>
    <n v="0"/>
    <n v="0"/>
    <n v="0"/>
    <n v="0"/>
    <n v="0"/>
    <n v="0"/>
    <n v="0"/>
    <n v="0"/>
    <n v="0"/>
    <n v="0"/>
    <n v="0"/>
    <n v="0"/>
    <n v="0"/>
    <n v="0"/>
    <n v="0"/>
    <s v=""/>
    <x v="1"/>
    <x v="2"/>
    <s v=""/>
    <s v=""/>
    <m/>
  </r>
  <r>
    <n v="33.266666666666666"/>
    <d v="2014-08-07T00:00:00"/>
    <x v="0"/>
    <s v="Shalom"/>
    <s v="Kachin"/>
    <s v="Chipwi"/>
    <s v="Lhaovao Baptist Church (LBC)"/>
    <m/>
    <m/>
    <n v="50"/>
    <n v="25"/>
    <n v="50"/>
    <n v="25"/>
    <m/>
    <n v="25"/>
    <n v="125"/>
    <m/>
    <m/>
    <m/>
    <m/>
    <m/>
    <m/>
    <m/>
    <m/>
    <n v="0"/>
    <n v="0"/>
    <n v="0"/>
    <n v="0"/>
    <n v="0"/>
    <n v="0"/>
    <n v="0"/>
    <n v="0"/>
    <n v="0"/>
    <n v="0"/>
    <n v="0"/>
    <n v="0"/>
    <n v="0"/>
    <n v="0"/>
    <n v="0"/>
    <n v="0"/>
    <n v="0"/>
    <n v="0"/>
    <s v="MMR001CMP195"/>
    <x v="0"/>
    <x v="0"/>
    <s v="P1"/>
    <n v="0"/>
    <m/>
  </r>
  <r>
    <n v="33.266666666666666"/>
    <d v="2014-08-07T00:00:00"/>
    <x v="0"/>
    <s v="Shalom"/>
    <s v="Kachin"/>
    <s v="Waingmaw"/>
    <s v="Qtr. 2 Lhaovo Baptist Church"/>
    <m/>
    <m/>
    <n v="24"/>
    <n v="12"/>
    <n v="24"/>
    <n v="12"/>
    <m/>
    <n v="12"/>
    <n v="60"/>
    <m/>
    <m/>
    <m/>
    <m/>
    <m/>
    <m/>
    <m/>
    <m/>
    <n v="0"/>
    <n v="0"/>
    <n v="0"/>
    <n v="0"/>
    <n v="0"/>
    <n v="0"/>
    <n v="0"/>
    <n v="0"/>
    <n v="0"/>
    <n v="0"/>
    <n v="0"/>
    <n v="0"/>
    <n v="0"/>
    <n v="0"/>
    <n v="0"/>
    <n v="0"/>
    <n v="0"/>
    <n v="0"/>
    <s v="MMR001CMP032"/>
    <x v="0"/>
    <x v="0"/>
    <s v="P4"/>
    <n v="0"/>
    <m/>
  </r>
  <r>
    <n v="33.166666666666664"/>
    <d v="2014-08-10T00:00:00"/>
    <x v="0"/>
    <m/>
    <s v="Kachin"/>
    <s v="Momauk"/>
    <s v="Pa Kahtawng "/>
    <m/>
    <m/>
    <m/>
    <n v="100"/>
    <n v="52"/>
    <n v="156"/>
    <n v="40"/>
    <m/>
    <n v="52"/>
    <n v="210"/>
    <m/>
    <m/>
    <m/>
    <m/>
    <m/>
    <m/>
    <m/>
    <n v="0"/>
    <n v="0"/>
    <n v="0"/>
    <n v="0"/>
    <n v="0"/>
    <n v="0"/>
    <n v="0"/>
    <n v="0"/>
    <n v="0"/>
    <n v="0"/>
    <n v="0"/>
    <n v="0"/>
    <n v="0"/>
    <n v="0"/>
    <n v="0"/>
    <n v="0"/>
    <n v="0"/>
    <n v="0"/>
    <s v="MMR001CMP126"/>
    <x v="0"/>
    <x v="0"/>
    <s v="P2"/>
    <n v="9.7560975609756097E-4"/>
    <m/>
  </r>
  <r>
    <n v="32.43333333333333"/>
    <d v="2014-09-01T00:00:00"/>
    <x v="10"/>
    <m/>
    <s v="Kachin"/>
    <s v="Waingmaw"/>
    <s v="Hkau Shau (BP 12)"/>
    <m/>
    <m/>
    <m/>
    <m/>
    <m/>
    <m/>
    <m/>
    <m/>
    <m/>
    <m/>
    <m/>
    <n v="407"/>
    <m/>
    <m/>
    <m/>
    <m/>
    <m/>
    <n v="0"/>
    <n v="0"/>
    <n v="0"/>
    <n v="0"/>
    <n v="0"/>
    <n v="0"/>
    <n v="0"/>
    <n v="0"/>
    <n v="0"/>
    <n v="0"/>
    <n v="0"/>
    <n v="0"/>
    <n v="0"/>
    <n v="0"/>
    <n v="1"/>
    <n v="0"/>
    <n v="0"/>
    <n v="0"/>
    <s v="MMR001CMP115"/>
    <x v="0"/>
    <x v="0"/>
    <s v="P1"/>
    <n v="0"/>
    <m/>
  </r>
  <r>
    <n v="32.43333333333333"/>
    <d v="2014-09-01T00:00:00"/>
    <x v="10"/>
    <m/>
    <s v="Kachin"/>
    <s v="Chipwi"/>
    <s v="Hpare Hkyer - BP6"/>
    <m/>
    <m/>
    <m/>
    <m/>
    <m/>
    <m/>
    <m/>
    <m/>
    <m/>
    <m/>
    <m/>
    <n v="347"/>
    <m/>
    <m/>
    <m/>
    <m/>
    <m/>
    <n v="0"/>
    <n v="0"/>
    <n v="0"/>
    <n v="0"/>
    <n v="0"/>
    <n v="0"/>
    <n v="0"/>
    <n v="0"/>
    <n v="0"/>
    <n v="0"/>
    <n v="0"/>
    <n v="0"/>
    <n v="0"/>
    <n v="0"/>
    <n v="1"/>
    <n v="0"/>
    <n v="0"/>
    <n v="0"/>
    <s v="MMR001CMP043"/>
    <x v="0"/>
    <x v="0"/>
    <s v="P1"/>
    <n v="0"/>
    <m/>
  </r>
  <r>
    <n v="32.43333333333333"/>
    <d v="2014-09-01T00:00:00"/>
    <x v="10"/>
    <m/>
    <s v="Kachin"/>
    <s v="Waingmaw"/>
    <s v="Maga Yang "/>
    <m/>
    <m/>
    <m/>
    <m/>
    <m/>
    <m/>
    <m/>
    <m/>
    <m/>
    <m/>
    <m/>
    <n v="917"/>
    <m/>
    <m/>
    <m/>
    <m/>
    <m/>
    <n v="0"/>
    <n v="0"/>
    <n v="0"/>
    <n v="0"/>
    <n v="0"/>
    <n v="0"/>
    <n v="0"/>
    <n v="0"/>
    <n v="0"/>
    <n v="0"/>
    <n v="0"/>
    <n v="0"/>
    <n v="0"/>
    <n v="0"/>
    <n v="1"/>
    <n v="0"/>
    <n v="0"/>
    <n v="0"/>
    <s v="MMR001CMP119"/>
    <x v="0"/>
    <x v="0"/>
    <s v="P2"/>
    <n v="0"/>
    <m/>
  </r>
  <r>
    <n v="32.9"/>
    <d v="2014-08-18T00:00:00"/>
    <x v="0"/>
    <m/>
    <s v="Kachin"/>
    <s v="Mansi"/>
    <s v="Bum Tsit Pa Camp II"/>
    <m/>
    <m/>
    <m/>
    <m/>
    <n v="70"/>
    <m/>
    <m/>
    <m/>
    <m/>
    <m/>
    <m/>
    <m/>
    <m/>
    <m/>
    <m/>
    <m/>
    <m/>
    <n v="0"/>
    <n v="0"/>
    <n v="0"/>
    <n v="0"/>
    <n v="0"/>
    <n v="0"/>
    <n v="0"/>
    <n v="0"/>
    <n v="0"/>
    <n v="0"/>
    <n v="0"/>
    <n v="0"/>
    <n v="0"/>
    <n v="0"/>
    <n v="0"/>
    <n v="0"/>
    <n v="0"/>
    <n v="0"/>
    <s v="MMR001CMP226"/>
    <x v="0"/>
    <x v="1"/>
    <s v="P2"/>
    <n v="0"/>
    <m/>
  </r>
  <r>
    <n v="32.43333333333333"/>
    <d v="2014-09-01T00:00:00"/>
    <x v="10"/>
    <m/>
    <s v="Kachin"/>
    <s v="Waingmaw"/>
    <s v="Pajau - Jan Mai"/>
    <m/>
    <m/>
    <m/>
    <m/>
    <m/>
    <m/>
    <m/>
    <m/>
    <m/>
    <m/>
    <m/>
    <n v="291"/>
    <m/>
    <m/>
    <m/>
    <m/>
    <m/>
    <n v="0"/>
    <n v="0"/>
    <n v="0"/>
    <n v="0"/>
    <n v="0"/>
    <n v="0"/>
    <n v="0"/>
    <n v="0"/>
    <n v="0"/>
    <n v="0"/>
    <n v="0"/>
    <n v="0"/>
    <n v="0"/>
    <n v="0"/>
    <n v="1"/>
    <n v="0"/>
    <n v="0"/>
    <n v="0"/>
    <s v="MMR001CMP120"/>
    <x v="0"/>
    <x v="0"/>
    <s v="P1"/>
    <n v="0"/>
    <m/>
  </r>
  <r>
    <n v="32.43333333333333"/>
    <d v="2014-09-01T00:00:00"/>
    <x v="10"/>
    <m/>
    <s v="Kachin"/>
    <s v="Waingmaw"/>
    <s v="Shing Jai"/>
    <m/>
    <m/>
    <m/>
    <m/>
    <m/>
    <m/>
    <m/>
    <m/>
    <m/>
    <m/>
    <m/>
    <n v="288"/>
    <m/>
    <m/>
    <m/>
    <m/>
    <m/>
    <n v="0"/>
    <n v="0"/>
    <n v="0"/>
    <n v="0"/>
    <n v="0"/>
    <n v="0"/>
    <n v="0"/>
    <n v="0"/>
    <n v="0"/>
    <n v="0"/>
    <n v="0"/>
    <n v="0"/>
    <n v="0"/>
    <n v="0"/>
    <n v="1"/>
    <n v="0"/>
    <n v="0"/>
    <n v="0"/>
    <s v="MMR001CMP041"/>
    <x v="0"/>
    <x v="0"/>
    <s v="P1"/>
    <n v="0"/>
    <m/>
  </r>
  <r>
    <n v="31.8"/>
    <d v="2014-09-20T00:00:00"/>
    <x v="0"/>
    <m/>
    <s v="Kachin"/>
    <s v="Momauk"/>
    <s v="Pa Kahtawng "/>
    <m/>
    <m/>
    <m/>
    <n v="1238"/>
    <m/>
    <m/>
    <m/>
    <m/>
    <m/>
    <m/>
    <m/>
    <m/>
    <m/>
    <n v="1761"/>
    <m/>
    <m/>
    <m/>
    <n v="0"/>
    <n v="0"/>
    <n v="0"/>
    <n v="0"/>
    <n v="0"/>
    <n v="0"/>
    <n v="0"/>
    <n v="0"/>
    <n v="0"/>
    <n v="0"/>
    <n v="0"/>
    <n v="0"/>
    <n v="0"/>
    <n v="0"/>
    <n v="1"/>
    <n v="0"/>
    <n v="0"/>
    <n v="0"/>
    <s v="MMR001CMP126"/>
    <x v="0"/>
    <x v="0"/>
    <s v="P2"/>
    <n v="0"/>
    <m/>
  </r>
  <r>
    <n v="31.766666666666666"/>
    <d v="2014-09-21T00:00:00"/>
    <x v="0"/>
    <m/>
    <s v="Kachin"/>
    <s v="Momauk"/>
    <s v="Nhkawng Pa "/>
    <m/>
    <m/>
    <m/>
    <n v="604"/>
    <m/>
    <m/>
    <m/>
    <m/>
    <m/>
    <m/>
    <m/>
    <m/>
    <m/>
    <n v="784"/>
    <m/>
    <m/>
    <m/>
    <n v="0"/>
    <n v="0"/>
    <n v="0"/>
    <n v="0"/>
    <n v="0"/>
    <n v="0"/>
    <n v="0"/>
    <n v="0"/>
    <n v="0"/>
    <n v="0"/>
    <n v="0"/>
    <n v="0"/>
    <n v="0"/>
    <n v="0"/>
    <n v="1"/>
    <n v="0"/>
    <n v="0"/>
    <n v="0"/>
    <s v="MMR001CMP131"/>
    <x v="0"/>
    <x v="0"/>
    <s v="P1"/>
    <n v="0"/>
    <m/>
  </r>
  <r>
    <n v="31.433333333333334"/>
    <d v="2014-10-01T00:00:00"/>
    <x v="0"/>
    <s v="KMSS"/>
    <s v="Kachin"/>
    <s v="Hpakant"/>
    <s v="5 Ward RC Church(lon Khin)"/>
    <m/>
    <m/>
    <m/>
    <n v="156"/>
    <m/>
    <m/>
    <m/>
    <m/>
    <m/>
    <m/>
    <m/>
    <m/>
    <m/>
    <m/>
    <m/>
    <m/>
    <m/>
    <n v="0"/>
    <n v="0"/>
    <n v="0"/>
    <n v="0"/>
    <n v="0"/>
    <n v="0"/>
    <n v="0"/>
    <n v="0"/>
    <n v="0"/>
    <n v="0"/>
    <n v="0"/>
    <n v="0"/>
    <n v="0"/>
    <n v="0"/>
    <n v="0"/>
    <n v="0"/>
    <n v="0"/>
    <n v="0"/>
    <s v="MMR001CMP168"/>
    <x v="0"/>
    <x v="0"/>
    <s v="P4"/>
    <n v="0"/>
    <m/>
  </r>
  <r>
    <n v="32.43333333333333"/>
    <d v="2014-09-01T00:00:00"/>
    <x v="10"/>
    <m/>
    <s v="Kachin"/>
    <s v="Waingmaw"/>
    <s v="Zai Awng - Mung Ga Zup"/>
    <m/>
    <m/>
    <m/>
    <m/>
    <m/>
    <m/>
    <m/>
    <m/>
    <m/>
    <m/>
    <m/>
    <n v="905"/>
    <m/>
    <m/>
    <m/>
    <m/>
    <m/>
    <n v="0"/>
    <n v="0"/>
    <n v="0"/>
    <n v="0"/>
    <n v="0"/>
    <n v="0"/>
    <n v="0"/>
    <n v="0"/>
    <n v="0"/>
    <n v="0"/>
    <n v="0"/>
    <n v="0"/>
    <n v="0"/>
    <n v="0"/>
    <n v="1"/>
    <n v="0"/>
    <n v="0"/>
    <n v="0"/>
    <s v="MMR001CMP111"/>
    <x v="0"/>
    <x v="1"/>
    <s v="P2"/>
    <n v="0"/>
    <m/>
  </r>
  <r>
    <n v="31.433333333333334"/>
    <d v="2014-10-01T00:00:00"/>
    <x v="0"/>
    <s v="Shalom"/>
    <s v="Kachin"/>
    <s v="Hpakant"/>
    <s v="AG Church, Hmaw Si Sa"/>
    <m/>
    <m/>
    <m/>
    <n v="130"/>
    <m/>
    <m/>
    <m/>
    <m/>
    <m/>
    <m/>
    <m/>
    <m/>
    <m/>
    <m/>
    <m/>
    <m/>
    <m/>
    <n v="0"/>
    <n v="0"/>
    <n v="0"/>
    <n v="0"/>
    <n v="0"/>
    <n v="0"/>
    <n v="0"/>
    <n v="0"/>
    <n v="0"/>
    <n v="0"/>
    <n v="0"/>
    <n v="0"/>
    <n v="0"/>
    <n v="0"/>
    <n v="0"/>
    <n v="0"/>
    <n v="0"/>
    <n v="0"/>
    <s v="MMR001CMP176"/>
    <x v="0"/>
    <x v="0"/>
    <s v="P4"/>
    <n v="0"/>
    <m/>
  </r>
  <r>
    <n v="31.433333333333334"/>
    <d v="2014-10-01T00:00:00"/>
    <x v="0"/>
    <s v="Shalom"/>
    <s v="Kachin"/>
    <s v="Hpakant"/>
    <s v="AG Church, Maw Wan"/>
    <m/>
    <m/>
    <m/>
    <n v="30"/>
    <m/>
    <m/>
    <m/>
    <m/>
    <m/>
    <m/>
    <m/>
    <m/>
    <m/>
    <m/>
    <m/>
    <m/>
    <m/>
    <n v="0"/>
    <n v="0"/>
    <n v="0"/>
    <n v="0"/>
    <n v="0"/>
    <n v="0"/>
    <n v="0"/>
    <n v="0"/>
    <n v="0"/>
    <n v="0"/>
    <n v="0"/>
    <n v="0"/>
    <n v="0"/>
    <n v="0"/>
    <n v="0"/>
    <n v="0"/>
    <n v="0"/>
    <n v="0"/>
    <s v="MMR001CMP190"/>
    <x v="0"/>
    <x v="0"/>
    <s v="P4"/>
    <n v="0"/>
    <m/>
  </r>
  <r>
    <n v="31.433333333333334"/>
    <d v="2014-10-01T00:00:00"/>
    <x v="0"/>
    <s v="Shalom"/>
    <s v="Kachin"/>
    <s v="Hpakant"/>
    <s v="Baptist Church, Naung Hmee VT"/>
    <m/>
    <m/>
    <m/>
    <n v="30"/>
    <m/>
    <m/>
    <m/>
    <m/>
    <m/>
    <m/>
    <m/>
    <m/>
    <m/>
    <m/>
    <m/>
    <m/>
    <m/>
    <n v="0"/>
    <n v="0"/>
    <n v="0"/>
    <n v="0"/>
    <n v="0"/>
    <n v="0"/>
    <n v="0"/>
    <n v="0"/>
    <n v="0"/>
    <n v="0"/>
    <n v="0"/>
    <n v="0"/>
    <n v="0"/>
    <n v="0"/>
    <n v="0"/>
    <n v="0"/>
    <n v="0"/>
    <n v="0"/>
    <s v="MMR001CMP188"/>
    <x v="0"/>
    <x v="1"/>
    <s v="P4"/>
    <s v=""/>
    <m/>
  </r>
  <r>
    <n v="31.433333333333334"/>
    <d v="2014-10-01T00:00:00"/>
    <x v="0"/>
    <s v="Shalom"/>
    <s v="Kachin"/>
    <s v="Myitkyina"/>
    <s v="Myay Myint Baptist Church"/>
    <m/>
    <m/>
    <m/>
    <n v="24"/>
    <m/>
    <m/>
    <m/>
    <m/>
    <m/>
    <m/>
    <m/>
    <m/>
    <m/>
    <m/>
    <m/>
    <m/>
    <m/>
    <n v="0"/>
    <n v="0"/>
    <n v="0"/>
    <n v="0"/>
    <n v="0"/>
    <n v="0"/>
    <n v="0"/>
    <n v="0"/>
    <n v="0"/>
    <n v="0"/>
    <n v="0"/>
    <n v="0"/>
    <n v="0"/>
    <n v="0"/>
    <n v="0"/>
    <n v="0"/>
    <n v="0"/>
    <n v="0"/>
    <s v="MMR001CMP017"/>
    <x v="0"/>
    <x v="1"/>
    <s v="P4"/>
    <n v="0"/>
    <m/>
  </r>
  <r>
    <n v="31.433333333333334"/>
    <d v="2014-10-01T00:00:00"/>
    <x v="0"/>
    <s v="Shalom"/>
    <s v="Kachin"/>
    <s v="Hpakant"/>
    <s v="Chin Church, Seik Mu"/>
    <m/>
    <m/>
    <m/>
    <n v="8"/>
    <m/>
    <m/>
    <m/>
    <m/>
    <m/>
    <m/>
    <m/>
    <m/>
    <m/>
    <m/>
    <m/>
    <m/>
    <m/>
    <n v="0"/>
    <n v="0"/>
    <n v="0"/>
    <n v="0"/>
    <n v="0"/>
    <n v="0"/>
    <n v="0"/>
    <n v="0"/>
    <n v="0"/>
    <n v="0"/>
    <n v="0"/>
    <n v="0"/>
    <n v="0"/>
    <n v="0"/>
    <n v="0"/>
    <n v="0"/>
    <n v="0"/>
    <n v="0"/>
    <s v="MMR001CMP109"/>
    <x v="0"/>
    <x v="0"/>
    <s v="P4"/>
    <n v="0"/>
    <m/>
  </r>
  <r>
    <n v="31.433333333333334"/>
    <d v="2014-10-01T00:00:00"/>
    <x v="0"/>
    <s v="Shalom"/>
    <s v="Kachin"/>
    <s v="Chipwi"/>
    <s v="Chipwi KBC camp"/>
    <m/>
    <m/>
    <m/>
    <n v="214"/>
    <m/>
    <m/>
    <m/>
    <m/>
    <m/>
    <m/>
    <m/>
    <m/>
    <m/>
    <n v="214"/>
    <m/>
    <m/>
    <m/>
    <n v="0"/>
    <n v="0"/>
    <n v="0"/>
    <n v="0"/>
    <n v="0"/>
    <n v="0"/>
    <n v="0"/>
    <n v="0"/>
    <n v="0"/>
    <n v="0"/>
    <n v="0"/>
    <n v="0"/>
    <n v="0"/>
    <n v="0"/>
    <n v="1"/>
    <n v="0"/>
    <n v="0"/>
    <n v="0"/>
    <s v="MMR001CMP042"/>
    <x v="0"/>
    <x v="0"/>
    <s v="P1"/>
    <n v="0"/>
    <m/>
  </r>
  <r>
    <n v="31.433333333333334"/>
    <d v="2014-10-01T00:00:00"/>
    <x v="0"/>
    <s v="Shalom"/>
    <s v="Kachin"/>
    <s v="Hpakant"/>
    <s v="Dhama Rakhita, Nyein Chan Tar Yar Ward(Lon Khin)"/>
    <m/>
    <m/>
    <m/>
    <n v="130"/>
    <m/>
    <m/>
    <m/>
    <m/>
    <m/>
    <m/>
    <m/>
    <m/>
    <m/>
    <m/>
    <m/>
    <m/>
    <m/>
    <n v="0"/>
    <n v="0"/>
    <n v="0"/>
    <n v="0"/>
    <n v="0"/>
    <n v="0"/>
    <n v="0"/>
    <n v="0"/>
    <n v="0"/>
    <n v="0"/>
    <n v="0"/>
    <n v="0"/>
    <n v="0"/>
    <n v="0"/>
    <n v="0"/>
    <n v="0"/>
    <n v="0"/>
    <n v="0"/>
    <s v="MMR001CMP174"/>
    <x v="0"/>
    <x v="0"/>
    <s v="P4"/>
    <n v="0"/>
    <m/>
  </r>
  <r>
    <n v="31.433333333333334"/>
    <d v="2014-10-01T00:00:00"/>
    <x v="0"/>
    <s v="KMSS"/>
    <s v="Kachin"/>
    <s v="Momauk"/>
    <s v="Dum Bung "/>
    <m/>
    <m/>
    <m/>
    <n v="238"/>
    <m/>
    <m/>
    <m/>
    <m/>
    <m/>
    <m/>
    <m/>
    <m/>
    <m/>
    <n v="238"/>
    <m/>
    <m/>
    <m/>
    <n v="0"/>
    <n v="0"/>
    <n v="0"/>
    <n v="0"/>
    <n v="0"/>
    <n v="0"/>
    <n v="0"/>
    <n v="0"/>
    <n v="0"/>
    <n v="0"/>
    <n v="0"/>
    <n v="0"/>
    <n v="0"/>
    <n v="0"/>
    <n v="1"/>
    <n v="0"/>
    <n v="0"/>
    <n v="0"/>
    <s v="MMR001CMP123"/>
    <x v="0"/>
    <x v="0"/>
    <s v="P2"/>
    <n v="0"/>
    <m/>
  </r>
  <r>
    <n v="31.433333333333334"/>
    <d v="2014-10-01T00:00:00"/>
    <x v="0"/>
    <s v="Shalom"/>
    <s v="Kachin"/>
    <s v="Waingmaw"/>
    <s v="Hkat Cho "/>
    <m/>
    <m/>
    <m/>
    <n v="268"/>
    <m/>
    <m/>
    <m/>
    <m/>
    <m/>
    <m/>
    <m/>
    <m/>
    <m/>
    <m/>
    <m/>
    <m/>
    <m/>
    <n v="0"/>
    <n v="0"/>
    <n v="0"/>
    <n v="0"/>
    <n v="0"/>
    <n v="0"/>
    <n v="0"/>
    <n v="0"/>
    <n v="0"/>
    <n v="0"/>
    <n v="0"/>
    <n v="0"/>
    <n v="0"/>
    <n v="0"/>
    <n v="0"/>
    <n v="0"/>
    <n v="0"/>
    <n v="0"/>
    <s v="MMR001CMP028"/>
    <x v="0"/>
    <x v="0"/>
    <s v="P4"/>
    <n v="0"/>
    <m/>
  </r>
  <r>
    <n v="31.433333333333334"/>
    <d v="2014-10-01T00:00:00"/>
    <x v="0"/>
    <s v="Shalom"/>
    <s v="Kachin"/>
    <s v="Hpakant"/>
    <s v="Hmaw Wan, Anglican"/>
    <m/>
    <m/>
    <m/>
    <n v="20"/>
    <m/>
    <m/>
    <m/>
    <m/>
    <m/>
    <m/>
    <m/>
    <m/>
    <m/>
    <m/>
    <m/>
    <m/>
    <m/>
    <n v="0"/>
    <n v="0"/>
    <n v="0"/>
    <n v="0"/>
    <n v="0"/>
    <n v="0"/>
    <n v="0"/>
    <n v="0"/>
    <n v="0"/>
    <n v="0"/>
    <n v="0"/>
    <n v="0"/>
    <n v="0"/>
    <n v="0"/>
    <n v="0"/>
    <n v="0"/>
    <n v="0"/>
    <n v="0"/>
    <s v="MMR001CMP191"/>
    <x v="0"/>
    <x v="0"/>
    <s v="P4"/>
    <n v="0"/>
    <m/>
  </r>
  <r>
    <n v="31.433333333333334"/>
    <d v="2014-10-01T00:00:00"/>
    <x v="0"/>
    <s v="KMSS"/>
    <s v="Kachin"/>
    <s v="Myitkyina"/>
    <s v="Jan Mai Kawng Catholic Church"/>
    <m/>
    <m/>
    <m/>
    <n v="218"/>
    <m/>
    <m/>
    <m/>
    <m/>
    <m/>
    <m/>
    <m/>
    <m/>
    <m/>
    <m/>
    <m/>
    <m/>
    <m/>
    <n v="0"/>
    <n v="0"/>
    <n v="0"/>
    <n v="0"/>
    <n v="0"/>
    <n v="0"/>
    <n v="0"/>
    <n v="0"/>
    <n v="0"/>
    <n v="0"/>
    <n v="0"/>
    <n v="0"/>
    <n v="0"/>
    <n v="0"/>
    <n v="0"/>
    <n v="0"/>
    <n v="0"/>
    <n v="0"/>
    <s v="MMR001CMP019"/>
    <x v="0"/>
    <x v="0"/>
    <s v="P4"/>
    <n v="0"/>
    <m/>
  </r>
  <r>
    <n v="31.433333333333334"/>
    <d v="2014-10-01T00:00:00"/>
    <x v="0"/>
    <s v="Shalom"/>
    <s v="Kachin"/>
    <s v="Chipwi"/>
    <s v="Lhaovao Baptist Church (LBC)"/>
    <m/>
    <m/>
    <m/>
    <n v="278"/>
    <m/>
    <m/>
    <m/>
    <m/>
    <m/>
    <m/>
    <m/>
    <m/>
    <m/>
    <n v="278"/>
    <m/>
    <m/>
    <m/>
    <n v="0"/>
    <n v="0"/>
    <n v="0"/>
    <n v="0"/>
    <n v="0"/>
    <n v="0"/>
    <n v="0"/>
    <n v="0"/>
    <n v="0"/>
    <n v="0"/>
    <n v="0"/>
    <n v="0"/>
    <n v="0"/>
    <n v="0"/>
    <n v="1"/>
    <n v="0"/>
    <n v="0"/>
    <n v="0"/>
    <s v="MMR001CMP195"/>
    <x v="0"/>
    <x v="0"/>
    <s v="P1"/>
    <n v="0"/>
    <m/>
  </r>
  <r>
    <n v="31.433333333333334"/>
    <d v="2014-10-01T00:00:00"/>
    <x v="0"/>
    <s v="Shalom"/>
    <s v="Kachin"/>
    <s v="Hpakant"/>
    <s v="Lisu Baptist Church, Maw Shan Vil,. Seik Mu"/>
    <m/>
    <m/>
    <m/>
    <n v="40"/>
    <m/>
    <m/>
    <m/>
    <m/>
    <m/>
    <m/>
    <m/>
    <m/>
    <m/>
    <m/>
    <m/>
    <m/>
    <m/>
    <n v="0"/>
    <n v="0"/>
    <n v="0"/>
    <n v="0"/>
    <n v="0"/>
    <n v="0"/>
    <n v="0"/>
    <n v="0"/>
    <n v="0"/>
    <n v="0"/>
    <n v="0"/>
    <n v="0"/>
    <n v="0"/>
    <n v="0"/>
    <n v="0"/>
    <n v="0"/>
    <n v="0"/>
    <n v="0"/>
    <s v="MMR001CMP181"/>
    <x v="0"/>
    <x v="0"/>
    <s v="P4"/>
    <n v="0"/>
    <m/>
  </r>
  <r>
    <n v="31.433333333333334"/>
    <d v="2014-10-01T00:00:00"/>
    <x v="0"/>
    <s v="Shalom"/>
    <s v="Kachin"/>
    <s v="Hpakant"/>
    <s v="Lisu Baptist Church, Maw Wan Ward"/>
    <m/>
    <m/>
    <m/>
    <n v="16"/>
    <m/>
    <m/>
    <m/>
    <m/>
    <m/>
    <m/>
    <m/>
    <m/>
    <m/>
    <m/>
    <m/>
    <m/>
    <m/>
    <n v="0"/>
    <n v="0"/>
    <n v="0"/>
    <n v="0"/>
    <n v="0"/>
    <n v="0"/>
    <n v="0"/>
    <n v="0"/>
    <n v="0"/>
    <n v="0"/>
    <n v="0"/>
    <n v="0"/>
    <n v="0"/>
    <n v="0"/>
    <n v="0"/>
    <n v="0"/>
    <n v="0"/>
    <n v="0"/>
    <s v="MMR001CMP167"/>
    <x v="0"/>
    <x v="0"/>
    <s v="P4"/>
    <n v="0"/>
    <m/>
  </r>
  <r>
    <n v="31.433333333333334"/>
    <d v="2014-10-01T00:00:00"/>
    <x v="0"/>
    <s v="KMSS"/>
    <s v="Kachin"/>
    <s v="Waingmaw"/>
    <s v="Maga Yang "/>
    <m/>
    <m/>
    <m/>
    <n v="1248"/>
    <m/>
    <m/>
    <m/>
    <m/>
    <m/>
    <m/>
    <m/>
    <m/>
    <m/>
    <n v="1248"/>
    <m/>
    <m/>
    <m/>
    <n v="0"/>
    <n v="0"/>
    <n v="0"/>
    <n v="0"/>
    <n v="0"/>
    <n v="0"/>
    <n v="0"/>
    <n v="0"/>
    <n v="0"/>
    <n v="0"/>
    <n v="0"/>
    <n v="0"/>
    <n v="0"/>
    <n v="0"/>
    <n v="1"/>
    <n v="0"/>
    <n v="0"/>
    <n v="0"/>
    <s v="MMR001CMP119"/>
    <x v="0"/>
    <x v="0"/>
    <s v="P2"/>
    <n v="0"/>
    <m/>
  </r>
  <r>
    <n v="31.433333333333334"/>
    <d v="2014-10-01T00:00:00"/>
    <x v="0"/>
    <s v="Shalom"/>
    <s v="Kachin"/>
    <s v="Waingmaw"/>
    <s v="Maina AG Church"/>
    <m/>
    <m/>
    <m/>
    <n v="286"/>
    <m/>
    <m/>
    <m/>
    <m/>
    <m/>
    <m/>
    <m/>
    <m/>
    <m/>
    <m/>
    <m/>
    <m/>
    <m/>
    <n v="0"/>
    <n v="0"/>
    <n v="0"/>
    <n v="0"/>
    <n v="0"/>
    <n v="0"/>
    <n v="0"/>
    <n v="0"/>
    <n v="0"/>
    <n v="0"/>
    <n v="0"/>
    <n v="0"/>
    <n v="0"/>
    <n v="0"/>
    <n v="0"/>
    <n v="0"/>
    <n v="0"/>
    <n v="0"/>
    <s v="MMR001CMP031"/>
    <x v="0"/>
    <x v="0"/>
    <s v="P4"/>
    <n v="0"/>
    <m/>
  </r>
  <r>
    <n v="31.433333333333334"/>
    <d v="2014-10-01T00:00:00"/>
    <x v="0"/>
    <s v="KMSS"/>
    <s v="Kachin"/>
    <s v="Waingmaw"/>
    <s v="Maina Catholic Church (St. Joseph)"/>
    <m/>
    <m/>
    <m/>
    <n v="462"/>
    <m/>
    <m/>
    <m/>
    <m/>
    <m/>
    <m/>
    <m/>
    <m/>
    <m/>
    <m/>
    <m/>
    <m/>
    <m/>
    <n v="0"/>
    <n v="0"/>
    <n v="0"/>
    <n v="0"/>
    <n v="0"/>
    <n v="0"/>
    <n v="0"/>
    <n v="0"/>
    <n v="0"/>
    <n v="0"/>
    <n v="0"/>
    <n v="0"/>
    <n v="0"/>
    <n v="0"/>
    <n v="0"/>
    <n v="0"/>
    <n v="0"/>
    <n v="0"/>
    <s v="MMR001CMP029"/>
    <x v="0"/>
    <x v="0"/>
    <s v="P4"/>
    <n v="0"/>
    <m/>
  </r>
  <r>
    <n v="31.433333333333334"/>
    <d v="2014-10-01T00:00:00"/>
    <x v="0"/>
    <s v="Shalom"/>
    <s v="Kachin"/>
    <s v="Myitkyina"/>
    <s v="Maw Hpawng Hka Nan Baptist Church"/>
    <m/>
    <m/>
    <m/>
    <n v="52"/>
    <m/>
    <m/>
    <m/>
    <m/>
    <m/>
    <m/>
    <m/>
    <m/>
    <m/>
    <m/>
    <m/>
    <m/>
    <m/>
    <n v="0"/>
    <n v="0"/>
    <n v="0"/>
    <n v="0"/>
    <n v="0"/>
    <n v="0"/>
    <n v="0"/>
    <n v="0"/>
    <n v="0"/>
    <n v="0"/>
    <n v="0"/>
    <n v="0"/>
    <n v="0"/>
    <n v="0"/>
    <n v="0"/>
    <n v="0"/>
    <n v="0"/>
    <n v="0"/>
    <s v="MMR001CMP020"/>
    <x v="0"/>
    <x v="0"/>
    <s v="P4"/>
    <n v="0"/>
    <m/>
  </r>
  <r>
    <n v="31.433333333333334"/>
    <d v="2014-10-01T00:00:00"/>
    <x v="0"/>
    <s v="Shalom"/>
    <s v="Kachin"/>
    <s v="Myitkyina"/>
    <s v="Maw Hpawng Lhaovo Baptist Church"/>
    <m/>
    <m/>
    <m/>
    <n v="42"/>
    <m/>
    <m/>
    <m/>
    <m/>
    <m/>
    <m/>
    <m/>
    <m/>
    <m/>
    <m/>
    <m/>
    <m/>
    <m/>
    <n v="0"/>
    <n v="0"/>
    <n v="0"/>
    <n v="0"/>
    <n v="0"/>
    <n v="0"/>
    <n v="0"/>
    <n v="0"/>
    <n v="0"/>
    <n v="0"/>
    <n v="0"/>
    <n v="0"/>
    <n v="0"/>
    <n v="0"/>
    <n v="0"/>
    <n v="0"/>
    <n v="0"/>
    <n v="0"/>
    <s v="MMR001CMP021"/>
    <x v="0"/>
    <x v="0"/>
    <s v="P4"/>
    <n v="0"/>
    <m/>
  </r>
  <r>
    <n v="31.433333333333334"/>
    <d v="2014-10-01T00:00:00"/>
    <x v="0"/>
    <s v="Shalom"/>
    <s v="Kachin"/>
    <s v="Hpakant"/>
    <s v="Maw Wan, Mu-yin Baptist Church"/>
    <m/>
    <m/>
    <m/>
    <n v="10"/>
    <m/>
    <m/>
    <m/>
    <m/>
    <m/>
    <m/>
    <m/>
    <m/>
    <m/>
    <m/>
    <m/>
    <m/>
    <m/>
    <n v="0"/>
    <n v="0"/>
    <n v="0"/>
    <n v="0"/>
    <n v="0"/>
    <n v="0"/>
    <n v="0"/>
    <n v="0"/>
    <n v="0"/>
    <n v="0"/>
    <n v="0"/>
    <n v="0"/>
    <n v="0"/>
    <n v="0"/>
    <n v="0"/>
    <n v="0"/>
    <n v="0"/>
    <n v="0"/>
    <s v="MMR001CMP091"/>
    <x v="0"/>
    <x v="0"/>
    <s v="P4"/>
    <n v="0"/>
    <m/>
  </r>
  <r>
    <n v="31.433333333333334"/>
    <d v="2014-10-01T00:00:00"/>
    <x v="0"/>
    <s v="Shalom"/>
    <s v="Kachin"/>
    <s v="Hpakant"/>
    <s v="Nam Ma Phyit, COC"/>
    <m/>
    <m/>
    <m/>
    <n v="36"/>
    <m/>
    <m/>
    <m/>
    <m/>
    <m/>
    <m/>
    <m/>
    <m/>
    <m/>
    <m/>
    <m/>
    <m/>
    <m/>
    <n v="0"/>
    <n v="0"/>
    <n v="0"/>
    <n v="0"/>
    <n v="0"/>
    <n v="0"/>
    <n v="0"/>
    <n v="0"/>
    <n v="0"/>
    <n v="0"/>
    <n v="0"/>
    <n v="0"/>
    <n v="0"/>
    <n v="0"/>
    <n v="0"/>
    <n v="0"/>
    <n v="0"/>
    <n v="0"/>
    <s v="MMR001CMP192"/>
    <x v="0"/>
    <x v="0"/>
    <s v="P4"/>
    <n v="0"/>
    <m/>
  </r>
  <r>
    <n v="31.433333333333334"/>
    <d v="2014-10-01T00:00:00"/>
    <x v="0"/>
    <s v="KMSS"/>
    <s v="Kachin"/>
    <s v="Myitkyina"/>
    <s v="Nan Kway St. John Catholic Church"/>
    <m/>
    <m/>
    <m/>
    <n v="144"/>
    <m/>
    <m/>
    <m/>
    <m/>
    <m/>
    <m/>
    <m/>
    <m/>
    <m/>
    <m/>
    <m/>
    <m/>
    <m/>
    <n v="0"/>
    <n v="0"/>
    <n v="0"/>
    <n v="0"/>
    <n v="0"/>
    <n v="0"/>
    <n v="0"/>
    <n v="0"/>
    <n v="0"/>
    <n v="0"/>
    <n v="0"/>
    <n v="0"/>
    <n v="0"/>
    <n v="0"/>
    <n v="0"/>
    <n v="0"/>
    <n v="0"/>
    <n v="0"/>
    <s v="MMR001CMP024"/>
    <x v="0"/>
    <x v="0"/>
    <s v="P4"/>
    <n v="0"/>
    <m/>
  </r>
  <r>
    <n v="31.433333333333334"/>
    <d v="2014-10-01T00:00:00"/>
    <x v="0"/>
    <s v="KMSS"/>
    <s v="Kachin"/>
    <s v="Hpakant"/>
    <s v="Nant Ma Hpit Catholic Church"/>
    <m/>
    <m/>
    <m/>
    <n v="80"/>
    <m/>
    <m/>
    <m/>
    <m/>
    <m/>
    <m/>
    <m/>
    <m/>
    <m/>
    <m/>
    <m/>
    <m/>
    <m/>
    <n v="0"/>
    <n v="0"/>
    <n v="0"/>
    <n v="0"/>
    <n v="0"/>
    <n v="0"/>
    <n v="0"/>
    <n v="0"/>
    <n v="0"/>
    <n v="0"/>
    <n v="0"/>
    <n v="0"/>
    <n v="0"/>
    <n v="0"/>
    <n v="0"/>
    <n v="0"/>
    <n v="0"/>
    <n v="0"/>
    <s v="MMR001CMP103"/>
    <x v="0"/>
    <x v="0"/>
    <s v="P4"/>
    <n v="0"/>
    <m/>
  </r>
  <r>
    <n v="31.433333333333334"/>
    <d v="2014-10-01T00:00:00"/>
    <x v="0"/>
    <s v="Shalom"/>
    <s v="Kachin"/>
    <s v="Waingmaw"/>
    <s v="Nawng Hee Village"/>
    <m/>
    <m/>
    <m/>
    <n v="36"/>
    <m/>
    <m/>
    <m/>
    <m/>
    <m/>
    <m/>
    <m/>
    <m/>
    <m/>
    <m/>
    <m/>
    <m/>
    <m/>
    <n v="0"/>
    <n v="0"/>
    <n v="0"/>
    <n v="0"/>
    <n v="0"/>
    <n v="0"/>
    <n v="0"/>
    <n v="0"/>
    <n v="0"/>
    <n v="0"/>
    <n v="0"/>
    <n v="0"/>
    <n v="0"/>
    <n v="0"/>
    <n v="0"/>
    <n v="0"/>
    <n v="0"/>
    <n v="0"/>
    <s v="MMR001CMP033"/>
    <x v="0"/>
    <x v="0"/>
    <s v="P4"/>
    <n v="0"/>
    <m/>
  </r>
  <r>
    <n v="31.433333333333334"/>
    <d v="2014-10-01T00:00:00"/>
    <x v="0"/>
    <s v="KMSS"/>
    <s v="Kachin"/>
    <s v="Myitkyina"/>
    <s v="Pa Dauk Myaing(Pa La Na)"/>
    <m/>
    <m/>
    <m/>
    <n v="62"/>
    <m/>
    <m/>
    <m/>
    <m/>
    <m/>
    <m/>
    <m/>
    <m/>
    <m/>
    <m/>
    <m/>
    <m/>
    <m/>
    <n v="0"/>
    <n v="0"/>
    <n v="0"/>
    <n v="0"/>
    <n v="0"/>
    <n v="0"/>
    <n v="0"/>
    <n v="0"/>
    <n v="0"/>
    <n v="0"/>
    <n v="0"/>
    <n v="0"/>
    <n v="0"/>
    <n v="0"/>
    <n v="0"/>
    <n v="0"/>
    <n v="0"/>
    <n v="0"/>
    <s v="MMR001CMP162"/>
    <x v="0"/>
    <x v="0"/>
    <s v="P4"/>
    <n v="0"/>
    <m/>
  </r>
  <r>
    <n v="31.433333333333334"/>
    <d v="2014-10-01T00:00:00"/>
    <x v="0"/>
    <s v="KMSS"/>
    <s v="Kachin"/>
    <s v="Chipwi"/>
    <s v="Pan Wa"/>
    <m/>
    <m/>
    <m/>
    <n v="130"/>
    <m/>
    <m/>
    <m/>
    <m/>
    <m/>
    <m/>
    <m/>
    <m/>
    <m/>
    <n v="130"/>
    <m/>
    <m/>
    <m/>
    <n v="0"/>
    <n v="0"/>
    <n v="0"/>
    <n v="0"/>
    <n v="0"/>
    <n v="0"/>
    <n v="0"/>
    <n v="0"/>
    <n v="0"/>
    <n v="0"/>
    <n v="0"/>
    <n v="0"/>
    <n v="0"/>
    <n v="0"/>
    <n v="1"/>
    <n v="0"/>
    <n v="0"/>
    <n v="0"/>
    <s v="MMR001CMP210"/>
    <x v="0"/>
    <x v="0"/>
    <s v="P1"/>
    <n v="0"/>
    <m/>
  </r>
  <r>
    <n v="31.433333333333334"/>
    <d v="2014-10-01T00:00:00"/>
    <x v="0"/>
    <s v="Shalom"/>
    <s v="Kachin"/>
    <s v="Waingmaw"/>
    <s v="Qtr. 2 Lhaovo Baptist Church"/>
    <m/>
    <m/>
    <m/>
    <n v="240"/>
    <m/>
    <m/>
    <m/>
    <m/>
    <m/>
    <m/>
    <m/>
    <m/>
    <m/>
    <m/>
    <m/>
    <m/>
    <m/>
    <n v="0"/>
    <n v="0"/>
    <n v="0"/>
    <n v="0"/>
    <n v="0"/>
    <n v="0"/>
    <n v="0"/>
    <n v="0"/>
    <n v="0"/>
    <n v="0"/>
    <n v="0"/>
    <n v="0"/>
    <n v="0"/>
    <n v="0"/>
    <n v="0"/>
    <n v="0"/>
    <n v="0"/>
    <n v="0"/>
    <s v="MMR001CMP032"/>
    <x v="0"/>
    <x v="0"/>
    <s v="P4"/>
    <n v="0"/>
    <m/>
  </r>
  <r>
    <n v="31.433333333333334"/>
    <d v="2014-10-01T00:00:00"/>
    <x v="0"/>
    <s v="Shalom"/>
    <s v="Kachin"/>
    <s v="Waingmaw"/>
    <s v="Qtr. 3 Mu-yin  Baptist Church"/>
    <m/>
    <m/>
    <m/>
    <n v="46"/>
    <m/>
    <m/>
    <m/>
    <m/>
    <m/>
    <m/>
    <m/>
    <m/>
    <m/>
    <m/>
    <m/>
    <m/>
    <m/>
    <n v="0"/>
    <n v="0"/>
    <n v="0"/>
    <n v="0"/>
    <n v="0"/>
    <n v="0"/>
    <n v="0"/>
    <n v="0"/>
    <n v="0"/>
    <n v="0"/>
    <n v="0"/>
    <n v="0"/>
    <n v="0"/>
    <n v="0"/>
    <n v="0"/>
    <n v="0"/>
    <n v="0"/>
    <n v="0"/>
    <s v="MMR001CMP030"/>
    <x v="0"/>
    <x v="0"/>
    <s v="P4"/>
    <n v="0"/>
    <m/>
  </r>
  <r>
    <n v="31.433333333333334"/>
    <d v="2014-10-01T00:00:00"/>
    <x v="0"/>
    <s v="Shalom"/>
    <s v="Kachin"/>
    <s v="Waingmaw"/>
    <s v="Qtr. 4 Monestry (Thargaya Thayett Taw)"/>
    <m/>
    <m/>
    <m/>
    <n v="204"/>
    <m/>
    <m/>
    <m/>
    <m/>
    <m/>
    <m/>
    <m/>
    <m/>
    <m/>
    <m/>
    <m/>
    <m/>
    <m/>
    <n v="0"/>
    <n v="0"/>
    <n v="0"/>
    <n v="0"/>
    <n v="0"/>
    <n v="0"/>
    <n v="0"/>
    <n v="0"/>
    <n v="0"/>
    <n v="0"/>
    <n v="0"/>
    <n v="0"/>
    <n v="0"/>
    <n v="0"/>
    <n v="0"/>
    <n v="0"/>
    <n v="0"/>
    <n v="0"/>
    <s v="MMR001CMP026"/>
    <x v="0"/>
    <x v="0"/>
    <s v="P4"/>
    <n v="0"/>
    <m/>
  </r>
  <r>
    <n v="31.433333333333334"/>
    <d v="2014-10-01T00:00:00"/>
    <x v="0"/>
    <s v="Shalom"/>
    <s v="Kachin"/>
    <s v="Hpakant"/>
    <s v="Rawan Baptist Church, Maw Shan Vil., Seik Mu"/>
    <m/>
    <m/>
    <m/>
    <n v="24"/>
    <m/>
    <m/>
    <m/>
    <m/>
    <m/>
    <m/>
    <m/>
    <m/>
    <m/>
    <m/>
    <m/>
    <m/>
    <m/>
    <n v="0"/>
    <n v="0"/>
    <n v="0"/>
    <n v="0"/>
    <n v="0"/>
    <n v="0"/>
    <n v="0"/>
    <n v="0"/>
    <n v="0"/>
    <n v="0"/>
    <n v="0"/>
    <n v="0"/>
    <n v="0"/>
    <n v="0"/>
    <n v="0"/>
    <n v="0"/>
    <n v="0"/>
    <n v="0"/>
    <s v="MMR001CMP182"/>
    <x v="0"/>
    <x v="0"/>
    <s v="P4"/>
    <n v="0"/>
    <m/>
  </r>
  <r>
    <n v="31.433333333333334"/>
    <d v="2014-10-01T00:00:00"/>
    <x v="0"/>
    <s v="KMSS"/>
    <s v="Kachin"/>
    <s v="Chipwi"/>
    <s v="Saw Zam"/>
    <m/>
    <m/>
    <m/>
    <n v="56"/>
    <m/>
    <m/>
    <m/>
    <m/>
    <m/>
    <m/>
    <m/>
    <m/>
    <m/>
    <n v="56"/>
    <m/>
    <m/>
    <m/>
    <n v="0"/>
    <n v="0"/>
    <n v="0"/>
    <n v="0"/>
    <n v="0"/>
    <n v="0"/>
    <n v="0"/>
    <n v="0"/>
    <n v="0"/>
    <n v="0"/>
    <n v="0"/>
    <n v="0"/>
    <n v="0"/>
    <n v="0"/>
    <n v="1"/>
    <n v="0"/>
    <n v="0"/>
    <n v="0"/>
    <s v="MMR001CMP225"/>
    <x v="0"/>
    <x v="0"/>
    <s v="P1"/>
    <n v="0"/>
    <m/>
  </r>
  <r>
    <n v="31.433333333333334"/>
    <d v="2014-10-01T00:00:00"/>
    <x v="0"/>
    <s v="Shalom"/>
    <s v="Kachin"/>
    <s v="Myitkyina"/>
    <s v="Shatapru Thida Aye Baptist Church"/>
    <m/>
    <m/>
    <m/>
    <n v="30"/>
    <m/>
    <m/>
    <m/>
    <m/>
    <m/>
    <m/>
    <m/>
    <m/>
    <m/>
    <m/>
    <m/>
    <m/>
    <m/>
    <n v="0"/>
    <n v="0"/>
    <n v="0"/>
    <n v="0"/>
    <n v="0"/>
    <n v="0"/>
    <n v="0"/>
    <n v="0"/>
    <n v="0"/>
    <n v="0"/>
    <n v="0"/>
    <n v="0"/>
    <n v="0"/>
    <n v="0"/>
    <n v="0"/>
    <n v="0"/>
    <n v="0"/>
    <n v="0"/>
    <s v="MMR001CMP007"/>
    <x v="0"/>
    <x v="0"/>
    <s v="P4"/>
    <n v="0"/>
    <m/>
  </r>
  <r>
    <n v="31.433333333333334"/>
    <d v="2014-10-01T00:00:00"/>
    <x v="0"/>
    <s v="KMSS"/>
    <s v="Kachin"/>
    <s v="Mohnyin"/>
    <s v="St. Patrick Catholic Church "/>
    <m/>
    <m/>
    <m/>
    <n v="24"/>
    <m/>
    <m/>
    <m/>
    <m/>
    <m/>
    <m/>
    <m/>
    <m/>
    <m/>
    <m/>
    <m/>
    <m/>
    <m/>
    <n v="0"/>
    <n v="0"/>
    <n v="0"/>
    <n v="0"/>
    <n v="0"/>
    <n v="0"/>
    <n v="0"/>
    <n v="0"/>
    <n v="0"/>
    <n v="0"/>
    <n v="0"/>
    <n v="0"/>
    <n v="0"/>
    <n v="0"/>
    <n v="0"/>
    <n v="0"/>
    <n v="0"/>
    <n v="0"/>
    <s v="MMR001CMP080"/>
    <x v="0"/>
    <x v="0"/>
    <s v="P4"/>
    <n v="0"/>
    <m/>
  </r>
  <r>
    <n v="31.433333333333334"/>
    <d v="2014-10-01T00:00:00"/>
    <x v="0"/>
    <s v="Shalom"/>
    <s v="Kachin"/>
    <s v="Myitkyina"/>
    <s v="Tat Kone Emanuel Church"/>
    <m/>
    <m/>
    <m/>
    <n v="26"/>
    <m/>
    <m/>
    <m/>
    <m/>
    <m/>
    <m/>
    <m/>
    <m/>
    <m/>
    <m/>
    <m/>
    <m/>
    <m/>
    <n v="0"/>
    <n v="0"/>
    <n v="0"/>
    <n v="0"/>
    <n v="0"/>
    <n v="0"/>
    <n v="0"/>
    <n v="0"/>
    <n v="0"/>
    <n v="0"/>
    <n v="0"/>
    <n v="0"/>
    <n v="0"/>
    <n v="0"/>
    <n v="0"/>
    <n v="0"/>
    <n v="0"/>
    <n v="0"/>
    <s v="MMR001CMP004"/>
    <x v="0"/>
    <x v="0"/>
    <s v="P4"/>
    <n v="0"/>
    <m/>
  </r>
  <r>
    <n v="31.433333333333334"/>
    <d v="2014-10-01T00:00:00"/>
    <x v="0"/>
    <s v="Shalom"/>
    <s v="Kachin"/>
    <s v="Waingmaw"/>
    <s v="Thargaya Lisu Baptist Church"/>
    <m/>
    <m/>
    <m/>
    <n v="144"/>
    <m/>
    <m/>
    <m/>
    <m/>
    <m/>
    <m/>
    <m/>
    <m/>
    <m/>
    <m/>
    <m/>
    <m/>
    <m/>
    <n v="0"/>
    <n v="0"/>
    <n v="0"/>
    <n v="0"/>
    <n v="0"/>
    <n v="0"/>
    <n v="0"/>
    <n v="0"/>
    <n v="0"/>
    <n v="0"/>
    <n v="0"/>
    <n v="0"/>
    <n v="0"/>
    <n v="0"/>
    <n v="0"/>
    <n v="0"/>
    <n v="0"/>
    <n v="0"/>
    <s v="MMR001CMP037"/>
    <x v="0"/>
    <x v="0"/>
    <s v="P4"/>
    <n v="0"/>
    <m/>
  </r>
  <r>
    <n v="31.433333333333334"/>
    <d v="2014-10-01T00:00:00"/>
    <x v="0"/>
    <s v="Shalom"/>
    <s v="Kachin"/>
    <s v="Waingmaw"/>
    <s v="Waingmaw AG Church"/>
    <m/>
    <m/>
    <m/>
    <n v="150"/>
    <m/>
    <m/>
    <m/>
    <m/>
    <m/>
    <m/>
    <m/>
    <m/>
    <m/>
    <m/>
    <m/>
    <m/>
    <m/>
    <n v="0"/>
    <n v="0"/>
    <n v="0"/>
    <n v="0"/>
    <n v="0"/>
    <n v="0"/>
    <n v="0"/>
    <n v="0"/>
    <n v="0"/>
    <n v="0"/>
    <n v="0"/>
    <n v="0"/>
    <n v="0"/>
    <n v="0"/>
    <n v="0"/>
    <n v="0"/>
    <n v="0"/>
    <n v="0"/>
    <s v="MMR001CMP038"/>
    <x v="0"/>
    <x v="0"/>
    <s v="P4"/>
    <n v="0"/>
    <m/>
  </r>
  <r>
    <n v="31.433333333333334"/>
    <d v="2014-10-01T00:00:00"/>
    <x v="0"/>
    <s v="Shalom"/>
    <s v="Kachin"/>
    <s v="Myitkyina"/>
    <s v="Wun Tho Buddhist Monastery"/>
    <m/>
    <m/>
    <m/>
    <n v="12"/>
    <m/>
    <m/>
    <m/>
    <m/>
    <m/>
    <m/>
    <m/>
    <m/>
    <m/>
    <m/>
    <m/>
    <m/>
    <m/>
    <n v="0"/>
    <n v="0"/>
    <n v="0"/>
    <n v="0"/>
    <n v="0"/>
    <n v="0"/>
    <n v="0"/>
    <n v="0"/>
    <n v="0"/>
    <n v="0"/>
    <n v="0"/>
    <n v="0"/>
    <n v="0"/>
    <n v="0"/>
    <n v="0"/>
    <n v="0"/>
    <n v="0"/>
    <n v="0"/>
    <s v="MMR001CMP022"/>
    <x v="0"/>
    <x v="0"/>
    <s v="P4"/>
    <n v="0"/>
    <m/>
  </r>
  <r>
    <n v="31.133333333333333"/>
    <d v="2014-10-10T00:00:00"/>
    <x v="0"/>
    <m/>
    <s v="Kachin"/>
    <s v="Momauk"/>
    <s v="Loi Je Baptist Church"/>
    <m/>
    <m/>
    <m/>
    <m/>
    <n v="60"/>
    <m/>
    <m/>
    <m/>
    <m/>
    <m/>
    <m/>
    <m/>
    <m/>
    <m/>
    <m/>
    <m/>
    <m/>
    <n v="0"/>
    <n v="0"/>
    <n v="0"/>
    <n v="0"/>
    <n v="0"/>
    <n v="0"/>
    <n v="0"/>
    <n v="0"/>
    <n v="0"/>
    <n v="0"/>
    <n v="0"/>
    <n v="0"/>
    <n v="0"/>
    <n v="0"/>
    <n v="0"/>
    <n v="0"/>
    <n v="0"/>
    <n v="0"/>
    <s v="MMR001CMP071"/>
    <x v="0"/>
    <x v="0"/>
    <s v="P3"/>
    <n v="0"/>
    <m/>
  </r>
  <r>
    <n v="31.133333333333333"/>
    <d v="2014-10-10T00:00:00"/>
    <x v="0"/>
    <m/>
    <s v="Kachin"/>
    <s v="Momauk"/>
    <s v="Loi Je Lisu Camp"/>
    <m/>
    <m/>
    <m/>
    <m/>
    <n v="30"/>
    <m/>
    <m/>
    <m/>
    <m/>
    <m/>
    <m/>
    <m/>
    <m/>
    <m/>
    <m/>
    <m/>
    <m/>
    <n v="0"/>
    <n v="0"/>
    <n v="0"/>
    <n v="0"/>
    <n v="0"/>
    <n v="0"/>
    <n v="0"/>
    <n v="0"/>
    <n v="0"/>
    <n v="0"/>
    <n v="0"/>
    <n v="0"/>
    <n v="0"/>
    <n v="0"/>
    <n v="0"/>
    <n v="0"/>
    <n v="0"/>
    <n v="0"/>
    <s v="MMR001CMP070"/>
    <x v="0"/>
    <x v="0"/>
    <s v="P3"/>
    <n v="0"/>
    <m/>
  </r>
  <r>
    <n v="31.133333333333333"/>
    <d v="2014-10-10T00:00:00"/>
    <x v="0"/>
    <m/>
    <s v="Kachin"/>
    <s v="Momauk"/>
    <s v="Nyaung Na Pin "/>
    <m/>
    <m/>
    <m/>
    <m/>
    <n v="60"/>
    <m/>
    <m/>
    <m/>
    <m/>
    <m/>
    <m/>
    <m/>
    <m/>
    <m/>
    <m/>
    <m/>
    <m/>
    <n v="0"/>
    <n v="0"/>
    <n v="0"/>
    <n v="0"/>
    <n v="0"/>
    <n v="0"/>
    <n v="0"/>
    <n v="0"/>
    <n v="0"/>
    <n v="0"/>
    <n v="0"/>
    <n v="0"/>
    <n v="0"/>
    <n v="0"/>
    <n v="0"/>
    <n v="0"/>
    <n v="0"/>
    <n v="0"/>
    <s v="MMR001CMP072"/>
    <x v="0"/>
    <x v="0"/>
    <s v="P3"/>
    <n v="0"/>
    <m/>
  </r>
  <r>
    <n v="31.066666666666666"/>
    <d v="2014-10-12T00:00:00"/>
    <x v="0"/>
    <m/>
    <s v="Kachin"/>
    <s v="Momauk"/>
    <s v="Man Bung Catholic compound"/>
    <m/>
    <m/>
    <m/>
    <m/>
    <n v="25"/>
    <m/>
    <m/>
    <m/>
    <m/>
    <m/>
    <m/>
    <m/>
    <m/>
    <m/>
    <m/>
    <m/>
    <m/>
    <n v="0"/>
    <n v="0"/>
    <n v="0"/>
    <n v="0"/>
    <n v="0"/>
    <n v="0"/>
    <n v="0"/>
    <n v="0"/>
    <n v="0"/>
    <n v="0"/>
    <n v="0"/>
    <n v="0"/>
    <n v="0"/>
    <n v="0"/>
    <n v="0"/>
    <n v="0"/>
    <n v="0"/>
    <n v="0"/>
    <s v="MMR001CMP062"/>
    <x v="0"/>
    <x v="0"/>
    <s v="P4"/>
    <n v="0"/>
    <m/>
  </r>
  <r>
    <n v="30.633333333333333"/>
    <d v="2014-10-25T00:00:00"/>
    <x v="9"/>
    <s v="MRCS"/>
    <s v="Kachin"/>
    <s v="Hpakant"/>
    <s v="5 Ward Baptist Church(lon Khin)"/>
    <m/>
    <m/>
    <m/>
    <m/>
    <m/>
    <m/>
    <m/>
    <m/>
    <m/>
    <m/>
    <n v="229"/>
    <n v="126"/>
    <m/>
    <m/>
    <m/>
    <m/>
    <m/>
    <n v="0"/>
    <n v="0"/>
    <n v="0"/>
    <n v="0"/>
    <n v="0"/>
    <n v="0"/>
    <n v="0"/>
    <n v="0"/>
    <n v="0"/>
    <n v="0"/>
    <n v="0"/>
    <n v="0"/>
    <n v="0"/>
    <n v="0"/>
    <n v="1"/>
    <n v="0"/>
    <n v="0"/>
    <n v="0"/>
    <s v="MMR001CMP179"/>
    <x v="0"/>
    <x v="1"/>
    <s v="P4"/>
    <n v="0"/>
    <m/>
  </r>
  <r>
    <n v="30.633333333333333"/>
    <d v="2014-10-25T00:00:00"/>
    <x v="9"/>
    <s v="MRCS"/>
    <s v="Kachin"/>
    <s v="Hpakant"/>
    <s v="5 Ward RC Church(lon Khin)"/>
    <m/>
    <m/>
    <m/>
    <m/>
    <m/>
    <m/>
    <m/>
    <m/>
    <m/>
    <m/>
    <n v="223"/>
    <n v="96"/>
    <m/>
    <m/>
    <m/>
    <m/>
    <m/>
    <n v="0"/>
    <n v="0"/>
    <n v="0"/>
    <n v="0"/>
    <n v="0"/>
    <n v="0"/>
    <n v="0"/>
    <n v="0"/>
    <n v="0"/>
    <n v="0"/>
    <n v="0"/>
    <n v="0"/>
    <n v="0"/>
    <n v="0"/>
    <n v="1"/>
    <n v="0"/>
    <n v="0"/>
    <n v="0"/>
    <s v="MMR001CMP168"/>
    <x v="0"/>
    <x v="0"/>
    <s v="P4"/>
    <n v="0"/>
    <m/>
  </r>
  <r>
    <n v="30.633333333333333"/>
    <d v="2014-10-25T00:00:00"/>
    <x v="9"/>
    <s v="MRCS"/>
    <s v="Kachin"/>
    <s v="Hpakant"/>
    <s v="AG Church, Hmaw Si Sa"/>
    <m/>
    <m/>
    <m/>
    <m/>
    <m/>
    <m/>
    <m/>
    <m/>
    <m/>
    <m/>
    <n v="232"/>
    <n v="105"/>
    <m/>
    <m/>
    <m/>
    <m/>
    <m/>
    <n v="0"/>
    <n v="0"/>
    <n v="0"/>
    <n v="0"/>
    <n v="0"/>
    <n v="0"/>
    <n v="0"/>
    <n v="0"/>
    <n v="0"/>
    <n v="0"/>
    <n v="0"/>
    <n v="0"/>
    <n v="0"/>
    <n v="0"/>
    <n v="1"/>
    <n v="0"/>
    <n v="0"/>
    <n v="0"/>
    <s v="MMR001CMP176"/>
    <x v="0"/>
    <x v="0"/>
    <s v="P4"/>
    <n v="0"/>
    <m/>
  </r>
  <r>
    <n v="30.633333333333333"/>
    <d v="2014-10-25T00:00:00"/>
    <x v="9"/>
    <s v="MRCS"/>
    <s v="Kachin"/>
    <s v="Hpakant"/>
    <s v="AG Church, Maw Wan"/>
    <m/>
    <m/>
    <m/>
    <m/>
    <m/>
    <m/>
    <m/>
    <m/>
    <m/>
    <m/>
    <n v="55"/>
    <n v="27"/>
    <m/>
    <m/>
    <m/>
    <m/>
    <m/>
    <n v="0"/>
    <n v="0"/>
    <n v="0"/>
    <n v="0"/>
    <n v="0"/>
    <n v="0"/>
    <n v="0"/>
    <n v="0"/>
    <n v="0"/>
    <n v="0"/>
    <n v="0"/>
    <n v="0"/>
    <n v="0"/>
    <n v="0"/>
    <n v="1"/>
    <n v="0"/>
    <n v="0"/>
    <n v="0"/>
    <s v="MMR001CMP190"/>
    <x v="0"/>
    <x v="0"/>
    <s v="P4"/>
    <n v="0"/>
    <m/>
  </r>
  <r>
    <n v="30.633333333333333"/>
    <d v="2014-10-25T00:00:00"/>
    <x v="9"/>
    <s v="MRCS"/>
    <s v="Kachin"/>
    <s v="Hpakant"/>
    <s v="Baptist Church, Naung Hmee VT"/>
    <m/>
    <m/>
    <m/>
    <m/>
    <m/>
    <m/>
    <m/>
    <m/>
    <m/>
    <m/>
    <n v="48"/>
    <n v="30"/>
    <m/>
    <m/>
    <m/>
    <m/>
    <m/>
    <n v="0"/>
    <n v="0"/>
    <n v="0"/>
    <n v="0"/>
    <n v="0"/>
    <n v="0"/>
    <n v="0"/>
    <n v="0"/>
    <n v="0"/>
    <n v="0"/>
    <n v="0"/>
    <n v="0"/>
    <n v="0"/>
    <n v="0"/>
    <n v="1"/>
    <n v="0"/>
    <n v="0"/>
    <n v="0"/>
    <s v="MMR001CMP188"/>
    <x v="0"/>
    <x v="1"/>
    <s v="P4"/>
    <s v=""/>
    <m/>
  </r>
  <r>
    <n v="30.633333333333333"/>
    <d v="2014-10-25T00:00:00"/>
    <x v="9"/>
    <s v="MRCS"/>
    <s v="Kachin"/>
    <s v="Hpakant"/>
    <s v="Baptist Church, Hmaw Si Sar(Lon Khin)"/>
    <m/>
    <m/>
    <m/>
    <m/>
    <m/>
    <m/>
    <m/>
    <m/>
    <m/>
    <m/>
    <n v="123"/>
    <n v="104"/>
    <m/>
    <m/>
    <m/>
    <m/>
    <m/>
    <n v="0"/>
    <n v="0"/>
    <n v="0"/>
    <n v="0"/>
    <n v="0"/>
    <n v="0"/>
    <n v="0"/>
    <n v="0"/>
    <n v="0"/>
    <n v="0"/>
    <n v="0"/>
    <n v="0"/>
    <n v="0"/>
    <n v="0"/>
    <n v="1"/>
    <n v="0"/>
    <n v="0"/>
    <n v="0"/>
    <s v="MMR001CMP169"/>
    <x v="0"/>
    <x v="0"/>
    <s v="P4"/>
    <n v="0"/>
    <m/>
  </r>
  <r>
    <n v="30.633333333333333"/>
    <d v="2014-10-25T00:00:00"/>
    <x v="9"/>
    <s v="MRCS"/>
    <s v="Kachin"/>
    <s v="Hpakant"/>
    <s v="Chin Church, Seik Mu"/>
    <m/>
    <m/>
    <m/>
    <m/>
    <m/>
    <m/>
    <m/>
    <m/>
    <m/>
    <m/>
    <n v="15"/>
    <n v="10"/>
    <m/>
    <m/>
    <m/>
    <m/>
    <m/>
    <n v="0"/>
    <n v="0"/>
    <n v="0"/>
    <n v="0"/>
    <n v="0"/>
    <n v="0"/>
    <n v="0"/>
    <n v="0"/>
    <n v="0"/>
    <n v="0"/>
    <n v="0"/>
    <n v="0"/>
    <n v="0"/>
    <n v="0"/>
    <n v="1"/>
    <n v="0"/>
    <n v="0"/>
    <n v="0"/>
    <s v="MMR001CMP109"/>
    <x v="0"/>
    <x v="0"/>
    <s v="P4"/>
    <n v="0"/>
    <m/>
  </r>
  <r>
    <n v="30.633333333333333"/>
    <d v="2014-10-25T00:00:00"/>
    <x v="9"/>
    <s v="MRCS"/>
    <s v="Kachin"/>
    <s v="Hpakant"/>
    <s v="Dhama Rakhita, Nyein Chan Tar Yar Ward(Lon Khin)"/>
    <m/>
    <m/>
    <m/>
    <m/>
    <m/>
    <m/>
    <m/>
    <m/>
    <m/>
    <m/>
    <n v="214"/>
    <n v="112"/>
    <m/>
    <m/>
    <m/>
    <m/>
    <m/>
    <n v="0"/>
    <n v="0"/>
    <n v="0"/>
    <n v="0"/>
    <n v="0"/>
    <n v="0"/>
    <n v="0"/>
    <n v="0"/>
    <n v="0"/>
    <n v="0"/>
    <n v="0"/>
    <n v="0"/>
    <n v="0"/>
    <n v="0"/>
    <n v="1"/>
    <n v="0"/>
    <n v="0"/>
    <n v="0"/>
    <s v="MMR001CMP174"/>
    <x v="0"/>
    <x v="0"/>
    <s v="P4"/>
    <n v="0"/>
    <m/>
  </r>
  <r>
    <n v="30.633333333333333"/>
    <d v="2014-10-25T00:00:00"/>
    <x v="9"/>
    <s v="MRCS"/>
    <s v="Kachin"/>
    <s v="Hpakant"/>
    <s v="Hlaing Naung Baptist"/>
    <m/>
    <m/>
    <m/>
    <m/>
    <m/>
    <m/>
    <m/>
    <m/>
    <m/>
    <m/>
    <n v="37"/>
    <n v="24"/>
    <m/>
    <m/>
    <m/>
    <m/>
    <m/>
    <n v="0"/>
    <n v="0"/>
    <n v="0"/>
    <n v="0"/>
    <n v="0"/>
    <n v="0"/>
    <n v="0"/>
    <n v="0"/>
    <n v="0"/>
    <n v="0"/>
    <n v="0"/>
    <n v="0"/>
    <n v="0"/>
    <n v="0"/>
    <n v="1"/>
    <n v="0"/>
    <n v="0"/>
    <n v="0"/>
    <s v="MMR001CMP148"/>
    <x v="0"/>
    <x v="0"/>
    <s v="P4"/>
    <n v="0"/>
    <m/>
  </r>
  <r>
    <n v="30.633333333333333"/>
    <d v="2014-10-25T00:00:00"/>
    <x v="9"/>
    <s v="MRCS"/>
    <s v="Kachin"/>
    <s v="Hpakant"/>
    <s v="Hmaw Wan, Anglican"/>
    <m/>
    <m/>
    <m/>
    <m/>
    <m/>
    <m/>
    <m/>
    <m/>
    <m/>
    <m/>
    <n v="33"/>
    <n v="24"/>
    <m/>
    <m/>
    <m/>
    <m/>
    <m/>
    <n v="0"/>
    <n v="0"/>
    <n v="0"/>
    <n v="0"/>
    <n v="0"/>
    <n v="0"/>
    <n v="0"/>
    <n v="0"/>
    <n v="0"/>
    <n v="0"/>
    <n v="0"/>
    <n v="0"/>
    <n v="0"/>
    <n v="0"/>
    <n v="1"/>
    <n v="0"/>
    <n v="0"/>
    <n v="0"/>
    <s v="MMR001CMP191"/>
    <x v="0"/>
    <x v="0"/>
    <s v="P4"/>
    <n v="0"/>
    <m/>
  </r>
  <r>
    <n v="30.633333333333333"/>
    <d v="2014-10-25T00:00:00"/>
    <x v="9"/>
    <s v="MRCS"/>
    <s v="Kachin"/>
    <s v="Hpakant"/>
    <s v="Hpakant Baptist Church, Nam Ma Hpit"/>
    <m/>
    <m/>
    <m/>
    <m/>
    <m/>
    <m/>
    <m/>
    <m/>
    <m/>
    <m/>
    <n v="186"/>
    <n v="125"/>
    <m/>
    <m/>
    <m/>
    <m/>
    <m/>
    <n v="0"/>
    <n v="0"/>
    <n v="0"/>
    <n v="0"/>
    <n v="0"/>
    <n v="0"/>
    <n v="0"/>
    <n v="0"/>
    <n v="0"/>
    <n v="0"/>
    <n v="0"/>
    <n v="0"/>
    <n v="0"/>
    <n v="0"/>
    <n v="1"/>
    <n v="0"/>
    <n v="0"/>
    <n v="0"/>
    <s v="MMR001CMP229"/>
    <x v="0"/>
    <x v="0"/>
    <s v="P4"/>
    <n v="0"/>
    <m/>
  </r>
  <r>
    <n v="30.633333333333333"/>
    <d v="2014-10-25T00:00:00"/>
    <x v="9"/>
    <s v="MRCS"/>
    <s v="Kachin"/>
    <s v="Hpakant"/>
    <s v="Lisu Baptist Church, Maw Shan Vil,. Seik Mu"/>
    <m/>
    <m/>
    <m/>
    <m/>
    <m/>
    <m/>
    <m/>
    <m/>
    <m/>
    <m/>
    <n v="90"/>
    <n v="39"/>
    <m/>
    <m/>
    <m/>
    <m/>
    <m/>
    <n v="0"/>
    <n v="0"/>
    <n v="0"/>
    <n v="0"/>
    <n v="0"/>
    <n v="0"/>
    <n v="0"/>
    <n v="0"/>
    <n v="0"/>
    <n v="0"/>
    <n v="0"/>
    <n v="0"/>
    <n v="0"/>
    <n v="0"/>
    <n v="1"/>
    <n v="0"/>
    <n v="0"/>
    <n v="0"/>
    <s v="MMR001CMP181"/>
    <x v="0"/>
    <x v="0"/>
    <s v="P4"/>
    <n v="0"/>
    <m/>
  </r>
  <r>
    <n v="30.633333333333333"/>
    <d v="2014-10-25T00:00:00"/>
    <x v="9"/>
    <s v="MRCS"/>
    <s v="Kachin"/>
    <s v="Hpakant"/>
    <s v="Lisu Baptist Church, Maw Wan Ward"/>
    <m/>
    <m/>
    <m/>
    <m/>
    <m/>
    <m/>
    <m/>
    <m/>
    <m/>
    <m/>
    <n v="48"/>
    <n v="23"/>
    <m/>
    <m/>
    <m/>
    <m/>
    <m/>
    <n v="0"/>
    <n v="0"/>
    <n v="0"/>
    <n v="0"/>
    <n v="0"/>
    <n v="0"/>
    <n v="0"/>
    <n v="0"/>
    <n v="0"/>
    <n v="0"/>
    <n v="0"/>
    <n v="0"/>
    <n v="0"/>
    <n v="0"/>
    <n v="1"/>
    <n v="0"/>
    <n v="0"/>
    <n v="0"/>
    <s v="MMR001CMP167"/>
    <x v="0"/>
    <x v="0"/>
    <s v="P4"/>
    <n v="0"/>
    <m/>
  </r>
  <r>
    <n v="30.633333333333333"/>
    <d v="2014-10-25T00:00:00"/>
    <x v="9"/>
    <s v="MRCS"/>
    <s v="Kachin"/>
    <s v="Momauk"/>
    <s v="Loi Je Baptist Church"/>
    <m/>
    <m/>
    <m/>
    <m/>
    <m/>
    <m/>
    <m/>
    <m/>
    <m/>
    <m/>
    <n v="112"/>
    <n v="59"/>
    <m/>
    <n v="74"/>
    <m/>
    <m/>
    <m/>
    <n v="0"/>
    <n v="0"/>
    <n v="0"/>
    <n v="0"/>
    <n v="0"/>
    <n v="0"/>
    <n v="0"/>
    <n v="0"/>
    <n v="0"/>
    <n v="0"/>
    <n v="0"/>
    <n v="0"/>
    <n v="0"/>
    <n v="0"/>
    <n v="1"/>
    <n v="0"/>
    <n v="0"/>
    <n v="0"/>
    <s v="MMR001CMP071"/>
    <x v="0"/>
    <x v="0"/>
    <s v="P3"/>
    <n v="0"/>
    <m/>
  </r>
  <r>
    <n v="30.633333333333333"/>
    <d v="2014-10-25T00:00:00"/>
    <x v="9"/>
    <s v="MRCS"/>
    <s v="Kachin"/>
    <s v="Momauk"/>
    <s v="Loi Je Catholic Church"/>
    <m/>
    <m/>
    <m/>
    <m/>
    <m/>
    <m/>
    <m/>
    <m/>
    <m/>
    <m/>
    <n v="203"/>
    <n v="102"/>
    <m/>
    <n v="138"/>
    <m/>
    <m/>
    <m/>
    <n v="0"/>
    <n v="0"/>
    <n v="0"/>
    <n v="0"/>
    <n v="0"/>
    <n v="0"/>
    <n v="0"/>
    <n v="0"/>
    <n v="0"/>
    <n v="0"/>
    <n v="0"/>
    <n v="0"/>
    <n v="0"/>
    <n v="0"/>
    <n v="1"/>
    <n v="0"/>
    <n v="0"/>
    <n v="0"/>
    <s v="MMR001CMP069"/>
    <x v="0"/>
    <x v="0"/>
    <s v="P3"/>
    <n v="0"/>
    <m/>
  </r>
  <r>
    <n v="30.633333333333333"/>
    <d v="2014-10-25T00:00:00"/>
    <x v="9"/>
    <s v="MRCS"/>
    <s v="Kachin"/>
    <s v="Momauk"/>
    <s v="Loi Je Lisu Camp"/>
    <m/>
    <m/>
    <m/>
    <m/>
    <m/>
    <m/>
    <m/>
    <m/>
    <m/>
    <m/>
    <n v="591"/>
    <n v="347"/>
    <m/>
    <n v="311"/>
    <m/>
    <m/>
    <m/>
    <n v="0"/>
    <n v="0"/>
    <n v="0"/>
    <n v="0"/>
    <n v="0"/>
    <n v="0"/>
    <n v="0"/>
    <n v="0"/>
    <n v="0"/>
    <n v="0"/>
    <n v="0"/>
    <n v="0"/>
    <n v="0"/>
    <n v="0"/>
    <n v="1"/>
    <n v="0"/>
    <n v="0"/>
    <n v="0"/>
    <s v="MMR001CMP070"/>
    <x v="0"/>
    <x v="0"/>
    <s v="P3"/>
    <n v="0"/>
    <m/>
  </r>
  <r>
    <n v="30.466666666666665"/>
    <d v="2014-10-30T00:00:00"/>
    <x v="0"/>
    <m/>
    <s v="Kachin"/>
    <s v="Bhamo"/>
    <s v="Aung Thar Church"/>
    <m/>
    <m/>
    <m/>
    <m/>
    <m/>
    <m/>
    <m/>
    <m/>
    <m/>
    <m/>
    <m/>
    <m/>
    <m/>
    <m/>
    <m/>
    <m/>
    <m/>
    <n v="0"/>
    <n v="0"/>
    <n v="0"/>
    <n v="0"/>
    <n v="0"/>
    <n v="0"/>
    <n v="0"/>
    <n v="0"/>
    <n v="0"/>
    <n v="0"/>
    <n v="0"/>
    <n v="0"/>
    <n v="0"/>
    <n v="0"/>
    <n v="0"/>
    <n v="0"/>
    <n v="0"/>
    <n v="0"/>
    <s v="MMR001CMP194"/>
    <x v="0"/>
    <x v="0"/>
    <s v="P4"/>
    <n v="0"/>
    <m/>
  </r>
  <r>
    <n v="30.433333333333334"/>
    <d v="2014-10-31T00:00:00"/>
    <x v="0"/>
    <m/>
    <s v="Kachin"/>
    <s v="Hpakant"/>
    <s v="5 Ward Baptist Church(lon Khin)"/>
    <m/>
    <m/>
    <n v="77"/>
    <n v="154"/>
    <n v="77"/>
    <n v="154"/>
    <n v="77"/>
    <m/>
    <n v="77"/>
    <n v="385"/>
    <m/>
    <m/>
    <m/>
    <m/>
    <m/>
    <m/>
    <m/>
    <n v="0"/>
    <n v="0"/>
    <n v="0"/>
    <n v="0"/>
    <n v="0"/>
    <n v="0"/>
    <n v="0"/>
    <n v="0"/>
    <n v="0"/>
    <n v="0"/>
    <n v="0"/>
    <n v="0"/>
    <n v="0"/>
    <n v="0"/>
    <n v="0"/>
    <n v="0"/>
    <n v="0"/>
    <n v="0"/>
    <s v="MMR001CMP179"/>
    <x v="0"/>
    <x v="1"/>
    <s v="P4"/>
    <n v="1.8655360387643853E-3"/>
    <m/>
  </r>
  <r>
    <n v="30.433333333333334"/>
    <d v="2014-10-31T00:00:00"/>
    <x v="0"/>
    <m/>
    <s v="Kachin"/>
    <s v="Hpakant"/>
    <s v="5 Ward RC Church(lon Khin)"/>
    <m/>
    <m/>
    <n v="59"/>
    <n v="118"/>
    <n v="59"/>
    <n v="118"/>
    <n v="59"/>
    <m/>
    <n v="59"/>
    <n v="295"/>
    <m/>
    <m/>
    <m/>
    <m/>
    <m/>
    <m/>
    <m/>
    <n v="0"/>
    <n v="0"/>
    <n v="0"/>
    <n v="0"/>
    <n v="0"/>
    <n v="0"/>
    <n v="0"/>
    <n v="0"/>
    <n v="0"/>
    <n v="0"/>
    <n v="0"/>
    <n v="0"/>
    <n v="0"/>
    <n v="0"/>
    <n v="0"/>
    <n v="0"/>
    <n v="0"/>
    <n v="0"/>
    <s v="MMR001CMP168"/>
    <x v="0"/>
    <x v="0"/>
    <s v="P4"/>
    <n v="1.4294367050272563E-3"/>
    <m/>
  </r>
  <r>
    <n v="30.433333333333334"/>
    <d v="2014-10-31T00:00:00"/>
    <x v="0"/>
    <m/>
    <s v="Kachin"/>
    <s v="Hpakant"/>
    <s v="AG Church, Hmaw Si Sa"/>
    <m/>
    <m/>
    <n v="67"/>
    <n v="134"/>
    <n v="67"/>
    <n v="134"/>
    <n v="67"/>
    <m/>
    <n v="67"/>
    <n v="335"/>
    <m/>
    <m/>
    <m/>
    <m/>
    <m/>
    <m/>
    <m/>
    <n v="0"/>
    <n v="0"/>
    <n v="0"/>
    <n v="0"/>
    <n v="0"/>
    <n v="0"/>
    <n v="0"/>
    <n v="0"/>
    <n v="0"/>
    <n v="0"/>
    <n v="0"/>
    <n v="0"/>
    <n v="0"/>
    <n v="0"/>
    <n v="0"/>
    <n v="0"/>
    <n v="0"/>
    <n v="0"/>
    <s v="MMR001CMP176"/>
    <x v="0"/>
    <x v="0"/>
    <s v="P4"/>
    <n v="1.6232586311326468E-3"/>
    <m/>
  </r>
  <r>
    <n v="30.433333333333334"/>
    <d v="2014-10-31T00:00:00"/>
    <x v="0"/>
    <m/>
    <s v="Kachin"/>
    <s v="Hpakant"/>
    <s v="AG Church, Maw Wan"/>
    <m/>
    <m/>
    <n v="14"/>
    <n v="28"/>
    <n v="14"/>
    <n v="28"/>
    <n v="14"/>
    <m/>
    <n v="14"/>
    <n v="70"/>
    <m/>
    <m/>
    <m/>
    <m/>
    <m/>
    <m/>
    <m/>
    <n v="0"/>
    <n v="0"/>
    <n v="0"/>
    <n v="0"/>
    <n v="0"/>
    <n v="0"/>
    <n v="0"/>
    <n v="0"/>
    <n v="0"/>
    <n v="0"/>
    <n v="0"/>
    <n v="0"/>
    <n v="0"/>
    <n v="0"/>
    <n v="0"/>
    <n v="0"/>
    <n v="0"/>
    <n v="0"/>
    <s v="MMR001CMP190"/>
    <x v="0"/>
    <x v="0"/>
    <s v="P4"/>
    <n v="3.391883706844337E-4"/>
    <m/>
  </r>
  <r>
    <n v="30.433333333333334"/>
    <d v="2014-10-31T00:00:00"/>
    <x v="9"/>
    <s v="MRCS"/>
    <s v="Kachin"/>
    <s v="Machanbaw"/>
    <s v="Machanbaw - KBC"/>
    <m/>
    <m/>
    <m/>
    <m/>
    <m/>
    <m/>
    <m/>
    <m/>
    <m/>
    <m/>
    <n v="20"/>
    <n v="8"/>
    <m/>
    <m/>
    <m/>
    <m/>
    <m/>
    <n v="0"/>
    <n v="0"/>
    <n v="0"/>
    <n v="0"/>
    <n v="0"/>
    <n v="0"/>
    <n v="0"/>
    <n v="0"/>
    <n v="0"/>
    <n v="0"/>
    <n v="0"/>
    <n v="0"/>
    <n v="0"/>
    <n v="0"/>
    <n v="1"/>
    <n v="0"/>
    <n v="0"/>
    <n v="0"/>
    <s v="MMR001CMP221"/>
    <x v="0"/>
    <x v="1"/>
    <s v="P3"/>
    <n v="0"/>
    <m/>
  </r>
  <r>
    <n v="30.433333333333334"/>
    <d v="2014-10-31T00:00:00"/>
    <x v="0"/>
    <m/>
    <s v="Kachin"/>
    <s v="Hpakant"/>
    <s v="Baptist Church, Hmaw Si Sar(Lon Khin)"/>
    <m/>
    <m/>
    <n v="38"/>
    <n v="76"/>
    <n v="38"/>
    <n v="76"/>
    <n v="38"/>
    <m/>
    <n v="38"/>
    <n v="190"/>
    <m/>
    <m/>
    <m/>
    <m/>
    <m/>
    <m/>
    <m/>
    <n v="0"/>
    <n v="0"/>
    <n v="0"/>
    <n v="0"/>
    <n v="0"/>
    <n v="0"/>
    <n v="0"/>
    <n v="0"/>
    <n v="0"/>
    <n v="0"/>
    <n v="0"/>
    <n v="0"/>
    <n v="0"/>
    <n v="0"/>
    <n v="0"/>
    <n v="0"/>
    <n v="0"/>
    <n v="0"/>
    <s v="MMR001CMP169"/>
    <x v="0"/>
    <x v="0"/>
    <s v="P4"/>
    <n v="9.2065414900060572E-4"/>
    <m/>
  </r>
  <r>
    <n v="30.433333333333334"/>
    <d v="2014-10-31T00:00:00"/>
    <x v="0"/>
    <m/>
    <s v="Kachin"/>
    <s v="Hpakant"/>
    <s v="Chin Church, Seik Mu"/>
    <m/>
    <m/>
    <n v="5"/>
    <n v="10"/>
    <n v="5"/>
    <n v="10"/>
    <n v="5"/>
    <m/>
    <n v="5"/>
    <n v="25"/>
    <m/>
    <m/>
    <m/>
    <m/>
    <m/>
    <m/>
    <m/>
    <n v="0"/>
    <n v="0"/>
    <n v="0"/>
    <n v="0"/>
    <n v="0"/>
    <n v="0"/>
    <n v="0"/>
    <n v="0"/>
    <n v="0"/>
    <n v="0"/>
    <n v="0"/>
    <n v="0"/>
    <n v="0"/>
    <n v="0"/>
    <n v="0"/>
    <n v="0"/>
    <n v="0"/>
    <n v="0"/>
    <s v="MMR001CMP109"/>
    <x v="0"/>
    <x v="0"/>
    <s v="P4"/>
    <n v="1.2051968086388508E-4"/>
    <m/>
  </r>
  <r>
    <n v="30.433333333333334"/>
    <d v="2014-10-31T00:00:00"/>
    <x v="0"/>
    <m/>
    <s v="Kachin"/>
    <s v="Hpakant"/>
    <s v="Dhama Rakhita, Nyein Chan Tar Yar Ward(Lon Khin)"/>
    <m/>
    <m/>
    <n v="67"/>
    <n v="134"/>
    <n v="67"/>
    <n v="134"/>
    <n v="67"/>
    <m/>
    <n v="67"/>
    <n v="335"/>
    <m/>
    <m/>
    <m/>
    <m/>
    <m/>
    <m/>
    <m/>
    <n v="0"/>
    <n v="0"/>
    <n v="0"/>
    <n v="0"/>
    <n v="0"/>
    <n v="0"/>
    <n v="0"/>
    <n v="0"/>
    <n v="0"/>
    <n v="0"/>
    <n v="0"/>
    <n v="0"/>
    <n v="0"/>
    <n v="0"/>
    <n v="0"/>
    <n v="0"/>
    <n v="0"/>
    <n v="0"/>
    <s v="MMR001CMP174"/>
    <x v="0"/>
    <x v="0"/>
    <s v="P4"/>
    <n v="1.6232586311326468E-3"/>
    <m/>
  </r>
  <r>
    <n v="30.433333333333334"/>
    <d v="2014-10-31T00:00:00"/>
    <x v="0"/>
    <m/>
    <s v="Kachin"/>
    <s v="Hpakant"/>
    <s v="Hmaw Wan, Anglican"/>
    <m/>
    <m/>
    <n v="10"/>
    <n v="20"/>
    <n v="10"/>
    <n v="20"/>
    <n v="10"/>
    <m/>
    <n v="10"/>
    <n v="50"/>
    <m/>
    <m/>
    <m/>
    <m/>
    <m/>
    <m/>
    <m/>
    <n v="0"/>
    <n v="0"/>
    <n v="0"/>
    <n v="0"/>
    <n v="0"/>
    <n v="0"/>
    <n v="0"/>
    <n v="0"/>
    <n v="0"/>
    <n v="0"/>
    <n v="0"/>
    <n v="0"/>
    <n v="0"/>
    <n v="0"/>
    <n v="0"/>
    <n v="0"/>
    <n v="0"/>
    <n v="0"/>
    <s v="MMR001CMP191"/>
    <x v="0"/>
    <x v="0"/>
    <s v="P4"/>
    <n v="2.431788337143135E-4"/>
    <m/>
  </r>
  <r>
    <n v="30.433333333333334"/>
    <d v="2014-10-31T00:00:00"/>
    <x v="0"/>
    <m/>
    <s v="Kachin"/>
    <s v="Hpakant"/>
    <s v="Hpakant Baptist Church, Nam Ma Hpit"/>
    <m/>
    <m/>
    <n v="64"/>
    <n v="128"/>
    <n v="64"/>
    <n v="128"/>
    <n v="64"/>
    <m/>
    <n v="64"/>
    <n v="320"/>
    <m/>
    <m/>
    <m/>
    <m/>
    <m/>
    <m/>
    <m/>
    <n v="0"/>
    <n v="0"/>
    <n v="0"/>
    <n v="0"/>
    <n v="0"/>
    <n v="0"/>
    <n v="0"/>
    <n v="0"/>
    <n v="0"/>
    <n v="0"/>
    <n v="0"/>
    <n v="0"/>
    <n v="0"/>
    <n v="0"/>
    <n v="0"/>
    <n v="0"/>
    <n v="0"/>
    <n v="0"/>
    <s v="MMR001CMP229"/>
    <x v="0"/>
    <x v="0"/>
    <s v="P4"/>
    <n v="1.5563445357716064E-3"/>
    <m/>
  </r>
  <r>
    <n v="30.433333333333334"/>
    <d v="2014-10-31T00:00:00"/>
    <x v="0"/>
    <m/>
    <s v="Kachin"/>
    <s v="Hpakant"/>
    <s v="Lisu Baptist Church, Maw Shan Vil,. Seik Mu"/>
    <m/>
    <m/>
    <n v="25"/>
    <n v="50"/>
    <n v="25"/>
    <n v="50"/>
    <n v="25"/>
    <m/>
    <n v="25"/>
    <n v="125"/>
    <m/>
    <m/>
    <m/>
    <m/>
    <m/>
    <m/>
    <m/>
    <n v="0"/>
    <n v="0"/>
    <n v="0"/>
    <n v="0"/>
    <n v="0"/>
    <n v="0"/>
    <n v="0"/>
    <n v="0"/>
    <n v="0"/>
    <n v="0"/>
    <n v="0"/>
    <n v="0"/>
    <n v="0"/>
    <n v="0"/>
    <n v="0"/>
    <n v="0"/>
    <n v="0"/>
    <n v="0"/>
    <s v="MMR001CMP181"/>
    <x v="0"/>
    <x v="0"/>
    <s v="P4"/>
    <n v="6.0569351907934583E-4"/>
    <m/>
  </r>
  <r>
    <n v="30.433333333333334"/>
    <d v="2014-10-31T00:00:00"/>
    <x v="0"/>
    <m/>
    <s v="Kachin"/>
    <s v="Hpakant"/>
    <s v="Lisu Baptist Church, Maw Wan Ward"/>
    <m/>
    <m/>
    <n v="15"/>
    <n v="30"/>
    <n v="15"/>
    <n v="30"/>
    <n v="15"/>
    <m/>
    <n v="15"/>
    <n v="75"/>
    <m/>
    <m/>
    <m/>
    <m/>
    <m/>
    <m/>
    <m/>
    <n v="0"/>
    <n v="0"/>
    <n v="0"/>
    <n v="0"/>
    <n v="0"/>
    <n v="0"/>
    <n v="0"/>
    <n v="0"/>
    <n v="0"/>
    <n v="0"/>
    <n v="0"/>
    <n v="0"/>
    <n v="0"/>
    <n v="0"/>
    <n v="0"/>
    <n v="0"/>
    <n v="0"/>
    <n v="0"/>
    <s v="MMR001CMP167"/>
    <x v="0"/>
    <x v="0"/>
    <s v="P4"/>
    <n v="3.6341611144760752E-4"/>
    <m/>
  </r>
  <r>
    <n v="30.433333333333334"/>
    <d v="2014-10-31T00:00:00"/>
    <x v="9"/>
    <s v="MRCS"/>
    <s v="Kachin"/>
    <s v="Hpakant"/>
    <s v="Maw Wan, Mu-yin Baptist Church"/>
    <m/>
    <m/>
    <m/>
    <m/>
    <m/>
    <m/>
    <m/>
    <m/>
    <m/>
    <m/>
    <n v="11"/>
    <n v="15"/>
    <m/>
    <m/>
    <m/>
    <m/>
    <m/>
    <n v="0"/>
    <n v="0"/>
    <n v="0"/>
    <n v="0"/>
    <n v="0"/>
    <n v="0"/>
    <n v="0"/>
    <n v="0"/>
    <n v="0"/>
    <n v="0"/>
    <n v="0"/>
    <n v="0"/>
    <n v="0"/>
    <n v="0"/>
    <n v="1"/>
    <n v="0"/>
    <n v="0"/>
    <n v="0"/>
    <s v="MMR001CMP091"/>
    <x v="0"/>
    <x v="0"/>
    <s v="P4"/>
    <n v="0"/>
    <m/>
  </r>
  <r>
    <n v="30.433333333333334"/>
    <d v="2014-10-31T00:00:00"/>
    <x v="0"/>
    <m/>
    <s v="Kachin"/>
    <s v="Hpakant"/>
    <s v="Maw Wan, Mu-yin Baptist Church"/>
    <m/>
    <m/>
    <n v="5"/>
    <n v="10"/>
    <n v="5"/>
    <n v="10"/>
    <n v="5"/>
    <m/>
    <n v="5"/>
    <n v="25"/>
    <m/>
    <m/>
    <m/>
    <m/>
    <m/>
    <m/>
    <m/>
    <n v="0"/>
    <n v="0"/>
    <n v="0"/>
    <n v="0"/>
    <n v="0"/>
    <n v="0"/>
    <n v="0"/>
    <n v="0"/>
    <n v="0"/>
    <n v="0"/>
    <n v="0"/>
    <n v="0"/>
    <n v="0"/>
    <n v="0"/>
    <n v="0"/>
    <n v="0"/>
    <n v="0"/>
    <n v="0"/>
    <s v="MMR001CMP091"/>
    <x v="0"/>
    <x v="0"/>
    <s v="P4"/>
    <n v="1.2158941685715675E-4"/>
    <m/>
  </r>
  <r>
    <n v="30.433333333333334"/>
    <d v="2014-10-31T00:00:00"/>
    <x v="0"/>
    <m/>
    <s v="Kachin"/>
    <s v="Hpakant"/>
    <s v="Nam Ma Phyit, COC"/>
    <m/>
    <m/>
    <n v="17"/>
    <n v="34"/>
    <n v="17"/>
    <n v="34"/>
    <n v="17"/>
    <m/>
    <n v="17"/>
    <n v="85"/>
    <m/>
    <m/>
    <m/>
    <m/>
    <m/>
    <m/>
    <m/>
    <n v="0"/>
    <n v="0"/>
    <n v="0"/>
    <n v="0"/>
    <n v="0"/>
    <n v="0"/>
    <n v="0"/>
    <n v="0"/>
    <n v="0"/>
    <n v="0"/>
    <n v="0"/>
    <n v="0"/>
    <n v="0"/>
    <n v="0"/>
    <n v="0"/>
    <n v="0"/>
    <n v="0"/>
    <n v="0"/>
    <s v="MMR001CMP192"/>
    <x v="0"/>
    <x v="0"/>
    <s v="P4"/>
    <n v="4.1187159297395516E-4"/>
    <m/>
  </r>
  <r>
    <n v="30.433333333333334"/>
    <d v="2014-10-31T00:00:00"/>
    <x v="0"/>
    <m/>
    <s v="Kachin"/>
    <s v="Hpakant"/>
    <s v="Nant Ma Hpit Catholic Church"/>
    <m/>
    <m/>
    <n v="36"/>
    <n v="72"/>
    <n v="36"/>
    <n v="72"/>
    <n v="36"/>
    <m/>
    <n v="36"/>
    <n v="180"/>
    <m/>
    <m/>
    <m/>
    <m/>
    <m/>
    <m/>
    <m/>
    <n v="0"/>
    <n v="0"/>
    <n v="0"/>
    <n v="0"/>
    <n v="0"/>
    <n v="0"/>
    <n v="0"/>
    <n v="0"/>
    <n v="0"/>
    <n v="0"/>
    <n v="0"/>
    <n v="0"/>
    <n v="0"/>
    <n v="0"/>
    <n v="0"/>
    <n v="0"/>
    <n v="0"/>
    <n v="0"/>
    <s v="MMR001CMP103"/>
    <x v="0"/>
    <x v="0"/>
    <s v="P4"/>
    <n v="8.6774170221997249E-4"/>
    <m/>
  </r>
  <r>
    <n v="30.433333333333334"/>
    <d v="2014-10-31T00:00:00"/>
    <x v="0"/>
    <m/>
    <s v="Kachin"/>
    <s v="Hpakant"/>
    <s v="Rawan Baptist Church, Maw Shan Vil., Seik Mu"/>
    <m/>
    <m/>
    <n v="12"/>
    <n v="24"/>
    <n v="12"/>
    <n v="24"/>
    <n v="12"/>
    <m/>
    <n v="12"/>
    <n v="60"/>
    <m/>
    <m/>
    <m/>
    <m/>
    <m/>
    <m/>
    <m/>
    <n v="0"/>
    <n v="0"/>
    <n v="0"/>
    <n v="0"/>
    <n v="0"/>
    <n v="0"/>
    <n v="0"/>
    <n v="0"/>
    <n v="0"/>
    <n v="0"/>
    <n v="0"/>
    <n v="0"/>
    <n v="0"/>
    <n v="0"/>
    <n v="0"/>
    <n v="0"/>
    <n v="0"/>
    <n v="0"/>
    <s v="MMR001CMP182"/>
    <x v="0"/>
    <x v="0"/>
    <s v="P4"/>
    <n v="2.9073288915808601E-4"/>
    <m/>
  </r>
  <r>
    <n v="30.433333333333334"/>
    <d v="2014-10-31T00:00:00"/>
    <x v="0"/>
    <m/>
    <s v="Kachin"/>
    <s v="Hpakant"/>
    <s v="Sai Nai Baptish Church, Maw Shan Vil., Seki Mu"/>
    <m/>
    <m/>
    <n v="9"/>
    <n v="18"/>
    <n v="9"/>
    <n v="18"/>
    <n v="9"/>
    <m/>
    <n v="9"/>
    <n v="45"/>
    <m/>
    <m/>
    <m/>
    <m/>
    <m/>
    <m/>
    <m/>
    <n v="0"/>
    <n v="0"/>
    <n v="0"/>
    <n v="0"/>
    <n v="0"/>
    <n v="0"/>
    <n v="0"/>
    <n v="0"/>
    <n v="0"/>
    <n v="0"/>
    <n v="0"/>
    <n v="0"/>
    <n v="0"/>
    <n v="0"/>
    <n v="0"/>
    <n v="0"/>
    <n v="0"/>
    <n v="0"/>
    <s v="MMR001CMP183"/>
    <x v="0"/>
    <x v="0"/>
    <s v="P4"/>
    <n v="2.1804966686856452E-4"/>
    <m/>
  </r>
  <r>
    <n v="30.433333333333334"/>
    <d v="2014-10-31T00:00:00"/>
    <x v="0"/>
    <m/>
    <s v="Kachin"/>
    <s v="Hpakant"/>
    <s v="Ward 2 Sai Taung Baptist Church, Seik Mu "/>
    <m/>
    <m/>
    <n v="38"/>
    <n v="76"/>
    <n v="38"/>
    <n v="76"/>
    <n v="38"/>
    <m/>
    <n v="38"/>
    <n v="190"/>
    <m/>
    <m/>
    <m/>
    <m/>
    <m/>
    <m/>
    <m/>
    <n v="0"/>
    <n v="0"/>
    <n v="0"/>
    <n v="0"/>
    <n v="0"/>
    <n v="0"/>
    <n v="0"/>
    <n v="0"/>
    <n v="0"/>
    <n v="0"/>
    <n v="0"/>
    <n v="0"/>
    <n v="0"/>
    <n v="0"/>
    <n v="0"/>
    <n v="0"/>
    <n v="0"/>
    <n v="0"/>
    <s v="MMR001CMP184"/>
    <x v="0"/>
    <x v="0"/>
    <s v="P4"/>
    <n v="9.2065414900060572E-4"/>
    <m/>
  </r>
  <r>
    <n v="30.433333333333334"/>
    <d v="2014-10-31T00:00:00"/>
    <x v="0"/>
    <m/>
    <s v="Kachin"/>
    <s v="Hpakant"/>
    <s v="Yumar Baptist Church"/>
    <m/>
    <m/>
    <n v="10"/>
    <n v="20"/>
    <n v="10"/>
    <n v="20"/>
    <n v="10"/>
    <m/>
    <n v="10"/>
    <n v="50"/>
    <m/>
    <m/>
    <m/>
    <m/>
    <m/>
    <m/>
    <m/>
    <n v="0"/>
    <n v="0"/>
    <n v="0"/>
    <n v="0"/>
    <n v="0"/>
    <n v="0"/>
    <n v="0"/>
    <n v="0"/>
    <n v="0"/>
    <n v="0"/>
    <n v="0"/>
    <n v="0"/>
    <n v="0"/>
    <n v="0"/>
    <n v="0"/>
    <n v="0"/>
    <n v="0"/>
    <n v="0"/>
    <s v="MMR001CMP105"/>
    <x v="0"/>
    <x v="0"/>
    <s v="P4"/>
    <n v="2.431788337143135E-4"/>
    <m/>
  </r>
  <r>
    <n v="30.333333333333332"/>
    <d v="2014-11-03T00:00:00"/>
    <x v="0"/>
    <s v="Shalom"/>
    <s v="Kachin"/>
    <s v="Waingmaw"/>
    <s v="Hkat Cho "/>
    <m/>
    <m/>
    <n v="15"/>
    <n v="30"/>
    <n v="15"/>
    <n v="30"/>
    <n v="15"/>
    <m/>
    <n v="15"/>
    <n v="75"/>
    <m/>
    <m/>
    <m/>
    <m/>
    <m/>
    <m/>
    <m/>
    <n v="0"/>
    <n v="0"/>
    <n v="0"/>
    <n v="0"/>
    <n v="0"/>
    <n v="0"/>
    <n v="0"/>
    <n v="0"/>
    <n v="0"/>
    <n v="0"/>
    <n v="0"/>
    <n v="0"/>
    <n v="0"/>
    <n v="0"/>
    <n v="0"/>
    <n v="0"/>
    <n v="0"/>
    <n v="0"/>
    <s v="MMR001CMP028"/>
    <x v="0"/>
    <x v="0"/>
    <s v="P4"/>
    <n v="3.6859565057132326E-4"/>
    <m/>
  </r>
  <r>
    <n v="30.1"/>
    <d v="2014-11-10T00:00:00"/>
    <x v="9"/>
    <s v="MRCS"/>
    <s v="Kachin"/>
    <s v="Hpakant"/>
    <s v="Nam Ma Phyit, COC"/>
    <m/>
    <m/>
    <m/>
    <m/>
    <m/>
    <m/>
    <m/>
    <m/>
    <m/>
    <m/>
    <n v="50"/>
    <n v="17"/>
    <m/>
    <m/>
    <m/>
    <m/>
    <m/>
    <n v="0"/>
    <n v="0"/>
    <n v="0"/>
    <n v="0"/>
    <n v="0"/>
    <n v="0"/>
    <n v="0"/>
    <n v="0"/>
    <n v="0"/>
    <n v="0"/>
    <n v="0"/>
    <n v="0"/>
    <n v="0"/>
    <n v="0"/>
    <n v="1"/>
    <n v="0"/>
    <n v="0"/>
    <n v="0"/>
    <s v="MMR001CMP192"/>
    <x v="0"/>
    <x v="0"/>
    <s v="P4"/>
    <n v="0"/>
    <m/>
  </r>
  <r>
    <n v="30.1"/>
    <d v="2014-11-10T00:00:00"/>
    <x v="9"/>
    <s v="MRCS"/>
    <s v="Kachin"/>
    <s v="Hpakant"/>
    <s v="Nant Ma Hpit Catholic Church"/>
    <m/>
    <m/>
    <m/>
    <m/>
    <m/>
    <m/>
    <m/>
    <m/>
    <m/>
    <m/>
    <n v="117"/>
    <n v="65"/>
    <m/>
    <m/>
    <m/>
    <m/>
    <m/>
    <n v="0"/>
    <n v="0"/>
    <n v="0"/>
    <n v="0"/>
    <n v="0"/>
    <n v="0"/>
    <n v="0"/>
    <n v="0"/>
    <n v="0"/>
    <n v="0"/>
    <n v="0"/>
    <n v="0"/>
    <n v="0"/>
    <n v="0"/>
    <n v="1"/>
    <n v="0"/>
    <n v="0"/>
    <n v="0"/>
    <s v="MMR001CMP103"/>
    <x v="0"/>
    <x v="0"/>
    <s v="P4"/>
    <n v="0"/>
    <m/>
  </r>
  <r>
    <n v="30.1"/>
    <d v="2014-11-10T00:00:00"/>
    <x v="9"/>
    <s v="MRCS"/>
    <s v="Kachin"/>
    <s v="Puta-O"/>
    <s v="Tote Tan Ward"/>
    <m/>
    <m/>
    <m/>
    <m/>
    <m/>
    <m/>
    <m/>
    <m/>
    <m/>
    <m/>
    <n v="72"/>
    <n v="11"/>
    <m/>
    <m/>
    <m/>
    <m/>
    <m/>
    <n v="0"/>
    <n v="0"/>
    <n v="0"/>
    <n v="0"/>
    <n v="0"/>
    <n v="0"/>
    <n v="0"/>
    <n v="0"/>
    <n v="0"/>
    <n v="0"/>
    <n v="0"/>
    <n v="0"/>
    <n v="0"/>
    <n v="0"/>
    <n v="1"/>
    <n v="0"/>
    <n v="0"/>
    <n v="0"/>
    <s v="MMR001CMP075"/>
    <x v="0"/>
    <x v="0"/>
    <s v="P3"/>
    <s v=""/>
    <m/>
  </r>
  <r>
    <n v="30.066666666666666"/>
    <d v="2014-11-11T00:00:00"/>
    <x v="0"/>
    <s v="KBC"/>
    <s v="Kachin"/>
    <s v="Hpakant"/>
    <s v="Hlaing Naung Baptist"/>
    <m/>
    <m/>
    <n v="19"/>
    <n v="38"/>
    <n v="19"/>
    <n v="38"/>
    <n v="19"/>
    <m/>
    <n v="19"/>
    <n v="95"/>
    <m/>
    <m/>
    <m/>
    <m/>
    <m/>
    <m/>
    <m/>
    <n v="0"/>
    <n v="0"/>
    <n v="0"/>
    <n v="0"/>
    <n v="0"/>
    <n v="0"/>
    <n v="0"/>
    <n v="0"/>
    <n v="0"/>
    <n v="0"/>
    <n v="0"/>
    <n v="0"/>
    <n v="0"/>
    <n v="0"/>
    <n v="0"/>
    <n v="0"/>
    <n v="0"/>
    <n v="0"/>
    <s v="MMR001CMP148"/>
    <x v="0"/>
    <x v="0"/>
    <s v="P4"/>
    <n v="4.6135541364155112E-4"/>
    <m/>
  </r>
  <r>
    <n v="30.1"/>
    <d v="2014-11-10T00:00:00"/>
    <x v="9"/>
    <s v="MRCS"/>
    <s v="Kachin"/>
    <s v="Puta-O"/>
    <s v="Naung Khaing"/>
    <m/>
    <m/>
    <m/>
    <m/>
    <m/>
    <m/>
    <m/>
    <m/>
    <m/>
    <m/>
    <n v="52"/>
    <n v="16"/>
    <m/>
    <m/>
    <m/>
    <m/>
    <m/>
    <n v="0"/>
    <n v="0"/>
    <n v="0"/>
    <n v="0"/>
    <n v="0"/>
    <n v="0"/>
    <n v="0"/>
    <n v="0"/>
    <n v="0"/>
    <n v="0"/>
    <n v="0"/>
    <n v="0"/>
    <n v="0"/>
    <n v="0"/>
    <n v="1"/>
    <n v="0"/>
    <n v="0"/>
    <n v="0"/>
    <s v="MMR001CMP220"/>
    <x v="0"/>
    <x v="1"/>
    <s v="P3"/>
    <n v="0"/>
    <m/>
  </r>
  <r>
    <n v="29.666666666666668"/>
    <d v="2014-11-23T00:00:00"/>
    <x v="0"/>
    <s v="KBC"/>
    <s v="Kachin"/>
    <s v="Myitkyina"/>
    <s v="Jan Mai Kawng Baptist Church"/>
    <m/>
    <m/>
    <m/>
    <n v="72"/>
    <n v="36"/>
    <n v="72"/>
    <n v="36"/>
    <m/>
    <n v="36"/>
    <n v="180"/>
    <m/>
    <m/>
    <m/>
    <m/>
    <m/>
    <m/>
    <m/>
    <n v="0"/>
    <n v="0"/>
    <n v="0"/>
    <n v="0"/>
    <n v="0"/>
    <n v="0"/>
    <n v="0"/>
    <n v="0"/>
    <n v="0"/>
    <n v="0"/>
    <n v="0"/>
    <n v="0"/>
    <n v="0"/>
    <n v="0"/>
    <n v="0"/>
    <n v="0"/>
    <n v="0"/>
    <n v="0"/>
    <s v="MMR001CMP018"/>
    <x v="0"/>
    <x v="0"/>
    <s v="P4"/>
    <n v="8.8397790055248619E-4"/>
    <m/>
  </r>
  <r>
    <n v="29.266666666666666"/>
    <d v="2014-12-05T00:00:00"/>
    <x v="0"/>
    <s v="KMSS"/>
    <s v="Kachin"/>
    <s v="Waingmaw"/>
    <s v="Border Post 8"/>
    <m/>
    <m/>
    <m/>
    <n v="164"/>
    <m/>
    <m/>
    <m/>
    <m/>
    <m/>
    <m/>
    <n v="302"/>
    <n v="440"/>
    <m/>
    <n v="297"/>
    <m/>
    <m/>
    <m/>
    <n v="0"/>
    <n v="0"/>
    <n v="0"/>
    <n v="0"/>
    <n v="0"/>
    <n v="0"/>
    <n v="0"/>
    <n v="0"/>
    <n v="0"/>
    <n v="0"/>
    <n v="0"/>
    <n v="0"/>
    <n v="0"/>
    <n v="0"/>
    <n v="1"/>
    <n v="0"/>
    <n v="0"/>
    <n v="0"/>
    <s v="MMR001CMP113"/>
    <x v="0"/>
    <x v="0"/>
    <s v="P1"/>
    <n v="0"/>
    <m/>
  </r>
  <r>
    <n v="29.266666666666666"/>
    <d v="2014-12-05T00:00:00"/>
    <x v="0"/>
    <s v="KMSS"/>
    <s v="Kachin"/>
    <s v="Waingmaw"/>
    <s v="Post 6 Camp"/>
    <m/>
    <m/>
    <m/>
    <n v="124"/>
    <m/>
    <m/>
    <m/>
    <m/>
    <m/>
    <m/>
    <n v="262"/>
    <n v="400"/>
    <m/>
    <n v="257"/>
    <m/>
    <m/>
    <m/>
    <n v="0"/>
    <n v="0"/>
    <n v="0"/>
    <n v="0"/>
    <n v="0"/>
    <n v="0"/>
    <n v="0"/>
    <n v="0"/>
    <n v="0"/>
    <n v="0"/>
    <n v="0"/>
    <n v="0"/>
    <n v="0"/>
    <n v="0"/>
    <n v="1"/>
    <n v="0"/>
    <n v="0"/>
    <n v="0"/>
    <s v="MMR001CMP160"/>
    <x v="0"/>
    <x v="0"/>
    <s v="P1"/>
    <n v="0"/>
    <m/>
  </r>
  <r>
    <n v="29.133333333333333"/>
    <d v="2014-12-09T00:00:00"/>
    <x v="1"/>
    <s v="Solidarities"/>
    <s v="Kachin"/>
    <s v="Bhamo"/>
    <s v="AD-2000 Tharthana Compound"/>
    <m/>
    <m/>
    <n v="354"/>
    <m/>
    <m/>
    <m/>
    <m/>
    <m/>
    <m/>
    <m/>
    <m/>
    <m/>
    <m/>
    <m/>
    <m/>
    <m/>
    <m/>
    <n v="0"/>
    <n v="0"/>
    <n v="0"/>
    <n v="0"/>
    <n v="0"/>
    <n v="0"/>
    <n v="0"/>
    <n v="0"/>
    <n v="0"/>
    <n v="0"/>
    <n v="0"/>
    <n v="0"/>
    <n v="0"/>
    <n v="0"/>
    <n v="0"/>
    <n v="0"/>
    <n v="0"/>
    <n v="0"/>
    <s v="MMR001CMP050"/>
    <x v="0"/>
    <x v="0"/>
    <s v="P4"/>
    <n v="0"/>
    <m/>
  </r>
  <r>
    <n v="29.133333333333333"/>
    <d v="2014-12-09T00:00:00"/>
    <x v="1"/>
    <s v="Solidarities"/>
    <s v="Kachin"/>
    <s v="Bhamo"/>
    <s v="Robert Church"/>
    <m/>
    <m/>
    <n v="1135"/>
    <m/>
    <m/>
    <m/>
    <m/>
    <m/>
    <m/>
    <m/>
    <m/>
    <m/>
    <m/>
    <m/>
    <m/>
    <m/>
    <m/>
    <n v="0"/>
    <n v="0"/>
    <n v="0"/>
    <n v="0"/>
    <n v="0"/>
    <n v="0"/>
    <n v="0"/>
    <n v="0"/>
    <n v="0"/>
    <n v="0"/>
    <n v="0"/>
    <n v="0"/>
    <n v="0"/>
    <n v="0"/>
    <n v="0"/>
    <n v="0"/>
    <n v="0"/>
    <n v="0"/>
    <s v="MMR001CMP047"/>
    <x v="0"/>
    <x v="0"/>
    <s v="P4"/>
    <n v="0"/>
    <m/>
  </r>
  <r>
    <n v="29.1"/>
    <d v="2014-12-10T00:00:00"/>
    <x v="1"/>
    <s v="Solidarities"/>
    <s v="Kachin"/>
    <s v="Bhamo"/>
    <s v="Phan Khar Kone"/>
    <m/>
    <m/>
    <n v="245"/>
    <m/>
    <m/>
    <m/>
    <m/>
    <m/>
    <m/>
    <m/>
    <m/>
    <m/>
    <m/>
    <m/>
    <m/>
    <m/>
    <m/>
    <n v="0"/>
    <n v="0"/>
    <n v="0"/>
    <n v="0"/>
    <n v="0"/>
    <n v="0"/>
    <n v="0"/>
    <n v="0"/>
    <n v="0"/>
    <n v="0"/>
    <n v="0"/>
    <n v="0"/>
    <n v="0"/>
    <n v="0"/>
    <n v="0"/>
    <n v="0"/>
    <n v="0"/>
    <n v="0"/>
    <s v="MMR001CMP193"/>
    <x v="0"/>
    <x v="0"/>
    <s v="P4"/>
    <n v="0"/>
    <m/>
  </r>
  <r>
    <n v="29.1"/>
    <d v="2014-12-10T00:00:00"/>
    <x v="1"/>
    <s v="Solidarities"/>
    <s v="Kachin"/>
    <s v="Bhamo"/>
    <s v="Ta Gun Taing Monastery (Shwe Kyi Na)"/>
    <m/>
    <m/>
    <n v="55"/>
    <m/>
    <m/>
    <m/>
    <m/>
    <m/>
    <m/>
    <m/>
    <m/>
    <m/>
    <m/>
    <m/>
    <m/>
    <m/>
    <m/>
    <n v="0"/>
    <n v="0"/>
    <n v="0"/>
    <n v="0"/>
    <n v="0"/>
    <n v="0"/>
    <n v="0"/>
    <n v="0"/>
    <n v="0"/>
    <n v="0"/>
    <n v="0"/>
    <n v="0"/>
    <n v="0"/>
    <n v="0"/>
    <n v="0"/>
    <n v="0"/>
    <n v="0"/>
    <n v="0"/>
    <s v="MMR001CMP055"/>
    <x v="0"/>
    <x v="0"/>
    <s v="P4"/>
    <n v="0"/>
    <m/>
  </r>
  <r>
    <n v="28.866666666666667"/>
    <d v="2014-12-17T00:00:00"/>
    <x v="1"/>
    <s v="Solidarities"/>
    <s v="Kachin"/>
    <s v="Momauk"/>
    <s v="Loi Je Baptist Church"/>
    <m/>
    <m/>
    <m/>
    <m/>
    <m/>
    <m/>
    <m/>
    <m/>
    <m/>
    <m/>
    <m/>
    <m/>
    <m/>
    <m/>
    <m/>
    <m/>
    <m/>
    <n v="0"/>
    <n v="0"/>
    <n v="0"/>
    <n v="0"/>
    <n v="0"/>
    <n v="0"/>
    <n v="0"/>
    <n v="0"/>
    <n v="0"/>
    <n v="0"/>
    <n v="0"/>
    <n v="0"/>
    <n v="0"/>
    <n v="0"/>
    <n v="0"/>
    <n v="0"/>
    <n v="0"/>
    <n v="0"/>
    <s v="MMR001CMP071"/>
    <x v="0"/>
    <x v="0"/>
    <s v="P3"/>
    <n v="0"/>
    <m/>
  </r>
  <r>
    <n v="28.866666666666667"/>
    <d v="2014-12-17T00:00:00"/>
    <x v="1"/>
    <s v="Solidarities"/>
    <s v="Kachin"/>
    <s v="Momauk"/>
    <s v="Loi Je Catholic Church"/>
    <m/>
    <m/>
    <n v="124"/>
    <m/>
    <m/>
    <m/>
    <m/>
    <m/>
    <m/>
    <m/>
    <m/>
    <m/>
    <m/>
    <m/>
    <m/>
    <m/>
    <m/>
    <n v="0"/>
    <n v="0"/>
    <n v="0"/>
    <n v="0"/>
    <n v="0"/>
    <n v="0"/>
    <n v="0"/>
    <n v="0"/>
    <n v="0"/>
    <n v="0"/>
    <n v="0"/>
    <n v="0"/>
    <n v="0"/>
    <n v="0"/>
    <n v="0"/>
    <n v="0"/>
    <n v="0"/>
    <n v="0"/>
    <s v="MMR001CMP069"/>
    <x v="0"/>
    <x v="0"/>
    <s v="P3"/>
    <n v="0"/>
    <m/>
  </r>
  <r>
    <n v="29.1"/>
    <d v="2014-12-10T00:00:00"/>
    <x v="1"/>
    <s v="Solidarities"/>
    <s v="Kachin"/>
    <s v="Momauk"/>
    <s v="Edin"/>
    <m/>
    <m/>
    <n v="85"/>
    <m/>
    <m/>
    <m/>
    <m/>
    <m/>
    <m/>
    <m/>
    <m/>
    <m/>
    <m/>
    <m/>
    <m/>
    <m/>
    <m/>
    <n v="0"/>
    <n v="0"/>
    <n v="0"/>
    <n v="0"/>
    <n v="0"/>
    <n v="0"/>
    <n v="0"/>
    <n v="0"/>
    <n v="0"/>
    <n v="0"/>
    <n v="0"/>
    <n v="0"/>
    <n v="0"/>
    <n v="0"/>
    <n v="0"/>
    <n v="0"/>
    <n v="0"/>
    <n v="0"/>
    <s v=""/>
    <x v="1"/>
    <x v="2"/>
    <s v=""/>
    <s v=""/>
    <m/>
  </r>
  <r>
    <n v="29.1"/>
    <d v="2014-12-10T00:00:00"/>
    <x v="1"/>
    <s v="Solidarities"/>
    <s v="Kachin"/>
    <s v="Momauk"/>
    <s v="Ni Thaw Ka Monestry"/>
    <m/>
    <m/>
    <n v="33"/>
    <m/>
    <m/>
    <m/>
    <m/>
    <m/>
    <m/>
    <m/>
    <m/>
    <m/>
    <m/>
    <m/>
    <m/>
    <m/>
    <m/>
    <n v="0"/>
    <n v="0"/>
    <n v="0"/>
    <n v="0"/>
    <n v="0"/>
    <n v="0"/>
    <n v="0"/>
    <n v="0"/>
    <n v="0"/>
    <n v="0"/>
    <n v="0"/>
    <n v="0"/>
    <n v="0"/>
    <n v="0"/>
    <n v="0"/>
    <n v="0"/>
    <n v="0"/>
    <n v="0"/>
    <s v="MMR001CMP059"/>
    <x v="0"/>
    <x v="1"/>
    <s v="P4"/>
    <n v="0"/>
    <m/>
  </r>
  <r>
    <n v="28.866666666666667"/>
    <d v="2014-12-17T00:00:00"/>
    <x v="1"/>
    <s v="Solidarities"/>
    <s v="Kachin"/>
    <s v="Momauk"/>
    <s v="Loi Je Lisu Camp"/>
    <m/>
    <m/>
    <n v="283"/>
    <m/>
    <m/>
    <m/>
    <m/>
    <m/>
    <m/>
    <m/>
    <m/>
    <m/>
    <m/>
    <m/>
    <m/>
    <m/>
    <m/>
    <n v="0"/>
    <n v="0"/>
    <n v="0"/>
    <n v="0"/>
    <n v="0"/>
    <n v="0"/>
    <n v="0"/>
    <n v="0"/>
    <n v="0"/>
    <n v="0"/>
    <n v="0"/>
    <n v="0"/>
    <n v="0"/>
    <n v="0"/>
    <n v="0"/>
    <n v="0"/>
    <n v="0"/>
    <n v="0"/>
    <s v="MMR001CMP070"/>
    <x v="0"/>
    <x v="0"/>
    <s v="P3"/>
    <n v="0"/>
    <m/>
  </r>
  <r>
    <n v="28.833333333333332"/>
    <d v="2014-12-18T00:00:00"/>
    <x v="1"/>
    <s v="Solidarities"/>
    <s v="Kachin"/>
    <s v="Momauk"/>
    <s v="Nyaung Na Pin "/>
    <m/>
    <m/>
    <n v="85"/>
    <m/>
    <m/>
    <m/>
    <m/>
    <m/>
    <m/>
    <m/>
    <m/>
    <m/>
    <m/>
    <m/>
    <m/>
    <m/>
    <m/>
    <n v="0"/>
    <n v="0"/>
    <n v="0"/>
    <n v="0"/>
    <n v="0"/>
    <n v="0"/>
    <n v="0"/>
    <n v="0"/>
    <n v="0"/>
    <n v="0"/>
    <n v="0"/>
    <n v="0"/>
    <n v="0"/>
    <n v="0"/>
    <n v="0"/>
    <n v="0"/>
    <n v="0"/>
    <n v="0"/>
    <s v="MMR001CMP072"/>
    <x v="0"/>
    <x v="0"/>
    <s v="P3"/>
    <n v="0"/>
    <m/>
  </r>
  <r>
    <n v="28.833333333333332"/>
    <d v="2014-12-18T00:00:00"/>
    <x v="1"/>
    <s v="Solidarities"/>
    <s v="Kachin"/>
    <s v="Momauk"/>
    <s v="Seng Ja "/>
    <m/>
    <m/>
    <n v="61"/>
    <m/>
    <m/>
    <m/>
    <m/>
    <m/>
    <m/>
    <m/>
    <m/>
    <m/>
    <m/>
    <m/>
    <m/>
    <m/>
    <m/>
    <n v="0"/>
    <n v="0"/>
    <n v="0"/>
    <n v="0"/>
    <n v="0"/>
    <n v="0"/>
    <n v="0"/>
    <n v="0"/>
    <n v="0"/>
    <n v="0"/>
    <n v="0"/>
    <n v="0"/>
    <n v="0"/>
    <n v="0"/>
    <n v="0"/>
    <n v="0"/>
    <n v="0"/>
    <n v="0"/>
    <s v="MMR001CMP073"/>
    <x v="0"/>
    <x v="0"/>
    <s v="P3"/>
    <n v="0"/>
    <m/>
  </r>
  <r>
    <n v="28.8"/>
    <d v="2014-12-19T00:00:00"/>
    <x v="0"/>
    <s v="KBC"/>
    <s v="Kachin"/>
    <s v="Waingmaw"/>
    <s v="Hkau Shau (BP 12)"/>
    <m/>
    <m/>
    <m/>
    <m/>
    <m/>
    <m/>
    <m/>
    <m/>
    <m/>
    <m/>
    <n v="364"/>
    <n v="543"/>
    <m/>
    <n v="362"/>
    <m/>
    <m/>
    <m/>
    <n v="0"/>
    <n v="0"/>
    <n v="0"/>
    <n v="0"/>
    <n v="0"/>
    <n v="0"/>
    <n v="0"/>
    <n v="0"/>
    <n v="0"/>
    <n v="0"/>
    <n v="0"/>
    <n v="0"/>
    <n v="0"/>
    <n v="0"/>
    <n v="1"/>
    <n v="0"/>
    <n v="0"/>
    <n v="0"/>
    <s v="MMR001CMP115"/>
    <x v="0"/>
    <x v="0"/>
    <s v="P1"/>
    <n v="0"/>
    <m/>
  </r>
  <r>
    <n v="28.8"/>
    <d v="2014-12-19T00:00:00"/>
    <x v="0"/>
    <m/>
    <s v="Kachin"/>
    <s v="Chipwi"/>
    <s v="Hpare Hkyer - BP6"/>
    <m/>
    <m/>
    <m/>
    <m/>
    <m/>
    <m/>
    <m/>
    <m/>
    <m/>
    <m/>
    <n v="320"/>
    <n v="465"/>
    <m/>
    <n v="310"/>
    <m/>
    <m/>
    <m/>
    <n v="0"/>
    <n v="0"/>
    <n v="0"/>
    <n v="0"/>
    <n v="0"/>
    <n v="0"/>
    <n v="0"/>
    <n v="0"/>
    <n v="0"/>
    <n v="0"/>
    <n v="0"/>
    <n v="0"/>
    <n v="0"/>
    <n v="0"/>
    <n v="1"/>
    <n v="0"/>
    <n v="0"/>
    <n v="0"/>
    <s v="MMR001CMP043"/>
    <x v="0"/>
    <x v="0"/>
    <s v="P1"/>
    <n v="0"/>
    <m/>
  </r>
  <r>
    <n v="28.8"/>
    <d v="2014-12-19T00:00:00"/>
    <x v="0"/>
    <m/>
    <s v="Kachin"/>
    <s v="Waingmaw"/>
    <s v="Pajau - Jan Mai"/>
    <m/>
    <m/>
    <m/>
    <m/>
    <m/>
    <m/>
    <m/>
    <m/>
    <m/>
    <m/>
    <n v="384"/>
    <n v="573"/>
    <m/>
    <n v="382"/>
    <m/>
    <m/>
    <m/>
    <n v="0"/>
    <n v="0"/>
    <n v="0"/>
    <n v="0"/>
    <n v="0"/>
    <n v="0"/>
    <n v="0"/>
    <n v="0"/>
    <n v="0"/>
    <n v="0"/>
    <n v="0"/>
    <n v="0"/>
    <n v="0"/>
    <n v="0"/>
    <n v="1"/>
    <n v="0"/>
    <n v="0"/>
    <n v="0"/>
    <s v="MMR001CMP120"/>
    <x v="0"/>
    <x v="0"/>
    <s v="P1"/>
    <n v="0"/>
    <m/>
  </r>
  <r>
    <n v="28.433333333333334"/>
    <d v="2014-12-30T00:00:00"/>
    <x v="0"/>
    <s v="KBC"/>
    <s v="Kachin"/>
    <s v="Waingmaw"/>
    <s v="Shing Jai"/>
    <m/>
    <m/>
    <n v="120"/>
    <n v="240"/>
    <n v="135"/>
    <n v="240"/>
    <n v="170"/>
    <n v="120"/>
    <n v="120"/>
    <n v="600"/>
    <m/>
    <m/>
    <m/>
    <m/>
    <m/>
    <m/>
    <m/>
    <n v="0"/>
    <n v="0"/>
    <n v="0"/>
    <n v="0"/>
    <n v="0"/>
    <n v="0"/>
    <n v="0"/>
    <n v="0"/>
    <n v="0"/>
    <n v="0"/>
    <n v="0"/>
    <n v="0"/>
    <n v="0"/>
    <n v="0"/>
    <n v="0"/>
    <n v="0"/>
    <n v="0"/>
    <n v="0"/>
    <s v="MMR001CMP041"/>
    <x v="0"/>
    <x v="0"/>
    <s v="P1"/>
    <n v="4.1617704661182919E-3"/>
    <m/>
  </r>
  <r>
    <n v="28.366666666666667"/>
    <d v="2015-01-01T00:00:00"/>
    <x v="0"/>
    <s v="KBC"/>
    <s v="Kachin"/>
    <s v="Waingmaw"/>
    <s v="Shing Jai"/>
    <m/>
    <m/>
    <m/>
    <m/>
    <m/>
    <m/>
    <n v="50"/>
    <m/>
    <m/>
    <m/>
    <m/>
    <m/>
    <m/>
    <m/>
    <m/>
    <m/>
    <n v="90"/>
    <n v="0"/>
    <n v="0"/>
    <n v="0"/>
    <n v="0"/>
    <n v="0"/>
    <n v="0"/>
    <n v="0"/>
    <n v="0"/>
    <n v="0"/>
    <n v="0"/>
    <n v="0"/>
    <n v="0"/>
    <n v="0"/>
    <n v="0"/>
    <n v="0"/>
    <n v="0"/>
    <n v="0"/>
    <n v="0"/>
    <s v="MMR001CMP041"/>
    <x v="0"/>
    <x v="0"/>
    <s v="P1"/>
    <n v="1.2240501370936153E-3"/>
    <s v="No"/>
  </r>
  <r>
    <n v="27.966666666666665"/>
    <d v="2015-01-13T00:00:00"/>
    <x v="9"/>
    <s v="MRCS"/>
    <s v="Kachin"/>
    <s v="Chipwi"/>
    <s v="Chipwi KBC camp"/>
    <m/>
    <m/>
    <m/>
    <m/>
    <m/>
    <m/>
    <m/>
    <m/>
    <m/>
    <m/>
    <n v="293"/>
    <n v="190"/>
    <m/>
    <n v="170"/>
    <m/>
    <m/>
    <m/>
    <n v="0"/>
    <n v="0"/>
    <n v="0"/>
    <n v="0"/>
    <n v="0"/>
    <n v="0"/>
    <n v="0"/>
    <n v="0"/>
    <n v="0"/>
    <n v="0"/>
    <n v="0"/>
    <n v="0"/>
    <n v="0"/>
    <n v="0"/>
    <n v="1"/>
    <n v="0"/>
    <n v="0"/>
    <n v="0"/>
    <s v="MMR001CMP042"/>
    <x v="0"/>
    <x v="0"/>
    <s v="P1"/>
    <n v="0"/>
    <m/>
  </r>
  <r>
    <n v="27.966666666666665"/>
    <d v="2015-01-13T00:00:00"/>
    <x v="9"/>
    <s v="MRCS"/>
    <s v="Kachin"/>
    <s v="Chipwi"/>
    <s v="Lhaovao Baptist Church (LBC)"/>
    <m/>
    <m/>
    <m/>
    <m/>
    <m/>
    <m/>
    <m/>
    <m/>
    <m/>
    <m/>
    <n v="350"/>
    <n v="236"/>
    <m/>
    <n v="203"/>
    <m/>
    <m/>
    <m/>
    <n v="0"/>
    <n v="0"/>
    <n v="0"/>
    <n v="0"/>
    <n v="0"/>
    <n v="0"/>
    <n v="0"/>
    <n v="0"/>
    <n v="0"/>
    <n v="0"/>
    <n v="0"/>
    <n v="0"/>
    <n v="0"/>
    <n v="0"/>
    <n v="1"/>
    <n v="0"/>
    <n v="0"/>
    <n v="0"/>
    <s v="MMR001CMP195"/>
    <x v="0"/>
    <x v="0"/>
    <s v="P1"/>
    <n v="0"/>
    <m/>
  </r>
  <r>
    <n v="28.8"/>
    <d v="2014-12-19T00:00:00"/>
    <x v="0"/>
    <s v="KBC"/>
    <s v="Kachin"/>
    <s v="Waingmaw"/>
    <s v="Zai Awng - Mung Ga Zup"/>
    <m/>
    <m/>
    <m/>
    <m/>
    <m/>
    <m/>
    <m/>
    <m/>
    <m/>
    <m/>
    <n v="1292"/>
    <n v="1938"/>
    <m/>
    <n v="1292"/>
    <m/>
    <m/>
    <m/>
    <n v="0"/>
    <n v="0"/>
    <n v="0"/>
    <n v="0"/>
    <n v="0"/>
    <n v="0"/>
    <n v="0"/>
    <n v="0"/>
    <n v="0"/>
    <n v="0"/>
    <n v="0"/>
    <n v="0"/>
    <n v="0"/>
    <n v="0"/>
    <n v="1"/>
    <n v="0"/>
    <n v="0"/>
    <n v="0"/>
    <s v="MMR001CMP111"/>
    <x v="0"/>
    <x v="1"/>
    <s v="P2"/>
    <n v="0"/>
    <m/>
  </r>
  <r>
    <n v="27.966666666666665"/>
    <d v="2015-01-13T00:00:00"/>
    <x v="9"/>
    <s v="MRCS"/>
    <s v="Kachin"/>
    <s v="Momauk"/>
    <s v="Nyaung Na Pin "/>
    <m/>
    <m/>
    <m/>
    <m/>
    <m/>
    <m/>
    <m/>
    <m/>
    <m/>
    <m/>
    <n v="195"/>
    <n v="91"/>
    <m/>
    <n v="92"/>
    <m/>
    <m/>
    <m/>
    <n v="0"/>
    <n v="0"/>
    <n v="0"/>
    <n v="0"/>
    <n v="0"/>
    <n v="0"/>
    <n v="0"/>
    <n v="0"/>
    <n v="0"/>
    <n v="0"/>
    <n v="0"/>
    <n v="0"/>
    <n v="0"/>
    <n v="0"/>
    <n v="1"/>
    <n v="0"/>
    <n v="0"/>
    <n v="0"/>
    <s v="MMR001CMP072"/>
    <x v="0"/>
    <x v="0"/>
    <s v="P3"/>
    <n v="0"/>
    <m/>
  </r>
  <r>
    <n v="27.966666666666665"/>
    <d v="2015-01-13T00:00:00"/>
    <x v="9"/>
    <s v="MRCS"/>
    <s v="Kachin"/>
    <s v="Myitkyina"/>
    <s v="Pa Dauk Myaing(Pa La Na)"/>
    <m/>
    <m/>
    <m/>
    <m/>
    <m/>
    <m/>
    <m/>
    <m/>
    <m/>
    <m/>
    <n v="323"/>
    <n v="178"/>
    <m/>
    <m/>
    <m/>
    <m/>
    <m/>
    <n v="0"/>
    <n v="0"/>
    <n v="0"/>
    <n v="0"/>
    <n v="0"/>
    <n v="0"/>
    <n v="0"/>
    <n v="0"/>
    <n v="0"/>
    <n v="0"/>
    <n v="0"/>
    <n v="0"/>
    <n v="0"/>
    <n v="0"/>
    <n v="1"/>
    <n v="0"/>
    <n v="0"/>
    <n v="0"/>
    <s v="MMR001CMP162"/>
    <x v="0"/>
    <x v="0"/>
    <s v="P4"/>
    <n v="0"/>
    <m/>
  </r>
  <r>
    <n v="27.966666666666665"/>
    <d v="2015-01-13T00:00:00"/>
    <x v="9"/>
    <s v="MRCS"/>
    <s v="Kachin"/>
    <s v="Chipwi"/>
    <s v="Pan Wa"/>
    <m/>
    <m/>
    <m/>
    <m/>
    <m/>
    <m/>
    <m/>
    <m/>
    <m/>
    <m/>
    <n v="187"/>
    <n v="137"/>
    <m/>
    <n v="118"/>
    <m/>
    <m/>
    <m/>
    <n v="0"/>
    <n v="0"/>
    <n v="0"/>
    <n v="0"/>
    <n v="0"/>
    <n v="0"/>
    <n v="0"/>
    <n v="0"/>
    <n v="0"/>
    <n v="0"/>
    <n v="0"/>
    <n v="0"/>
    <n v="0"/>
    <n v="0"/>
    <n v="1"/>
    <n v="0"/>
    <n v="0"/>
    <n v="0"/>
    <s v="MMR001CMP210"/>
    <x v="0"/>
    <x v="0"/>
    <s v="P1"/>
    <n v="0"/>
    <m/>
  </r>
  <r>
    <n v="28.066666666666666"/>
    <d v="2015-01-10T00:00:00"/>
    <x v="0"/>
    <s v="UNHCR"/>
    <s v="Kachin"/>
    <s v="Puta-O"/>
    <s v="Naung Khaing"/>
    <m/>
    <m/>
    <n v="55"/>
    <n v="110"/>
    <n v="55"/>
    <n v="110"/>
    <n v="55"/>
    <m/>
    <n v="55"/>
    <n v="275"/>
    <m/>
    <m/>
    <m/>
    <m/>
    <n v="55"/>
    <m/>
    <m/>
    <n v="0"/>
    <n v="0"/>
    <n v="0"/>
    <n v="0"/>
    <n v="0"/>
    <n v="0"/>
    <n v="0"/>
    <n v="0"/>
    <n v="0"/>
    <n v="0"/>
    <n v="0"/>
    <n v="0"/>
    <n v="0"/>
    <n v="0"/>
    <n v="0"/>
    <n v="0"/>
    <n v="0"/>
    <n v="0"/>
    <s v="MMR001CMP220"/>
    <x v="0"/>
    <x v="1"/>
    <s v="P3"/>
    <n v="1.3257164895027359E-3"/>
    <s v="No"/>
  </r>
  <r>
    <n v="27.966666666666665"/>
    <d v="2015-01-13T00:00:00"/>
    <x v="9"/>
    <s v="MRCS"/>
    <s v="Kachin"/>
    <s v="Hpakant"/>
    <s v="Rawan Baptist Church, Maw Shan Vil., Seik Mu"/>
    <m/>
    <m/>
    <m/>
    <m/>
    <m/>
    <m/>
    <m/>
    <m/>
    <m/>
    <m/>
    <n v="26"/>
    <n v="14"/>
    <m/>
    <m/>
    <m/>
    <m/>
    <m/>
    <n v="0"/>
    <n v="0"/>
    <n v="0"/>
    <n v="0"/>
    <n v="0"/>
    <n v="0"/>
    <n v="0"/>
    <n v="0"/>
    <n v="0"/>
    <n v="0"/>
    <n v="0"/>
    <n v="0"/>
    <n v="0"/>
    <n v="0"/>
    <n v="1"/>
    <n v="0"/>
    <n v="0"/>
    <n v="0"/>
    <s v="MMR001CMP182"/>
    <x v="0"/>
    <x v="0"/>
    <s v="P4"/>
    <n v="0"/>
    <m/>
  </r>
  <r>
    <n v="27.966666666666665"/>
    <d v="2015-01-13T00:00:00"/>
    <x v="9"/>
    <s v="MRCS"/>
    <s v="Kachin"/>
    <s v="Hpakant"/>
    <s v="Sai Nai Baptish Church, Maw Shan Vil., Seki Mu"/>
    <m/>
    <m/>
    <m/>
    <m/>
    <m/>
    <m/>
    <m/>
    <m/>
    <m/>
    <m/>
    <n v="34"/>
    <n v="9"/>
    <m/>
    <m/>
    <m/>
    <m/>
    <m/>
    <n v="0"/>
    <n v="0"/>
    <n v="0"/>
    <n v="0"/>
    <n v="0"/>
    <n v="0"/>
    <n v="0"/>
    <n v="0"/>
    <n v="0"/>
    <n v="0"/>
    <n v="0"/>
    <n v="0"/>
    <n v="0"/>
    <n v="0"/>
    <n v="1"/>
    <n v="0"/>
    <n v="0"/>
    <n v="0"/>
    <s v="MMR001CMP183"/>
    <x v="0"/>
    <x v="0"/>
    <s v="P4"/>
    <n v="0"/>
    <m/>
  </r>
  <r>
    <n v="3.5333333333333332"/>
    <d v="2017-01-15T00:00:00"/>
    <x v="0"/>
    <s v="KBC"/>
    <s v="Kachin"/>
    <s v="Mansi"/>
    <s v="Man Kawng Baptist Church"/>
    <m/>
    <n v="15"/>
    <n v="15"/>
    <n v="15"/>
    <n v="15"/>
    <n v="15"/>
    <n v="15"/>
    <m/>
    <n v="15"/>
    <n v="30"/>
    <m/>
    <m/>
    <m/>
    <m/>
    <n v="15"/>
    <m/>
    <n v="15"/>
    <n v="0"/>
    <n v="15"/>
    <n v="15"/>
    <n v="15"/>
    <n v="15"/>
    <n v="15"/>
    <n v="15"/>
    <n v="0"/>
    <n v="15"/>
    <n v="75"/>
    <n v="0"/>
    <n v="0"/>
    <n v="0"/>
    <n v="0"/>
    <n v="0"/>
    <n v="15"/>
    <n v="0"/>
    <n v="15"/>
    <s v="MMR001CMP212"/>
    <x v="3"/>
    <x v="1"/>
    <s v=""/>
    <s v=""/>
    <m/>
  </r>
  <r>
    <n v="27.966666666666665"/>
    <d v="2015-01-13T00:00:00"/>
    <x v="9"/>
    <s v="MRCS"/>
    <s v="Kachin"/>
    <s v="Chipwi"/>
    <s v="Saw Zam"/>
    <m/>
    <m/>
    <m/>
    <m/>
    <m/>
    <m/>
    <m/>
    <m/>
    <m/>
    <m/>
    <n v="111"/>
    <n v="56"/>
    <m/>
    <n v="58"/>
    <m/>
    <m/>
    <m/>
    <n v="0"/>
    <n v="0"/>
    <n v="0"/>
    <n v="0"/>
    <n v="0"/>
    <n v="0"/>
    <n v="0"/>
    <n v="0"/>
    <n v="0"/>
    <n v="0"/>
    <n v="0"/>
    <n v="0"/>
    <n v="0"/>
    <n v="0"/>
    <n v="1"/>
    <n v="0"/>
    <n v="0"/>
    <n v="0"/>
    <s v="MMR001CMP225"/>
    <x v="0"/>
    <x v="0"/>
    <s v="P1"/>
    <n v="0"/>
    <m/>
  </r>
  <r>
    <n v="27.966666666666665"/>
    <d v="2015-01-13T00:00:00"/>
    <x v="9"/>
    <s v="MRCS"/>
    <s v="Kachin"/>
    <s v="Momauk"/>
    <s v="Seng Ja "/>
    <m/>
    <m/>
    <m/>
    <m/>
    <m/>
    <m/>
    <m/>
    <m/>
    <m/>
    <m/>
    <n v="155"/>
    <n v="73"/>
    <m/>
    <n v="96"/>
    <m/>
    <m/>
    <m/>
    <n v="0"/>
    <n v="0"/>
    <n v="0"/>
    <n v="0"/>
    <n v="0"/>
    <n v="0"/>
    <n v="0"/>
    <n v="0"/>
    <n v="0"/>
    <n v="0"/>
    <n v="0"/>
    <n v="0"/>
    <n v="0"/>
    <n v="0"/>
    <n v="1"/>
    <n v="0"/>
    <n v="0"/>
    <n v="0"/>
    <s v="MMR001CMP073"/>
    <x v="0"/>
    <x v="0"/>
    <s v="P3"/>
    <n v="0"/>
    <m/>
  </r>
  <r>
    <n v="27.966666666666665"/>
    <d v="2015-01-13T00:00:00"/>
    <x v="9"/>
    <s v="MRCS"/>
    <s v="Kachin"/>
    <s v="Sumprabum"/>
    <s v="Sumprabum"/>
    <m/>
    <m/>
    <m/>
    <m/>
    <m/>
    <m/>
    <m/>
    <m/>
    <m/>
    <m/>
    <n v="91"/>
    <n v="32"/>
    <m/>
    <n v="36"/>
    <m/>
    <m/>
    <m/>
    <n v="0"/>
    <n v="0"/>
    <n v="0"/>
    <n v="0"/>
    <n v="0"/>
    <n v="0"/>
    <n v="0"/>
    <n v="0"/>
    <n v="0"/>
    <n v="0"/>
    <n v="0"/>
    <n v="0"/>
    <n v="0"/>
    <n v="0"/>
    <n v="1"/>
    <n v="0"/>
    <n v="0"/>
    <n v="0"/>
    <s v="MMR001CMP206"/>
    <x v="0"/>
    <x v="0"/>
    <s v="P4"/>
    <s v=""/>
    <m/>
  </r>
  <r>
    <n v="27.966666666666665"/>
    <d v="2015-01-13T00:00:00"/>
    <x v="0"/>
    <s v="Shalom"/>
    <s v="Kachin"/>
    <s v="Myitkyina"/>
    <s v="Tat Kone COC Baptist - Tat Kone Htoi San"/>
    <m/>
    <m/>
    <m/>
    <m/>
    <n v="2"/>
    <m/>
    <m/>
    <m/>
    <m/>
    <m/>
    <m/>
    <m/>
    <m/>
    <m/>
    <m/>
    <m/>
    <m/>
    <n v="0"/>
    <n v="0"/>
    <n v="0"/>
    <n v="0"/>
    <n v="0"/>
    <n v="0"/>
    <n v="0"/>
    <n v="0"/>
    <n v="0"/>
    <n v="0"/>
    <n v="0"/>
    <n v="0"/>
    <n v="0"/>
    <n v="0"/>
    <n v="0"/>
    <n v="0"/>
    <n v="0"/>
    <n v="0"/>
    <s v="MMR001CMP023"/>
    <x v="0"/>
    <x v="0"/>
    <s v="P4"/>
    <n v="0"/>
    <s v="No"/>
  </r>
  <r>
    <n v="27.966666666666665"/>
    <d v="2015-01-13T00:00:00"/>
    <x v="9"/>
    <s v="MRCS"/>
    <s v="Kachin"/>
    <s v="Hpakant"/>
    <s v="Ward 2 Sai Taung Baptist Church, Seik Mu "/>
    <m/>
    <m/>
    <m/>
    <m/>
    <m/>
    <m/>
    <m/>
    <m/>
    <m/>
    <m/>
    <n v="94"/>
    <n v="58"/>
    <m/>
    <m/>
    <m/>
    <m/>
    <m/>
    <n v="0"/>
    <n v="0"/>
    <n v="0"/>
    <n v="0"/>
    <n v="0"/>
    <n v="0"/>
    <n v="0"/>
    <n v="0"/>
    <n v="0"/>
    <n v="0"/>
    <n v="0"/>
    <n v="0"/>
    <n v="0"/>
    <n v="0"/>
    <n v="1"/>
    <n v="0"/>
    <n v="0"/>
    <n v="0"/>
    <s v="MMR001CMP184"/>
    <x v="0"/>
    <x v="0"/>
    <s v="P4"/>
    <n v="0"/>
    <m/>
  </r>
  <r>
    <n v="27.966666666666665"/>
    <d v="2015-01-13T00:00:00"/>
    <x v="9"/>
    <s v="MRCS"/>
    <s v="Kachin"/>
    <s v="Hpakant"/>
    <s v="Yumar Baptist Church"/>
    <m/>
    <m/>
    <m/>
    <m/>
    <m/>
    <m/>
    <m/>
    <m/>
    <m/>
    <m/>
    <n v="33"/>
    <n v="8"/>
    <m/>
    <m/>
    <m/>
    <m/>
    <m/>
    <n v="0"/>
    <n v="0"/>
    <n v="0"/>
    <n v="0"/>
    <n v="0"/>
    <n v="0"/>
    <n v="0"/>
    <n v="0"/>
    <n v="0"/>
    <n v="0"/>
    <n v="0"/>
    <n v="0"/>
    <n v="0"/>
    <n v="0"/>
    <n v="1"/>
    <n v="0"/>
    <n v="0"/>
    <n v="0"/>
    <s v="MMR001CMP105"/>
    <x v="0"/>
    <x v="0"/>
    <s v="P4"/>
    <n v="0"/>
    <m/>
  </r>
  <r>
    <n v="27.533333333333335"/>
    <d v="2015-01-26T00:00:00"/>
    <x v="0"/>
    <s v="KBC"/>
    <s v="Kachin"/>
    <s v="Hpakant"/>
    <s v="5 Ward RC Church(lon Khin)"/>
    <m/>
    <n v="100"/>
    <m/>
    <n v="200"/>
    <n v="200"/>
    <n v="200"/>
    <n v="100"/>
    <m/>
    <n v="100"/>
    <n v="500"/>
    <m/>
    <m/>
    <m/>
    <m/>
    <n v="100"/>
    <m/>
    <m/>
    <n v="0"/>
    <n v="0"/>
    <n v="0"/>
    <n v="0"/>
    <n v="0"/>
    <n v="0"/>
    <n v="0"/>
    <n v="0"/>
    <n v="0"/>
    <n v="0"/>
    <n v="0"/>
    <n v="0"/>
    <n v="0"/>
    <n v="0"/>
    <n v="0"/>
    <n v="0"/>
    <n v="0"/>
    <n v="0"/>
    <s v="MMR001CMP168"/>
    <x v="0"/>
    <x v="0"/>
    <s v="P4"/>
    <n v="2.4227740763173833E-3"/>
    <s v="No"/>
  </r>
  <r>
    <n v="26.933333333333334"/>
    <d v="2015-02-13T00:00:00"/>
    <x v="0"/>
    <s v="KMSS"/>
    <s v="Kachin"/>
    <s v="Myitkyina"/>
    <s v="Pa Dauk Myaing(Pa La Na)"/>
    <m/>
    <m/>
    <m/>
    <m/>
    <m/>
    <n v="18"/>
    <n v="9"/>
    <m/>
    <n v="29"/>
    <n v="145"/>
    <m/>
    <m/>
    <m/>
    <m/>
    <m/>
    <m/>
    <m/>
    <n v="0"/>
    <n v="0"/>
    <n v="0"/>
    <n v="0"/>
    <n v="0"/>
    <n v="0"/>
    <n v="0"/>
    <n v="0"/>
    <n v="0"/>
    <n v="0"/>
    <n v="0"/>
    <n v="0"/>
    <n v="0"/>
    <n v="0"/>
    <n v="0"/>
    <n v="0"/>
    <n v="0"/>
    <n v="0"/>
    <s v="MMR001CMP162"/>
    <x v="0"/>
    <x v="0"/>
    <s v="P4"/>
    <n v="2.1821355833575792E-4"/>
    <s v="No"/>
  </r>
  <r>
    <n v="26.833333333333332"/>
    <d v="2015-02-16T00:00:00"/>
    <x v="0"/>
    <s v="KMSS"/>
    <s v="Kachin"/>
    <s v="Waingmaw"/>
    <s v="Hpun Lum Yang "/>
    <m/>
    <m/>
    <m/>
    <m/>
    <m/>
    <m/>
    <m/>
    <m/>
    <m/>
    <m/>
    <n v="865"/>
    <n v="924"/>
    <m/>
    <n v="918"/>
    <m/>
    <m/>
    <m/>
    <n v="0"/>
    <n v="0"/>
    <n v="0"/>
    <n v="0"/>
    <n v="0"/>
    <n v="0"/>
    <n v="0"/>
    <n v="0"/>
    <n v="0"/>
    <n v="0"/>
    <n v="0"/>
    <n v="0"/>
    <n v="0"/>
    <n v="0"/>
    <n v="1"/>
    <n v="0"/>
    <n v="0"/>
    <n v="0"/>
    <s v="MMR001CMP122"/>
    <x v="0"/>
    <x v="0"/>
    <s v="P2"/>
    <n v="0"/>
    <s v="No"/>
  </r>
  <r>
    <n v="26.833333333333332"/>
    <d v="2015-02-16T00:00:00"/>
    <x v="0"/>
    <s v="KMSS"/>
    <s v="Kachin"/>
    <s v="Waingmaw"/>
    <s v="Je Yang Hka "/>
    <m/>
    <m/>
    <m/>
    <m/>
    <m/>
    <m/>
    <m/>
    <m/>
    <m/>
    <m/>
    <n v="2676"/>
    <n v="2672"/>
    <m/>
    <n v="3186"/>
    <m/>
    <m/>
    <m/>
    <n v="0"/>
    <n v="0"/>
    <n v="0"/>
    <n v="0"/>
    <n v="0"/>
    <n v="0"/>
    <n v="0"/>
    <n v="0"/>
    <n v="0"/>
    <n v="0"/>
    <n v="0"/>
    <n v="0"/>
    <n v="0"/>
    <n v="0"/>
    <n v="1"/>
    <n v="0"/>
    <n v="0"/>
    <n v="0"/>
    <s v="MMR001CMP121"/>
    <x v="0"/>
    <x v="0"/>
    <s v="P2"/>
    <n v="0"/>
    <s v="No"/>
  </r>
  <r>
    <n v="26.833333333333332"/>
    <d v="2015-02-16T00:00:00"/>
    <x v="0"/>
    <s v="KMSS"/>
    <s v="Kachin"/>
    <s v="Waingmaw"/>
    <s v="Woi Chyai "/>
    <m/>
    <m/>
    <m/>
    <m/>
    <m/>
    <m/>
    <m/>
    <m/>
    <m/>
    <m/>
    <n v="1620"/>
    <n v="2207"/>
    <m/>
    <n v="1760"/>
    <m/>
    <m/>
    <m/>
    <n v="0"/>
    <n v="0"/>
    <n v="0"/>
    <n v="0"/>
    <n v="0"/>
    <n v="0"/>
    <n v="0"/>
    <n v="0"/>
    <n v="0"/>
    <n v="0"/>
    <n v="0"/>
    <n v="0"/>
    <n v="0"/>
    <n v="0"/>
    <n v="1"/>
    <n v="0"/>
    <n v="0"/>
    <n v="0"/>
    <s v="MMR001CMP116"/>
    <x v="0"/>
    <x v="0"/>
    <s v="P4"/>
    <n v="0"/>
    <s v="No"/>
  </r>
  <r>
    <n v="26.666666666666668"/>
    <d v="2015-02-21T00:00:00"/>
    <x v="0"/>
    <s v="KMSS-LSO"/>
    <s v="Shan_North"/>
    <s v="Kutkai"/>
    <s v="Zup Aung Camp"/>
    <m/>
    <n v="54"/>
    <n v="36"/>
    <n v="108"/>
    <n v="54"/>
    <n v="108"/>
    <n v="54"/>
    <n v="54"/>
    <n v="54"/>
    <n v="108"/>
    <m/>
    <m/>
    <m/>
    <m/>
    <n v="54"/>
    <m/>
    <m/>
    <n v="0"/>
    <n v="0"/>
    <n v="0"/>
    <n v="0"/>
    <n v="0"/>
    <n v="0"/>
    <n v="0"/>
    <n v="0"/>
    <n v="0"/>
    <n v="0"/>
    <n v="0"/>
    <n v="0"/>
    <n v="0"/>
    <n v="0"/>
    <n v="0"/>
    <n v="0"/>
    <n v="0"/>
    <n v="0"/>
    <s v="MMR015CMP020"/>
    <x v="0"/>
    <x v="0"/>
    <s v="P3"/>
    <n v="1.3092813500145475E-3"/>
    <s v="No"/>
  </r>
  <r>
    <n v="27.533333333333335"/>
    <d v="2015-01-26T00:00:00"/>
    <x v="0"/>
    <s v="KMSS"/>
    <s v="Kachin"/>
    <s v="Hpakant"/>
    <s v="Emergency"/>
    <m/>
    <n v="200"/>
    <m/>
    <n v="400"/>
    <n v="250"/>
    <n v="400"/>
    <n v="200"/>
    <m/>
    <n v="200"/>
    <n v="1200"/>
    <m/>
    <m/>
    <m/>
    <m/>
    <n v="200"/>
    <m/>
    <n v="30"/>
    <n v="0"/>
    <n v="0"/>
    <n v="0"/>
    <n v="0"/>
    <n v="0"/>
    <n v="0"/>
    <n v="0"/>
    <n v="0"/>
    <n v="0"/>
    <n v="0"/>
    <n v="0"/>
    <n v="0"/>
    <n v="0"/>
    <n v="0"/>
    <n v="0"/>
    <n v="0"/>
    <n v="0"/>
    <n v="0"/>
    <s v=""/>
    <x v="1"/>
    <x v="2"/>
    <s v=""/>
    <s v=""/>
    <s v="No"/>
  </r>
  <r>
    <n v="26.533333333333335"/>
    <d v="2015-02-25T00:00:00"/>
    <x v="1"/>
    <s v="Solidarities"/>
    <s v="Kachin"/>
    <s v="Bhamo"/>
    <s v="Robert Church"/>
    <m/>
    <m/>
    <m/>
    <m/>
    <m/>
    <m/>
    <m/>
    <m/>
    <m/>
    <m/>
    <m/>
    <m/>
    <m/>
    <m/>
    <m/>
    <n v="76"/>
    <m/>
    <n v="0"/>
    <n v="0"/>
    <n v="0"/>
    <n v="0"/>
    <n v="0"/>
    <n v="0"/>
    <n v="0"/>
    <n v="0"/>
    <n v="0"/>
    <n v="0"/>
    <n v="0"/>
    <n v="0"/>
    <n v="0"/>
    <n v="0"/>
    <n v="0"/>
    <n v="0"/>
    <n v="0"/>
    <n v="0"/>
    <s v="MMR001CMP047"/>
    <x v="0"/>
    <x v="0"/>
    <s v="P4"/>
    <n v="0"/>
    <m/>
  </r>
  <r>
    <n v="27.033333333333335"/>
    <d v="2015-02-10T00:00:00"/>
    <x v="0"/>
    <s v="UNHCR"/>
    <s v="Shan_North"/>
    <s v="Mansi"/>
    <s v="Moe Gok (A Shae Kyaung)"/>
    <m/>
    <m/>
    <m/>
    <n v="49"/>
    <n v="16"/>
    <n v="49"/>
    <n v="16"/>
    <m/>
    <n v="16"/>
    <n v="92"/>
    <m/>
    <m/>
    <m/>
    <m/>
    <n v="15"/>
    <m/>
    <m/>
    <n v="0"/>
    <n v="0"/>
    <n v="0"/>
    <n v="0"/>
    <n v="0"/>
    <n v="0"/>
    <n v="0"/>
    <n v="0"/>
    <n v="0"/>
    <n v="0"/>
    <n v="0"/>
    <n v="0"/>
    <n v="0"/>
    <n v="0"/>
    <n v="0"/>
    <n v="0"/>
    <n v="0"/>
    <n v="0"/>
    <s v=""/>
    <x v="1"/>
    <x v="2"/>
    <s v=""/>
    <s v=""/>
    <s v="No"/>
  </r>
  <r>
    <n v="27.033333333333335"/>
    <d v="2015-02-10T00:00:00"/>
    <x v="0"/>
    <s v="UNHCR"/>
    <s v="Shan_North"/>
    <s v="Mansi"/>
    <s v="Moe Gok (Aung Daw Mu)"/>
    <m/>
    <m/>
    <m/>
    <n v="75"/>
    <n v="13"/>
    <n v="110"/>
    <n v="13"/>
    <m/>
    <n v="13"/>
    <n v="45"/>
    <m/>
    <m/>
    <m/>
    <m/>
    <m/>
    <m/>
    <m/>
    <n v="0"/>
    <n v="0"/>
    <n v="0"/>
    <n v="0"/>
    <n v="0"/>
    <n v="0"/>
    <n v="0"/>
    <n v="0"/>
    <n v="0"/>
    <n v="0"/>
    <n v="0"/>
    <n v="0"/>
    <n v="0"/>
    <n v="0"/>
    <n v="0"/>
    <n v="0"/>
    <n v="0"/>
    <n v="0"/>
    <s v=""/>
    <x v="1"/>
    <x v="2"/>
    <s v=""/>
    <s v=""/>
    <s v="No"/>
  </r>
  <r>
    <n v="27.033333333333335"/>
    <d v="2015-02-10T00:00:00"/>
    <x v="0"/>
    <s v="UNHCR"/>
    <s v="Shan_North"/>
    <s v="Mansi"/>
    <s v="Moe Gok (Pain Pyit Lisu Village)"/>
    <m/>
    <n v="200"/>
    <m/>
    <n v="86"/>
    <n v="28"/>
    <n v="173"/>
    <n v="28"/>
    <m/>
    <n v="43"/>
    <n v="199"/>
    <m/>
    <m/>
    <m/>
    <m/>
    <n v="42"/>
    <m/>
    <m/>
    <n v="0"/>
    <n v="0"/>
    <n v="0"/>
    <n v="0"/>
    <n v="0"/>
    <n v="0"/>
    <n v="0"/>
    <n v="0"/>
    <n v="0"/>
    <n v="0"/>
    <n v="0"/>
    <n v="0"/>
    <n v="0"/>
    <n v="0"/>
    <n v="0"/>
    <n v="0"/>
    <n v="0"/>
    <n v="0"/>
    <s v=""/>
    <x v="1"/>
    <x v="2"/>
    <s v=""/>
    <s v=""/>
    <s v="No"/>
  </r>
  <r>
    <n v="27.033333333333335"/>
    <d v="2015-02-10T00:00:00"/>
    <x v="0"/>
    <s v="UNHCR"/>
    <s v="Shan_North"/>
    <s v="Mansi"/>
    <s v="Moe Mait (Man Ohn0"/>
    <m/>
    <m/>
    <m/>
    <n v="90"/>
    <n v="43"/>
    <n v="93"/>
    <n v="43"/>
    <m/>
    <n v="32"/>
    <n v="164"/>
    <m/>
    <m/>
    <m/>
    <m/>
    <n v="43"/>
    <m/>
    <m/>
    <n v="0"/>
    <n v="0"/>
    <n v="0"/>
    <n v="0"/>
    <n v="0"/>
    <n v="0"/>
    <n v="0"/>
    <n v="0"/>
    <n v="0"/>
    <n v="0"/>
    <n v="0"/>
    <n v="0"/>
    <n v="0"/>
    <n v="0"/>
    <n v="0"/>
    <n v="0"/>
    <n v="0"/>
    <n v="0"/>
    <s v=""/>
    <x v="1"/>
    <x v="2"/>
    <s v=""/>
    <s v=""/>
    <s v="No"/>
  </r>
  <r>
    <n v="27.033333333333335"/>
    <d v="2015-02-10T00:00:00"/>
    <x v="0"/>
    <s v="KBC"/>
    <s v="Kachin"/>
    <s v="Puta-O"/>
    <s v="Resettlement place"/>
    <m/>
    <m/>
    <n v="46"/>
    <n v="92"/>
    <n v="46"/>
    <n v="92"/>
    <n v="46"/>
    <m/>
    <n v="46"/>
    <n v="230"/>
    <m/>
    <m/>
    <m/>
    <m/>
    <n v="46"/>
    <m/>
    <n v="55"/>
    <n v="0"/>
    <n v="0"/>
    <n v="0"/>
    <n v="0"/>
    <n v="0"/>
    <n v="0"/>
    <n v="0"/>
    <n v="0"/>
    <n v="0"/>
    <n v="0"/>
    <n v="0"/>
    <n v="0"/>
    <n v="0"/>
    <n v="0"/>
    <n v="0"/>
    <n v="0"/>
    <n v="0"/>
    <n v="0"/>
    <s v=""/>
    <x v="1"/>
    <x v="2"/>
    <s v=""/>
    <s v=""/>
    <s v="No"/>
  </r>
  <r>
    <n v="26.933333333333334"/>
    <d v="2015-02-13T00:00:00"/>
    <x v="0"/>
    <s v="KMSS-LSO"/>
    <s v="Shan_North"/>
    <s v="Kutkai"/>
    <s v="Pyi Lung Chan Tar"/>
    <m/>
    <n v="68"/>
    <n v="54"/>
    <n v="134"/>
    <n v="68"/>
    <n v="134"/>
    <n v="68"/>
    <m/>
    <n v="68"/>
    <n v="134"/>
    <m/>
    <m/>
    <m/>
    <m/>
    <n v="68"/>
    <m/>
    <m/>
    <n v="0"/>
    <n v="0"/>
    <n v="0"/>
    <n v="0"/>
    <n v="0"/>
    <n v="0"/>
    <n v="0"/>
    <n v="0"/>
    <n v="0"/>
    <n v="0"/>
    <n v="0"/>
    <n v="0"/>
    <n v="0"/>
    <n v="0"/>
    <n v="0"/>
    <n v="0"/>
    <n v="0"/>
    <n v="0"/>
    <s v=""/>
    <x v="1"/>
    <x v="2"/>
    <s v=""/>
    <s v=""/>
    <s v="No"/>
  </r>
  <r>
    <n v="26.5"/>
    <d v="2015-02-26T00:00:00"/>
    <x v="1"/>
    <s v="Solidarities"/>
    <s v="Kachin"/>
    <s v="Bhamo"/>
    <s v="AD-2000 Tharthana Compound"/>
    <m/>
    <m/>
    <m/>
    <m/>
    <m/>
    <m/>
    <m/>
    <m/>
    <m/>
    <m/>
    <m/>
    <m/>
    <m/>
    <m/>
    <m/>
    <n v="37"/>
    <m/>
    <n v="0"/>
    <n v="0"/>
    <n v="0"/>
    <n v="0"/>
    <n v="0"/>
    <n v="0"/>
    <n v="0"/>
    <n v="0"/>
    <n v="0"/>
    <n v="0"/>
    <n v="0"/>
    <n v="0"/>
    <n v="0"/>
    <n v="0"/>
    <n v="0"/>
    <n v="0"/>
    <n v="0"/>
    <n v="0"/>
    <s v="MMR001CMP050"/>
    <x v="0"/>
    <x v="0"/>
    <s v="P4"/>
    <n v="0"/>
    <m/>
  </r>
  <r>
    <n v="26.833333333333332"/>
    <d v="2015-02-16T00:00:00"/>
    <x v="0"/>
    <s v="KMSS"/>
    <s v="Kachin"/>
    <s v="Waingmaw"/>
    <s v="Laiza Market 3 - Laiza Gat"/>
    <m/>
    <m/>
    <m/>
    <m/>
    <m/>
    <m/>
    <m/>
    <m/>
    <m/>
    <m/>
    <n v="1119"/>
    <n v="1455"/>
    <m/>
    <n v="1080"/>
    <m/>
    <m/>
    <m/>
    <n v="0"/>
    <n v="0"/>
    <n v="0"/>
    <n v="0"/>
    <n v="0"/>
    <n v="0"/>
    <n v="0"/>
    <n v="0"/>
    <n v="0"/>
    <n v="0"/>
    <n v="0"/>
    <n v="0"/>
    <n v="0"/>
    <n v="0"/>
    <n v="1"/>
    <n v="0"/>
    <n v="0"/>
    <n v="0"/>
    <s v="MMR001CMP117"/>
    <x v="0"/>
    <x v="1"/>
    <s v="P2"/>
    <n v="0"/>
    <s v="No"/>
  </r>
  <r>
    <n v="26.266666666666666"/>
    <d v="2015-03-05T00:00:00"/>
    <x v="0"/>
    <s v="KMSS-LSO"/>
    <s v="Shan_North"/>
    <s v="Hseni"/>
    <s v="Nam Sa Larp"/>
    <m/>
    <n v="43"/>
    <n v="43"/>
    <n v="85"/>
    <n v="43"/>
    <n v="95"/>
    <n v="43"/>
    <n v="43"/>
    <n v="43"/>
    <n v="95"/>
    <m/>
    <m/>
    <m/>
    <m/>
    <n v="43"/>
    <m/>
    <m/>
    <n v="0"/>
    <n v="0"/>
    <n v="0"/>
    <n v="0"/>
    <n v="0"/>
    <n v="0"/>
    <n v="0"/>
    <n v="0"/>
    <n v="0"/>
    <n v="0"/>
    <n v="0"/>
    <n v="0"/>
    <n v="0"/>
    <n v="0"/>
    <n v="0"/>
    <n v="0"/>
    <n v="0"/>
    <n v="0"/>
    <s v="MMR015CMP218"/>
    <x v="2"/>
    <x v="0"/>
    <n v="0"/>
    <n v="1.0229327243315254E-3"/>
    <s v="No"/>
  </r>
  <r>
    <n v="26.1"/>
    <d v="2015-03-10T00:00:00"/>
    <x v="1"/>
    <s v="Solidarities"/>
    <s v="Kachin"/>
    <s v="Momauk"/>
    <s v="Nyaung Na Pin "/>
    <m/>
    <m/>
    <m/>
    <m/>
    <m/>
    <m/>
    <m/>
    <m/>
    <m/>
    <m/>
    <m/>
    <m/>
    <m/>
    <m/>
    <m/>
    <n v="2"/>
    <m/>
    <n v="0"/>
    <n v="0"/>
    <n v="0"/>
    <n v="0"/>
    <n v="0"/>
    <n v="0"/>
    <n v="0"/>
    <n v="0"/>
    <n v="0"/>
    <n v="0"/>
    <n v="0"/>
    <n v="0"/>
    <n v="0"/>
    <n v="0"/>
    <n v="0"/>
    <n v="0"/>
    <n v="0"/>
    <n v="0"/>
    <s v="MMR001CMP072"/>
    <x v="0"/>
    <x v="0"/>
    <s v="P3"/>
    <n v="0"/>
    <m/>
  </r>
  <r>
    <n v="26.033333333333335"/>
    <d v="2015-03-12T00:00:00"/>
    <x v="1"/>
    <s v="Solidarities"/>
    <s v="Kachin"/>
    <s v="Momauk"/>
    <s v="Loi Je Baptist Church"/>
    <m/>
    <m/>
    <m/>
    <m/>
    <m/>
    <m/>
    <m/>
    <m/>
    <m/>
    <m/>
    <m/>
    <m/>
    <m/>
    <m/>
    <m/>
    <n v="1"/>
    <m/>
    <n v="0"/>
    <n v="0"/>
    <n v="0"/>
    <n v="0"/>
    <n v="0"/>
    <n v="0"/>
    <n v="0"/>
    <n v="0"/>
    <n v="0"/>
    <n v="0"/>
    <n v="0"/>
    <n v="0"/>
    <n v="0"/>
    <n v="0"/>
    <n v="0"/>
    <n v="0"/>
    <n v="0"/>
    <n v="0"/>
    <s v="MMR001CMP071"/>
    <x v="0"/>
    <x v="0"/>
    <s v="P3"/>
    <n v="0"/>
    <m/>
  </r>
  <r>
    <n v="26.666666666666668"/>
    <d v="2015-02-21T00:00:00"/>
    <x v="0"/>
    <s v="UNHCR"/>
    <s v="Shan_North"/>
    <s v="Kutkai"/>
    <s v="Namtit"/>
    <m/>
    <m/>
    <m/>
    <n v="161"/>
    <n v="76"/>
    <m/>
    <n v="76"/>
    <m/>
    <n v="76"/>
    <m/>
    <m/>
    <m/>
    <m/>
    <m/>
    <n v="76"/>
    <m/>
    <m/>
    <n v="0"/>
    <n v="0"/>
    <n v="0"/>
    <n v="0"/>
    <n v="0"/>
    <n v="0"/>
    <n v="0"/>
    <n v="0"/>
    <n v="0"/>
    <n v="0"/>
    <n v="0"/>
    <n v="0"/>
    <n v="0"/>
    <n v="0"/>
    <n v="0"/>
    <n v="0"/>
    <n v="0"/>
    <n v="0"/>
    <s v=""/>
    <x v="1"/>
    <x v="2"/>
    <s v=""/>
    <s v=""/>
    <s v="No"/>
  </r>
  <r>
    <n v="26.033333333333335"/>
    <d v="2015-03-12T00:00:00"/>
    <x v="1"/>
    <s v="Solidarities"/>
    <s v="Kachin"/>
    <s v="Momauk"/>
    <s v="Loi Je Baptist Church"/>
    <m/>
    <m/>
    <m/>
    <m/>
    <m/>
    <m/>
    <m/>
    <m/>
    <m/>
    <m/>
    <m/>
    <m/>
    <m/>
    <m/>
    <m/>
    <m/>
    <m/>
    <n v="0"/>
    <n v="0"/>
    <n v="0"/>
    <n v="0"/>
    <n v="0"/>
    <n v="0"/>
    <n v="0"/>
    <n v="0"/>
    <n v="0"/>
    <n v="0"/>
    <n v="0"/>
    <n v="0"/>
    <n v="0"/>
    <n v="0"/>
    <n v="0"/>
    <n v="0"/>
    <n v="0"/>
    <n v="0"/>
    <s v="MMR001CMP071"/>
    <x v="0"/>
    <x v="0"/>
    <s v="P3"/>
    <n v="0"/>
    <m/>
  </r>
  <r>
    <n v="26.033333333333335"/>
    <d v="2015-03-12T00:00:00"/>
    <x v="1"/>
    <s v="Solidarities"/>
    <s v="Kachin"/>
    <s v="Momauk"/>
    <s v="Loi Je Catholic Church"/>
    <m/>
    <m/>
    <m/>
    <m/>
    <m/>
    <m/>
    <m/>
    <m/>
    <m/>
    <m/>
    <m/>
    <m/>
    <m/>
    <m/>
    <m/>
    <n v="2"/>
    <m/>
    <n v="0"/>
    <n v="0"/>
    <n v="0"/>
    <n v="0"/>
    <n v="0"/>
    <n v="0"/>
    <n v="0"/>
    <n v="0"/>
    <n v="0"/>
    <n v="0"/>
    <n v="0"/>
    <n v="0"/>
    <n v="0"/>
    <n v="0"/>
    <n v="0"/>
    <n v="0"/>
    <n v="0"/>
    <n v="0"/>
    <s v="MMR001CMP069"/>
    <x v="0"/>
    <x v="0"/>
    <s v="P3"/>
    <n v="0"/>
    <m/>
  </r>
  <r>
    <n v="26.033333333333335"/>
    <d v="2015-03-12T00:00:00"/>
    <x v="1"/>
    <s v="Solidarities"/>
    <s v="Kachin"/>
    <s v="Momauk"/>
    <s v="Loi Je Lisu Camp"/>
    <m/>
    <m/>
    <m/>
    <m/>
    <m/>
    <m/>
    <m/>
    <m/>
    <m/>
    <m/>
    <m/>
    <m/>
    <m/>
    <m/>
    <m/>
    <n v="5"/>
    <m/>
    <n v="0"/>
    <n v="0"/>
    <n v="0"/>
    <n v="0"/>
    <n v="0"/>
    <n v="0"/>
    <n v="0"/>
    <n v="0"/>
    <n v="0"/>
    <n v="0"/>
    <n v="0"/>
    <n v="0"/>
    <n v="0"/>
    <n v="0"/>
    <n v="0"/>
    <n v="0"/>
    <n v="0"/>
    <n v="0"/>
    <s v="MMR001CMP070"/>
    <x v="0"/>
    <x v="0"/>
    <s v="P3"/>
    <n v="0"/>
    <m/>
  </r>
  <r>
    <n v="26.033333333333335"/>
    <d v="2015-03-12T00:00:00"/>
    <x v="1"/>
    <s v="Solidarities"/>
    <s v="Kachin"/>
    <s v="Bhamo"/>
    <s v="Phan Khar Kone"/>
    <m/>
    <m/>
    <m/>
    <m/>
    <m/>
    <m/>
    <m/>
    <m/>
    <m/>
    <m/>
    <m/>
    <m/>
    <m/>
    <m/>
    <m/>
    <n v="7"/>
    <m/>
    <n v="0"/>
    <n v="0"/>
    <n v="0"/>
    <n v="0"/>
    <n v="0"/>
    <n v="0"/>
    <n v="0"/>
    <n v="0"/>
    <n v="0"/>
    <n v="0"/>
    <n v="0"/>
    <n v="0"/>
    <n v="0"/>
    <n v="0"/>
    <n v="0"/>
    <n v="0"/>
    <n v="0"/>
    <n v="0"/>
    <s v="MMR001CMP193"/>
    <x v="0"/>
    <x v="0"/>
    <s v="P4"/>
    <n v="0"/>
    <m/>
  </r>
  <r>
    <n v="26.033333333333335"/>
    <d v="2015-03-12T00:00:00"/>
    <x v="1"/>
    <s v="Solidarities"/>
    <s v="Kachin"/>
    <s v="Bhamo"/>
    <s v="Robert Church"/>
    <m/>
    <m/>
    <m/>
    <m/>
    <m/>
    <m/>
    <m/>
    <m/>
    <m/>
    <m/>
    <m/>
    <m/>
    <m/>
    <m/>
    <m/>
    <n v="11"/>
    <m/>
    <n v="0"/>
    <n v="0"/>
    <n v="0"/>
    <n v="0"/>
    <n v="0"/>
    <n v="0"/>
    <n v="0"/>
    <n v="0"/>
    <n v="0"/>
    <n v="0"/>
    <n v="0"/>
    <n v="0"/>
    <n v="0"/>
    <n v="0"/>
    <n v="0"/>
    <n v="0"/>
    <n v="0"/>
    <n v="0"/>
    <s v="MMR001CMP047"/>
    <x v="0"/>
    <x v="0"/>
    <s v="P4"/>
    <n v="0"/>
    <m/>
  </r>
  <r>
    <n v="26.033333333333335"/>
    <d v="2015-03-12T00:00:00"/>
    <x v="1"/>
    <s v="Solidarities"/>
    <s v="Kachin"/>
    <s v="Momauk"/>
    <s v="Seng Ja "/>
    <m/>
    <m/>
    <m/>
    <m/>
    <m/>
    <m/>
    <m/>
    <m/>
    <m/>
    <m/>
    <m/>
    <m/>
    <m/>
    <m/>
    <m/>
    <n v="4"/>
    <m/>
    <n v="0"/>
    <n v="0"/>
    <n v="0"/>
    <n v="0"/>
    <n v="0"/>
    <n v="0"/>
    <n v="0"/>
    <n v="0"/>
    <n v="0"/>
    <n v="0"/>
    <n v="0"/>
    <n v="0"/>
    <n v="0"/>
    <n v="0"/>
    <n v="0"/>
    <n v="0"/>
    <n v="0"/>
    <n v="0"/>
    <s v="MMR001CMP073"/>
    <x v="0"/>
    <x v="0"/>
    <s v="P3"/>
    <n v="0"/>
    <m/>
  </r>
  <r>
    <n v="26"/>
    <d v="2015-03-13T00:00:00"/>
    <x v="0"/>
    <s v="KMSS"/>
    <s v="Kachin"/>
    <s v="Waingmaw"/>
    <s v="Maina Catholic Church (St. Joseph)"/>
    <m/>
    <m/>
    <m/>
    <m/>
    <n v="1"/>
    <m/>
    <m/>
    <m/>
    <m/>
    <m/>
    <m/>
    <m/>
    <m/>
    <m/>
    <m/>
    <m/>
    <m/>
    <n v="0"/>
    <n v="0"/>
    <n v="0"/>
    <n v="0"/>
    <n v="0"/>
    <n v="0"/>
    <n v="0"/>
    <n v="0"/>
    <n v="0"/>
    <n v="0"/>
    <n v="0"/>
    <n v="0"/>
    <n v="0"/>
    <n v="0"/>
    <n v="0"/>
    <n v="0"/>
    <n v="0"/>
    <n v="0"/>
    <s v="MMR001CMP029"/>
    <x v="0"/>
    <x v="0"/>
    <s v="P4"/>
    <n v="0"/>
    <s v="No"/>
  </r>
  <r>
    <n v="25.6"/>
    <d v="2015-03-25T00:00:00"/>
    <x v="0"/>
    <s v="KMSS-BMO"/>
    <s v="Kachin"/>
    <s v="Mansi"/>
    <s v="Bum Tsit Pa "/>
    <m/>
    <m/>
    <m/>
    <m/>
    <m/>
    <n v="829"/>
    <m/>
    <m/>
    <m/>
    <m/>
    <m/>
    <m/>
    <m/>
    <m/>
    <m/>
    <m/>
    <m/>
    <n v="0"/>
    <n v="0"/>
    <n v="0"/>
    <n v="0"/>
    <n v="0"/>
    <n v="0"/>
    <n v="0"/>
    <n v="0"/>
    <n v="0"/>
    <n v="0"/>
    <n v="0"/>
    <n v="0"/>
    <n v="0"/>
    <n v="0"/>
    <n v="0"/>
    <n v="0"/>
    <n v="0"/>
    <n v="0"/>
    <s v="MMR001CMP129"/>
    <x v="0"/>
    <x v="0"/>
    <s v="P2"/>
    <n v="0"/>
    <s v="No"/>
  </r>
  <r>
    <n v="25.533333333333335"/>
    <d v="2015-03-27T00:00:00"/>
    <x v="0"/>
    <s v="KMSS-BMO"/>
    <s v="Kachin"/>
    <s v="Mansi"/>
    <s v="Lana Zup Ja "/>
    <m/>
    <m/>
    <m/>
    <m/>
    <m/>
    <n v="357"/>
    <m/>
    <m/>
    <m/>
    <m/>
    <m/>
    <m/>
    <m/>
    <m/>
    <m/>
    <m/>
    <m/>
    <n v="0"/>
    <n v="0"/>
    <n v="0"/>
    <n v="0"/>
    <n v="0"/>
    <n v="0"/>
    <n v="0"/>
    <n v="0"/>
    <n v="0"/>
    <n v="0"/>
    <n v="0"/>
    <n v="0"/>
    <n v="0"/>
    <n v="0"/>
    <n v="0"/>
    <n v="0"/>
    <n v="0"/>
    <n v="0"/>
    <s v="MMR001CMP128"/>
    <x v="0"/>
    <x v="0"/>
    <s v="P2"/>
    <n v="0"/>
    <s v="No"/>
  </r>
  <r>
    <n v="25.3"/>
    <d v="2015-04-03T00:00:00"/>
    <x v="0"/>
    <s v="Shalom-BM"/>
    <s v="Kachin"/>
    <s v="Bhamo"/>
    <s v="Mu-yin Baptist Church"/>
    <m/>
    <m/>
    <m/>
    <m/>
    <n v="3"/>
    <n v="53"/>
    <m/>
    <m/>
    <n v="3"/>
    <n v="11"/>
    <m/>
    <m/>
    <m/>
    <m/>
    <n v="3"/>
    <m/>
    <m/>
    <n v="0"/>
    <n v="0"/>
    <n v="0"/>
    <n v="0"/>
    <n v="0"/>
    <n v="0"/>
    <n v="0"/>
    <n v="0"/>
    <n v="0"/>
    <n v="0"/>
    <n v="0"/>
    <n v="0"/>
    <n v="0"/>
    <n v="0"/>
    <n v="0"/>
    <n v="0"/>
    <n v="0"/>
    <n v="0"/>
    <s v="MMR001CMP051"/>
    <x v="0"/>
    <x v="0"/>
    <s v="P4"/>
    <n v="0"/>
    <s v="No"/>
  </r>
  <r>
    <n v="25.3"/>
    <d v="2015-04-03T00:00:00"/>
    <x v="0"/>
    <s v="UNHCR"/>
    <s v="Kachin"/>
    <s v="Momauk"/>
    <s v="Nhkawng Pa "/>
    <m/>
    <m/>
    <m/>
    <m/>
    <m/>
    <m/>
    <m/>
    <m/>
    <m/>
    <m/>
    <m/>
    <m/>
    <m/>
    <m/>
    <n v="405"/>
    <m/>
    <m/>
    <n v="0"/>
    <n v="0"/>
    <n v="0"/>
    <n v="0"/>
    <n v="0"/>
    <n v="0"/>
    <n v="0"/>
    <n v="0"/>
    <n v="0"/>
    <n v="0"/>
    <n v="0"/>
    <n v="0"/>
    <n v="0"/>
    <n v="0"/>
    <n v="0"/>
    <n v="0"/>
    <n v="0"/>
    <n v="0"/>
    <s v="MMR001CMP131"/>
    <x v="0"/>
    <x v="0"/>
    <s v="P1"/>
    <n v="0"/>
    <s v="No"/>
  </r>
  <r>
    <n v="25.133333333333333"/>
    <d v="2015-04-08T00:00:00"/>
    <x v="1"/>
    <s v="Solidarities"/>
    <s v="Kachin"/>
    <s v="Bhamo"/>
    <s v="AD-2000 Tharthana Compound"/>
    <m/>
    <m/>
    <m/>
    <m/>
    <m/>
    <m/>
    <m/>
    <m/>
    <m/>
    <m/>
    <m/>
    <m/>
    <m/>
    <m/>
    <m/>
    <n v="7"/>
    <m/>
    <n v="0"/>
    <n v="0"/>
    <n v="0"/>
    <n v="0"/>
    <n v="0"/>
    <n v="0"/>
    <n v="0"/>
    <n v="0"/>
    <n v="0"/>
    <n v="0"/>
    <n v="0"/>
    <n v="0"/>
    <n v="0"/>
    <n v="0"/>
    <n v="0"/>
    <n v="0"/>
    <n v="0"/>
    <n v="0"/>
    <s v="MMR001CMP050"/>
    <x v="0"/>
    <x v="0"/>
    <s v="P4"/>
    <n v="0"/>
    <m/>
  </r>
  <r>
    <n v="25.133333333333333"/>
    <d v="2015-04-08T00:00:00"/>
    <x v="0"/>
    <s v="KBC"/>
    <s v="Kachin"/>
    <s v="Mansi"/>
    <s v="Maing Khaung"/>
    <m/>
    <m/>
    <m/>
    <n v="8"/>
    <n v="4"/>
    <m/>
    <n v="4"/>
    <m/>
    <n v="4"/>
    <m/>
    <m/>
    <m/>
    <m/>
    <m/>
    <m/>
    <m/>
    <m/>
    <n v="0"/>
    <n v="0"/>
    <n v="0"/>
    <n v="0"/>
    <n v="0"/>
    <n v="0"/>
    <n v="0"/>
    <n v="0"/>
    <n v="0"/>
    <n v="0"/>
    <n v="0"/>
    <n v="0"/>
    <n v="0"/>
    <n v="0"/>
    <n v="0"/>
    <n v="0"/>
    <n v="0"/>
    <n v="0"/>
    <s v="MMR001CMP218"/>
    <x v="0"/>
    <x v="0"/>
    <s v="P4"/>
    <n v="9.6274188889958599E-5"/>
    <s v="No"/>
  </r>
  <r>
    <n v="25.133333333333333"/>
    <d v="2015-04-08T00:00:00"/>
    <x v="1"/>
    <s v="Solidarities"/>
    <s v="Kachin"/>
    <s v="Bhamo"/>
    <s v="Ta Gun Taing Monastery (Shwe Kyi Na)"/>
    <m/>
    <m/>
    <m/>
    <m/>
    <m/>
    <m/>
    <m/>
    <m/>
    <m/>
    <m/>
    <m/>
    <m/>
    <m/>
    <m/>
    <m/>
    <n v="2"/>
    <m/>
    <n v="0"/>
    <n v="0"/>
    <n v="0"/>
    <n v="0"/>
    <n v="0"/>
    <n v="0"/>
    <n v="0"/>
    <n v="0"/>
    <n v="0"/>
    <n v="0"/>
    <n v="0"/>
    <n v="0"/>
    <n v="0"/>
    <n v="0"/>
    <n v="0"/>
    <n v="0"/>
    <n v="0"/>
    <n v="0"/>
    <s v="MMR001CMP055"/>
    <x v="0"/>
    <x v="0"/>
    <s v="P4"/>
    <n v="0"/>
    <m/>
  </r>
  <r>
    <n v="25.9"/>
    <d v="2015-03-16T00:00:00"/>
    <x v="0"/>
    <s v="UNHCR"/>
    <s v="Kachin"/>
    <s v="Bhamo"/>
    <s v="Nhkawng Pa camp and Pa Kahtawng camp thru cross line mission with KMSS-Bhamo"/>
    <m/>
    <m/>
    <m/>
    <m/>
    <m/>
    <m/>
    <m/>
    <m/>
    <m/>
    <m/>
    <n v="2460"/>
    <n v="3600"/>
    <m/>
    <m/>
    <m/>
    <m/>
    <m/>
    <n v="0"/>
    <n v="0"/>
    <n v="0"/>
    <n v="0"/>
    <n v="0"/>
    <n v="0"/>
    <n v="0"/>
    <n v="0"/>
    <n v="0"/>
    <n v="0"/>
    <n v="0"/>
    <n v="0"/>
    <n v="0"/>
    <n v="0"/>
    <n v="1"/>
    <n v="0"/>
    <n v="0"/>
    <n v="0"/>
    <s v=""/>
    <x v="1"/>
    <x v="2"/>
    <s v=""/>
    <s v=""/>
    <s v="No"/>
  </r>
  <r>
    <n v="25.6"/>
    <d v="2015-03-25T00:00:00"/>
    <x v="1"/>
    <s v="Solidarities"/>
    <s v="Kachin"/>
    <s v="Momauk"/>
    <s v="Edin"/>
    <m/>
    <m/>
    <m/>
    <m/>
    <m/>
    <m/>
    <m/>
    <m/>
    <m/>
    <m/>
    <m/>
    <m/>
    <m/>
    <m/>
    <m/>
    <n v="3"/>
    <m/>
    <n v="0"/>
    <n v="0"/>
    <n v="0"/>
    <n v="0"/>
    <n v="0"/>
    <n v="0"/>
    <n v="0"/>
    <n v="0"/>
    <n v="0"/>
    <n v="0"/>
    <n v="0"/>
    <n v="0"/>
    <n v="0"/>
    <n v="0"/>
    <n v="0"/>
    <n v="0"/>
    <n v="0"/>
    <n v="0"/>
    <s v=""/>
    <x v="1"/>
    <x v="2"/>
    <s v=""/>
    <s v=""/>
    <m/>
  </r>
  <r>
    <n v="25.6"/>
    <d v="2015-03-25T00:00:00"/>
    <x v="0"/>
    <s v="UNHCR"/>
    <s v="Kachin"/>
    <s v="Mansi"/>
    <s v="Lana Zup Ja and Bumtsit pa (1) and (2)"/>
    <m/>
    <m/>
    <m/>
    <n v="1621"/>
    <m/>
    <m/>
    <m/>
    <m/>
    <m/>
    <m/>
    <m/>
    <m/>
    <m/>
    <m/>
    <m/>
    <m/>
    <m/>
    <n v="0"/>
    <n v="0"/>
    <n v="0"/>
    <n v="0"/>
    <n v="0"/>
    <n v="0"/>
    <n v="0"/>
    <n v="0"/>
    <n v="0"/>
    <n v="0"/>
    <n v="0"/>
    <n v="0"/>
    <n v="0"/>
    <n v="0"/>
    <n v="0"/>
    <n v="0"/>
    <n v="0"/>
    <n v="0"/>
    <s v=""/>
    <x v="1"/>
    <x v="2"/>
    <s v=""/>
    <s v=""/>
    <s v="No"/>
  </r>
  <r>
    <n v="25.6"/>
    <d v="2015-03-25T00:00:00"/>
    <x v="0"/>
    <s v="UNHCR"/>
    <s v="Kachin"/>
    <s v="Bhamo"/>
    <s v="Nhkawng Pa camp and Pa Kahtawng camp thru cross line mission with KMSS-Bhamo"/>
    <m/>
    <m/>
    <m/>
    <m/>
    <m/>
    <m/>
    <m/>
    <m/>
    <m/>
    <m/>
    <n v="2086"/>
    <n v="3036"/>
    <m/>
    <m/>
    <m/>
    <m/>
    <m/>
    <n v="0"/>
    <n v="0"/>
    <n v="0"/>
    <n v="0"/>
    <n v="0"/>
    <n v="0"/>
    <n v="0"/>
    <n v="0"/>
    <n v="0"/>
    <n v="0"/>
    <n v="0"/>
    <n v="0"/>
    <n v="0"/>
    <n v="0"/>
    <n v="1"/>
    <n v="0"/>
    <n v="0"/>
    <n v="0"/>
    <s v=""/>
    <x v="1"/>
    <x v="2"/>
    <s v=""/>
    <s v=""/>
    <s v="No"/>
  </r>
  <r>
    <n v="25.6"/>
    <d v="2015-03-25T00:00:00"/>
    <x v="1"/>
    <s v="Solidarities"/>
    <s v="Kachin"/>
    <s v="Momauk"/>
    <s v="Ni Thaw Ka Monestry"/>
    <m/>
    <m/>
    <m/>
    <m/>
    <m/>
    <m/>
    <m/>
    <m/>
    <m/>
    <m/>
    <m/>
    <m/>
    <m/>
    <m/>
    <m/>
    <n v="1"/>
    <m/>
    <n v="0"/>
    <n v="0"/>
    <n v="0"/>
    <n v="0"/>
    <n v="0"/>
    <n v="0"/>
    <n v="0"/>
    <n v="0"/>
    <n v="0"/>
    <n v="0"/>
    <n v="0"/>
    <n v="0"/>
    <n v="0"/>
    <n v="0"/>
    <n v="0"/>
    <n v="0"/>
    <n v="0"/>
    <n v="0"/>
    <s v="MMR001CMP059"/>
    <x v="0"/>
    <x v="1"/>
    <s v="P4"/>
    <n v="0"/>
    <m/>
  </r>
  <r>
    <n v="24.866666666666667"/>
    <d v="2015-04-16T00:00:00"/>
    <x v="0"/>
    <s v="KMSS-LSO"/>
    <s v="Shan_North"/>
    <s v="Kutkai"/>
    <s v="Kutkai downtown (RC Church)"/>
    <m/>
    <m/>
    <m/>
    <m/>
    <m/>
    <m/>
    <m/>
    <m/>
    <m/>
    <n v="69"/>
    <m/>
    <m/>
    <m/>
    <m/>
    <m/>
    <m/>
    <m/>
    <n v="0"/>
    <n v="0"/>
    <n v="0"/>
    <n v="0"/>
    <n v="0"/>
    <n v="0"/>
    <n v="0"/>
    <n v="0"/>
    <n v="0"/>
    <n v="0"/>
    <n v="0"/>
    <n v="0"/>
    <n v="0"/>
    <n v="0"/>
    <n v="0"/>
    <n v="0"/>
    <n v="0"/>
    <n v="0"/>
    <s v="MMR015CMP017"/>
    <x v="0"/>
    <x v="0"/>
    <s v="P3"/>
    <n v="0"/>
    <s v="No"/>
  </r>
  <r>
    <n v="24.6"/>
    <d v="2015-04-24T00:00:00"/>
    <x v="0"/>
    <s v="KBC"/>
    <s v="Kachin"/>
    <s v="Momauk"/>
    <s v="Loi Je Lisu Camp"/>
    <m/>
    <m/>
    <m/>
    <m/>
    <m/>
    <m/>
    <m/>
    <m/>
    <n v="9"/>
    <m/>
    <m/>
    <m/>
    <m/>
    <m/>
    <m/>
    <m/>
    <m/>
    <n v="0"/>
    <n v="0"/>
    <n v="0"/>
    <n v="0"/>
    <n v="0"/>
    <n v="0"/>
    <n v="0"/>
    <n v="0"/>
    <n v="0"/>
    <n v="0"/>
    <n v="0"/>
    <n v="0"/>
    <n v="0"/>
    <n v="0"/>
    <n v="0"/>
    <n v="0"/>
    <n v="0"/>
    <n v="0"/>
    <s v="MMR001CMP070"/>
    <x v="0"/>
    <x v="0"/>
    <s v="P3"/>
    <n v="0"/>
    <s v="No"/>
  </r>
  <r>
    <n v="25.5"/>
    <d v="2015-03-28T00:00:00"/>
    <x v="0"/>
    <s v="KMSS-BMO"/>
    <s v="Kachin"/>
    <s v="Mansi"/>
    <s v="Bum Tsit Pa Camp II"/>
    <m/>
    <m/>
    <m/>
    <m/>
    <m/>
    <n v="704"/>
    <m/>
    <m/>
    <n v="9"/>
    <m/>
    <m/>
    <m/>
    <m/>
    <m/>
    <m/>
    <m/>
    <m/>
    <n v="0"/>
    <n v="0"/>
    <n v="0"/>
    <n v="0"/>
    <n v="0"/>
    <n v="0"/>
    <n v="0"/>
    <n v="0"/>
    <n v="0"/>
    <n v="0"/>
    <n v="0"/>
    <n v="0"/>
    <n v="0"/>
    <n v="0"/>
    <n v="0"/>
    <n v="0"/>
    <n v="0"/>
    <n v="0"/>
    <s v="MMR001CMP226"/>
    <x v="0"/>
    <x v="1"/>
    <s v="P2"/>
    <n v="0"/>
    <s v="No"/>
  </r>
  <r>
    <n v="25.3"/>
    <d v="2015-04-03T00:00:00"/>
    <x v="0"/>
    <s v="Shalom-BM"/>
    <s v="Kachin"/>
    <s v="Bhamo"/>
    <s v="Lisu Baptist Church"/>
    <m/>
    <m/>
    <m/>
    <m/>
    <m/>
    <n v="15"/>
    <m/>
    <m/>
    <n v="26"/>
    <n v="720"/>
    <m/>
    <m/>
    <m/>
    <m/>
    <n v="26"/>
    <m/>
    <m/>
    <n v="0"/>
    <n v="0"/>
    <n v="0"/>
    <n v="0"/>
    <n v="0"/>
    <n v="0"/>
    <n v="0"/>
    <n v="0"/>
    <n v="0"/>
    <n v="0"/>
    <n v="0"/>
    <n v="0"/>
    <n v="0"/>
    <n v="0"/>
    <n v="0"/>
    <n v="0"/>
    <n v="0"/>
    <n v="0"/>
    <s v=""/>
    <x v="1"/>
    <x v="2"/>
    <s v=""/>
    <s v=""/>
    <s v="No"/>
  </r>
  <r>
    <n v="25.3"/>
    <d v="2015-04-03T00:00:00"/>
    <x v="0"/>
    <s v="Shalom"/>
    <s v="Kachin"/>
    <s v="Momauk"/>
    <s v="Mandalay Monestry"/>
    <m/>
    <m/>
    <m/>
    <m/>
    <m/>
    <m/>
    <m/>
    <m/>
    <m/>
    <m/>
    <m/>
    <m/>
    <m/>
    <m/>
    <m/>
    <m/>
    <m/>
    <n v="0"/>
    <n v="0"/>
    <n v="0"/>
    <n v="0"/>
    <n v="0"/>
    <n v="0"/>
    <n v="0"/>
    <n v="0"/>
    <n v="0"/>
    <n v="0"/>
    <n v="0"/>
    <n v="0"/>
    <n v="0"/>
    <n v="0"/>
    <n v="0"/>
    <n v="0"/>
    <n v="0"/>
    <n v="0"/>
    <s v="MMR001CMP058"/>
    <x v="0"/>
    <x v="1"/>
    <s v="P4"/>
    <n v="0"/>
    <s v="No"/>
  </r>
  <r>
    <n v="25.3"/>
    <d v="2015-04-03T00:00:00"/>
    <x v="0"/>
    <s v="Shalom"/>
    <s v="Kachin"/>
    <s v="Momauk"/>
    <s v="Ni Thaw Ka Monestry"/>
    <m/>
    <m/>
    <m/>
    <n v="105"/>
    <n v="26"/>
    <n v="308"/>
    <n v="29"/>
    <m/>
    <m/>
    <n v="69"/>
    <m/>
    <m/>
    <m/>
    <m/>
    <m/>
    <m/>
    <m/>
    <n v="0"/>
    <n v="0"/>
    <n v="0"/>
    <n v="0"/>
    <n v="0"/>
    <n v="0"/>
    <n v="0"/>
    <n v="0"/>
    <n v="0"/>
    <n v="0"/>
    <n v="0"/>
    <n v="0"/>
    <n v="0"/>
    <n v="0"/>
    <n v="0"/>
    <n v="0"/>
    <n v="0"/>
    <n v="0"/>
    <s v="MMR001CMP059"/>
    <x v="0"/>
    <x v="1"/>
    <s v="P4"/>
    <n v="7.1048827694343043E-4"/>
    <s v="No"/>
  </r>
  <r>
    <n v="24.6"/>
    <d v="2015-04-24T00:00:00"/>
    <x v="0"/>
    <s v="KBC"/>
    <s v="Kachin"/>
    <s v="Momauk"/>
    <s v="Seng Ja "/>
    <m/>
    <m/>
    <m/>
    <n v="36"/>
    <n v="18"/>
    <n v="90"/>
    <n v="18"/>
    <m/>
    <m/>
    <n v="90"/>
    <m/>
    <m/>
    <m/>
    <m/>
    <n v="18"/>
    <m/>
    <m/>
    <n v="0"/>
    <n v="0"/>
    <n v="0"/>
    <n v="0"/>
    <n v="0"/>
    <n v="0"/>
    <n v="0"/>
    <n v="0"/>
    <n v="0"/>
    <n v="0"/>
    <n v="0"/>
    <n v="0"/>
    <n v="0"/>
    <n v="0"/>
    <n v="0"/>
    <n v="0"/>
    <n v="0"/>
    <n v="0"/>
    <s v="MMR001CMP073"/>
    <x v="0"/>
    <x v="0"/>
    <s v="P3"/>
    <n v="4.3772190068576433E-4"/>
    <s v="No"/>
  </r>
  <r>
    <n v="23.966666666666665"/>
    <d v="2015-05-13T00:00:00"/>
    <x v="0"/>
    <s v="KMSS-BMO"/>
    <s v="Kachin"/>
    <s v="Momauk"/>
    <s v="Man Bung Catholic compound"/>
    <m/>
    <m/>
    <m/>
    <m/>
    <m/>
    <n v="28"/>
    <m/>
    <m/>
    <m/>
    <m/>
    <m/>
    <m/>
    <m/>
    <m/>
    <m/>
    <m/>
    <m/>
    <n v="0"/>
    <n v="0"/>
    <n v="0"/>
    <n v="0"/>
    <n v="0"/>
    <n v="0"/>
    <n v="0"/>
    <n v="0"/>
    <n v="0"/>
    <n v="0"/>
    <n v="0"/>
    <n v="0"/>
    <n v="0"/>
    <n v="0"/>
    <n v="0"/>
    <n v="0"/>
    <n v="0"/>
    <n v="0"/>
    <s v="MMR001CMP062"/>
    <x v="0"/>
    <x v="0"/>
    <s v="P4"/>
    <n v="0"/>
    <s v="No"/>
  </r>
  <r>
    <n v="23.5"/>
    <d v="2015-05-27T00:00:00"/>
    <x v="1"/>
    <s v="Solidarities"/>
    <s v="Kachin"/>
    <s v="Bhamo"/>
    <s v="AD-2000 Tharthana Compound"/>
    <m/>
    <m/>
    <n v="424"/>
    <m/>
    <m/>
    <m/>
    <m/>
    <m/>
    <m/>
    <m/>
    <m/>
    <m/>
    <m/>
    <m/>
    <m/>
    <m/>
    <m/>
    <n v="0"/>
    <n v="0"/>
    <n v="0"/>
    <n v="0"/>
    <n v="0"/>
    <n v="0"/>
    <n v="0"/>
    <n v="0"/>
    <n v="0"/>
    <n v="0"/>
    <n v="0"/>
    <n v="0"/>
    <n v="0"/>
    <n v="0"/>
    <n v="0"/>
    <n v="0"/>
    <n v="0"/>
    <n v="0"/>
    <s v="MMR001CMP050"/>
    <x v="0"/>
    <x v="0"/>
    <s v="P4"/>
    <n v="0"/>
    <m/>
  </r>
  <r>
    <n v="23.466666666666665"/>
    <d v="2015-05-28T00:00:00"/>
    <x v="1"/>
    <s v="Solidarities"/>
    <s v="Kachin"/>
    <s v="Bhamo"/>
    <s v="Ta Gun Taing Monastery (Shwe Kyi Na)"/>
    <m/>
    <m/>
    <n v="36"/>
    <m/>
    <m/>
    <m/>
    <m/>
    <m/>
    <m/>
    <m/>
    <m/>
    <m/>
    <m/>
    <m/>
    <m/>
    <m/>
    <m/>
    <n v="0"/>
    <n v="0"/>
    <n v="0"/>
    <n v="0"/>
    <n v="0"/>
    <n v="0"/>
    <n v="0"/>
    <n v="0"/>
    <n v="0"/>
    <n v="0"/>
    <n v="0"/>
    <n v="0"/>
    <n v="0"/>
    <n v="0"/>
    <n v="0"/>
    <n v="0"/>
    <n v="0"/>
    <n v="0"/>
    <s v="MMR001CMP055"/>
    <x v="0"/>
    <x v="0"/>
    <s v="P4"/>
    <n v="0"/>
    <m/>
  </r>
  <r>
    <n v="23.433333333333334"/>
    <d v="2015-05-29T00:00:00"/>
    <x v="1"/>
    <s v="Solidarities"/>
    <s v="Kachin"/>
    <s v="Bhamo"/>
    <s v="Phan Khar Kone"/>
    <m/>
    <m/>
    <n v="258"/>
    <m/>
    <m/>
    <m/>
    <m/>
    <m/>
    <m/>
    <m/>
    <m/>
    <m/>
    <m/>
    <m/>
    <m/>
    <m/>
    <m/>
    <n v="0"/>
    <n v="0"/>
    <n v="0"/>
    <n v="0"/>
    <n v="0"/>
    <n v="0"/>
    <n v="0"/>
    <n v="0"/>
    <n v="0"/>
    <n v="0"/>
    <n v="0"/>
    <n v="0"/>
    <n v="0"/>
    <n v="0"/>
    <n v="0"/>
    <n v="0"/>
    <n v="0"/>
    <n v="0"/>
    <s v="MMR001CMP193"/>
    <x v="0"/>
    <x v="0"/>
    <s v="P4"/>
    <n v="0"/>
    <m/>
  </r>
  <r>
    <n v="23.4"/>
    <d v="2015-05-30T00:00:00"/>
    <x v="1"/>
    <s v="Solidarities"/>
    <s v="Kachin"/>
    <s v="Bhamo"/>
    <s v="Robert Church"/>
    <m/>
    <m/>
    <m/>
    <m/>
    <m/>
    <m/>
    <m/>
    <m/>
    <m/>
    <m/>
    <m/>
    <m/>
    <m/>
    <m/>
    <n v="3"/>
    <m/>
    <m/>
    <n v="0"/>
    <n v="0"/>
    <n v="0"/>
    <n v="0"/>
    <n v="0"/>
    <n v="0"/>
    <n v="0"/>
    <n v="0"/>
    <n v="0"/>
    <n v="0"/>
    <n v="0"/>
    <n v="0"/>
    <n v="0"/>
    <n v="0"/>
    <n v="0"/>
    <n v="0"/>
    <n v="0"/>
    <n v="0"/>
    <s v="MMR001CMP047"/>
    <x v="0"/>
    <x v="0"/>
    <s v="P4"/>
    <n v="0"/>
    <m/>
  </r>
  <r>
    <n v="23.366666666666667"/>
    <d v="2015-05-31T00:00:00"/>
    <x v="1"/>
    <s v="Solidarities"/>
    <s v="Kachin"/>
    <s v="Momauk"/>
    <s v="Loi Je Baptist Church"/>
    <m/>
    <m/>
    <m/>
    <m/>
    <m/>
    <m/>
    <m/>
    <m/>
    <m/>
    <m/>
    <m/>
    <m/>
    <m/>
    <m/>
    <n v="2"/>
    <m/>
    <m/>
    <n v="0"/>
    <n v="0"/>
    <n v="0"/>
    <n v="0"/>
    <n v="0"/>
    <n v="0"/>
    <n v="0"/>
    <n v="0"/>
    <n v="0"/>
    <n v="0"/>
    <n v="0"/>
    <n v="0"/>
    <n v="0"/>
    <n v="0"/>
    <n v="0"/>
    <n v="0"/>
    <n v="0"/>
    <n v="0"/>
    <s v="MMR001CMP071"/>
    <x v="0"/>
    <x v="0"/>
    <s v="P3"/>
    <n v="0"/>
    <m/>
  </r>
  <r>
    <n v="23.366666666666667"/>
    <d v="2015-05-31T00:00:00"/>
    <x v="1"/>
    <s v="Solidarities"/>
    <s v="Kachin"/>
    <s v="Momauk"/>
    <s v="Loi Je Lisu Camp"/>
    <m/>
    <m/>
    <m/>
    <m/>
    <m/>
    <m/>
    <m/>
    <m/>
    <m/>
    <m/>
    <m/>
    <m/>
    <m/>
    <m/>
    <n v="4"/>
    <m/>
    <m/>
    <n v="0"/>
    <n v="0"/>
    <n v="0"/>
    <n v="0"/>
    <n v="0"/>
    <n v="0"/>
    <n v="0"/>
    <n v="0"/>
    <n v="0"/>
    <n v="0"/>
    <n v="0"/>
    <n v="0"/>
    <n v="0"/>
    <n v="0"/>
    <n v="0"/>
    <n v="0"/>
    <n v="0"/>
    <n v="0"/>
    <s v="MMR001CMP070"/>
    <x v="0"/>
    <x v="0"/>
    <s v="P3"/>
    <n v="0"/>
    <m/>
  </r>
  <r>
    <n v="23.366666666666667"/>
    <d v="2015-05-31T00:00:00"/>
    <x v="1"/>
    <s v="Solidarities"/>
    <s v="Kachin"/>
    <s v="Bhamo"/>
    <s v="Phan Khar Kone"/>
    <m/>
    <m/>
    <m/>
    <m/>
    <m/>
    <m/>
    <m/>
    <m/>
    <m/>
    <m/>
    <m/>
    <m/>
    <m/>
    <m/>
    <n v="6"/>
    <m/>
    <m/>
    <n v="0"/>
    <n v="0"/>
    <n v="0"/>
    <n v="0"/>
    <n v="0"/>
    <n v="0"/>
    <n v="0"/>
    <n v="0"/>
    <n v="0"/>
    <n v="0"/>
    <n v="0"/>
    <n v="0"/>
    <n v="0"/>
    <n v="0"/>
    <n v="0"/>
    <n v="0"/>
    <n v="0"/>
    <n v="0"/>
    <s v="MMR001CMP193"/>
    <x v="0"/>
    <x v="0"/>
    <s v="P4"/>
    <n v="0"/>
    <m/>
  </r>
  <r>
    <n v="23.366666666666667"/>
    <d v="2015-05-31T00:00:00"/>
    <x v="1"/>
    <s v="Solidarities"/>
    <s v="Kachin"/>
    <s v="Momauk"/>
    <s v="Seng Ja "/>
    <m/>
    <m/>
    <m/>
    <m/>
    <m/>
    <m/>
    <m/>
    <m/>
    <m/>
    <m/>
    <m/>
    <m/>
    <m/>
    <m/>
    <n v="3"/>
    <m/>
    <m/>
    <n v="0"/>
    <n v="0"/>
    <n v="0"/>
    <n v="0"/>
    <n v="0"/>
    <n v="0"/>
    <n v="0"/>
    <n v="0"/>
    <n v="0"/>
    <n v="0"/>
    <n v="0"/>
    <n v="0"/>
    <n v="0"/>
    <n v="0"/>
    <n v="0"/>
    <n v="0"/>
    <n v="0"/>
    <n v="0"/>
    <s v="MMR001CMP073"/>
    <x v="0"/>
    <x v="0"/>
    <s v="P3"/>
    <n v="0"/>
    <m/>
  </r>
  <r>
    <n v="23.3"/>
    <d v="2015-06-02T00:00:00"/>
    <x v="1"/>
    <s v="Solidarities"/>
    <s v="Kachin"/>
    <s v="Bhamo"/>
    <s v="Robert Church"/>
    <m/>
    <m/>
    <n v="1048"/>
    <m/>
    <m/>
    <m/>
    <m/>
    <m/>
    <m/>
    <m/>
    <m/>
    <m/>
    <m/>
    <m/>
    <m/>
    <m/>
    <m/>
    <n v="0"/>
    <n v="0"/>
    <n v="0"/>
    <n v="0"/>
    <n v="0"/>
    <n v="0"/>
    <n v="0"/>
    <n v="0"/>
    <n v="0"/>
    <n v="0"/>
    <n v="0"/>
    <n v="0"/>
    <n v="0"/>
    <n v="0"/>
    <n v="0"/>
    <n v="0"/>
    <n v="0"/>
    <n v="0"/>
    <s v="MMR001CMP047"/>
    <x v="0"/>
    <x v="0"/>
    <s v="P4"/>
    <n v="0"/>
    <m/>
  </r>
  <r>
    <n v="23.433333333333334"/>
    <d v="2015-05-29T00:00:00"/>
    <x v="1"/>
    <s v="Solidarities"/>
    <s v="Kachin"/>
    <s v="Momauk"/>
    <s v="Edin"/>
    <m/>
    <m/>
    <n v="103"/>
    <m/>
    <m/>
    <m/>
    <m/>
    <m/>
    <m/>
    <m/>
    <m/>
    <m/>
    <m/>
    <m/>
    <m/>
    <m/>
    <m/>
    <n v="0"/>
    <n v="0"/>
    <n v="0"/>
    <n v="0"/>
    <n v="0"/>
    <n v="0"/>
    <n v="0"/>
    <n v="0"/>
    <n v="0"/>
    <n v="0"/>
    <n v="0"/>
    <n v="0"/>
    <n v="0"/>
    <n v="0"/>
    <n v="0"/>
    <n v="0"/>
    <n v="0"/>
    <n v="0"/>
    <s v=""/>
    <x v="1"/>
    <x v="2"/>
    <s v=""/>
    <s v=""/>
    <m/>
  </r>
  <r>
    <n v="23.266666666666666"/>
    <d v="2015-06-03T00:00:00"/>
    <x v="1"/>
    <s v="Solidarities"/>
    <s v="Kachin"/>
    <s v="Momauk"/>
    <s v="Loi Je Baptist Church"/>
    <m/>
    <m/>
    <m/>
    <m/>
    <m/>
    <m/>
    <m/>
    <m/>
    <m/>
    <m/>
    <m/>
    <m/>
    <m/>
    <m/>
    <m/>
    <m/>
    <m/>
    <n v="0"/>
    <n v="0"/>
    <n v="0"/>
    <n v="0"/>
    <n v="0"/>
    <n v="0"/>
    <n v="0"/>
    <n v="0"/>
    <n v="0"/>
    <n v="0"/>
    <n v="0"/>
    <n v="0"/>
    <n v="0"/>
    <n v="0"/>
    <n v="0"/>
    <n v="0"/>
    <n v="0"/>
    <n v="0"/>
    <s v="MMR001CMP071"/>
    <x v="0"/>
    <x v="0"/>
    <s v="P3"/>
    <n v="0"/>
    <m/>
  </r>
  <r>
    <n v="23.266666666666666"/>
    <d v="2015-06-03T00:00:00"/>
    <x v="1"/>
    <s v="Solidarities"/>
    <s v="Kachin"/>
    <s v="Momauk"/>
    <s v="Loi Je Catholic Church"/>
    <m/>
    <m/>
    <n v="115"/>
    <m/>
    <m/>
    <m/>
    <m/>
    <m/>
    <m/>
    <m/>
    <m/>
    <m/>
    <m/>
    <m/>
    <m/>
    <m/>
    <m/>
    <n v="0"/>
    <n v="0"/>
    <n v="0"/>
    <n v="0"/>
    <n v="0"/>
    <n v="0"/>
    <n v="0"/>
    <n v="0"/>
    <n v="0"/>
    <n v="0"/>
    <n v="0"/>
    <n v="0"/>
    <n v="0"/>
    <n v="0"/>
    <n v="0"/>
    <n v="0"/>
    <n v="0"/>
    <n v="0"/>
    <s v="MMR001CMP069"/>
    <x v="0"/>
    <x v="0"/>
    <s v="P3"/>
    <n v="0"/>
    <m/>
  </r>
  <r>
    <n v="23.366666666666667"/>
    <d v="2015-05-31T00:00:00"/>
    <x v="1"/>
    <s v="Solidarities"/>
    <s v="Kachin"/>
    <s v="Momauk"/>
    <s v="Ni Thaw Ka Monestry"/>
    <m/>
    <m/>
    <n v="34"/>
    <m/>
    <m/>
    <m/>
    <m/>
    <m/>
    <m/>
    <m/>
    <m/>
    <m/>
    <m/>
    <m/>
    <m/>
    <m/>
    <m/>
    <n v="0"/>
    <n v="0"/>
    <n v="0"/>
    <n v="0"/>
    <n v="0"/>
    <n v="0"/>
    <n v="0"/>
    <n v="0"/>
    <n v="0"/>
    <n v="0"/>
    <n v="0"/>
    <n v="0"/>
    <n v="0"/>
    <n v="0"/>
    <n v="0"/>
    <n v="0"/>
    <n v="0"/>
    <n v="0"/>
    <s v="MMR001CMP059"/>
    <x v="0"/>
    <x v="1"/>
    <s v="P4"/>
    <n v="0"/>
    <m/>
  </r>
  <r>
    <n v="23.266666666666666"/>
    <d v="2015-06-03T00:00:00"/>
    <x v="1"/>
    <s v="Solidarities"/>
    <s v="Kachin"/>
    <s v="Momauk"/>
    <s v="Loi Je Lisu Camp"/>
    <m/>
    <m/>
    <n v="270"/>
    <m/>
    <m/>
    <m/>
    <m/>
    <m/>
    <m/>
    <m/>
    <m/>
    <m/>
    <m/>
    <m/>
    <m/>
    <m/>
    <m/>
    <n v="0"/>
    <n v="0"/>
    <n v="0"/>
    <n v="0"/>
    <n v="0"/>
    <n v="0"/>
    <n v="0"/>
    <n v="0"/>
    <n v="0"/>
    <n v="0"/>
    <n v="0"/>
    <n v="0"/>
    <n v="0"/>
    <n v="0"/>
    <n v="0"/>
    <n v="0"/>
    <n v="0"/>
    <n v="0"/>
    <s v="MMR001CMP070"/>
    <x v="0"/>
    <x v="0"/>
    <s v="P3"/>
    <n v="0"/>
    <m/>
  </r>
  <r>
    <n v="23.266666666666666"/>
    <d v="2015-06-03T00:00:00"/>
    <x v="0"/>
    <s v="KBC"/>
    <s v="Kachin"/>
    <s v="Mansi"/>
    <s v="Maing Khaung"/>
    <m/>
    <m/>
    <m/>
    <n v="6"/>
    <n v="12"/>
    <n v="24"/>
    <n v="3"/>
    <m/>
    <n v="3"/>
    <n v="9"/>
    <m/>
    <m/>
    <m/>
    <m/>
    <n v="3"/>
    <m/>
    <m/>
    <n v="0"/>
    <n v="0"/>
    <n v="0"/>
    <n v="0"/>
    <n v="0"/>
    <n v="0"/>
    <n v="0"/>
    <n v="0"/>
    <n v="0"/>
    <n v="0"/>
    <n v="0"/>
    <n v="0"/>
    <n v="0"/>
    <n v="0"/>
    <n v="0"/>
    <n v="0"/>
    <n v="0"/>
    <n v="0"/>
    <s v="MMR001CMP218"/>
    <x v="0"/>
    <x v="0"/>
    <s v="P4"/>
    <n v="7.2205641667468946E-5"/>
    <s v="No"/>
  </r>
  <r>
    <n v="23.233333333333334"/>
    <d v="2015-06-04T00:00:00"/>
    <x v="1"/>
    <s v="Solidarities"/>
    <s v="Kachin"/>
    <s v="Momauk"/>
    <s v="Loi Je Baptist Church"/>
    <m/>
    <m/>
    <n v="54"/>
    <m/>
    <m/>
    <m/>
    <m/>
    <m/>
    <m/>
    <m/>
    <m/>
    <m/>
    <m/>
    <m/>
    <m/>
    <m/>
    <m/>
    <n v="0"/>
    <n v="0"/>
    <n v="0"/>
    <n v="0"/>
    <n v="0"/>
    <n v="0"/>
    <n v="0"/>
    <n v="0"/>
    <n v="0"/>
    <n v="0"/>
    <n v="0"/>
    <n v="0"/>
    <n v="0"/>
    <n v="0"/>
    <n v="0"/>
    <n v="0"/>
    <n v="0"/>
    <n v="0"/>
    <s v="MMR001CMP071"/>
    <x v="0"/>
    <x v="0"/>
    <s v="P3"/>
    <n v="0"/>
    <m/>
  </r>
  <r>
    <n v="23.233333333333334"/>
    <d v="2015-06-04T00:00:00"/>
    <x v="0"/>
    <s v="KBC"/>
    <s v="Kachin"/>
    <s v="Momauk"/>
    <s v="Loi Je Lisu Camp"/>
    <m/>
    <m/>
    <m/>
    <m/>
    <n v="88"/>
    <n v="27"/>
    <n v="9"/>
    <m/>
    <n v="9"/>
    <n v="48"/>
    <m/>
    <m/>
    <m/>
    <m/>
    <n v="9"/>
    <m/>
    <m/>
    <n v="0"/>
    <n v="0"/>
    <n v="0"/>
    <n v="0"/>
    <n v="0"/>
    <n v="0"/>
    <n v="0"/>
    <n v="0"/>
    <n v="0"/>
    <n v="0"/>
    <n v="0"/>
    <n v="0"/>
    <n v="0"/>
    <n v="0"/>
    <n v="0"/>
    <n v="0"/>
    <n v="0"/>
    <n v="0"/>
    <s v="MMR001CMP070"/>
    <x v="0"/>
    <x v="0"/>
    <s v="P3"/>
    <n v="2.1951219512195122E-4"/>
    <s v="No"/>
  </r>
  <r>
    <n v="23.233333333333334"/>
    <d v="2015-06-04T00:00:00"/>
    <x v="0"/>
    <s v="KBC"/>
    <s v="Kachin"/>
    <s v="Momauk"/>
    <s v="Momauk Baptist Church"/>
    <m/>
    <m/>
    <m/>
    <m/>
    <n v="80"/>
    <m/>
    <m/>
    <m/>
    <m/>
    <m/>
    <m/>
    <m/>
    <m/>
    <m/>
    <m/>
    <m/>
    <m/>
    <n v="0"/>
    <n v="0"/>
    <n v="0"/>
    <n v="0"/>
    <n v="0"/>
    <n v="0"/>
    <n v="0"/>
    <n v="0"/>
    <n v="0"/>
    <n v="0"/>
    <n v="0"/>
    <n v="0"/>
    <n v="0"/>
    <n v="0"/>
    <n v="0"/>
    <n v="0"/>
    <n v="0"/>
    <n v="0"/>
    <s v="MMR001CMP056"/>
    <x v="0"/>
    <x v="0"/>
    <s v="P4"/>
    <n v="0"/>
    <s v="No"/>
  </r>
  <r>
    <n v="23.233333333333334"/>
    <d v="2015-06-04T00:00:00"/>
    <x v="1"/>
    <s v="Solidarities"/>
    <s v="Kachin"/>
    <s v="Momauk"/>
    <s v="Nyaung Na Pin "/>
    <m/>
    <m/>
    <n v="87"/>
    <m/>
    <m/>
    <m/>
    <m/>
    <m/>
    <m/>
    <m/>
    <m/>
    <m/>
    <m/>
    <m/>
    <m/>
    <m/>
    <m/>
    <n v="0"/>
    <n v="0"/>
    <n v="0"/>
    <n v="0"/>
    <n v="0"/>
    <n v="0"/>
    <n v="0"/>
    <n v="0"/>
    <n v="0"/>
    <n v="0"/>
    <n v="0"/>
    <n v="0"/>
    <n v="0"/>
    <n v="0"/>
    <n v="0"/>
    <n v="0"/>
    <n v="0"/>
    <n v="0"/>
    <s v="MMR001CMP072"/>
    <x v="0"/>
    <x v="0"/>
    <s v="P3"/>
    <n v="0"/>
    <m/>
  </r>
  <r>
    <n v="23.233333333333334"/>
    <d v="2015-06-04T00:00:00"/>
    <x v="0"/>
    <s v="KBC"/>
    <s v="Kachin"/>
    <s v="Bhamo"/>
    <s v="Phan Khar Kone"/>
    <m/>
    <m/>
    <m/>
    <m/>
    <n v="37"/>
    <m/>
    <m/>
    <m/>
    <m/>
    <m/>
    <m/>
    <m/>
    <m/>
    <m/>
    <m/>
    <m/>
    <m/>
    <n v="0"/>
    <n v="0"/>
    <n v="0"/>
    <n v="0"/>
    <n v="0"/>
    <n v="0"/>
    <n v="0"/>
    <n v="0"/>
    <n v="0"/>
    <n v="0"/>
    <n v="0"/>
    <n v="0"/>
    <n v="0"/>
    <n v="0"/>
    <n v="0"/>
    <n v="0"/>
    <n v="0"/>
    <n v="0"/>
    <s v="MMR001CMP193"/>
    <x v="0"/>
    <x v="0"/>
    <s v="P4"/>
    <n v="0"/>
    <s v="No"/>
  </r>
  <r>
    <n v="23.233333333333334"/>
    <d v="2015-06-04T00:00:00"/>
    <x v="0"/>
    <s v="KBC"/>
    <s v="Kachin"/>
    <s v="Momauk"/>
    <s v="Seng Ja "/>
    <m/>
    <m/>
    <m/>
    <n v="18"/>
    <n v="35"/>
    <m/>
    <m/>
    <m/>
    <m/>
    <m/>
    <m/>
    <m/>
    <m/>
    <m/>
    <m/>
    <m/>
    <n v="8"/>
    <n v="0"/>
    <n v="0"/>
    <n v="0"/>
    <n v="0"/>
    <n v="0"/>
    <n v="0"/>
    <n v="0"/>
    <n v="0"/>
    <n v="0"/>
    <n v="0"/>
    <n v="0"/>
    <n v="0"/>
    <n v="0"/>
    <n v="0"/>
    <n v="0"/>
    <n v="0"/>
    <n v="0"/>
    <n v="0"/>
    <s v="MMR001CMP073"/>
    <x v="0"/>
    <x v="0"/>
    <s v="P3"/>
    <n v="0"/>
    <s v="No"/>
  </r>
  <r>
    <n v="23.233333333333334"/>
    <d v="2015-06-04T00:00:00"/>
    <x v="1"/>
    <s v="Solidarities"/>
    <s v="Kachin"/>
    <s v="Momauk"/>
    <s v="Seng Ja "/>
    <m/>
    <m/>
    <n v="73"/>
    <m/>
    <m/>
    <m/>
    <m/>
    <m/>
    <m/>
    <m/>
    <m/>
    <m/>
    <m/>
    <m/>
    <m/>
    <m/>
    <m/>
    <n v="0"/>
    <n v="0"/>
    <n v="0"/>
    <n v="0"/>
    <n v="0"/>
    <n v="0"/>
    <n v="0"/>
    <n v="0"/>
    <n v="0"/>
    <n v="0"/>
    <n v="0"/>
    <n v="0"/>
    <n v="0"/>
    <n v="0"/>
    <n v="0"/>
    <n v="0"/>
    <n v="0"/>
    <n v="0"/>
    <s v="MMR001CMP073"/>
    <x v="0"/>
    <x v="0"/>
    <s v="P3"/>
    <n v="0"/>
    <m/>
  </r>
  <r>
    <n v="22.4"/>
    <d v="2015-06-29T00:00:00"/>
    <x v="1"/>
    <s v="KBC"/>
    <s v="Kachin"/>
    <s v="Momauk"/>
    <s v="Je Yang Hka "/>
    <m/>
    <m/>
    <n v="2350"/>
    <m/>
    <m/>
    <m/>
    <m/>
    <m/>
    <m/>
    <m/>
    <m/>
    <m/>
    <m/>
    <m/>
    <m/>
    <m/>
    <m/>
    <n v="0"/>
    <n v="0"/>
    <n v="0"/>
    <n v="0"/>
    <n v="0"/>
    <n v="0"/>
    <n v="0"/>
    <n v="0"/>
    <n v="0"/>
    <n v="0"/>
    <n v="0"/>
    <n v="0"/>
    <n v="0"/>
    <n v="0"/>
    <n v="0"/>
    <n v="0"/>
    <n v="0"/>
    <n v="0"/>
    <s v="MMR001CMP121"/>
    <x v="0"/>
    <x v="0"/>
    <s v="P2"/>
    <n v="0"/>
    <m/>
  </r>
  <r>
    <n v="22.366666666666667"/>
    <d v="2015-06-30T00:00:00"/>
    <x v="1"/>
    <s v="Solidarities"/>
    <s v="Kachin"/>
    <s v="Bhamo"/>
    <s v="AD-2000 Tharthana Compound"/>
    <m/>
    <m/>
    <m/>
    <m/>
    <m/>
    <m/>
    <m/>
    <m/>
    <m/>
    <m/>
    <m/>
    <m/>
    <m/>
    <m/>
    <n v="3"/>
    <m/>
    <m/>
    <n v="0"/>
    <n v="0"/>
    <n v="0"/>
    <n v="0"/>
    <n v="0"/>
    <n v="0"/>
    <n v="0"/>
    <n v="0"/>
    <n v="0"/>
    <n v="0"/>
    <n v="0"/>
    <n v="0"/>
    <n v="0"/>
    <n v="0"/>
    <n v="0"/>
    <n v="0"/>
    <n v="0"/>
    <n v="0"/>
    <s v="MMR001CMP050"/>
    <x v="0"/>
    <x v="0"/>
    <s v="P4"/>
    <n v="0"/>
    <m/>
  </r>
  <r>
    <n v="22.366666666666667"/>
    <d v="2015-06-30T00:00:00"/>
    <x v="1"/>
    <s v="Solidarities"/>
    <s v="Kachin"/>
    <s v="Bhamo"/>
    <s v="Phan Khar Kone"/>
    <m/>
    <m/>
    <m/>
    <m/>
    <m/>
    <m/>
    <m/>
    <m/>
    <m/>
    <m/>
    <m/>
    <m/>
    <m/>
    <m/>
    <n v="5"/>
    <m/>
    <m/>
    <n v="0"/>
    <n v="0"/>
    <n v="0"/>
    <n v="0"/>
    <n v="0"/>
    <n v="0"/>
    <n v="0"/>
    <n v="0"/>
    <n v="0"/>
    <n v="0"/>
    <n v="0"/>
    <n v="0"/>
    <n v="0"/>
    <n v="0"/>
    <n v="0"/>
    <n v="0"/>
    <n v="0"/>
    <n v="0"/>
    <s v="MMR001CMP193"/>
    <x v="0"/>
    <x v="0"/>
    <s v="P4"/>
    <n v="0"/>
    <m/>
  </r>
  <r>
    <n v="21.666666666666668"/>
    <d v="2015-07-21T00:00:00"/>
    <x v="0"/>
    <s v="KBC"/>
    <s v="Kachin"/>
    <s v="Sumprabum"/>
    <s v="Sumprabum"/>
    <m/>
    <m/>
    <m/>
    <m/>
    <n v="250"/>
    <m/>
    <m/>
    <m/>
    <m/>
    <m/>
    <m/>
    <m/>
    <m/>
    <m/>
    <m/>
    <m/>
    <m/>
    <n v="0"/>
    <n v="0"/>
    <n v="0"/>
    <n v="0"/>
    <n v="0"/>
    <n v="0"/>
    <n v="0"/>
    <n v="0"/>
    <n v="0"/>
    <n v="0"/>
    <n v="0"/>
    <n v="0"/>
    <n v="0"/>
    <n v="0"/>
    <n v="0"/>
    <n v="0"/>
    <n v="0"/>
    <n v="0"/>
    <s v="MMR001CMP206"/>
    <x v="0"/>
    <x v="0"/>
    <s v="P4"/>
    <s v=""/>
    <s v="No"/>
  </r>
  <r>
    <n v="20.966666666666665"/>
    <d v="2015-08-11T00:00:00"/>
    <x v="0"/>
    <s v="KBC"/>
    <s v="Kachin"/>
    <s v="Mogaung"/>
    <s v="Kyun Taw Baptist Church "/>
    <m/>
    <m/>
    <m/>
    <n v="14"/>
    <n v="14"/>
    <m/>
    <m/>
    <m/>
    <m/>
    <m/>
    <m/>
    <m/>
    <m/>
    <m/>
    <m/>
    <m/>
    <m/>
    <n v="0"/>
    <n v="0"/>
    <n v="0"/>
    <n v="0"/>
    <n v="0"/>
    <n v="0"/>
    <n v="0"/>
    <n v="0"/>
    <n v="0"/>
    <n v="0"/>
    <n v="0"/>
    <n v="0"/>
    <n v="0"/>
    <n v="0"/>
    <n v="0"/>
    <n v="0"/>
    <n v="0"/>
    <n v="0"/>
    <s v="MMR001CMP078"/>
    <x v="0"/>
    <x v="0"/>
    <s v="P4"/>
    <n v="0"/>
    <s v="No"/>
  </r>
  <r>
    <n v="20.966666666666665"/>
    <d v="2015-08-11T00:00:00"/>
    <x v="0"/>
    <s v="Shalom"/>
    <s v="Kachin"/>
    <s v="Myitkyina"/>
    <s v="Tat Kone Emanuel Church"/>
    <m/>
    <m/>
    <m/>
    <n v="6"/>
    <n v="4"/>
    <n v="6"/>
    <n v="4"/>
    <m/>
    <n v="4"/>
    <n v="10"/>
    <m/>
    <m/>
    <m/>
    <m/>
    <n v="4"/>
    <m/>
    <m/>
    <n v="0"/>
    <n v="0"/>
    <n v="0"/>
    <n v="0"/>
    <n v="0"/>
    <n v="0"/>
    <n v="0"/>
    <n v="0"/>
    <n v="0"/>
    <n v="0"/>
    <n v="0"/>
    <n v="0"/>
    <n v="0"/>
    <n v="0"/>
    <n v="0"/>
    <n v="0"/>
    <n v="0"/>
    <n v="0"/>
    <s v="MMR001CMP004"/>
    <x v="0"/>
    <x v="0"/>
    <s v="P4"/>
    <n v="9.814505839630975E-5"/>
    <s v="No"/>
  </r>
  <r>
    <n v="19.7"/>
    <d v="2015-09-18T00:00:00"/>
    <x v="0"/>
    <s v="KMSS"/>
    <s v="Kachin"/>
    <s v="Myitkyina"/>
    <s v="Pa Dauk Myaing(Pa La Na)"/>
    <m/>
    <n v="11"/>
    <n v="11"/>
    <n v="21"/>
    <n v="16"/>
    <n v="21"/>
    <n v="11"/>
    <m/>
    <n v="11"/>
    <n v="42"/>
    <m/>
    <m/>
    <m/>
    <m/>
    <n v="11"/>
    <m/>
    <n v="6"/>
    <n v="0"/>
    <n v="0"/>
    <n v="0"/>
    <n v="0"/>
    <n v="0"/>
    <n v="0"/>
    <n v="0"/>
    <n v="0"/>
    <n v="0"/>
    <n v="0"/>
    <n v="0"/>
    <n v="0"/>
    <n v="0"/>
    <n v="0"/>
    <n v="0"/>
    <n v="0"/>
    <n v="0"/>
    <n v="0"/>
    <s v="MMR001CMP162"/>
    <x v="0"/>
    <x v="0"/>
    <s v="P4"/>
    <n v="2.667054601881486E-4"/>
    <s v="No"/>
  </r>
  <r>
    <n v="19.600000000000001"/>
    <d v="2015-09-21T00:00:00"/>
    <x v="0"/>
    <s v="KMSS"/>
    <s v="Kachin"/>
    <s v="Waingmaw"/>
    <s v="Maina Catholic Church (St. Joseph)"/>
    <m/>
    <m/>
    <m/>
    <n v="41"/>
    <n v="16"/>
    <n v="41"/>
    <n v="16"/>
    <m/>
    <n v="16"/>
    <n v="80"/>
    <m/>
    <m/>
    <m/>
    <m/>
    <n v="16"/>
    <m/>
    <m/>
    <n v="0"/>
    <n v="0"/>
    <n v="0"/>
    <n v="0"/>
    <n v="0"/>
    <n v="0"/>
    <n v="0"/>
    <n v="0"/>
    <n v="0"/>
    <n v="0"/>
    <n v="0"/>
    <n v="0"/>
    <n v="0"/>
    <n v="0"/>
    <n v="0"/>
    <n v="0"/>
    <n v="0"/>
    <n v="0"/>
    <s v="MMR001CMP029"/>
    <x v="0"/>
    <x v="0"/>
    <s v="P4"/>
    <n v="3.8623086950224499E-4"/>
    <s v="No"/>
  </r>
  <r>
    <n v="17.466666666666665"/>
    <d v="2015-11-24T00:00:00"/>
    <x v="0"/>
    <s v="KMSS"/>
    <s v="Kachin"/>
    <s v="Myitkyina"/>
    <s v="Pa Dauk Myaing(Pa La Na)"/>
    <m/>
    <m/>
    <m/>
    <m/>
    <m/>
    <m/>
    <m/>
    <m/>
    <m/>
    <m/>
    <m/>
    <m/>
    <m/>
    <n v="50"/>
    <m/>
    <m/>
    <m/>
    <n v="0"/>
    <n v="0"/>
    <n v="0"/>
    <n v="0"/>
    <n v="0"/>
    <n v="0"/>
    <n v="0"/>
    <n v="0"/>
    <n v="0"/>
    <n v="0"/>
    <n v="0"/>
    <n v="0"/>
    <n v="0"/>
    <n v="0"/>
    <n v="1"/>
    <n v="0"/>
    <n v="0"/>
    <n v="0"/>
    <s v="MMR001CMP162"/>
    <x v="0"/>
    <x v="0"/>
    <s v="P4"/>
    <n v="0"/>
    <s v="No"/>
  </r>
  <r>
    <n v="22.366666666666667"/>
    <d v="2015-06-30T00:00:00"/>
    <x v="1"/>
    <s v="Solidarities"/>
    <s v="Kachin"/>
    <s v="Momauk"/>
    <s v="Edin"/>
    <m/>
    <m/>
    <m/>
    <m/>
    <m/>
    <m/>
    <m/>
    <m/>
    <m/>
    <m/>
    <m/>
    <m/>
    <m/>
    <m/>
    <n v="2"/>
    <m/>
    <m/>
    <n v="0"/>
    <n v="0"/>
    <n v="0"/>
    <n v="0"/>
    <n v="0"/>
    <n v="0"/>
    <n v="0"/>
    <n v="0"/>
    <n v="0"/>
    <n v="0"/>
    <n v="0"/>
    <n v="0"/>
    <n v="0"/>
    <n v="0"/>
    <n v="0"/>
    <n v="0"/>
    <n v="0"/>
    <n v="0"/>
    <s v=""/>
    <x v="1"/>
    <x v="2"/>
    <s v=""/>
    <s v=""/>
    <m/>
  </r>
  <r>
    <n v="22.366666666666667"/>
    <d v="2015-06-30T00:00:00"/>
    <x v="1"/>
    <s v="Solidarities"/>
    <s v="Kachin"/>
    <s v="Waingmaw"/>
    <s v="Laiza Market 3 - Laiza Gat"/>
    <m/>
    <m/>
    <n v="825"/>
    <m/>
    <m/>
    <m/>
    <m/>
    <m/>
    <m/>
    <m/>
    <m/>
    <m/>
    <m/>
    <m/>
    <m/>
    <m/>
    <m/>
    <n v="0"/>
    <n v="0"/>
    <n v="0"/>
    <n v="0"/>
    <n v="0"/>
    <n v="0"/>
    <n v="0"/>
    <n v="0"/>
    <n v="0"/>
    <n v="0"/>
    <n v="0"/>
    <n v="0"/>
    <n v="0"/>
    <n v="0"/>
    <n v="0"/>
    <n v="0"/>
    <n v="0"/>
    <n v="0"/>
    <s v="MMR001CMP117"/>
    <x v="0"/>
    <x v="1"/>
    <s v="P2"/>
    <n v="0"/>
    <m/>
  </r>
  <r>
    <n v="17.433333333333334"/>
    <d v="2015-11-25T00:00:00"/>
    <x v="0"/>
    <s v="KBC"/>
    <s v="Kachin"/>
    <s v="Shwegu"/>
    <s v="Shwe Gu Baptist Church"/>
    <m/>
    <m/>
    <m/>
    <m/>
    <n v="4"/>
    <n v="16"/>
    <n v="4"/>
    <m/>
    <n v="4"/>
    <n v="23"/>
    <m/>
    <m/>
    <m/>
    <m/>
    <n v="7"/>
    <m/>
    <m/>
    <n v="0"/>
    <n v="0"/>
    <n v="0"/>
    <n v="0"/>
    <n v="0"/>
    <n v="0"/>
    <n v="0"/>
    <n v="0"/>
    <n v="0"/>
    <n v="0"/>
    <n v="0"/>
    <n v="0"/>
    <n v="0"/>
    <n v="0"/>
    <n v="0"/>
    <n v="0"/>
    <n v="0"/>
    <n v="0"/>
    <s v="MMR001CMP067"/>
    <x v="0"/>
    <x v="0"/>
    <s v="P4"/>
    <n v="9.8219766728054015E-5"/>
    <s v="No"/>
  </r>
  <r>
    <n v="17.433333333333334"/>
    <d v="2015-11-25T00:00:00"/>
    <x v="0"/>
    <s v="KBC"/>
    <s v="Kachin"/>
    <s v="Shwegu"/>
    <s v="Shwe Gu Catholic Church"/>
    <m/>
    <m/>
    <m/>
    <m/>
    <n v="4"/>
    <n v="12"/>
    <n v="3"/>
    <m/>
    <n v="4"/>
    <n v="14"/>
    <m/>
    <m/>
    <m/>
    <m/>
    <n v="4"/>
    <m/>
    <m/>
    <n v="0"/>
    <n v="0"/>
    <n v="0"/>
    <n v="0"/>
    <n v="0"/>
    <n v="0"/>
    <n v="0"/>
    <n v="0"/>
    <n v="0"/>
    <n v="0"/>
    <n v="0"/>
    <n v="0"/>
    <n v="0"/>
    <n v="0"/>
    <n v="0"/>
    <n v="0"/>
    <n v="0"/>
    <n v="0"/>
    <s v="MMR001CMP068"/>
    <x v="0"/>
    <x v="0"/>
    <s v="P4"/>
    <n v="7.3664825046040511E-5"/>
    <s v="No"/>
  </r>
  <r>
    <n v="17.366666666666667"/>
    <d v="2015-11-27T00:00:00"/>
    <x v="0"/>
    <s v="KBC"/>
    <s v="Kachin"/>
    <s v="Shwegu"/>
    <s v="Shwe Gu Baptist Church"/>
    <m/>
    <m/>
    <m/>
    <m/>
    <n v="9"/>
    <n v="23"/>
    <n v="10"/>
    <m/>
    <n v="8"/>
    <n v="24"/>
    <m/>
    <m/>
    <m/>
    <m/>
    <n v="6"/>
    <m/>
    <m/>
    <n v="0"/>
    <n v="0"/>
    <n v="0"/>
    <n v="0"/>
    <n v="0"/>
    <n v="0"/>
    <n v="0"/>
    <n v="0"/>
    <n v="0"/>
    <n v="0"/>
    <n v="0"/>
    <n v="0"/>
    <n v="0"/>
    <n v="0"/>
    <n v="0"/>
    <n v="0"/>
    <n v="0"/>
    <n v="0"/>
    <s v="MMR001CMP067"/>
    <x v="0"/>
    <x v="0"/>
    <s v="P4"/>
    <n v="2.4554941682013506E-4"/>
    <s v="No"/>
  </r>
  <r>
    <n v="17.133333333333333"/>
    <d v="2015-12-04T00:00:00"/>
    <x v="1"/>
    <s v="Solidarities"/>
    <s v="Kachin"/>
    <s v="Bhamo"/>
    <s v="Phan Khar Kone"/>
    <m/>
    <m/>
    <m/>
    <m/>
    <m/>
    <m/>
    <m/>
    <m/>
    <m/>
    <m/>
    <m/>
    <m/>
    <m/>
    <m/>
    <n v="5"/>
    <m/>
    <m/>
    <n v="0"/>
    <n v="0"/>
    <n v="0"/>
    <n v="0"/>
    <n v="0"/>
    <n v="0"/>
    <n v="0"/>
    <n v="0"/>
    <n v="0"/>
    <n v="0"/>
    <n v="0"/>
    <n v="0"/>
    <n v="0"/>
    <n v="0"/>
    <n v="0"/>
    <n v="0"/>
    <n v="0"/>
    <n v="0"/>
    <s v="MMR001CMP193"/>
    <x v="0"/>
    <x v="0"/>
    <s v="P4"/>
    <n v="0"/>
    <m/>
  </r>
  <r>
    <n v="16.899999999999999"/>
    <d v="2015-12-11T00:00:00"/>
    <x v="0"/>
    <s v="Shalom"/>
    <s v="Kachin"/>
    <s v="Myitkyina"/>
    <s v="Tat Kone Emanuel Church"/>
    <m/>
    <m/>
    <m/>
    <m/>
    <m/>
    <m/>
    <m/>
    <m/>
    <m/>
    <m/>
    <m/>
    <m/>
    <m/>
    <n v="11"/>
    <m/>
    <m/>
    <m/>
    <n v="0"/>
    <n v="0"/>
    <n v="0"/>
    <n v="0"/>
    <n v="0"/>
    <n v="0"/>
    <n v="0"/>
    <n v="0"/>
    <n v="0"/>
    <n v="0"/>
    <n v="0"/>
    <n v="0"/>
    <n v="0"/>
    <n v="0"/>
    <n v="1"/>
    <n v="0"/>
    <n v="0"/>
    <n v="0"/>
    <s v="MMR001CMP004"/>
    <x v="0"/>
    <x v="0"/>
    <s v="P4"/>
    <n v="0"/>
    <s v="No"/>
  </r>
  <r>
    <n v="20.433333333333334"/>
    <d v="2015-08-27T00:00:00"/>
    <x v="0"/>
    <s v="KBC"/>
    <s v="Kachin"/>
    <s v="Myitkyina"/>
    <m/>
    <m/>
    <m/>
    <m/>
    <m/>
    <m/>
    <m/>
    <m/>
    <m/>
    <m/>
    <m/>
    <m/>
    <m/>
    <m/>
    <m/>
    <m/>
    <n v="10"/>
    <m/>
    <n v="0"/>
    <n v="0"/>
    <n v="0"/>
    <n v="0"/>
    <n v="0"/>
    <n v="0"/>
    <n v="0"/>
    <n v="0"/>
    <n v="0"/>
    <n v="0"/>
    <n v="0"/>
    <n v="0"/>
    <n v="0"/>
    <n v="0"/>
    <n v="0"/>
    <n v="0"/>
    <n v="0"/>
    <n v="0"/>
    <s v=""/>
    <x v="1"/>
    <x v="2"/>
    <s v=""/>
    <s v=""/>
    <s v="No"/>
  </r>
  <r>
    <n v="20.433333333333334"/>
    <d v="2015-08-27T00:00:00"/>
    <x v="0"/>
    <s v="KMSS-MKN"/>
    <s v="Kachin"/>
    <s v="Myitkyina"/>
    <m/>
    <m/>
    <m/>
    <m/>
    <m/>
    <m/>
    <m/>
    <m/>
    <m/>
    <m/>
    <m/>
    <m/>
    <m/>
    <m/>
    <m/>
    <m/>
    <n v="7"/>
    <m/>
    <n v="0"/>
    <n v="0"/>
    <n v="0"/>
    <n v="0"/>
    <n v="0"/>
    <n v="0"/>
    <n v="0"/>
    <n v="0"/>
    <n v="0"/>
    <n v="0"/>
    <n v="0"/>
    <n v="0"/>
    <n v="0"/>
    <n v="0"/>
    <n v="0"/>
    <n v="0"/>
    <n v="0"/>
    <n v="0"/>
    <s v=""/>
    <x v="1"/>
    <x v="2"/>
    <s v=""/>
    <s v=""/>
    <s v="No"/>
  </r>
  <r>
    <n v="20.433333333333334"/>
    <d v="2015-08-27T00:00:00"/>
    <x v="0"/>
    <s v="Shalom"/>
    <s v="Kachin"/>
    <s v="Myitkyina"/>
    <m/>
    <m/>
    <m/>
    <m/>
    <m/>
    <m/>
    <m/>
    <m/>
    <m/>
    <m/>
    <m/>
    <m/>
    <m/>
    <m/>
    <m/>
    <m/>
    <n v="8"/>
    <m/>
    <n v="0"/>
    <n v="0"/>
    <n v="0"/>
    <n v="0"/>
    <n v="0"/>
    <n v="0"/>
    <n v="0"/>
    <n v="0"/>
    <n v="0"/>
    <n v="0"/>
    <n v="0"/>
    <n v="0"/>
    <n v="0"/>
    <n v="0"/>
    <n v="0"/>
    <n v="0"/>
    <n v="0"/>
    <n v="0"/>
    <s v=""/>
    <x v="1"/>
    <x v="2"/>
    <s v=""/>
    <s v=""/>
    <s v="No"/>
  </r>
  <r>
    <n v="16.8"/>
    <d v="2015-12-14T00:00:00"/>
    <x v="1"/>
    <s v="Solidarities"/>
    <s v="Kachin"/>
    <s v="Bhamo"/>
    <s v="Robert Church"/>
    <m/>
    <m/>
    <m/>
    <m/>
    <m/>
    <m/>
    <m/>
    <m/>
    <m/>
    <m/>
    <m/>
    <m/>
    <m/>
    <m/>
    <n v="2"/>
    <m/>
    <m/>
    <n v="0"/>
    <n v="0"/>
    <n v="0"/>
    <n v="0"/>
    <n v="0"/>
    <n v="0"/>
    <n v="0"/>
    <n v="0"/>
    <n v="0"/>
    <n v="0"/>
    <n v="0"/>
    <n v="0"/>
    <n v="0"/>
    <n v="0"/>
    <n v="0"/>
    <n v="0"/>
    <n v="0"/>
    <n v="0"/>
    <s v="MMR001CMP047"/>
    <x v="0"/>
    <x v="0"/>
    <s v="P4"/>
    <n v="0"/>
    <m/>
  </r>
  <r>
    <n v="19.600000000000001"/>
    <d v="2015-09-21T00:00:00"/>
    <x v="0"/>
    <s v="KMSS-MKN"/>
    <s v="Kachin"/>
    <s v="Myitkyina"/>
    <m/>
    <m/>
    <m/>
    <m/>
    <m/>
    <m/>
    <m/>
    <m/>
    <m/>
    <m/>
    <m/>
    <m/>
    <m/>
    <m/>
    <m/>
    <m/>
    <m/>
    <m/>
    <n v="0"/>
    <n v="0"/>
    <n v="0"/>
    <n v="0"/>
    <n v="0"/>
    <n v="0"/>
    <n v="0"/>
    <n v="0"/>
    <n v="0"/>
    <n v="0"/>
    <n v="0"/>
    <n v="0"/>
    <n v="0"/>
    <n v="0"/>
    <n v="0"/>
    <n v="0"/>
    <n v="0"/>
    <n v="0"/>
    <s v=""/>
    <x v="1"/>
    <x v="2"/>
    <s v=""/>
    <s v=""/>
    <s v="No"/>
  </r>
  <r>
    <n v="16.766666666666666"/>
    <d v="2015-12-15T00:00:00"/>
    <x v="1"/>
    <s v="Solidarities"/>
    <s v="Kachin"/>
    <s v="Momauk"/>
    <s v="Loi Je Baptist Church"/>
    <m/>
    <m/>
    <m/>
    <m/>
    <m/>
    <m/>
    <m/>
    <m/>
    <m/>
    <m/>
    <m/>
    <m/>
    <m/>
    <m/>
    <m/>
    <n v="3"/>
    <m/>
    <n v="0"/>
    <n v="0"/>
    <n v="0"/>
    <n v="0"/>
    <n v="0"/>
    <n v="0"/>
    <n v="0"/>
    <n v="0"/>
    <n v="0"/>
    <n v="0"/>
    <n v="0"/>
    <n v="0"/>
    <n v="0"/>
    <n v="0"/>
    <n v="0"/>
    <n v="0"/>
    <n v="0"/>
    <n v="0"/>
    <s v="MMR001CMP071"/>
    <x v="0"/>
    <x v="0"/>
    <s v="P3"/>
    <n v="0"/>
    <m/>
  </r>
  <r>
    <n v="19.566666666666666"/>
    <d v="2015-09-22T00:00:00"/>
    <x v="0"/>
    <s v="KBC"/>
    <s v="Kachin"/>
    <s v="Mansi"/>
    <s v="Mai hkawng Camp (RC +KBC)"/>
    <m/>
    <m/>
    <n v="145"/>
    <n v="132"/>
    <n v="66"/>
    <n v="132"/>
    <n v="66"/>
    <m/>
    <n v="66"/>
    <n v="243"/>
    <m/>
    <m/>
    <m/>
    <m/>
    <n v="66"/>
    <m/>
    <m/>
    <n v="0"/>
    <n v="0"/>
    <n v="0"/>
    <n v="0"/>
    <n v="0"/>
    <n v="0"/>
    <n v="0"/>
    <n v="0"/>
    <n v="0"/>
    <n v="0"/>
    <n v="0"/>
    <n v="0"/>
    <n v="0"/>
    <n v="0"/>
    <n v="0"/>
    <n v="0"/>
    <n v="0"/>
    <n v="0"/>
    <s v=""/>
    <x v="1"/>
    <x v="2"/>
    <s v=""/>
    <s v=""/>
    <s v="No"/>
  </r>
  <r>
    <n v="19.266666666666666"/>
    <d v="2015-10-01T00:00:00"/>
    <x v="0"/>
    <s v="KBC"/>
    <s v="Kachin"/>
    <s v="Mansi"/>
    <s v="Mai hkawng Camp (RC +KBC)"/>
    <m/>
    <n v="77"/>
    <n v="232"/>
    <n v="200"/>
    <n v="89"/>
    <n v="200"/>
    <n v="119"/>
    <m/>
    <n v="119"/>
    <n v="345"/>
    <m/>
    <m/>
    <m/>
    <m/>
    <n v="119"/>
    <m/>
    <n v="45"/>
    <n v="0"/>
    <n v="0"/>
    <n v="0"/>
    <n v="0"/>
    <n v="0"/>
    <n v="0"/>
    <n v="0"/>
    <n v="0"/>
    <n v="0"/>
    <n v="0"/>
    <n v="0"/>
    <n v="0"/>
    <n v="0"/>
    <n v="0"/>
    <n v="0"/>
    <n v="0"/>
    <n v="0"/>
    <n v="0"/>
    <s v=""/>
    <x v="1"/>
    <x v="2"/>
    <s v=""/>
    <s v=""/>
    <s v="No"/>
  </r>
  <r>
    <n v="18.2"/>
    <d v="2015-11-02T00:00:00"/>
    <x v="0"/>
    <s v="KBC"/>
    <s v="Kachin"/>
    <s v="Mansi"/>
    <s v="Mai hkawng Camp (RC +KBC)"/>
    <m/>
    <m/>
    <n v="223"/>
    <m/>
    <n v="30"/>
    <m/>
    <m/>
    <m/>
    <m/>
    <n v="337"/>
    <m/>
    <m/>
    <m/>
    <m/>
    <m/>
    <m/>
    <m/>
    <n v="0"/>
    <n v="0"/>
    <n v="0"/>
    <n v="0"/>
    <n v="0"/>
    <n v="0"/>
    <n v="0"/>
    <n v="0"/>
    <n v="0"/>
    <n v="0"/>
    <n v="0"/>
    <n v="0"/>
    <n v="0"/>
    <n v="0"/>
    <n v="0"/>
    <n v="0"/>
    <n v="0"/>
    <n v="0"/>
    <s v=""/>
    <x v="1"/>
    <x v="2"/>
    <s v=""/>
    <s v=""/>
    <s v="No"/>
  </r>
  <r>
    <n v="16.766666666666666"/>
    <d v="2015-12-15T00:00:00"/>
    <x v="1"/>
    <s v="Solidarities"/>
    <s v="Kachin"/>
    <s v="Momauk"/>
    <s v="Loi Je Baptist Church"/>
    <m/>
    <m/>
    <m/>
    <m/>
    <m/>
    <m/>
    <m/>
    <m/>
    <m/>
    <m/>
    <m/>
    <m/>
    <m/>
    <m/>
    <m/>
    <m/>
    <m/>
    <n v="0"/>
    <n v="0"/>
    <n v="0"/>
    <n v="0"/>
    <n v="0"/>
    <n v="0"/>
    <n v="0"/>
    <n v="0"/>
    <n v="0"/>
    <n v="0"/>
    <n v="0"/>
    <n v="0"/>
    <n v="0"/>
    <n v="0"/>
    <n v="0"/>
    <n v="0"/>
    <n v="0"/>
    <n v="0"/>
    <s v="MMR001CMP071"/>
    <x v="0"/>
    <x v="0"/>
    <s v="P3"/>
    <n v="0"/>
    <m/>
  </r>
  <r>
    <n v="16.766666666666666"/>
    <d v="2015-12-15T00:00:00"/>
    <x v="1"/>
    <s v="Solidarities"/>
    <s v="Kachin"/>
    <s v="Momauk"/>
    <s v="Loi Je Catholic Church"/>
    <m/>
    <m/>
    <m/>
    <m/>
    <m/>
    <m/>
    <m/>
    <m/>
    <m/>
    <m/>
    <m/>
    <m/>
    <m/>
    <m/>
    <m/>
    <n v="20"/>
    <m/>
    <n v="0"/>
    <n v="0"/>
    <n v="0"/>
    <n v="0"/>
    <n v="0"/>
    <n v="0"/>
    <n v="0"/>
    <n v="0"/>
    <n v="0"/>
    <n v="0"/>
    <n v="0"/>
    <n v="0"/>
    <n v="0"/>
    <n v="0"/>
    <n v="0"/>
    <n v="0"/>
    <n v="0"/>
    <n v="0"/>
    <s v="MMR001CMP069"/>
    <x v="0"/>
    <x v="0"/>
    <s v="P3"/>
    <n v="0"/>
    <m/>
  </r>
  <r>
    <n v="16.766666666666666"/>
    <d v="2015-12-15T00:00:00"/>
    <x v="1"/>
    <s v="Solidarities"/>
    <s v="Kachin"/>
    <s v="Momauk"/>
    <s v="Loi Je Lisu Camp"/>
    <m/>
    <m/>
    <m/>
    <m/>
    <m/>
    <m/>
    <m/>
    <m/>
    <m/>
    <m/>
    <m/>
    <m/>
    <m/>
    <m/>
    <m/>
    <n v="14"/>
    <m/>
    <n v="0"/>
    <n v="0"/>
    <n v="0"/>
    <n v="0"/>
    <n v="0"/>
    <n v="0"/>
    <n v="0"/>
    <n v="0"/>
    <n v="0"/>
    <n v="0"/>
    <n v="0"/>
    <n v="0"/>
    <n v="0"/>
    <n v="0"/>
    <n v="0"/>
    <n v="0"/>
    <n v="0"/>
    <n v="0"/>
    <s v="MMR001CMP070"/>
    <x v="0"/>
    <x v="0"/>
    <s v="P3"/>
    <n v="0"/>
    <m/>
  </r>
  <r>
    <n v="16.766666666666666"/>
    <d v="2015-12-15T00:00:00"/>
    <x v="0"/>
    <s v="KBC"/>
    <s v="Kachin"/>
    <s v="Myitkyina"/>
    <s v="Man Hkring Baptist Church"/>
    <m/>
    <m/>
    <m/>
    <n v="7"/>
    <n v="7"/>
    <m/>
    <n v="7"/>
    <m/>
    <n v="7"/>
    <n v="27"/>
    <m/>
    <m/>
    <m/>
    <n v="27"/>
    <n v="7"/>
    <m/>
    <m/>
    <n v="0"/>
    <n v="0"/>
    <n v="0"/>
    <n v="0"/>
    <n v="0"/>
    <n v="0"/>
    <n v="0"/>
    <n v="0"/>
    <n v="0"/>
    <n v="0"/>
    <n v="0"/>
    <n v="0"/>
    <n v="0"/>
    <n v="0"/>
    <n v="1"/>
    <n v="0"/>
    <n v="0"/>
    <n v="0"/>
    <s v="MMR001CMP008"/>
    <x v="0"/>
    <x v="0"/>
    <s v="P4"/>
    <n v="1.7188459177409454E-4"/>
    <s v="No"/>
  </r>
  <r>
    <n v="17.233333333333334"/>
    <d v="2015-12-01T00:00:00"/>
    <x v="1"/>
    <s v="Solidarities"/>
    <s v="Kachin"/>
    <s v="Momauk"/>
    <s v="Loi Je B.E.H.S"/>
    <m/>
    <m/>
    <m/>
    <m/>
    <m/>
    <m/>
    <m/>
    <m/>
    <m/>
    <m/>
    <m/>
    <m/>
    <m/>
    <m/>
    <n v="44"/>
    <m/>
    <m/>
    <n v="0"/>
    <n v="0"/>
    <n v="0"/>
    <n v="0"/>
    <n v="0"/>
    <n v="0"/>
    <n v="0"/>
    <n v="0"/>
    <n v="0"/>
    <n v="0"/>
    <n v="0"/>
    <n v="0"/>
    <n v="0"/>
    <n v="0"/>
    <n v="0"/>
    <n v="0"/>
    <n v="0"/>
    <n v="0"/>
    <s v=""/>
    <x v="1"/>
    <x v="2"/>
    <s v=""/>
    <s v=""/>
    <m/>
  </r>
  <r>
    <n v="17.133333333333333"/>
    <d v="2015-12-04T00:00:00"/>
    <x v="1"/>
    <s v="Solidarities"/>
    <s v="Kachin"/>
    <s v="Momauk"/>
    <s v="Edin"/>
    <m/>
    <m/>
    <m/>
    <m/>
    <m/>
    <m/>
    <m/>
    <m/>
    <m/>
    <m/>
    <m/>
    <m/>
    <m/>
    <m/>
    <n v="1"/>
    <m/>
    <m/>
    <n v="0"/>
    <n v="0"/>
    <n v="0"/>
    <n v="0"/>
    <n v="0"/>
    <n v="0"/>
    <n v="0"/>
    <n v="0"/>
    <n v="0"/>
    <n v="0"/>
    <n v="0"/>
    <n v="0"/>
    <n v="0"/>
    <n v="0"/>
    <n v="0"/>
    <n v="0"/>
    <n v="0"/>
    <n v="0"/>
    <s v=""/>
    <x v="1"/>
    <x v="2"/>
    <s v=""/>
    <s v=""/>
    <m/>
  </r>
  <r>
    <n v="16.766666666666666"/>
    <d v="2015-12-15T00:00:00"/>
    <x v="1"/>
    <s v="Solidarities"/>
    <s v="Kachin"/>
    <s v="Momauk"/>
    <s v="Nyaung Na Pin "/>
    <m/>
    <m/>
    <m/>
    <m/>
    <m/>
    <m/>
    <m/>
    <m/>
    <m/>
    <m/>
    <m/>
    <m/>
    <m/>
    <m/>
    <m/>
    <n v="5"/>
    <m/>
    <n v="0"/>
    <n v="0"/>
    <n v="0"/>
    <n v="0"/>
    <n v="0"/>
    <n v="0"/>
    <n v="0"/>
    <n v="0"/>
    <n v="0"/>
    <n v="0"/>
    <n v="0"/>
    <n v="0"/>
    <n v="0"/>
    <n v="0"/>
    <n v="0"/>
    <n v="0"/>
    <n v="0"/>
    <n v="0"/>
    <s v="MMR001CMP072"/>
    <x v="0"/>
    <x v="0"/>
    <s v="P3"/>
    <n v="0"/>
    <m/>
  </r>
  <r>
    <n v="16.766666666666666"/>
    <d v="2015-12-15T00:00:00"/>
    <x v="1"/>
    <s v="Solidarities"/>
    <s v="Kachin"/>
    <s v="Momauk"/>
    <s v="Seng Ja "/>
    <m/>
    <m/>
    <m/>
    <m/>
    <m/>
    <m/>
    <m/>
    <m/>
    <m/>
    <m/>
    <m/>
    <m/>
    <m/>
    <m/>
    <m/>
    <n v="4"/>
    <m/>
    <n v="0"/>
    <n v="0"/>
    <n v="0"/>
    <n v="0"/>
    <n v="0"/>
    <n v="0"/>
    <n v="0"/>
    <n v="0"/>
    <n v="0"/>
    <n v="0"/>
    <n v="0"/>
    <n v="0"/>
    <n v="0"/>
    <n v="0"/>
    <n v="0"/>
    <n v="0"/>
    <n v="0"/>
    <n v="0"/>
    <s v="MMR001CMP073"/>
    <x v="0"/>
    <x v="0"/>
    <s v="P3"/>
    <n v="0"/>
    <m/>
  </r>
  <r>
    <n v="16.7"/>
    <d v="2015-12-17T00:00:00"/>
    <x v="1"/>
    <s v="Solidarities"/>
    <s v="Kachin"/>
    <s v="Bhamo"/>
    <s v="AD-2000 Tharthana Compound"/>
    <m/>
    <m/>
    <m/>
    <m/>
    <m/>
    <m/>
    <m/>
    <m/>
    <m/>
    <m/>
    <m/>
    <m/>
    <m/>
    <m/>
    <m/>
    <n v="38"/>
    <m/>
    <n v="0"/>
    <n v="0"/>
    <n v="0"/>
    <n v="0"/>
    <n v="0"/>
    <n v="0"/>
    <n v="0"/>
    <n v="0"/>
    <n v="0"/>
    <n v="0"/>
    <n v="0"/>
    <n v="0"/>
    <n v="0"/>
    <n v="0"/>
    <n v="0"/>
    <n v="0"/>
    <n v="0"/>
    <n v="0"/>
    <s v="MMR001CMP050"/>
    <x v="0"/>
    <x v="0"/>
    <s v="P4"/>
    <n v="0"/>
    <m/>
  </r>
  <r>
    <n v="16.7"/>
    <d v="2015-12-17T00:00:00"/>
    <x v="1"/>
    <s v="Solidarities"/>
    <s v="Kachin"/>
    <s v="Bhamo"/>
    <s v="Robert Church"/>
    <m/>
    <m/>
    <m/>
    <m/>
    <m/>
    <m/>
    <m/>
    <m/>
    <m/>
    <m/>
    <m/>
    <m/>
    <m/>
    <m/>
    <m/>
    <n v="76"/>
    <m/>
    <n v="0"/>
    <n v="0"/>
    <n v="0"/>
    <n v="0"/>
    <n v="0"/>
    <n v="0"/>
    <n v="0"/>
    <n v="0"/>
    <n v="0"/>
    <n v="0"/>
    <n v="0"/>
    <n v="0"/>
    <n v="0"/>
    <n v="0"/>
    <n v="0"/>
    <n v="0"/>
    <n v="0"/>
    <n v="0"/>
    <s v="MMR001CMP047"/>
    <x v="0"/>
    <x v="0"/>
    <s v="P4"/>
    <n v="0"/>
    <m/>
  </r>
  <r>
    <n v="16.666666666666668"/>
    <d v="2015-12-18T00:00:00"/>
    <x v="1"/>
    <s v="Solidarities"/>
    <s v="Kachin"/>
    <s v="Bhamo"/>
    <s v="Phan Khar Kone"/>
    <m/>
    <m/>
    <m/>
    <m/>
    <m/>
    <m/>
    <m/>
    <m/>
    <m/>
    <m/>
    <m/>
    <m/>
    <m/>
    <m/>
    <m/>
    <n v="24"/>
    <m/>
    <n v="0"/>
    <n v="0"/>
    <n v="0"/>
    <n v="0"/>
    <n v="0"/>
    <n v="0"/>
    <n v="0"/>
    <n v="0"/>
    <n v="0"/>
    <n v="0"/>
    <n v="0"/>
    <n v="0"/>
    <n v="0"/>
    <n v="0"/>
    <n v="0"/>
    <n v="0"/>
    <n v="0"/>
    <n v="0"/>
    <s v="MMR001CMP193"/>
    <x v="0"/>
    <x v="0"/>
    <s v="P4"/>
    <n v="0"/>
    <m/>
  </r>
  <r>
    <n v="16.666666666666668"/>
    <d v="2015-12-18T00:00:00"/>
    <x v="1"/>
    <s v="Solidarities"/>
    <s v="Kachin"/>
    <s v="Bhamo"/>
    <s v="Ta Gun Taing Monastery (Shwe Kyi Na)"/>
    <m/>
    <m/>
    <m/>
    <m/>
    <m/>
    <m/>
    <m/>
    <m/>
    <m/>
    <m/>
    <m/>
    <m/>
    <m/>
    <m/>
    <m/>
    <n v="5"/>
    <m/>
    <n v="0"/>
    <n v="0"/>
    <n v="0"/>
    <n v="0"/>
    <n v="0"/>
    <n v="0"/>
    <n v="0"/>
    <n v="0"/>
    <n v="0"/>
    <n v="0"/>
    <n v="0"/>
    <n v="0"/>
    <n v="0"/>
    <n v="0"/>
    <n v="0"/>
    <n v="0"/>
    <n v="0"/>
    <n v="0"/>
    <s v="MMR001CMP055"/>
    <x v="0"/>
    <x v="0"/>
    <s v="P4"/>
    <n v="0"/>
    <m/>
  </r>
  <r>
    <n v="15.966666666666667"/>
    <d v="2016-01-08T00:00:00"/>
    <x v="0"/>
    <s v="KBC"/>
    <s v="Shan_North"/>
    <s v="Namtu"/>
    <s v="Nam Tu Baptist"/>
    <m/>
    <m/>
    <m/>
    <n v="35"/>
    <m/>
    <n v="35"/>
    <n v="18"/>
    <m/>
    <n v="18"/>
    <n v="82"/>
    <m/>
    <m/>
    <m/>
    <m/>
    <n v="18"/>
    <m/>
    <m/>
    <n v="0"/>
    <n v="0"/>
    <n v="0"/>
    <n v="0"/>
    <n v="0"/>
    <n v="0"/>
    <n v="0"/>
    <n v="0"/>
    <n v="0"/>
    <n v="0"/>
    <n v="0"/>
    <n v="0"/>
    <n v="0"/>
    <n v="0"/>
    <n v="0"/>
    <n v="0"/>
    <n v="0"/>
    <n v="0"/>
    <s v="MMR015CMP014"/>
    <x v="0"/>
    <x v="0"/>
    <s v="P3"/>
    <n v="4.3902439024390245E-4"/>
    <m/>
  </r>
  <r>
    <n v="15.5"/>
    <d v="2016-01-22T00:00:00"/>
    <x v="1"/>
    <s v="Solidarities"/>
    <s v="Kachin"/>
    <s v="Bhamo"/>
    <s v="Phan Khar Kone"/>
    <m/>
    <m/>
    <m/>
    <m/>
    <m/>
    <m/>
    <m/>
    <m/>
    <m/>
    <m/>
    <m/>
    <m/>
    <m/>
    <m/>
    <n v="4"/>
    <m/>
    <m/>
    <n v="0"/>
    <n v="0"/>
    <n v="0"/>
    <n v="0"/>
    <n v="0"/>
    <n v="0"/>
    <n v="0"/>
    <n v="0"/>
    <n v="0"/>
    <n v="0"/>
    <n v="0"/>
    <n v="0"/>
    <n v="0"/>
    <n v="0"/>
    <n v="0"/>
    <n v="0"/>
    <n v="0"/>
    <n v="0"/>
    <s v="MMR001CMP193"/>
    <x v="0"/>
    <x v="0"/>
    <s v="P4"/>
    <n v="0"/>
    <m/>
  </r>
  <r>
    <n v="15.366666666666667"/>
    <d v="2016-01-26T00:00:00"/>
    <x v="1"/>
    <s v="Solidarities"/>
    <s v="Kachin"/>
    <s v="Bhamo"/>
    <s v="Robert Church"/>
    <m/>
    <m/>
    <m/>
    <m/>
    <m/>
    <m/>
    <m/>
    <m/>
    <m/>
    <m/>
    <m/>
    <m/>
    <m/>
    <m/>
    <n v="5"/>
    <m/>
    <m/>
    <n v="0"/>
    <n v="0"/>
    <n v="0"/>
    <n v="0"/>
    <n v="0"/>
    <n v="0"/>
    <n v="0"/>
    <n v="0"/>
    <n v="0"/>
    <n v="0"/>
    <n v="0"/>
    <n v="0"/>
    <n v="0"/>
    <n v="0"/>
    <n v="0"/>
    <n v="0"/>
    <n v="0"/>
    <n v="0"/>
    <s v="MMR001CMP047"/>
    <x v="0"/>
    <x v="0"/>
    <s v="P4"/>
    <n v="0"/>
    <m/>
  </r>
  <r>
    <n v="15.266666666666667"/>
    <d v="2016-01-29T00:00:00"/>
    <x v="1"/>
    <s v="Solidarities"/>
    <s v="Kachin"/>
    <s v="Momauk"/>
    <s v="Loi Je Baptist Church"/>
    <m/>
    <m/>
    <m/>
    <m/>
    <m/>
    <m/>
    <m/>
    <m/>
    <m/>
    <m/>
    <m/>
    <m/>
    <m/>
    <m/>
    <n v="2"/>
    <m/>
    <m/>
    <n v="0"/>
    <n v="0"/>
    <n v="0"/>
    <n v="0"/>
    <n v="0"/>
    <n v="0"/>
    <n v="0"/>
    <n v="0"/>
    <n v="0"/>
    <n v="0"/>
    <n v="0"/>
    <n v="0"/>
    <n v="0"/>
    <n v="0"/>
    <n v="0"/>
    <n v="0"/>
    <n v="0"/>
    <n v="0"/>
    <s v="MMR001CMP071"/>
    <x v="0"/>
    <x v="0"/>
    <s v="P3"/>
    <n v="0"/>
    <m/>
  </r>
  <r>
    <n v="15.266666666666667"/>
    <d v="2016-01-29T00:00:00"/>
    <x v="1"/>
    <s v="Solidarities"/>
    <s v="Kachin"/>
    <s v="Momauk"/>
    <s v="Loi Je Lisu Camp"/>
    <m/>
    <m/>
    <m/>
    <m/>
    <m/>
    <m/>
    <m/>
    <m/>
    <m/>
    <m/>
    <m/>
    <m/>
    <m/>
    <m/>
    <n v="3"/>
    <m/>
    <m/>
    <n v="0"/>
    <n v="0"/>
    <n v="0"/>
    <n v="0"/>
    <n v="0"/>
    <n v="0"/>
    <n v="0"/>
    <n v="0"/>
    <n v="0"/>
    <n v="0"/>
    <n v="0"/>
    <n v="0"/>
    <n v="0"/>
    <n v="0"/>
    <n v="0"/>
    <n v="0"/>
    <n v="0"/>
    <n v="0"/>
    <s v="MMR001CMP070"/>
    <x v="0"/>
    <x v="0"/>
    <s v="P3"/>
    <n v="0"/>
    <m/>
  </r>
  <r>
    <n v="15.266666666666667"/>
    <d v="2016-01-29T00:00:00"/>
    <x v="1"/>
    <s v="Solidarities"/>
    <s v="Kachin"/>
    <s v="Momauk"/>
    <s v="Seng Ja "/>
    <m/>
    <m/>
    <m/>
    <m/>
    <m/>
    <m/>
    <m/>
    <m/>
    <m/>
    <m/>
    <m/>
    <m/>
    <m/>
    <m/>
    <n v="3"/>
    <m/>
    <m/>
    <n v="0"/>
    <n v="0"/>
    <n v="0"/>
    <n v="0"/>
    <n v="0"/>
    <n v="0"/>
    <n v="0"/>
    <n v="0"/>
    <n v="0"/>
    <n v="0"/>
    <n v="0"/>
    <n v="0"/>
    <n v="0"/>
    <n v="0"/>
    <n v="0"/>
    <n v="0"/>
    <n v="0"/>
    <n v="0"/>
    <s v="MMR001CMP073"/>
    <x v="0"/>
    <x v="0"/>
    <s v="P3"/>
    <n v="0"/>
    <m/>
  </r>
  <r>
    <n v="16.666666666666668"/>
    <d v="2015-12-18T00:00:00"/>
    <x v="1"/>
    <s v="Solidarities"/>
    <s v="Kachin"/>
    <s v="Momauk"/>
    <s v="Edin"/>
    <m/>
    <m/>
    <m/>
    <m/>
    <m/>
    <m/>
    <m/>
    <m/>
    <m/>
    <m/>
    <m/>
    <m/>
    <m/>
    <m/>
    <m/>
    <n v="13"/>
    <m/>
    <n v="0"/>
    <n v="0"/>
    <n v="0"/>
    <n v="0"/>
    <n v="0"/>
    <n v="0"/>
    <n v="0"/>
    <n v="0"/>
    <n v="0"/>
    <n v="0"/>
    <n v="0"/>
    <n v="0"/>
    <n v="0"/>
    <n v="0"/>
    <n v="0"/>
    <n v="0"/>
    <n v="0"/>
    <n v="0"/>
    <s v=""/>
    <x v="1"/>
    <x v="2"/>
    <s v=""/>
    <s v=""/>
    <m/>
  </r>
  <r>
    <n v="16.666666666666668"/>
    <d v="2015-12-18T00:00:00"/>
    <x v="1"/>
    <s v="Solidarities"/>
    <s v="Kachin"/>
    <s v="Momauk"/>
    <s v="Ni Thaw Ka Monestry"/>
    <m/>
    <m/>
    <m/>
    <m/>
    <m/>
    <m/>
    <m/>
    <m/>
    <m/>
    <m/>
    <m/>
    <m/>
    <m/>
    <m/>
    <m/>
    <n v="5"/>
    <m/>
    <n v="0"/>
    <n v="0"/>
    <n v="0"/>
    <n v="0"/>
    <n v="0"/>
    <n v="0"/>
    <n v="0"/>
    <n v="0"/>
    <n v="0"/>
    <n v="0"/>
    <n v="0"/>
    <n v="0"/>
    <n v="0"/>
    <n v="0"/>
    <n v="0"/>
    <n v="0"/>
    <n v="0"/>
    <n v="0"/>
    <s v="MMR001CMP059"/>
    <x v="0"/>
    <x v="1"/>
    <s v="P4"/>
    <n v="0"/>
    <m/>
  </r>
  <r>
    <n v="15.133333333333333"/>
    <d v="2016-02-02T00:00:00"/>
    <x v="1"/>
    <s v="Solidarities"/>
    <s v="Kachin"/>
    <s v="Bhamo"/>
    <s v="AD-2000 Tharthana Compound"/>
    <m/>
    <m/>
    <n v="310"/>
    <m/>
    <m/>
    <m/>
    <m/>
    <m/>
    <m/>
    <m/>
    <m/>
    <m/>
    <m/>
    <m/>
    <m/>
    <m/>
    <m/>
    <n v="0"/>
    <n v="0"/>
    <n v="0"/>
    <n v="0"/>
    <n v="0"/>
    <n v="0"/>
    <n v="0"/>
    <n v="0"/>
    <n v="0"/>
    <n v="0"/>
    <n v="0"/>
    <n v="0"/>
    <n v="0"/>
    <n v="0"/>
    <n v="0"/>
    <n v="0"/>
    <n v="0"/>
    <n v="0"/>
    <s v="MMR001CMP050"/>
    <x v="0"/>
    <x v="0"/>
    <s v="P4"/>
    <n v="0"/>
    <m/>
  </r>
  <r>
    <n v="15.133333333333333"/>
    <d v="2016-02-02T00:00:00"/>
    <x v="1"/>
    <s v="Solidarities"/>
    <s v="Kachin"/>
    <s v="Bhamo"/>
    <s v="Phan Khar Kone"/>
    <m/>
    <m/>
    <n v="204"/>
    <m/>
    <m/>
    <m/>
    <m/>
    <m/>
    <m/>
    <m/>
    <m/>
    <m/>
    <m/>
    <m/>
    <m/>
    <m/>
    <m/>
    <n v="0"/>
    <n v="0"/>
    <n v="0"/>
    <n v="0"/>
    <n v="0"/>
    <n v="0"/>
    <n v="0"/>
    <n v="0"/>
    <n v="0"/>
    <n v="0"/>
    <n v="0"/>
    <n v="0"/>
    <n v="0"/>
    <n v="0"/>
    <n v="0"/>
    <n v="0"/>
    <n v="0"/>
    <n v="0"/>
    <s v="MMR001CMP193"/>
    <x v="0"/>
    <x v="0"/>
    <s v="P4"/>
    <n v="0"/>
    <m/>
  </r>
  <r>
    <n v="16.166666666666668"/>
    <d v="2016-01-02T00:00:00"/>
    <x v="0"/>
    <s v="KBC"/>
    <s v="Shan_North"/>
    <s v="Namhkan"/>
    <m/>
    <m/>
    <m/>
    <m/>
    <m/>
    <m/>
    <m/>
    <m/>
    <m/>
    <m/>
    <m/>
    <m/>
    <m/>
    <m/>
    <m/>
    <m/>
    <m/>
    <n v="37"/>
    <n v="0"/>
    <n v="0"/>
    <n v="0"/>
    <n v="0"/>
    <n v="0"/>
    <n v="0"/>
    <n v="0"/>
    <n v="0"/>
    <n v="0"/>
    <n v="0"/>
    <n v="0"/>
    <n v="0"/>
    <n v="0"/>
    <n v="0"/>
    <n v="0"/>
    <n v="0"/>
    <n v="0"/>
    <n v="0"/>
    <s v=""/>
    <x v="1"/>
    <x v="2"/>
    <s v=""/>
    <s v=""/>
    <m/>
  </r>
  <r>
    <n v="15.066666666666666"/>
    <d v="2016-02-04T00:00:00"/>
    <x v="1"/>
    <s v="Solidarities"/>
    <s v="Kachin"/>
    <s v="Momauk"/>
    <s v="Loi Je Baptist Church"/>
    <m/>
    <m/>
    <n v="55"/>
    <m/>
    <m/>
    <m/>
    <m/>
    <m/>
    <m/>
    <m/>
    <m/>
    <m/>
    <m/>
    <m/>
    <m/>
    <m/>
    <m/>
    <n v="0"/>
    <n v="0"/>
    <n v="0"/>
    <n v="0"/>
    <n v="0"/>
    <n v="0"/>
    <n v="0"/>
    <n v="0"/>
    <n v="0"/>
    <n v="0"/>
    <n v="0"/>
    <n v="0"/>
    <n v="0"/>
    <n v="0"/>
    <n v="0"/>
    <n v="0"/>
    <n v="0"/>
    <n v="0"/>
    <s v="MMR001CMP071"/>
    <x v="0"/>
    <x v="0"/>
    <s v="P3"/>
    <n v="0"/>
    <m/>
  </r>
  <r>
    <n v="15.066666666666666"/>
    <d v="2016-02-04T00:00:00"/>
    <x v="1"/>
    <s v="Solidarities"/>
    <s v="Kachin"/>
    <s v="Momauk"/>
    <s v="Loi Je Baptist Church"/>
    <m/>
    <m/>
    <m/>
    <m/>
    <m/>
    <m/>
    <m/>
    <m/>
    <m/>
    <m/>
    <m/>
    <m/>
    <m/>
    <m/>
    <m/>
    <m/>
    <m/>
    <n v="0"/>
    <n v="0"/>
    <n v="0"/>
    <n v="0"/>
    <n v="0"/>
    <n v="0"/>
    <n v="0"/>
    <n v="0"/>
    <n v="0"/>
    <n v="0"/>
    <n v="0"/>
    <n v="0"/>
    <n v="0"/>
    <n v="0"/>
    <n v="0"/>
    <n v="0"/>
    <n v="0"/>
    <n v="0"/>
    <s v="MMR001CMP071"/>
    <x v="0"/>
    <x v="0"/>
    <s v="P3"/>
    <n v="0"/>
    <m/>
  </r>
  <r>
    <n v="15.066666666666666"/>
    <d v="2016-02-04T00:00:00"/>
    <x v="1"/>
    <s v="Solidarities"/>
    <s v="Kachin"/>
    <s v="Momauk"/>
    <s v="Loi Je Catholic Church"/>
    <m/>
    <m/>
    <n v="71"/>
    <m/>
    <m/>
    <m/>
    <m/>
    <m/>
    <m/>
    <m/>
    <m/>
    <m/>
    <m/>
    <m/>
    <m/>
    <m/>
    <m/>
    <n v="0"/>
    <n v="0"/>
    <n v="0"/>
    <n v="0"/>
    <n v="0"/>
    <n v="0"/>
    <n v="0"/>
    <n v="0"/>
    <n v="0"/>
    <n v="0"/>
    <n v="0"/>
    <n v="0"/>
    <n v="0"/>
    <n v="0"/>
    <n v="0"/>
    <n v="0"/>
    <n v="0"/>
    <n v="0"/>
    <s v="MMR001CMP069"/>
    <x v="0"/>
    <x v="0"/>
    <s v="P3"/>
    <n v="0"/>
    <m/>
  </r>
  <r>
    <n v="15.066666666666666"/>
    <d v="2016-02-04T00:00:00"/>
    <x v="1"/>
    <s v="Solidarities"/>
    <s v="Kachin"/>
    <s v="Bhamo"/>
    <s v="Ta Gun Taing Monastery (Shwe Kyi Na)"/>
    <m/>
    <m/>
    <n v="29"/>
    <m/>
    <m/>
    <m/>
    <m/>
    <m/>
    <m/>
    <m/>
    <m/>
    <m/>
    <m/>
    <m/>
    <m/>
    <m/>
    <m/>
    <n v="0"/>
    <n v="0"/>
    <n v="0"/>
    <n v="0"/>
    <n v="0"/>
    <n v="0"/>
    <n v="0"/>
    <n v="0"/>
    <n v="0"/>
    <n v="0"/>
    <n v="0"/>
    <n v="0"/>
    <n v="0"/>
    <n v="0"/>
    <n v="0"/>
    <n v="0"/>
    <n v="0"/>
    <n v="0"/>
    <s v="MMR001CMP055"/>
    <x v="0"/>
    <x v="0"/>
    <s v="P4"/>
    <n v="0"/>
    <m/>
  </r>
  <r>
    <n v="15.033333333333333"/>
    <d v="2016-02-05T00:00:00"/>
    <x v="1"/>
    <s v="Solidarities"/>
    <s v="Kachin"/>
    <s v="Momauk"/>
    <s v="Loi Je Lisu Camp"/>
    <m/>
    <m/>
    <n v="258"/>
    <m/>
    <m/>
    <m/>
    <m/>
    <m/>
    <m/>
    <m/>
    <m/>
    <m/>
    <m/>
    <m/>
    <m/>
    <m/>
    <m/>
    <n v="0"/>
    <n v="0"/>
    <n v="0"/>
    <n v="0"/>
    <n v="0"/>
    <n v="0"/>
    <n v="0"/>
    <n v="0"/>
    <n v="0"/>
    <n v="0"/>
    <n v="0"/>
    <n v="0"/>
    <n v="0"/>
    <n v="0"/>
    <n v="0"/>
    <n v="0"/>
    <n v="0"/>
    <n v="0"/>
    <s v="MMR001CMP070"/>
    <x v="0"/>
    <x v="0"/>
    <s v="P3"/>
    <n v="0"/>
    <m/>
  </r>
  <r>
    <n v="14.933333333333334"/>
    <d v="2016-02-08T00:00:00"/>
    <x v="1"/>
    <s v="Solidarities"/>
    <s v="Kachin"/>
    <s v="Momauk"/>
    <s v="Nyaung Na Pin "/>
    <m/>
    <m/>
    <n v="82"/>
    <m/>
    <m/>
    <m/>
    <m/>
    <m/>
    <m/>
    <m/>
    <m/>
    <m/>
    <m/>
    <m/>
    <m/>
    <m/>
    <m/>
    <n v="0"/>
    <n v="0"/>
    <n v="0"/>
    <n v="0"/>
    <n v="0"/>
    <n v="0"/>
    <n v="0"/>
    <n v="0"/>
    <n v="0"/>
    <n v="0"/>
    <n v="0"/>
    <n v="0"/>
    <n v="0"/>
    <n v="0"/>
    <n v="0"/>
    <n v="0"/>
    <n v="0"/>
    <n v="0"/>
    <s v="MMR001CMP072"/>
    <x v="0"/>
    <x v="0"/>
    <s v="P3"/>
    <n v="0"/>
    <m/>
  </r>
  <r>
    <n v="14.933333333333334"/>
    <d v="2016-02-08T00:00:00"/>
    <x v="1"/>
    <s v="Solidarities"/>
    <s v="Kachin"/>
    <s v="Bhamo"/>
    <s v="Robert Church"/>
    <m/>
    <m/>
    <n v="996"/>
    <m/>
    <m/>
    <m/>
    <m/>
    <m/>
    <m/>
    <m/>
    <m/>
    <m/>
    <m/>
    <m/>
    <m/>
    <m/>
    <m/>
    <n v="0"/>
    <n v="0"/>
    <n v="0"/>
    <n v="0"/>
    <n v="0"/>
    <n v="0"/>
    <n v="0"/>
    <n v="0"/>
    <n v="0"/>
    <n v="0"/>
    <n v="0"/>
    <n v="0"/>
    <n v="0"/>
    <n v="0"/>
    <n v="0"/>
    <n v="0"/>
    <n v="0"/>
    <n v="0"/>
    <s v="MMR001CMP047"/>
    <x v="0"/>
    <x v="0"/>
    <s v="P4"/>
    <n v="0"/>
    <m/>
  </r>
  <r>
    <n v="14.933333333333334"/>
    <d v="2016-02-08T00:00:00"/>
    <x v="1"/>
    <s v="Solidarities"/>
    <s v="Kachin"/>
    <s v="Momauk"/>
    <s v="Seng Ja "/>
    <m/>
    <m/>
    <n v="62"/>
    <m/>
    <m/>
    <m/>
    <m/>
    <m/>
    <m/>
    <m/>
    <m/>
    <m/>
    <m/>
    <m/>
    <m/>
    <m/>
    <m/>
    <n v="0"/>
    <n v="0"/>
    <n v="0"/>
    <n v="0"/>
    <n v="0"/>
    <n v="0"/>
    <n v="0"/>
    <n v="0"/>
    <n v="0"/>
    <n v="0"/>
    <n v="0"/>
    <n v="0"/>
    <n v="0"/>
    <n v="0"/>
    <n v="0"/>
    <n v="0"/>
    <n v="0"/>
    <n v="0"/>
    <s v="MMR001CMP073"/>
    <x v="0"/>
    <x v="0"/>
    <s v="P3"/>
    <n v="0"/>
    <m/>
  </r>
  <r>
    <n v="15.066666666666666"/>
    <d v="2016-02-04T00:00:00"/>
    <x v="1"/>
    <s v="Solidarities"/>
    <s v="Kachin"/>
    <s v="Momauk"/>
    <s v="Edin"/>
    <m/>
    <m/>
    <n v="96"/>
    <m/>
    <m/>
    <m/>
    <m/>
    <m/>
    <m/>
    <m/>
    <m/>
    <m/>
    <m/>
    <m/>
    <m/>
    <m/>
    <m/>
    <n v="0"/>
    <n v="0"/>
    <n v="0"/>
    <n v="0"/>
    <n v="0"/>
    <n v="0"/>
    <n v="0"/>
    <n v="0"/>
    <n v="0"/>
    <n v="0"/>
    <n v="0"/>
    <n v="0"/>
    <n v="0"/>
    <n v="0"/>
    <n v="0"/>
    <n v="0"/>
    <n v="0"/>
    <n v="0"/>
    <s v=""/>
    <x v="1"/>
    <x v="2"/>
    <s v=""/>
    <s v=""/>
    <m/>
  </r>
  <r>
    <n v="15.066666666666666"/>
    <d v="2016-02-04T00:00:00"/>
    <x v="1"/>
    <s v="Solidarities"/>
    <s v="Kachin"/>
    <s v="Momauk"/>
    <s v="Ni Thaw Ka Monestry"/>
    <m/>
    <m/>
    <n v="33"/>
    <m/>
    <m/>
    <m/>
    <m/>
    <m/>
    <m/>
    <m/>
    <m/>
    <m/>
    <m/>
    <m/>
    <m/>
    <m/>
    <m/>
    <n v="0"/>
    <n v="0"/>
    <n v="0"/>
    <n v="0"/>
    <n v="0"/>
    <n v="0"/>
    <n v="0"/>
    <n v="0"/>
    <n v="0"/>
    <n v="0"/>
    <n v="0"/>
    <n v="0"/>
    <n v="0"/>
    <n v="0"/>
    <n v="0"/>
    <n v="0"/>
    <n v="0"/>
    <n v="0"/>
    <s v="MMR001CMP059"/>
    <x v="0"/>
    <x v="1"/>
    <s v="P4"/>
    <n v="0"/>
    <m/>
  </r>
  <r>
    <n v="14.433333333333334"/>
    <d v="2016-02-23T00:00:00"/>
    <x v="1"/>
    <s v="KBC"/>
    <s v="Kachin"/>
    <s v="Momauk"/>
    <s v="Je Yang Hka "/>
    <m/>
    <m/>
    <n v="1807"/>
    <m/>
    <m/>
    <m/>
    <m/>
    <m/>
    <m/>
    <m/>
    <m/>
    <m/>
    <m/>
    <m/>
    <m/>
    <m/>
    <m/>
    <n v="0"/>
    <n v="0"/>
    <n v="0"/>
    <n v="0"/>
    <n v="0"/>
    <n v="0"/>
    <n v="0"/>
    <n v="0"/>
    <n v="0"/>
    <n v="0"/>
    <n v="0"/>
    <n v="0"/>
    <n v="0"/>
    <n v="0"/>
    <n v="0"/>
    <n v="0"/>
    <n v="0"/>
    <n v="0"/>
    <s v="MMR001CMP121"/>
    <x v="0"/>
    <x v="0"/>
    <s v="P2"/>
    <n v="0"/>
    <m/>
  </r>
  <r>
    <n v="14.4"/>
    <d v="2016-02-24T00:00:00"/>
    <x v="1"/>
    <s v="KBC"/>
    <s v="Kachin"/>
    <s v="Momauk"/>
    <s v="Je Yang Hka "/>
    <m/>
    <m/>
    <m/>
    <m/>
    <m/>
    <m/>
    <m/>
    <m/>
    <m/>
    <m/>
    <m/>
    <m/>
    <m/>
    <m/>
    <m/>
    <m/>
    <m/>
    <n v="0"/>
    <n v="0"/>
    <n v="0"/>
    <n v="0"/>
    <n v="0"/>
    <n v="0"/>
    <n v="0"/>
    <n v="0"/>
    <n v="0"/>
    <n v="0"/>
    <n v="0"/>
    <n v="0"/>
    <n v="0"/>
    <n v="0"/>
    <n v="0"/>
    <n v="0"/>
    <n v="0"/>
    <n v="0"/>
    <s v="MMR001CMP121"/>
    <x v="0"/>
    <x v="0"/>
    <s v="P2"/>
    <n v="0"/>
    <m/>
  </r>
  <r>
    <n v="14.366666666666667"/>
    <d v="2016-02-25T00:00:00"/>
    <x v="1"/>
    <s v="Solidarities"/>
    <s v="Kachin"/>
    <s v="Bhamo"/>
    <s v="Phan Khar Kone"/>
    <m/>
    <m/>
    <m/>
    <m/>
    <m/>
    <m/>
    <m/>
    <m/>
    <m/>
    <m/>
    <m/>
    <m/>
    <m/>
    <m/>
    <m/>
    <m/>
    <m/>
    <n v="0"/>
    <n v="0"/>
    <n v="0"/>
    <n v="0"/>
    <n v="0"/>
    <n v="0"/>
    <n v="0"/>
    <n v="0"/>
    <n v="0"/>
    <n v="0"/>
    <n v="0"/>
    <n v="0"/>
    <n v="0"/>
    <n v="0"/>
    <n v="0"/>
    <n v="0"/>
    <n v="0"/>
    <n v="0"/>
    <s v="MMR001CMP193"/>
    <x v="0"/>
    <x v="0"/>
    <s v="P4"/>
    <n v="0"/>
    <m/>
  </r>
  <r>
    <n v="14.366666666666667"/>
    <d v="2016-02-25T00:00:00"/>
    <x v="1"/>
    <s v="Solidarities"/>
    <s v="Kachin"/>
    <s v="Bhamo"/>
    <s v="Robert Church"/>
    <m/>
    <m/>
    <m/>
    <m/>
    <m/>
    <m/>
    <m/>
    <m/>
    <m/>
    <m/>
    <m/>
    <m/>
    <m/>
    <m/>
    <m/>
    <m/>
    <m/>
    <n v="0"/>
    <n v="0"/>
    <n v="0"/>
    <n v="0"/>
    <n v="0"/>
    <n v="0"/>
    <n v="0"/>
    <n v="0"/>
    <n v="0"/>
    <n v="0"/>
    <n v="0"/>
    <n v="0"/>
    <n v="0"/>
    <n v="0"/>
    <n v="0"/>
    <n v="0"/>
    <n v="0"/>
    <n v="0"/>
    <s v="MMR001CMP047"/>
    <x v="0"/>
    <x v="0"/>
    <s v="P4"/>
    <n v="0"/>
    <m/>
  </r>
  <r>
    <n v="14.333333333333334"/>
    <d v="2016-02-26T00:00:00"/>
    <x v="1"/>
    <s v="Solidarities"/>
    <s v="Kachin"/>
    <s v="Bhamo"/>
    <s v="AD-2000 Tharthana Compound"/>
    <m/>
    <m/>
    <m/>
    <m/>
    <m/>
    <m/>
    <m/>
    <m/>
    <m/>
    <m/>
    <m/>
    <m/>
    <m/>
    <m/>
    <m/>
    <m/>
    <m/>
    <n v="0"/>
    <n v="0"/>
    <n v="0"/>
    <n v="0"/>
    <n v="0"/>
    <n v="0"/>
    <n v="0"/>
    <n v="0"/>
    <n v="0"/>
    <n v="0"/>
    <n v="0"/>
    <n v="0"/>
    <n v="0"/>
    <n v="0"/>
    <n v="0"/>
    <n v="0"/>
    <n v="0"/>
    <n v="0"/>
    <s v="MMR001CMP050"/>
    <x v="0"/>
    <x v="0"/>
    <s v="P4"/>
    <n v="0"/>
    <m/>
  </r>
  <r>
    <n v="14.333333333333334"/>
    <d v="2016-02-26T00:00:00"/>
    <x v="1"/>
    <s v="Solidarities"/>
    <s v="Kachin"/>
    <s v="Bhamo"/>
    <s v="Ta Gun Taing Monastery (Shwe Kyi Na)"/>
    <m/>
    <m/>
    <m/>
    <m/>
    <m/>
    <m/>
    <m/>
    <m/>
    <m/>
    <m/>
    <m/>
    <m/>
    <m/>
    <m/>
    <m/>
    <m/>
    <m/>
    <n v="0"/>
    <n v="0"/>
    <n v="0"/>
    <n v="0"/>
    <n v="0"/>
    <n v="0"/>
    <n v="0"/>
    <n v="0"/>
    <n v="0"/>
    <n v="0"/>
    <n v="0"/>
    <n v="0"/>
    <n v="0"/>
    <n v="0"/>
    <n v="0"/>
    <n v="0"/>
    <n v="0"/>
    <n v="0"/>
    <s v="MMR001CMP055"/>
    <x v="0"/>
    <x v="0"/>
    <s v="P4"/>
    <n v="0"/>
    <m/>
  </r>
  <r>
    <n v="14.3"/>
    <d v="2016-02-27T00:00:00"/>
    <x v="0"/>
    <s v="KBC"/>
    <s v="Kachin"/>
    <s v="Waingmaw"/>
    <s v="Hpare Hkyer - BP6"/>
    <m/>
    <m/>
    <m/>
    <m/>
    <m/>
    <m/>
    <m/>
    <m/>
    <m/>
    <m/>
    <n v="380"/>
    <n v="380"/>
    <m/>
    <m/>
    <m/>
    <m/>
    <m/>
    <n v="0"/>
    <n v="0"/>
    <n v="0"/>
    <n v="0"/>
    <n v="0"/>
    <n v="0"/>
    <n v="0"/>
    <n v="0"/>
    <n v="0"/>
    <n v="0"/>
    <n v="0"/>
    <n v="0"/>
    <n v="0"/>
    <n v="0"/>
    <n v="1"/>
    <n v="0"/>
    <n v="0"/>
    <n v="0"/>
    <s v="MMR001CMP043"/>
    <x v="0"/>
    <x v="0"/>
    <s v="P1"/>
    <n v="0"/>
    <m/>
  </r>
  <r>
    <n v="14.3"/>
    <d v="2016-02-27T00:00:00"/>
    <x v="0"/>
    <s v="KBC"/>
    <s v="Kachin"/>
    <s v="Waingmaw"/>
    <s v="Pajau - Jan Mai"/>
    <m/>
    <m/>
    <m/>
    <m/>
    <m/>
    <m/>
    <m/>
    <m/>
    <m/>
    <m/>
    <n v="330"/>
    <n v="330"/>
    <m/>
    <n v="346"/>
    <m/>
    <m/>
    <m/>
    <n v="0"/>
    <n v="0"/>
    <n v="0"/>
    <n v="0"/>
    <n v="0"/>
    <n v="0"/>
    <n v="0"/>
    <n v="0"/>
    <n v="0"/>
    <n v="0"/>
    <n v="0"/>
    <n v="0"/>
    <n v="0"/>
    <n v="0"/>
    <n v="1"/>
    <n v="0"/>
    <n v="0"/>
    <n v="0"/>
    <s v="MMR001CMP120"/>
    <x v="0"/>
    <x v="0"/>
    <s v="P1"/>
    <n v="0"/>
    <m/>
  </r>
  <r>
    <n v="14.466666666666667"/>
    <d v="2016-02-22T00:00:00"/>
    <x v="0"/>
    <s v="KBC"/>
    <s v="Shan_North"/>
    <s v="Kutkai"/>
    <m/>
    <m/>
    <m/>
    <m/>
    <m/>
    <m/>
    <m/>
    <m/>
    <m/>
    <m/>
    <m/>
    <m/>
    <m/>
    <m/>
    <m/>
    <m/>
    <m/>
    <n v="71"/>
    <n v="0"/>
    <n v="0"/>
    <n v="0"/>
    <n v="0"/>
    <n v="0"/>
    <n v="0"/>
    <n v="0"/>
    <n v="0"/>
    <n v="0"/>
    <n v="0"/>
    <n v="0"/>
    <n v="0"/>
    <n v="0"/>
    <n v="0"/>
    <n v="0"/>
    <n v="0"/>
    <n v="0"/>
    <n v="0"/>
    <s v=""/>
    <x v="1"/>
    <x v="2"/>
    <s v=""/>
    <s v=""/>
    <m/>
  </r>
  <r>
    <n v="14.3"/>
    <d v="2016-02-27T00:00:00"/>
    <x v="0"/>
    <s v="KBC"/>
    <s v="Kachin"/>
    <s v="Waingmaw"/>
    <s v="Pajau - Jan Mai"/>
    <m/>
    <m/>
    <m/>
    <m/>
    <m/>
    <n v="670"/>
    <m/>
    <m/>
    <n v="345"/>
    <m/>
    <m/>
    <m/>
    <m/>
    <m/>
    <m/>
    <m/>
    <m/>
    <n v="0"/>
    <n v="0"/>
    <n v="0"/>
    <n v="0"/>
    <n v="0"/>
    <n v="0"/>
    <n v="0"/>
    <n v="0"/>
    <n v="0"/>
    <n v="0"/>
    <n v="0"/>
    <n v="0"/>
    <n v="0"/>
    <n v="0"/>
    <n v="0"/>
    <n v="0"/>
    <n v="0"/>
    <n v="0"/>
    <s v="MMR001CMP120"/>
    <x v="0"/>
    <x v="0"/>
    <s v="P1"/>
    <n v="0"/>
    <m/>
  </r>
  <r>
    <n v="14.266666666666667"/>
    <d v="2016-02-28T00:00:00"/>
    <x v="0"/>
    <s v="KBC"/>
    <s v="Kachin"/>
    <s v="Chipwi"/>
    <s v="Hpare Hkyer - BP6"/>
    <m/>
    <m/>
    <m/>
    <m/>
    <m/>
    <n v="345"/>
    <m/>
    <m/>
    <m/>
    <m/>
    <m/>
    <n v="765"/>
    <m/>
    <m/>
    <m/>
    <m/>
    <m/>
    <n v="0"/>
    <n v="0"/>
    <n v="0"/>
    <n v="0"/>
    <n v="0"/>
    <n v="0"/>
    <n v="0"/>
    <n v="0"/>
    <n v="0"/>
    <n v="0"/>
    <n v="0"/>
    <n v="0"/>
    <n v="0"/>
    <n v="0"/>
    <n v="1"/>
    <n v="0"/>
    <n v="0"/>
    <n v="0"/>
    <s v="MMR001CMP043"/>
    <x v="0"/>
    <x v="0"/>
    <s v="P1"/>
    <n v="0"/>
    <m/>
  </r>
  <r>
    <n v="13.7"/>
    <d v="2016-03-16T00:00:00"/>
    <x v="1"/>
    <s v="Solidarities"/>
    <s v="Kachin"/>
    <s v="Bhamo"/>
    <s v="Phan Khar Kone"/>
    <m/>
    <m/>
    <m/>
    <m/>
    <m/>
    <m/>
    <m/>
    <m/>
    <m/>
    <m/>
    <m/>
    <m/>
    <m/>
    <m/>
    <n v="4"/>
    <m/>
    <m/>
    <n v="0"/>
    <n v="0"/>
    <n v="0"/>
    <n v="0"/>
    <n v="0"/>
    <n v="0"/>
    <n v="0"/>
    <n v="0"/>
    <n v="0"/>
    <n v="0"/>
    <n v="0"/>
    <n v="0"/>
    <n v="0"/>
    <n v="0"/>
    <n v="0"/>
    <n v="0"/>
    <n v="0"/>
    <n v="0"/>
    <s v="MMR001CMP193"/>
    <x v="0"/>
    <x v="0"/>
    <s v="P4"/>
    <n v="0"/>
    <m/>
  </r>
  <r>
    <n v="13.666666666666666"/>
    <d v="2016-03-17T00:00:00"/>
    <x v="1"/>
    <s v="Solidarities"/>
    <s v="Kachin"/>
    <s v="Bhamo"/>
    <s v="Robert Church"/>
    <m/>
    <m/>
    <m/>
    <m/>
    <m/>
    <m/>
    <m/>
    <m/>
    <m/>
    <m/>
    <m/>
    <m/>
    <m/>
    <m/>
    <n v="1"/>
    <m/>
    <m/>
    <n v="0"/>
    <n v="0"/>
    <n v="0"/>
    <n v="0"/>
    <n v="0"/>
    <n v="0"/>
    <n v="0"/>
    <n v="0"/>
    <n v="0"/>
    <n v="0"/>
    <n v="0"/>
    <n v="0"/>
    <n v="0"/>
    <n v="0"/>
    <n v="0"/>
    <n v="0"/>
    <n v="0"/>
    <n v="0"/>
    <s v="MMR001CMP047"/>
    <x v="0"/>
    <x v="0"/>
    <s v="P4"/>
    <n v="0"/>
    <m/>
  </r>
  <r>
    <n v="13.2"/>
    <d v="2016-03-31T00:00:00"/>
    <x v="0"/>
    <s v="Shalom"/>
    <s v="Kachin"/>
    <s v="Bhamo"/>
    <s v="Mu-yin Baptist Church"/>
    <m/>
    <m/>
    <m/>
    <m/>
    <n v="4"/>
    <m/>
    <m/>
    <m/>
    <m/>
    <m/>
    <m/>
    <m/>
    <m/>
    <m/>
    <m/>
    <m/>
    <m/>
    <n v="0"/>
    <n v="0"/>
    <n v="0"/>
    <n v="0"/>
    <n v="0"/>
    <n v="0"/>
    <n v="0"/>
    <n v="0"/>
    <n v="0"/>
    <n v="0"/>
    <n v="0"/>
    <n v="0"/>
    <n v="0"/>
    <n v="0"/>
    <n v="0"/>
    <n v="0"/>
    <n v="0"/>
    <n v="0"/>
    <s v="MMR001CMP051"/>
    <x v="0"/>
    <x v="0"/>
    <s v="P4"/>
    <n v="0"/>
    <m/>
  </r>
  <r>
    <n v="12.933333333333334"/>
    <d v="2016-04-08T00:00:00"/>
    <x v="0"/>
    <s v="KBC"/>
    <s v="Kachin"/>
    <s v="Bhamo"/>
    <s v="Lisu Boarding-House"/>
    <m/>
    <m/>
    <m/>
    <m/>
    <n v="10"/>
    <m/>
    <m/>
    <m/>
    <m/>
    <m/>
    <m/>
    <m/>
    <m/>
    <m/>
    <m/>
    <m/>
    <m/>
    <n v="0"/>
    <n v="0"/>
    <n v="0"/>
    <n v="0"/>
    <n v="0"/>
    <n v="0"/>
    <n v="0"/>
    <n v="0"/>
    <n v="0"/>
    <n v="0"/>
    <n v="0"/>
    <n v="0"/>
    <n v="0"/>
    <n v="0"/>
    <n v="0"/>
    <n v="0"/>
    <n v="0"/>
    <n v="0"/>
    <s v="MMR001CMP049"/>
    <x v="0"/>
    <x v="0"/>
    <s v="P4"/>
    <n v="0"/>
    <m/>
  </r>
  <r>
    <n v="12.233333333333333"/>
    <d v="2016-04-29T00:00:00"/>
    <x v="1"/>
    <s v="Solidarities"/>
    <s v="Kachin"/>
    <s v="Bhamo"/>
    <s v="AD-2000 Tharthana Compound"/>
    <m/>
    <m/>
    <m/>
    <m/>
    <m/>
    <m/>
    <m/>
    <m/>
    <m/>
    <m/>
    <m/>
    <m/>
    <m/>
    <m/>
    <m/>
    <n v="74"/>
    <m/>
    <n v="0"/>
    <n v="0"/>
    <n v="0"/>
    <n v="0"/>
    <n v="0"/>
    <n v="0"/>
    <n v="0"/>
    <n v="0"/>
    <n v="0"/>
    <n v="0"/>
    <n v="0"/>
    <n v="0"/>
    <n v="0"/>
    <n v="0"/>
    <n v="0"/>
    <n v="0"/>
    <n v="0"/>
    <n v="0"/>
    <s v="MMR001CMP050"/>
    <x v="0"/>
    <x v="0"/>
    <s v="P4"/>
    <n v="0"/>
    <m/>
  </r>
  <r>
    <n v="12.233333333333333"/>
    <d v="2016-04-29T00:00:00"/>
    <x v="1"/>
    <s v="Solidarities"/>
    <s v="Kachin"/>
    <s v="Bhamo"/>
    <s v="Phan Khar Kone"/>
    <m/>
    <m/>
    <m/>
    <m/>
    <m/>
    <m/>
    <m/>
    <m/>
    <m/>
    <m/>
    <m/>
    <m/>
    <m/>
    <m/>
    <m/>
    <n v="48"/>
    <m/>
    <n v="0"/>
    <n v="0"/>
    <n v="0"/>
    <n v="0"/>
    <n v="0"/>
    <n v="0"/>
    <n v="0"/>
    <n v="0"/>
    <n v="0"/>
    <n v="0"/>
    <n v="0"/>
    <n v="0"/>
    <n v="0"/>
    <n v="0"/>
    <n v="0"/>
    <n v="0"/>
    <n v="0"/>
    <n v="0"/>
    <s v="MMR001CMP193"/>
    <x v="0"/>
    <x v="0"/>
    <s v="P4"/>
    <n v="0"/>
    <m/>
  </r>
  <r>
    <n v="12.233333333333333"/>
    <d v="2016-04-29T00:00:00"/>
    <x v="1"/>
    <s v="Solidarities"/>
    <s v="Kachin"/>
    <s v="Bhamo"/>
    <s v="Robert Church"/>
    <m/>
    <m/>
    <m/>
    <m/>
    <m/>
    <m/>
    <m/>
    <m/>
    <m/>
    <m/>
    <m/>
    <m/>
    <m/>
    <m/>
    <m/>
    <n v="152"/>
    <m/>
    <n v="0"/>
    <n v="0"/>
    <n v="0"/>
    <n v="0"/>
    <n v="0"/>
    <n v="0"/>
    <n v="0"/>
    <n v="0"/>
    <n v="0"/>
    <n v="0"/>
    <n v="0"/>
    <n v="0"/>
    <n v="0"/>
    <n v="0"/>
    <n v="0"/>
    <n v="0"/>
    <n v="0"/>
    <n v="0"/>
    <s v="MMR001CMP047"/>
    <x v="0"/>
    <x v="0"/>
    <s v="P4"/>
    <n v="0"/>
    <m/>
  </r>
  <r>
    <n v="12.233333333333333"/>
    <d v="2016-04-29T00:00:00"/>
    <x v="1"/>
    <s v="Solidarities"/>
    <s v="Kachin"/>
    <s v="Bhamo"/>
    <s v="Ta Gun Taing Monastery (Shwe Kyi Na)"/>
    <m/>
    <m/>
    <m/>
    <m/>
    <m/>
    <m/>
    <m/>
    <m/>
    <m/>
    <m/>
    <m/>
    <m/>
    <m/>
    <m/>
    <m/>
    <n v="10"/>
    <m/>
    <n v="0"/>
    <n v="0"/>
    <n v="0"/>
    <n v="0"/>
    <n v="0"/>
    <n v="0"/>
    <n v="0"/>
    <n v="0"/>
    <n v="0"/>
    <n v="0"/>
    <n v="0"/>
    <n v="0"/>
    <n v="0"/>
    <n v="0"/>
    <n v="0"/>
    <n v="0"/>
    <n v="0"/>
    <n v="0"/>
    <s v="MMR001CMP055"/>
    <x v="0"/>
    <x v="0"/>
    <s v="P4"/>
    <n v="0"/>
    <m/>
  </r>
  <r>
    <n v="14.233333333333333"/>
    <d v="2016-02-29T00:00:00"/>
    <x v="1"/>
    <s v="Solidarities"/>
    <s v="Kachin"/>
    <s v="Momauk"/>
    <s v="Edin"/>
    <m/>
    <m/>
    <m/>
    <m/>
    <m/>
    <m/>
    <m/>
    <m/>
    <m/>
    <m/>
    <m/>
    <m/>
    <m/>
    <m/>
    <m/>
    <m/>
    <m/>
    <n v="0"/>
    <n v="0"/>
    <n v="0"/>
    <n v="0"/>
    <n v="0"/>
    <n v="0"/>
    <n v="0"/>
    <n v="0"/>
    <n v="0"/>
    <n v="0"/>
    <n v="0"/>
    <n v="0"/>
    <n v="0"/>
    <n v="0"/>
    <n v="0"/>
    <n v="0"/>
    <n v="0"/>
    <n v="0"/>
    <s v=""/>
    <x v="1"/>
    <x v="2"/>
    <s v=""/>
    <s v=""/>
    <m/>
  </r>
  <r>
    <n v="14.233333333333333"/>
    <d v="2016-02-29T00:00:00"/>
    <x v="1"/>
    <s v="Solidarities"/>
    <s v="Kachin"/>
    <s v="Momauk"/>
    <s v="Ni Thaw Ka Monestry"/>
    <m/>
    <m/>
    <m/>
    <m/>
    <m/>
    <m/>
    <m/>
    <m/>
    <m/>
    <m/>
    <m/>
    <m/>
    <m/>
    <m/>
    <m/>
    <m/>
    <m/>
    <n v="0"/>
    <n v="0"/>
    <n v="0"/>
    <n v="0"/>
    <n v="0"/>
    <n v="0"/>
    <n v="0"/>
    <n v="0"/>
    <n v="0"/>
    <n v="0"/>
    <n v="0"/>
    <n v="0"/>
    <n v="0"/>
    <n v="0"/>
    <n v="0"/>
    <n v="0"/>
    <n v="0"/>
    <n v="0"/>
    <s v="MMR001CMP059"/>
    <x v="0"/>
    <x v="1"/>
    <s v="P4"/>
    <n v="0"/>
    <m/>
  </r>
  <r>
    <n v="13.966666666666667"/>
    <d v="2016-03-08T00:00:00"/>
    <x v="0"/>
    <s v="KMSS_LSO"/>
    <s v="Shan_North"/>
    <s v="Kutkai"/>
    <m/>
    <m/>
    <m/>
    <m/>
    <n v="600"/>
    <m/>
    <m/>
    <m/>
    <m/>
    <m/>
    <m/>
    <m/>
    <m/>
    <m/>
    <m/>
    <m/>
    <m/>
    <m/>
    <n v="0"/>
    <n v="0"/>
    <n v="0"/>
    <n v="0"/>
    <n v="0"/>
    <n v="0"/>
    <n v="0"/>
    <n v="0"/>
    <n v="0"/>
    <n v="0"/>
    <n v="0"/>
    <n v="0"/>
    <n v="0"/>
    <n v="0"/>
    <n v="0"/>
    <n v="0"/>
    <n v="0"/>
    <n v="0"/>
    <s v=""/>
    <x v="1"/>
    <x v="2"/>
    <s v=""/>
    <s v=""/>
    <m/>
  </r>
  <r>
    <n v="13.7"/>
    <d v="2016-03-16T00:00:00"/>
    <x v="1"/>
    <s v="Solidarities"/>
    <s v="Kachin"/>
    <s v="Momauk"/>
    <s v="Ni Thaw Ka Monestry"/>
    <m/>
    <m/>
    <m/>
    <m/>
    <m/>
    <m/>
    <m/>
    <m/>
    <m/>
    <m/>
    <m/>
    <m/>
    <m/>
    <m/>
    <n v="1"/>
    <m/>
    <m/>
    <n v="0"/>
    <n v="0"/>
    <n v="0"/>
    <n v="0"/>
    <n v="0"/>
    <n v="0"/>
    <n v="0"/>
    <n v="0"/>
    <n v="0"/>
    <n v="0"/>
    <n v="0"/>
    <n v="0"/>
    <n v="0"/>
    <n v="0"/>
    <n v="0"/>
    <n v="0"/>
    <n v="0"/>
    <n v="0"/>
    <s v="MMR001CMP059"/>
    <x v="0"/>
    <x v="1"/>
    <s v="P4"/>
    <n v="0"/>
    <m/>
  </r>
  <r>
    <n v="12.2"/>
    <d v="2016-04-30T00:00:00"/>
    <x v="1"/>
    <s v="Solidarities"/>
    <s v="Kachin"/>
    <s v="Momauk"/>
    <s v="Loi Je Baptist Church"/>
    <m/>
    <m/>
    <m/>
    <m/>
    <m/>
    <m/>
    <m/>
    <m/>
    <m/>
    <m/>
    <m/>
    <m/>
    <m/>
    <m/>
    <m/>
    <n v="3"/>
    <m/>
    <n v="0"/>
    <n v="0"/>
    <n v="0"/>
    <n v="0"/>
    <n v="0"/>
    <n v="0"/>
    <n v="0"/>
    <n v="0"/>
    <n v="0"/>
    <n v="0"/>
    <n v="0"/>
    <n v="0"/>
    <n v="0"/>
    <n v="0"/>
    <n v="0"/>
    <n v="0"/>
    <n v="0"/>
    <n v="0"/>
    <s v="MMR001CMP071"/>
    <x v="0"/>
    <x v="0"/>
    <s v="P3"/>
    <n v="0"/>
    <m/>
  </r>
  <r>
    <n v="12.2"/>
    <d v="2016-04-30T00:00:00"/>
    <x v="1"/>
    <s v="Solidarities"/>
    <s v="Kachin"/>
    <s v="Momauk"/>
    <s v="Loi Je Baptist Church"/>
    <m/>
    <m/>
    <m/>
    <m/>
    <m/>
    <m/>
    <m/>
    <m/>
    <m/>
    <m/>
    <m/>
    <m/>
    <m/>
    <m/>
    <m/>
    <m/>
    <m/>
    <n v="0"/>
    <n v="0"/>
    <n v="0"/>
    <n v="0"/>
    <n v="0"/>
    <n v="0"/>
    <n v="0"/>
    <n v="0"/>
    <n v="0"/>
    <n v="0"/>
    <n v="0"/>
    <n v="0"/>
    <n v="0"/>
    <n v="0"/>
    <n v="0"/>
    <n v="0"/>
    <n v="0"/>
    <n v="0"/>
    <s v="MMR001CMP071"/>
    <x v="0"/>
    <x v="0"/>
    <s v="P3"/>
    <n v="0"/>
    <m/>
  </r>
  <r>
    <n v="12.2"/>
    <d v="2016-04-30T00:00:00"/>
    <x v="1"/>
    <s v="Solidarities"/>
    <s v="Kachin"/>
    <s v="Momauk"/>
    <s v="Loi Je Catholic Church"/>
    <m/>
    <m/>
    <m/>
    <m/>
    <m/>
    <m/>
    <m/>
    <m/>
    <m/>
    <m/>
    <m/>
    <m/>
    <m/>
    <m/>
    <m/>
    <n v="6"/>
    <m/>
    <n v="0"/>
    <n v="0"/>
    <n v="0"/>
    <n v="0"/>
    <n v="0"/>
    <n v="0"/>
    <n v="0"/>
    <n v="0"/>
    <n v="0"/>
    <n v="0"/>
    <n v="0"/>
    <n v="0"/>
    <n v="0"/>
    <n v="0"/>
    <n v="0"/>
    <n v="0"/>
    <n v="0"/>
    <n v="0"/>
    <s v="MMR001CMP069"/>
    <x v="0"/>
    <x v="0"/>
    <s v="P3"/>
    <n v="0"/>
    <m/>
  </r>
  <r>
    <n v="12.2"/>
    <d v="2016-04-30T00:00:00"/>
    <x v="1"/>
    <s v="Solidarities"/>
    <s v="Kachin"/>
    <s v="Momauk"/>
    <s v="Loi Je Lisu Camp"/>
    <m/>
    <m/>
    <m/>
    <m/>
    <m/>
    <m/>
    <m/>
    <m/>
    <m/>
    <m/>
    <m/>
    <m/>
    <m/>
    <m/>
    <m/>
    <n v="14"/>
    <m/>
    <n v="0"/>
    <n v="0"/>
    <n v="0"/>
    <n v="0"/>
    <n v="0"/>
    <n v="0"/>
    <n v="0"/>
    <n v="0"/>
    <n v="0"/>
    <n v="0"/>
    <n v="0"/>
    <n v="0"/>
    <n v="0"/>
    <n v="0"/>
    <n v="0"/>
    <n v="0"/>
    <n v="0"/>
    <n v="0"/>
    <s v="MMR001CMP070"/>
    <x v="0"/>
    <x v="0"/>
    <s v="P3"/>
    <n v="0"/>
    <m/>
  </r>
  <r>
    <n v="12.833333333333334"/>
    <d v="2016-04-11T00:00:00"/>
    <x v="0"/>
    <s v="KBC"/>
    <s v="Shan_North"/>
    <s v="Namhkan"/>
    <s v="Mine Wee (Man Jan)"/>
    <m/>
    <m/>
    <m/>
    <n v="126"/>
    <m/>
    <n v="126"/>
    <n v="64"/>
    <m/>
    <m/>
    <n v="122"/>
    <m/>
    <m/>
    <m/>
    <m/>
    <n v="64"/>
    <m/>
    <m/>
    <n v="0"/>
    <n v="0"/>
    <n v="0"/>
    <n v="0"/>
    <n v="0"/>
    <n v="0"/>
    <n v="0"/>
    <n v="0"/>
    <n v="0"/>
    <n v="0"/>
    <n v="0"/>
    <n v="0"/>
    <n v="0"/>
    <n v="0"/>
    <n v="0"/>
    <n v="0"/>
    <n v="0"/>
    <n v="0"/>
    <s v=""/>
    <x v="1"/>
    <x v="2"/>
    <s v=""/>
    <s v=""/>
    <m/>
  </r>
  <r>
    <n v="12.233333333333333"/>
    <d v="2016-04-29T00:00:00"/>
    <x v="1"/>
    <s v="Solidarities"/>
    <s v="Kachin"/>
    <s v="Momauk"/>
    <s v="Edin"/>
    <m/>
    <m/>
    <m/>
    <m/>
    <m/>
    <m/>
    <m/>
    <m/>
    <m/>
    <m/>
    <m/>
    <m/>
    <m/>
    <m/>
    <m/>
    <n v="26"/>
    <m/>
    <n v="0"/>
    <n v="0"/>
    <n v="0"/>
    <n v="0"/>
    <n v="0"/>
    <n v="0"/>
    <n v="0"/>
    <n v="0"/>
    <n v="0"/>
    <n v="0"/>
    <n v="0"/>
    <n v="0"/>
    <n v="0"/>
    <n v="0"/>
    <n v="0"/>
    <n v="0"/>
    <n v="0"/>
    <n v="0"/>
    <s v=""/>
    <x v="1"/>
    <x v="2"/>
    <s v=""/>
    <s v=""/>
    <m/>
  </r>
  <r>
    <n v="12.233333333333333"/>
    <d v="2016-04-29T00:00:00"/>
    <x v="1"/>
    <s v="Solidarities"/>
    <s v="Kachin"/>
    <s v="Momauk"/>
    <s v="Ni Thaw Ka Monestry"/>
    <m/>
    <m/>
    <m/>
    <m/>
    <m/>
    <m/>
    <m/>
    <m/>
    <m/>
    <m/>
    <m/>
    <m/>
    <m/>
    <m/>
    <m/>
    <n v="10"/>
    <m/>
    <n v="0"/>
    <n v="0"/>
    <n v="0"/>
    <n v="0"/>
    <n v="0"/>
    <n v="0"/>
    <n v="0"/>
    <n v="0"/>
    <n v="0"/>
    <n v="0"/>
    <n v="0"/>
    <n v="0"/>
    <n v="0"/>
    <n v="0"/>
    <n v="0"/>
    <n v="0"/>
    <n v="0"/>
    <n v="0"/>
    <s v="MMR001CMP059"/>
    <x v="0"/>
    <x v="1"/>
    <s v="P4"/>
    <n v="0"/>
    <m/>
  </r>
  <r>
    <n v="12.2"/>
    <d v="2016-04-30T00:00:00"/>
    <x v="1"/>
    <s v="Solidarities"/>
    <s v="Kachin"/>
    <s v="Momauk"/>
    <s v="Nyaung Na Pin "/>
    <m/>
    <m/>
    <m/>
    <m/>
    <m/>
    <m/>
    <m/>
    <m/>
    <m/>
    <m/>
    <m/>
    <m/>
    <m/>
    <m/>
    <m/>
    <n v="5"/>
    <m/>
    <n v="0"/>
    <n v="0"/>
    <n v="0"/>
    <n v="0"/>
    <n v="0"/>
    <n v="0"/>
    <n v="0"/>
    <n v="0"/>
    <n v="0"/>
    <n v="0"/>
    <n v="0"/>
    <n v="0"/>
    <n v="0"/>
    <n v="0"/>
    <n v="0"/>
    <n v="0"/>
    <n v="0"/>
    <n v="0"/>
    <s v="MMR001CMP072"/>
    <x v="0"/>
    <x v="0"/>
    <s v="P3"/>
    <n v="0"/>
    <m/>
  </r>
  <r>
    <n v="12.2"/>
    <d v="2016-04-30T00:00:00"/>
    <x v="1"/>
    <s v="Solidarities"/>
    <s v="Kachin"/>
    <s v="Momauk"/>
    <s v="Seng Ja "/>
    <m/>
    <m/>
    <m/>
    <m/>
    <m/>
    <m/>
    <m/>
    <m/>
    <m/>
    <m/>
    <m/>
    <m/>
    <m/>
    <m/>
    <m/>
    <n v="4"/>
    <m/>
    <n v="0"/>
    <n v="0"/>
    <n v="0"/>
    <n v="0"/>
    <n v="0"/>
    <n v="0"/>
    <n v="0"/>
    <n v="0"/>
    <n v="0"/>
    <n v="0"/>
    <n v="0"/>
    <n v="0"/>
    <n v="0"/>
    <n v="0"/>
    <n v="0"/>
    <n v="0"/>
    <n v="0"/>
    <n v="0"/>
    <s v="MMR001CMP073"/>
    <x v="0"/>
    <x v="0"/>
    <s v="P3"/>
    <n v="0"/>
    <m/>
  </r>
  <r>
    <n v="12.033333333333333"/>
    <d v="2016-05-05T00:00:00"/>
    <x v="0"/>
    <s v="KMSS_Myitkyina"/>
    <s v="Kachin"/>
    <s v="Mogaung"/>
    <s v="Ma Hawng RC "/>
    <m/>
    <n v="7"/>
    <n v="7"/>
    <n v="13"/>
    <n v="7"/>
    <n v="13"/>
    <n v="7"/>
    <n v="7"/>
    <n v="7"/>
    <n v="13"/>
    <m/>
    <m/>
    <m/>
    <m/>
    <n v="7"/>
    <m/>
    <m/>
    <n v="0"/>
    <n v="0"/>
    <n v="0"/>
    <n v="0"/>
    <n v="0"/>
    <n v="0"/>
    <n v="0"/>
    <n v="0"/>
    <n v="0"/>
    <n v="0"/>
    <n v="0"/>
    <n v="0"/>
    <n v="0"/>
    <n v="0"/>
    <n v="0"/>
    <n v="0"/>
    <n v="0"/>
    <n v="0"/>
    <s v="MMR001CMP237"/>
    <x v="2"/>
    <x v="0"/>
    <n v="0"/>
    <n v="1.6617210682492583E-4"/>
    <m/>
  </r>
  <r>
    <n v="11.166666666666666"/>
    <d v="2016-05-31T00:00:00"/>
    <x v="1"/>
    <s v="Solidarities"/>
    <s v="Kachin"/>
    <s v="Mansi"/>
    <s v="Maing Khaung"/>
    <n v="25"/>
    <n v="25"/>
    <m/>
    <m/>
    <n v="25"/>
    <m/>
    <m/>
    <m/>
    <m/>
    <m/>
    <m/>
    <m/>
    <m/>
    <m/>
    <m/>
    <m/>
    <m/>
    <n v="25"/>
    <n v="25"/>
    <n v="0"/>
    <n v="0"/>
    <n v="25"/>
    <n v="0"/>
    <n v="0"/>
    <n v="0"/>
    <n v="0"/>
    <n v="0"/>
    <n v="0"/>
    <n v="0"/>
    <n v="0"/>
    <n v="0"/>
    <n v="0"/>
    <n v="0"/>
    <n v="0"/>
    <n v="0"/>
    <s v="MMR001CMP218"/>
    <x v="0"/>
    <x v="0"/>
    <s v="P4"/>
    <n v="0"/>
    <m/>
  </r>
  <r>
    <n v="10.766666666666667"/>
    <d v="2016-06-12T00:00:00"/>
    <x v="12"/>
    <s v="Relief International"/>
    <s v="Shan_North"/>
    <s v="Namtu"/>
    <s v="Namtu KBC 1"/>
    <m/>
    <m/>
    <m/>
    <m/>
    <n v="41"/>
    <m/>
    <m/>
    <m/>
    <m/>
    <m/>
    <m/>
    <m/>
    <m/>
    <m/>
    <m/>
    <m/>
    <m/>
    <n v="0"/>
    <n v="0"/>
    <n v="0"/>
    <n v="0"/>
    <n v="41"/>
    <n v="0"/>
    <n v="0"/>
    <n v="0"/>
    <n v="0"/>
    <n v="0"/>
    <n v="0"/>
    <n v="0"/>
    <n v="0"/>
    <n v="0"/>
    <n v="0"/>
    <n v="0"/>
    <n v="0"/>
    <n v="0"/>
    <s v="MMR015CMP230"/>
    <x v="0"/>
    <x v="1"/>
    <n v="0"/>
    <s v=""/>
    <m/>
  </r>
  <r>
    <n v="10.766666666666667"/>
    <d v="2016-06-12T00:00:00"/>
    <x v="12"/>
    <s v="Relief International"/>
    <s v="Shan_North"/>
    <s v="Namtu"/>
    <s v="Namtu RC"/>
    <m/>
    <m/>
    <m/>
    <m/>
    <n v="23"/>
    <m/>
    <m/>
    <m/>
    <m/>
    <m/>
    <m/>
    <m/>
    <m/>
    <m/>
    <m/>
    <m/>
    <m/>
    <n v="0"/>
    <n v="0"/>
    <n v="0"/>
    <n v="0"/>
    <n v="23"/>
    <n v="0"/>
    <n v="0"/>
    <n v="0"/>
    <n v="0"/>
    <n v="0"/>
    <n v="0"/>
    <n v="0"/>
    <n v="0"/>
    <n v="0"/>
    <n v="0"/>
    <n v="0"/>
    <n v="0"/>
    <n v="0"/>
    <s v="MMR015CMP229"/>
    <x v="0"/>
    <x v="0"/>
    <n v="0"/>
    <s v=""/>
    <m/>
  </r>
  <r>
    <n v="10.166666666666666"/>
    <d v="2016-06-30T00:00:00"/>
    <x v="1"/>
    <s v="Solidarities"/>
    <s v="Kachin"/>
    <s v="Bhamo"/>
    <s v="AD-2000 Tharthana Compound"/>
    <m/>
    <m/>
    <m/>
    <m/>
    <m/>
    <m/>
    <m/>
    <m/>
    <m/>
    <m/>
    <m/>
    <m/>
    <m/>
    <m/>
    <n v="2"/>
    <m/>
    <m/>
    <n v="0"/>
    <n v="0"/>
    <n v="0"/>
    <n v="0"/>
    <n v="0"/>
    <n v="0"/>
    <n v="0"/>
    <n v="0"/>
    <n v="0"/>
    <n v="0"/>
    <n v="0"/>
    <n v="0"/>
    <n v="0"/>
    <n v="0"/>
    <n v="0"/>
    <n v="2"/>
    <n v="0"/>
    <n v="0"/>
    <s v="MMR001CMP050"/>
    <x v="0"/>
    <x v="0"/>
    <s v="P4"/>
    <n v="0"/>
    <m/>
  </r>
  <r>
    <n v="10.166666666666666"/>
    <d v="2016-06-30T00:00:00"/>
    <x v="1"/>
    <s v="Solidarities"/>
    <s v="Kachin"/>
    <s v="Momauk"/>
    <s v="Loi Je Baptist Church"/>
    <m/>
    <m/>
    <m/>
    <m/>
    <m/>
    <m/>
    <m/>
    <m/>
    <m/>
    <m/>
    <m/>
    <m/>
    <m/>
    <m/>
    <n v="2"/>
    <m/>
    <m/>
    <n v="0"/>
    <n v="0"/>
    <n v="0"/>
    <n v="0"/>
    <n v="0"/>
    <n v="0"/>
    <n v="0"/>
    <n v="0"/>
    <n v="0"/>
    <n v="0"/>
    <n v="0"/>
    <n v="0"/>
    <n v="0"/>
    <n v="0"/>
    <n v="0"/>
    <n v="2"/>
    <n v="0"/>
    <n v="0"/>
    <s v="MMR001CMP071"/>
    <x v="0"/>
    <x v="0"/>
    <s v="P3"/>
    <n v="0"/>
    <m/>
  </r>
  <r>
    <n v="10.166666666666666"/>
    <d v="2016-06-30T00:00:00"/>
    <x v="1"/>
    <s v="Solidarities"/>
    <s v="Kachin"/>
    <s v="Momauk"/>
    <s v="Loi Je Lisu Camp"/>
    <m/>
    <m/>
    <m/>
    <m/>
    <m/>
    <m/>
    <m/>
    <m/>
    <m/>
    <m/>
    <m/>
    <m/>
    <m/>
    <m/>
    <n v="1"/>
    <m/>
    <m/>
    <n v="0"/>
    <n v="0"/>
    <n v="0"/>
    <n v="0"/>
    <n v="0"/>
    <n v="0"/>
    <n v="0"/>
    <n v="0"/>
    <n v="0"/>
    <n v="0"/>
    <n v="0"/>
    <n v="0"/>
    <n v="0"/>
    <n v="0"/>
    <n v="0"/>
    <n v="1"/>
    <n v="0"/>
    <n v="0"/>
    <s v="MMR001CMP070"/>
    <x v="0"/>
    <x v="0"/>
    <s v="P3"/>
    <n v="0"/>
    <m/>
  </r>
  <r>
    <n v="10.166666666666666"/>
    <d v="2016-06-30T00:00:00"/>
    <x v="1"/>
    <s v="Solidarities"/>
    <s v="Kachin"/>
    <s v="Momauk"/>
    <s v="Nyaung Na Pin "/>
    <m/>
    <m/>
    <m/>
    <m/>
    <m/>
    <m/>
    <m/>
    <m/>
    <m/>
    <m/>
    <m/>
    <m/>
    <m/>
    <m/>
    <n v="1"/>
    <m/>
    <m/>
    <n v="0"/>
    <n v="0"/>
    <n v="0"/>
    <n v="0"/>
    <n v="0"/>
    <n v="0"/>
    <n v="0"/>
    <n v="0"/>
    <n v="0"/>
    <n v="0"/>
    <n v="0"/>
    <n v="0"/>
    <n v="0"/>
    <n v="0"/>
    <n v="0"/>
    <n v="1"/>
    <n v="0"/>
    <n v="0"/>
    <s v="MMR001CMP072"/>
    <x v="0"/>
    <x v="0"/>
    <s v="P3"/>
    <n v="0"/>
    <m/>
  </r>
  <r>
    <n v="10.166666666666666"/>
    <d v="2016-06-30T00:00:00"/>
    <x v="1"/>
    <s v="Solidarities"/>
    <s v="Kachin"/>
    <s v="Bhamo"/>
    <s v="Phan Khar Kone"/>
    <m/>
    <m/>
    <m/>
    <m/>
    <m/>
    <m/>
    <m/>
    <m/>
    <m/>
    <m/>
    <m/>
    <m/>
    <m/>
    <m/>
    <n v="4"/>
    <m/>
    <m/>
    <n v="0"/>
    <n v="0"/>
    <n v="0"/>
    <n v="0"/>
    <n v="0"/>
    <n v="0"/>
    <n v="0"/>
    <n v="0"/>
    <n v="0"/>
    <n v="0"/>
    <n v="0"/>
    <n v="0"/>
    <n v="0"/>
    <n v="0"/>
    <n v="0"/>
    <n v="4"/>
    <n v="0"/>
    <n v="0"/>
    <s v="MMR001CMP193"/>
    <x v="0"/>
    <x v="0"/>
    <s v="P4"/>
    <n v="0"/>
    <m/>
  </r>
  <r>
    <n v="10.166666666666666"/>
    <d v="2016-06-30T00:00:00"/>
    <x v="1"/>
    <s v="Solidarities"/>
    <s v="Kachin"/>
    <s v="Momauk"/>
    <s v="Seng Ja "/>
    <m/>
    <m/>
    <m/>
    <m/>
    <m/>
    <m/>
    <m/>
    <m/>
    <m/>
    <m/>
    <m/>
    <m/>
    <m/>
    <m/>
    <n v="1"/>
    <m/>
    <m/>
    <n v="0"/>
    <n v="0"/>
    <n v="0"/>
    <n v="0"/>
    <n v="0"/>
    <n v="0"/>
    <n v="0"/>
    <n v="0"/>
    <n v="0"/>
    <n v="0"/>
    <n v="0"/>
    <n v="0"/>
    <n v="0"/>
    <n v="0"/>
    <n v="0"/>
    <n v="1"/>
    <n v="0"/>
    <n v="0"/>
    <s v="MMR001CMP073"/>
    <x v="0"/>
    <x v="0"/>
    <s v="P3"/>
    <n v="0"/>
    <m/>
  </r>
  <r>
    <n v="10.833333333333334"/>
    <d v="2016-06-10T00:00:00"/>
    <x v="0"/>
    <s v="UNHCR"/>
    <s v="Kachin"/>
    <s v="Sumprabum"/>
    <s v="Lisu Manau Park"/>
    <m/>
    <m/>
    <m/>
    <n v="25"/>
    <n v="8"/>
    <n v="66"/>
    <n v="34"/>
    <m/>
    <n v="6"/>
    <n v="104"/>
    <m/>
    <m/>
    <m/>
    <m/>
    <m/>
    <m/>
    <m/>
    <n v="0"/>
    <n v="0"/>
    <n v="0"/>
    <n v="25"/>
    <n v="8"/>
    <n v="66"/>
    <n v="34"/>
    <n v="0"/>
    <n v="6"/>
    <n v="260"/>
    <n v="0"/>
    <n v="0"/>
    <n v="0"/>
    <n v="0"/>
    <n v="0"/>
    <n v="0"/>
    <n v="0"/>
    <n v="0"/>
    <s v=""/>
    <x v="1"/>
    <x v="2"/>
    <s v=""/>
    <s v=""/>
    <s v="No"/>
  </r>
  <r>
    <n v="10.166666666666666"/>
    <d v="2016-06-30T00:00:00"/>
    <x v="1"/>
    <s v="Solidarities"/>
    <s v="Kachin"/>
    <s v="Bhamo"/>
    <s v="Ta Gun Taing Monastery (Shwe Kyi Na)"/>
    <m/>
    <m/>
    <m/>
    <m/>
    <m/>
    <m/>
    <m/>
    <m/>
    <m/>
    <m/>
    <m/>
    <m/>
    <m/>
    <m/>
    <n v="2"/>
    <m/>
    <m/>
    <n v="0"/>
    <n v="0"/>
    <n v="0"/>
    <n v="0"/>
    <n v="0"/>
    <n v="0"/>
    <n v="0"/>
    <n v="0"/>
    <n v="0"/>
    <n v="0"/>
    <n v="0"/>
    <n v="0"/>
    <n v="0"/>
    <n v="0"/>
    <n v="0"/>
    <n v="2"/>
    <n v="0"/>
    <n v="0"/>
    <s v="MMR001CMP055"/>
    <x v="0"/>
    <x v="0"/>
    <s v="P4"/>
    <n v="0"/>
    <m/>
  </r>
  <r>
    <n v="9.6333333333333329"/>
    <d v="2016-07-16T00:00:00"/>
    <x v="12"/>
    <s v="Relief International"/>
    <s v="Shan_North"/>
    <s v="Namtu"/>
    <s v="Nam Tu Baptist"/>
    <n v="40"/>
    <m/>
    <m/>
    <m/>
    <n v="40"/>
    <m/>
    <m/>
    <m/>
    <m/>
    <m/>
    <m/>
    <m/>
    <m/>
    <m/>
    <m/>
    <m/>
    <m/>
    <n v="40"/>
    <n v="0"/>
    <n v="0"/>
    <n v="0"/>
    <n v="40"/>
    <n v="0"/>
    <n v="0"/>
    <n v="0"/>
    <n v="0"/>
    <n v="0"/>
    <n v="0"/>
    <n v="0"/>
    <n v="0"/>
    <n v="0"/>
    <n v="0"/>
    <n v="0"/>
    <n v="0"/>
    <n v="0"/>
    <s v="MMR015CMP014"/>
    <x v="0"/>
    <x v="0"/>
    <s v="P3"/>
    <n v="0"/>
    <m/>
  </r>
  <r>
    <n v="8.9666666666666668"/>
    <d v="2016-08-05T00:00:00"/>
    <x v="0"/>
    <s v="KMSS_Myitkyina"/>
    <s v="Kachin"/>
    <s v="Hpakant"/>
    <s v="Mandung - RC"/>
    <m/>
    <n v="53"/>
    <n v="53"/>
    <n v="131"/>
    <n v="53"/>
    <n v="131"/>
    <n v="53"/>
    <m/>
    <n v="53"/>
    <n v="131"/>
    <m/>
    <m/>
    <m/>
    <m/>
    <n v="53"/>
    <m/>
    <m/>
    <n v="0"/>
    <n v="53"/>
    <n v="53"/>
    <n v="131"/>
    <n v="53"/>
    <n v="131"/>
    <n v="53"/>
    <n v="0"/>
    <n v="53"/>
    <n v="327.5"/>
    <n v="0"/>
    <n v="0"/>
    <n v="0"/>
    <n v="0"/>
    <n v="0"/>
    <n v="53"/>
    <n v="0"/>
    <n v="0"/>
    <s v="MMR015CMP209"/>
    <x v="0"/>
    <x v="0"/>
    <s v="P3"/>
    <n v="1.2917377528637581E-3"/>
    <m/>
  </r>
  <r>
    <n v="8.9666666666666668"/>
    <d v="2016-08-05T00:00:00"/>
    <x v="0"/>
    <s v="KBC"/>
    <s v="Kachin"/>
    <s v="Hpakant"/>
    <s v="Wara Zup KBC Church"/>
    <m/>
    <n v="23"/>
    <m/>
    <n v="38"/>
    <n v="23"/>
    <n v="38"/>
    <n v="23"/>
    <m/>
    <n v="23"/>
    <n v="55"/>
    <m/>
    <m/>
    <m/>
    <m/>
    <n v="23"/>
    <m/>
    <n v="9"/>
    <n v="0"/>
    <n v="23"/>
    <n v="0"/>
    <n v="38"/>
    <n v="23"/>
    <n v="38"/>
    <n v="23"/>
    <n v="0"/>
    <n v="23"/>
    <n v="137.5"/>
    <n v="0"/>
    <n v="0"/>
    <n v="0"/>
    <n v="0"/>
    <n v="0"/>
    <n v="23"/>
    <n v="0"/>
    <n v="9"/>
    <s v="MMR001CMP242"/>
    <x v="2"/>
    <x v="0"/>
    <n v="0"/>
    <n v="5.4283691291007793E-4"/>
    <m/>
  </r>
  <r>
    <n v="8.9333333333333336"/>
    <d v="2016-08-06T00:00:00"/>
    <x v="0"/>
    <s v="KMSS"/>
    <s v="Kachin"/>
    <s v="Hpakant"/>
    <s v="Muyin church (Aung Yar pre-school compound)"/>
    <m/>
    <n v="25"/>
    <n v="25"/>
    <n v="38"/>
    <n v="25"/>
    <n v="49"/>
    <n v="25"/>
    <m/>
    <n v="25"/>
    <n v="47"/>
    <m/>
    <m/>
    <m/>
    <m/>
    <n v="25"/>
    <m/>
    <m/>
    <m/>
    <m/>
    <m/>
    <m/>
    <m/>
    <m/>
    <m/>
    <m/>
    <m/>
    <m/>
    <m/>
    <m/>
    <m/>
    <m/>
    <m/>
    <m/>
    <n v="0"/>
    <n v="0"/>
    <s v="MMR001CMP247"/>
    <x v="2"/>
    <x v="0"/>
    <n v="0"/>
    <n v="5.8707495773060309E-4"/>
    <s v="No"/>
  </r>
  <r>
    <n v="8.9333333333333336"/>
    <d v="2016-08-06T00:00:00"/>
    <x v="0"/>
    <s v="KMSS"/>
    <s v="Kachin"/>
    <s v="Hpakant"/>
    <s v="Shar Du Zut RC church"/>
    <m/>
    <n v="7"/>
    <n v="7"/>
    <n v="7"/>
    <n v="7"/>
    <n v="9"/>
    <n v="7"/>
    <m/>
    <n v="7"/>
    <n v="11"/>
    <m/>
    <m/>
    <m/>
    <m/>
    <n v="7"/>
    <m/>
    <m/>
    <n v="0"/>
    <n v="7"/>
    <n v="7"/>
    <n v="7"/>
    <n v="7"/>
    <n v="9"/>
    <n v="7"/>
    <n v="0"/>
    <n v="7"/>
    <n v="27.5"/>
    <n v="0"/>
    <n v="0"/>
    <n v="0"/>
    <n v="0"/>
    <n v="0"/>
    <n v="7"/>
    <n v="0"/>
    <n v="0"/>
    <s v="MMR001CMP246"/>
    <x v="2"/>
    <x v="0"/>
    <n v="0"/>
    <n v="1.6438098816456886E-4"/>
    <s v="No"/>
  </r>
  <r>
    <n v="8.8000000000000007"/>
    <d v="2016-08-10T00:00:00"/>
    <x v="0"/>
    <s v="KBC"/>
    <s v="Kachin"/>
    <s v="Hpakant"/>
    <s v="Njang Dung Baptist Church "/>
    <m/>
    <n v="4"/>
    <n v="4"/>
    <n v="10"/>
    <n v="117"/>
    <n v="10"/>
    <n v="4"/>
    <m/>
    <n v="8"/>
    <n v="16"/>
    <m/>
    <m/>
    <m/>
    <m/>
    <n v="4"/>
    <m/>
    <m/>
    <m/>
    <m/>
    <m/>
    <m/>
    <m/>
    <m/>
    <m/>
    <m/>
    <m/>
    <m/>
    <m/>
    <m/>
    <m/>
    <m/>
    <m/>
    <m/>
    <n v="0"/>
    <n v="0"/>
    <s v="MMR001CMP002"/>
    <x v="0"/>
    <x v="0"/>
    <m/>
    <m/>
    <m/>
  </r>
  <r>
    <n v="8.7333333333333325"/>
    <d v="2016-08-12T00:00:00"/>
    <x v="12"/>
    <s v="Relief International"/>
    <s v="Shan_North"/>
    <s v="Hsipaw"/>
    <s v="Man Kaung/Naung Ti Kyar Village"/>
    <m/>
    <m/>
    <m/>
    <m/>
    <n v="38"/>
    <m/>
    <m/>
    <m/>
    <m/>
    <m/>
    <m/>
    <m/>
    <m/>
    <m/>
    <m/>
    <m/>
    <m/>
    <n v="0"/>
    <n v="0"/>
    <n v="0"/>
    <n v="0"/>
    <n v="38"/>
    <n v="0"/>
    <n v="0"/>
    <n v="0"/>
    <n v="0"/>
    <n v="0"/>
    <n v="0"/>
    <n v="0"/>
    <n v="0"/>
    <n v="0"/>
    <n v="0"/>
    <n v="0"/>
    <n v="0"/>
    <n v="0"/>
    <s v="MMR015CMP244"/>
    <x v="0"/>
    <x v="0"/>
    <n v="0"/>
    <s v=""/>
    <m/>
  </r>
  <r>
    <n v="8.5333333333333332"/>
    <d v="2016-08-18T00:00:00"/>
    <x v="13"/>
    <s v="KBC"/>
    <s v="Kachin"/>
    <s v="Myitkyina"/>
    <s v="Man Hkring Baptist Church"/>
    <m/>
    <m/>
    <m/>
    <m/>
    <n v="29"/>
    <m/>
    <m/>
    <m/>
    <m/>
    <m/>
    <m/>
    <m/>
    <m/>
    <m/>
    <m/>
    <m/>
    <m/>
    <n v="0"/>
    <n v="0"/>
    <n v="0"/>
    <n v="0"/>
    <n v="29"/>
    <n v="0"/>
    <n v="0"/>
    <n v="0"/>
    <n v="0"/>
    <n v="0"/>
    <n v="0"/>
    <n v="0"/>
    <n v="0"/>
    <n v="0"/>
    <n v="0"/>
    <n v="0"/>
    <n v="0"/>
    <n v="0"/>
    <s v="MMR001CMP008"/>
    <x v="0"/>
    <x v="0"/>
    <s v="P4"/>
    <n v="0"/>
    <m/>
  </r>
  <r>
    <n v="8.1"/>
    <d v="2016-08-31T00:00:00"/>
    <x v="1"/>
    <s v="Solidarities"/>
    <s v="Kachin"/>
    <s v="Bhamo"/>
    <s v="AD-2000 Tharthana Compound"/>
    <m/>
    <m/>
    <m/>
    <m/>
    <m/>
    <m/>
    <m/>
    <m/>
    <m/>
    <m/>
    <m/>
    <m/>
    <m/>
    <m/>
    <n v="1"/>
    <m/>
    <m/>
    <n v="0"/>
    <n v="0"/>
    <n v="0"/>
    <n v="0"/>
    <n v="0"/>
    <n v="0"/>
    <n v="0"/>
    <n v="0"/>
    <n v="0"/>
    <n v="0"/>
    <n v="0"/>
    <n v="0"/>
    <n v="0"/>
    <n v="0"/>
    <n v="0"/>
    <n v="1"/>
    <n v="0"/>
    <n v="0"/>
    <s v="MMR001CMP050"/>
    <x v="0"/>
    <x v="0"/>
    <s v="P4"/>
    <n v="0"/>
    <m/>
  </r>
  <r>
    <n v="9.6333333333333329"/>
    <d v="2016-07-16T00:00:00"/>
    <x v="12"/>
    <s v="Relief International"/>
    <s v="Shan_North"/>
    <s v="Namtu"/>
    <s v="Shwe Myint Thar Monastry "/>
    <n v="59"/>
    <m/>
    <m/>
    <m/>
    <n v="59"/>
    <m/>
    <m/>
    <m/>
    <m/>
    <m/>
    <m/>
    <m/>
    <m/>
    <m/>
    <m/>
    <m/>
    <m/>
    <n v="59"/>
    <n v="0"/>
    <n v="0"/>
    <n v="0"/>
    <n v="59"/>
    <n v="0"/>
    <n v="0"/>
    <n v="0"/>
    <n v="0"/>
    <n v="0"/>
    <n v="0"/>
    <n v="0"/>
    <n v="0"/>
    <n v="0"/>
    <n v="0"/>
    <n v="0"/>
    <n v="0"/>
    <n v="0"/>
    <s v="MMR015CMP228"/>
    <x v="0"/>
    <x v="1"/>
    <n v="0"/>
    <s v=""/>
    <m/>
  </r>
  <r>
    <n v="8.1"/>
    <d v="2016-08-31T00:00:00"/>
    <x v="1"/>
    <s v="Solidarities"/>
    <s v="Kachin"/>
    <s v="Bhamo"/>
    <s v="Robert Church"/>
    <m/>
    <m/>
    <m/>
    <m/>
    <m/>
    <m/>
    <m/>
    <m/>
    <m/>
    <m/>
    <m/>
    <m/>
    <m/>
    <m/>
    <n v="1"/>
    <m/>
    <m/>
    <n v="0"/>
    <n v="0"/>
    <n v="0"/>
    <n v="0"/>
    <n v="0"/>
    <n v="0"/>
    <n v="0"/>
    <n v="0"/>
    <n v="0"/>
    <n v="0"/>
    <n v="0"/>
    <n v="0"/>
    <n v="0"/>
    <n v="0"/>
    <n v="0"/>
    <n v="1"/>
    <n v="0"/>
    <n v="0"/>
    <s v="MMR001CMP047"/>
    <x v="0"/>
    <x v="0"/>
    <s v="P4"/>
    <n v="0"/>
    <m/>
  </r>
  <r>
    <n v="8.1"/>
    <d v="2016-08-31T00:00:00"/>
    <x v="1"/>
    <s v="Solidarities"/>
    <s v="Kachin"/>
    <s v="Hpakant"/>
    <s v="Shar Du Zut KBC church "/>
    <n v="165"/>
    <n v="139"/>
    <m/>
    <m/>
    <m/>
    <m/>
    <m/>
    <m/>
    <m/>
    <m/>
    <m/>
    <m/>
    <m/>
    <m/>
    <n v="8"/>
    <m/>
    <m/>
    <n v="165"/>
    <n v="139"/>
    <n v="0"/>
    <n v="0"/>
    <n v="0"/>
    <n v="0"/>
    <n v="0"/>
    <n v="0"/>
    <n v="0"/>
    <n v="0"/>
    <n v="0"/>
    <n v="0"/>
    <n v="0"/>
    <n v="0"/>
    <n v="0"/>
    <n v="8"/>
    <n v="0"/>
    <n v="0"/>
    <s v="MMR001CMP244"/>
    <x v="2"/>
    <x v="0"/>
    <n v="0"/>
    <n v="0"/>
    <m/>
  </r>
  <r>
    <n v="8.9333333333333336"/>
    <d v="2016-08-06T00:00:00"/>
    <x v="0"/>
    <s v="KMSS"/>
    <s v="Kachin"/>
    <s v="Hpakant"/>
    <s v="A Lo Taw Pyae monastery"/>
    <m/>
    <n v="21"/>
    <n v="21"/>
    <n v="27"/>
    <n v="21"/>
    <n v="30"/>
    <n v="21"/>
    <m/>
    <n v="21"/>
    <n v="33"/>
    <m/>
    <m/>
    <m/>
    <m/>
    <n v="21"/>
    <m/>
    <m/>
    <n v="0"/>
    <n v="21"/>
    <n v="21"/>
    <n v="27"/>
    <n v="21"/>
    <n v="30"/>
    <n v="21"/>
    <n v="0"/>
    <n v="21"/>
    <n v="82.5"/>
    <n v="0"/>
    <n v="0"/>
    <n v="0"/>
    <n v="0"/>
    <n v="0"/>
    <n v="21"/>
    <n v="0"/>
    <n v="0"/>
    <s v="MMR001CMP243"/>
    <x v="2"/>
    <x v="1"/>
    <n v="0"/>
    <n v="4.931429644937066E-4"/>
    <m/>
  </r>
  <r>
    <n v="8.9333333333333336"/>
    <d v="2016-08-06T00:00:00"/>
    <x v="0"/>
    <s v="KMSS_Myitkyina"/>
    <s v="Kachin"/>
    <s v="Hpakant"/>
    <s v="A Lo Taw Pyae monastery"/>
    <m/>
    <n v="21"/>
    <n v="21"/>
    <n v="27"/>
    <n v="21"/>
    <n v="30"/>
    <n v="21"/>
    <m/>
    <n v="21"/>
    <n v="33"/>
    <m/>
    <m/>
    <m/>
    <m/>
    <n v="21"/>
    <m/>
    <m/>
    <m/>
    <m/>
    <m/>
    <m/>
    <m/>
    <m/>
    <m/>
    <m/>
    <m/>
    <m/>
    <m/>
    <m/>
    <m/>
    <m/>
    <m/>
    <m/>
    <m/>
    <m/>
    <m/>
    <x v="1"/>
    <x v="1"/>
    <m/>
    <m/>
    <m/>
  </r>
  <r>
    <n v="7.7"/>
    <d v="2016-09-12T00:00:00"/>
    <x v="12"/>
    <s v="Relief International"/>
    <s v="Shan_North"/>
    <s v="Namtu"/>
    <s v="Namtu KBC 2"/>
    <m/>
    <m/>
    <m/>
    <m/>
    <n v="18"/>
    <m/>
    <m/>
    <m/>
    <m/>
    <m/>
    <m/>
    <m/>
    <m/>
    <m/>
    <m/>
    <m/>
    <m/>
    <n v="0"/>
    <n v="0"/>
    <n v="0"/>
    <n v="0"/>
    <n v="18"/>
    <n v="0"/>
    <n v="0"/>
    <n v="0"/>
    <n v="0"/>
    <n v="0"/>
    <n v="0"/>
    <n v="0"/>
    <n v="0"/>
    <n v="0"/>
    <n v="0"/>
    <n v="0"/>
    <n v="0"/>
    <n v="0"/>
    <s v="MMR015CMP231"/>
    <x v="0"/>
    <x v="1"/>
    <n v="0"/>
    <s v=""/>
    <m/>
  </r>
  <r>
    <n v="7.1"/>
    <d v="2016-09-30T00:00:00"/>
    <x v="1"/>
    <s v="Solidarities"/>
    <s v="Kachin"/>
    <s v="Momauk"/>
    <s v="Momauk Baptist Church"/>
    <m/>
    <m/>
    <m/>
    <m/>
    <m/>
    <m/>
    <m/>
    <m/>
    <m/>
    <m/>
    <m/>
    <m/>
    <m/>
    <m/>
    <n v="1"/>
    <m/>
    <m/>
    <n v="0"/>
    <n v="0"/>
    <n v="0"/>
    <n v="0"/>
    <n v="0"/>
    <n v="0"/>
    <n v="0"/>
    <n v="0"/>
    <n v="0"/>
    <n v="0"/>
    <n v="0"/>
    <n v="0"/>
    <n v="0"/>
    <n v="0"/>
    <n v="0"/>
    <n v="1"/>
    <n v="0"/>
    <n v="0"/>
    <s v="MMR001CMP056"/>
    <x v="0"/>
    <x v="0"/>
    <s v="P4"/>
    <n v="0"/>
    <m/>
  </r>
  <r>
    <n v="7.1"/>
    <d v="2016-09-30T00:00:00"/>
    <x v="12"/>
    <s v="Relief International"/>
    <s v="Shan_North"/>
    <s v="Namtu"/>
    <s v="Nam Tu Baptist"/>
    <n v="11"/>
    <m/>
    <m/>
    <m/>
    <n v="11"/>
    <m/>
    <m/>
    <m/>
    <m/>
    <m/>
    <m/>
    <m/>
    <m/>
    <m/>
    <m/>
    <m/>
    <m/>
    <n v="11"/>
    <n v="0"/>
    <n v="0"/>
    <n v="0"/>
    <n v="11"/>
    <n v="0"/>
    <n v="0"/>
    <n v="0"/>
    <n v="0"/>
    <n v="0"/>
    <n v="0"/>
    <n v="0"/>
    <n v="0"/>
    <n v="0"/>
    <n v="0"/>
    <n v="0"/>
    <n v="0"/>
    <n v="0"/>
    <s v="MMR015CMP014"/>
    <x v="0"/>
    <x v="0"/>
    <s v="P3"/>
    <n v="0"/>
    <m/>
  </r>
  <r>
    <n v="7.1"/>
    <d v="2016-09-30T00:00:00"/>
    <x v="1"/>
    <s v="Solidarities"/>
    <s v="Kachin"/>
    <s v="Bhamo"/>
    <s v="Phan Khar Kone"/>
    <m/>
    <m/>
    <m/>
    <m/>
    <m/>
    <m/>
    <m/>
    <m/>
    <m/>
    <m/>
    <m/>
    <m/>
    <m/>
    <m/>
    <n v="1"/>
    <m/>
    <m/>
    <n v="0"/>
    <n v="0"/>
    <n v="0"/>
    <n v="0"/>
    <n v="0"/>
    <n v="0"/>
    <n v="0"/>
    <n v="0"/>
    <n v="0"/>
    <n v="0"/>
    <n v="0"/>
    <n v="0"/>
    <n v="0"/>
    <n v="0"/>
    <n v="0"/>
    <n v="1"/>
    <n v="0"/>
    <n v="0"/>
    <s v="MMR001CMP193"/>
    <x v="0"/>
    <x v="0"/>
    <s v="P4"/>
    <n v="0"/>
    <m/>
  </r>
  <r>
    <n v="6.0666666666666664"/>
    <d v="2016-10-31T00:00:00"/>
    <x v="1"/>
    <s v="Solidarities"/>
    <s v="Kachin"/>
    <s v="Momauk"/>
    <s v="Loi Je Catholic Church"/>
    <m/>
    <m/>
    <m/>
    <m/>
    <m/>
    <m/>
    <m/>
    <m/>
    <m/>
    <m/>
    <m/>
    <m/>
    <m/>
    <m/>
    <n v="1"/>
    <m/>
    <m/>
    <n v="0"/>
    <n v="0"/>
    <n v="0"/>
    <n v="0"/>
    <n v="0"/>
    <n v="0"/>
    <n v="0"/>
    <n v="0"/>
    <n v="0"/>
    <n v="0"/>
    <n v="0"/>
    <n v="0"/>
    <n v="0"/>
    <n v="0"/>
    <n v="0"/>
    <n v="1"/>
    <n v="0"/>
    <n v="0"/>
    <s v="MMR001CMP069"/>
    <x v="0"/>
    <x v="0"/>
    <s v="P3"/>
    <n v="0"/>
    <m/>
  </r>
  <r>
    <n v="6.0666666666666664"/>
    <d v="2016-10-31T00:00:00"/>
    <x v="1"/>
    <s v="Solidarities"/>
    <s v="Kachin"/>
    <s v="Momauk"/>
    <s v="Seng Ja "/>
    <m/>
    <m/>
    <m/>
    <m/>
    <m/>
    <m/>
    <m/>
    <m/>
    <m/>
    <m/>
    <m/>
    <m/>
    <m/>
    <m/>
    <n v="2"/>
    <m/>
    <m/>
    <n v="0"/>
    <n v="0"/>
    <n v="0"/>
    <n v="0"/>
    <n v="0"/>
    <n v="0"/>
    <n v="0"/>
    <n v="0"/>
    <n v="0"/>
    <n v="0"/>
    <n v="0"/>
    <n v="0"/>
    <n v="0"/>
    <n v="0"/>
    <n v="0"/>
    <n v="2"/>
    <n v="0"/>
    <n v="0"/>
    <s v="MMR001CMP073"/>
    <x v="0"/>
    <x v="0"/>
    <s v="P3"/>
    <n v="0"/>
    <m/>
  </r>
  <r>
    <n v="5.1333333333333337"/>
    <d v="2016-11-28T00:00:00"/>
    <x v="0"/>
    <s v="KBC"/>
    <s v="Shan_North"/>
    <s v="Muse"/>
    <s v="Muse Baptist Church"/>
    <m/>
    <m/>
    <m/>
    <n v="76"/>
    <n v="38"/>
    <n v="76"/>
    <m/>
    <m/>
    <n v="38"/>
    <n v="114"/>
    <m/>
    <m/>
    <m/>
    <m/>
    <m/>
    <m/>
    <m/>
    <n v="0"/>
    <n v="0"/>
    <n v="0"/>
    <n v="76"/>
    <n v="38"/>
    <n v="76"/>
    <n v="0"/>
    <n v="0"/>
    <n v="38"/>
    <n v="285"/>
    <n v="0"/>
    <n v="0"/>
    <n v="0"/>
    <n v="0"/>
    <n v="0"/>
    <n v="0"/>
    <n v="0"/>
    <n v="0"/>
    <s v="MMR015CMP213"/>
    <x v="2"/>
    <x v="0"/>
    <s v="P4"/>
    <n v="0"/>
    <m/>
  </r>
  <r>
    <n v="5.0666666666666664"/>
    <d v="2016-11-30T00:00:00"/>
    <x v="1"/>
    <s v="Solidarities"/>
    <s v="Kachin"/>
    <s v="Bhamo"/>
    <s v="Phan Khar Kone"/>
    <m/>
    <m/>
    <m/>
    <m/>
    <m/>
    <m/>
    <m/>
    <m/>
    <m/>
    <m/>
    <m/>
    <m/>
    <m/>
    <m/>
    <n v="2"/>
    <m/>
    <m/>
    <n v="0"/>
    <n v="0"/>
    <n v="0"/>
    <n v="0"/>
    <n v="0"/>
    <n v="0"/>
    <n v="0"/>
    <n v="0"/>
    <n v="0"/>
    <n v="0"/>
    <n v="0"/>
    <n v="0"/>
    <n v="0"/>
    <n v="0"/>
    <n v="0"/>
    <n v="2"/>
    <n v="0"/>
    <n v="0"/>
    <s v="MMR001CMP193"/>
    <x v="0"/>
    <x v="0"/>
    <s v="P4"/>
    <n v="0"/>
    <m/>
  </r>
  <r>
    <n v="5.0666666666666664"/>
    <d v="2016-11-30T00:00:00"/>
    <x v="1"/>
    <s v="Solidarities"/>
    <s v="Kachin"/>
    <s v="Bhamo"/>
    <s v="Robert Church"/>
    <m/>
    <m/>
    <m/>
    <m/>
    <m/>
    <m/>
    <m/>
    <m/>
    <m/>
    <m/>
    <m/>
    <m/>
    <m/>
    <m/>
    <n v="5"/>
    <m/>
    <m/>
    <n v="0"/>
    <n v="0"/>
    <n v="0"/>
    <n v="0"/>
    <n v="0"/>
    <n v="0"/>
    <n v="0"/>
    <n v="0"/>
    <n v="0"/>
    <n v="0"/>
    <n v="0"/>
    <n v="0"/>
    <n v="0"/>
    <n v="0"/>
    <n v="0"/>
    <n v="5"/>
    <n v="0"/>
    <n v="0"/>
    <s v="MMR001CMP047"/>
    <x v="0"/>
    <x v="0"/>
    <s v="P4"/>
    <n v="0"/>
    <m/>
  </r>
  <r>
    <n v="3.9666666666666668"/>
    <d v="2017-01-02T00:00:00"/>
    <x v="0"/>
    <s v="KBC"/>
    <s v="Kachin"/>
    <s v="Waingmaw"/>
    <s v="Maina KBC (Bawng Ring)"/>
    <m/>
    <m/>
    <m/>
    <m/>
    <m/>
    <m/>
    <m/>
    <m/>
    <m/>
    <m/>
    <m/>
    <m/>
    <m/>
    <m/>
    <m/>
    <m/>
    <n v="17"/>
    <n v="0"/>
    <n v="0"/>
    <n v="0"/>
    <n v="0"/>
    <n v="0"/>
    <n v="0"/>
    <n v="0"/>
    <n v="0"/>
    <n v="0"/>
    <n v="0"/>
    <n v="0"/>
    <n v="0"/>
    <n v="0"/>
    <n v="0"/>
    <n v="0"/>
    <n v="0"/>
    <n v="0"/>
    <n v="17"/>
    <s v="MMR001CMP040"/>
    <x v="3"/>
    <x v="0"/>
    <s v="P4"/>
    <n v="0"/>
    <m/>
  </r>
  <r>
    <n v="3.7"/>
    <d v="2017-01-10T00:00:00"/>
    <x v="0"/>
    <s v="KMSS_Myitkyina"/>
    <s v="Kachin"/>
    <s v="Myitkyina"/>
    <s v="Jan Mai Kawng Catholic Church"/>
    <m/>
    <n v="1"/>
    <n v="1"/>
    <n v="4"/>
    <n v="1"/>
    <n v="4"/>
    <n v="1"/>
    <m/>
    <n v="1"/>
    <n v="4"/>
    <m/>
    <m/>
    <m/>
    <m/>
    <n v="1"/>
    <m/>
    <m/>
    <m/>
    <m/>
    <m/>
    <m/>
    <m/>
    <m/>
    <m/>
    <m/>
    <m/>
    <m/>
    <m/>
    <m/>
    <m/>
    <m/>
    <m/>
    <m/>
    <m/>
    <m/>
    <s v="MMR001CMP019"/>
    <x v="4"/>
    <x v="0"/>
    <s v="P4"/>
    <n v="2.4554941682013504E-5"/>
    <m/>
  </r>
  <r>
    <n v="3.7"/>
    <d v="2017-01-10T00:00:00"/>
    <x v="0"/>
    <s v="KMSS_Myitkyina"/>
    <s v="Kachin"/>
    <s v="Waingmaw"/>
    <s v="Maina Catholic Church (St. Joseph)"/>
    <m/>
    <n v="6"/>
    <n v="6"/>
    <n v="10"/>
    <n v="6"/>
    <n v="18"/>
    <n v="6"/>
    <m/>
    <n v="6"/>
    <n v="17"/>
    <m/>
    <m/>
    <m/>
    <m/>
    <n v="6"/>
    <m/>
    <m/>
    <m/>
    <m/>
    <m/>
    <m/>
    <m/>
    <m/>
    <m/>
    <m/>
    <m/>
    <m/>
    <m/>
    <m/>
    <m/>
    <m/>
    <m/>
    <m/>
    <m/>
    <m/>
    <s v="MMR001CMP029"/>
    <x v="4"/>
    <x v="0"/>
    <s v="P4"/>
    <n v="1.4483657606334185E-4"/>
    <m/>
  </r>
  <r>
    <n v="7.1"/>
    <d v="2016-09-30T00:00:00"/>
    <x v="12"/>
    <s v="Relief International"/>
    <s v="Shan_North"/>
    <s v="Namtu"/>
    <s v="Shwe Myint Thar Monastry "/>
    <n v="11"/>
    <m/>
    <m/>
    <m/>
    <n v="11"/>
    <m/>
    <m/>
    <m/>
    <m/>
    <m/>
    <m/>
    <m/>
    <m/>
    <m/>
    <m/>
    <m/>
    <m/>
    <n v="11"/>
    <n v="0"/>
    <n v="0"/>
    <n v="0"/>
    <n v="11"/>
    <n v="0"/>
    <n v="0"/>
    <n v="0"/>
    <n v="0"/>
    <n v="0"/>
    <n v="0"/>
    <n v="0"/>
    <n v="0"/>
    <n v="0"/>
    <n v="0"/>
    <n v="0"/>
    <n v="0"/>
    <n v="0"/>
    <s v="MMR015CMP228"/>
    <x v="0"/>
    <x v="1"/>
    <n v="0"/>
    <s v=""/>
    <m/>
  </r>
  <r>
    <n v="3.5333333333333332"/>
    <d v="2017-01-15T00:00:00"/>
    <x v="1"/>
    <s v="Solidarities"/>
    <s v="Kachin"/>
    <s v="Mansi"/>
    <s v="Maing Khaung"/>
    <n v="15"/>
    <m/>
    <n v="135"/>
    <m/>
    <m/>
    <m/>
    <m/>
    <m/>
    <n v="15"/>
    <m/>
    <m/>
    <m/>
    <m/>
    <m/>
    <n v="15"/>
    <m/>
    <m/>
    <n v="15"/>
    <n v="0"/>
    <n v="135"/>
    <n v="0"/>
    <n v="0"/>
    <n v="0"/>
    <n v="0"/>
    <n v="0"/>
    <n v="15"/>
    <n v="0"/>
    <n v="0"/>
    <n v="0"/>
    <n v="0"/>
    <n v="0"/>
    <n v="0"/>
    <n v="15"/>
    <n v="0"/>
    <n v="0"/>
    <s v="MMR001CMP218"/>
    <x v="3"/>
    <x v="0"/>
    <s v="P4"/>
    <n v="0"/>
    <m/>
  </r>
  <r>
    <n v="3.4333333333333331"/>
    <d v="2017-01-18T00:00:00"/>
    <x v="1"/>
    <s v="Solidarities"/>
    <s v="Kachin"/>
    <s v="Momauk"/>
    <s v="Hpun Lum Yang "/>
    <n v="73"/>
    <n v="73"/>
    <n v="657"/>
    <n v="146"/>
    <m/>
    <n v="146"/>
    <m/>
    <m/>
    <n v="73"/>
    <n v="146"/>
    <m/>
    <m/>
    <m/>
    <m/>
    <n v="73"/>
    <m/>
    <m/>
    <n v="73"/>
    <n v="73"/>
    <n v="657"/>
    <n v="146"/>
    <n v="0"/>
    <n v="146"/>
    <n v="0"/>
    <n v="0"/>
    <n v="73"/>
    <n v="365"/>
    <n v="0"/>
    <n v="0"/>
    <n v="0"/>
    <n v="0"/>
    <n v="0"/>
    <n v="73"/>
    <n v="0"/>
    <n v="0"/>
    <s v="MMR001CMP122"/>
    <x v="3"/>
    <x v="0"/>
    <s v="P2"/>
    <n v="0"/>
    <m/>
  </r>
  <r>
    <n v="3.4333333333333331"/>
    <d v="2017-01-18T00:00:00"/>
    <x v="1"/>
    <s v="Solidarities"/>
    <s v="Kachin"/>
    <s v="Waingmaw"/>
    <s v="Woi Chyai "/>
    <n v="10"/>
    <n v="10"/>
    <n v="90"/>
    <n v="20"/>
    <m/>
    <n v="20"/>
    <m/>
    <m/>
    <n v="10"/>
    <n v="20"/>
    <m/>
    <m/>
    <m/>
    <m/>
    <n v="10"/>
    <m/>
    <m/>
    <n v="10"/>
    <n v="10"/>
    <n v="90"/>
    <n v="20"/>
    <n v="0"/>
    <n v="20"/>
    <n v="0"/>
    <n v="0"/>
    <n v="10"/>
    <n v="50"/>
    <n v="0"/>
    <n v="0"/>
    <n v="0"/>
    <n v="0"/>
    <n v="0"/>
    <n v="10"/>
    <n v="0"/>
    <n v="0"/>
    <s v="MMR001CMP116"/>
    <x v="3"/>
    <x v="0"/>
    <s v="P4"/>
    <n v="0"/>
    <m/>
  </r>
  <r>
    <n v="3.4"/>
    <d v="2017-01-19T00:00:00"/>
    <x v="0"/>
    <s v="KMSS_Myitkyina"/>
    <s v="Kachin"/>
    <s v="Waingmaw"/>
    <s v="Maina Catholic Church (St. Joseph)"/>
    <m/>
    <n v="9"/>
    <n v="9"/>
    <n v="35"/>
    <n v="9"/>
    <n v="35"/>
    <n v="9"/>
    <m/>
    <n v="9"/>
    <n v="35"/>
    <m/>
    <m/>
    <m/>
    <m/>
    <n v="9"/>
    <m/>
    <n v="9"/>
    <n v="0"/>
    <n v="9"/>
    <n v="9"/>
    <n v="35"/>
    <n v="9"/>
    <n v="35"/>
    <n v="9"/>
    <n v="0"/>
    <n v="9"/>
    <n v="87.5"/>
    <n v="0"/>
    <n v="0"/>
    <n v="0"/>
    <n v="0"/>
    <n v="0"/>
    <n v="9"/>
    <n v="0"/>
    <n v="9"/>
    <s v="MMR001CMP029"/>
    <x v="0"/>
    <x v="0"/>
    <s v="P4"/>
    <n v="2.172548640950128E-4"/>
    <m/>
  </r>
  <r>
    <n v="3.3666666666666667"/>
    <d v="2017-01-20T00:00:00"/>
    <x v="0"/>
    <s v="Shalom"/>
    <s v="Kachin"/>
    <s v="Waingmaw"/>
    <s v="Maina AG Church"/>
    <m/>
    <n v="5"/>
    <n v="5"/>
    <n v="21"/>
    <n v="5"/>
    <n v="21"/>
    <n v="5"/>
    <m/>
    <n v="5"/>
    <n v="21"/>
    <m/>
    <m/>
    <m/>
    <m/>
    <n v="5"/>
    <m/>
    <m/>
    <n v="0"/>
    <n v="5"/>
    <n v="5"/>
    <n v="21"/>
    <n v="5"/>
    <n v="21"/>
    <n v="5"/>
    <n v="0"/>
    <n v="5"/>
    <n v="52.5"/>
    <n v="0"/>
    <n v="0"/>
    <n v="0"/>
    <n v="0"/>
    <n v="0"/>
    <n v="5"/>
    <n v="0"/>
    <n v="0"/>
    <s v="MMR001CMP031"/>
    <x v="3"/>
    <x v="0"/>
    <s v="P4"/>
    <n v="1.2060980316480124E-4"/>
    <m/>
  </r>
  <r>
    <n v="3.3666666666666667"/>
    <d v="2017-01-20T00:00:00"/>
    <x v="0"/>
    <s v="Shalom"/>
    <s v="Kachin"/>
    <s v="Waingmaw"/>
    <s v="Qtr. 4 Monestry (Thargaya Thayett Taw)"/>
    <m/>
    <n v="6"/>
    <n v="6"/>
    <n v="13"/>
    <n v="6"/>
    <n v="13"/>
    <n v="6"/>
    <m/>
    <n v="6"/>
    <n v="13"/>
    <m/>
    <m/>
    <m/>
    <m/>
    <n v="6"/>
    <m/>
    <m/>
    <n v="0"/>
    <n v="6"/>
    <n v="6"/>
    <n v="13"/>
    <n v="6"/>
    <n v="13"/>
    <n v="6"/>
    <n v="0"/>
    <n v="6"/>
    <n v="32.5"/>
    <n v="0"/>
    <n v="0"/>
    <n v="0"/>
    <n v="0"/>
    <n v="0"/>
    <n v="6"/>
    <n v="0"/>
    <n v="0"/>
    <s v="MMR001CMP026"/>
    <x v="3"/>
    <x v="0"/>
    <s v="P4"/>
    <n v="1.4655593551538836E-4"/>
    <m/>
  </r>
  <r>
    <n v="3.3666666666666667"/>
    <d v="2017-01-20T00:00:00"/>
    <x v="0"/>
    <s v="Shalom"/>
    <s v="Kachin"/>
    <s v="Waingmaw"/>
    <s v="Qtr. 2 Lhaovo Baptist Church"/>
    <m/>
    <n v="9"/>
    <n v="9"/>
    <n v="19"/>
    <n v="9"/>
    <n v="19"/>
    <n v="9"/>
    <m/>
    <n v="9"/>
    <n v="19"/>
    <m/>
    <m/>
    <m/>
    <m/>
    <n v="9"/>
    <m/>
    <n v="10"/>
    <n v="0"/>
    <n v="9"/>
    <n v="9"/>
    <n v="19"/>
    <n v="9"/>
    <n v="19"/>
    <n v="9"/>
    <n v="0"/>
    <n v="9"/>
    <n v="47.5"/>
    <n v="0"/>
    <n v="0"/>
    <n v="0"/>
    <n v="0"/>
    <n v="0"/>
    <n v="9"/>
    <n v="0"/>
    <n v="10"/>
    <s v="MMR001CMP032"/>
    <x v="3"/>
    <x v="0"/>
    <s v="P4"/>
    <n v="2.2099447513812155E-4"/>
    <m/>
  </r>
  <r>
    <n v="3.3666666666666667"/>
    <d v="2017-01-20T00:00:00"/>
    <x v="0"/>
    <s v="Shalom"/>
    <s v="Kachin"/>
    <s v="Waingmaw"/>
    <s v="Waingmaw AG Church"/>
    <m/>
    <n v="6"/>
    <n v="6"/>
    <n v="17"/>
    <n v="6"/>
    <n v="17"/>
    <n v="6"/>
    <m/>
    <n v="6"/>
    <n v="17"/>
    <m/>
    <m/>
    <m/>
    <m/>
    <n v="6"/>
    <m/>
    <m/>
    <n v="0"/>
    <n v="6"/>
    <n v="6"/>
    <n v="17"/>
    <n v="6"/>
    <n v="17"/>
    <n v="6"/>
    <n v="0"/>
    <n v="6"/>
    <n v="42.5"/>
    <n v="0"/>
    <n v="0"/>
    <n v="0"/>
    <n v="0"/>
    <n v="0"/>
    <n v="6"/>
    <n v="0"/>
    <n v="0"/>
    <s v="MMR001CMP038"/>
    <x v="3"/>
    <x v="0"/>
    <s v="P4"/>
    <n v="1.4688601645123384E-4"/>
    <m/>
  </r>
  <r>
    <n v="3.3666666666666667"/>
    <d v="2017-01-20T00:00:00"/>
    <x v="0"/>
    <s v="Shalom"/>
    <s v="Kachin"/>
    <s v="Waingmaw"/>
    <s v="Thargaya Lisu Baptist Church"/>
    <m/>
    <n v="1"/>
    <n v="1"/>
    <n v="4"/>
    <n v="1"/>
    <n v="4"/>
    <n v="1"/>
    <m/>
    <n v="1"/>
    <n v="4"/>
    <m/>
    <m/>
    <m/>
    <m/>
    <n v="1"/>
    <m/>
    <m/>
    <n v="0"/>
    <n v="1"/>
    <n v="1"/>
    <n v="4"/>
    <n v="1"/>
    <n v="4"/>
    <n v="1"/>
    <n v="0"/>
    <n v="1"/>
    <n v="10"/>
    <n v="0"/>
    <n v="0"/>
    <n v="0"/>
    <n v="0"/>
    <n v="0"/>
    <n v="1"/>
    <n v="0"/>
    <n v="0"/>
    <s v="MMR001CMP037"/>
    <x v="3"/>
    <x v="0"/>
    <s v="P4"/>
    <n v="2.4481002741872306E-5"/>
    <m/>
  </r>
  <r>
    <n v="3.2666666666666666"/>
    <d v="2017-01-23T00:00:00"/>
    <x v="1"/>
    <s v="Solidarities"/>
    <s v="Kachin"/>
    <s v="Waingmaw"/>
    <s v="Je Yang Hka "/>
    <n v="38"/>
    <n v="38"/>
    <n v="342"/>
    <n v="76"/>
    <m/>
    <n v="76"/>
    <m/>
    <m/>
    <n v="38"/>
    <n v="76"/>
    <m/>
    <m/>
    <m/>
    <m/>
    <n v="38"/>
    <m/>
    <m/>
    <n v="38"/>
    <n v="38"/>
    <n v="342"/>
    <n v="76"/>
    <n v="0"/>
    <n v="76"/>
    <n v="0"/>
    <n v="0"/>
    <n v="38"/>
    <n v="190"/>
    <n v="0"/>
    <n v="0"/>
    <n v="0"/>
    <n v="0"/>
    <n v="0"/>
    <n v="38"/>
    <n v="0"/>
    <n v="0"/>
    <s v="MMR001CMP121"/>
    <x v="3"/>
    <x v="0"/>
    <s v="P2"/>
    <n v="0"/>
    <m/>
  </r>
  <r>
    <n v="3.1666666666666665"/>
    <d v="2017-01-26T00:00:00"/>
    <x v="0"/>
    <s v="KBC"/>
    <s v="Kachin"/>
    <s v="Waingmaw"/>
    <s v="Maina KBC (Bawng Ring)"/>
    <m/>
    <n v="6"/>
    <n v="6"/>
    <n v="18"/>
    <n v="6"/>
    <n v="24"/>
    <n v="6"/>
    <m/>
    <n v="6"/>
    <n v="24"/>
    <m/>
    <m/>
    <m/>
    <m/>
    <n v="6"/>
    <m/>
    <n v="6"/>
    <n v="0"/>
    <n v="6"/>
    <n v="6"/>
    <n v="18"/>
    <n v="6"/>
    <n v="24"/>
    <n v="6"/>
    <n v="0"/>
    <n v="6"/>
    <n v="60"/>
    <n v="0"/>
    <n v="0"/>
    <n v="0"/>
    <n v="0"/>
    <n v="0"/>
    <n v="6"/>
    <n v="0"/>
    <n v="6"/>
    <s v="MMR001CMP040"/>
    <x v="3"/>
    <x v="0"/>
    <s v="P4"/>
    <n v="1.4612405932636809E-4"/>
    <m/>
  </r>
  <r>
    <n v="3.3666666666666667"/>
    <d v="2017-01-20T00:00:00"/>
    <x v="0"/>
    <s v="KBC"/>
    <s v="Kachin"/>
    <s v="Mansi"/>
    <s v="Man Kawng Baptist Church"/>
    <m/>
    <n v="11"/>
    <n v="11"/>
    <n v="32"/>
    <n v="11"/>
    <n v="32"/>
    <n v="11"/>
    <m/>
    <n v="11"/>
    <n v="52"/>
    <m/>
    <m/>
    <m/>
    <m/>
    <n v="11"/>
    <m/>
    <n v="11"/>
    <n v="0"/>
    <n v="11"/>
    <n v="11"/>
    <n v="32"/>
    <n v="11"/>
    <n v="32"/>
    <n v="11"/>
    <n v="0"/>
    <n v="11"/>
    <n v="130"/>
    <n v="0"/>
    <n v="0"/>
    <n v="0"/>
    <n v="0"/>
    <n v="0"/>
    <n v="11"/>
    <n v="0"/>
    <n v="11"/>
    <s v="MMR001CMP212"/>
    <x v="3"/>
    <x v="1"/>
    <s v=""/>
    <s v=""/>
    <m/>
  </r>
  <r>
    <n v="3.2666666666666666"/>
    <d v="2017-01-23T00:00:00"/>
    <x v="0"/>
    <s v="KMSS_Bhamo"/>
    <s v="Kachin"/>
    <s v="Mansi"/>
    <s v="Man Kawng Catholic Church"/>
    <m/>
    <n v="24"/>
    <n v="25"/>
    <n v="45"/>
    <n v="25"/>
    <n v="45"/>
    <n v="25"/>
    <m/>
    <n v="25"/>
    <n v="83"/>
    <m/>
    <m/>
    <m/>
    <m/>
    <n v="25"/>
    <m/>
    <m/>
    <n v="0"/>
    <n v="24"/>
    <n v="25"/>
    <n v="45"/>
    <n v="25"/>
    <n v="45"/>
    <n v="25"/>
    <n v="0"/>
    <n v="25"/>
    <n v="207.5"/>
    <n v="0"/>
    <n v="0"/>
    <n v="0"/>
    <n v="0"/>
    <n v="0"/>
    <n v="25"/>
    <n v="0"/>
    <n v="0"/>
    <s v="MMR001CMP213"/>
    <x v="0"/>
    <x v="1"/>
    <s v=""/>
    <s v=""/>
    <m/>
  </r>
  <r>
    <n v="3.2666666666666666"/>
    <d v="2017-01-23T00:00:00"/>
    <x v="0"/>
    <s v="KMSS_Bhamo"/>
    <s v="Kachin"/>
    <s v="Mansi"/>
    <s v="Man Kawng Catholic Church"/>
    <m/>
    <n v="24"/>
    <n v="25"/>
    <n v="45"/>
    <n v="25"/>
    <n v="45"/>
    <n v="25"/>
    <m/>
    <n v="25"/>
    <n v="83"/>
    <m/>
    <m/>
    <m/>
    <m/>
    <m/>
    <m/>
    <m/>
    <n v="0"/>
    <n v="24"/>
    <n v="25"/>
    <n v="45"/>
    <n v="25"/>
    <n v="45"/>
    <n v="25"/>
    <n v="0"/>
    <n v="25"/>
    <n v="207.5"/>
    <n v="0"/>
    <n v="0"/>
    <n v="0"/>
    <n v="0"/>
    <n v="0"/>
    <n v="0"/>
    <n v="0"/>
    <n v="0"/>
    <s v="MMR001CMP213"/>
    <x v="0"/>
    <x v="1"/>
    <s v=""/>
    <s v=""/>
    <m/>
  </r>
  <r>
    <n v="3.1"/>
    <d v="2017-01-28T00:00:00"/>
    <x v="0"/>
    <s v="KMSS_Myitkyina"/>
    <s v="Kachin"/>
    <s v="Waingmaw"/>
    <s v="Maina Catholic Church (St. Joseph)"/>
    <m/>
    <m/>
    <m/>
    <m/>
    <m/>
    <m/>
    <m/>
    <m/>
    <m/>
    <m/>
    <m/>
    <m/>
    <m/>
    <m/>
    <m/>
    <m/>
    <n v="10"/>
    <n v="0"/>
    <n v="0"/>
    <n v="0"/>
    <n v="0"/>
    <n v="0"/>
    <n v="0"/>
    <n v="0"/>
    <n v="0"/>
    <n v="0"/>
    <n v="0"/>
    <n v="0"/>
    <n v="0"/>
    <n v="0"/>
    <n v="0"/>
    <n v="0"/>
    <n v="0"/>
    <n v="0"/>
    <n v="10"/>
    <s v="MMR001CMP029"/>
    <x v="3"/>
    <x v="0"/>
    <s v="P4"/>
    <n v="0"/>
    <m/>
  </r>
  <r>
    <n v="3"/>
    <d v="2017-01-31T00:00:00"/>
    <x v="0"/>
    <s v="KMSS_Myitkyina"/>
    <s v="Kachin"/>
    <s v="Myitkyina"/>
    <s v="Pa Dauk Myaing(Pa La Na)"/>
    <m/>
    <n v="1"/>
    <n v="1"/>
    <n v="3"/>
    <n v="1"/>
    <n v="3"/>
    <n v="1"/>
    <m/>
    <n v="1"/>
    <n v="3"/>
    <m/>
    <m/>
    <m/>
    <m/>
    <n v="1"/>
    <m/>
    <m/>
    <n v="0"/>
    <n v="1"/>
    <n v="1"/>
    <n v="3"/>
    <n v="1"/>
    <n v="3"/>
    <n v="1"/>
    <n v="0"/>
    <n v="1"/>
    <n v="7.5"/>
    <n v="0"/>
    <n v="0"/>
    <n v="0"/>
    <n v="0"/>
    <n v="0"/>
    <n v="1"/>
    <n v="0"/>
    <n v="0"/>
    <s v="MMR001CMP162"/>
    <x v="0"/>
    <x v="0"/>
    <s v="P4"/>
    <n v="2.4245950926195326E-5"/>
    <m/>
  </r>
  <r>
    <n v="3"/>
    <d v="2017-01-31T00:00:00"/>
    <x v="0"/>
    <s v="KMSS_Myitkyina"/>
    <s v="Kachin"/>
    <s v="Waingmaw"/>
    <s v="Maina Catholic Church (St. Joseph)"/>
    <m/>
    <n v="22"/>
    <n v="22"/>
    <n v="76"/>
    <n v="22"/>
    <n v="76"/>
    <n v="22"/>
    <m/>
    <n v="22"/>
    <n v="76"/>
    <m/>
    <m/>
    <m/>
    <m/>
    <n v="22"/>
    <m/>
    <m/>
    <n v="0"/>
    <n v="22"/>
    <n v="22"/>
    <n v="76"/>
    <n v="22"/>
    <n v="76"/>
    <n v="22"/>
    <n v="0"/>
    <n v="22"/>
    <n v="190"/>
    <n v="0"/>
    <n v="0"/>
    <n v="0"/>
    <n v="0"/>
    <n v="0"/>
    <n v="22"/>
    <n v="0"/>
    <n v="0"/>
    <s v="MMR001CMP029"/>
    <x v="0"/>
    <x v="0"/>
    <s v="P4"/>
    <n v="5.3106744556558679E-4"/>
    <m/>
  </r>
  <r>
    <n v="2.9666666666666668"/>
    <d v="2017-02-01T00:00:00"/>
    <x v="0"/>
    <s v="KBC"/>
    <s v="Kachin"/>
    <s v="Shwegu"/>
    <s v="Shwe Gu Baptist Church"/>
    <m/>
    <m/>
    <n v="50"/>
    <m/>
    <m/>
    <m/>
    <m/>
    <m/>
    <m/>
    <m/>
    <m/>
    <m/>
    <m/>
    <m/>
    <m/>
    <m/>
    <m/>
    <n v="0"/>
    <n v="0"/>
    <n v="50"/>
    <n v="0"/>
    <n v="0"/>
    <n v="0"/>
    <n v="0"/>
    <n v="0"/>
    <n v="0"/>
    <n v="0"/>
    <n v="0"/>
    <n v="0"/>
    <n v="0"/>
    <n v="0"/>
    <n v="0"/>
    <n v="0"/>
    <n v="0"/>
    <n v="0"/>
    <s v="MMR001CMP067"/>
    <x v="0"/>
    <x v="0"/>
    <s v="P4"/>
    <n v="0"/>
    <m/>
  </r>
  <r>
    <n v="2.9333333333333331"/>
    <d v="2017-02-02T00:00:00"/>
    <x v="0"/>
    <s v="KMSS_Bhamo"/>
    <s v="Kachin"/>
    <s v="Mansi"/>
    <s v="Maing Khaung Catholic Church"/>
    <m/>
    <n v="25"/>
    <n v="25"/>
    <n v="25"/>
    <n v="25"/>
    <n v="45"/>
    <n v="25"/>
    <m/>
    <n v="25"/>
    <n v="83"/>
    <m/>
    <m/>
    <m/>
    <m/>
    <n v="25"/>
    <m/>
    <m/>
    <n v="0"/>
    <n v="25"/>
    <n v="25"/>
    <n v="25"/>
    <n v="25"/>
    <n v="45"/>
    <n v="25"/>
    <n v="0"/>
    <n v="25"/>
    <n v="207.5"/>
    <n v="0"/>
    <n v="0"/>
    <n v="0"/>
    <n v="0"/>
    <n v="0"/>
    <n v="25"/>
    <n v="0"/>
    <n v="0"/>
    <s v="MMR001CMP223"/>
    <x v="0"/>
    <x v="0"/>
    <s v="P4"/>
    <n v="6.0171368056224125E-4"/>
    <m/>
  </r>
  <r>
    <n v="2.7"/>
    <d v="2017-02-09T00:00:00"/>
    <x v="0"/>
    <s v="KBC"/>
    <s v="Kachin"/>
    <s v="Waingmaw"/>
    <s v="Maina KBC (Bawng Ring)"/>
    <m/>
    <n v="17"/>
    <n v="17"/>
    <n v="114"/>
    <n v="17"/>
    <n v="174"/>
    <n v="17"/>
    <m/>
    <n v="17"/>
    <n v="188"/>
    <m/>
    <m/>
    <m/>
    <m/>
    <n v="17"/>
    <m/>
    <n v="49"/>
    <n v="0"/>
    <n v="17"/>
    <n v="17"/>
    <n v="114"/>
    <n v="17"/>
    <n v="174"/>
    <n v="17"/>
    <n v="0"/>
    <n v="17"/>
    <n v="470"/>
    <n v="0"/>
    <n v="0"/>
    <n v="0"/>
    <n v="0"/>
    <n v="0"/>
    <n v="17"/>
    <n v="0"/>
    <n v="49"/>
    <s v="MMR001CMP040"/>
    <x v="0"/>
    <x v="0"/>
    <s v="P4"/>
    <n v="4.1401816809137626E-4"/>
    <m/>
  </r>
  <r>
    <n v="2.6666666666666665"/>
    <d v="2017-02-10T00:00:00"/>
    <x v="0"/>
    <s v="KBC"/>
    <s v="Kachin"/>
    <s v="Myitkyina"/>
    <s v="Shatapru Thida Aye Baptist Church"/>
    <m/>
    <n v="4"/>
    <n v="4"/>
    <n v="10"/>
    <n v="4"/>
    <n v="14"/>
    <n v="4"/>
    <m/>
    <n v="4"/>
    <n v="14"/>
    <m/>
    <m/>
    <m/>
    <m/>
    <n v="4"/>
    <m/>
    <m/>
    <n v="0"/>
    <n v="4"/>
    <n v="4"/>
    <n v="10"/>
    <n v="4"/>
    <n v="14"/>
    <n v="4"/>
    <n v="0"/>
    <n v="4"/>
    <n v="35"/>
    <n v="0"/>
    <n v="0"/>
    <n v="0"/>
    <n v="0"/>
    <n v="0"/>
    <n v="4"/>
    <n v="0"/>
    <n v="0"/>
    <s v="MMR001CMP007"/>
    <x v="0"/>
    <x v="0"/>
    <s v="P4"/>
    <n v="9.7777995062211254E-5"/>
    <m/>
  </r>
  <r>
    <n v="2.6666666666666665"/>
    <d v="2017-02-10T00:00:00"/>
    <x v="0"/>
    <s v="KBC"/>
    <s v="Kachin"/>
    <s v="Myitkyina"/>
    <s v="Njang Dung Baptist Church "/>
    <m/>
    <n v="4"/>
    <n v="4"/>
    <n v="8"/>
    <n v="4"/>
    <n v="11"/>
    <n v="4"/>
    <m/>
    <n v="4"/>
    <n v="11"/>
    <m/>
    <m/>
    <m/>
    <m/>
    <n v="4"/>
    <m/>
    <m/>
    <n v="0"/>
    <n v="4"/>
    <n v="4"/>
    <n v="8"/>
    <n v="4"/>
    <n v="11"/>
    <n v="4"/>
    <n v="0"/>
    <n v="4"/>
    <n v="27.5"/>
    <n v="0"/>
    <n v="0"/>
    <n v="0"/>
    <n v="0"/>
    <n v="0"/>
    <n v="4"/>
    <n v="0"/>
    <n v="0"/>
    <s v="MMR001CMP002"/>
    <x v="0"/>
    <x v="0"/>
    <s v="P4"/>
    <n v="9.8292173485686198E-5"/>
    <m/>
  </r>
  <r>
    <n v="2.6666666666666665"/>
    <d v="2017-02-10T00:00:00"/>
    <x v="0"/>
    <s v="KBC"/>
    <s v="Kachin"/>
    <s v="Myitkyina"/>
    <s v="Tat Kone Galile Baptist Church"/>
    <m/>
    <n v="1"/>
    <n v="1"/>
    <n v="2"/>
    <n v="1"/>
    <n v="3"/>
    <n v="1"/>
    <m/>
    <n v="1"/>
    <n v="3"/>
    <m/>
    <m/>
    <m/>
    <m/>
    <n v="1"/>
    <m/>
    <m/>
    <n v="0"/>
    <n v="1"/>
    <n v="1"/>
    <n v="2"/>
    <n v="1"/>
    <n v="3"/>
    <n v="1"/>
    <n v="0"/>
    <n v="1"/>
    <n v="7.5"/>
    <n v="0"/>
    <n v="0"/>
    <n v="0"/>
    <n v="0"/>
    <n v="0"/>
    <n v="1"/>
    <n v="0"/>
    <n v="0"/>
    <s v="MMR001CMP003"/>
    <x v="0"/>
    <x v="0"/>
    <s v="P4"/>
    <n v="2.4554941682013504E-5"/>
    <m/>
  </r>
  <r>
    <n v="2.6666666666666665"/>
    <d v="2017-02-10T00:00:00"/>
    <x v="0"/>
    <s v="KBC"/>
    <s v="Kachin"/>
    <s v="Myitkyina"/>
    <s v="Tat Kone San Pya Baptist Church"/>
    <m/>
    <n v="1"/>
    <n v="1"/>
    <n v="3"/>
    <n v="1"/>
    <n v="4"/>
    <n v="1"/>
    <m/>
    <n v="1"/>
    <n v="4"/>
    <m/>
    <m/>
    <m/>
    <m/>
    <n v="1"/>
    <m/>
    <m/>
    <n v="0"/>
    <n v="1"/>
    <n v="1"/>
    <n v="3"/>
    <n v="1"/>
    <n v="4"/>
    <n v="1"/>
    <n v="0"/>
    <n v="1"/>
    <n v="10"/>
    <n v="0"/>
    <n v="0"/>
    <n v="0"/>
    <n v="0"/>
    <n v="0"/>
    <n v="1"/>
    <n v="0"/>
    <n v="0"/>
    <s v="MMR001CMP005"/>
    <x v="0"/>
    <x v="0"/>
    <s v="P4"/>
    <n v="2.4499595756670014E-5"/>
    <m/>
  </r>
  <r>
    <n v="2.6666666666666665"/>
    <d v="2017-02-10T00:00:00"/>
    <x v="0"/>
    <s v="Shalom"/>
    <s v="Kachin"/>
    <s v="Bhamo"/>
    <s v="Mu-yin Baptist Church"/>
    <m/>
    <m/>
    <m/>
    <m/>
    <n v="8"/>
    <m/>
    <m/>
    <m/>
    <m/>
    <m/>
    <m/>
    <m/>
    <m/>
    <m/>
    <m/>
    <m/>
    <m/>
    <n v="0"/>
    <n v="0"/>
    <n v="0"/>
    <n v="0"/>
    <n v="8"/>
    <n v="0"/>
    <n v="0"/>
    <n v="0"/>
    <n v="0"/>
    <n v="0"/>
    <n v="0"/>
    <n v="0"/>
    <n v="0"/>
    <n v="0"/>
    <n v="0"/>
    <n v="0"/>
    <n v="0"/>
    <n v="0"/>
    <s v="MMR001CMP051"/>
    <x v="0"/>
    <x v="0"/>
    <s v="P4"/>
    <n v="0"/>
    <m/>
  </r>
  <r>
    <n v="2.5666666666666669"/>
    <d v="2017-02-13T00:00:00"/>
    <x v="0"/>
    <s v="KBC"/>
    <s v="Kachin"/>
    <s v="Myitkyina"/>
    <s v="Le Kone Bethlehem Church"/>
    <m/>
    <n v="3"/>
    <n v="3"/>
    <n v="5"/>
    <n v="3"/>
    <n v="8"/>
    <n v="3"/>
    <m/>
    <n v="3"/>
    <n v="8"/>
    <m/>
    <m/>
    <m/>
    <m/>
    <n v="3"/>
    <m/>
    <m/>
    <n v="0"/>
    <n v="3"/>
    <n v="3"/>
    <n v="5"/>
    <n v="3"/>
    <n v="8"/>
    <n v="3"/>
    <n v="0"/>
    <n v="3"/>
    <n v="20"/>
    <n v="0"/>
    <n v="0"/>
    <n v="0"/>
    <n v="0"/>
    <n v="0"/>
    <n v="3"/>
    <n v="0"/>
    <n v="0"/>
    <s v="MMR001CMP015"/>
    <x v="0"/>
    <x v="0"/>
    <s v="P4"/>
    <n v="7.3886166046843827E-5"/>
    <m/>
  </r>
  <r>
    <n v="2.5666666666666669"/>
    <d v="2017-02-13T00:00:00"/>
    <x v="0"/>
    <s v="KBC"/>
    <s v="Kachin"/>
    <s v="Myitkyina"/>
    <s v="Jan Mai Kawng Baptist Church"/>
    <m/>
    <n v="1"/>
    <n v="1"/>
    <n v="2"/>
    <n v="1"/>
    <n v="3"/>
    <n v="1"/>
    <m/>
    <n v="1"/>
    <n v="3"/>
    <m/>
    <m/>
    <m/>
    <m/>
    <n v="1"/>
    <m/>
    <m/>
    <n v="0"/>
    <n v="1"/>
    <n v="1"/>
    <n v="2"/>
    <n v="1"/>
    <n v="3"/>
    <n v="1"/>
    <n v="0"/>
    <n v="1"/>
    <n v="7.5"/>
    <n v="0"/>
    <n v="0"/>
    <n v="0"/>
    <n v="0"/>
    <n v="0"/>
    <n v="1"/>
    <n v="0"/>
    <n v="0"/>
    <s v="MMR001CMP018"/>
    <x v="0"/>
    <x v="0"/>
    <s v="P4"/>
    <n v="2.4554941682013504E-5"/>
    <m/>
  </r>
  <r>
    <n v="2.5666666666666669"/>
    <d v="2017-02-13T00:00:00"/>
    <x v="0"/>
    <s v="KBC"/>
    <s v="Kachin"/>
    <s v="Myitkyina"/>
    <s v="Kyun Pin Thar Baptist Church"/>
    <m/>
    <n v="3"/>
    <n v="3"/>
    <n v="9"/>
    <n v="3"/>
    <n v="17"/>
    <n v="3"/>
    <m/>
    <n v="3"/>
    <n v="17"/>
    <m/>
    <m/>
    <m/>
    <m/>
    <n v="3"/>
    <m/>
    <m/>
    <n v="0"/>
    <n v="3"/>
    <n v="3"/>
    <n v="9"/>
    <n v="3"/>
    <n v="17"/>
    <n v="3"/>
    <n v="0"/>
    <n v="3"/>
    <n v="42.5"/>
    <n v="0"/>
    <n v="0"/>
    <n v="0"/>
    <n v="0"/>
    <n v="0"/>
    <n v="3"/>
    <n v="0"/>
    <n v="0"/>
    <s v="MMR001CMP013"/>
    <x v="0"/>
    <x v="0"/>
    <s v="P4"/>
    <n v="7.333349629665843E-5"/>
    <m/>
  </r>
  <r>
    <n v="2.5666666666666669"/>
    <d v="2017-02-13T00:00:00"/>
    <x v="0"/>
    <s v="KBC"/>
    <s v="Kachin"/>
    <s v="Myitkyina"/>
    <s v="Man Hkring Baptist Church"/>
    <m/>
    <n v="1"/>
    <n v="1"/>
    <n v="2"/>
    <n v="1"/>
    <n v="3"/>
    <n v="1"/>
    <m/>
    <n v="1"/>
    <n v="3"/>
    <m/>
    <m/>
    <m/>
    <m/>
    <n v="1"/>
    <m/>
    <m/>
    <n v="0"/>
    <n v="1"/>
    <n v="1"/>
    <n v="2"/>
    <n v="1"/>
    <n v="3"/>
    <n v="1"/>
    <n v="0"/>
    <n v="1"/>
    <n v="7.5"/>
    <n v="0"/>
    <n v="0"/>
    <n v="0"/>
    <n v="0"/>
    <n v="0"/>
    <n v="1"/>
    <n v="0"/>
    <n v="0"/>
    <s v="MMR001CMP008"/>
    <x v="0"/>
    <x v="0"/>
    <s v="P4"/>
    <n v="2.4554941682013504E-5"/>
    <m/>
  </r>
  <r>
    <n v="2.5666666666666669"/>
    <d v="2017-02-13T00:00:00"/>
    <x v="0"/>
    <s v="KBC"/>
    <s v="Kachin"/>
    <s v="Myitkyina"/>
    <s v="Maliyang Baptist Church"/>
    <m/>
    <n v="1"/>
    <n v="1"/>
    <n v="2"/>
    <n v="1"/>
    <n v="3"/>
    <n v="1"/>
    <m/>
    <n v="1"/>
    <n v="3"/>
    <m/>
    <m/>
    <m/>
    <m/>
    <n v="1"/>
    <m/>
    <m/>
    <n v="0"/>
    <n v="1"/>
    <n v="1"/>
    <n v="2"/>
    <n v="1"/>
    <n v="3"/>
    <n v="1"/>
    <n v="0"/>
    <n v="1"/>
    <n v="7.5"/>
    <n v="0"/>
    <n v="0"/>
    <n v="0"/>
    <n v="0"/>
    <n v="0"/>
    <n v="1"/>
    <n v="0"/>
    <n v="0"/>
    <s v="MMR001CMP016"/>
    <x v="0"/>
    <x v="0"/>
    <s v="P4"/>
    <n v="2.4536264599077437E-5"/>
    <m/>
  </r>
  <r>
    <n v="2.5333333333333332"/>
    <d v="2017-02-14T00:00:00"/>
    <x v="0"/>
    <s v="KBC"/>
    <s v="Kachin"/>
    <s v="Mansi"/>
    <s v="Maing Khaung"/>
    <m/>
    <n v="4"/>
    <n v="4"/>
    <n v="7"/>
    <n v="4"/>
    <n v="7"/>
    <n v="4"/>
    <m/>
    <n v="4"/>
    <n v="14"/>
    <m/>
    <m/>
    <m/>
    <m/>
    <n v="4"/>
    <m/>
    <m/>
    <n v="0"/>
    <n v="4"/>
    <n v="4"/>
    <n v="7"/>
    <n v="4"/>
    <n v="7"/>
    <n v="4"/>
    <n v="0"/>
    <n v="4"/>
    <n v="35"/>
    <n v="0"/>
    <n v="0"/>
    <n v="0"/>
    <n v="0"/>
    <n v="0"/>
    <n v="4"/>
    <n v="0"/>
    <n v="0"/>
    <s v="MMR001CMP218"/>
    <x v="0"/>
    <x v="0"/>
    <s v="P4"/>
    <n v="9.6274188889958599E-5"/>
    <m/>
  </r>
  <r>
    <n v="2.5333333333333332"/>
    <d v="2017-02-14T00:00:00"/>
    <x v="1"/>
    <s v="Solidarities"/>
    <s v="Kachin"/>
    <s v="Mansi"/>
    <s v="Maing Khaung"/>
    <n v="2"/>
    <m/>
    <n v="18"/>
    <m/>
    <m/>
    <m/>
    <m/>
    <m/>
    <n v="2"/>
    <m/>
    <m/>
    <m/>
    <m/>
    <m/>
    <n v="2"/>
    <m/>
    <m/>
    <n v="2"/>
    <n v="0"/>
    <n v="18"/>
    <n v="0"/>
    <n v="0"/>
    <n v="0"/>
    <n v="0"/>
    <n v="0"/>
    <n v="2"/>
    <n v="0"/>
    <n v="0"/>
    <n v="0"/>
    <n v="0"/>
    <n v="0"/>
    <n v="0"/>
    <n v="2"/>
    <n v="0"/>
    <n v="0"/>
    <s v="MMR001CMP218"/>
    <x v="3"/>
    <x v="0"/>
    <s v="P4"/>
    <n v="0"/>
    <m/>
  </r>
  <r>
    <n v="2.5333333333333332"/>
    <d v="2017-02-14T00:00:00"/>
    <x v="0"/>
    <s v="KMSS_Bhamo"/>
    <s v="Kachin"/>
    <s v="Mansi"/>
    <s v="Maing Khaung Catholic Church"/>
    <m/>
    <n v="1"/>
    <n v="1"/>
    <n v="2"/>
    <n v="1"/>
    <n v="2"/>
    <n v="1"/>
    <m/>
    <n v="1"/>
    <n v="3"/>
    <m/>
    <m/>
    <m/>
    <m/>
    <n v="1"/>
    <m/>
    <m/>
    <n v="0"/>
    <n v="1"/>
    <n v="1"/>
    <n v="2"/>
    <n v="1"/>
    <n v="2"/>
    <n v="1"/>
    <n v="0"/>
    <n v="1"/>
    <n v="7.5"/>
    <n v="0"/>
    <n v="0"/>
    <n v="0"/>
    <n v="0"/>
    <n v="0"/>
    <n v="1"/>
    <n v="0"/>
    <n v="0"/>
    <s v="MMR001CMP223"/>
    <x v="0"/>
    <x v="0"/>
    <s v="P4"/>
    <n v="2.406854722248965E-5"/>
    <m/>
  </r>
  <r>
    <n v="2.4666666666666668"/>
    <d v="2017-02-16T00:00:00"/>
    <x v="0"/>
    <s v="KBC"/>
    <s v="Kachin"/>
    <s v="Hpakant"/>
    <s v="Shar Du Zut KBC church "/>
    <m/>
    <m/>
    <m/>
    <m/>
    <m/>
    <m/>
    <m/>
    <m/>
    <m/>
    <m/>
    <n v="62"/>
    <n v="33"/>
    <m/>
    <m/>
    <m/>
    <m/>
    <m/>
    <n v="0"/>
    <n v="0"/>
    <n v="0"/>
    <n v="0"/>
    <n v="0"/>
    <n v="0"/>
    <n v="0"/>
    <n v="0"/>
    <n v="0"/>
    <n v="0"/>
    <n v="62"/>
    <n v="33"/>
    <n v="0"/>
    <n v="0"/>
    <n v="1"/>
    <n v="0"/>
    <n v="0"/>
    <n v="0"/>
    <s v="MMR001CMP244"/>
    <x v="2"/>
    <x v="0"/>
    <n v="0"/>
    <n v="0"/>
    <m/>
  </r>
  <r>
    <n v="2.0333333333333332"/>
    <d v="2017-03-01T00:00:00"/>
    <x v="1"/>
    <s v="Solidarities"/>
    <s v="Kachin"/>
    <s v="Waingmaw"/>
    <s v="Hka Shi"/>
    <n v="55"/>
    <m/>
    <n v="495"/>
    <m/>
    <m/>
    <m/>
    <m/>
    <m/>
    <n v="55"/>
    <m/>
    <m/>
    <m/>
    <m/>
    <m/>
    <n v="55"/>
    <m/>
    <m/>
    <n v="55"/>
    <n v="0"/>
    <n v="495"/>
    <n v="0"/>
    <n v="0"/>
    <n v="0"/>
    <n v="0"/>
    <n v="0"/>
    <n v="55"/>
    <n v="0"/>
    <n v="0"/>
    <n v="0"/>
    <n v="0"/>
    <n v="0"/>
    <n v="0"/>
    <n v="55"/>
    <n v="0"/>
    <n v="0"/>
    <s v="MMR001CMP248"/>
    <x v="3"/>
    <x v="0"/>
    <n v="0"/>
    <s v=""/>
    <m/>
  </r>
  <r>
    <n v="1.6"/>
    <d v="2017-03-14T00:00:00"/>
    <x v="1"/>
    <s v="Solidarities"/>
    <s v="Kachin"/>
    <s v="Momauk"/>
    <s v="Hpun Lum Yang "/>
    <m/>
    <n v="8"/>
    <m/>
    <n v="16"/>
    <m/>
    <n v="16"/>
    <m/>
    <m/>
    <m/>
    <n v="16"/>
    <m/>
    <m/>
    <m/>
    <m/>
    <m/>
    <m/>
    <m/>
    <n v="0"/>
    <n v="8"/>
    <n v="0"/>
    <n v="16"/>
    <n v="0"/>
    <n v="16"/>
    <n v="0"/>
    <n v="0"/>
    <n v="0"/>
    <n v="40"/>
    <n v="0"/>
    <n v="0"/>
    <n v="0"/>
    <n v="0"/>
    <n v="0"/>
    <n v="0"/>
    <n v="0"/>
    <n v="0"/>
    <s v="MMR001CMP122"/>
    <x v="3"/>
    <x v="0"/>
    <s v="P2"/>
    <n v="0"/>
    <m/>
  </r>
  <r>
    <n v="1.6"/>
    <d v="2017-03-14T00:00:00"/>
    <x v="1"/>
    <s v="Solidarities"/>
    <s v="Kachin"/>
    <s v="Waingmaw"/>
    <s v="Je Yang Hka "/>
    <m/>
    <n v="6"/>
    <m/>
    <n v="12"/>
    <m/>
    <n v="12"/>
    <m/>
    <m/>
    <m/>
    <n v="12"/>
    <m/>
    <m/>
    <m/>
    <m/>
    <m/>
    <m/>
    <m/>
    <n v="0"/>
    <n v="6"/>
    <n v="0"/>
    <n v="12"/>
    <n v="0"/>
    <n v="12"/>
    <n v="0"/>
    <n v="0"/>
    <n v="0"/>
    <n v="30"/>
    <n v="0"/>
    <n v="0"/>
    <n v="0"/>
    <n v="0"/>
    <n v="0"/>
    <n v="0"/>
    <n v="0"/>
    <n v="0"/>
    <s v="MMR001CMP121"/>
    <x v="3"/>
    <x v="0"/>
    <s v="P2"/>
    <n v="0"/>
    <m/>
  </r>
  <r>
    <n v="1.5666666666666667"/>
    <d v="2017-03-15T00:00:00"/>
    <x v="0"/>
    <s v="Shalom"/>
    <s v="Kachin"/>
    <s v="Chipwi"/>
    <s v="Chipwi KBC camp"/>
    <m/>
    <m/>
    <m/>
    <m/>
    <m/>
    <m/>
    <m/>
    <m/>
    <m/>
    <m/>
    <n v="79"/>
    <n v="152"/>
    <m/>
    <m/>
    <m/>
    <m/>
    <m/>
    <n v="0"/>
    <n v="0"/>
    <n v="0"/>
    <n v="0"/>
    <n v="0"/>
    <n v="0"/>
    <n v="0"/>
    <n v="0"/>
    <n v="0"/>
    <n v="0"/>
    <n v="79"/>
    <n v="152"/>
    <n v="0"/>
    <n v="0"/>
    <n v="1"/>
    <n v="0"/>
    <n v="0"/>
    <n v="0"/>
    <s v="MMR001CMP042"/>
    <x v="3"/>
    <x v="0"/>
    <s v="P1"/>
    <n v="0"/>
    <m/>
  </r>
  <r>
    <n v="1.5666666666666667"/>
    <d v="2017-03-15T00:00:00"/>
    <x v="1"/>
    <s v="Solidarities"/>
    <s v="Kachin"/>
    <s v="Waingmaw"/>
    <s v="Woi Chyai "/>
    <m/>
    <n v="6"/>
    <m/>
    <n v="12"/>
    <m/>
    <n v="12"/>
    <m/>
    <m/>
    <m/>
    <n v="12"/>
    <m/>
    <m/>
    <m/>
    <m/>
    <m/>
    <m/>
    <m/>
    <n v="0"/>
    <n v="6"/>
    <n v="0"/>
    <n v="12"/>
    <n v="0"/>
    <n v="12"/>
    <n v="0"/>
    <n v="0"/>
    <n v="0"/>
    <n v="30"/>
    <n v="0"/>
    <n v="0"/>
    <n v="0"/>
    <n v="0"/>
    <n v="0"/>
    <n v="0"/>
    <n v="0"/>
    <n v="0"/>
    <s v="MMR001CMP116"/>
    <x v="3"/>
    <x v="0"/>
    <s v="P4"/>
    <n v="0"/>
    <m/>
  </r>
  <r>
    <n v="1.5333333333333334"/>
    <d v="2017-03-16T00:00:00"/>
    <x v="0"/>
    <s v="Shalom"/>
    <s v="Kachin"/>
    <s v="Chipwi"/>
    <s v="Lhaovao Baptist Church (LBC)"/>
    <m/>
    <m/>
    <m/>
    <m/>
    <m/>
    <m/>
    <m/>
    <m/>
    <m/>
    <m/>
    <n v="97"/>
    <n v="203"/>
    <m/>
    <m/>
    <m/>
    <m/>
    <m/>
    <n v="0"/>
    <n v="0"/>
    <n v="0"/>
    <n v="0"/>
    <n v="0"/>
    <n v="0"/>
    <n v="0"/>
    <n v="0"/>
    <n v="0"/>
    <n v="0"/>
    <n v="97"/>
    <n v="203"/>
    <n v="0"/>
    <n v="0"/>
    <n v="1"/>
    <n v="0"/>
    <n v="0"/>
    <n v="0"/>
    <s v="MMR001CMP195"/>
    <x v="3"/>
    <x v="0"/>
    <s v="P1"/>
    <n v="0"/>
    <m/>
  </r>
  <r>
    <n v="1.4333333333333333"/>
    <d v="2017-03-19T00:00:00"/>
    <x v="0"/>
    <s v="KBC"/>
    <s v="Kachin"/>
    <s v="Sumprabum"/>
    <s v="Ndup Yang"/>
    <m/>
    <m/>
    <m/>
    <m/>
    <m/>
    <n v="292"/>
    <m/>
    <m/>
    <m/>
    <m/>
    <m/>
    <m/>
    <m/>
    <m/>
    <m/>
    <m/>
    <m/>
    <n v="0"/>
    <n v="0"/>
    <n v="0"/>
    <n v="0"/>
    <n v="0"/>
    <n v="292"/>
    <n v="0"/>
    <n v="0"/>
    <n v="0"/>
    <n v="0"/>
    <n v="0"/>
    <n v="0"/>
    <n v="0"/>
    <n v="0"/>
    <n v="0"/>
    <n v="0"/>
    <n v="0"/>
    <n v="0"/>
    <s v="MMR001CMP238"/>
    <x v="2"/>
    <x v="0"/>
    <n v="0"/>
    <n v="0"/>
    <m/>
  </r>
  <r>
    <n v="1.4"/>
    <d v="2017-03-20T00:00:00"/>
    <x v="0"/>
    <s v="KBC"/>
    <s v="Kachin"/>
    <s v="Sumprabum"/>
    <s v="Salang Yang"/>
    <m/>
    <m/>
    <m/>
    <m/>
    <m/>
    <n v="134"/>
    <m/>
    <m/>
    <m/>
    <m/>
    <m/>
    <m/>
    <m/>
    <m/>
    <m/>
    <m/>
    <m/>
    <n v="0"/>
    <n v="0"/>
    <n v="0"/>
    <n v="0"/>
    <n v="0"/>
    <n v="134"/>
    <n v="0"/>
    <n v="0"/>
    <n v="0"/>
    <n v="0"/>
    <n v="0"/>
    <n v="0"/>
    <n v="0"/>
    <n v="0"/>
    <n v="0"/>
    <n v="0"/>
    <n v="0"/>
    <n v="0"/>
    <s v="MMR001CMP239"/>
    <x v="2"/>
    <x v="0"/>
    <n v="0"/>
    <n v="0"/>
    <m/>
  </r>
  <r>
    <n v="1.1000000000000001"/>
    <d v="2017-03-29T00:00:00"/>
    <x v="0"/>
    <s v="Shalom"/>
    <s v="Kachin"/>
    <s v="Waingmaw"/>
    <s v="Nawng Hee Village"/>
    <m/>
    <n v="5"/>
    <n v="5"/>
    <n v="10"/>
    <n v="5"/>
    <n v="10"/>
    <n v="5"/>
    <m/>
    <n v="5"/>
    <n v="28"/>
    <m/>
    <m/>
    <m/>
    <m/>
    <n v="5"/>
    <m/>
    <m/>
    <n v="0"/>
    <n v="5"/>
    <n v="5"/>
    <n v="10"/>
    <n v="5"/>
    <n v="10"/>
    <n v="5"/>
    <n v="0"/>
    <n v="5"/>
    <n v="70"/>
    <n v="0"/>
    <n v="0"/>
    <n v="0"/>
    <n v="0"/>
    <n v="0"/>
    <n v="5"/>
    <n v="0"/>
    <n v="0"/>
    <s v="MMR001CMP033"/>
    <x v="3"/>
    <x v="0"/>
    <s v="P4"/>
    <n v="1.2186205215695832E-4"/>
    <m/>
  </r>
  <r>
    <n v="1.0333333333333334"/>
    <d v="2017-03-31T00:00:00"/>
    <x v="14"/>
    <s v="NRC"/>
    <s v="Shan_North"/>
    <s v="Kutkai"/>
    <s v="Kutkai downtown (RC Church)"/>
    <m/>
    <m/>
    <m/>
    <m/>
    <m/>
    <m/>
    <m/>
    <m/>
    <m/>
    <m/>
    <n v="540"/>
    <m/>
    <m/>
    <n v="135"/>
    <m/>
    <m/>
    <m/>
    <n v="0"/>
    <n v="0"/>
    <n v="0"/>
    <n v="0"/>
    <n v="0"/>
    <n v="0"/>
    <n v="0"/>
    <n v="0"/>
    <n v="0"/>
    <n v="0"/>
    <n v="540"/>
    <n v="0"/>
    <n v="0"/>
    <n v="135"/>
    <n v="1"/>
    <n v="0"/>
    <n v="0"/>
    <n v="0"/>
    <s v="MMR015CMP017"/>
    <x v="3"/>
    <x v="0"/>
    <s v="P3"/>
    <n v="0"/>
    <m/>
  </r>
  <r>
    <n v="0.9"/>
    <d v="2017-04-04T00:00:00"/>
    <x v="14"/>
    <s v="NRC"/>
    <s v="Kachin"/>
    <s v="Mansi"/>
    <s v="Maing Khaung Catholic Church"/>
    <m/>
    <m/>
    <m/>
    <m/>
    <m/>
    <m/>
    <m/>
    <m/>
    <m/>
    <m/>
    <n v="144"/>
    <m/>
    <m/>
    <n v="36"/>
    <m/>
    <m/>
    <m/>
    <m/>
    <n v="0"/>
    <n v="0"/>
    <n v="0"/>
    <n v="0"/>
    <n v="0"/>
    <n v="0"/>
    <n v="0"/>
    <n v="0"/>
    <n v="0"/>
    <n v="144"/>
    <n v="0"/>
    <n v="0"/>
    <n v="36"/>
    <n v="1"/>
    <n v="0"/>
    <n v="0"/>
    <n v="0"/>
    <s v="MMR001CMP223"/>
    <x v="3"/>
    <x v="0"/>
    <s v="P4"/>
    <n v="0"/>
    <m/>
  </r>
  <r>
    <n v="2.0333333333333332"/>
    <d v="2017-03-01T00:00:00"/>
    <x v="1"/>
    <s v="Solidarities"/>
    <s v="Kachin"/>
    <s v="Waingmaw"/>
    <s v="Sadung"/>
    <n v="91"/>
    <n v="92"/>
    <n v="546"/>
    <n v="184"/>
    <n v="170"/>
    <n v="184"/>
    <m/>
    <m/>
    <n v="91"/>
    <n v="184"/>
    <m/>
    <m/>
    <m/>
    <m/>
    <n v="91"/>
    <n v="85"/>
    <m/>
    <n v="91"/>
    <n v="92"/>
    <n v="546"/>
    <n v="184"/>
    <n v="170"/>
    <n v="184"/>
    <n v="0"/>
    <n v="0"/>
    <n v="91"/>
    <n v="460"/>
    <n v="0"/>
    <n v="0"/>
    <n v="0"/>
    <n v="0"/>
    <n v="0"/>
    <n v="91"/>
    <n v="85"/>
    <n v="0"/>
    <s v=""/>
    <x v="1"/>
    <x v="2"/>
    <s v=""/>
    <s v=""/>
    <m/>
  </r>
  <r>
    <n v="0.6"/>
    <d v="2017-04-13T00:00:00"/>
    <x v="0"/>
    <s v="Shalom"/>
    <s v="Kachin"/>
    <s v="Waingmaw"/>
    <s v="Qtr. 2 Lhaovo Baptist Church"/>
    <m/>
    <n v="17"/>
    <n v="17"/>
    <n v="58"/>
    <n v="17"/>
    <n v="58"/>
    <n v="17"/>
    <m/>
    <n v="17"/>
    <n v="76"/>
    <m/>
    <m/>
    <m/>
    <m/>
    <n v="17"/>
    <m/>
    <n v="15"/>
    <n v="0"/>
    <n v="17"/>
    <n v="17"/>
    <n v="58"/>
    <n v="17"/>
    <n v="58"/>
    <n v="17"/>
    <n v="0"/>
    <n v="17"/>
    <n v="190"/>
    <n v="0"/>
    <n v="0"/>
    <n v="0"/>
    <n v="0"/>
    <n v="0"/>
    <n v="17"/>
    <n v="0"/>
    <n v="15"/>
    <s v="MMR001CMP032"/>
    <x v="3"/>
    <x v="0"/>
    <s v="P4"/>
    <n v="4.174340085942296E-4"/>
    <m/>
  </r>
  <r>
    <n v="0.13333333333333333"/>
    <d v="2017-04-27T00:00:00"/>
    <x v="1"/>
    <s v="Solidarities"/>
    <s v="Kachin"/>
    <s v="Waingmaw"/>
    <s v="Qtr. 2 Lhaovo Baptist Church"/>
    <n v="10"/>
    <m/>
    <n v="90"/>
    <m/>
    <m/>
    <m/>
    <m/>
    <m/>
    <n v="10"/>
    <m/>
    <m/>
    <m/>
    <m/>
    <m/>
    <n v="10"/>
    <m/>
    <m/>
    <m/>
    <n v="0"/>
    <n v="90"/>
    <n v="0"/>
    <n v="0"/>
    <n v="0"/>
    <n v="0"/>
    <n v="0"/>
    <n v="10"/>
    <n v="0"/>
    <n v="0"/>
    <n v="0"/>
    <n v="0"/>
    <n v="0"/>
    <n v="0"/>
    <n v="10"/>
    <n v="0"/>
    <n v="0"/>
    <s v="MMR001CMP032"/>
    <x v="3"/>
    <x v="0"/>
    <s v="P4"/>
    <n v="0"/>
    <m/>
  </r>
  <r>
    <n v="-0.23333333333333334"/>
    <d v="2017-05-08T00:00:00"/>
    <x v="0"/>
    <s v="KBC"/>
    <s v="Kachin"/>
    <s v="Waingmaw"/>
    <s v="Shing Jai"/>
    <m/>
    <m/>
    <m/>
    <m/>
    <m/>
    <n v="358"/>
    <m/>
    <m/>
    <m/>
    <m/>
    <m/>
    <m/>
    <m/>
    <m/>
    <m/>
    <m/>
    <m/>
    <n v="0"/>
    <n v="0"/>
    <n v="0"/>
    <n v="0"/>
    <n v="0"/>
    <n v="358"/>
    <n v="0"/>
    <n v="0"/>
    <n v="0"/>
    <n v="0"/>
    <n v="0"/>
    <n v="0"/>
    <n v="0"/>
    <n v="0"/>
    <n v="0"/>
    <n v="0"/>
    <n v="0"/>
    <n v="0"/>
    <s v="MMR001CMP041"/>
    <x v="3"/>
    <x v="0"/>
    <s v="P1"/>
    <n v="0"/>
    <m/>
  </r>
  <r>
    <n v="-0.8"/>
    <d v="2017-05-25T00:00:00"/>
    <x v="14"/>
    <s v="NRC"/>
    <s v="Shan_North"/>
    <s v="Hseni"/>
    <s v="Nam Sa Larp"/>
    <m/>
    <m/>
    <m/>
    <n v="57"/>
    <m/>
    <m/>
    <n v="57"/>
    <m/>
    <m/>
    <n v="57"/>
    <m/>
    <m/>
    <m/>
    <m/>
    <m/>
    <m/>
    <m/>
    <n v="0"/>
    <n v="0"/>
    <n v="0"/>
    <n v="57"/>
    <n v="0"/>
    <n v="0"/>
    <n v="57"/>
    <n v="0"/>
    <n v="0"/>
    <n v="142.5"/>
    <n v="0"/>
    <n v="0"/>
    <n v="0"/>
    <n v="0"/>
    <n v="0"/>
    <n v="0"/>
    <n v="0"/>
    <n v="0"/>
    <s v="MMR015CMP218"/>
    <x v="2"/>
    <x v="0"/>
    <n v="0"/>
    <n v="1.3559805880673707E-3"/>
    <m/>
  </r>
  <r>
    <n v="-0.83333333333333337"/>
    <d v="2017-05-26T00:00:00"/>
    <x v="14"/>
    <s v="NRC"/>
    <s v="Shan_North"/>
    <s v="Kutkai"/>
    <s v="Kutkai downtown (KBC Church-2)"/>
    <m/>
    <m/>
    <m/>
    <n v="46"/>
    <n v="12"/>
    <n v="92"/>
    <n v="46"/>
    <m/>
    <m/>
    <n v="46"/>
    <m/>
    <m/>
    <m/>
    <m/>
    <m/>
    <m/>
    <m/>
    <n v="0"/>
    <n v="0"/>
    <n v="0"/>
    <n v="46"/>
    <n v="12"/>
    <n v="92"/>
    <n v="46"/>
    <n v="0"/>
    <n v="0"/>
    <n v="115"/>
    <n v="0"/>
    <n v="0"/>
    <n v="0"/>
    <n v="0"/>
    <n v="0"/>
    <n v="0"/>
    <n v="0"/>
    <n v="0"/>
    <s v="MMR015CMP245"/>
    <x v="2"/>
    <x v="0"/>
    <n v="0"/>
    <n v="1.0766782136504072E-3"/>
    <m/>
  </r>
  <r>
    <n v="-0.3"/>
    <d v="2017-05-10T00:00:00"/>
    <x v="14"/>
    <s v="NRC"/>
    <s v="Kachin"/>
    <s v="Bhamo"/>
    <s v="Pang Hkawng Yang"/>
    <m/>
    <m/>
    <m/>
    <n v="54"/>
    <n v="6"/>
    <n v="108"/>
    <n v="54"/>
    <m/>
    <m/>
    <n v="54"/>
    <m/>
    <m/>
    <m/>
    <m/>
    <m/>
    <m/>
    <m/>
    <n v="0"/>
    <n v="0"/>
    <n v="0"/>
    <n v="54"/>
    <n v="6"/>
    <n v="108"/>
    <n v="54"/>
    <n v="0"/>
    <n v="0"/>
    <n v="135"/>
    <n v="0"/>
    <n v="0"/>
    <n v="0"/>
    <n v="0"/>
    <n v="0"/>
    <n v="0"/>
    <n v="0"/>
    <n v="0"/>
    <s v=""/>
    <x v="1"/>
    <x v="2"/>
    <s v=""/>
    <s v=""/>
    <m/>
  </r>
  <r>
    <n v="-0.8666666666666667"/>
    <d v="2017-05-27T00:00:00"/>
    <x v="14"/>
    <s v="NRC"/>
    <s v="Shan_North"/>
    <s v="Kutkai"/>
    <s v="Man Loi"/>
    <m/>
    <m/>
    <m/>
    <n v="24"/>
    <n v="9"/>
    <n v="48"/>
    <n v="24"/>
    <m/>
    <m/>
    <n v="24"/>
    <m/>
    <m/>
    <m/>
    <m/>
    <m/>
    <m/>
    <m/>
    <n v="0"/>
    <n v="0"/>
    <n v="0"/>
    <n v="24"/>
    <n v="9"/>
    <n v="48"/>
    <n v="24"/>
    <n v="0"/>
    <n v="0"/>
    <n v="60"/>
    <n v="0"/>
    <n v="0"/>
    <n v="0"/>
    <n v="0"/>
    <n v="0"/>
    <n v="0"/>
    <n v="0"/>
    <n v="0"/>
    <s v="MMR015CMP246"/>
    <x v="0"/>
    <x v="0"/>
    <n v="0"/>
    <s v=""/>
    <m/>
  </r>
  <r>
    <n v="-0.9"/>
    <d v="2017-05-28T00:00:00"/>
    <x v="14"/>
    <s v="NRC"/>
    <s v="Shan_North"/>
    <s v="Kutkai"/>
    <s v="Mai Yu Lay Ta'ang"/>
    <m/>
    <m/>
    <m/>
    <n v="143"/>
    <n v="62"/>
    <n v="286"/>
    <n v="143"/>
    <m/>
    <m/>
    <n v="143"/>
    <m/>
    <m/>
    <m/>
    <m/>
    <m/>
    <m/>
    <m/>
    <n v="0"/>
    <n v="0"/>
    <n v="0"/>
    <n v="143"/>
    <n v="62"/>
    <n v="286"/>
    <n v="143"/>
    <n v="0"/>
    <n v="0"/>
    <n v="357.5"/>
    <n v="0"/>
    <n v="0"/>
    <n v="0"/>
    <n v="0"/>
    <n v="0"/>
    <n v="0"/>
    <n v="0"/>
    <n v="0"/>
    <s v="MMR015CMP220"/>
    <x v="2"/>
    <x v="0"/>
    <n v="0"/>
    <n v="3.3698597855543774E-3"/>
    <m/>
  </r>
  <r>
    <n v="-0.96666666666666667"/>
    <d v="2017-05-30T00:00:00"/>
    <x v="14"/>
    <s v="NRC"/>
    <s v="Shan_North"/>
    <s v="Namtu"/>
    <s v="Nam Tu Baptist"/>
    <m/>
    <m/>
    <m/>
    <n v="46"/>
    <n v="9"/>
    <n v="46"/>
    <n v="46"/>
    <m/>
    <m/>
    <n v="46"/>
    <m/>
    <m/>
    <m/>
    <m/>
    <m/>
    <m/>
    <m/>
    <n v="0"/>
    <n v="0"/>
    <n v="0"/>
    <n v="46"/>
    <n v="9"/>
    <n v="46"/>
    <n v="46"/>
    <n v="0"/>
    <n v="0"/>
    <n v="115"/>
    <n v="0"/>
    <n v="0"/>
    <n v="0"/>
    <n v="0"/>
    <n v="0"/>
    <n v="0"/>
    <n v="0"/>
    <n v="0"/>
    <s v="MMR015CMP014"/>
    <x v="0"/>
    <x v="0"/>
    <s v="P3"/>
    <n v="1.121951219512195E-3"/>
    <m/>
  </r>
  <r>
    <n v="-0.96666666666666667"/>
    <d v="2017-05-30T00:00:00"/>
    <x v="14"/>
    <s v="NRC"/>
    <s v="Shan_North"/>
    <s v="Namtu"/>
    <s v="Lisu Church Namtu"/>
    <m/>
    <m/>
    <m/>
    <n v="25"/>
    <n v="5"/>
    <n v="25"/>
    <n v="25"/>
    <m/>
    <m/>
    <n v="25"/>
    <m/>
    <m/>
    <m/>
    <m/>
    <m/>
    <m/>
    <m/>
    <n v="0"/>
    <n v="0"/>
    <n v="0"/>
    <n v="25"/>
    <n v="5"/>
    <n v="25"/>
    <n v="25"/>
    <n v="0"/>
    <n v="0"/>
    <n v="62.5"/>
    <n v="0"/>
    <n v="0"/>
    <n v="0"/>
    <n v="0"/>
    <n v="0"/>
    <n v="0"/>
    <n v="0"/>
    <n v="0"/>
    <s v="MMR015CMP232"/>
    <x v="0"/>
    <x v="0"/>
    <n v="0"/>
    <s v=""/>
    <m/>
  </r>
  <r>
    <n v="-0.96666666666666667"/>
    <d v="2017-05-30T00:00:00"/>
    <x v="14"/>
    <s v="NRC"/>
    <s v="Shan_North"/>
    <s v="Namtu"/>
    <s v="Pan Ta Pyae"/>
    <m/>
    <m/>
    <m/>
    <n v="16"/>
    <n v="3"/>
    <n v="16"/>
    <n v="16"/>
    <m/>
    <m/>
    <n v="16"/>
    <m/>
    <m/>
    <m/>
    <m/>
    <m/>
    <m/>
    <m/>
    <n v="0"/>
    <n v="0"/>
    <n v="0"/>
    <n v="16"/>
    <n v="3"/>
    <n v="16"/>
    <n v="16"/>
    <n v="0"/>
    <n v="0"/>
    <n v="40"/>
    <n v="0"/>
    <n v="0"/>
    <n v="0"/>
    <n v="0"/>
    <n v="0"/>
    <n v="0"/>
    <n v="0"/>
    <n v="0"/>
    <s v="MMR015CMP221"/>
    <x v="2"/>
    <x v="0"/>
    <n v="0"/>
    <n v="3.7762567854614113E-4"/>
    <m/>
  </r>
  <r>
    <n v="-0.96666666666666667"/>
    <d v="2017-05-30T00:00:00"/>
    <x v="14"/>
    <s v="NRC"/>
    <s v="Shan_North"/>
    <s v="Namtu"/>
    <s v="Kyu Sot"/>
    <m/>
    <m/>
    <m/>
    <n v="60"/>
    <m/>
    <n v="60"/>
    <n v="60"/>
    <m/>
    <m/>
    <n v="60"/>
    <m/>
    <m/>
    <m/>
    <m/>
    <m/>
    <m/>
    <m/>
    <n v="0"/>
    <n v="0"/>
    <n v="0"/>
    <n v="60"/>
    <n v="0"/>
    <n v="60"/>
    <n v="60"/>
    <n v="0"/>
    <n v="0"/>
    <n v="150"/>
    <n v="0"/>
    <n v="0"/>
    <n v="0"/>
    <n v="0"/>
    <n v="0"/>
    <n v="0"/>
    <n v="0"/>
    <n v="0"/>
    <s v="MMR015CMP248"/>
    <x v="2"/>
    <x v="0"/>
    <n v="0"/>
    <n v="1.402491760360908E-3"/>
    <m/>
  </r>
</pivotCacheRecords>
</file>

<file path=xl/pivotCache/pivotCacheRecords2.xml><?xml version="1.0" encoding="utf-8"?>
<pivotCacheRecords xmlns="http://schemas.openxmlformats.org/spreadsheetml/2006/main" xmlns:r="http://schemas.openxmlformats.org/officeDocument/2006/relationships" count="167">
  <r>
    <s v="MMR001CMP042"/>
    <x v="0"/>
    <s v="Chipwi KBC camp"/>
    <s v="Chipwi"/>
    <n v="108"/>
    <n v="529"/>
    <n v="79"/>
    <n v="152"/>
    <n v="0"/>
    <n v="137"/>
    <n v="0"/>
    <n v="108"/>
    <s v="No"/>
    <n v="0"/>
  </r>
  <r>
    <s v="MMR001CMP046"/>
    <x v="0"/>
    <s v="Gant Gwin"/>
    <s v="Chipwi"/>
    <n v="0"/>
    <n v="0"/>
    <n v="0"/>
    <n v="0"/>
    <n v="0"/>
    <n v="0"/>
    <n v="0"/>
    <n v="0"/>
    <s v=""/>
    <n v="0"/>
  </r>
  <r>
    <s v="MMR001CMP043"/>
    <x v="0"/>
    <s v="Hpare Hkyer - BP6"/>
    <s v="Chipwi"/>
    <n v="158"/>
    <n v="945"/>
    <n v="0"/>
    <n v="0"/>
    <n v="0"/>
    <n v="316"/>
    <n v="158"/>
    <n v="158"/>
    <s v=""/>
    <n v="0"/>
  </r>
  <r>
    <s v="MMR001CMP045"/>
    <x v="0"/>
    <s v="Lan Jaw "/>
    <s v="Chipwi"/>
    <n v="0"/>
    <n v="0"/>
    <n v="0"/>
    <n v="0"/>
    <n v="0"/>
    <n v="0"/>
    <n v="0"/>
    <n v="0"/>
    <s v=""/>
    <n v="0"/>
  </r>
  <r>
    <s v="MMR001CMP195"/>
    <x v="0"/>
    <s v="Lhaovao Baptist Church (LBC)"/>
    <s v="Chipwi"/>
    <n v="144"/>
    <n v="644"/>
    <n v="97"/>
    <n v="203"/>
    <n v="0"/>
    <n v="191"/>
    <n v="0"/>
    <n v="144"/>
    <s v="No"/>
    <n v="0"/>
  </r>
  <r>
    <s v="MMR001CMP225"/>
    <x v="0"/>
    <s v="Saw Zam"/>
    <s v="Chipwi"/>
    <n v="31"/>
    <n v="176"/>
    <n v="0"/>
    <n v="0"/>
    <n v="0"/>
    <n v="62"/>
    <n v="31"/>
    <n v="31"/>
    <s v=""/>
    <n v="0"/>
  </r>
  <r>
    <s v="MMR001CMP210"/>
    <x v="0"/>
    <s v="Pan Wa"/>
    <s v="Chipwi"/>
    <n v="57"/>
    <n v="262"/>
    <n v="0"/>
    <n v="0"/>
    <n v="0"/>
    <n v="114"/>
    <n v="57"/>
    <n v="57"/>
    <s v=""/>
    <n v="0"/>
  </r>
  <r>
    <s v="MMR001CMP115"/>
    <x v="0"/>
    <s v="Hkau Shau (BP 12)"/>
    <s v="Waingmaw"/>
    <n v="149"/>
    <n v="830"/>
    <n v="0"/>
    <n v="0"/>
    <n v="0"/>
    <n v="298"/>
    <n v="149"/>
    <n v="149"/>
    <s v=""/>
    <n v="0"/>
  </r>
  <r>
    <s v="MMR001CMP120"/>
    <x v="0"/>
    <s v="Pajau - Jan Mai"/>
    <s v="Waingmaw"/>
    <n v="186"/>
    <n v="585"/>
    <n v="0"/>
    <n v="0"/>
    <n v="0"/>
    <n v="372"/>
    <n v="186"/>
    <n v="186"/>
    <s v=""/>
    <n v="0"/>
  </r>
  <r>
    <s v="MMR001CMP160"/>
    <x v="0"/>
    <s v="Post 6 Camp"/>
    <s v="Waingmaw"/>
    <n v="100"/>
    <n v="612"/>
    <n v="0"/>
    <n v="0"/>
    <n v="0"/>
    <n v="200"/>
    <n v="100"/>
    <n v="100"/>
    <s v=""/>
    <n v="0"/>
  </r>
  <r>
    <s v="MMR001CMP113"/>
    <x v="0"/>
    <s v="Border Post 8"/>
    <s v="Waingmaw"/>
    <n v="152"/>
    <n v="584"/>
    <n v="0"/>
    <n v="0"/>
    <n v="0"/>
    <n v="304"/>
    <n v="152"/>
    <n v="152"/>
    <s v=""/>
    <n v="0"/>
  </r>
  <r>
    <s v="MMR001CMP041"/>
    <x v="0"/>
    <s v="Shing Jai"/>
    <s v="Waingmaw"/>
    <n v="184"/>
    <n v="966"/>
    <n v="0"/>
    <n v="0"/>
    <n v="0"/>
    <n v="368"/>
    <n v="184"/>
    <n v="184"/>
    <s v=""/>
    <n v="0"/>
  </r>
  <r>
    <s v="MMR001CMP131"/>
    <x v="0"/>
    <s v="Nhkawng Pa "/>
    <s v="Momauk"/>
    <n v="358"/>
    <n v="1655"/>
    <n v="0"/>
    <n v="0"/>
    <n v="0"/>
    <n v="716"/>
    <n v="358"/>
    <n v="358"/>
    <s v=""/>
    <n v="0"/>
  </r>
  <r>
    <s v="MMR015CMP006"/>
    <x v="0"/>
    <s v="Mungji Pa Dabang (Baptist Church)         "/>
    <s v="Kutkai"/>
    <n v="46"/>
    <n v="252"/>
    <n v="0"/>
    <n v="0"/>
    <n v="0"/>
    <n v="92"/>
    <n v="46"/>
    <n v="46"/>
    <s v=""/>
    <n v="0"/>
  </r>
  <r>
    <s v="MMR015CMP005"/>
    <x v="0"/>
    <s v="Mung Baw "/>
    <s v="Muse"/>
    <n v="0"/>
    <n v="0"/>
    <n v="0"/>
    <n v="0"/>
    <n v="0"/>
    <n v="0"/>
    <n v="0"/>
    <n v="0"/>
    <s v=""/>
    <n v="0"/>
  </r>
  <r>
    <s v="MMR015CMP012"/>
    <x v="0"/>
    <s v="Munekoe Pa (Giwang) - Hka San (Mung  Go  Pa ) "/>
    <s v="Muse"/>
    <n v="0"/>
    <n v="0"/>
    <n v="0"/>
    <n v="0"/>
    <n v="0"/>
    <n v="0"/>
    <n v="0"/>
    <n v="0"/>
    <s v=""/>
    <n v="0"/>
  </r>
  <r>
    <s v="MMR001CMP129"/>
    <x v="1"/>
    <s v="Bum Tsit Pa "/>
    <s v="Mansi"/>
    <n v="386"/>
    <n v="1902"/>
    <n v="0"/>
    <n v="0"/>
    <n v="0"/>
    <n v="772"/>
    <n v="386"/>
    <n v="386"/>
    <s v=""/>
    <n v="0"/>
  </r>
  <r>
    <s v="MMR001CMP226"/>
    <x v="1"/>
    <s v="Bum Tsit Pa Camp II"/>
    <s v="Mansi"/>
    <n v="0"/>
    <n v="0"/>
    <n v="0"/>
    <n v="0"/>
    <n v="0"/>
    <n v="0"/>
    <n v="0"/>
    <n v="0"/>
    <s v=""/>
    <n v="0"/>
  </r>
  <r>
    <s v="MMR001CMP128"/>
    <x v="1"/>
    <s v="Lana Zup Ja "/>
    <s v="Mansi"/>
    <n v="547"/>
    <n v="2576"/>
    <n v="0"/>
    <n v="0"/>
    <n v="0"/>
    <n v="1094"/>
    <n v="547"/>
    <n v="547"/>
    <s v=""/>
    <n v="0"/>
  </r>
  <r>
    <s v="MMR001CMP135"/>
    <x v="1"/>
    <s v="Lung Kawk  ( Hka Hkye Zup)"/>
    <s v="Mansi"/>
    <n v="0"/>
    <n v="0"/>
    <n v="0"/>
    <n v="0"/>
    <n v="0"/>
    <n v="0"/>
    <n v="0"/>
    <n v="0"/>
    <s v=""/>
    <n v="0"/>
  </r>
  <r>
    <s v="MMR001CMP122"/>
    <x v="1"/>
    <s v="Hpun Lum Yang "/>
    <s v="Momauk"/>
    <n v="718"/>
    <n v="3321"/>
    <n v="0"/>
    <n v="0"/>
    <n v="0"/>
    <n v="1436"/>
    <n v="718"/>
    <n v="718"/>
    <s v=""/>
    <n v="0"/>
  </r>
  <r>
    <s v="MMR001CMP121"/>
    <x v="1"/>
    <s v="Je Yang Hka "/>
    <s v="Momauk"/>
    <n v="1546"/>
    <n v="8610"/>
    <n v="0"/>
    <n v="0"/>
    <n v="0"/>
    <n v="3092"/>
    <n v="1546"/>
    <n v="1546"/>
    <s v=""/>
    <n v="0"/>
  </r>
  <r>
    <s v="MMR001CMP126"/>
    <x v="1"/>
    <s v="Pa Kahtawng "/>
    <s v="Momauk"/>
    <n v="597"/>
    <n v="3643"/>
    <n v="0"/>
    <n v="0"/>
    <n v="0"/>
    <n v="1194"/>
    <n v="597"/>
    <n v="597"/>
    <s v=""/>
    <n v="0"/>
  </r>
  <r>
    <s v="MMR001CMP123"/>
    <x v="1"/>
    <s v="Dum Bung "/>
    <s v="Momauk"/>
    <n v="103"/>
    <n v="461"/>
    <n v="0"/>
    <n v="0"/>
    <n v="0"/>
    <n v="206"/>
    <n v="103"/>
    <n v="103"/>
    <s v=""/>
    <n v="0"/>
  </r>
  <r>
    <s v="MMR001CMP208"/>
    <x v="1"/>
    <s v="IDP Boarding School, A Len Bum"/>
    <s v="Waingmaw"/>
    <n v="0"/>
    <n v="1047"/>
    <n v="0"/>
    <n v="0"/>
    <n v="0"/>
    <n v="0"/>
    <n v="0"/>
    <n v="0"/>
    <s v=""/>
    <n v="0"/>
  </r>
  <r>
    <s v="MMR001CMP117"/>
    <x v="1"/>
    <s v="Laiza Market 3 - Laiza Gat"/>
    <s v="Waingmaw"/>
    <n v="0"/>
    <n v="0"/>
    <n v="0"/>
    <n v="0"/>
    <n v="0"/>
    <n v="0"/>
    <n v="0"/>
    <n v="0"/>
    <s v=""/>
    <n v="0"/>
  </r>
  <r>
    <s v="MMR001CMP111"/>
    <x v="1"/>
    <s v="Zai Awng - Mung Ga Zup"/>
    <s v="Waingmaw"/>
    <n v="0"/>
    <n v="0"/>
    <n v="0"/>
    <n v="0"/>
    <n v="0"/>
    <n v="0"/>
    <n v="0"/>
    <n v="0"/>
    <s v=""/>
    <n v="0"/>
  </r>
  <r>
    <s v="MMR001CMP119"/>
    <x v="1"/>
    <s v="Maga Yang "/>
    <s v="Waingmaw"/>
    <n v="431"/>
    <n v="1920"/>
    <n v="0"/>
    <n v="0"/>
    <n v="0"/>
    <n v="862"/>
    <n v="431"/>
    <n v="431"/>
    <s v=""/>
    <n v="0"/>
  </r>
  <r>
    <s v="MMR015CMP009"/>
    <x v="1"/>
    <s v="Mandung - Jinghpaw"/>
    <s v="Manton"/>
    <n v="35"/>
    <n v="178"/>
    <n v="0"/>
    <n v="0"/>
    <n v="0"/>
    <n v="70"/>
    <n v="35"/>
    <n v="35"/>
    <s v=""/>
    <n v="0"/>
  </r>
  <r>
    <s v="MMR015CMP139"/>
    <x v="1"/>
    <s v="Nam Hkawng"/>
    <s v="Muse"/>
    <n v="9"/>
    <n v="44"/>
    <n v="0"/>
    <n v="0"/>
    <n v="0"/>
    <n v="18"/>
    <n v="9"/>
    <n v="9"/>
    <s v=""/>
    <n v="0"/>
  </r>
  <r>
    <s v="MMR001CMP071"/>
    <x v="2"/>
    <s v="Loi Je Baptist Church"/>
    <s v="Momauk"/>
    <n v="39"/>
    <n v="234"/>
    <n v="0"/>
    <n v="0"/>
    <n v="0"/>
    <n v="78"/>
    <n v="39"/>
    <n v="39"/>
    <s v=""/>
    <n v="0"/>
  </r>
  <r>
    <s v="MMR001CMP069"/>
    <x v="2"/>
    <s v="Loi Je Catholic Church"/>
    <s v="Momauk"/>
    <n v="103"/>
    <n v="495"/>
    <n v="0"/>
    <n v="0"/>
    <n v="0"/>
    <n v="206"/>
    <n v="103"/>
    <n v="103"/>
    <s v=""/>
    <n v="0"/>
  </r>
  <r>
    <s v="MMR001CMP070"/>
    <x v="2"/>
    <s v="Loi Je Lisu Camp"/>
    <s v="Momauk"/>
    <n v="194"/>
    <n v="1071"/>
    <n v="0"/>
    <n v="0"/>
    <n v="0"/>
    <n v="388"/>
    <n v="194"/>
    <n v="194"/>
    <s v=""/>
    <n v="0"/>
  </r>
  <r>
    <s v="MMR001CMP073"/>
    <x v="2"/>
    <s v="Seng Ja "/>
    <s v="Momauk"/>
    <n v="41"/>
    <n v="245"/>
    <n v="0"/>
    <n v="0"/>
    <n v="0"/>
    <n v="82"/>
    <n v="41"/>
    <n v="41"/>
    <s v=""/>
    <n v="0"/>
  </r>
  <r>
    <s v="MMR001CMP072"/>
    <x v="2"/>
    <s v="Nyaung Na Pin "/>
    <s v="Momauk"/>
    <n v="49"/>
    <n v="300"/>
    <n v="0"/>
    <n v="0"/>
    <n v="0"/>
    <n v="98"/>
    <n v="49"/>
    <n v="49"/>
    <s v=""/>
    <n v="0"/>
  </r>
  <r>
    <s v="MMR001CMP221"/>
    <x v="2"/>
    <s v="Machanbaw - KBC"/>
    <s v="Machanbaw"/>
    <n v="0"/>
    <n v="0"/>
    <n v="0"/>
    <n v="0"/>
    <n v="0"/>
    <n v="0"/>
    <n v="0"/>
    <n v="0"/>
    <s v=""/>
    <n v="0"/>
  </r>
  <r>
    <s v="MMR001CMP227"/>
    <x v="2"/>
    <s v="Inn Lel Yan - Host Families"/>
    <s v="Puta-O"/>
    <n v="10"/>
    <n v="56"/>
    <n v="0"/>
    <n v="0"/>
    <n v="0"/>
    <n v="20"/>
    <n v="10"/>
    <n v="10"/>
    <s v=""/>
    <n v="0"/>
  </r>
  <r>
    <s v="MMR001CMP220"/>
    <x v="2"/>
    <s v="Naung Khaing"/>
    <s v="Puta-O"/>
    <n v="0"/>
    <n v="0"/>
    <n v="0"/>
    <n v="0"/>
    <n v="0"/>
    <n v="0"/>
    <n v="0"/>
    <n v="0"/>
    <s v=""/>
    <n v="0"/>
  </r>
  <r>
    <s v="MMR001CMP075"/>
    <x v="2"/>
    <s v="Tote Tan Ward"/>
    <s v="Puta-O"/>
    <n v="14"/>
    <n v="75"/>
    <n v="0"/>
    <n v="0"/>
    <n v="0"/>
    <n v="28"/>
    <n v="14"/>
    <n v="14"/>
    <s v=""/>
    <n v="0"/>
  </r>
  <r>
    <s v="MMR015CMP015"/>
    <x v="2"/>
    <s v="Kone Khem Camp"/>
    <s v="Kutkai"/>
    <n v="0"/>
    <n v="0"/>
    <n v="0"/>
    <n v="0"/>
    <n v="0"/>
    <n v="0"/>
    <n v="0"/>
    <n v="0"/>
    <s v=""/>
    <n v="0"/>
  </r>
  <r>
    <s v="MMR015CMP016"/>
    <x v="2"/>
    <s v="Kutkai downtown (KBC Church)"/>
    <s v="Kutkai"/>
    <n v="57"/>
    <n v="280"/>
    <n v="0"/>
    <n v="0"/>
    <n v="0"/>
    <n v="114"/>
    <n v="57"/>
    <n v="57"/>
    <s v=""/>
    <n v="0"/>
  </r>
  <r>
    <s v="MMR015CMP017"/>
    <x v="2"/>
    <s v="Kutkai downtown (RC Church)"/>
    <s v="Kutkai"/>
    <n v="30"/>
    <n v="145"/>
    <n v="540"/>
    <n v="0"/>
    <n v="0"/>
    <n v="0"/>
    <n v="30"/>
    <n v="30"/>
    <s v="No"/>
    <n v="0"/>
  </r>
  <r>
    <s v="MMR015CMP018"/>
    <x v="2"/>
    <s v="Mine Yu Lay village"/>
    <s v="Kutkai"/>
    <n v="68"/>
    <n v="305"/>
    <n v="0"/>
    <n v="0"/>
    <n v="0"/>
    <n v="136"/>
    <n v="68"/>
    <n v="68"/>
    <s v=""/>
    <n v="0"/>
  </r>
  <r>
    <s v="MMR015CMP007"/>
    <x v="2"/>
    <s v="Nam Hpak Ka Mare "/>
    <s v="Kutkai"/>
    <n v="63"/>
    <n v="279"/>
    <n v="0"/>
    <n v="0"/>
    <n v="0"/>
    <n v="126"/>
    <n v="63"/>
    <n v="63"/>
    <s v=""/>
    <n v="0"/>
  </r>
  <r>
    <s v="MMR015CMP020"/>
    <x v="2"/>
    <s v="Zup Aung Camp"/>
    <s v="Kutkai"/>
    <n v="186"/>
    <n v="951"/>
    <n v="0"/>
    <n v="0"/>
    <n v="0"/>
    <n v="372"/>
    <n v="186"/>
    <n v="186"/>
    <s v=""/>
    <n v="0"/>
  </r>
  <r>
    <s v="MMR015CMP209"/>
    <x v="2"/>
    <s v="Mandung - RC"/>
    <s v="Manton"/>
    <n v="29"/>
    <n v="178"/>
    <n v="0"/>
    <n v="0"/>
    <n v="0"/>
    <n v="58"/>
    <n v="29"/>
    <n v="29"/>
    <s v=""/>
    <n v="0"/>
  </r>
  <r>
    <s v="MMR015CMP010"/>
    <x v="2"/>
    <s v="Howa"/>
    <s v="Muse"/>
    <n v="0"/>
    <n v="0"/>
    <n v="0"/>
    <n v="0"/>
    <n v="0"/>
    <n v="0"/>
    <n v="0"/>
    <n v="0"/>
    <s v=""/>
    <n v="0"/>
  </r>
  <r>
    <s v="MMR015CMP011"/>
    <x v="2"/>
    <s v="Nam Hkyet"/>
    <s v="Muse"/>
    <n v="0"/>
    <n v="0"/>
    <n v="0"/>
    <n v="0"/>
    <n v="0"/>
    <n v="0"/>
    <n v="0"/>
    <n v="0"/>
    <s v=""/>
    <n v="0"/>
  </r>
  <r>
    <s v="MMR015CMP004"/>
    <x v="2"/>
    <s v="Nam Hkam - Nay Win Ni (Palawng)"/>
    <s v="Namhkan"/>
    <n v="74"/>
    <n v="387"/>
    <n v="0"/>
    <n v="0"/>
    <n v="0"/>
    <n v="148"/>
    <n v="74"/>
    <n v="74"/>
    <s v=""/>
    <n v="0"/>
  </r>
  <r>
    <s v="MMR015CMP001"/>
    <x v="2"/>
    <s v="Nam Hkam (KBC Jaw Wang)"/>
    <s v="Namhkan"/>
    <n v="67"/>
    <n v="357"/>
    <n v="0"/>
    <n v="0"/>
    <n v="0"/>
    <n v="134"/>
    <n v="67"/>
    <n v="67"/>
    <s v=""/>
    <n v="0"/>
  </r>
  <r>
    <s v="MMR015CMP003"/>
    <x v="2"/>
    <s v="Nam Hkam Catholic Church ( St. Thomas I)"/>
    <s v="Namhkan"/>
    <n v="44"/>
    <n v="214"/>
    <n v="0"/>
    <n v="0"/>
    <n v="0"/>
    <n v="88"/>
    <n v="44"/>
    <n v="44"/>
    <s v=""/>
    <n v="0"/>
  </r>
  <r>
    <s v="MMR015CMP014"/>
    <x v="2"/>
    <s v="Nam Tu Baptist"/>
    <s v="Namtu"/>
    <n v="44"/>
    <n v="186"/>
    <n v="0"/>
    <n v="0"/>
    <n v="0"/>
    <n v="88"/>
    <n v="44"/>
    <n v="44"/>
    <s v=""/>
    <n v="0"/>
  </r>
  <r>
    <s v="MMR015CMP210"/>
    <x v="2"/>
    <s v="Nam Tu RC"/>
    <s v="Namtu"/>
    <n v="118"/>
    <n v="520"/>
    <n v="0"/>
    <n v="0"/>
    <n v="0"/>
    <n v="236"/>
    <n v="118"/>
    <n v="118"/>
    <s v=""/>
    <n v="0"/>
  </r>
  <r>
    <s v="MMR001CMP179"/>
    <x v="3"/>
    <s v="5 Ward Baptist Church(lon Khin)"/>
    <s v="Hpakant"/>
    <n v="66"/>
    <n v="362"/>
    <n v="0"/>
    <n v="0"/>
    <n v="0"/>
    <n v="132"/>
    <n v="66"/>
    <n v="66"/>
    <s v=""/>
    <n v="0"/>
  </r>
  <r>
    <s v="MMR001CMP168"/>
    <x v="3"/>
    <s v="5 Ward RC Church(lon Khin)"/>
    <s v="Hpakant"/>
    <n v="72"/>
    <n v="347"/>
    <n v="0"/>
    <n v="0"/>
    <n v="0"/>
    <n v="144"/>
    <n v="72"/>
    <n v="72"/>
    <s v=""/>
    <n v="0"/>
  </r>
  <r>
    <s v="MMR001CMP050"/>
    <x v="3"/>
    <s v="AD-2000 Tharthana Compound"/>
    <s v="Bhamo"/>
    <n v="257"/>
    <n v="1266"/>
    <n v="0"/>
    <n v="0"/>
    <n v="0"/>
    <n v="514"/>
    <n v="257"/>
    <n v="257"/>
    <s v=""/>
    <n v="0"/>
  </r>
  <r>
    <s v="MMR001CMP176"/>
    <x v="3"/>
    <s v="AG Church, Hmaw Si Sa"/>
    <s v="Hpakant"/>
    <n v="66"/>
    <n v="356"/>
    <n v="0"/>
    <n v="0"/>
    <n v="0"/>
    <n v="132"/>
    <n v="66"/>
    <n v="66"/>
    <s v=""/>
    <n v="0"/>
  </r>
  <r>
    <s v="MMR001CMP190"/>
    <x v="3"/>
    <s v="AG Church, Maw Wan"/>
    <s v="Hpakant"/>
    <n v="14"/>
    <n v="81"/>
    <n v="0"/>
    <n v="0"/>
    <n v="0"/>
    <n v="28"/>
    <n v="14"/>
    <n v="14"/>
    <s v=""/>
    <n v="0"/>
  </r>
  <r>
    <s v="MMR001CMP194"/>
    <x v="3"/>
    <s v="Aung Thar Church"/>
    <s v="Bhamo"/>
    <n v="12"/>
    <n v="55"/>
    <n v="0"/>
    <n v="0"/>
    <n v="0"/>
    <n v="24"/>
    <n v="12"/>
    <n v="12"/>
    <s v=""/>
    <n v="0"/>
  </r>
  <r>
    <s v="MMR001CMP216"/>
    <x v="3"/>
    <s v="Ban Hkung Yang"/>
    <s v="Mansi"/>
    <n v="0"/>
    <n v="0"/>
    <n v="0"/>
    <n v="0"/>
    <n v="0"/>
    <n v="0"/>
    <n v="0"/>
    <n v="0"/>
    <s v=""/>
    <n v="0"/>
  </r>
  <r>
    <s v="MMR001CMP169"/>
    <x v="3"/>
    <s v="Baptist Church, Hmaw Si Sar(Lon Khin)"/>
    <s v="Hpakant"/>
    <n v="38"/>
    <n v="231"/>
    <n v="0"/>
    <n v="0"/>
    <n v="0"/>
    <n v="76"/>
    <n v="38"/>
    <n v="38"/>
    <s v=""/>
    <n v="0"/>
  </r>
  <r>
    <s v="MMR001CMP188"/>
    <x v="3"/>
    <s v="Baptist Church, Naung Hmee VT"/>
    <s v="Hpakant"/>
    <n v="0"/>
    <n v="0"/>
    <n v="0"/>
    <n v="0"/>
    <n v="0"/>
    <n v="0"/>
    <n v="0"/>
    <n v="0"/>
    <s v=""/>
    <n v="0"/>
  </r>
  <r>
    <s v="MMR001CMP109"/>
    <x v="3"/>
    <s v="Chin Church, Seik Mu"/>
    <s v="Hpakant"/>
    <n v="6"/>
    <n v="30"/>
    <n v="0"/>
    <n v="0"/>
    <n v="0"/>
    <n v="12"/>
    <n v="6"/>
    <n v="6"/>
    <s v=""/>
    <n v="0"/>
  </r>
  <r>
    <s v="MMR001CMP174"/>
    <x v="3"/>
    <s v="Dhama Rakhita, Nyein Chan Tar Yar Ward(Lon Khin)"/>
    <s v="Hpakant"/>
    <n v="70"/>
    <n v="347"/>
    <n v="0"/>
    <n v="0"/>
    <n v="0"/>
    <n v="140"/>
    <n v="70"/>
    <n v="70"/>
    <s v=""/>
    <n v="0"/>
  </r>
  <r>
    <s v="MMR001CMP012"/>
    <x v="3"/>
    <s v="Du Kahtawng Qtr. 14"/>
    <s v="Myitkyina"/>
    <n v="6"/>
    <n v="32"/>
    <n v="0"/>
    <n v="0"/>
    <n v="0"/>
    <n v="12"/>
    <n v="6"/>
    <n v="6"/>
    <s v=""/>
    <n v="0"/>
  </r>
  <r>
    <s v="MMR001CMP010"/>
    <x v="3"/>
    <s v="Du Kahtawng Qtr. 4"/>
    <s v="Myitkyina"/>
    <n v="7"/>
    <n v="46"/>
    <n v="0"/>
    <n v="0"/>
    <n v="0"/>
    <n v="14"/>
    <n v="7"/>
    <n v="7"/>
    <s v=""/>
    <n v="0"/>
  </r>
  <r>
    <s v="MMR001CMP011"/>
    <x v="3"/>
    <s v="Du Kahtawng Qtr. 5"/>
    <s v="Myitkyina"/>
    <n v="31"/>
    <n v="118"/>
    <n v="0"/>
    <n v="0"/>
    <n v="0"/>
    <n v="62"/>
    <n v="31"/>
    <n v="31"/>
    <s v=""/>
    <n v="0"/>
  </r>
  <r>
    <s v="MMR001CMP028"/>
    <x v="3"/>
    <s v="Hkat Cho "/>
    <s v="Waingmaw"/>
    <n v="102"/>
    <n v="502"/>
    <n v="0"/>
    <n v="0"/>
    <n v="0"/>
    <n v="204"/>
    <n v="102"/>
    <n v="102"/>
    <s v=""/>
    <n v="0"/>
  </r>
  <r>
    <s v="MMR001CMP148"/>
    <x v="3"/>
    <s v="Hlaing Naung Baptist"/>
    <s v="Hpakant"/>
    <n v="13"/>
    <n v="45"/>
    <n v="0"/>
    <n v="0"/>
    <n v="0"/>
    <n v="26"/>
    <n v="13"/>
    <n v="13"/>
    <s v=""/>
    <n v="0"/>
  </r>
  <r>
    <s v="MMR001CMP191"/>
    <x v="3"/>
    <s v="Hmaw Wan, Anglican"/>
    <s v="Hpakant"/>
    <n v="4"/>
    <n v="26"/>
    <n v="0"/>
    <n v="0"/>
    <n v="0"/>
    <n v="8"/>
    <n v="4"/>
    <n v="4"/>
    <s v=""/>
    <n v="0"/>
  </r>
  <r>
    <s v="MMR001CMP163"/>
    <x v="3"/>
    <s v="Host Families"/>
    <s v="Bhamo"/>
    <n v="197"/>
    <n v="957"/>
    <n v="0"/>
    <n v="0"/>
    <n v="0"/>
    <n v="394"/>
    <n v="197"/>
    <n v="197"/>
    <s v=""/>
    <n v="0"/>
  </r>
  <r>
    <s v="MMR001CMP196"/>
    <x v="3"/>
    <s v="Host Families"/>
    <s v="Mansi"/>
    <n v="73"/>
    <n v="274"/>
    <n v="0"/>
    <n v="0"/>
    <n v="0"/>
    <n v="146"/>
    <n v="73"/>
    <n v="73"/>
    <s v=""/>
    <n v="0"/>
  </r>
  <r>
    <s v="MMR001CMP197"/>
    <x v="3"/>
    <s v="Host Families"/>
    <s v="Momauk"/>
    <n v="226"/>
    <n v="1048"/>
    <n v="0"/>
    <n v="0"/>
    <n v="0"/>
    <n v="452"/>
    <n v="226"/>
    <n v="226"/>
    <s v=""/>
    <n v="0"/>
  </r>
  <r>
    <s v="MMR001CMP199"/>
    <x v="3"/>
    <s v="Host Families"/>
    <s v="Shwegu"/>
    <n v="9"/>
    <n v="30"/>
    <n v="0"/>
    <n v="0"/>
    <n v="0"/>
    <n v="18"/>
    <n v="9"/>
    <n v="9"/>
    <s v=""/>
    <n v="0"/>
  </r>
  <r>
    <s v="MMR015CMP022"/>
    <x v="3"/>
    <s v="Hpai Kawng Mare"/>
    <s v="Muse"/>
    <n v="32"/>
    <n v="187"/>
    <n v="0"/>
    <n v="0"/>
    <n v="0"/>
    <n v="64"/>
    <n v="32"/>
    <n v="32"/>
    <s v=""/>
    <n v="0"/>
  </r>
  <r>
    <s v="MMR001CMP229"/>
    <x v="3"/>
    <s v="Hpakant Baptist Church, Nam Ma Hpit"/>
    <s v="Hpakant"/>
    <n v="103"/>
    <n v="497"/>
    <n v="0"/>
    <n v="0"/>
    <n v="0"/>
    <n v="206"/>
    <n v="103"/>
    <n v="103"/>
    <s v=""/>
    <n v="0"/>
  </r>
  <r>
    <s v="MMR001CMP052"/>
    <x v="3"/>
    <s v="Htoi San Church"/>
    <s v="Bhamo"/>
    <n v="38"/>
    <n v="214"/>
    <n v="0"/>
    <n v="0"/>
    <n v="0"/>
    <n v="76"/>
    <n v="38"/>
    <n v="38"/>
    <s v=""/>
    <n v="0"/>
  </r>
  <r>
    <s v="MMR001CMP018"/>
    <x v="3"/>
    <s v="Jan Mai Kawng Baptist Church"/>
    <s v="Myitkyina"/>
    <n v="200"/>
    <n v="1112"/>
    <n v="0"/>
    <n v="0"/>
    <n v="0"/>
    <n v="400"/>
    <n v="200"/>
    <n v="200"/>
    <s v=""/>
    <n v="0"/>
  </r>
  <r>
    <s v="MMR001CMP019"/>
    <x v="3"/>
    <s v="Jan Mai Kawng Catholic Church"/>
    <s v="Myitkyina"/>
    <n v="122"/>
    <n v="595"/>
    <n v="0"/>
    <n v="0"/>
    <n v="0"/>
    <n v="244"/>
    <n v="122"/>
    <n v="122"/>
    <s v=""/>
    <n v="0"/>
  </r>
  <r>
    <s v="MMR001CMP200"/>
    <x v="3"/>
    <s v="Khun Sint Village"/>
    <s v="Momauk"/>
    <n v="4"/>
    <n v="26"/>
    <n v="0"/>
    <n v="0"/>
    <n v="0"/>
    <n v="8"/>
    <n v="4"/>
    <n v="4"/>
    <s v=""/>
    <n v="0"/>
  </r>
  <r>
    <s v="MMR001CMP013"/>
    <x v="3"/>
    <s v="Kyun Pin Thar Baptist Church"/>
    <s v="Myitkyina"/>
    <n v="42"/>
    <n v="186"/>
    <n v="0"/>
    <n v="0"/>
    <n v="0"/>
    <n v="84"/>
    <n v="42"/>
    <n v="42"/>
    <s v=""/>
    <n v="0"/>
  </r>
  <r>
    <s v="MMR001CMP078"/>
    <x v="3"/>
    <s v="Kyun Taw Baptist Church "/>
    <s v="Mogaung"/>
    <n v="13"/>
    <n v="66"/>
    <n v="0"/>
    <n v="0"/>
    <n v="0"/>
    <n v="26"/>
    <n v="13"/>
    <n v="13"/>
    <s v=""/>
    <n v="0"/>
  </r>
  <r>
    <s v="MMR001CMP074"/>
    <x v="3"/>
    <s v="La Ja"/>
    <s v="Khaunglanhpu"/>
    <n v="0"/>
    <n v="0"/>
    <n v="0"/>
    <n v="0"/>
    <n v="0"/>
    <n v="0"/>
    <n v="0"/>
    <n v="0"/>
    <s v=""/>
    <n v="0"/>
  </r>
  <r>
    <s v="MMR001CMP202"/>
    <x v="3"/>
    <s v="Lagatyan "/>
    <s v="Mansi"/>
    <n v="0"/>
    <n v="0"/>
    <n v="0"/>
    <n v="0"/>
    <n v="0"/>
    <n v="0"/>
    <n v="0"/>
    <n v="0"/>
    <s v=""/>
    <n v="0"/>
  </r>
  <r>
    <s v="MMR001CMP149"/>
    <x v="3"/>
    <s v="Laiza Muklum Hpyen  Yen Mungshawa ni"/>
    <s v="Waingmaw"/>
    <n v="355"/>
    <n v="4450"/>
    <n v="0"/>
    <n v="0"/>
    <n v="0"/>
    <n v="710"/>
    <n v="355"/>
    <n v="355"/>
    <s v=""/>
    <n v="0"/>
  </r>
  <r>
    <s v="MMR001CMP147"/>
    <x v="3"/>
    <s v="Lawk Awng Mare D. (Sinbo Area)"/>
    <s v="Shwegu"/>
    <n v="375"/>
    <n v="1691"/>
    <n v="0"/>
    <n v="0"/>
    <n v="0"/>
    <n v="750"/>
    <n v="375"/>
    <n v="375"/>
    <s v=""/>
    <n v="0"/>
  </r>
  <r>
    <s v="MMR001CMP015"/>
    <x v="3"/>
    <s v="Le Kone Bethlehem Church"/>
    <s v="Myitkyina"/>
    <n v="105"/>
    <n v="580"/>
    <n v="0"/>
    <n v="0"/>
    <n v="0"/>
    <n v="210"/>
    <n v="105"/>
    <n v="105"/>
    <s v=""/>
    <n v="0"/>
  </r>
  <r>
    <s v="MMR001CMP014"/>
    <x v="3"/>
    <s v="Le Kone Ziun Baptist Church "/>
    <s v="Myitkyina"/>
    <n v="139"/>
    <n v="705"/>
    <n v="0"/>
    <n v="0"/>
    <n v="0"/>
    <n v="278"/>
    <n v="139"/>
    <n v="139"/>
    <s v=""/>
    <n v="0"/>
  </r>
  <r>
    <s v="MMR001CMP181"/>
    <x v="3"/>
    <s v="Lisu Baptist Church, Maw Shan Vil,. Seik Mu"/>
    <s v="Hpakant"/>
    <n v="20"/>
    <n v="109"/>
    <n v="0"/>
    <n v="0"/>
    <n v="0"/>
    <n v="40"/>
    <n v="20"/>
    <n v="20"/>
    <s v=""/>
    <n v="0"/>
  </r>
  <r>
    <s v="MMR001CMP167"/>
    <x v="3"/>
    <s v="Lisu Baptist Church, Maw Wan Ward"/>
    <s v="Hpakant"/>
    <n v="12"/>
    <n v="62"/>
    <n v="0"/>
    <n v="0"/>
    <n v="0"/>
    <n v="24"/>
    <n v="12"/>
    <n v="12"/>
    <s v=""/>
    <n v="0"/>
  </r>
  <r>
    <s v="MMR001CMP049"/>
    <x v="3"/>
    <s v="Lisu Boarding-House"/>
    <s v="Bhamo"/>
    <n v="130"/>
    <n v="747"/>
    <n v="0"/>
    <n v="0"/>
    <n v="0"/>
    <n v="260"/>
    <n v="130"/>
    <n v="130"/>
    <s v=""/>
    <n v="0"/>
  </r>
  <r>
    <s v="MMR001CMP027"/>
    <x v="3"/>
    <s v="Mading Baptist Church"/>
    <s v="Waingmaw"/>
    <n v="30"/>
    <n v="261"/>
    <n v="0"/>
    <n v="0"/>
    <n v="0"/>
    <n v="60"/>
    <n v="30"/>
    <n v="30"/>
    <s v=""/>
    <n v="0"/>
  </r>
  <r>
    <s v="MMR001CMP064"/>
    <x v="3"/>
    <s v="Mai Khat "/>
    <s v="Momauk"/>
    <n v="49"/>
    <n v="300"/>
    <n v="0"/>
    <n v="0"/>
    <n v="0"/>
    <n v="98"/>
    <n v="49"/>
    <n v="49"/>
    <s v=""/>
    <n v="0"/>
  </r>
  <r>
    <s v="MMR001CMP031"/>
    <x v="3"/>
    <s v="Maina AG Church"/>
    <s v="Waingmaw"/>
    <n v="289"/>
    <n v="1584"/>
    <n v="0"/>
    <n v="0"/>
    <n v="0"/>
    <n v="578"/>
    <n v="289"/>
    <n v="289"/>
    <s v=""/>
    <n v="0"/>
  </r>
  <r>
    <s v="MMR001CMP029"/>
    <x v="3"/>
    <s v="Maina Catholic Church (St. Joseph)"/>
    <s v="Waingmaw"/>
    <n v="282"/>
    <n v="1466"/>
    <n v="0"/>
    <n v="0"/>
    <n v="0"/>
    <n v="564"/>
    <n v="282"/>
    <n v="282"/>
    <s v=""/>
    <n v="0"/>
  </r>
  <r>
    <s v="MMR001CMP040"/>
    <x v="3"/>
    <s v="Maina KBC (Bawng Ring)"/>
    <s v="Waingmaw"/>
    <n v="498"/>
    <n v="2531"/>
    <n v="0"/>
    <n v="0"/>
    <n v="0"/>
    <n v="996"/>
    <n v="498"/>
    <n v="498"/>
    <s v=""/>
    <n v="0"/>
  </r>
  <r>
    <s v="MMR001CMP039"/>
    <x v="3"/>
    <s v="Maina Lawang Baptist Church"/>
    <s v="Waingmaw"/>
    <n v="45"/>
    <n v="190"/>
    <n v="0"/>
    <n v="0"/>
    <n v="0"/>
    <n v="90"/>
    <n v="45"/>
    <n v="45"/>
    <s v=""/>
    <n v="0"/>
  </r>
  <r>
    <s v="MMR001CMP218"/>
    <x v="3"/>
    <s v="Maing Khaung"/>
    <s v="Mansi"/>
    <n v="403"/>
    <n v="1855"/>
    <n v="0"/>
    <n v="0"/>
    <n v="0"/>
    <n v="806"/>
    <n v="403"/>
    <n v="403"/>
    <s v=""/>
    <n v="0"/>
  </r>
  <r>
    <s v="MMR001CMP223"/>
    <x v="3"/>
    <s v="Maing Khaung Catholic Church"/>
    <s v="Mansi"/>
    <n v="174"/>
    <n v="779"/>
    <n v="144"/>
    <n v="0"/>
    <n v="0"/>
    <n v="204"/>
    <n v="174"/>
    <n v="174"/>
    <s v="No"/>
    <n v="0"/>
  </r>
  <r>
    <s v="MMR001CMP016"/>
    <x v="3"/>
    <s v="Maliyang Baptist Church"/>
    <s v="Myitkyina"/>
    <n v="62"/>
    <n v="309"/>
    <n v="0"/>
    <n v="0"/>
    <n v="0"/>
    <n v="124"/>
    <n v="62"/>
    <n v="62"/>
    <s v=""/>
    <n v="0"/>
  </r>
  <r>
    <s v="MMR001CMP062"/>
    <x v="3"/>
    <s v="Man Bung Catholic compound"/>
    <s v="Momauk"/>
    <n v="265"/>
    <n v="1183"/>
    <n v="0"/>
    <n v="0"/>
    <n v="0"/>
    <n v="530"/>
    <n v="265"/>
    <n v="265"/>
    <s v=""/>
    <n v="0"/>
  </r>
  <r>
    <s v="MMR001CMP008"/>
    <x v="3"/>
    <s v="Man Hkring Baptist Church"/>
    <s v="Myitkyina"/>
    <n v="104"/>
    <n v="574"/>
    <n v="0"/>
    <n v="0"/>
    <n v="0"/>
    <n v="208"/>
    <n v="104"/>
    <n v="104"/>
    <s v=""/>
    <n v="0"/>
  </r>
  <r>
    <s v="MMR001CMP063"/>
    <x v="3"/>
    <s v="Man Nawng "/>
    <s v="Momauk"/>
    <n v="28"/>
    <n v="136"/>
    <n v="0"/>
    <n v="0"/>
    <n v="0"/>
    <n v="56"/>
    <n v="28"/>
    <n v="28"/>
    <s v=""/>
    <n v="0"/>
  </r>
  <r>
    <s v="MMR001CMP198"/>
    <x v="3"/>
    <s v="Man Ting"/>
    <s v="Momauk"/>
    <n v="0"/>
    <n v="0"/>
    <n v="0"/>
    <n v="0"/>
    <n v="0"/>
    <n v="0"/>
    <n v="0"/>
    <n v="0"/>
    <s v=""/>
    <n v="0"/>
  </r>
  <r>
    <s v="MMR001CMP133"/>
    <x v="3"/>
    <s v="Man Wing Baptist Church"/>
    <s v="Mansi"/>
    <n v="98"/>
    <n v="524"/>
    <n v="0"/>
    <n v="0"/>
    <n v="0"/>
    <n v="196"/>
    <n v="98"/>
    <n v="98"/>
    <s v=""/>
    <n v="0"/>
  </r>
  <r>
    <s v="MMR001CMP132"/>
    <x v="3"/>
    <s v="Man Wing Catholic Church"/>
    <s v="Mansi"/>
    <n v="449"/>
    <n v="2252"/>
    <n v="0"/>
    <n v="0"/>
    <n v="0"/>
    <n v="898"/>
    <n v="449"/>
    <n v="449"/>
    <s v=""/>
    <n v="0"/>
  </r>
  <r>
    <s v="MMR001CMP228"/>
    <x v="3"/>
    <s v="Man Wing Catholic Church II"/>
    <s v="Mansi"/>
    <n v="145"/>
    <n v="654"/>
    <n v="0"/>
    <n v="0"/>
    <n v="0"/>
    <n v="290"/>
    <n v="145"/>
    <n v="145"/>
    <s v=""/>
    <n v="0"/>
  </r>
  <r>
    <s v="MMR001CMP134"/>
    <x v="3"/>
    <s v="Man Wing Host Families"/>
    <s v="Mansi"/>
    <n v="175"/>
    <n v="834"/>
    <n v="0"/>
    <n v="0"/>
    <n v="0"/>
    <n v="350"/>
    <n v="175"/>
    <n v="175"/>
    <s v=""/>
    <n v="0"/>
  </r>
  <r>
    <s v="MMR001CMP058"/>
    <x v="3"/>
    <s v="Mandalay Monestry"/>
    <s v="Momauk"/>
    <n v="0"/>
    <n v="0"/>
    <n v="0"/>
    <n v="0"/>
    <n v="0"/>
    <n v="0"/>
    <n v="0"/>
    <n v="0"/>
    <s v=""/>
    <n v="0"/>
  </r>
  <r>
    <s v="MMR001CMP077"/>
    <x v="3"/>
    <s v="Mang Hawng Baptist Church"/>
    <s v="Mogaung"/>
    <n v="15"/>
    <n v="72"/>
    <n v="0"/>
    <n v="0"/>
    <n v="0"/>
    <n v="30"/>
    <n v="15"/>
    <n v="15"/>
    <s v=""/>
    <n v="0"/>
  </r>
  <r>
    <s v="MMR001CMP066"/>
    <x v="3"/>
    <s v="Mansi Baptist Church"/>
    <s v="Mansi"/>
    <n v="194"/>
    <n v="874"/>
    <n v="0"/>
    <n v="0"/>
    <n v="0"/>
    <n v="388"/>
    <n v="194"/>
    <n v="194"/>
    <s v=""/>
    <n v="0"/>
  </r>
  <r>
    <s v="MMR001CMP020"/>
    <x v="3"/>
    <s v="Maw Hpawng Hka Nan Baptist Church"/>
    <s v="Myitkyina"/>
    <n v="23"/>
    <n v="93"/>
    <n v="0"/>
    <n v="0"/>
    <n v="0"/>
    <n v="46"/>
    <n v="23"/>
    <n v="23"/>
    <s v=""/>
    <n v="0"/>
  </r>
  <r>
    <s v="MMR001CMP021"/>
    <x v="3"/>
    <s v="Maw Hpawng Lhaovo Baptist Church"/>
    <s v="Myitkyina"/>
    <n v="15"/>
    <n v="78"/>
    <n v="0"/>
    <n v="0"/>
    <n v="0"/>
    <n v="30"/>
    <n v="15"/>
    <n v="15"/>
    <s v=""/>
    <n v="0"/>
  </r>
  <r>
    <s v="MMR001CMP091"/>
    <x v="3"/>
    <s v="Maw Wan, Mu-yin Baptist Church"/>
    <s v="Hpakant"/>
    <n v="4"/>
    <n v="14"/>
    <n v="0"/>
    <n v="0"/>
    <n v="0"/>
    <n v="8"/>
    <n v="4"/>
    <n v="4"/>
    <s v=""/>
    <n v="0"/>
  </r>
  <r>
    <s v="MMR001CMP056"/>
    <x v="3"/>
    <s v="Momauk Baptist Church"/>
    <s v="Momauk"/>
    <n v="387"/>
    <n v="1874"/>
    <n v="0"/>
    <n v="0"/>
    <n v="0"/>
    <n v="774"/>
    <n v="387"/>
    <n v="387"/>
    <s v=""/>
    <n v="0"/>
  </r>
  <r>
    <s v="MMR001CMP057"/>
    <x v="3"/>
    <s v="Momauk Catholic Church (St. Patrick)"/>
    <s v="Momauk"/>
    <n v="0"/>
    <n v="0"/>
    <n v="0"/>
    <n v="0"/>
    <n v="0"/>
    <n v="0"/>
    <n v="0"/>
    <n v="0"/>
    <s v=""/>
    <n v="0"/>
  </r>
  <r>
    <s v="MMR015CMP213"/>
    <x v="3"/>
    <s v="Muse Baptist Church"/>
    <s v="Muse"/>
    <n v="44"/>
    <n v="214"/>
    <n v="0"/>
    <n v="0"/>
    <n v="0"/>
    <n v="88"/>
    <n v="44"/>
    <n v="44"/>
    <s v=""/>
    <n v="0"/>
  </r>
  <r>
    <s v="MMR015CMP216"/>
    <x v="3"/>
    <s v="Muse Catholic Church"/>
    <s v="Muse"/>
    <n v="25"/>
    <n v="113"/>
    <n v="0"/>
    <n v="0"/>
    <n v="0"/>
    <n v="50"/>
    <n v="25"/>
    <n v="25"/>
    <s v=""/>
    <n v="0"/>
  </r>
  <r>
    <s v="MMR001CMP051"/>
    <x v="3"/>
    <s v="Mu-yin Baptist Church"/>
    <s v="Bhamo"/>
    <n v="13"/>
    <n v="56"/>
    <n v="0"/>
    <n v="0"/>
    <n v="0"/>
    <n v="26"/>
    <n v="13"/>
    <n v="13"/>
    <s v=""/>
    <n v="0"/>
  </r>
  <r>
    <s v="MMR001CMP017"/>
    <x v="3"/>
    <s v="Myay Myint Baptist Church"/>
    <s v="Myitkyina"/>
    <n v="0"/>
    <n v="0"/>
    <n v="0"/>
    <n v="0"/>
    <n v="0"/>
    <n v="0"/>
    <n v="0"/>
    <n v="0"/>
    <s v=""/>
    <n v="0"/>
  </r>
  <r>
    <s v="MMR001CMP061"/>
    <x v="3"/>
    <s v="Myo Thit "/>
    <s v="Momauk"/>
    <n v="44"/>
    <n v="143"/>
    <n v="0"/>
    <n v="0"/>
    <n v="0"/>
    <n v="88"/>
    <n v="44"/>
    <n v="44"/>
    <s v=""/>
    <n v="0"/>
  </r>
  <r>
    <s v="MMR015CMP214"/>
    <x v="3"/>
    <s v="Nam Hkam (KBC Jaw Wang) II"/>
    <s v="Namhkan"/>
    <n v="36"/>
    <n v="179"/>
    <n v="0"/>
    <n v="0"/>
    <n v="0"/>
    <n v="72"/>
    <n v="36"/>
    <n v="36"/>
    <s v=""/>
    <n v="0"/>
  </r>
  <r>
    <s v="MMR001CMP192"/>
    <x v="3"/>
    <s v="Nam Ma Phyit, COC"/>
    <s v="Hpakant"/>
    <n v="12"/>
    <n v="55"/>
    <n v="0"/>
    <n v="0"/>
    <n v="0"/>
    <n v="24"/>
    <n v="12"/>
    <n v="12"/>
    <s v=""/>
    <n v="0"/>
  </r>
  <r>
    <s v="MMR015CMP215"/>
    <x v="3"/>
    <s v="Namhkan - Pang Long KBC"/>
    <s v="Namhkan"/>
    <n v="120"/>
    <n v="563"/>
    <n v="0"/>
    <n v="0"/>
    <n v="0"/>
    <n v="240"/>
    <n v="120"/>
    <n v="120"/>
    <s v=""/>
    <n v="0"/>
  </r>
  <r>
    <s v="MMR001CMP024"/>
    <x v="3"/>
    <s v="Nan Kway St. John Catholic Church"/>
    <s v="Myitkyina"/>
    <n v="63"/>
    <n v="322"/>
    <n v="0"/>
    <n v="0"/>
    <n v="0"/>
    <n v="126"/>
    <n v="63"/>
    <n v="63"/>
    <s v=""/>
    <n v="0"/>
  </r>
  <r>
    <s v="MMR001CMP054"/>
    <x v="3"/>
    <s v="Nant Hlaing Church"/>
    <s v="Bhamo"/>
    <n v="21"/>
    <n v="111"/>
    <n v="0"/>
    <n v="0"/>
    <n v="0"/>
    <n v="42"/>
    <n v="21"/>
    <n v="21"/>
    <s v=""/>
    <n v="0"/>
  </r>
  <r>
    <s v="MMR001CMP103"/>
    <x v="3"/>
    <s v="Nant Ma Hpit Catholic Church"/>
    <s v="Hpakant"/>
    <n v="50"/>
    <n v="218"/>
    <n v="0"/>
    <n v="0"/>
    <n v="0"/>
    <n v="100"/>
    <n v="50"/>
    <n v="50"/>
    <s v=""/>
    <n v="0"/>
  </r>
  <r>
    <s v="MMR001CMP081"/>
    <x v="3"/>
    <s v="Nant Mun"/>
    <s v="Mohnyin"/>
    <n v="0"/>
    <n v="0"/>
    <n v="0"/>
    <n v="0"/>
    <n v="0"/>
    <n v="0"/>
    <n v="0"/>
    <n v="0"/>
    <s v=""/>
    <n v="0"/>
  </r>
  <r>
    <s v="MMR015CMP207"/>
    <x v="3"/>
    <s v="Narte"/>
    <s v="Hseni"/>
    <n v="67"/>
    <n v="392"/>
    <n v="0"/>
    <n v="0"/>
    <n v="0"/>
    <n v="134"/>
    <n v="67"/>
    <n v="67"/>
    <s v=""/>
    <n v="0"/>
  </r>
  <r>
    <s v="MMR001CMP079"/>
    <x v="3"/>
    <s v="Nat Gyi Kone Baptist Church "/>
    <s v="Mogaung"/>
    <n v="12"/>
    <n v="47"/>
    <n v="0"/>
    <n v="0"/>
    <n v="0"/>
    <n v="24"/>
    <n v="12"/>
    <n v="12"/>
    <s v=""/>
    <n v="0"/>
  </r>
  <r>
    <s v="MMR001CMP033"/>
    <x v="3"/>
    <s v="Nawng Hee Village"/>
    <s v="Waingmaw"/>
    <n v="20"/>
    <n v="86"/>
    <n v="0"/>
    <n v="0"/>
    <n v="0"/>
    <n v="40"/>
    <n v="20"/>
    <n v="20"/>
    <s v=""/>
    <n v="0"/>
  </r>
  <r>
    <s v="MMR001CMP152"/>
    <x v="3"/>
    <s v="Nawng Ing (Indawgyi) Baptist Church  "/>
    <s v="Mohnyin"/>
    <n v="19"/>
    <n v="103"/>
    <n v="0"/>
    <n v="0"/>
    <n v="0"/>
    <n v="38"/>
    <n v="19"/>
    <n v="19"/>
    <s v=""/>
    <n v="0"/>
  </r>
  <r>
    <s v="MMR001CMP059"/>
    <x v="3"/>
    <s v="Ni Thaw Ka Monestry"/>
    <s v="Momauk"/>
    <n v="0"/>
    <n v="0"/>
    <n v="0"/>
    <n v="0"/>
    <n v="0"/>
    <n v="0"/>
    <n v="0"/>
    <n v="0"/>
    <s v=""/>
    <n v="0"/>
  </r>
  <r>
    <s v="MMR001CMP002"/>
    <x v="3"/>
    <s v="Njang Dung Baptist Church "/>
    <s v="Myitkyina"/>
    <n v="65"/>
    <n v="292"/>
    <n v="0"/>
    <n v="0"/>
    <n v="0"/>
    <n v="130"/>
    <n v="65"/>
    <n v="65"/>
    <s v=""/>
    <n v="0"/>
  </r>
  <r>
    <s v="MMR001CMP162"/>
    <x v="3"/>
    <s v="Pa Dauk Myaing(Pa La Na)"/>
    <s v="Myitkyina"/>
    <n v="49"/>
    <n v="290"/>
    <n v="0"/>
    <n v="0"/>
    <n v="0"/>
    <n v="98"/>
    <n v="49"/>
    <n v="49"/>
    <s v=""/>
    <n v="0"/>
  </r>
  <r>
    <s v="MMR001CMP193"/>
    <x v="3"/>
    <s v="Phan Khar Kone"/>
    <s v="Bhamo"/>
    <n v="153"/>
    <n v="773"/>
    <n v="0"/>
    <n v="0"/>
    <n v="0"/>
    <n v="306"/>
    <n v="153"/>
    <n v="153"/>
    <s v=""/>
    <n v="0"/>
  </r>
  <r>
    <s v="MMR001CMP065"/>
    <x v="3"/>
    <s v="Phar Kay/Nant Waing "/>
    <s v="Momauk"/>
    <n v="39"/>
    <n v="176"/>
    <n v="0"/>
    <n v="0"/>
    <n v="0"/>
    <n v="78"/>
    <n v="39"/>
    <n v="39"/>
    <s v=""/>
    <n v="0"/>
  </r>
  <r>
    <s v="MMR001CMP032"/>
    <x v="3"/>
    <s v="Qtr. 2 Lhaovo Baptist Church"/>
    <s v="Waingmaw"/>
    <n v="111"/>
    <n v="445"/>
    <n v="0"/>
    <n v="0"/>
    <n v="0"/>
    <n v="222"/>
    <n v="111"/>
    <n v="111"/>
    <s v=""/>
    <n v="0"/>
  </r>
  <r>
    <s v="MMR001CMP025"/>
    <x v="3"/>
    <s v="Qtr. 2 Myoma Baptist Church"/>
    <s v="Waingmaw"/>
    <n v="65"/>
    <n v="323"/>
    <n v="0"/>
    <n v="0"/>
    <n v="0"/>
    <n v="130"/>
    <n v="65"/>
    <n v="65"/>
    <s v=""/>
    <n v="0"/>
  </r>
  <r>
    <s v="MMR001CMP030"/>
    <x v="3"/>
    <s v="Qtr. 3 Mu-yin  Baptist Church"/>
    <s v="Waingmaw"/>
    <n v="31"/>
    <n v="171"/>
    <n v="0"/>
    <n v="0"/>
    <n v="0"/>
    <n v="62"/>
    <n v="31"/>
    <n v="31"/>
    <s v=""/>
    <n v="0"/>
  </r>
  <r>
    <s v="MMR001CMP026"/>
    <x v="3"/>
    <s v="Qtr. 4 Monestry (Thargaya Thayett Taw)"/>
    <s v="Waingmaw"/>
    <n v="92"/>
    <n v="493"/>
    <n v="0"/>
    <n v="0"/>
    <n v="0"/>
    <n v="184"/>
    <n v="92"/>
    <n v="92"/>
    <s v=""/>
    <n v="0"/>
  </r>
  <r>
    <s v="MMR001CMP182"/>
    <x v="3"/>
    <s v="Rawan Baptist Church, Maw Shan Vil., Seik Mu"/>
    <s v="Hpakant"/>
    <n v="9"/>
    <n v="37"/>
    <n v="0"/>
    <n v="0"/>
    <n v="0"/>
    <n v="18"/>
    <n v="9"/>
    <n v="9"/>
    <s v=""/>
    <n v="0"/>
  </r>
  <r>
    <s v="MMR001CMP047"/>
    <x v="3"/>
    <s v="Robert Church"/>
    <s v="Bhamo"/>
    <n v="638"/>
    <n v="4050"/>
    <n v="0"/>
    <n v="0"/>
    <n v="0"/>
    <n v="1276"/>
    <n v="638"/>
    <n v="638"/>
    <s v=""/>
    <n v="0"/>
  </r>
  <r>
    <s v="MMR001CMP183"/>
    <x v="3"/>
    <s v="Sai Nai Baptish Church, Maw Shan Vil., Seki Mu"/>
    <s v="Hpakant"/>
    <n v="8"/>
    <n v="36"/>
    <n v="0"/>
    <n v="0"/>
    <n v="0"/>
    <n v="16"/>
    <n v="8"/>
    <n v="8"/>
    <s v=""/>
    <n v="0"/>
  </r>
  <r>
    <s v="MMR001CMP006"/>
    <x v="3"/>
    <s v="Shatapru Sut Ngai Tawng"/>
    <s v="Myitkyina"/>
    <n v="118"/>
    <n v="529"/>
    <n v="0"/>
    <n v="0"/>
    <n v="0"/>
    <n v="236"/>
    <n v="118"/>
    <n v="118"/>
    <s v=""/>
    <n v="0"/>
  </r>
  <r>
    <s v="MMR001CMP007"/>
    <x v="3"/>
    <s v="Shatapru Thida Aye Baptist Church"/>
    <s v="Myitkyina"/>
    <n v="22"/>
    <n v="111"/>
    <n v="0"/>
    <n v="0"/>
    <n v="0"/>
    <n v="44"/>
    <n v="22"/>
    <n v="22"/>
    <s v=""/>
    <n v="0"/>
  </r>
  <r>
    <s v="MMR001CMP067"/>
    <x v="3"/>
    <s v="Shwe Gu Baptist Church"/>
    <s v="Shwegu"/>
    <n v="86"/>
    <n v="314"/>
    <n v="0"/>
    <n v="0"/>
    <n v="0"/>
    <n v="172"/>
    <n v="86"/>
    <n v="86"/>
    <s v=""/>
    <n v="0"/>
  </r>
  <r>
    <s v="MMR001CMP068"/>
    <x v="3"/>
    <s v="Shwe Gu Catholic Church"/>
    <s v="Shwegu"/>
    <n v="43"/>
    <n v="159"/>
    <n v="0"/>
    <n v="0"/>
    <n v="0"/>
    <n v="86"/>
    <n v="43"/>
    <n v="43"/>
    <s v=""/>
    <n v="0"/>
  </r>
  <r>
    <s v="MMR001CMP009"/>
    <x v="3"/>
    <s v="Shwe Zet Baptist Church"/>
    <s v="Myitkyina"/>
    <n v="92"/>
    <n v="499"/>
    <n v="0"/>
    <n v="0"/>
    <n v="0"/>
    <n v="184"/>
    <n v="92"/>
    <n v="92"/>
    <s v=""/>
    <n v="0"/>
  </r>
  <r>
    <s v="MMR001CMP080"/>
    <x v="3"/>
    <s v="St. Patrick Catholic Church "/>
    <s v="Mohnyin"/>
    <n v="11"/>
    <n v="57"/>
    <n v="0"/>
    <n v="0"/>
    <n v="0"/>
    <n v="22"/>
    <n v="11"/>
    <n v="11"/>
    <s v=""/>
    <n v="0"/>
  </r>
  <r>
    <s v="MMR001CMP206"/>
    <x v="3"/>
    <s v="Sumprabum"/>
    <s v="Sumprabum"/>
    <n v="5"/>
    <n v="32"/>
    <n v="0"/>
    <n v="0"/>
    <n v="0"/>
    <n v="10"/>
    <n v="5"/>
    <n v="5"/>
    <s v=""/>
    <n v="0"/>
  </r>
  <r>
    <s v="MMR001CMP055"/>
    <x v="3"/>
    <s v="Ta Gun Taing Monastery (Shwe Kyi Na)"/>
    <s v="Bhamo"/>
    <n v="20"/>
    <n v="95"/>
    <n v="0"/>
    <n v="0"/>
    <n v="0"/>
    <n v="40"/>
    <n v="20"/>
    <n v="20"/>
    <s v=""/>
    <n v="0"/>
  </r>
  <r>
    <s v="MMR001CMP060"/>
    <x v="3"/>
    <s v="Tarli "/>
    <s v="Momauk"/>
    <n v="10"/>
    <n v="38"/>
    <n v="0"/>
    <n v="0"/>
    <n v="0"/>
    <n v="20"/>
    <n v="10"/>
    <n v="10"/>
    <s v=""/>
    <n v="0"/>
  </r>
  <r>
    <s v="MMR001CMP001"/>
    <x v="3"/>
    <s v="Tat Kone Baptist Church"/>
    <s v="Myitkyina"/>
    <n v="66"/>
    <n v="344"/>
    <n v="0"/>
    <n v="0"/>
    <n v="0"/>
    <n v="132"/>
    <n v="66"/>
    <n v="66"/>
    <s v=""/>
    <n v="0"/>
  </r>
  <r>
    <s v="MMR001CMP023"/>
    <x v="3"/>
    <s v="Tat Kone COC Baptist - Tat Kone Htoi San"/>
    <s v="Myitkyina"/>
    <n v="54"/>
    <n v="262"/>
    <n v="0"/>
    <n v="0"/>
    <n v="0"/>
    <n v="108"/>
    <n v="54"/>
    <n v="54"/>
    <s v=""/>
    <n v="0"/>
  </r>
  <r>
    <s v="MMR001CMP004"/>
    <x v="3"/>
    <s v="Tat Kone Emanuel Church"/>
    <s v="Myitkyina"/>
    <n v="4"/>
    <n v="22"/>
    <n v="0"/>
    <n v="0"/>
    <n v="0"/>
    <n v="8"/>
    <n v="4"/>
    <n v="4"/>
    <s v=""/>
    <n v="0"/>
  </r>
  <r>
    <s v="MMR001CMP003"/>
    <x v="3"/>
    <s v="Tat Kone Galile Baptist Church"/>
    <s v="Myitkyina"/>
    <n v="31"/>
    <n v="170"/>
    <n v="0"/>
    <n v="0"/>
    <n v="0"/>
    <n v="62"/>
    <n v="31"/>
    <n v="31"/>
    <s v=""/>
    <n v="0"/>
  </r>
  <r>
    <s v="MMR001CMP005"/>
    <x v="3"/>
    <s v="Tat Kone San Pya Baptist Church"/>
    <s v="Myitkyina"/>
    <n v="46"/>
    <n v="238"/>
    <n v="0"/>
    <n v="0"/>
    <n v="0"/>
    <n v="92"/>
    <n v="46"/>
    <n v="46"/>
    <s v=""/>
    <n v="0"/>
  </r>
  <r>
    <s v="MMR001CMP037"/>
    <x v="3"/>
    <s v="Thargaya Lisu Baptist Church"/>
    <s v="Waingmaw"/>
    <n v="46"/>
    <n v="190"/>
    <n v="0"/>
    <n v="0"/>
    <n v="0"/>
    <n v="92"/>
    <n v="46"/>
    <n v="46"/>
    <s v=""/>
    <n v="0"/>
  </r>
  <r>
    <s v="MMR001CMP224"/>
    <x v="3"/>
    <s v="Tharthana Ahlin Yaung New Monastery"/>
    <s v="Bhamo"/>
    <n v="0"/>
    <n v="0"/>
    <n v="0"/>
    <n v="0"/>
    <n v="0"/>
    <n v="0"/>
    <n v="0"/>
    <n v="0"/>
    <s v=""/>
    <n v="0"/>
  </r>
  <r>
    <s v="MMR001CMP038"/>
    <x v="3"/>
    <s v="Waingmaw AG Church"/>
    <s v="Waingmaw"/>
    <n v="65"/>
    <n v="275"/>
    <n v="0"/>
    <n v="0"/>
    <n v="0"/>
    <n v="130"/>
    <n v="65"/>
    <n v="65"/>
    <s v=""/>
    <n v="0"/>
  </r>
  <r>
    <s v="MMR001CMP036"/>
    <x v="3"/>
    <s v="Waingmaw Baptist Zonal Office"/>
    <s v="Waingmaw"/>
    <n v="0"/>
    <n v="0"/>
    <n v="0"/>
    <n v="0"/>
    <n v="0"/>
    <n v="0"/>
    <n v="0"/>
    <n v="0"/>
    <s v=""/>
    <n v="0"/>
  </r>
  <r>
    <s v="MMR001CMP184"/>
    <x v="3"/>
    <s v="Ward 2 Sai Taung Baptist Church, Seik Mu "/>
    <s v="Hpakant"/>
    <n v="33"/>
    <n v="171"/>
    <n v="0"/>
    <n v="0"/>
    <n v="0"/>
    <n v="66"/>
    <n v="33"/>
    <n v="33"/>
    <s v=""/>
    <n v="0"/>
  </r>
  <r>
    <s v="MMR001CMP116"/>
    <x v="3"/>
    <s v="Woi Chyai "/>
    <s v="Waingmaw"/>
    <n v="1396"/>
    <n v="6821"/>
    <n v="0"/>
    <n v="0"/>
    <n v="0"/>
    <n v="2792"/>
    <n v="1396"/>
    <n v="1396"/>
    <s v=""/>
    <n v="0"/>
  </r>
  <r>
    <s v="MMR001CMP022"/>
    <x v="3"/>
    <s v="Wun Tho Buddhist Monastery"/>
    <s v="Myitkyina"/>
    <n v="7"/>
    <n v="37"/>
    <n v="0"/>
    <n v="0"/>
    <n v="0"/>
    <n v="14"/>
    <n v="7"/>
    <n v="7"/>
    <s v=""/>
    <n v="0"/>
  </r>
  <r>
    <s v="MMR001CMP053"/>
    <x v="3"/>
    <s v="Yoe Kyi Monastery"/>
    <s v="Bhamo"/>
    <n v="15"/>
    <n v="79"/>
    <n v="0"/>
    <n v="0"/>
    <n v="0"/>
    <n v="30"/>
    <n v="15"/>
    <n v="15"/>
    <s v=""/>
    <n v="0"/>
  </r>
  <r>
    <s v="MMR001CMP105"/>
    <x v="3"/>
    <s v="Yumar Baptist Church"/>
    <s v="Hpakant"/>
    <n v="11"/>
    <n v="48"/>
    <n v="0"/>
    <n v="0"/>
    <n v="0"/>
    <n v="22"/>
    <n v="11"/>
    <n v="11"/>
    <s v=""/>
    <n v="0"/>
  </r>
</pivotCacheRecords>
</file>

<file path=xl/pivotCache/pivotCacheRecords3.xml><?xml version="1.0" encoding="utf-8"?>
<pivotCacheRecords xmlns="http://schemas.openxmlformats.org/spreadsheetml/2006/main" xmlns:r="http://schemas.openxmlformats.org/officeDocument/2006/relationships" count="381">
  <r>
    <d v="2017-07-03T00:00:00"/>
    <x v="0"/>
    <s v="KMSS_MKN"/>
    <x v="0"/>
    <x v="0"/>
    <x v="0"/>
    <n v="1"/>
    <m/>
    <m/>
    <n v="5"/>
    <m/>
    <n v="5"/>
    <m/>
    <m/>
    <m/>
    <n v="5"/>
    <n v="5"/>
    <m/>
    <m/>
    <x v="0"/>
    <x v="0"/>
    <n v="1.7730496453900711E-2"/>
    <s v="NO"/>
    <s v="3/July/2017: Updated DRC Shelters"/>
  </r>
  <r>
    <d v="2017-07-03T00:00:00"/>
    <x v="1"/>
    <s v="KMSS_MKN"/>
    <x v="0"/>
    <x v="0"/>
    <x v="1"/>
    <n v="1"/>
    <m/>
    <m/>
    <n v="4"/>
    <m/>
    <n v="4"/>
    <m/>
    <m/>
    <m/>
    <n v="4"/>
    <n v="4"/>
    <m/>
    <m/>
    <x v="1"/>
    <x v="0"/>
    <n v="0.13333333333333333"/>
    <s v="NO"/>
    <s v="3/Jul/2017: Updated MHF shelters"/>
  </r>
  <r>
    <d v="2017-07-03T00:00:00"/>
    <x v="1"/>
    <s v="KMSS_MKN"/>
    <x v="0"/>
    <x v="1"/>
    <x v="2"/>
    <n v="1"/>
    <m/>
    <m/>
    <n v="4"/>
    <m/>
    <n v="4"/>
    <m/>
    <m/>
    <m/>
    <n v="4"/>
    <n v="4"/>
    <m/>
    <m/>
    <x v="2"/>
    <x v="0"/>
    <n v="8.1632653061224483E-2"/>
    <s v="NO"/>
    <s v="3/July/2017: Updated MHF Shelters"/>
  </r>
  <r>
    <d v="2017-07-03T00:00:00"/>
    <x v="1"/>
    <s v="KMSS_MKN"/>
    <x v="0"/>
    <x v="0"/>
    <x v="3"/>
    <n v="1"/>
    <m/>
    <m/>
    <n v="87"/>
    <m/>
    <n v="87"/>
    <m/>
    <m/>
    <m/>
    <n v="87"/>
    <n v="87"/>
    <m/>
    <m/>
    <x v="3"/>
    <x v="0"/>
    <n v="0.1746987951807229"/>
    <s v="NO"/>
    <s v="3/July/2017: Updated MHF Shelters"/>
  </r>
  <r>
    <d v="2017-07-03T00:00:00"/>
    <x v="2"/>
    <s v="KBC"/>
    <x v="0"/>
    <x v="2"/>
    <x v="4"/>
    <n v="1"/>
    <m/>
    <m/>
    <n v="16"/>
    <n v="16"/>
    <m/>
    <m/>
    <m/>
    <m/>
    <n v="16"/>
    <n v="16"/>
    <m/>
    <m/>
    <x v="4"/>
    <x v="0"/>
    <n v="0.53333333333333333"/>
    <s v="NO"/>
    <s v="3/Jul/2017: Updated constructed shelter. Data source: KBC (CAR_March)_x000a_2/June/2017: Updated under costruction shelter. Data source: KBC (CAR_April). _x000a_4/May/2017:Update data shelter. Data source: KBC (CAR_March)"/>
  </r>
  <r>
    <d v="2017-07-03T00:00:00"/>
    <x v="2"/>
    <s v="KBC"/>
    <x v="1"/>
    <x v="3"/>
    <x v="5"/>
    <n v="1"/>
    <m/>
    <m/>
    <n v="30"/>
    <n v="30"/>
    <m/>
    <m/>
    <m/>
    <m/>
    <n v="30"/>
    <n v="30"/>
    <m/>
    <m/>
    <x v="5"/>
    <x v="0"/>
    <n v="0.8571428571428571"/>
    <s v="NO"/>
    <s v="3/Jul/2017: Updated constructed shelter_x000a_2/June/2017: Updated under costruction shelter. Data source: KBC (CAR_April). The same with CAR_March._x000a_4/May/2017:Update data shelter. Data source: KBC (CAR_March)"/>
  </r>
  <r>
    <d v="2017-07-03T00:00:00"/>
    <x v="2"/>
    <s v="KBC"/>
    <x v="0"/>
    <x v="1"/>
    <x v="6"/>
    <n v="1"/>
    <m/>
    <m/>
    <n v="6"/>
    <n v="6"/>
    <m/>
    <m/>
    <m/>
    <m/>
    <n v="0"/>
    <n v="0"/>
    <m/>
    <m/>
    <x v="6"/>
    <x v="0"/>
    <n v="0"/>
    <s v="YES"/>
    <s v="3/Jul/2017: Updated shelter unit"/>
  </r>
  <r>
    <d v="2017-06-02T00:00:00"/>
    <x v="2"/>
    <s v="KBC"/>
    <x v="0"/>
    <x v="1"/>
    <x v="6"/>
    <n v="1"/>
    <m/>
    <m/>
    <n v="6"/>
    <m/>
    <n v="6"/>
    <m/>
    <m/>
    <m/>
    <n v="0"/>
    <n v="0"/>
    <m/>
    <m/>
    <x v="6"/>
    <x v="0"/>
    <n v="0"/>
    <s v="YES"/>
    <s v="2/June/2017: Updated under costruction shelter. Data source: KBC (CAR_April)_x000a_4/May/2017:Update data shelter. Data source: KBC (CAR_March)"/>
  </r>
  <r>
    <d v="2017-06-02T00:00:00"/>
    <x v="2"/>
    <s v="KBC"/>
    <x v="0"/>
    <x v="1"/>
    <x v="7"/>
    <n v="1"/>
    <m/>
    <m/>
    <n v="25"/>
    <m/>
    <n v="25"/>
    <m/>
    <m/>
    <m/>
    <n v="25"/>
    <n v="25"/>
    <m/>
    <m/>
    <x v="7"/>
    <x v="0"/>
    <n v="0.38461538461538464"/>
    <s v="NO"/>
    <s v="2/June/2017: Updated under costruction shelter. Data source: KBC (CAR_April)_x000a_4/May/2017:Updated planned shelter. Data source: KBC (CAR_March)"/>
  </r>
  <r>
    <d v="2017-06-02T00:00:00"/>
    <x v="2"/>
    <s v="KMSS"/>
    <x v="0"/>
    <x v="0"/>
    <x v="0"/>
    <n v="1"/>
    <n v="19"/>
    <n v="19"/>
    <n v="40"/>
    <m/>
    <n v="40"/>
    <m/>
    <m/>
    <m/>
    <n v="40"/>
    <n v="40"/>
    <m/>
    <m/>
    <x v="0"/>
    <x v="0"/>
    <n v="0.14184397163120568"/>
    <s v="NO"/>
    <s v="2/June/2017: Updated tent and under construction shelters data. Data source: KMSS_Myitkyina"/>
  </r>
  <r>
    <d v="2017-06-02T00:00:00"/>
    <x v="3"/>
    <s v="KBC"/>
    <x v="0"/>
    <x v="4"/>
    <x v="8"/>
    <n v="1"/>
    <m/>
    <m/>
    <n v="20"/>
    <m/>
    <n v="20"/>
    <m/>
    <m/>
    <m/>
    <n v="0"/>
    <n v="0"/>
    <m/>
    <m/>
    <x v="8"/>
    <x v="0"/>
    <n v="0"/>
    <s v="YES"/>
    <s v="2/June/2017: Updated under costruction shelter. Data source: KBC (CAR_April). The same with CAR_March._x000a_4/May/2017:Update data shelter. Data source: KBC (CAR_March)"/>
  </r>
  <r>
    <d v="2017-06-02T00:00:00"/>
    <x v="3"/>
    <s v="KBC"/>
    <x v="0"/>
    <x v="5"/>
    <x v="9"/>
    <n v="1"/>
    <m/>
    <m/>
    <n v="140"/>
    <m/>
    <n v="140"/>
    <m/>
    <m/>
    <m/>
    <n v="0"/>
    <n v="0"/>
    <m/>
    <m/>
    <x v="9"/>
    <x v="0"/>
    <n v="0"/>
    <s v="YES"/>
    <s v="2/June/2017: Updated under costruction shelter. Data source: KBC (CAR_April). The same with (CAR_March)_x000a_4/May/2017:Update data shelter. Data source: KBC (CAR_March)"/>
  </r>
  <r>
    <d v="2017-04-28T00:00:00"/>
    <x v="2"/>
    <s v="Shalom"/>
    <x v="0"/>
    <x v="2"/>
    <x v="10"/>
    <n v="1"/>
    <m/>
    <m/>
    <m/>
    <m/>
    <m/>
    <m/>
    <m/>
    <m/>
    <n v="0"/>
    <n v="0"/>
    <n v="10"/>
    <n v="10"/>
    <x v="10"/>
    <x v="0"/>
    <n v="0"/>
    <s v="NO"/>
    <m/>
  </r>
  <r>
    <d v="2017-04-28T00:00:00"/>
    <x v="2"/>
    <s v="KBC"/>
    <x v="0"/>
    <x v="2"/>
    <x v="11"/>
    <n v="1"/>
    <m/>
    <m/>
    <n v="27"/>
    <n v="27"/>
    <m/>
    <m/>
    <m/>
    <m/>
    <n v="0"/>
    <n v="0"/>
    <m/>
    <m/>
    <x v="11"/>
    <x v="1"/>
    <s v=""/>
    <s v="NO"/>
    <m/>
  </r>
  <r>
    <d v="2017-04-28T00:00:00"/>
    <x v="2"/>
    <s v="Shalom"/>
    <x v="0"/>
    <x v="0"/>
    <x v="12"/>
    <n v="1"/>
    <m/>
    <m/>
    <n v="13"/>
    <n v="13"/>
    <m/>
    <m/>
    <m/>
    <m/>
    <n v="0"/>
    <n v="0"/>
    <m/>
    <m/>
    <x v="12"/>
    <x v="0"/>
    <n v="0"/>
    <s v="YES"/>
    <m/>
  </r>
  <r>
    <d v="2017-02-24T00:00:00"/>
    <x v="2"/>
    <s v="KBC"/>
    <x v="0"/>
    <x v="2"/>
    <x v="13"/>
    <n v="1"/>
    <m/>
    <m/>
    <n v="41"/>
    <m/>
    <m/>
    <m/>
    <m/>
    <m/>
    <n v="0"/>
    <n v="0"/>
    <m/>
    <m/>
    <x v="13"/>
    <x v="0"/>
    <n v="0"/>
    <s v="NO"/>
    <m/>
  </r>
  <r>
    <d v="2017-02-14T00:00:00"/>
    <x v="2"/>
    <s v="KMSS_Lashio"/>
    <x v="1"/>
    <x v="6"/>
    <x v="14"/>
    <n v="1"/>
    <m/>
    <m/>
    <m/>
    <m/>
    <m/>
    <m/>
    <m/>
    <m/>
    <n v="0"/>
    <n v="0"/>
    <n v="30"/>
    <n v="30"/>
    <x v="14"/>
    <x v="0"/>
    <n v="0"/>
    <m/>
    <m/>
  </r>
  <r>
    <d v="2017-02-14T00:00:00"/>
    <x v="2"/>
    <s v="KMSS_Bhamo"/>
    <x v="0"/>
    <x v="5"/>
    <x v="15"/>
    <n v="1"/>
    <m/>
    <m/>
    <n v="42"/>
    <m/>
    <m/>
    <m/>
    <m/>
    <m/>
    <n v="0"/>
    <n v="0"/>
    <m/>
    <m/>
    <x v="15"/>
    <x v="0"/>
    <n v="0"/>
    <s v="YES"/>
    <m/>
  </r>
  <r>
    <d v="2017-02-14T00:00:00"/>
    <x v="2"/>
    <s v="KMSS_Bhamo"/>
    <x v="0"/>
    <x v="7"/>
    <x v="16"/>
    <n v="1"/>
    <m/>
    <m/>
    <n v="50"/>
    <m/>
    <m/>
    <m/>
    <m/>
    <m/>
    <n v="0"/>
    <n v="0"/>
    <m/>
    <m/>
    <x v="16"/>
    <x v="0"/>
    <n v="0"/>
    <s v="YES"/>
    <m/>
  </r>
  <r>
    <d v="2017-01-10T00:00:00"/>
    <x v="2"/>
    <s v="KMSS_MKN"/>
    <x v="0"/>
    <x v="8"/>
    <x v="17"/>
    <n v="1"/>
    <m/>
    <m/>
    <m/>
    <m/>
    <m/>
    <m/>
    <m/>
    <m/>
    <n v="0"/>
    <n v="0"/>
    <n v="31"/>
    <m/>
    <x v="17"/>
    <x v="0"/>
    <n v="0"/>
    <s v="NO"/>
    <m/>
  </r>
  <r>
    <d v="2017-01-10T00:00:00"/>
    <x v="2"/>
    <s v="KMSS_MKN"/>
    <x v="0"/>
    <x v="1"/>
    <x v="18"/>
    <n v="1"/>
    <m/>
    <m/>
    <m/>
    <m/>
    <m/>
    <m/>
    <m/>
    <m/>
    <n v="0"/>
    <n v="0"/>
    <n v="30"/>
    <m/>
    <x v="18"/>
    <x v="0"/>
    <n v="0"/>
    <s v="NO"/>
    <m/>
  </r>
  <r>
    <d v="2017-01-10T00:00:00"/>
    <x v="2"/>
    <s v="KMSS_MKN"/>
    <x v="0"/>
    <x v="8"/>
    <x v="19"/>
    <n v="1"/>
    <m/>
    <m/>
    <m/>
    <m/>
    <m/>
    <m/>
    <m/>
    <m/>
    <n v="0"/>
    <n v="0"/>
    <n v="10"/>
    <m/>
    <x v="19"/>
    <x v="0"/>
    <n v="0"/>
    <s v="NO"/>
    <m/>
  </r>
  <r>
    <d v="2017-01-10T00:00:00"/>
    <x v="2"/>
    <s v="KMSS_MKN"/>
    <x v="0"/>
    <x v="0"/>
    <x v="20"/>
    <n v="1"/>
    <m/>
    <m/>
    <n v="130"/>
    <n v="70"/>
    <m/>
    <m/>
    <m/>
    <m/>
    <n v="0"/>
    <n v="0"/>
    <m/>
    <m/>
    <x v="20"/>
    <x v="0"/>
    <n v="0"/>
    <s v="YES"/>
    <m/>
  </r>
  <r>
    <d v="2017-01-10T00:00:00"/>
    <x v="3"/>
    <s v="Shalom"/>
    <x v="0"/>
    <x v="1"/>
    <x v="21"/>
    <n v="1"/>
    <m/>
    <m/>
    <m/>
    <m/>
    <m/>
    <m/>
    <m/>
    <m/>
    <n v="0"/>
    <n v="0"/>
    <n v="10"/>
    <m/>
    <x v="21"/>
    <x v="0"/>
    <n v="0"/>
    <s v="NO"/>
    <m/>
  </r>
  <r>
    <d v="2017-01-10T00:00:00"/>
    <x v="3"/>
    <s v="Shalom"/>
    <x v="0"/>
    <x v="2"/>
    <x v="22"/>
    <n v="1"/>
    <m/>
    <m/>
    <m/>
    <m/>
    <m/>
    <m/>
    <m/>
    <m/>
    <n v="0"/>
    <n v="0"/>
    <n v="20"/>
    <m/>
    <x v="22"/>
    <x v="0"/>
    <n v="0"/>
    <s v="YES"/>
    <m/>
  </r>
  <r>
    <d v="2017-01-10T00:00:00"/>
    <x v="3"/>
    <s v="Shalom"/>
    <x v="0"/>
    <x v="2"/>
    <x v="23"/>
    <n v="1"/>
    <m/>
    <m/>
    <m/>
    <m/>
    <m/>
    <m/>
    <m/>
    <m/>
    <n v="0"/>
    <n v="0"/>
    <n v="5"/>
    <m/>
    <x v="23"/>
    <x v="0"/>
    <n v="0"/>
    <s v="YES"/>
    <m/>
  </r>
  <r>
    <d v="2017-01-10T00:00:00"/>
    <x v="3"/>
    <s v="Shalom"/>
    <x v="0"/>
    <x v="2"/>
    <x v="24"/>
    <n v="1"/>
    <m/>
    <m/>
    <m/>
    <m/>
    <m/>
    <m/>
    <m/>
    <m/>
    <n v="0"/>
    <n v="0"/>
    <n v="20"/>
    <m/>
    <x v="24"/>
    <x v="0"/>
    <n v="0"/>
    <s v="YES"/>
    <m/>
  </r>
  <r>
    <d v="2017-01-10T00:00:00"/>
    <x v="3"/>
    <s v="Shalom"/>
    <x v="0"/>
    <x v="0"/>
    <x v="25"/>
    <n v="1"/>
    <m/>
    <m/>
    <n v="10"/>
    <m/>
    <m/>
    <m/>
    <m/>
    <m/>
    <n v="0"/>
    <n v="0"/>
    <n v="20"/>
    <m/>
    <x v="25"/>
    <x v="0"/>
    <n v="0"/>
    <s v="YES"/>
    <m/>
  </r>
  <r>
    <d v="2017-01-10T00:00:00"/>
    <x v="3"/>
    <s v="Shalom"/>
    <x v="0"/>
    <x v="8"/>
    <x v="26"/>
    <n v="1"/>
    <m/>
    <m/>
    <n v="20"/>
    <n v="10"/>
    <m/>
    <m/>
    <m/>
    <m/>
    <n v="0"/>
    <n v="0"/>
    <n v="20"/>
    <m/>
    <x v="26"/>
    <x v="0"/>
    <n v="0"/>
    <s v="YES"/>
    <s v="2/June/2017: Updated Shelter built. Data source: Shalom"/>
  </r>
  <r>
    <d v="2017-01-10T00:00:00"/>
    <x v="3"/>
    <s v="Shalom"/>
    <x v="0"/>
    <x v="8"/>
    <x v="27"/>
    <n v="1"/>
    <m/>
    <m/>
    <n v="5"/>
    <m/>
    <m/>
    <m/>
    <m/>
    <m/>
    <n v="0"/>
    <n v="0"/>
    <n v="30"/>
    <m/>
    <x v="27"/>
    <x v="0"/>
    <n v="0"/>
    <s v="YES"/>
    <m/>
  </r>
  <r>
    <d v="2017-01-10T00:00:00"/>
    <x v="3"/>
    <s v="Shalom"/>
    <x v="0"/>
    <x v="2"/>
    <x v="10"/>
    <n v="1"/>
    <m/>
    <m/>
    <n v="4"/>
    <m/>
    <m/>
    <m/>
    <m/>
    <m/>
    <n v="0"/>
    <n v="0"/>
    <m/>
    <m/>
    <x v="10"/>
    <x v="0"/>
    <n v="0"/>
    <s v="NO"/>
    <m/>
  </r>
  <r>
    <d v="2017-01-10T00:00:00"/>
    <x v="3"/>
    <s v="Shalom"/>
    <x v="0"/>
    <x v="2"/>
    <x v="28"/>
    <n v="1"/>
    <m/>
    <m/>
    <n v="5"/>
    <m/>
    <m/>
    <m/>
    <m/>
    <m/>
    <n v="0"/>
    <n v="0"/>
    <m/>
    <m/>
    <x v="28"/>
    <x v="0"/>
    <n v="0"/>
    <s v="NO"/>
    <m/>
  </r>
  <r>
    <d v="2017-01-10T00:00:00"/>
    <x v="3"/>
    <s v="Shalom"/>
    <x v="0"/>
    <x v="5"/>
    <x v="29"/>
    <n v="1"/>
    <m/>
    <m/>
    <n v="5"/>
    <m/>
    <m/>
    <m/>
    <m/>
    <m/>
    <n v="0"/>
    <n v="0"/>
    <m/>
    <m/>
    <x v="29"/>
    <x v="0"/>
    <n v="0"/>
    <s v="YES"/>
    <m/>
  </r>
  <r>
    <d v="2016-10-21T00:00:00"/>
    <x v="2"/>
    <s v="KMSS_Bhamo"/>
    <x v="0"/>
    <x v="4"/>
    <x v="30"/>
    <n v="1"/>
    <m/>
    <m/>
    <m/>
    <m/>
    <m/>
    <m/>
    <m/>
    <m/>
    <n v="0"/>
    <n v="0"/>
    <n v="30"/>
    <m/>
    <x v="30"/>
    <x v="0"/>
    <n v="0"/>
    <s v="NO"/>
    <m/>
  </r>
  <r>
    <d v="2016-10-21T00:00:00"/>
    <x v="2"/>
    <s v="Shalom"/>
    <x v="0"/>
    <x v="8"/>
    <x v="26"/>
    <m/>
    <m/>
    <m/>
    <m/>
    <m/>
    <m/>
    <m/>
    <m/>
    <m/>
    <n v="0"/>
    <n v="0"/>
    <n v="30"/>
    <m/>
    <x v="26"/>
    <x v="0"/>
    <n v="0"/>
    <s v="NO"/>
    <m/>
  </r>
  <r>
    <d v="2016-10-21T00:00:00"/>
    <x v="2"/>
    <s v="Shalom"/>
    <x v="0"/>
    <x v="1"/>
    <x v="31"/>
    <m/>
    <m/>
    <m/>
    <m/>
    <m/>
    <m/>
    <m/>
    <m/>
    <m/>
    <n v="0"/>
    <n v="0"/>
    <n v="10"/>
    <m/>
    <x v="31"/>
    <x v="0"/>
    <n v="0"/>
    <s v="NO"/>
    <m/>
  </r>
  <r>
    <d v="2016-10-21T00:00:00"/>
    <x v="2"/>
    <s v="Shalom"/>
    <x v="0"/>
    <x v="8"/>
    <x v="27"/>
    <n v="1"/>
    <m/>
    <m/>
    <m/>
    <m/>
    <m/>
    <m/>
    <m/>
    <m/>
    <n v="0"/>
    <n v="0"/>
    <n v="10"/>
    <m/>
    <x v="27"/>
    <x v="0"/>
    <n v="0"/>
    <s v="NO"/>
    <m/>
  </r>
  <r>
    <d v="2016-10-21T00:00:00"/>
    <x v="2"/>
    <s v="KMSS_Bhamo"/>
    <x v="0"/>
    <x v="4"/>
    <x v="32"/>
    <n v="1"/>
    <m/>
    <m/>
    <n v="40"/>
    <n v="40"/>
    <m/>
    <m/>
    <m/>
    <m/>
    <n v="40"/>
    <n v="40"/>
    <m/>
    <m/>
    <x v="32"/>
    <x v="0"/>
    <n v="7.3126142595978064E-2"/>
    <s v="NO"/>
    <m/>
  </r>
  <r>
    <d v="2016-09-09T00:00:00"/>
    <x v="2"/>
    <s v="KBC"/>
    <x v="0"/>
    <x v="7"/>
    <x v="33"/>
    <n v="1"/>
    <m/>
    <m/>
    <m/>
    <m/>
    <m/>
    <m/>
    <m/>
    <m/>
    <n v="0"/>
    <n v="0"/>
    <n v="45"/>
    <n v="0"/>
    <x v="33"/>
    <x v="0"/>
    <n v="0"/>
    <s v="YES"/>
    <m/>
  </r>
  <r>
    <d v="2016-09-09T00:00:00"/>
    <x v="2"/>
    <s v="KBC"/>
    <x v="0"/>
    <x v="7"/>
    <x v="34"/>
    <n v="1"/>
    <m/>
    <m/>
    <n v="10"/>
    <m/>
    <m/>
    <m/>
    <m/>
    <m/>
    <n v="0"/>
    <n v="0"/>
    <m/>
    <m/>
    <x v="34"/>
    <x v="0"/>
    <n v="0"/>
    <s v="YES"/>
    <m/>
  </r>
  <r>
    <d v="2016-09-09T00:00:00"/>
    <x v="2"/>
    <s v="KBC"/>
    <x v="0"/>
    <x v="5"/>
    <x v="9"/>
    <n v="1"/>
    <m/>
    <m/>
    <n v="5"/>
    <n v="0"/>
    <m/>
    <m/>
    <m/>
    <m/>
    <n v="0"/>
    <n v="0"/>
    <m/>
    <m/>
    <x v="9"/>
    <x v="0"/>
    <n v="0"/>
    <s v="YES"/>
    <m/>
  </r>
  <r>
    <d v="2016-09-09T00:00:00"/>
    <x v="0"/>
    <s v="KBC"/>
    <x v="0"/>
    <x v="7"/>
    <x v="35"/>
    <n v="1"/>
    <m/>
    <m/>
    <n v="41"/>
    <m/>
    <m/>
    <m/>
    <m/>
    <m/>
    <n v="0"/>
    <n v="0"/>
    <m/>
    <m/>
    <x v="35"/>
    <x v="0"/>
    <n v="0"/>
    <s v="YES"/>
    <s v="Implementing with DRC"/>
  </r>
  <r>
    <d v="2016-09-01T00:00:00"/>
    <x v="2"/>
    <s v="KMSS-LSO"/>
    <x v="1"/>
    <x v="6"/>
    <x v="14"/>
    <n v="1"/>
    <n v="30"/>
    <m/>
    <m/>
    <m/>
    <m/>
    <m/>
    <m/>
    <m/>
    <n v="0"/>
    <n v="0"/>
    <m/>
    <m/>
    <x v="14"/>
    <x v="0"/>
    <n v="0"/>
    <s v="NO"/>
    <m/>
  </r>
  <r>
    <d v="2016-09-01T00:00:00"/>
    <x v="2"/>
    <s v="KMSS-LSO"/>
    <x v="1"/>
    <x v="9"/>
    <x v="36"/>
    <n v="1"/>
    <n v="20"/>
    <m/>
    <m/>
    <m/>
    <m/>
    <m/>
    <m/>
    <m/>
    <n v="0"/>
    <n v="0"/>
    <m/>
    <m/>
    <x v="36"/>
    <x v="0"/>
    <n v="0"/>
    <s v="NO"/>
    <m/>
  </r>
  <r>
    <d v="2016-07-20T00:00:00"/>
    <x v="2"/>
    <s v="Shalom"/>
    <x v="0"/>
    <x v="8"/>
    <x v="27"/>
    <m/>
    <m/>
    <m/>
    <m/>
    <m/>
    <m/>
    <m/>
    <m/>
    <m/>
    <n v="0"/>
    <n v="0"/>
    <n v="10"/>
    <m/>
    <x v="27"/>
    <x v="0"/>
    <n v="0"/>
    <s v="NO"/>
    <m/>
  </r>
  <r>
    <d v="2016-07-18T00:00:00"/>
    <x v="4"/>
    <s v="KBC"/>
    <x v="0"/>
    <x v="0"/>
    <x v="37"/>
    <n v="1"/>
    <m/>
    <m/>
    <m/>
    <m/>
    <m/>
    <m/>
    <m/>
    <m/>
    <n v="0"/>
    <n v="0"/>
    <n v="18"/>
    <n v="18"/>
    <x v="37"/>
    <x v="0"/>
    <n v="0"/>
    <s v="NO"/>
    <m/>
  </r>
  <r>
    <d v="2016-07-18T00:00:00"/>
    <x v="4"/>
    <s v="KBC"/>
    <x v="0"/>
    <x v="8"/>
    <x v="38"/>
    <n v="1"/>
    <m/>
    <m/>
    <m/>
    <m/>
    <m/>
    <m/>
    <m/>
    <m/>
    <n v="0"/>
    <n v="0"/>
    <n v="51"/>
    <n v="51"/>
    <x v="38"/>
    <x v="0"/>
    <n v="0"/>
    <s v="NO"/>
    <m/>
  </r>
  <r>
    <d v="2016-07-18T00:00:00"/>
    <x v="4"/>
    <s v="KBC"/>
    <x v="0"/>
    <x v="0"/>
    <x v="39"/>
    <n v="1"/>
    <m/>
    <m/>
    <m/>
    <m/>
    <m/>
    <m/>
    <m/>
    <m/>
    <n v="0"/>
    <n v="0"/>
    <n v="32"/>
    <n v="32"/>
    <x v="39"/>
    <x v="0"/>
    <n v="0"/>
    <s v="NO"/>
    <m/>
  </r>
  <r>
    <d v="2016-07-18T00:00:00"/>
    <x v="2"/>
    <s v="KBC"/>
    <x v="0"/>
    <x v="5"/>
    <x v="9"/>
    <n v="1"/>
    <m/>
    <m/>
    <m/>
    <m/>
    <m/>
    <m/>
    <m/>
    <m/>
    <n v="0"/>
    <n v="0"/>
    <n v="20"/>
    <n v="30"/>
    <x v="9"/>
    <x v="0"/>
    <n v="0"/>
    <s v="NO"/>
    <m/>
  </r>
  <r>
    <d v="2016-07-18T00:00:00"/>
    <x v="4"/>
    <s v="KBC"/>
    <x v="0"/>
    <x v="0"/>
    <x v="40"/>
    <n v="1"/>
    <m/>
    <m/>
    <m/>
    <m/>
    <m/>
    <m/>
    <m/>
    <m/>
    <n v="0"/>
    <n v="0"/>
    <n v="5"/>
    <n v="5"/>
    <x v="40"/>
    <x v="0"/>
    <n v="0"/>
    <s v="NO"/>
    <m/>
  </r>
  <r>
    <d v="2016-07-18T00:00:00"/>
    <x v="4"/>
    <s v="KBC"/>
    <x v="0"/>
    <x v="0"/>
    <x v="41"/>
    <n v="1"/>
    <m/>
    <m/>
    <m/>
    <m/>
    <m/>
    <m/>
    <m/>
    <m/>
    <n v="0"/>
    <n v="0"/>
    <n v="40"/>
    <n v="40"/>
    <x v="41"/>
    <x v="1"/>
    <s v=""/>
    <s v="NO"/>
    <m/>
  </r>
  <r>
    <d v="2016-07-14T00:00:00"/>
    <x v="2"/>
    <s v="KMSS"/>
    <x v="0"/>
    <x v="7"/>
    <x v="42"/>
    <n v="1"/>
    <m/>
    <m/>
    <n v="42"/>
    <n v="42"/>
    <m/>
    <m/>
    <m/>
    <m/>
    <n v="0"/>
    <n v="0"/>
    <m/>
    <m/>
    <x v="42"/>
    <x v="0"/>
    <n v="0"/>
    <s v="YES"/>
    <s v="21 twin shelters = 42 units"/>
  </r>
  <r>
    <d v="2016-05-12T00:00:00"/>
    <x v="2"/>
    <s v="KBC"/>
    <x v="0"/>
    <x v="1"/>
    <x v="43"/>
    <n v="1"/>
    <m/>
    <m/>
    <m/>
    <m/>
    <m/>
    <m/>
    <m/>
    <m/>
    <n v="0"/>
    <n v="0"/>
    <n v="10"/>
    <m/>
    <x v="43"/>
    <x v="0"/>
    <n v="0"/>
    <s v="NO"/>
    <m/>
  </r>
  <r>
    <d v="2016-05-12T00:00:00"/>
    <x v="2"/>
    <s v="KBC"/>
    <x v="0"/>
    <x v="10"/>
    <x v="44"/>
    <n v="1"/>
    <m/>
    <m/>
    <m/>
    <m/>
    <m/>
    <m/>
    <m/>
    <m/>
    <n v="0"/>
    <n v="0"/>
    <n v="2"/>
    <m/>
    <x v="44"/>
    <x v="0"/>
    <n v="0"/>
    <s v="NO"/>
    <m/>
  </r>
  <r>
    <d v="2016-05-12T00:00:00"/>
    <x v="2"/>
    <s v="KBC"/>
    <x v="0"/>
    <x v="0"/>
    <x v="45"/>
    <n v="1"/>
    <m/>
    <m/>
    <m/>
    <m/>
    <m/>
    <m/>
    <m/>
    <m/>
    <n v="0"/>
    <n v="0"/>
    <n v="30"/>
    <m/>
    <x v="45"/>
    <x v="0"/>
    <n v="0"/>
    <s v="NO"/>
    <m/>
  </r>
  <r>
    <d v="2016-05-12T00:00:00"/>
    <x v="2"/>
    <s v="KBC"/>
    <x v="0"/>
    <x v="0"/>
    <x v="46"/>
    <n v="1"/>
    <m/>
    <m/>
    <m/>
    <m/>
    <m/>
    <m/>
    <m/>
    <m/>
    <n v="0"/>
    <n v="0"/>
    <n v="20"/>
    <m/>
    <x v="46"/>
    <x v="0"/>
    <n v="0"/>
    <s v="NO"/>
    <m/>
  </r>
  <r>
    <d v="2016-05-12T00:00:00"/>
    <x v="2"/>
    <s v="KBC"/>
    <x v="0"/>
    <x v="1"/>
    <x v="47"/>
    <n v="1"/>
    <m/>
    <m/>
    <m/>
    <m/>
    <m/>
    <m/>
    <m/>
    <m/>
    <n v="0"/>
    <n v="0"/>
    <n v="10"/>
    <m/>
    <x v="47"/>
    <x v="0"/>
    <n v="0"/>
    <s v="NO"/>
    <m/>
  </r>
  <r>
    <d v="2016-05-12T00:00:00"/>
    <x v="2"/>
    <s v="KBC"/>
    <x v="0"/>
    <x v="1"/>
    <x v="48"/>
    <n v="1"/>
    <m/>
    <m/>
    <m/>
    <m/>
    <m/>
    <m/>
    <m/>
    <m/>
    <n v="0"/>
    <n v="0"/>
    <n v="5"/>
    <m/>
    <x v="48"/>
    <x v="0"/>
    <n v="0"/>
    <s v="NO"/>
    <m/>
  </r>
  <r>
    <d v="2016-05-12T00:00:00"/>
    <x v="2"/>
    <s v="KBC"/>
    <x v="0"/>
    <x v="1"/>
    <x v="49"/>
    <n v="1"/>
    <m/>
    <m/>
    <m/>
    <m/>
    <m/>
    <m/>
    <m/>
    <m/>
    <n v="0"/>
    <n v="0"/>
    <n v="3"/>
    <m/>
    <x v="49"/>
    <x v="0"/>
    <n v="0"/>
    <s v="NO"/>
    <m/>
  </r>
  <r>
    <d v="2016-05-12T00:00:00"/>
    <x v="2"/>
    <s v="KBC"/>
    <x v="0"/>
    <x v="0"/>
    <x v="41"/>
    <n v="1"/>
    <m/>
    <m/>
    <m/>
    <m/>
    <m/>
    <m/>
    <m/>
    <m/>
    <n v="0"/>
    <n v="0"/>
    <n v="40"/>
    <m/>
    <x v="41"/>
    <x v="1"/>
    <s v=""/>
    <s v="NO"/>
    <m/>
  </r>
  <r>
    <d v="2016-05-12T00:00:00"/>
    <x v="2"/>
    <s v="KBC"/>
    <x v="0"/>
    <x v="4"/>
    <x v="50"/>
    <n v="1"/>
    <m/>
    <m/>
    <n v="85"/>
    <n v="85"/>
    <m/>
    <m/>
    <m/>
    <m/>
    <n v="85"/>
    <n v="85"/>
    <m/>
    <m/>
    <x v="50"/>
    <x v="0"/>
    <n v="0.21091811414392059"/>
    <s v="NO"/>
    <m/>
  </r>
  <r>
    <d v="2016-05-10T00:00:00"/>
    <x v="0"/>
    <s v="DRC"/>
    <x v="0"/>
    <x v="7"/>
    <x v="51"/>
    <n v="1"/>
    <m/>
    <m/>
    <n v="170"/>
    <n v="170"/>
    <m/>
    <m/>
    <m/>
    <m/>
    <n v="170"/>
    <n v="170"/>
    <m/>
    <m/>
    <x v="51"/>
    <x v="0"/>
    <n v="0.47486033519553073"/>
    <s v="NO"/>
    <m/>
  </r>
  <r>
    <d v="2016-05-10T00:00:00"/>
    <x v="0"/>
    <s v="KMSS"/>
    <x v="0"/>
    <x v="0"/>
    <x v="52"/>
    <n v="1"/>
    <m/>
    <m/>
    <n v="60"/>
    <n v="65"/>
    <m/>
    <m/>
    <m/>
    <m/>
    <n v="65"/>
    <n v="65"/>
    <m/>
    <m/>
    <x v="52"/>
    <x v="0"/>
    <n v="0.65"/>
    <s v="NO"/>
    <m/>
  </r>
  <r>
    <d v="2016-02-22T00:00:00"/>
    <x v="0"/>
    <m/>
    <x v="0"/>
    <x v="7"/>
    <x v="53"/>
    <n v="1"/>
    <m/>
    <m/>
    <n v="118"/>
    <n v="118"/>
    <m/>
    <m/>
    <m/>
    <m/>
    <n v="0"/>
    <n v="0"/>
    <m/>
    <m/>
    <x v="53"/>
    <x v="0"/>
    <n v="0"/>
    <s v="YES"/>
    <m/>
  </r>
  <r>
    <d v="2016-02-22T00:00:00"/>
    <x v="0"/>
    <m/>
    <x v="0"/>
    <x v="7"/>
    <x v="51"/>
    <n v="1"/>
    <m/>
    <m/>
    <n v="170"/>
    <n v="170"/>
    <m/>
    <m/>
    <m/>
    <m/>
    <n v="0"/>
    <n v="0"/>
    <m/>
    <m/>
    <x v="51"/>
    <x v="0"/>
    <n v="0"/>
    <s v="YES"/>
    <m/>
  </r>
  <r>
    <d v="2016-02-22T00:00:00"/>
    <x v="0"/>
    <m/>
    <x v="0"/>
    <x v="7"/>
    <x v="16"/>
    <n v="1"/>
    <m/>
    <m/>
    <n v="254"/>
    <n v="254"/>
    <m/>
    <m/>
    <m/>
    <m/>
    <n v="0"/>
    <n v="0"/>
    <m/>
    <m/>
    <x v="16"/>
    <x v="0"/>
    <n v="0"/>
    <s v="YES"/>
    <m/>
  </r>
  <r>
    <d v="2016-02-22T00:00:00"/>
    <x v="0"/>
    <m/>
    <x v="0"/>
    <x v="0"/>
    <x v="52"/>
    <n v="1"/>
    <m/>
    <m/>
    <n v="66"/>
    <n v="66"/>
    <m/>
    <m/>
    <m/>
    <m/>
    <n v="0"/>
    <n v="0"/>
    <m/>
    <m/>
    <x v="52"/>
    <x v="0"/>
    <n v="0"/>
    <s v="YES"/>
    <m/>
  </r>
  <r>
    <d v="2016-02-22T00:00:00"/>
    <x v="5"/>
    <m/>
    <x v="0"/>
    <x v="11"/>
    <x v="54"/>
    <n v="1"/>
    <m/>
    <m/>
    <n v="40"/>
    <n v="40"/>
    <m/>
    <m/>
    <m/>
    <m/>
    <n v="28"/>
    <n v="40"/>
    <m/>
    <m/>
    <x v="54"/>
    <x v="0"/>
    <n v="1"/>
    <s v="NO"/>
    <m/>
  </r>
  <r>
    <d v="2016-02-16T00:00:00"/>
    <x v="2"/>
    <s v="KBC"/>
    <x v="0"/>
    <x v="1"/>
    <x v="6"/>
    <n v="1"/>
    <m/>
    <m/>
    <m/>
    <m/>
    <m/>
    <m/>
    <m/>
    <m/>
    <n v="0"/>
    <n v="0"/>
    <n v="13"/>
    <n v="13"/>
    <x v="6"/>
    <x v="0"/>
    <n v="0"/>
    <s v="NO"/>
    <m/>
  </r>
  <r>
    <d v="2016-02-16T00:00:00"/>
    <x v="2"/>
    <s v="KBC"/>
    <x v="0"/>
    <x v="1"/>
    <x v="55"/>
    <n v="1"/>
    <m/>
    <m/>
    <m/>
    <m/>
    <m/>
    <m/>
    <m/>
    <m/>
    <n v="0"/>
    <n v="0"/>
    <n v="5"/>
    <n v="5"/>
    <x v="55"/>
    <x v="0"/>
    <n v="0"/>
    <s v="NO"/>
    <m/>
  </r>
  <r>
    <d v="2016-02-16T00:00:00"/>
    <x v="2"/>
    <s v="KMSS"/>
    <x v="0"/>
    <x v="7"/>
    <x v="56"/>
    <n v="1"/>
    <m/>
    <m/>
    <m/>
    <m/>
    <m/>
    <m/>
    <m/>
    <m/>
    <n v="0"/>
    <n v="0"/>
    <n v="338"/>
    <n v="338"/>
    <x v="56"/>
    <x v="0"/>
    <n v="0"/>
    <s v="NO"/>
    <m/>
  </r>
  <r>
    <d v="2016-02-16T00:00:00"/>
    <x v="2"/>
    <s v="KMSS"/>
    <x v="0"/>
    <x v="7"/>
    <x v="53"/>
    <n v="1"/>
    <m/>
    <m/>
    <m/>
    <m/>
    <m/>
    <m/>
    <m/>
    <m/>
    <n v="0"/>
    <n v="0"/>
    <n v="220"/>
    <n v="220"/>
    <x v="53"/>
    <x v="0"/>
    <n v="0"/>
    <s v="NO"/>
    <m/>
  </r>
  <r>
    <d v="2016-02-16T00:00:00"/>
    <x v="2"/>
    <s v="KMSS"/>
    <x v="0"/>
    <x v="2"/>
    <x v="57"/>
    <n v="1"/>
    <m/>
    <m/>
    <n v="12"/>
    <n v="12"/>
    <m/>
    <m/>
    <m/>
    <m/>
    <n v="12"/>
    <n v="12"/>
    <m/>
    <m/>
    <x v="57"/>
    <x v="0"/>
    <n v="0.16666666666666666"/>
    <s v="NO"/>
    <m/>
  </r>
  <r>
    <d v="2016-02-16T00:00:00"/>
    <x v="2"/>
    <s v="Shalom"/>
    <x v="0"/>
    <x v="2"/>
    <x v="22"/>
    <n v="1"/>
    <m/>
    <m/>
    <n v="15"/>
    <n v="15"/>
    <m/>
    <m/>
    <m/>
    <m/>
    <n v="15"/>
    <n v="15"/>
    <m/>
    <m/>
    <x v="22"/>
    <x v="0"/>
    <n v="0.22727272727272727"/>
    <s v="NO"/>
    <m/>
  </r>
  <r>
    <d v="2016-02-16T00:00:00"/>
    <x v="2"/>
    <s v="KMSS"/>
    <x v="0"/>
    <x v="7"/>
    <x v="42"/>
    <n v="1"/>
    <m/>
    <m/>
    <n v="82"/>
    <n v="82"/>
    <m/>
    <m/>
    <m/>
    <m/>
    <n v="82"/>
    <n v="82"/>
    <m/>
    <m/>
    <x v="42"/>
    <x v="0"/>
    <n v="0.79611650485436891"/>
    <s v="NO"/>
    <m/>
  </r>
  <r>
    <d v="2016-02-16T00:00:00"/>
    <x v="2"/>
    <s v="KBC"/>
    <x v="0"/>
    <x v="1"/>
    <x v="58"/>
    <n v="1"/>
    <m/>
    <m/>
    <m/>
    <m/>
    <m/>
    <m/>
    <m/>
    <m/>
    <n v="0"/>
    <n v="0"/>
    <n v="30"/>
    <n v="30"/>
    <x v="58"/>
    <x v="0"/>
    <n v="0"/>
    <s v="NO"/>
    <m/>
  </r>
  <r>
    <d v="2016-02-16T00:00:00"/>
    <x v="2"/>
    <s v="KBC"/>
    <x v="0"/>
    <x v="1"/>
    <x v="59"/>
    <n v="1"/>
    <m/>
    <m/>
    <m/>
    <m/>
    <m/>
    <m/>
    <m/>
    <m/>
    <n v="0"/>
    <n v="0"/>
    <n v="46"/>
    <n v="46"/>
    <x v="59"/>
    <x v="0"/>
    <n v="0"/>
    <s v="NO"/>
    <m/>
  </r>
  <r>
    <d v="2016-02-16T00:00:00"/>
    <x v="2"/>
    <s v="KBC"/>
    <x v="0"/>
    <x v="1"/>
    <x v="47"/>
    <n v="1"/>
    <m/>
    <m/>
    <m/>
    <m/>
    <m/>
    <m/>
    <m/>
    <m/>
    <n v="0"/>
    <n v="0"/>
    <n v="37"/>
    <n v="37"/>
    <x v="47"/>
    <x v="0"/>
    <n v="0"/>
    <s v="NO"/>
    <m/>
  </r>
  <r>
    <d v="2016-02-16T00:00:00"/>
    <x v="2"/>
    <s v="KBC"/>
    <x v="0"/>
    <x v="0"/>
    <x v="41"/>
    <n v="1"/>
    <m/>
    <m/>
    <m/>
    <m/>
    <m/>
    <m/>
    <m/>
    <m/>
    <n v="0"/>
    <n v="0"/>
    <n v="8"/>
    <n v="8"/>
    <x v="41"/>
    <x v="1"/>
    <s v=""/>
    <s v="NO"/>
    <m/>
  </r>
  <r>
    <d v="2016-02-16T00:00:00"/>
    <x v="2"/>
    <s v="Shalom"/>
    <x v="0"/>
    <x v="5"/>
    <x v="29"/>
    <n v="1"/>
    <m/>
    <m/>
    <n v="15"/>
    <n v="15"/>
    <m/>
    <m/>
    <m/>
    <m/>
    <n v="15"/>
    <n v="15"/>
    <m/>
    <m/>
    <x v="29"/>
    <x v="0"/>
    <n v="0.11538461538461539"/>
    <s v="NO"/>
    <m/>
  </r>
  <r>
    <d v="2016-02-16T00:00:00"/>
    <x v="5"/>
    <m/>
    <x v="0"/>
    <x v="10"/>
    <x v="44"/>
    <n v="1"/>
    <m/>
    <m/>
    <n v="60"/>
    <n v="60"/>
    <m/>
    <m/>
    <m/>
    <m/>
    <n v="60"/>
    <n v="60"/>
    <m/>
    <m/>
    <x v="44"/>
    <x v="0"/>
    <n v="0.98360655737704916"/>
    <s v="NO"/>
    <m/>
  </r>
  <r>
    <d v="2016-02-16T00:00:00"/>
    <x v="6"/>
    <m/>
    <x v="1"/>
    <x v="9"/>
    <x v="60"/>
    <n v="1"/>
    <m/>
    <m/>
    <n v="25"/>
    <n v="25"/>
    <m/>
    <m/>
    <m/>
    <m/>
    <n v="25"/>
    <n v="25"/>
    <m/>
    <m/>
    <x v="60"/>
    <x v="0"/>
    <n v="0.69444444444444442"/>
    <s v="NO"/>
    <m/>
  </r>
  <r>
    <d v="2016-02-16T00:00:00"/>
    <x v="6"/>
    <m/>
    <x v="1"/>
    <x v="12"/>
    <x v="61"/>
    <n v="1"/>
    <m/>
    <m/>
    <n v="9"/>
    <n v="9"/>
    <m/>
    <m/>
    <m/>
    <m/>
    <n v="9"/>
    <n v="9"/>
    <m/>
    <m/>
    <x v="61"/>
    <x v="0"/>
    <n v="1"/>
    <s v="NO"/>
    <m/>
  </r>
  <r>
    <d v="2016-02-16T00:00:00"/>
    <x v="6"/>
    <m/>
    <x v="1"/>
    <x v="13"/>
    <x v="62"/>
    <n v="1"/>
    <m/>
    <m/>
    <n v="25"/>
    <n v="25"/>
    <m/>
    <m/>
    <m/>
    <m/>
    <n v="25"/>
    <n v="25"/>
    <m/>
    <m/>
    <x v="62"/>
    <x v="0"/>
    <n v="0.73529411764705888"/>
    <s v="NO"/>
    <m/>
  </r>
  <r>
    <d v="2016-02-16T00:00:00"/>
    <x v="6"/>
    <m/>
    <x v="1"/>
    <x v="9"/>
    <x v="63"/>
    <n v="1"/>
    <m/>
    <m/>
    <n v="36"/>
    <n v="36"/>
    <m/>
    <m/>
    <m/>
    <m/>
    <n v="36"/>
    <n v="36"/>
    <m/>
    <m/>
    <x v="63"/>
    <x v="0"/>
    <n v="0.3"/>
    <s v="NO"/>
    <m/>
  </r>
  <r>
    <d v="2016-02-16T00:00:00"/>
    <x v="2"/>
    <s v="KMSS"/>
    <x v="0"/>
    <x v="1"/>
    <x v="2"/>
    <n v="1"/>
    <m/>
    <m/>
    <n v="14"/>
    <n v="14"/>
    <m/>
    <m/>
    <m/>
    <m/>
    <n v="14"/>
    <n v="14"/>
    <m/>
    <m/>
    <x v="2"/>
    <x v="0"/>
    <n v="0.2857142857142857"/>
    <s v="NO"/>
    <m/>
  </r>
  <r>
    <d v="2016-02-16T00:00:00"/>
    <x v="5"/>
    <m/>
    <x v="0"/>
    <x v="0"/>
    <x v="40"/>
    <n v="1"/>
    <m/>
    <m/>
    <n v="73"/>
    <n v="73"/>
    <m/>
    <m/>
    <m/>
    <m/>
    <n v="73"/>
    <n v="73"/>
    <m/>
    <m/>
    <x v="40"/>
    <x v="0"/>
    <n v="0.39673913043478259"/>
    <s v="NO"/>
    <m/>
  </r>
  <r>
    <d v="2016-02-16T00:00:00"/>
    <x v="2"/>
    <s v="Shalom"/>
    <x v="0"/>
    <x v="1"/>
    <x v="64"/>
    <n v="1"/>
    <m/>
    <m/>
    <n v="10"/>
    <n v="10"/>
    <m/>
    <m/>
    <m/>
    <m/>
    <n v="10"/>
    <n v="10"/>
    <m/>
    <m/>
    <x v="64"/>
    <x v="0"/>
    <n v="0.18518518518518517"/>
    <s v="NO"/>
    <m/>
  </r>
  <r>
    <d v="2016-02-16T00:00:00"/>
    <x v="6"/>
    <m/>
    <x v="1"/>
    <x v="6"/>
    <x v="65"/>
    <n v="1"/>
    <m/>
    <m/>
    <n v="16"/>
    <n v="16"/>
    <m/>
    <m/>
    <m/>
    <m/>
    <n v="16"/>
    <n v="16"/>
    <m/>
    <m/>
    <x v="65"/>
    <x v="0"/>
    <n v="8.6021505376344093E-2"/>
    <s v="NO"/>
    <m/>
  </r>
  <r>
    <d v="2014-12-30T00:00:00"/>
    <x v="2"/>
    <s v="KBC"/>
    <x v="0"/>
    <x v="0"/>
    <x v="40"/>
    <n v="1"/>
    <n v="90"/>
    <m/>
    <m/>
    <m/>
    <m/>
    <m/>
    <m/>
    <m/>
    <n v="0"/>
    <n v="0"/>
    <m/>
    <m/>
    <x v="40"/>
    <x v="0"/>
    <n v="0"/>
    <s v="NO"/>
    <m/>
  </r>
  <r>
    <d v="2014-12-01T00:00:00"/>
    <x v="2"/>
    <s v="KBC"/>
    <x v="0"/>
    <x v="4"/>
    <x v="66"/>
    <n v="1"/>
    <m/>
    <m/>
    <n v="90"/>
    <n v="90"/>
    <m/>
    <m/>
    <m/>
    <m/>
    <n v="90"/>
    <n v="90"/>
    <m/>
    <m/>
    <x v="66"/>
    <x v="0"/>
    <n v="0.23316062176165803"/>
    <s v="NO"/>
    <m/>
  </r>
  <r>
    <d v="2014-12-01T00:00:00"/>
    <x v="2"/>
    <s v="KBC"/>
    <x v="0"/>
    <x v="4"/>
    <x v="67"/>
    <n v="1"/>
    <m/>
    <m/>
    <n v="120"/>
    <n v="120"/>
    <m/>
    <m/>
    <m/>
    <m/>
    <n v="0"/>
    <n v="0"/>
    <m/>
    <m/>
    <x v="67"/>
    <x v="1"/>
    <s v=""/>
    <s v="NO"/>
    <m/>
  </r>
  <r>
    <d v="2014-12-01T00:00:00"/>
    <x v="2"/>
    <s v="KBC"/>
    <x v="0"/>
    <x v="4"/>
    <x v="32"/>
    <n v="1"/>
    <m/>
    <m/>
    <n v="118"/>
    <n v="118"/>
    <m/>
    <m/>
    <m/>
    <m/>
    <n v="118"/>
    <n v="118"/>
    <m/>
    <m/>
    <x v="32"/>
    <x v="0"/>
    <n v="0.21572212065813529"/>
    <s v="NO"/>
    <m/>
  </r>
  <r>
    <d v="2014-12-01T00:00:00"/>
    <x v="2"/>
    <s v="Shalom"/>
    <x v="0"/>
    <x v="2"/>
    <x v="22"/>
    <n v="1"/>
    <m/>
    <m/>
    <n v="15"/>
    <n v="15"/>
    <m/>
    <m/>
    <m/>
    <m/>
    <n v="15"/>
    <n v="15"/>
    <m/>
    <m/>
    <x v="22"/>
    <x v="0"/>
    <n v="0.22727272727272727"/>
    <s v="NO"/>
    <m/>
  </r>
  <r>
    <d v="2014-12-01T00:00:00"/>
    <x v="2"/>
    <s v="Shalom"/>
    <x v="0"/>
    <x v="2"/>
    <x v="10"/>
    <n v="1"/>
    <m/>
    <m/>
    <n v="5"/>
    <n v="5"/>
    <m/>
    <m/>
    <m/>
    <m/>
    <n v="5"/>
    <n v="5"/>
    <m/>
    <m/>
    <x v="10"/>
    <x v="0"/>
    <n v="0.35714285714285715"/>
    <s v="NO"/>
    <m/>
  </r>
  <r>
    <d v="2014-12-01T00:00:00"/>
    <x v="2"/>
    <s v="Shalom"/>
    <x v="0"/>
    <x v="2"/>
    <x v="68"/>
    <n v="1"/>
    <m/>
    <m/>
    <n v="5"/>
    <n v="5"/>
    <m/>
    <m/>
    <m/>
    <m/>
    <n v="0"/>
    <n v="0"/>
    <m/>
    <m/>
    <x v="68"/>
    <x v="1"/>
    <s v=""/>
    <s v="NO"/>
    <m/>
  </r>
  <r>
    <d v="2014-12-01T00:00:00"/>
    <x v="2"/>
    <s v="Shalom"/>
    <x v="0"/>
    <x v="2"/>
    <x v="23"/>
    <n v="1"/>
    <m/>
    <m/>
    <n v="2"/>
    <n v="2"/>
    <m/>
    <m/>
    <m/>
    <m/>
    <n v="2"/>
    <n v="2"/>
    <m/>
    <m/>
    <x v="23"/>
    <x v="0"/>
    <n v="0.33333333333333331"/>
    <s v="NO"/>
    <m/>
  </r>
  <r>
    <d v="2014-12-01T00:00:00"/>
    <x v="2"/>
    <s v="Shalom"/>
    <x v="0"/>
    <x v="8"/>
    <x v="27"/>
    <n v="1"/>
    <m/>
    <m/>
    <n v="5"/>
    <n v="5"/>
    <m/>
    <m/>
    <m/>
    <m/>
    <n v="5"/>
    <n v="5"/>
    <m/>
    <m/>
    <x v="27"/>
    <x v="0"/>
    <n v="4.6296296296296294E-2"/>
    <s v="NO"/>
    <m/>
  </r>
  <r>
    <d v="2014-12-01T00:00:00"/>
    <x v="2"/>
    <s v="Shalom"/>
    <x v="0"/>
    <x v="2"/>
    <x v="24"/>
    <n v="1"/>
    <m/>
    <m/>
    <n v="45"/>
    <n v="45"/>
    <m/>
    <m/>
    <m/>
    <m/>
    <n v="45"/>
    <n v="45"/>
    <m/>
    <m/>
    <x v="24"/>
    <x v="0"/>
    <n v="0.6428571428571429"/>
    <s v="NO"/>
    <m/>
  </r>
  <r>
    <d v="2014-12-01T00:00:00"/>
    <x v="2"/>
    <s v="KMSS"/>
    <x v="0"/>
    <x v="7"/>
    <x v="56"/>
    <n v="1"/>
    <m/>
    <m/>
    <n v="280"/>
    <n v="280"/>
    <m/>
    <m/>
    <m/>
    <m/>
    <n v="280"/>
    <n v="280"/>
    <m/>
    <m/>
    <x v="56"/>
    <x v="0"/>
    <n v="0.38997214484679665"/>
    <s v="NO"/>
    <m/>
  </r>
  <r>
    <d v="2014-12-01T00:00:00"/>
    <x v="2"/>
    <s v="KMSS"/>
    <x v="0"/>
    <x v="7"/>
    <x v="53"/>
    <n v="1"/>
    <m/>
    <m/>
    <n v="278"/>
    <n v="278"/>
    <m/>
    <m/>
    <m/>
    <m/>
    <n v="278"/>
    <n v="278"/>
    <m/>
    <m/>
    <x v="53"/>
    <x v="0"/>
    <n v="0.17981888745148772"/>
    <s v="NO"/>
    <m/>
  </r>
  <r>
    <d v="2014-12-01T00:00:00"/>
    <x v="2"/>
    <s v="Shalom"/>
    <x v="0"/>
    <x v="8"/>
    <x v="26"/>
    <n v="1"/>
    <m/>
    <m/>
    <n v="35"/>
    <n v="35"/>
    <m/>
    <m/>
    <m/>
    <m/>
    <n v="35"/>
    <n v="35"/>
    <m/>
    <m/>
    <x v="26"/>
    <x v="0"/>
    <n v="0.24305555555555555"/>
    <s v="NO"/>
    <m/>
  </r>
  <r>
    <d v="2014-12-01T00:00:00"/>
    <x v="2"/>
    <s v="Shalom"/>
    <x v="0"/>
    <x v="2"/>
    <x v="28"/>
    <n v="1"/>
    <m/>
    <m/>
    <n v="5"/>
    <n v="5"/>
    <m/>
    <m/>
    <m/>
    <m/>
    <n v="5"/>
    <n v="5"/>
    <m/>
    <m/>
    <x v="28"/>
    <x v="0"/>
    <n v="0.25"/>
    <s v="NO"/>
    <m/>
  </r>
  <r>
    <d v="2014-12-01T00:00:00"/>
    <x v="2"/>
    <s v="Shalom"/>
    <x v="0"/>
    <x v="2"/>
    <x v="69"/>
    <n v="1"/>
    <m/>
    <m/>
    <n v="15"/>
    <n v="15"/>
    <m/>
    <m/>
    <m/>
    <m/>
    <n v="12"/>
    <n v="15"/>
    <m/>
    <m/>
    <x v="69"/>
    <x v="0"/>
    <n v="1"/>
    <s v="NO"/>
    <m/>
  </r>
  <r>
    <d v="2014-12-01T00:00:00"/>
    <x v="2"/>
    <s v="Shalom"/>
    <x v="0"/>
    <x v="5"/>
    <x v="29"/>
    <n v="1"/>
    <m/>
    <m/>
    <n v="15"/>
    <n v="15"/>
    <m/>
    <m/>
    <m/>
    <m/>
    <n v="15"/>
    <n v="15"/>
    <n v="8"/>
    <m/>
    <x v="29"/>
    <x v="0"/>
    <n v="0.11538461538461539"/>
    <s v="NO"/>
    <m/>
  </r>
  <r>
    <d v="2014-12-01T00:00:00"/>
    <x v="6"/>
    <m/>
    <x v="1"/>
    <x v="12"/>
    <x v="70"/>
    <n v="1"/>
    <m/>
    <m/>
    <n v="44"/>
    <n v="44"/>
    <m/>
    <m/>
    <m/>
    <m/>
    <n v="44"/>
    <n v="44"/>
    <m/>
    <m/>
    <x v="70"/>
    <x v="0"/>
    <n v="1"/>
    <s v="NO"/>
    <m/>
  </r>
  <r>
    <d v="2014-12-01T00:00:00"/>
    <x v="2"/>
    <s v="Shalom"/>
    <x v="0"/>
    <x v="2"/>
    <x v="71"/>
    <n v="1"/>
    <m/>
    <m/>
    <n v="5"/>
    <n v="5"/>
    <m/>
    <m/>
    <m/>
    <m/>
    <n v="5"/>
    <n v="5"/>
    <m/>
    <m/>
    <x v="71"/>
    <x v="0"/>
    <n v="0.41666666666666669"/>
    <s v="NO"/>
    <m/>
  </r>
  <r>
    <d v="2014-12-01T00:00:00"/>
    <x v="2"/>
    <s v="Shalom"/>
    <x v="0"/>
    <x v="0"/>
    <x v="72"/>
    <n v="1"/>
    <m/>
    <m/>
    <n v="9"/>
    <n v="9"/>
    <m/>
    <m/>
    <m/>
    <m/>
    <n v="9"/>
    <n v="9"/>
    <m/>
    <m/>
    <x v="72"/>
    <x v="0"/>
    <n v="0.45"/>
    <s v="NO"/>
    <m/>
  </r>
  <r>
    <d v="2014-12-01T00:00:00"/>
    <x v="0"/>
    <m/>
    <x v="0"/>
    <x v="7"/>
    <x v="16"/>
    <n v="1"/>
    <m/>
    <m/>
    <n v="394"/>
    <n v="140"/>
    <m/>
    <m/>
    <m/>
    <m/>
    <n v="140"/>
    <n v="140"/>
    <m/>
    <m/>
    <x v="16"/>
    <x v="0"/>
    <n v="0.23450586264656617"/>
    <s v="NO"/>
    <m/>
  </r>
  <r>
    <d v="2014-12-01T00:00:00"/>
    <x v="2"/>
    <s v="Shalom"/>
    <x v="0"/>
    <x v="0"/>
    <x v="25"/>
    <n v="1"/>
    <m/>
    <m/>
    <n v="21"/>
    <n v="21"/>
    <m/>
    <m/>
    <m/>
    <m/>
    <n v="21"/>
    <n v="21"/>
    <m/>
    <m/>
    <x v="25"/>
    <x v="0"/>
    <n v="0.1891891891891892"/>
    <s v="NO"/>
    <m/>
  </r>
  <r>
    <d v="2014-12-01T00:00:00"/>
    <x v="2"/>
    <s v="Shalom"/>
    <x v="0"/>
    <x v="1"/>
    <x v="64"/>
    <n v="1"/>
    <m/>
    <m/>
    <n v="5"/>
    <n v="5"/>
    <m/>
    <m/>
    <m/>
    <m/>
    <n v="5"/>
    <n v="5"/>
    <m/>
    <m/>
    <x v="64"/>
    <x v="0"/>
    <n v="9.2592592592592587E-2"/>
    <s v="NO"/>
    <m/>
  </r>
  <r>
    <d v="2014-12-01T00:00:00"/>
    <x v="2"/>
    <s v="Shalom"/>
    <x v="0"/>
    <x v="0"/>
    <x v="73"/>
    <n v="1"/>
    <m/>
    <m/>
    <n v="5"/>
    <n v="5"/>
    <m/>
    <m/>
    <m/>
    <m/>
    <n v="5"/>
    <n v="5"/>
    <m/>
    <m/>
    <x v="73"/>
    <x v="0"/>
    <n v="0.10869565217391304"/>
    <s v="NO"/>
    <m/>
  </r>
  <r>
    <d v="2014-12-01T00:00:00"/>
    <x v="2"/>
    <s v="KBC"/>
    <x v="0"/>
    <x v="7"/>
    <x v="74"/>
    <n v="1"/>
    <m/>
    <m/>
    <n v="21"/>
    <n v="21"/>
    <m/>
    <m/>
    <m/>
    <m/>
    <n v="21"/>
    <n v="21"/>
    <m/>
    <m/>
    <x v="74"/>
    <x v="0"/>
    <n v="0.20388349514563106"/>
    <s v="NO"/>
    <m/>
  </r>
  <r>
    <d v="2014-06-19T00:00:00"/>
    <x v="0"/>
    <s v="Shalom"/>
    <x v="0"/>
    <x v="0"/>
    <x v="75"/>
    <n v="1"/>
    <m/>
    <m/>
    <n v="50"/>
    <n v="55"/>
    <m/>
    <m/>
    <m/>
    <m/>
    <n v="55"/>
    <n v="55"/>
    <m/>
    <m/>
    <x v="75"/>
    <x v="0"/>
    <n v="0.53921568627450978"/>
    <s v="NO"/>
    <m/>
  </r>
  <r>
    <d v="2014-06-19T00:00:00"/>
    <x v="2"/>
    <s v="KBSS"/>
    <x v="0"/>
    <x v="7"/>
    <x v="76"/>
    <n v="1"/>
    <m/>
    <m/>
    <n v="80"/>
    <n v="80"/>
    <m/>
    <m/>
    <m/>
    <m/>
    <n v="80"/>
    <n v="80"/>
    <m/>
    <m/>
    <x v="76"/>
    <x v="0"/>
    <n v="0.30188679245283018"/>
    <s v="NO"/>
    <m/>
  </r>
  <r>
    <d v="2014-06-19T00:00:00"/>
    <x v="6"/>
    <m/>
    <x v="0"/>
    <x v="4"/>
    <x v="77"/>
    <n v="1"/>
    <m/>
    <m/>
    <n v="56"/>
    <n v="60"/>
    <m/>
    <m/>
    <m/>
    <m/>
    <n v="60"/>
    <n v="60"/>
    <m/>
    <m/>
    <x v="77"/>
    <x v="0"/>
    <n v="0.30927835051546393"/>
    <s v="NO"/>
    <m/>
  </r>
  <r>
    <d v="2014-06-01T00:00:00"/>
    <x v="2"/>
    <s v="KMSS"/>
    <x v="0"/>
    <x v="4"/>
    <x v="66"/>
    <n v="1"/>
    <m/>
    <m/>
    <n v="100"/>
    <n v="100"/>
    <m/>
    <m/>
    <m/>
    <m/>
    <n v="100"/>
    <n v="100"/>
    <m/>
    <m/>
    <x v="66"/>
    <x v="0"/>
    <n v="0.25906735751295334"/>
    <s v="NO"/>
    <m/>
  </r>
  <r>
    <d v="2014-06-01T00:00:00"/>
    <x v="2"/>
    <s v="Shalom"/>
    <x v="0"/>
    <x v="2"/>
    <x v="24"/>
    <n v="1"/>
    <m/>
    <m/>
    <n v="20"/>
    <n v="20"/>
    <m/>
    <m/>
    <m/>
    <m/>
    <n v="20"/>
    <n v="20"/>
    <m/>
    <m/>
    <x v="24"/>
    <x v="0"/>
    <n v="0.2857142857142857"/>
    <s v="NO"/>
    <m/>
  </r>
  <r>
    <d v="2014-06-01T00:00:00"/>
    <x v="2"/>
    <s v="Shalom"/>
    <x v="0"/>
    <x v="8"/>
    <x v="26"/>
    <n v="1"/>
    <m/>
    <m/>
    <n v="5"/>
    <n v="5"/>
    <m/>
    <m/>
    <m/>
    <m/>
    <n v="5"/>
    <n v="5"/>
    <m/>
    <m/>
    <x v="26"/>
    <x v="0"/>
    <n v="3.4722222222222224E-2"/>
    <s v="NO"/>
    <m/>
  </r>
  <r>
    <d v="2014-06-01T00:00:00"/>
    <x v="2"/>
    <s v="Shalom"/>
    <x v="0"/>
    <x v="2"/>
    <x v="28"/>
    <n v="1"/>
    <m/>
    <m/>
    <n v="2"/>
    <n v="2"/>
    <m/>
    <m/>
    <m/>
    <m/>
    <n v="2"/>
    <n v="2"/>
    <m/>
    <m/>
    <x v="28"/>
    <x v="0"/>
    <n v="0.1"/>
    <s v="NO"/>
    <m/>
  </r>
  <r>
    <d v="2014-06-01T00:00:00"/>
    <x v="2"/>
    <s v="Shalom"/>
    <x v="0"/>
    <x v="1"/>
    <x v="31"/>
    <n v="1"/>
    <m/>
    <m/>
    <n v="5"/>
    <n v="5"/>
    <m/>
    <m/>
    <m/>
    <m/>
    <n v="5"/>
    <n v="5"/>
    <m/>
    <m/>
    <x v="31"/>
    <x v="0"/>
    <n v="0.21739130434782608"/>
    <s v="NO"/>
    <m/>
  </r>
  <r>
    <d v="2014-06-01T00:00:00"/>
    <x v="2"/>
    <s v="Shalom"/>
    <x v="0"/>
    <x v="5"/>
    <x v="78"/>
    <n v="1"/>
    <m/>
    <m/>
    <n v="5"/>
    <n v="5"/>
    <m/>
    <m/>
    <m/>
    <m/>
    <n v="5"/>
    <n v="5"/>
    <m/>
    <m/>
    <x v="78"/>
    <x v="0"/>
    <n v="0.38461538461538464"/>
    <s v="NO"/>
    <m/>
  </r>
  <r>
    <d v="2014-06-01T00:00:00"/>
    <x v="2"/>
    <s v="Shalom"/>
    <x v="0"/>
    <x v="0"/>
    <x v="79"/>
    <n v="1"/>
    <m/>
    <m/>
    <n v="3"/>
    <n v="3"/>
    <m/>
    <m/>
    <m/>
    <m/>
    <n v="3"/>
    <n v="3"/>
    <m/>
    <m/>
    <x v="79"/>
    <x v="0"/>
    <n v="9.6774193548387094E-2"/>
    <s v="NO"/>
    <m/>
  </r>
  <r>
    <d v="2014-06-01T00:00:00"/>
    <x v="2"/>
    <s v="Shalom"/>
    <x v="0"/>
    <x v="1"/>
    <x v="64"/>
    <n v="1"/>
    <m/>
    <m/>
    <n v="10"/>
    <n v="10"/>
    <m/>
    <m/>
    <m/>
    <m/>
    <n v="10"/>
    <n v="10"/>
    <m/>
    <m/>
    <x v="64"/>
    <x v="0"/>
    <n v="0.18518518518518517"/>
    <s v="NO"/>
    <m/>
  </r>
  <r>
    <d v="2014-06-01T00:00:00"/>
    <x v="2"/>
    <s v="KBC"/>
    <x v="0"/>
    <x v="7"/>
    <x v="34"/>
    <n v="1"/>
    <m/>
    <m/>
    <n v="25"/>
    <n v="25"/>
    <m/>
    <m/>
    <m/>
    <m/>
    <n v="25"/>
    <n v="25"/>
    <m/>
    <m/>
    <x v="34"/>
    <x v="0"/>
    <n v="0.12886597938144329"/>
    <s v="NO"/>
    <m/>
  </r>
  <r>
    <d v="2014-06-01T00:00:00"/>
    <x v="2"/>
    <s v="KBC"/>
    <x v="0"/>
    <x v="4"/>
    <x v="50"/>
    <n v="1"/>
    <m/>
    <m/>
    <n v="60"/>
    <n v="60"/>
    <m/>
    <m/>
    <m/>
    <m/>
    <n v="60"/>
    <n v="60"/>
    <m/>
    <m/>
    <x v="50"/>
    <x v="0"/>
    <n v="0.14888337468982629"/>
    <s v="NO"/>
    <m/>
  </r>
  <r>
    <d v="2014-06-01T00:00:00"/>
    <x v="2"/>
    <s v="KBC"/>
    <x v="0"/>
    <x v="4"/>
    <x v="77"/>
    <n v="1"/>
    <m/>
    <m/>
    <n v="15"/>
    <n v="15"/>
    <m/>
    <m/>
    <m/>
    <m/>
    <n v="15"/>
    <n v="15"/>
    <m/>
    <m/>
    <x v="77"/>
    <x v="0"/>
    <n v="7.7319587628865982E-2"/>
    <s v="NO"/>
    <m/>
  </r>
  <r>
    <d v="2014-06-01T00:00:00"/>
    <x v="2"/>
    <s v="KBC"/>
    <x v="0"/>
    <x v="7"/>
    <x v="80"/>
    <n v="1"/>
    <m/>
    <m/>
    <n v="10"/>
    <n v="10"/>
    <m/>
    <m/>
    <m/>
    <m/>
    <n v="10"/>
    <n v="10"/>
    <m/>
    <m/>
    <x v="80"/>
    <x v="0"/>
    <n v="2.5839793281653745E-2"/>
    <s v="NO"/>
    <m/>
  </r>
  <r>
    <d v="2014-06-01T00:00:00"/>
    <x v="2"/>
    <s v="KBC"/>
    <x v="0"/>
    <x v="5"/>
    <x v="81"/>
    <n v="1"/>
    <m/>
    <m/>
    <n v="10"/>
    <n v="10"/>
    <m/>
    <m/>
    <m/>
    <m/>
    <n v="10"/>
    <n v="10"/>
    <m/>
    <m/>
    <x v="81"/>
    <x v="0"/>
    <n v="6.535947712418301E-2"/>
    <s v="NO"/>
    <m/>
  </r>
  <r>
    <d v="2014-05-11T00:00:00"/>
    <x v="2"/>
    <m/>
    <x v="1"/>
    <x v="12"/>
    <x v="70"/>
    <n v="1"/>
    <n v="110"/>
    <n v="110"/>
    <m/>
    <m/>
    <m/>
    <m/>
    <m/>
    <m/>
    <n v="0"/>
    <n v="0"/>
    <m/>
    <m/>
    <x v="70"/>
    <x v="0"/>
    <n v="0"/>
    <s v="NO"/>
    <m/>
  </r>
  <r>
    <d v="2014-04-20T00:00:00"/>
    <x v="2"/>
    <m/>
    <x v="0"/>
    <x v="4"/>
    <x v="82"/>
    <n v="1"/>
    <n v="200"/>
    <n v="200"/>
    <m/>
    <m/>
    <m/>
    <m/>
    <m/>
    <m/>
    <n v="0"/>
    <n v="0"/>
    <m/>
    <m/>
    <x v="82"/>
    <x v="1"/>
    <s v=""/>
    <s v="NO"/>
    <m/>
  </r>
  <r>
    <d v="2014-04-19T00:00:00"/>
    <x v="2"/>
    <m/>
    <x v="0"/>
    <x v="4"/>
    <x v="30"/>
    <n v="1"/>
    <n v="200"/>
    <n v="200"/>
    <m/>
    <m/>
    <m/>
    <m/>
    <m/>
    <m/>
    <n v="0"/>
    <n v="0"/>
    <m/>
    <m/>
    <x v="30"/>
    <x v="0"/>
    <n v="0"/>
    <s v="NO"/>
    <m/>
  </r>
  <r>
    <d v="2013-12-01T00:00:00"/>
    <x v="2"/>
    <s v="KBC"/>
    <x v="0"/>
    <x v="2"/>
    <x v="83"/>
    <n v="1"/>
    <m/>
    <m/>
    <n v="20"/>
    <n v="20"/>
    <m/>
    <m/>
    <m/>
    <m/>
    <n v="0"/>
    <n v="0"/>
    <m/>
    <m/>
    <x v="83"/>
    <x v="1"/>
    <s v=""/>
    <s v="NO"/>
    <m/>
  </r>
  <r>
    <d v="2013-12-01T00:00:00"/>
    <x v="2"/>
    <s v="Shalom"/>
    <x v="0"/>
    <x v="2"/>
    <x v="22"/>
    <n v="1"/>
    <m/>
    <m/>
    <n v="25"/>
    <n v="25"/>
    <m/>
    <m/>
    <m/>
    <m/>
    <n v="25"/>
    <n v="25"/>
    <m/>
    <m/>
    <x v="22"/>
    <x v="0"/>
    <n v="0.37878787878787878"/>
    <s v="NO"/>
    <m/>
  </r>
  <r>
    <d v="2013-12-01T00:00:00"/>
    <x v="2"/>
    <s v="Shalom"/>
    <x v="0"/>
    <x v="2"/>
    <x v="10"/>
    <n v="1"/>
    <m/>
    <m/>
    <n v="5"/>
    <n v="5"/>
    <m/>
    <m/>
    <m/>
    <m/>
    <n v="5"/>
    <n v="5"/>
    <m/>
    <m/>
    <x v="10"/>
    <x v="0"/>
    <n v="0.35714285714285715"/>
    <s v="NO"/>
    <m/>
  </r>
  <r>
    <d v="2013-12-01T00:00:00"/>
    <x v="2"/>
    <s v="KBC"/>
    <x v="0"/>
    <x v="2"/>
    <x v="84"/>
    <n v="1"/>
    <m/>
    <m/>
    <n v="20"/>
    <n v="20"/>
    <m/>
    <m/>
    <m/>
    <m/>
    <n v="20"/>
    <n v="20"/>
    <m/>
    <m/>
    <x v="84"/>
    <x v="0"/>
    <n v="0.52631578947368418"/>
    <s v="NO"/>
    <m/>
  </r>
  <r>
    <d v="2013-12-01T00:00:00"/>
    <x v="2"/>
    <s v="Shalom"/>
    <x v="0"/>
    <x v="2"/>
    <x v="68"/>
    <n v="1"/>
    <m/>
    <m/>
    <n v="10"/>
    <n v="10"/>
    <m/>
    <m/>
    <m/>
    <m/>
    <n v="0"/>
    <n v="0"/>
    <m/>
    <m/>
    <x v="68"/>
    <x v="1"/>
    <s v=""/>
    <s v="NO"/>
    <m/>
  </r>
  <r>
    <d v="2013-12-01T00:00:00"/>
    <x v="2"/>
    <s v="KMSS"/>
    <x v="0"/>
    <x v="0"/>
    <x v="20"/>
    <n v="1"/>
    <m/>
    <m/>
    <n v="35"/>
    <n v="35"/>
    <m/>
    <m/>
    <m/>
    <m/>
    <n v="35"/>
    <n v="35"/>
    <m/>
    <m/>
    <x v="20"/>
    <x v="0"/>
    <n v="0.23026315789473684"/>
    <s v="NO"/>
    <m/>
  </r>
  <r>
    <d v="2013-12-01T00:00:00"/>
    <x v="2"/>
    <s v="Shalom"/>
    <x v="0"/>
    <x v="2"/>
    <x v="23"/>
    <n v="1"/>
    <m/>
    <m/>
    <n v="4"/>
    <n v="4"/>
    <m/>
    <m/>
    <m/>
    <m/>
    <n v="4"/>
    <n v="4"/>
    <m/>
    <m/>
    <x v="23"/>
    <x v="0"/>
    <n v="0.66666666666666663"/>
    <s v="NO"/>
    <m/>
  </r>
  <r>
    <d v="2013-12-01T00:00:00"/>
    <x v="2"/>
    <s v="Shalom"/>
    <x v="0"/>
    <x v="0"/>
    <x v="75"/>
    <n v="1"/>
    <m/>
    <m/>
    <n v="5"/>
    <n v="5"/>
    <m/>
    <m/>
    <m/>
    <m/>
    <n v="5"/>
    <n v="5"/>
    <m/>
    <m/>
    <x v="75"/>
    <x v="0"/>
    <n v="4.9019607843137254E-2"/>
    <s v="NO"/>
    <m/>
  </r>
  <r>
    <d v="2013-12-01T00:00:00"/>
    <x v="2"/>
    <s v="Shalom"/>
    <x v="0"/>
    <x v="2"/>
    <x v="85"/>
    <n v="1"/>
    <m/>
    <m/>
    <n v="10"/>
    <n v="10"/>
    <m/>
    <m/>
    <m/>
    <m/>
    <n v="4"/>
    <n v="10"/>
    <m/>
    <m/>
    <x v="85"/>
    <x v="0"/>
    <n v="1"/>
    <s v="NO"/>
    <m/>
  </r>
  <r>
    <d v="2013-12-01T00:00:00"/>
    <x v="2"/>
    <s v="KBSS"/>
    <x v="0"/>
    <x v="4"/>
    <x v="86"/>
    <n v="1"/>
    <m/>
    <m/>
    <n v="60"/>
    <n v="60"/>
    <m/>
    <m/>
    <m/>
    <m/>
    <n v="0"/>
    <n v="0"/>
    <m/>
    <m/>
    <x v="86"/>
    <x v="1"/>
    <s v=""/>
    <s v="NO"/>
    <m/>
  </r>
  <r>
    <d v="2013-12-01T00:00:00"/>
    <x v="2"/>
    <s v="Shalom"/>
    <x v="0"/>
    <x v="2"/>
    <x v="28"/>
    <n v="1"/>
    <m/>
    <m/>
    <n v="18"/>
    <n v="18"/>
    <m/>
    <m/>
    <m/>
    <m/>
    <n v="18"/>
    <n v="18"/>
    <m/>
    <m/>
    <x v="28"/>
    <x v="0"/>
    <n v="0.9"/>
    <s v="NO"/>
    <m/>
  </r>
  <r>
    <d v="2013-12-01T00:00:00"/>
    <x v="2"/>
    <s v="Shalom"/>
    <x v="0"/>
    <x v="5"/>
    <x v="29"/>
    <n v="1"/>
    <m/>
    <m/>
    <n v="10"/>
    <n v="10"/>
    <m/>
    <m/>
    <m/>
    <m/>
    <n v="10"/>
    <n v="10"/>
    <m/>
    <m/>
    <x v="29"/>
    <x v="0"/>
    <n v="7.6923076923076927E-2"/>
    <s v="NO"/>
    <m/>
  </r>
  <r>
    <d v="2013-12-01T00:00:00"/>
    <x v="2"/>
    <s v="Shalom"/>
    <x v="0"/>
    <x v="0"/>
    <x v="87"/>
    <n v="1"/>
    <m/>
    <m/>
    <n v="35"/>
    <n v="35"/>
    <m/>
    <m/>
    <m/>
    <m/>
    <n v="35"/>
    <n v="35"/>
    <m/>
    <m/>
    <x v="87"/>
    <x v="0"/>
    <n v="0.12110726643598616"/>
    <s v="NO"/>
    <m/>
  </r>
  <r>
    <d v="2013-12-01T00:00:00"/>
    <x v="2"/>
    <s v="KMSS"/>
    <x v="1"/>
    <x v="3"/>
    <x v="88"/>
    <n v="1"/>
    <m/>
    <m/>
    <n v="30"/>
    <n v="30"/>
    <m/>
    <m/>
    <m/>
    <m/>
    <n v="29"/>
    <n v="30"/>
    <m/>
    <m/>
    <x v="88"/>
    <x v="0"/>
    <n v="1"/>
    <s v="NO"/>
    <m/>
  </r>
  <r>
    <d v="2013-12-01T00:00:00"/>
    <x v="2"/>
    <s v="Shalom"/>
    <x v="0"/>
    <x v="1"/>
    <x v="21"/>
    <n v="1"/>
    <m/>
    <m/>
    <n v="15"/>
    <n v="15"/>
    <m/>
    <m/>
    <m/>
    <m/>
    <n v="15"/>
    <n v="15"/>
    <m/>
    <m/>
    <x v="21"/>
    <x v="0"/>
    <n v="1"/>
    <s v="NO"/>
    <m/>
  </r>
  <r>
    <d v="2013-12-01T00:00:00"/>
    <x v="2"/>
    <s v="Shalom"/>
    <x v="0"/>
    <x v="2"/>
    <x v="89"/>
    <n v="1"/>
    <m/>
    <m/>
    <n v="5"/>
    <n v="5"/>
    <m/>
    <m/>
    <m/>
    <m/>
    <n v="4"/>
    <n v="5"/>
    <m/>
    <m/>
    <x v="89"/>
    <x v="0"/>
    <n v="1"/>
    <s v="NO"/>
    <m/>
  </r>
  <r>
    <d v="2013-12-01T00:00:00"/>
    <x v="2"/>
    <m/>
    <x v="0"/>
    <x v="7"/>
    <x v="80"/>
    <n v="1"/>
    <m/>
    <m/>
    <n v="50"/>
    <n v="50"/>
    <m/>
    <m/>
    <m/>
    <m/>
    <n v="50"/>
    <n v="50"/>
    <m/>
    <m/>
    <x v="80"/>
    <x v="0"/>
    <n v="0.12919896640826872"/>
    <s v="NO"/>
    <m/>
  </r>
  <r>
    <d v="2013-12-01T00:00:00"/>
    <x v="2"/>
    <s v="Shalom"/>
    <x v="0"/>
    <x v="5"/>
    <x v="78"/>
    <n v="1"/>
    <m/>
    <m/>
    <n v="13"/>
    <n v="13"/>
    <m/>
    <m/>
    <m/>
    <m/>
    <n v="13"/>
    <n v="13"/>
    <m/>
    <m/>
    <x v="78"/>
    <x v="0"/>
    <n v="1"/>
    <s v="NO"/>
    <m/>
  </r>
  <r>
    <d v="2013-12-01T00:00:00"/>
    <x v="2"/>
    <s v="Shalom"/>
    <x v="0"/>
    <x v="2"/>
    <x v="71"/>
    <n v="1"/>
    <m/>
    <m/>
    <n v="10"/>
    <n v="10"/>
    <m/>
    <m/>
    <m/>
    <m/>
    <n v="10"/>
    <n v="10"/>
    <m/>
    <m/>
    <x v="71"/>
    <x v="0"/>
    <n v="0.83333333333333337"/>
    <s v="NO"/>
    <m/>
  </r>
  <r>
    <d v="2013-12-01T00:00:00"/>
    <x v="2"/>
    <s v="Shalom"/>
    <x v="0"/>
    <x v="0"/>
    <x v="72"/>
    <n v="1"/>
    <m/>
    <m/>
    <n v="10"/>
    <n v="10"/>
    <m/>
    <m/>
    <m/>
    <m/>
    <n v="10"/>
    <n v="10"/>
    <m/>
    <m/>
    <x v="72"/>
    <x v="0"/>
    <n v="0.5"/>
    <s v="NO"/>
    <m/>
  </r>
  <r>
    <d v="2013-12-01T00:00:00"/>
    <x v="2"/>
    <s v="Shalom"/>
    <x v="0"/>
    <x v="2"/>
    <x v="90"/>
    <n v="1"/>
    <m/>
    <m/>
    <n v="40"/>
    <n v="40"/>
    <m/>
    <m/>
    <m/>
    <m/>
    <n v="0"/>
    <n v="0"/>
    <m/>
    <m/>
    <x v="90"/>
    <x v="1"/>
    <s v=""/>
    <s v="NO"/>
    <m/>
  </r>
  <r>
    <d v="2013-12-01T00:00:00"/>
    <x v="2"/>
    <s v="Shalom"/>
    <x v="0"/>
    <x v="7"/>
    <x v="91"/>
    <n v="1"/>
    <m/>
    <m/>
    <n v="4"/>
    <n v="4"/>
    <m/>
    <m/>
    <m/>
    <m/>
    <n v="0"/>
    <n v="0"/>
    <n v="5"/>
    <m/>
    <x v="91"/>
    <x v="1"/>
    <s v=""/>
    <s v="NO"/>
    <m/>
  </r>
  <r>
    <d v="2013-12-01T00:00:00"/>
    <x v="2"/>
    <s v="Shalom"/>
    <x v="0"/>
    <x v="0"/>
    <x v="25"/>
    <n v="1"/>
    <m/>
    <m/>
    <n v="10"/>
    <n v="10"/>
    <m/>
    <m/>
    <m/>
    <m/>
    <n v="10"/>
    <n v="10"/>
    <m/>
    <m/>
    <x v="25"/>
    <x v="0"/>
    <n v="9.0090090090090086E-2"/>
    <s v="NO"/>
    <m/>
  </r>
  <r>
    <d v="2013-12-01T00:00:00"/>
    <x v="2"/>
    <s v="Shalom"/>
    <x v="0"/>
    <x v="0"/>
    <x v="79"/>
    <n v="1"/>
    <m/>
    <m/>
    <n v="10"/>
    <n v="10"/>
    <m/>
    <m/>
    <m/>
    <m/>
    <n v="10"/>
    <n v="10"/>
    <m/>
    <m/>
    <x v="79"/>
    <x v="0"/>
    <n v="0.32258064516129031"/>
    <s v="NO"/>
    <m/>
  </r>
  <r>
    <d v="2013-12-01T00:00:00"/>
    <x v="2"/>
    <s v="Shalom"/>
    <x v="0"/>
    <x v="2"/>
    <x v="92"/>
    <n v="1"/>
    <m/>
    <m/>
    <n v="10"/>
    <n v="10"/>
    <m/>
    <m/>
    <m/>
    <m/>
    <n v="9"/>
    <n v="10"/>
    <m/>
    <m/>
    <x v="92"/>
    <x v="0"/>
    <n v="1"/>
    <s v="NO"/>
    <m/>
  </r>
  <r>
    <d v="2013-12-01T00:00:00"/>
    <x v="2"/>
    <s v="KBC"/>
    <x v="0"/>
    <x v="1"/>
    <x v="43"/>
    <n v="1"/>
    <m/>
    <m/>
    <n v="30"/>
    <n v="30"/>
    <m/>
    <m/>
    <m/>
    <m/>
    <n v="30"/>
    <n v="30"/>
    <m/>
    <m/>
    <x v="43"/>
    <x v="0"/>
    <n v="0.15"/>
    <s v="NO"/>
    <m/>
  </r>
  <r>
    <d v="2013-12-01T00:00:00"/>
    <x v="2"/>
    <s v="Shalom"/>
    <x v="0"/>
    <x v="5"/>
    <x v="93"/>
    <n v="1"/>
    <m/>
    <m/>
    <n v="15"/>
    <n v="15"/>
    <m/>
    <m/>
    <m/>
    <m/>
    <n v="15"/>
    <n v="15"/>
    <n v="10"/>
    <m/>
    <x v="93"/>
    <x v="0"/>
    <n v="0.75"/>
    <s v="NO"/>
    <m/>
  </r>
  <r>
    <d v="2013-12-01T00:00:00"/>
    <x v="2"/>
    <s v="Shalom"/>
    <x v="0"/>
    <x v="1"/>
    <x v="64"/>
    <n v="1"/>
    <m/>
    <m/>
    <n v="30"/>
    <n v="30"/>
    <m/>
    <m/>
    <m/>
    <m/>
    <n v="30"/>
    <n v="30"/>
    <m/>
    <m/>
    <x v="64"/>
    <x v="0"/>
    <n v="0.55555555555555558"/>
    <s v="NO"/>
    <m/>
  </r>
  <r>
    <d v="2013-12-01T00:00:00"/>
    <x v="2"/>
    <s v="Shalom"/>
    <x v="0"/>
    <x v="0"/>
    <x v="73"/>
    <n v="1"/>
    <m/>
    <m/>
    <n v="5"/>
    <n v="5"/>
    <m/>
    <m/>
    <m/>
    <m/>
    <n v="5"/>
    <n v="5"/>
    <m/>
    <m/>
    <x v="73"/>
    <x v="0"/>
    <n v="0.10869565217391304"/>
    <s v="NO"/>
    <m/>
  </r>
  <r>
    <d v="2013-12-01T00:00:00"/>
    <x v="2"/>
    <s v="Shalom"/>
    <x v="0"/>
    <x v="0"/>
    <x v="94"/>
    <n v="1"/>
    <m/>
    <m/>
    <n v="6"/>
    <n v="6"/>
    <m/>
    <m/>
    <m/>
    <m/>
    <n v="6"/>
    <n v="6"/>
    <m/>
    <m/>
    <x v="94"/>
    <x v="0"/>
    <n v="9.2307692307692313E-2"/>
    <s v="NO"/>
    <m/>
  </r>
  <r>
    <d v="2013-12-01T00:00:00"/>
    <x v="2"/>
    <s v="KMSS"/>
    <x v="0"/>
    <x v="0"/>
    <x v="95"/>
    <n v="1"/>
    <m/>
    <m/>
    <n v="160"/>
    <n v="160"/>
    <m/>
    <m/>
    <m/>
    <m/>
    <n v="160"/>
    <n v="160"/>
    <m/>
    <m/>
    <x v="95"/>
    <x v="0"/>
    <n v="0.11461318051575932"/>
    <s v="NO"/>
    <m/>
  </r>
  <r>
    <d v="2013-12-01T00:00:00"/>
    <x v="2"/>
    <m/>
    <x v="0"/>
    <x v="5"/>
    <x v="96"/>
    <n v="1"/>
    <m/>
    <m/>
    <n v="5"/>
    <n v="5"/>
    <m/>
    <m/>
    <m/>
    <m/>
    <n v="5"/>
    <n v="5"/>
    <m/>
    <m/>
    <x v="96"/>
    <x v="0"/>
    <n v="0.33333333333333331"/>
    <s v="NO"/>
    <m/>
  </r>
  <r>
    <d v="2013-12-01T00:00:00"/>
    <x v="2"/>
    <s v="KBC"/>
    <x v="1"/>
    <x v="3"/>
    <x v="5"/>
    <n v="1"/>
    <m/>
    <m/>
    <n v="10"/>
    <n v="10"/>
    <m/>
    <m/>
    <m/>
    <m/>
    <n v="10"/>
    <n v="10"/>
    <m/>
    <m/>
    <x v="5"/>
    <x v="0"/>
    <n v="0.2857142857142857"/>
    <s v="NO"/>
    <m/>
  </r>
  <r>
    <d v="2013-12-01T00:00:00"/>
    <x v="2"/>
    <s v="KBC"/>
    <x v="0"/>
    <x v="4"/>
    <x v="77"/>
    <n v="1"/>
    <m/>
    <m/>
    <n v="20"/>
    <n v="20"/>
    <m/>
    <m/>
    <m/>
    <m/>
    <n v="20"/>
    <n v="20"/>
    <m/>
    <m/>
    <x v="77"/>
    <x v="0"/>
    <n v="0.10309278350515463"/>
    <s v="NO"/>
    <m/>
  </r>
  <r>
    <d v="2013-12-01T00:00:00"/>
    <x v="2"/>
    <s v="KBC"/>
    <x v="1"/>
    <x v="6"/>
    <x v="97"/>
    <n v="1"/>
    <m/>
    <m/>
    <n v="5"/>
    <n v="5"/>
    <m/>
    <m/>
    <m/>
    <m/>
    <n v="5"/>
    <n v="5"/>
    <m/>
    <m/>
    <x v="97"/>
    <x v="0"/>
    <n v="0.10869565217391304"/>
    <s v="NO"/>
    <m/>
  </r>
  <r>
    <d v="2013-12-01T00:00:00"/>
    <x v="2"/>
    <s v="KBC"/>
    <x v="0"/>
    <x v="0"/>
    <x v="39"/>
    <n v="1"/>
    <m/>
    <m/>
    <n v="11"/>
    <n v="11"/>
    <m/>
    <m/>
    <m/>
    <m/>
    <n v="11"/>
    <n v="11"/>
    <m/>
    <m/>
    <x v="39"/>
    <x v="0"/>
    <n v="5.9139784946236562E-2"/>
    <s v="NO"/>
    <m/>
  </r>
  <r>
    <d v="2013-12-01T00:00:00"/>
    <x v="2"/>
    <s v="KBC"/>
    <x v="0"/>
    <x v="5"/>
    <x v="81"/>
    <n v="1"/>
    <m/>
    <m/>
    <n v="50"/>
    <n v="50"/>
    <m/>
    <m/>
    <m/>
    <m/>
    <n v="50"/>
    <n v="50"/>
    <m/>
    <m/>
    <x v="81"/>
    <x v="0"/>
    <n v="0.32679738562091504"/>
    <s v="NO"/>
    <m/>
  </r>
  <r>
    <d v="2013-12-01T00:00:00"/>
    <x v="2"/>
    <s v="KBC"/>
    <x v="0"/>
    <x v="5"/>
    <x v="9"/>
    <n v="1"/>
    <m/>
    <m/>
    <n v="30"/>
    <n v="30"/>
    <m/>
    <m/>
    <m/>
    <m/>
    <n v="30"/>
    <n v="30"/>
    <m/>
    <m/>
    <x v="9"/>
    <x v="0"/>
    <n v="4.7021943573667714E-2"/>
    <s v="NO"/>
    <m/>
  </r>
  <r>
    <d v="2013-12-01T00:00:00"/>
    <x v="2"/>
    <s v="KBC"/>
    <x v="0"/>
    <x v="2"/>
    <x v="98"/>
    <n v="1"/>
    <m/>
    <m/>
    <n v="5"/>
    <n v="5"/>
    <m/>
    <m/>
    <m/>
    <m/>
    <n v="5"/>
    <n v="5"/>
    <m/>
    <m/>
    <x v="98"/>
    <x v="0"/>
    <n v="0.625"/>
    <s v="NO"/>
    <m/>
  </r>
  <r>
    <d v="2013-12-01T00:00:00"/>
    <x v="2"/>
    <s v="KBC"/>
    <x v="0"/>
    <x v="0"/>
    <x v="40"/>
    <n v="1"/>
    <m/>
    <m/>
    <n v="18"/>
    <n v="18"/>
    <m/>
    <m/>
    <m/>
    <m/>
    <n v="18"/>
    <n v="18"/>
    <m/>
    <m/>
    <x v="40"/>
    <x v="0"/>
    <n v="9.7826086956521743E-2"/>
    <s v="NO"/>
    <m/>
  </r>
  <r>
    <d v="2013-12-01T00:00:00"/>
    <x v="2"/>
    <s v="KBC"/>
    <x v="0"/>
    <x v="2"/>
    <x v="99"/>
    <n v="1"/>
    <m/>
    <m/>
    <n v="15"/>
    <n v="15"/>
    <m/>
    <m/>
    <m/>
    <m/>
    <n v="15"/>
    <n v="15"/>
    <m/>
    <m/>
    <x v="99"/>
    <x v="0"/>
    <n v="0.45454545454545453"/>
    <s v="NO"/>
    <m/>
  </r>
  <r>
    <d v="2013-12-01T00:00:00"/>
    <x v="2"/>
    <s v="KBC"/>
    <x v="0"/>
    <x v="0"/>
    <x v="41"/>
    <n v="1"/>
    <m/>
    <m/>
    <n v="76"/>
    <n v="76"/>
    <m/>
    <m/>
    <m/>
    <m/>
    <n v="0"/>
    <n v="0"/>
    <m/>
    <m/>
    <x v="41"/>
    <x v="1"/>
    <s v=""/>
    <s v="NO"/>
    <m/>
  </r>
  <r>
    <m/>
    <x v="1"/>
    <s v="KMSS_MKN"/>
    <x v="0"/>
    <x v="0"/>
    <x v="25"/>
    <n v="1"/>
    <m/>
    <m/>
    <n v="16"/>
    <m/>
    <n v="16"/>
    <m/>
    <m/>
    <m/>
    <n v="16"/>
    <n v="16"/>
    <m/>
    <m/>
    <x v="25"/>
    <x v="0"/>
    <n v="0.14414414414414414"/>
    <s v="NO"/>
    <m/>
  </r>
  <r>
    <m/>
    <x v="2"/>
    <s v="KBC"/>
    <x v="1"/>
    <x v="3"/>
    <x v="100"/>
    <n v="1"/>
    <m/>
    <m/>
    <n v="10"/>
    <n v="10"/>
    <m/>
    <m/>
    <m/>
    <m/>
    <n v="0"/>
    <n v="0"/>
    <m/>
    <m/>
    <x v="100"/>
    <x v="1"/>
    <s v=""/>
    <s v="NO"/>
    <m/>
  </r>
  <r>
    <m/>
    <x v="7"/>
    <s v="KBC"/>
    <x v="0"/>
    <x v="1"/>
    <x v="43"/>
    <n v="1"/>
    <m/>
    <m/>
    <n v="60"/>
    <n v="60"/>
    <m/>
    <m/>
    <m/>
    <m/>
    <n v="60"/>
    <n v="60"/>
    <m/>
    <m/>
    <x v="43"/>
    <x v="0"/>
    <n v="0.3"/>
    <s v="NO"/>
    <m/>
  </r>
  <r>
    <m/>
    <x v="2"/>
    <s v="KBC"/>
    <x v="0"/>
    <x v="2"/>
    <x v="11"/>
    <n v="1"/>
    <m/>
    <m/>
    <n v="50"/>
    <n v="50"/>
    <m/>
    <m/>
    <m/>
    <m/>
    <n v="0"/>
    <n v="0"/>
    <m/>
    <m/>
    <x v="11"/>
    <x v="1"/>
    <s v=""/>
    <s v="NO"/>
    <m/>
  </r>
  <r>
    <m/>
    <x v="2"/>
    <s v="KBC"/>
    <x v="0"/>
    <x v="1"/>
    <x v="101"/>
    <n v="1"/>
    <m/>
    <m/>
    <n v="5"/>
    <n v="5"/>
    <m/>
    <m/>
    <m/>
    <m/>
    <n v="5"/>
    <n v="5"/>
    <m/>
    <m/>
    <x v="101"/>
    <x v="0"/>
    <n v="0.11904761904761904"/>
    <s v="NO"/>
    <m/>
  </r>
  <r>
    <m/>
    <x v="2"/>
    <s v="KBC"/>
    <x v="0"/>
    <x v="11"/>
    <x v="102"/>
    <n v="1"/>
    <m/>
    <m/>
    <n v="15"/>
    <n v="15"/>
    <m/>
    <m/>
    <m/>
    <m/>
    <n v="13"/>
    <n v="15"/>
    <m/>
    <m/>
    <x v="102"/>
    <x v="0"/>
    <n v="1"/>
    <s v="NO"/>
    <m/>
  </r>
  <r>
    <m/>
    <x v="8"/>
    <s v="KBC"/>
    <x v="0"/>
    <x v="1"/>
    <x v="103"/>
    <n v="1"/>
    <m/>
    <m/>
    <n v="9"/>
    <n v="9"/>
    <m/>
    <m/>
    <m/>
    <m/>
    <n v="9"/>
    <n v="9"/>
    <m/>
    <m/>
    <x v="103"/>
    <x v="0"/>
    <n v="8.5714285714285715E-2"/>
    <s v="NO"/>
    <m/>
  </r>
  <r>
    <m/>
    <x v="7"/>
    <s v="KBC"/>
    <x v="0"/>
    <x v="1"/>
    <x v="103"/>
    <n v="1"/>
    <m/>
    <m/>
    <n v="5"/>
    <n v="5"/>
    <m/>
    <m/>
    <m/>
    <m/>
    <n v="5"/>
    <n v="5"/>
    <m/>
    <m/>
    <x v="103"/>
    <x v="0"/>
    <n v="4.7619047619047616E-2"/>
    <s v="NO"/>
    <m/>
  </r>
  <r>
    <m/>
    <x v="2"/>
    <s v="KBC"/>
    <x v="0"/>
    <x v="1"/>
    <x v="103"/>
    <n v="1"/>
    <m/>
    <m/>
    <n v="10"/>
    <n v="10"/>
    <m/>
    <m/>
    <m/>
    <m/>
    <n v="10"/>
    <n v="10"/>
    <m/>
    <m/>
    <x v="103"/>
    <x v="0"/>
    <n v="9.5238095238095233E-2"/>
    <s v="NO"/>
    <m/>
  </r>
  <r>
    <m/>
    <x v="7"/>
    <s v="KBC"/>
    <x v="0"/>
    <x v="1"/>
    <x v="55"/>
    <n v="1"/>
    <m/>
    <m/>
    <n v="60"/>
    <n v="60"/>
    <m/>
    <m/>
    <m/>
    <m/>
    <n v="60"/>
    <n v="60"/>
    <m/>
    <m/>
    <x v="55"/>
    <x v="0"/>
    <n v="0.43165467625899279"/>
    <s v="NO"/>
    <m/>
  </r>
  <r>
    <m/>
    <x v="2"/>
    <s v="KBC"/>
    <x v="0"/>
    <x v="1"/>
    <x v="55"/>
    <n v="1"/>
    <m/>
    <m/>
    <n v="60"/>
    <n v="60"/>
    <m/>
    <m/>
    <m/>
    <m/>
    <n v="60"/>
    <n v="60"/>
    <m/>
    <m/>
    <x v="55"/>
    <x v="0"/>
    <n v="0.43165467625899279"/>
    <s v="NO"/>
    <m/>
  </r>
  <r>
    <m/>
    <x v="2"/>
    <s v="KBC"/>
    <x v="0"/>
    <x v="7"/>
    <x v="104"/>
    <n v="1"/>
    <m/>
    <m/>
    <n v="27"/>
    <n v="27"/>
    <m/>
    <m/>
    <m/>
    <m/>
    <n v="27"/>
    <n v="27"/>
    <m/>
    <m/>
    <x v="104"/>
    <x v="0"/>
    <n v="0.69230769230769229"/>
    <s v="NO"/>
    <m/>
  </r>
  <r>
    <m/>
    <x v="7"/>
    <s v="KBC"/>
    <x v="0"/>
    <x v="0"/>
    <x v="3"/>
    <n v="1"/>
    <m/>
    <m/>
    <n v="50"/>
    <n v="50"/>
    <m/>
    <m/>
    <m/>
    <m/>
    <n v="50"/>
    <n v="50"/>
    <m/>
    <m/>
    <x v="3"/>
    <x v="0"/>
    <n v="0.10040160642570281"/>
    <s v="NO"/>
    <m/>
  </r>
  <r>
    <m/>
    <x v="2"/>
    <s v="KBC"/>
    <x v="0"/>
    <x v="0"/>
    <x v="3"/>
    <n v="1"/>
    <m/>
    <m/>
    <n v="400"/>
    <n v="400"/>
    <m/>
    <m/>
    <m/>
    <m/>
    <n v="400"/>
    <n v="400"/>
    <m/>
    <m/>
    <x v="3"/>
    <x v="0"/>
    <n v="0.80321285140562249"/>
    <s v="NO"/>
    <m/>
  </r>
  <r>
    <m/>
    <x v="9"/>
    <s v="KBC"/>
    <x v="0"/>
    <x v="0"/>
    <x v="3"/>
    <n v="1"/>
    <m/>
    <m/>
    <n v="10"/>
    <n v="10"/>
    <m/>
    <m/>
    <m/>
    <m/>
    <n v="10"/>
    <n v="10"/>
    <m/>
    <m/>
    <x v="3"/>
    <x v="0"/>
    <n v="2.0080321285140562E-2"/>
    <s v="NO"/>
    <m/>
  </r>
  <r>
    <m/>
    <x v="2"/>
    <s v="KBC"/>
    <x v="0"/>
    <x v="0"/>
    <x v="45"/>
    <n v="1"/>
    <m/>
    <m/>
    <n v="30"/>
    <n v="30"/>
    <m/>
    <m/>
    <m/>
    <m/>
    <n v="30"/>
    <n v="30"/>
    <m/>
    <m/>
    <x v="45"/>
    <x v="0"/>
    <n v="0.66666666666666663"/>
    <s v="NO"/>
    <m/>
  </r>
  <r>
    <m/>
    <x v="8"/>
    <s v="KBC"/>
    <x v="0"/>
    <x v="4"/>
    <x v="50"/>
    <n v="1"/>
    <m/>
    <m/>
    <n v="20"/>
    <n v="20"/>
    <m/>
    <m/>
    <m/>
    <m/>
    <n v="20"/>
    <n v="20"/>
    <m/>
    <m/>
    <x v="50"/>
    <x v="0"/>
    <n v="4.9627791563275438E-2"/>
    <s v="NO"/>
    <m/>
  </r>
  <r>
    <m/>
    <x v="2"/>
    <s v="KBC"/>
    <x v="0"/>
    <x v="1"/>
    <x v="105"/>
    <n v="1"/>
    <m/>
    <m/>
    <n v="20"/>
    <n v="20"/>
    <m/>
    <m/>
    <m/>
    <m/>
    <n v="20"/>
    <n v="20"/>
    <m/>
    <m/>
    <x v="105"/>
    <x v="0"/>
    <n v="0.32258064516129031"/>
    <s v="NO"/>
    <m/>
  </r>
  <r>
    <m/>
    <x v="2"/>
    <s v="KBC"/>
    <x v="0"/>
    <x v="1"/>
    <x v="106"/>
    <n v="1"/>
    <m/>
    <m/>
    <n v="60"/>
    <n v="60"/>
    <m/>
    <m/>
    <m/>
    <m/>
    <n v="60"/>
    <n v="60"/>
    <m/>
    <m/>
    <x v="106"/>
    <x v="0"/>
    <n v="0.57692307692307687"/>
    <s v="NO"/>
    <m/>
  </r>
  <r>
    <m/>
    <x v="0"/>
    <s v="KBC"/>
    <x v="0"/>
    <x v="4"/>
    <x v="107"/>
    <n v="1"/>
    <m/>
    <m/>
    <n v="39"/>
    <n v="39"/>
    <m/>
    <m/>
    <m/>
    <m/>
    <n v="39"/>
    <n v="39"/>
    <m/>
    <m/>
    <x v="107"/>
    <x v="0"/>
    <n v="0.39795918367346939"/>
    <s v="NO"/>
    <m/>
  </r>
  <r>
    <m/>
    <x v="2"/>
    <s v="KBC"/>
    <x v="0"/>
    <x v="4"/>
    <x v="107"/>
    <n v="1"/>
    <m/>
    <m/>
    <n v="20"/>
    <n v="20"/>
    <m/>
    <m/>
    <m/>
    <m/>
    <n v="20"/>
    <n v="20"/>
    <m/>
    <m/>
    <x v="107"/>
    <x v="0"/>
    <n v="0.20408163265306123"/>
    <s v="NO"/>
    <m/>
  </r>
  <r>
    <m/>
    <x v="10"/>
    <m/>
    <x v="0"/>
    <x v="2"/>
    <x v="83"/>
    <n v="1"/>
    <n v="25"/>
    <n v="25"/>
    <m/>
    <m/>
    <m/>
    <m/>
    <m/>
    <m/>
    <n v="0"/>
    <n v="0"/>
    <m/>
    <m/>
    <x v="83"/>
    <x v="1"/>
    <s v=""/>
    <s v="NO"/>
    <m/>
  </r>
  <r>
    <m/>
    <x v="2"/>
    <s v="KMSS"/>
    <x v="0"/>
    <x v="2"/>
    <x v="83"/>
    <n v="1"/>
    <m/>
    <m/>
    <m/>
    <m/>
    <m/>
    <m/>
    <m/>
    <m/>
    <n v="0"/>
    <n v="0"/>
    <n v="44"/>
    <m/>
    <x v="83"/>
    <x v="1"/>
    <s v=""/>
    <s v="NO"/>
    <m/>
  </r>
  <r>
    <m/>
    <x v="2"/>
    <s v="KBC"/>
    <x v="0"/>
    <x v="11"/>
    <x v="108"/>
    <n v="1"/>
    <m/>
    <m/>
    <n v="10"/>
    <n v="10"/>
    <m/>
    <m/>
    <m/>
    <m/>
    <n v="10"/>
    <n v="10"/>
    <m/>
    <m/>
    <x v="108"/>
    <x v="0"/>
    <n v="0.66666666666666663"/>
    <s v="NO"/>
    <m/>
  </r>
  <r>
    <m/>
    <x v="2"/>
    <s v="KBC"/>
    <x v="0"/>
    <x v="7"/>
    <x v="80"/>
    <n v="1"/>
    <m/>
    <m/>
    <n v="40"/>
    <n v="40"/>
    <m/>
    <m/>
    <m/>
    <m/>
    <n v="40"/>
    <n v="40"/>
    <m/>
    <m/>
    <x v="80"/>
    <x v="0"/>
    <n v="0.10335917312661498"/>
    <s v="NO"/>
    <m/>
  </r>
  <r>
    <m/>
    <x v="2"/>
    <s v="KBC"/>
    <x v="1"/>
    <x v="12"/>
    <x v="109"/>
    <n v="1"/>
    <m/>
    <m/>
    <n v="10"/>
    <n v="10"/>
    <m/>
    <m/>
    <m/>
    <m/>
    <n v="0"/>
    <n v="0"/>
    <m/>
    <m/>
    <x v="109"/>
    <x v="1"/>
    <s v=""/>
    <s v="NO"/>
    <m/>
  </r>
  <r>
    <m/>
    <x v="10"/>
    <m/>
    <x v="0"/>
    <x v="2"/>
    <x v="22"/>
    <n v="1"/>
    <n v="10"/>
    <n v="10"/>
    <m/>
    <m/>
    <m/>
    <m/>
    <m/>
    <m/>
    <n v="0"/>
    <n v="0"/>
    <m/>
    <m/>
    <x v="22"/>
    <x v="0"/>
    <n v="0"/>
    <s v="NO"/>
    <m/>
  </r>
  <r>
    <m/>
    <x v="0"/>
    <s v="KBC"/>
    <x v="1"/>
    <x v="9"/>
    <x v="110"/>
    <n v="1"/>
    <m/>
    <m/>
    <n v="78"/>
    <n v="78"/>
    <m/>
    <m/>
    <m/>
    <m/>
    <n v="74"/>
    <n v="78"/>
    <m/>
    <m/>
    <x v="110"/>
    <x v="0"/>
    <n v="1"/>
    <s v="NO"/>
    <m/>
  </r>
  <r>
    <m/>
    <x v="11"/>
    <s v="KBSS"/>
    <x v="0"/>
    <x v="5"/>
    <x v="15"/>
    <n v="1"/>
    <m/>
    <m/>
    <n v="6"/>
    <n v="6"/>
    <m/>
    <m/>
    <m/>
    <m/>
    <n v="6"/>
    <n v="6"/>
    <m/>
    <m/>
    <x v="15"/>
    <x v="0"/>
    <n v="2.3346303501945526E-2"/>
    <s v="NO"/>
    <m/>
  </r>
  <r>
    <m/>
    <x v="2"/>
    <s v="KBSS"/>
    <x v="0"/>
    <x v="5"/>
    <x v="15"/>
    <n v="1"/>
    <m/>
    <m/>
    <n v="144"/>
    <n v="144"/>
    <m/>
    <m/>
    <m/>
    <m/>
    <n v="144"/>
    <n v="144"/>
    <m/>
    <m/>
    <x v="15"/>
    <x v="0"/>
    <n v="0.56031128404669261"/>
    <s v="NO"/>
    <m/>
  </r>
  <r>
    <m/>
    <x v="10"/>
    <m/>
    <x v="0"/>
    <x v="2"/>
    <x v="84"/>
    <n v="1"/>
    <n v="10"/>
    <n v="10"/>
    <m/>
    <m/>
    <m/>
    <m/>
    <m/>
    <m/>
    <n v="0"/>
    <n v="0"/>
    <m/>
    <m/>
    <x v="84"/>
    <x v="0"/>
    <n v="0"/>
    <s v="NO"/>
    <m/>
  </r>
  <r>
    <m/>
    <x v="2"/>
    <m/>
    <x v="0"/>
    <x v="5"/>
    <x v="15"/>
    <n v="1"/>
    <m/>
    <m/>
    <n v="20"/>
    <n v="20"/>
    <m/>
    <m/>
    <m/>
    <m/>
    <n v="20"/>
    <n v="20"/>
    <m/>
    <m/>
    <x v="15"/>
    <x v="0"/>
    <n v="7.7821011673151752E-2"/>
    <s v="NO"/>
    <m/>
  </r>
  <r>
    <m/>
    <x v="10"/>
    <m/>
    <x v="0"/>
    <x v="0"/>
    <x v="20"/>
    <n v="1"/>
    <n v="41"/>
    <n v="41"/>
    <m/>
    <m/>
    <m/>
    <m/>
    <m/>
    <m/>
    <n v="0"/>
    <n v="0"/>
    <m/>
    <m/>
    <x v="20"/>
    <x v="0"/>
    <n v="0"/>
    <s v="NO"/>
    <m/>
  </r>
  <r>
    <m/>
    <x v="2"/>
    <s v="Shalom"/>
    <x v="0"/>
    <x v="2"/>
    <x v="22"/>
    <n v="1"/>
    <m/>
    <m/>
    <n v="5"/>
    <n v="5"/>
    <m/>
    <m/>
    <m/>
    <m/>
    <n v="5"/>
    <n v="5"/>
    <m/>
    <m/>
    <x v="22"/>
    <x v="0"/>
    <n v="7.575757575757576E-2"/>
    <s v="NO"/>
    <m/>
  </r>
  <r>
    <m/>
    <x v="2"/>
    <s v="KBSS"/>
    <x v="0"/>
    <x v="5"/>
    <x v="111"/>
    <n v="1"/>
    <m/>
    <m/>
    <n v="32"/>
    <n v="32"/>
    <m/>
    <m/>
    <m/>
    <m/>
    <n v="12"/>
    <n v="32"/>
    <m/>
    <m/>
    <x v="111"/>
    <x v="0"/>
    <n v="1"/>
    <s v="NO"/>
    <m/>
  </r>
  <r>
    <m/>
    <x v="2"/>
    <m/>
    <x v="0"/>
    <x v="5"/>
    <x v="111"/>
    <n v="1"/>
    <m/>
    <m/>
    <n v="10"/>
    <n v="10"/>
    <m/>
    <m/>
    <m/>
    <m/>
    <n v="10"/>
    <n v="10"/>
    <m/>
    <m/>
    <x v="111"/>
    <x v="0"/>
    <n v="0.83333333333333337"/>
    <s v="NO"/>
    <m/>
  </r>
  <r>
    <m/>
    <x v="12"/>
    <m/>
    <x v="0"/>
    <x v="2"/>
    <x v="68"/>
    <n v="1"/>
    <m/>
    <m/>
    <n v="10"/>
    <n v="10"/>
    <m/>
    <m/>
    <m/>
    <m/>
    <n v="0"/>
    <n v="0"/>
    <m/>
    <m/>
    <x v="68"/>
    <x v="1"/>
    <s v=""/>
    <s v="NO"/>
    <m/>
  </r>
  <r>
    <m/>
    <x v="10"/>
    <m/>
    <x v="0"/>
    <x v="2"/>
    <x v="24"/>
    <n v="1"/>
    <n v="5"/>
    <n v="5"/>
    <m/>
    <m/>
    <m/>
    <m/>
    <m/>
    <m/>
    <n v="0"/>
    <n v="0"/>
    <m/>
    <m/>
    <x v="24"/>
    <x v="0"/>
    <n v="0"/>
    <s v="NO"/>
    <m/>
  </r>
  <r>
    <m/>
    <x v="2"/>
    <s v="KMSS"/>
    <x v="0"/>
    <x v="0"/>
    <x v="20"/>
    <n v="1"/>
    <m/>
    <m/>
    <n v="202"/>
    <n v="202"/>
    <m/>
    <m/>
    <m/>
    <m/>
    <n v="152"/>
    <n v="202"/>
    <m/>
    <m/>
    <x v="20"/>
    <x v="0"/>
    <n v="1"/>
    <s v="NO"/>
    <m/>
  </r>
  <r>
    <m/>
    <x v="2"/>
    <m/>
    <x v="0"/>
    <x v="4"/>
    <x v="66"/>
    <n v="1"/>
    <m/>
    <m/>
    <n v="150"/>
    <m/>
    <m/>
    <m/>
    <m/>
    <m/>
    <n v="0"/>
    <n v="0"/>
    <m/>
    <m/>
    <x v="66"/>
    <x v="0"/>
    <n v="0"/>
    <s v="NO"/>
    <m/>
  </r>
  <r>
    <m/>
    <x v="0"/>
    <s v="Shalom"/>
    <x v="0"/>
    <x v="8"/>
    <x v="27"/>
    <n v="1"/>
    <m/>
    <m/>
    <n v="82"/>
    <n v="82"/>
    <m/>
    <m/>
    <m/>
    <m/>
    <n v="82"/>
    <n v="82"/>
    <m/>
    <m/>
    <x v="27"/>
    <x v="0"/>
    <n v="0.7592592592592593"/>
    <s v="NO"/>
    <m/>
  </r>
  <r>
    <m/>
    <x v="2"/>
    <s v="Shalom"/>
    <x v="0"/>
    <x v="8"/>
    <x v="27"/>
    <n v="1"/>
    <m/>
    <m/>
    <n v="20"/>
    <n v="20"/>
    <m/>
    <m/>
    <m/>
    <m/>
    <n v="20"/>
    <n v="20"/>
    <m/>
    <m/>
    <x v="27"/>
    <x v="0"/>
    <n v="0.18518518518518517"/>
    <s v="NO"/>
    <m/>
  </r>
  <r>
    <m/>
    <x v="2"/>
    <s v="Shalom"/>
    <x v="0"/>
    <x v="2"/>
    <x v="24"/>
    <n v="1"/>
    <m/>
    <m/>
    <n v="10"/>
    <n v="10"/>
    <m/>
    <m/>
    <m/>
    <m/>
    <n v="10"/>
    <n v="10"/>
    <m/>
    <m/>
    <x v="24"/>
    <x v="0"/>
    <n v="0.14285714285714285"/>
    <s v="NO"/>
    <m/>
  </r>
  <r>
    <m/>
    <x v="2"/>
    <m/>
    <x v="0"/>
    <x v="1"/>
    <x v="6"/>
    <n v="1"/>
    <m/>
    <m/>
    <n v="3"/>
    <n v="3"/>
    <m/>
    <m/>
    <m/>
    <m/>
    <n v="3"/>
    <n v="3"/>
    <m/>
    <m/>
    <x v="6"/>
    <x v="0"/>
    <n v="0.5"/>
    <s v="NO"/>
    <m/>
  </r>
  <r>
    <m/>
    <x v="10"/>
    <m/>
    <x v="0"/>
    <x v="2"/>
    <x v="85"/>
    <n v="1"/>
    <n v="20"/>
    <n v="20"/>
    <m/>
    <m/>
    <m/>
    <m/>
    <m/>
    <m/>
    <n v="0"/>
    <n v="0"/>
    <m/>
    <m/>
    <x v="85"/>
    <x v="0"/>
    <n v="0"/>
    <s v="NO"/>
    <m/>
  </r>
  <r>
    <m/>
    <x v="2"/>
    <m/>
    <x v="0"/>
    <x v="1"/>
    <x v="112"/>
    <n v="1"/>
    <m/>
    <m/>
    <n v="3"/>
    <n v="3"/>
    <m/>
    <m/>
    <m/>
    <m/>
    <n v="3"/>
    <n v="3"/>
    <m/>
    <m/>
    <x v="112"/>
    <x v="0"/>
    <n v="9.6774193548387094E-2"/>
    <s v="NO"/>
    <m/>
  </r>
  <r>
    <m/>
    <x v="2"/>
    <s v="KMSS"/>
    <x v="0"/>
    <x v="7"/>
    <x v="42"/>
    <n v="1"/>
    <m/>
    <m/>
    <n v="123"/>
    <n v="123"/>
    <m/>
    <m/>
    <m/>
    <m/>
    <n v="103"/>
    <n v="123"/>
    <m/>
    <m/>
    <x v="42"/>
    <x v="0"/>
    <n v="1"/>
    <s v="NO"/>
    <m/>
  </r>
  <r>
    <m/>
    <x v="2"/>
    <s v="Shalom"/>
    <x v="0"/>
    <x v="0"/>
    <x v="75"/>
    <n v="1"/>
    <m/>
    <m/>
    <n v="45"/>
    <n v="45"/>
    <m/>
    <m/>
    <m/>
    <m/>
    <n v="45"/>
    <n v="45"/>
    <m/>
    <m/>
    <x v="75"/>
    <x v="0"/>
    <n v="0.44117647058823528"/>
    <s v="NO"/>
    <m/>
  </r>
  <r>
    <m/>
    <x v="0"/>
    <s v="Shalom"/>
    <x v="0"/>
    <x v="0"/>
    <x v="37"/>
    <n v="1"/>
    <m/>
    <m/>
    <n v="100"/>
    <n v="100"/>
    <m/>
    <m/>
    <m/>
    <m/>
    <n v="100"/>
    <n v="100"/>
    <m/>
    <m/>
    <x v="37"/>
    <x v="0"/>
    <n v="0.67114093959731547"/>
    <s v="NO"/>
    <m/>
  </r>
  <r>
    <m/>
    <x v="2"/>
    <s v="Shalom"/>
    <x v="0"/>
    <x v="2"/>
    <x v="85"/>
    <n v="1"/>
    <m/>
    <m/>
    <n v="5"/>
    <n v="5"/>
    <m/>
    <m/>
    <m/>
    <m/>
    <n v="4"/>
    <n v="5"/>
    <m/>
    <m/>
    <x v="85"/>
    <x v="0"/>
    <n v="1"/>
    <s v="NO"/>
    <m/>
  </r>
  <r>
    <m/>
    <x v="2"/>
    <s v="KBC"/>
    <x v="1"/>
    <x v="9"/>
    <x v="110"/>
    <n v="1"/>
    <m/>
    <m/>
    <n v="20"/>
    <n v="20"/>
    <m/>
    <m/>
    <m/>
    <m/>
    <n v="20"/>
    <n v="20"/>
    <m/>
    <m/>
    <x v="110"/>
    <x v="0"/>
    <n v="0.27027027027027029"/>
    <s v="NO"/>
    <m/>
  </r>
  <r>
    <m/>
    <x v="0"/>
    <s v="KMSS"/>
    <x v="0"/>
    <x v="7"/>
    <x v="56"/>
    <n v="1"/>
    <m/>
    <m/>
    <n v="338"/>
    <n v="338"/>
    <m/>
    <m/>
    <m/>
    <m/>
    <n v="338"/>
    <n v="338"/>
    <m/>
    <m/>
    <x v="56"/>
    <x v="0"/>
    <n v="0.47075208913649025"/>
    <s v="NO"/>
    <m/>
  </r>
  <r>
    <m/>
    <x v="6"/>
    <m/>
    <x v="0"/>
    <x v="5"/>
    <x v="113"/>
    <n v="1"/>
    <m/>
    <m/>
    <n v="38"/>
    <n v="38"/>
    <m/>
    <m/>
    <m/>
    <m/>
    <n v="38"/>
    <n v="38"/>
    <m/>
    <m/>
    <x v="113"/>
    <x v="0"/>
    <n v="1"/>
    <s v="NO"/>
    <m/>
  </r>
  <r>
    <m/>
    <x v="2"/>
    <m/>
    <x v="0"/>
    <x v="5"/>
    <x v="113"/>
    <n v="1"/>
    <m/>
    <m/>
    <n v="5"/>
    <m/>
    <m/>
    <m/>
    <m/>
    <m/>
    <n v="0"/>
    <n v="0"/>
    <m/>
    <m/>
    <x v="113"/>
    <x v="0"/>
    <n v="0"/>
    <s v="NO"/>
    <m/>
  </r>
  <r>
    <m/>
    <x v="8"/>
    <s v="KMSS"/>
    <x v="0"/>
    <x v="1"/>
    <x v="43"/>
    <n v="1"/>
    <m/>
    <m/>
    <n v="20"/>
    <n v="20"/>
    <m/>
    <m/>
    <m/>
    <m/>
    <n v="20"/>
    <n v="20"/>
    <m/>
    <m/>
    <x v="43"/>
    <x v="0"/>
    <n v="0.1"/>
    <s v="NO"/>
    <m/>
  </r>
  <r>
    <m/>
    <x v="0"/>
    <s v="KBC"/>
    <x v="1"/>
    <x v="9"/>
    <x v="114"/>
    <n v="1"/>
    <m/>
    <m/>
    <n v="30"/>
    <n v="30"/>
    <m/>
    <m/>
    <m/>
    <m/>
    <n v="30"/>
    <n v="30"/>
    <m/>
    <m/>
    <x v="114"/>
    <x v="0"/>
    <n v="0.44776119402985076"/>
    <s v="NO"/>
    <m/>
  </r>
  <r>
    <m/>
    <x v="2"/>
    <m/>
    <x v="0"/>
    <x v="1"/>
    <x v="43"/>
    <n v="1"/>
    <m/>
    <m/>
    <n v="50"/>
    <n v="50"/>
    <m/>
    <m/>
    <m/>
    <m/>
    <n v="50"/>
    <n v="50"/>
    <m/>
    <m/>
    <x v="43"/>
    <x v="0"/>
    <n v="0.25"/>
    <s v="NO"/>
    <m/>
  </r>
  <r>
    <m/>
    <x v="13"/>
    <s v="KMSS"/>
    <x v="0"/>
    <x v="1"/>
    <x v="115"/>
    <n v="1"/>
    <m/>
    <m/>
    <n v="60"/>
    <n v="60"/>
    <m/>
    <m/>
    <m/>
    <m/>
    <n v="60"/>
    <n v="60"/>
    <m/>
    <m/>
    <x v="115"/>
    <x v="0"/>
    <n v="0.49180327868852458"/>
    <s v="NO"/>
    <m/>
  </r>
  <r>
    <m/>
    <x v="2"/>
    <s v="KMSS"/>
    <x v="0"/>
    <x v="1"/>
    <x v="115"/>
    <n v="1"/>
    <m/>
    <m/>
    <n v="20"/>
    <n v="20"/>
    <m/>
    <m/>
    <m/>
    <m/>
    <n v="20"/>
    <n v="20"/>
    <m/>
    <m/>
    <x v="115"/>
    <x v="0"/>
    <n v="0.16393442622950818"/>
    <s v="NO"/>
    <m/>
  </r>
  <r>
    <m/>
    <x v="0"/>
    <s v="KMSS"/>
    <x v="0"/>
    <x v="7"/>
    <x v="53"/>
    <n v="1"/>
    <m/>
    <m/>
    <n v="700"/>
    <n v="700"/>
    <m/>
    <m/>
    <m/>
    <m/>
    <n v="700"/>
    <n v="700"/>
    <m/>
    <m/>
    <x v="53"/>
    <x v="0"/>
    <n v="0.45278137128072443"/>
    <s v="NO"/>
    <m/>
  </r>
  <r>
    <m/>
    <x v="2"/>
    <s v="KBSS"/>
    <x v="0"/>
    <x v="7"/>
    <x v="53"/>
    <n v="1"/>
    <m/>
    <m/>
    <n v="217"/>
    <n v="217"/>
    <m/>
    <m/>
    <m/>
    <m/>
    <n v="217"/>
    <n v="217"/>
    <m/>
    <m/>
    <x v="53"/>
    <x v="0"/>
    <n v="0.14036222509702459"/>
    <s v="NO"/>
    <m/>
  </r>
  <r>
    <m/>
    <x v="14"/>
    <s v="MDCG"/>
    <x v="1"/>
    <x v="6"/>
    <x v="116"/>
    <n v="1"/>
    <m/>
    <m/>
    <n v="121"/>
    <n v="121"/>
    <m/>
    <m/>
    <m/>
    <m/>
    <n v="0"/>
    <n v="0"/>
    <m/>
    <m/>
    <x v="116"/>
    <x v="1"/>
    <s v=""/>
    <s v="NO"/>
    <m/>
  </r>
  <r>
    <m/>
    <x v="2"/>
    <s v="KBC"/>
    <x v="1"/>
    <x v="6"/>
    <x v="117"/>
    <n v="1"/>
    <m/>
    <m/>
    <n v="20"/>
    <n v="20"/>
    <m/>
    <m/>
    <m/>
    <m/>
    <n v="20"/>
    <n v="20"/>
    <m/>
    <m/>
    <x v="117"/>
    <x v="0"/>
    <n v="0.31746031746031744"/>
    <s v="NO"/>
    <m/>
  </r>
  <r>
    <m/>
    <x v="6"/>
    <m/>
    <x v="1"/>
    <x v="6"/>
    <x v="118"/>
    <n v="1"/>
    <m/>
    <m/>
    <n v="80"/>
    <n v="80"/>
    <m/>
    <m/>
    <m/>
    <m/>
    <n v="57"/>
    <n v="80"/>
    <m/>
    <m/>
    <x v="118"/>
    <x v="0"/>
    <n v="1"/>
    <s v="NO"/>
    <m/>
  </r>
  <r>
    <m/>
    <x v="6"/>
    <m/>
    <x v="1"/>
    <x v="6"/>
    <x v="119"/>
    <n v="1"/>
    <m/>
    <m/>
    <n v="48"/>
    <n v="48"/>
    <m/>
    <m/>
    <m/>
    <m/>
    <n v="30"/>
    <n v="48"/>
    <m/>
    <m/>
    <x v="119"/>
    <x v="0"/>
    <n v="1"/>
    <s v="NO"/>
    <m/>
  </r>
  <r>
    <m/>
    <x v="2"/>
    <s v="KBC"/>
    <x v="1"/>
    <x v="13"/>
    <x v="62"/>
    <n v="1"/>
    <m/>
    <m/>
    <n v="10"/>
    <n v="10"/>
    <m/>
    <m/>
    <m/>
    <m/>
    <n v="10"/>
    <n v="10"/>
    <m/>
    <m/>
    <x v="62"/>
    <x v="0"/>
    <n v="0.29411764705882354"/>
    <s v="NO"/>
    <m/>
  </r>
  <r>
    <m/>
    <x v="2"/>
    <s v="KBC"/>
    <x v="1"/>
    <x v="14"/>
    <x v="120"/>
    <n v="1"/>
    <m/>
    <m/>
    <n v="10"/>
    <n v="10"/>
    <m/>
    <m/>
    <m/>
    <m/>
    <n v="10"/>
    <n v="10"/>
    <m/>
    <m/>
    <x v="120"/>
    <x v="0"/>
    <n v="0.22727272727272727"/>
    <s v="NO"/>
    <m/>
  </r>
  <r>
    <m/>
    <x v="13"/>
    <s v="KBSS"/>
    <x v="0"/>
    <x v="4"/>
    <x v="86"/>
    <n v="1"/>
    <m/>
    <m/>
    <n v="100"/>
    <n v="100"/>
    <m/>
    <m/>
    <m/>
    <m/>
    <n v="0"/>
    <n v="0"/>
    <m/>
    <m/>
    <x v="86"/>
    <x v="1"/>
    <s v=""/>
    <s v="NO"/>
    <m/>
  </r>
  <r>
    <m/>
    <x v="11"/>
    <m/>
    <x v="0"/>
    <x v="4"/>
    <x v="32"/>
    <n v="1"/>
    <m/>
    <m/>
    <n v="26"/>
    <n v="26"/>
    <m/>
    <m/>
    <m/>
    <m/>
    <n v="26"/>
    <n v="26"/>
    <m/>
    <m/>
    <x v="32"/>
    <x v="0"/>
    <n v="4.7531992687385741E-2"/>
    <s v="NO"/>
    <m/>
  </r>
  <r>
    <m/>
    <x v="2"/>
    <s v="KBSS"/>
    <x v="0"/>
    <x v="4"/>
    <x v="32"/>
    <n v="1"/>
    <m/>
    <m/>
    <n v="350"/>
    <n v="350"/>
    <m/>
    <m/>
    <m/>
    <m/>
    <n v="350"/>
    <n v="350"/>
    <m/>
    <m/>
    <x v="32"/>
    <x v="0"/>
    <n v="0.63985374771480807"/>
    <s v="NO"/>
    <m/>
  </r>
  <r>
    <m/>
    <x v="2"/>
    <m/>
    <x v="0"/>
    <x v="4"/>
    <x v="32"/>
    <n v="1"/>
    <m/>
    <m/>
    <n v="150"/>
    <m/>
    <m/>
    <m/>
    <m/>
    <m/>
    <n v="0"/>
    <n v="0"/>
    <m/>
    <m/>
    <x v="32"/>
    <x v="0"/>
    <n v="0"/>
    <s v="NO"/>
    <m/>
  </r>
  <r>
    <m/>
    <x v="2"/>
    <s v="KBC"/>
    <x v="0"/>
    <x v="2"/>
    <x v="121"/>
    <n v="1"/>
    <m/>
    <m/>
    <n v="40"/>
    <n v="40"/>
    <m/>
    <m/>
    <m/>
    <m/>
    <n v="40"/>
    <n v="40"/>
    <m/>
    <m/>
    <x v="121"/>
    <x v="0"/>
    <n v="0.8"/>
    <s v="NO"/>
    <m/>
  </r>
  <r>
    <m/>
    <x v="2"/>
    <s v="KBC"/>
    <x v="0"/>
    <x v="11"/>
    <x v="122"/>
    <n v="1"/>
    <m/>
    <m/>
    <n v="15"/>
    <n v="15"/>
    <m/>
    <m/>
    <m/>
    <m/>
    <n v="12"/>
    <n v="15"/>
    <m/>
    <m/>
    <x v="122"/>
    <x v="0"/>
    <n v="1"/>
    <s v="NO"/>
    <m/>
  </r>
  <r>
    <m/>
    <x v="7"/>
    <s v="KBC"/>
    <x v="0"/>
    <x v="15"/>
    <x v="123"/>
    <n v="1"/>
    <m/>
    <m/>
    <n v="10"/>
    <n v="10"/>
    <m/>
    <m/>
    <m/>
    <m/>
    <n v="10"/>
    <n v="10"/>
    <m/>
    <m/>
    <x v="123"/>
    <x v="0"/>
    <n v="0.52631578947368418"/>
    <s v="NO"/>
    <m/>
  </r>
  <r>
    <m/>
    <x v="2"/>
    <s v="KBC"/>
    <x v="0"/>
    <x v="15"/>
    <x v="123"/>
    <n v="1"/>
    <m/>
    <m/>
    <n v="20"/>
    <n v="20"/>
    <m/>
    <m/>
    <m/>
    <m/>
    <n v="19"/>
    <n v="20"/>
    <m/>
    <m/>
    <x v="123"/>
    <x v="0"/>
    <n v="1"/>
    <s v="NO"/>
    <m/>
  </r>
  <r>
    <m/>
    <x v="2"/>
    <s v="KBC"/>
    <x v="0"/>
    <x v="2"/>
    <x v="90"/>
    <n v="1"/>
    <m/>
    <m/>
    <n v="15"/>
    <n v="15"/>
    <m/>
    <m/>
    <m/>
    <m/>
    <n v="0"/>
    <n v="0"/>
    <m/>
    <m/>
    <x v="90"/>
    <x v="1"/>
    <s v=""/>
    <s v="NO"/>
    <m/>
  </r>
  <r>
    <m/>
    <x v="2"/>
    <m/>
    <x v="0"/>
    <x v="1"/>
    <x v="55"/>
    <n v="1"/>
    <m/>
    <m/>
    <n v="5"/>
    <n v="5"/>
    <m/>
    <m/>
    <m/>
    <m/>
    <n v="5"/>
    <n v="5"/>
    <m/>
    <m/>
    <x v="55"/>
    <x v="0"/>
    <n v="3.5971223021582732E-2"/>
    <s v="NO"/>
    <m/>
  </r>
  <r>
    <m/>
    <x v="2"/>
    <s v="Shalom"/>
    <x v="0"/>
    <x v="8"/>
    <x v="26"/>
    <n v="1"/>
    <m/>
    <m/>
    <n v="33"/>
    <n v="33"/>
    <m/>
    <m/>
    <m/>
    <m/>
    <n v="33"/>
    <n v="33"/>
    <m/>
    <m/>
    <x v="26"/>
    <x v="0"/>
    <n v="0.22916666666666666"/>
    <s v="NO"/>
    <m/>
  </r>
  <r>
    <m/>
    <x v="6"/>
    <m/>
    <x v="0"/>
    <x v="5"/>
    <x v="29"/>
    <n v="1"/>
    <m/>
    <m/>
    <n v="12"/>
    <n v="12"/>
    <m/>
    <m/>
    <m/>
    <m/>
    <n v="12"/>
    <n v="12"/>
    <m/>
    <m/>
    <x v="29"/>
    <x v="0"/>
    <n v="9.2307692307692313E-2"/>
    <s v="NO"/>
    <m/>
  </r>
  <r>
    <m/>
    <x v="2"/>
    <s v="Metta"/>
    <x v="0"/>
    <x v="5"/>
    <x v="29"/>
    <n v="1"/>
    <m/>
    <m/>
    <n v="30"/>
    <n v="30"/>
    <m/>
    <m/>
    <m/>
    <m/>
    <n v="30"/>
    <n v="30"/>
    <m/>
    <m/>
    <x v="29"/>
    <x v="0"/>
    <n v="0.23076923076923078"/>
    <s v="NO"/>
    <m/>
  </r>
  <r>
    <m/>
    <x v="2"/>
    <m/>
    <x v="0"/>
    <x v="5"/>
    <x v="29"/>
    <n v="1"/>
    <m/>
    <m/>
    <n v="15"/>
    <n v="15"/>
    <m/>
    <m/>
    <m/>
    <m/>
    <n v="15"/>
    <n v="15"/>
    <m/>
    <m/>
    <x v="29"/>
    <x v="0"/>
    <n v="0.11538461538461539"/>
    <s v="NO"/>
    <m/>
  </r>
  <r>
    <m/>
    <x v="2"/>
    <s v="Shalom"/>
    <x v="0"/>
    <x v="5"/>
    <x v="29"/>
    <n v="1"/>
    <m/>
    <m/>
    <n v="5"/>
    <n v="5"/>
    <m/>
    <m/>
    <m/>
    <m/>
    <n v="5"/>
    <n v="5"/>
    <m/>
    <m/>
    <x v="29"/>
    <x v="0"/>
    <n v="3.8461538461538464E-2"/>
    <s v="NO"/>
    <m/>
  </r>
  <r>
    <m/>
    <x v="2"/>
    <m/>
    <x v="0"/>
    <x v="7"/>
    <x v="104"/>
    <n v="1"/>
    <m/>
    <m/>
    <n v="12"/>
    <n v="12"/>
    <m/>
    <m/>
    <m/>
    <m/>
    <n v="12"/>
    <n v="12"/>
    <m/>
    <m/>
    <x v="104"/>
    <x v="0"/>
    <n v="0.30769230769230771"/>
    <s v="NO"/>
    <m/>
  </r>
  <r>
    <m/>
    <x v="5"/>
    <s v="KBC"/>
    <x v="0"/>
    <x v="1"/>
    <x v="7"/>
    <n v="1"/>
    <m/>
    <m/>
    <n v="32"/>
    <n v="32"/>
    <m/>
    <m/>
    <m/>
    <m/>
    <n v="32"/>
    <n v="32"/>
    <m/>
    <m/>
    <x v="7"/>
    <x v="0"/>
    <n v="0.49230769230769234"/>
    <s v="NO"/>
    <m/>
  </r>
  <r>
    <m/>
    <x v="13"/>
    <m/>
    <x v="0"/>
    <x v="7"/>
    <x v="74"/>
    <n v="1"/>
    <m/>
    <m/>
    <n v="40"/>
    <n v="40"/>
    <m/>
    <m/>
    <m/>
    <m/>
    <n v="40"/>
    <n v="40"/>
    <m/>
    <m/>
    <x v="74"/>
    <x v="0"/>
    <n v="0.38834951456310679"/>
    <s v="NO"/>
    <m/>
  </r>
  <r>
    <m/>
    <x v="2"/>
    <m/>
    <x v="0"/>
    <x v="7"/>
    <x v="74"/>
    <n v="1"/>
    <m/>
    <m/>
    <n v="6"/>
    <n v="6"/>
    <m/>
    <m/>
    <m/>
    <m/>
    <n v="6"/>
    <n v="6"/>
    <m/>
    <m/>
    <x v="74"/>
    <x v="0"/>
    <n v="5.8252427184466021E-2"/>
    <s v="NO"/>
    <m/>
  </r>
  <r>
    <m/>
    <x v="2"/>
    <m/>
    <x v="0"/>
    <x v="7"/>
    <x v="34"/>
    <n v="1"/>
    <m/>
    <m/>
    <n v="5"/>
    <n v="57"/>
    <m/>
    <m/>
    <m/>
    <m/>
    <n v="57"/>
    <n v="57"/>
    <m/>
    <m/>
    <x v="34"/>
    <x v="0"/>
    <n v="0.29381443298969073"/>
    <s v="NO"/>
    <m/>
  </r>
  <r>
    <m/>
    <x v="13"/>
    <s v="KBSS"/>
    <x v="0"/>
    <x v="4"/>
    <x v="124"/>
    <n v="1"/>
    <m/>
    <m/>
    <n v="100"/>
    <n v="100"/>
    <m/>
    <m/>
    <m/>
    <m/>
    <n v="0"/>
    <n v="0"/>
    <m/>
    <m/>
    <x v="124"/>
    <x v="1"/>
    <s v=""/>
    <s v="NO"/>
    <m/>
  </r>
  <r>
    <m/>
    <x v="2"/>
    <s v="Shalom"/>
    <x v="0"/>
    <x v="0"/>
    <x v="1"/>
    <n v="1"/>
    <m/>
    <m/>
    <n v="25"/>
    <n v="25"/>
    <m/>
    <m/>
    <m/>
    <m/>
    <n v="25"/>
    <n v="25"/>
    <m/>
    <m/>
    <x v="1"/>
    <x v="0"/>
    <n v="0.83333333333333337"/>
    <s v="NO"/>
    <m/>
  </r>
  <r>
    <m/>
    <x v="0"/>
    <s v="KMSS"/>
    <x v="0"/>
    <x v="0"/>
    <x v="125"/>
    <n v="1"/>
    <m/>
    <m/>
    <n v="604"/>
    <n v="604"/>
    <m/>
    <m/>
    <m/>
    <m/>
    <n v="431"/>
    <n v="604"/>
    <m/>
    <m/>
    <x v="125"/>
    <x v="0"/>
    <n v="1"/>
    <s v="NO"/>
    <m/>
  </r>
  <r>
    <m/>
    <x v="12"/>
    <m/>
    <x v="0"/>
    <x v="7"/>
    <x v="126"/>
    <n v="1"/>
    <m/>
    <m/>
    <n v="92"/>
    <n v="92"/>
    <m/>
    <m/>
    <m/>
    <m/>
    <n v="0"/>
    <n v="0"/>
    <m/>
    <m/>
    <x v="126"/>
    <x v="1"/>
    <s v=""/>
    <s v="NO"/>
    <m/>
  </r>
  <r>
    <m/>
    <x v="2"/>
    <s v="Shalom"/>
    <x v="0"/>
    <x v="0"/>
    <x v="87"/>
    <n v="1"/>
    <m/>
    <m/>
    <n v="54"/>
    <n v="54"/>
    <m/>
    <m/>
    <m/>
    <m/>
    <n v="54"/>
    <n v="54"/>
    <m/>
    <m/>
    <x v="87"/>
    <x v="0"/>
    <n v="0.18685121107266436"/>
    <s v="NO"/>
    <m/>
  </r>
  <r>
    <m/>
    <x v="4"/>
    <m/>
    <x v="0"/>
    <x v="0"/>
    <x v="87"/>
    <n v="1"/>
    <m/>
    <m/>
    <n v="18"/>
    <n v="18"/>
    <m/>
    <m/>
    <m/>
    <m/>
    <n v="18"/>
    <n v="18"/>
    <m/>
    <m/>
    <x v="87"/>
    <x v="0"/>
    <n v="6.228373702422145E-2"/>
    <s v="NO"/>
    <m/>
  </r>
  <r>
    <m/>
    <x v="0"/>
    <s v="KMSS"/>
    <x v="0"/>
    <x v="0"/>
    <x v="0"/>
    <n v="1"/>
    <m/>
    <m/>
    <n v="12"/>
    <n v="12"/>
    <m/>
    <m/>
    <m/>
    <m/>
    <n v="12"/>
    <n v="12"/>
    <m/>
    <m/>
    <x v="0"/>
    <x v="0"/>
    <n v="4.2553191489361701E-2"/>
    <s v="NO"/>
    <m/>
  </r>
  <r>
    <m/>
    <x v="2"/>
    <s v="KMSS"/>
    <x v="0"/>
    <x v="0"/>
    <x v="0"/>
    <n v="1"/>
    <m/>
    <m/>
    <n v="78"/>
    <n v="78"/>
    <m/>
    <m/>
    <m/>
    <m/>
    <n v="78"/>
    <n v="78"/>
    <n v="138"/>
    <m/>
    <x v="0"/>
    <x v="0"/>
    <n v="0.27659574468085107"/>
    <s v="NO"/>
    <m/>
  </r>
  <r>
    <m/>
    <x v="2"/>
    <m/>
    <x v="0"/>
    <x v="0"/>
    <x v="0"/>
    <n v="1"/>
    <m/>
    <m/>
    <n v="120"/>
    <n v="120"/>
    <m/>
    <m/>
    <m/>
    <m/>
    <n v="120"/>
    <n v="120"/>
    <m/>
    <m/>
    <x v="0"/>
    <x v="0"/>
    <n v="0.42553191489361702"/>
    <s v="NO"/>
    <m/>
  </r>
  <r>
    <m/>
    <x v="2"/>
    <s v="KBC"/>
    <x v="0"/>
    <x v="1"/>
    <x v="7"/>
    <n v="1"/>
    <m/>
    <m/>
    <n v="20"/>
    <n v="20"/>
    <m/>
    <m/>
    <m/>
    <m/>
    <n v="20"/>
    <n v="20"/>
    <m/>
    <m/>
    <x v="7"/>
    <x v="0"/>
    <n v="0.30769230769230771"/>
    <s v="NO"/>
    <m/>
  </r>
  <r>
    <m/>
    <x v="4"/>
    <m/>
    <x v="0"/>
    <x v="0"/>
    <x v="45"/>
    <n v="1"/>
    <m/>
    <m/>
    <n v="10"/>
    <n v="10"/>
    <m/>
    <m/>
    <m/>
    <m/>
    <n v="10"/>
    <n v="10"/>
    <m/>
    <m/>
    <x v="45"/>
    <x v="0"/>
    <n v="0.22222222222222221"/>
    <s v="NO"/>
    <m/>
  </r>
  <r>
    <m/>
    <x v="2"/>
    <s v="KBC"/>
    <x v="0"/>
    <x v="0"/>
    <x v="39"/>
    <n v="1"/>
    <m/>
    <m/>
    <n v="24"/>
    <n v="24"/>
    <m/>
    <m/>
    <m/>
    <m/>
    <n v="24"/>
    <n v="24"/>
    <m/>
    <m/>
    <x v="39"/>
    <x v="0"/>
    <n v="0.12903225806451613"/>
    <s v="NO"/>
    <m/>
  </r>
  <r>
    <m/>
    <x v="0"/>
    <m/>
    <x v="0"/>
    <x v="4"/>
    <x v="50"/>
    <n v="1"/>
    <m/>
    <m/>
    <n v="144"/>
    <n v="144"/>
    <m/>
    <m/>
    <m/>
    <m/>
    <n v="144"/>
    <n v="144"/>
    <m/>
    <m/>
    <x v="50"/>
    <x v="0"/>
    <n v="0.35732009925558311"/>
    <s v="NO"/>
    <m/>
  </r>
  <r>
    <m/>
    <x v="15"/>
    <m/>
    <x v="0"/>
    <x v="4"/>
    <x v="127"/>
    <n v="1"/>
    <m/>
    <m/>
    <n v="20"/>
    <n v="20"/>
    <m/>
    <m/>
    <m/>
    <m/>
    <n v="20"/>
    <n v="20"/>
    <m/>
    <m/>
    <x v="127"/>
    <x v="0"/>
    <n v="0.11494252873563218"/>
    <s v="NO"/>
    <m/>
  </r>
  <r>
    <m/>
    <x v="12"/>
    <m/>
    <x v="0"/>
    <x v="4"/>
    <x v="127"/>
    <n v="1"/>
    <m/>
    <m/>
    <n v="30"/>
    <n v="30"/>
    <m/>
    <m/>
    <m/>
    <m/>
    <n v="30"/>
    <n v="30"/>
    <m/>
    <m/>
    <x v="127"/>
    <x v="0"/>
    <n v="0.17241379310344829"/>
    <s v="NO"/>
    <m/>
  </r>
  <r>
    <m/>
    <x v="6"/>
    <m/>
    <x v="0"/>
    <x v="7"/>
    <x v="76"/>
    <n v="1"/>
    <m/>
    <m/>
    <n v="18"/>
    <n v="18"/>
    <m/>
    <m/>
    <m/>
    <m/>
    <n v="18"/>
    <n v="18"/>
    <m/>
    <m/>
    <x v="76"/>
    <x v="0"/>
    <n v="6.7924528301886791E-2"/>
    <s v="NO"/>
    <m/>
  </r>
  <r>
    <m/>
    <x v="2"/>
    <m/>
    <x v="0"/>
    <x v="7"/>
    <x v="76"/>
    <n v="1"/>
    <m/>
    <m/>
    <n v="55"/>
    <n v="55"/>
    <m/>
    <m/>
    <m/>
    <m/>
    <n v="55"/>
    <n v="55"/>
    <m/>
    <m/>
    <x v="76"/>
    <x v="0"/>
    <n v="0.20754716981132076"/>
    <s v="NO"/>
    <m/>
  </r>
  <r>
    <m/>
    <x v="2"/>
    <m/>
    <x v="0"/>
    <x v="1"/>
    <x v="106"/>
    <n v="1"/>
    <m/>
    <m/>
    <n v="20"/>
    <n v="20"/>
    <m/>
    <m/>
    <m/>
    <m/>
    <n v="20"/>
    <n v="20"/>
    <m/>
    <m/>
    <x v="106"/>
    <x v="0"/>
    <n v="0.19230769230769232"/>
    <s v="NO"/>
    <m/>
  </r>
  <r>
    <m/>
    <x v="6"/>
    <m/>
    <x v="0"/>
    <x v="4"/>
    <x v="107"/>
    <n v="1"/>
    <m/>
    <m/>
    <n v="15"/>
    <n v="15"/>
    <m/>
    <m/>
    <m/>
    <m/>
    <n v="15"/>
    <n v="15"/>
    <m/>
    <m/>
    <x v="107"/>
    <x v="0"/>
    <n v="0.15306122448979592"/>
    <s v="NO"/>
    <m/>
  </r>
  <r>
    <m/>
    <x v="8"/>
    <s v="KBC"/>
    <x v="0"/>
    <x v="0"/>
    <x v="46"/>
    <n v="1"/>
    <m/>
    <m/>
    <n v="8"/>
    <n v="8"/>
    <m/>
    <m/>
    <m/>
    <m/>
    <n v="8"/>
    <n v="8"/>
    <m/>
    <m/>
    <x v="46"/>
    <x v="0"/>
    <n v="0.12307692307692308"/>
    <s v="NO"/>
    <m/>
  </r>
  <r>
    <m/>
    <x v="2"/>
    <s v="Shalom"/>
    <x v="0"/>
    <x v="7"/>
    <x v="128"/>
    <n v="1"/>
    <m/>
    <m/>
    <m/>
    <m/>
    <m/>
    <m/>
    <m/>
    <m/>
    <n v="0"/>
    <n v="0"/>
    <n v="5"/>
    <m/>
    <x v="128"/>
    <x v="1"/>
    <s v=""/>
    <s v="NO"/>
    <m/>
  </r>
  <r>
    <m/>
    <x v="2"/>
    <s v="KBSS"/>
    <x v="0"/>
    <x v="4"/>
    <x v="30"/>
    <n v="1"/>
    <m/>
    <m/>
    <n v="200"/>
    <n v="200"/>
    <m/>
    <m/>
    <m/>
    <m/>
    <n v="200"/>
    <n v="200"/>
    <m/>
    <m/>
    <x v="30"/>
    <x v="0"/>
    <n v="0.44543429844097998"/>
    <s v="NO"/>
    <m/>
  </r>
  <r>
    <m/>
    <x v="6"/>
    <m/>
    <x v="0"/>
    <x v="7"/>
    <x v="128"/>
    <n v="1"/>
    <m/>
    <m/>
    <n v="6"/>
    <n v="6"/>
    <m/>
    <m/>
    <m/>
    <m/>
    <n v="0"/>
    <n v="0"/>
    <m/>
    <m/>
    <x v="128"/>
    <x v="1"/>
    <s v=""/>
    <s v="NO"/>
    <m/>
  </r>
  <r>
    <m/>
    <x v="2"/>
    <s v="KBC"/>
    <x v="0"/>
    <x v="0"/>
    <x v="46"/>
    <n v="1"/>
    <m/>
    <m/>
    <n v="10"/>
    <n v="10"/>
    <m/>
    <m/>
    <m/>
    <m/>
    <n v="10"/>
    <n v="10"/>
    <m/>
    <m/>
    <x v="46"/>
    <x v="0"/>
    <n v="0.15384615384615385"/>
    <s v="NO"/>
    <m/>
  </r>
  <r>
    <m/>
    <x v="2"/>
    <m/>
    <x v="0"/>
    <x v="4"/>
    <x v="77"/>
    <n v="1"/>
    <m/>
    <m/>
    <n v="41"/>
    <n v="10"/>
    <m/>
    <m/>
    <m/>
    <m/>
    <n v="10"/>
    <n v="10"/>
    <m/>
    <m/>
    <x v="77"/>
    <x v="0"/>
    <n v="5.1546391752577317E-2"/>
    <s v="NO"/>
    <m/>
  </r>
  <r>
    <m/>
    <x v="8"/>
    <s v="CC"/>
    <x v="0"/>
    <x v="2"/>
    <x v="129"/>
    <n v="1"/>
    <m/>
    <m/>
    <n v="10"/>
    <n v="10"/>
    <m/>
    <m/>
    <m/>
    <m/>
    <n v="0"/>
    <n v="0"/>
    <m/>
    <m/>
    <x v="129"/>
    <x v="1"/>
    <s v=""/>
    <s v="NO"/>
    <m/>
  </r>
  <r>
    <m/>
    <x v="2"/>
    <s v="Shalom"/>
    <x v="0"/>
    <x v="2"/>
    <x v="129"/>
    <n v="1"/>
    <m/>
    <m/>
    <n v="10"/>
    <n v="10"/>
    <m/>
    <m/>
    <m/>
    <m/>
    <n v="0"/>
    <n v="0"/>
    <m/>
    <m/>
    <x v="129"/>
    <x v="1"/>
    <s v=""/>
    <s v="NO"/>
    <m/>
  </r>
  <r>
    <m/>
    <x v="2"/>
    <s v="Shalom"/>
    <x v="0"/>
    <x v="1"/>
    <x v="31"/>
    <n v="1"/>
    <m/>
    <m/>
    <n v="27"/>
    <n v="27"/>
    <m/>
    <m/>
    <m/>
    <m/>
    <n v="23"/>
    <n v="27"/>
    <m/>
    <m/>
    <x v="31"/>
    <x v="0"/>
    <n v="1"/>
    <s v="NO"/>
    <m/>
  </r>
  <r>
    <m/>
    <x v="2"/>
    <s v="Shalom"/>
    <x v="0"/>
    <x v="1"/>
    <x v="21"/>
    <n v="1"/>
    <m/>
    <m/>
    <n v="4"/>
    <n v="4"/>
    <m/>
    <m/>
    <m/>
    <m/>
    <n v="4"/>
    <n v="4"/>
    <m/>
    <m/>
    <x v="21"/>
    <x v="0"/>
    <n v="0.26666666666666666"/>
    <s v="NO"/>
    <m/>
  </r>
  <r>
    <m/>
    <x v="2"/>
    <s v="Shalom"/>
    <x v="0"/>
    <x v="2"/>
    <x v="89"/>
    <n v="1"/>
    <m/>
    <m/>
    <n v="5"/>
    <n v="5"/>
    <m/>
    <m/>
    <m/>
    <m/>
    <n v="4"/>
    <n v="5"/>
    <m/>
    <m/>
    <x v="89"/>
    <x v="0"/>
    <n v="1"/>
    <s v="NO"/>
    <m/>
  </r>
  <r>
    <m/>
    <x v="14"/>
    <s v="MDCG"/>
    <x v="1"/>
    <x v="6"/>
    <x v="130"/>
    <n v="1"/>
    <m/>
    <m/>
    <n v="63"/>
    <n v="63"/>
    <m/>
    <m/>
    <m/>
    <m/>
    <n v="63"/>
    <n v="63"/>
    <m/>
    <m/>
    <x v="130"/>
    <x v="0"/>
    <n v="0.92647058823529416"/>
    <s v="NO"/>
    <m/>
  </r>
  <r>
    <m/>
    <x v="8"/>
    <s v="Metta"/>
    <x v="0"/>
    <x v="7"/>
    <x v="80"/>
    <n v="1"/>
    <m/>
    <m/>
    <n v="32"/>
    <n v="32"/>
    <m/>
    <m/>
    <m/>
    <m/>
    <n v="32"/>
    <n v="32"/>
    <m/>
    <m/>
    <x v="80"/>
    <x v="0"/>
    <n v="8.2687338501291993E-2"/>
    <s v="NO"/>
    <m/>
  </r>
  <r>
    <m/>
    <x v="6"/>
    <m/>
    <x v="0"/>
    <x v="7"/>
    <x v="80"/>
    <n v="1"/>
    <m/>
    <m/>
    <n v="144"/>
    <n v="144"/>
    <m/>
    <m/>
    <m/>
    <m/>
    <n v="144"/>
    <n v="144"/>
    <m/>
    <m/>
    <x v="80"/>
    <x v="0"/>
    <n v="0.37209302325581395"/>
    <s v="NO"/>
    <m/>
  </r>
  <r>
    <m/>
    <x v="13"/>
    <s v="KBSS"/>
    <x v="0"/>
    <x v="7"/>
    <x v="131"/>
    <n v="1"/>
    <m/>
    <m/>
    <n v="92"/>
    <n v="92"/>
    <m/>
    <m/>
    <m/>
    <m/>
    <n v="0"/>
    <n v="0"/>
    <m/>
    <m/>
    <x v="131"/>
    <x v="1"/>
    <s v=""/>
    <s v="NO"/>
    <m/>
  </r>
  <r>
    <m/>
    <x v="13"/>
    <s v="KBSS"/>
    <x v="0"/>
    <x v="4"/>
    <x v="132"/>
    <n v="1"/>
    <m/>
    <m/>
    <n v="24"/>
    <n v="24"/>
    <m/>
    <m/>
    <m/>
    <m/>
    <n v="0"/>
    <n v="0"/>
    <m/>
    <m/>
    <x v="132"/>
    <x v="1"/>
    <s v=""/>
    <s v="NO"/>
    <m/>
  </r>
  <r>
    <m/>
    <x v="6"/>
    <m/>
    <x v="1"/>
    <x v="12"/>
    <x v="133"/>
    <n v="1"/>
    <m/>
    <m/>
    <n v="20"/>
    <n v="20"/>
    <m/>
    <m/>
    <m/>
    <m/>
    <n v="20"/>
    <n v="20"/>
    <m/>
    <m/>
    <x v="133"/>
    <x v="0"/>
    <n v="0.8"/>
    <s v="NO"/>
    <m/>
  </r>
  <r>
    <m/>
    <x v="2"/>
    <s v="KMSS-LSO"/>
    <x v="1"/>
    <x v="12"/>
    <x v="133"/>
    <n v="1"/>
    <m/>
    <m/>
    <n v="10"/>
    <n v="10"/>
    <m/>
    <m/>
    <m/>
    <m/>
    <n v="10"/>
    <n v="10"/>
    <m/>
    <m/>
    <x v="133"/>
    <x v="0"/>
    <n v="0.4"/>
    <s v="NO"/>
    <m/>
  </r>
  <r>
    <m/>
    <x v="6"/>
    <m/>
    <x v="1"/>
    <x v="9"/>
    <x v="60"/>
    <n v="1"/>
    <m/>
    <m/>
    <n v="24"/>
    <n v="12"/>
    <m/>
    <m/>
    <m/>
    <m/>
    <n v="12"/>
    <n v="12"/>
    <m/>
    <m/>
    <x v="60"/>
    <x v="0"/>
    <n v="0.33333333333333331"/>
    <s v="NO"/>
    <m/>
  </r>
  <r>
    <m/>
    <x v="2"/>
    <s v="KBC"/>
    <x v="0"/>
    <x v="1"/>
    <x v="58"/>
    <n v="1"/>
    <m/>
    <m/>
    <n v="10"/>
    <n v="10"/>
    <m/>
    <m/>
    <m/>
    <m/>
    <n v="10"/>
    <n v="10"/>
    <m/>
    <m/>
    <x v="58"/>
    <x v="0"/>
    <n v="8.4745762711864403E-2"/>
    <s v="NO"/>
    <m/>
  </r>
  <r>
    <m/>
    <x v="10"/>
    <m/>
    <x v="0"/>
    <x v="2"/>
    <x v="71"/>
    <n v="1"/>
    <n v="8"/>
    <n v="8"/>
    <m/>
    <m/>
    <m/>
    <m/>
    <m/>
    <m/>
    <n v="0"/>
    <n v="0"/>
    <m/>
    <m/>
    <x v="71"/>
    <x v="0"/>
    <n v="0"/>
    <s v="NO"/>
    <m/>
  </r>
  <r>
    <m/>
    <x v="2"/>
    <s v="Metta"/>
    <x v="1"/>
    <x v="6"/>
    <x v="117"/>
    <n v="1"/>
    <m/>
    <m/>
    <n v="6"/>
    <n v="6"/>
    <m/>
    <m/>
    <m/>
    <m/>
    <n v="6"/>
    <n v="6"/>
    <m/>
    <m/>
    <x v="117"/>
    <x v="0"/>
    <n v="9.5238095238095233E-2"/>
    <s v="NO"/>
    <m/>
  </r>
  <r>
    <m/>
    <x v="10"/>
    <m/>
    <x v="0"/>
    <x v="1"/>
    <x v="18"/>
    <n v="1"/>
    <n v="1"/>
    <n v="1"/>
    <m/>
    <m/>
    <m/>
    <m/>
    <m/>
    <m/>
    <n v="0"/>
    <n v="0"/>
    <m/>
    <m/>
    <x v="18"/>
    <x v="0"/>
    <n v="0"/>
    <s v="NO"/>
    <m/>
  </r>
  <r>
    <m/>
    <x v="2"/>
    <s v="KBSS"/>
    <x v="0"/>
    <x v="4"/>
    <x v="134"/>
    <n v="1"/>
    <m/>
    <m/>
    <n v="36"/>
    <n v="36"/>
    <m/>
    <m/>
    <m/>
    <m/>
    <n v="0"/>
    <n v="0"/>
    <m/>
    <m/>
    <x v="134"/>
    <x v="1"/>
    <s v=""/>
    <s v="NO"/>
    <m/>
  </r>
  <r>
    <m/>
    <x v="6"/>
    <m/>
    <x v="1"/>
    <x v="9"/>
    <x v="63"/>
    <n v="1"/>
    <m/>
    <m/>
    <n v="50"/>
    <n v="36"/>
    <m/>
    <m/>
    <m/>
    <m/>
    <n v="36"/>
    <n v="36"/>
    <m/>
    <m/>
    <x v="63"/>
    <x v="0"/>
    <n v="0.3"/>
    <s v="NO"/>
    <m/>
  </r>
  <r>
    <m/>
    <x v="0"/>
    <s v="KMSS"/>
    <x v="0"/>
    <x v="1"/>
    <x v="18"/>
    <n v="1"/>
    <m/>
    <m/>
    <n v="46"/>
    <n v="46"/>
    <m/>
    <m/>
    <m/>
    <m/>
    <n v="46"/>
    <n v="46"/>
    <m/>
    <m/>
    <x v="18"/>
    <x v="0"/>
    <n v="0.73015873015873012"/>
    <s v="NO"/>
    <m/>
  </r>
  <r>
    <m/>
    <x v="2"/>
    <s v="KMSS"/>
    <x v="0"/>
    <x v="1"/>
    <x v="18"/>
    <n v="1"/>
    <m/>
    <m/>
    <n v="21"/>
    <n v="21"/>
    <m/>
    <m/>
    <m/>
    <m/>
    <n v="21"/>
    <n v="21"/>
    <n v="21"/>
    <m/>
    <x v="18"/>
    <x v="0"/>
    <n v="0.33333333333333331"/>
    <s v="NO"/>
    <m/>
  </r>
  <r>
    <m/>
    <x v="2"/>
    <m/>
    <x v="0"/>
    <x v="5"/>
    <x v="135"/>
    <n v="1"/>
    <m/>
    <m/>
    <n v="10"/>
    <n v="10"/>
    <m/>
    <m/>
    <m/>
    <m/>
    <n v="10"/>
    <n v="10"/>
    <m/>
    <m/>
    <x v="135"/>
    <x v="0"/>
    <n v="0.47619047619047616"/>
    <s v="NO"/>
    <m/>
  </r>
  <r>
    <m/>
    <x v="2"/>
    <s v="Shalom"/>
    <x v="0"/>
    <x v="2"/>
    <x v="121"/>
    <n v="1"/>
    <m/>
    <m/>
    <n v="15"/>
    <n v="15"/>
    <m/>
    <m/>
    <m/>
    <m/>
    <n v="15"/>
    <n v="15"/>
    <m/>
    <m/>
    <x v="121"/>
    <x v="0"/>
    <n v="0.3"/>
    <s v="NO"/>
    <m/>
  </r>
  <r>
    <m/>
    <x v="10"/>
    <m/>
    <x v="0"/>
    <x v="2"/>
    <x v="90"/>
    <n v="1"/>
    <n v="50"/>
    <n v="50"/>
    <m/>
    <m/>
    <m/>
    <m/>
    <m/>
    <m/>
    <n v="0"/>
    <n v="0"/>
    <m/>
    <m/>
    <x v="90"/>
    <x v="1"/>
    <s v=""/>
    <s v="NO"/>
    <m/>
  </r>
  <r>
    <m/>
    <x v="2"/>
    <s v="KBC"/>
    <x v="0"/>
    <x v="0"/>
    <x v="40"/>
    <n v="1"/>
    <m/>
    <m/>
    <n v="170"/>
    <n v="170"/>
    <m/>
    <m/>
    <m/>
    <m/>
    <n v="170"/>
    <n v="170"/>
    <m/>
    <m/>
    <x v="40"/>
    <x v="0"/>
    <n v="0.92391304347826086"/>
    <s v="NO"/>
    <m/>
  </r>
  <r>
    <m/>
    <x v="2"/>
    <s v="KBC"/>
    <x v="0"/>
    <x v="1"/>
    <x v="59"/>
    <n v="1"/>
    <m/>
    <m/>
    <n v="50"/>
    <n v="50"/>
    <m/>
    <m/>
    <m/>
    <m/>
    <n v="50"/>
    <n v="50"/>
    <m/>
    <m/>
    <x v="59"/>
    <x v="0"/>
    <n v="0.54347826086956519"/>
    <s v="NO"/>
    <m/>
  </r>
  <r>
    <m/>
    <x v="2"/>
    <s v="Shalom"/>
    <x v="0"/>
    <x v="2"/>
    <x v="90"/>
    <n v="1"/>
    <m/>
    <m/>
    <n v="20"/>
    <n v="20"/>
    <m/>
    <m/>
    <m/>
    <m/>
    <n v="0"/>
    <n v="0"/>
    <m/>
    <m/>
    <x v="90"/>
    <x v="1"/>
    <s v=""/>
    <s v="NO"/>
    <m/>
  </r>
  <r>
    <m/>
    <x v="13"/>
    <s v="KBSS"/>
    <x v="0"/>
    <x v="7"/>
    <x v="51"/>
    <n v="1"/>
    <m/>
    <m/>
    <n v="100"/>
    <n v="100"/>
    <m/>
    <m/>
    <m/>
    <m/>
    <n v="100"/>
    <n v="100"/>
    <m/>
    <m/>
    <x v="51"/>
    <x v="0"/>
    <n v="0.27932960893854747"/>
    <s v="NO"/>
    <m/>
  </r>
  <r>
    <m/>
    <x v="16"/>
    <s v="KBSS"/>
    <x v="0"/>
    <x v="7"/>
    <x v="51"/>
    <n v="1"/>
    <m/>
    <m/>
    <n v="350"/>
    <n v="350"/>
    <m/>
    <m/>
    <m/>
    <m/>
    <n v="350"/>
    <n v="350"/>
    <m/>
    <m/>
    <x v="51"/>
    <x v="0"/>
    <n v="0.97765363128491622"/>
    <s v="NO"/>
    <m/>
  </r>
  <r>
    <m/>
    <x v="6"/>
    <m/>
    <x v="0"/>
    <x v="7"/>
    <x v="91"/>
    <n v="1"/>
    <m/>
    <m/>
    <n v="18"/>
    <n v="18"/>
    <m/>
    <m/>
    <m/>
    <m/>
    <n v="0"/>
    <n v="0"/>
    <m/>
    <m/>
    <x v="91"/>
    <x v="1"/>
    <s v=""/>
    <s v="NO"/>
    <m/>
  </r>
  <r>
    <m/>
    <x v="2"/>
    <m/>
    <x v="0"/>
    <x v="7"/>
    <x v="91"/>
    <n v="1"/>
    <m/>
    <m/>
    <n v="9"/>
    <n v="9"/>
    <m/>
    <m/>
    <m/>
    <m/>
    <n v="0"/>
    <n v="0"/>
    <m/>
    <m/>
    <x v="91"/>
    <x v="1"/>
    <s v=""/>
    <s v="NO"/>
    <m/>
  </r>
  <r>
    <m/>
    <x v="2"/>
    <s v="KBC"/>
    <x v="0"/>
    <x v="1"/>
    <x v="47"/>
    <n v="1"/>
    <m/>
    <m/>
    <n v="60"/>
    <n v="60"/>
    <m/>
    <m/>
    <m/>
    <m/>
    <n v="60"/>
    <n v="60"/>
    <m/>
    <m/>
    <x v="47"/>
    <x v="0"/>
    <n v="0.90909090909090906"/>
    <s v="NO"/>
    <m/>
  </r>
  <r>
    <m/>
    <x v="2"/>
    <m/>
    <x v="0"/>
    <x v="7"/>
    <x v="33"/>
    <n v="1"/>
    <m/>
    <m/>
    <n v="45"/>
    <n v="45"/>
    <m/>
    <m/>
    <m/>
    <m/>
    <n v="45"/>
    <n v="45"/>
    <m/>
    <m/>
    <x v="33"/>
    <x v="0"/>
    <n v="0.91836734693877553"/>
    <s v="NO"/>
    <m/>
  </r>
  <r>
    <m/>
    <x v="13"/>
    <s v="KMSS"/>
    <x v="0"/>
    <x v="1"/>
    <x v="2"/>
    <n v="1"/>
    <m/>
    <m/>
    <n v="30"/>
    <n v="30"/>
    <m/>
    <m/>
    <m/>
    <m/>
    <n v="30"/>
    <n v="30"/>
    <m/>
    <m/>
    <x v="2"/>
    <x v="0"/>
    <n v="0.61224489795918369"/>
    <s v="NO"/>
    <m/>
  </r>
  <r>
    <m/>
    <x v="13"/>
    <s v="IRRC"/>
    <x v="0"/>
    <x v="7"/>
    <x v="16"/>
    <n v="1"/>
    <m/>
    <m/>
    <n v="447"/>
    <n v="447"/>
    <m/>
    <m/>
    <m/>
    <m/>
    <n v="447"/>
    <n v="447"/>
    <m/>
    <m/>
    <x v="16"/>
    <x v="0"/>
    <n v="0.74874371859296485"/>
    <s v="NO"/>
    <m/>
  </r>
  <r>
    <m/>
    <x v="2"/>
    <s v="KBSS"/>
    <x v="0"/>
    <x v="7"/>
    <x v="16"/>
    <n v="1"/>
    <m/>
    <m/>
    <n v="130"/>
    <n v="130"/>
    <m/>
    <m/>
    <m/>
    <m/>
    <n v="130"/>
    <n v="130"/>
    <m/>
    <m/>
    <x v="16"/>
    <x v="0"/>
    <n v="0.21775544388609716"/>
    <s v="NO"/>
    <m/>
  </r>
  <r>
    <m/>
    <x v="6"/>
    <m/>
    <x v="0"/>
    <x v="5"/>
    <x v="81"/>
    <n v="1"/>
    <m/>
    <m/>
    <n v="36"/>
    <n v="36"/>
    <m/>
    <m/>
    <m/>
    <m/>
    <n v="36"/>
    <n v="36"/>
    <m/>
    <m/>
    <x v="81"/>
    <x v="0"/>
    <n v="0.23529411764705882"/>
    <s v="NO"/>
    <m/>
  </r>
  <r>
    <m/>
    <x v="10"/>
    <m/>
    <x v="0"/>
    <x v="0"/>
    <x v="52"/>
    <n v="1"/>
    <n v="207"/>
    <n v="207"/>
    <m/>
    <m/>
    <m/>
    <m/>
    <m/>
    <m/>
    <n v="0"/>
    <n v="0"/>
    <m/>
    <m/>
    <x v="52"/>
    <x v="0"/>
    <n v="0"/>
    <s v="NO"/>
    <m/>
  </r>
  <r>
    <m/>
    <x v="2"/>
    <m/>
    <x v="0"/>
    <x v="5"/>
    <x v="81"/>
    <n v="1"/>
    <m/>
    <m/>
    <n v="30"/>
    <n v="30"/>
    <m/>
    <m/>
    <m/>
    <m/>
    <n v="30"/>
    <n v="30"/>
    <m/>
    <m/>
    <x v="81"/>
    <x v="0"/>
    <n v="0.19607843137254902"/>
    <s v="NO"/>
    <m/>
  </r>
  <r>
    <m/>
    <x v="2"/>
    <s v="Shalom"/>
    <x v="0"/>
    <x v="0"/>
    <x v="25"/>
    <n v="1"/>
    <m/>
    <m/>
    <n v="45"/>
    <n v="45"/>
    <m/>
    <m/>
    <m/>
    <m/>
    <n v="45"/>
    <n v="45"/>
    <n v="10"/>
    <m/>
    <x v="25"/>
    <x v="0"/>
    <n v="0.40540540540540543"/>
    <s v="NO"/>
    <m/>
  </r>
  <r>
    <m/>
    <x v="2"/>
    <m/>
    <x v="0"/>
    <x v="0"/>
    <x v="25"/>
    <n v="1"/>
    <m/>
    <m/>
    <n v="5"/>
    <n v="5"/>
    <m/>
    <m/>
    <m/>
    <m/>
    <n v="5"/>
    <n v="5"/>
    <m/>
    <m/>
    <x v="25"/>
    <x v="0"/>
    <n v="4.5045045045045043E-2"/>
    <s v="NO"/>
    <m/>
  </r>
  <r>
    <m/>
    <x v="4"/>
    <m/>
    <x v="0"/>
    <x v="0"/>
    <x v="25"/>
    <n v="1"/>
    <m/>
    <m/>
    <n v="10"/>
    <n v="10"/>
    <m/>
    <m/>
    <m/>
    <m/>
    <n v="10"/>
    <n v="10"/>
    <m/>
    <m/>
    <x v="25"/>
    <x v="0"/>
    <n v="9.0090090090090086E-2"/>
    <s v="NO"/>
    <m/>
  </r>
  <r>
    <m/>
    <x v="2"/>
    <s v="Shalom"/>
    <x v="0"/>
    <x v="0"/>
    <x v="25"/>
    <n v="1"/>
    <m/>
    <m/>
    <n v="5"/>
    <n v="5"/>
    <m/>
    <m/>
    <m/>
    <m/>
    <n v="5"/>
    <n v="5"/>
    <m/>
    <m/>
    <x v="25"/>
    <x v="0"/>
    <n v="4.5045045045045043E-2"/>
    <s v="NO"/>
    <m/>
  </r>
  <r>
    <m/>
    <x v="2"/>
    <s v="KBC"/>
    <x v="0"/>
    <x v="1"/>
    <x v="48"/>
    <n v="1"/>
    <m/>
    <m/>
    <n v="20"/>
    <n v="20"/>
    <m/>
    <m/>
    <m/>
    <m/>
    <n v="20"/>
    <n v="20"/>
    <m/>
    <m/>
    <x v="48"/>
    <x v="0"/>
    <n v="0.64516129032258063"/>
    <s v="NO"/>
    <m/>
  </r>
  <r>
    <m/>
    <x v="2"/>
    <m/>
    <x v="0"/>
    <x v="0"/>
    <x v="46"/>
    <n v="1"/>
    <m/>
    <m/>
    <n v="20"/>
    <n v="20"/>
    <m/>
    <m/>
    <m/>
    <m/>
    <n v="20"/>
    <n v="20"/>
    <m/>
    <m/>
    <x v="46"/>
    <x v="0"/>
    <n v="0.30769230769230771"/>
    <s v="NO"/>
    <m/>
  </r>
  <r>
    <m/>
    <x v="2"/>
    <s v="Shalom"/>
    <x v="0"/>
    <x v="0"/>
    <x v="79"/>
    <n v="1"/>
    <m/>
    <m/>
    <n v="23"/>
    <n v="23"/>
    <m/>
    <m/>
    <m/>
    <m/>
    <n v="23"/>
    <n v="23"/>
    <m/>
    <m/>
    <x v="79"/>
    <x v="0"/>
    <n v="0.74193548387096775"/>
    <s v="NO"/>
    <m/>
  </r>
  <r>
    <m/>
    <x v="2"/>
    <s v="Shalom"/>
    <x v="0"/>
    <x v="0"/>
    <x v="79"/>
    <n v="1"/>
    <m/>
    <m/>
    <n v="3"/>
    <n v="3"/>
    <m/>
    <m/>
    <m/>
    <m/>
    <n v="3"/>
    <n v="3"/>
    <m/>
    <m/>
    <x v="79"/>
    <x v="0"/>
    <n v="9.6774193548387094E-2"/>
    <s v="NO"/>
    <m/>
  </r>
  <r>
    <m/>
    <x v="2"/>
    <s v="Shalom"/>
    <x v="0"/>
    <x v="0"/>
    <x v="12"/>
    <n v="1"/>
    <m/>
    <m/>
    <n v="100"/>
    <n v="100"/>
    <m/>
    <m/>
    <m/>
    <m/>
    <n v="92"/>
    <n v="100"/>
    <n v="15"/>
    <m/>
    <x v="12"/>
    <x v="0"/>
    <n v="1"/>
    <s v="NO"/>
    <m/>
  </r>
  <r>
    <m/>
    <x v="10"/>
    <m/>
    <x v="0"/>
    <x v="2"/>
    <x v="92"/>
    <n v="1"/>
    <n v="9"/>
    <n v="9"/>
    <m/>
    <m/>
    <m/>
    <m/>
    <m/>
    <m/>
    <n v="0"/>
    <n v="0"/>
    <m/>
    <m/>
    <x v="92"/>
    <x v="0"/>
    <n v="0"/>
    <s v="NO"/>
    <m/>
  </r>
  <r>
    <m/>
    <x v="8"/>
    <m/>
    <x v="0"/>
    <x v="5"/>
    <x v="9"/>
    <n v="1"/>
    <m/>
    <m/>
    <n v="162"/>
    <n v="162"/>
    <m/>
    <m/>
    <m/>
    <m/>
    <n v="162"/>
    <n v="162"/>
    <m/>
    <m/>
    <x v="9"/>
    <x v="0"/>
    <n v="0.25391849529780564"/>
    <s v="NO"/>
    <m/>
  </r>
  <r>
    <m/>
    <x v="6"/>
    <m/>
    <x v="0"/>
    <x v="5"/>
    <x v="9"/>
    <n v="1"/>
    <m/>
    <m/>
    <n v="163"/>
    <n v="163"/>
    <m/>
    <m/>
    <m/>
    <m/>
    <n v="163"/>
    <n v="163"/>
    <m/>
    <m/>
    <x v="9"/>
    <x v="0"/>
    <n v="0.2554858934169279"/>
    <s v="NO"/>
    <m/>
  </r>
  <r>
    <m/>
    <x v="2"/>
    <m/>
    <x v="0"/>
    <x v="5"/>
    <x v="9"/>
    <n v="1"/>
    <m/>
    <m/>
    <n v="70"/>
    <n v="70"/>
    <m/>
    <m/>
    <m/>
    <m/>
    <n v="70"/>
    <n v="70"/>
    <m/>
    <m/>
    <x v="9"/>
    <x v="0"/>
    <n v="0.109717868338558"/>
    <s v="NO"/>
    <m/>
  </r>
  <r>
    <m/>
    <x v="10"/>
    <m/>
    <x v="0"/>
    <x v="1"/>
    <x v="136"/>
    <n v="1"/>
    <n v="1"/>
    <n v="1"/>
    <m/>
    <m/>
    <m/>
    <m/>
    <m/>
    <m/>
    <s v=""/>
    <n v="0"/>
    <m/>
    <m/>
    <x v="136"/>
    <x v="2"/>
    <s v=""/>
    <s v="NO"/>
    <m/>
  </r>
  <r>
    <m/>
    <x v="10"/>
    <m/>
    <x v="0"/>
    <x v="2"/>
    <x v="98"/>
    <n v="1"/>
    <n v="7"/>
    <n v="7"/>
    <m/>
    <m/>
    <m/>
    <m/>
    <m/>
    <m/>
    <n v="0"/>
    <n v="0"/>
    <m/>
    <m/>
    <x v="98"/>
    <x v="0"/>
    <n v="0"/>
    <s v="NO"/>
    <m/>
  </r>
  <r>
    <m/>
    <x v="2"/>
    <m/>
    <x v="0"/>
    <x v="7"/>
    <x v="35"/>
    <n v="1"/>
    <m/>
    <m/>
    <n v="40"/>
    <n v="40"/>
    <m/>
    <m/>
    <m/>
    <m/>
    <n v="40"/>
    <n v="40"/>
    <m/>
    <m/>
    <x v="35"/>
    <x v="0"/>
    <n v="0.97560975609756095"/>
    <s v="NO"/>
    <m/>
  </r>
  <r>
    <m/>
    <x v="8"/>
    <s v="Shalom"/>
    <x v="0"/>
    <x v="1"/>
    <x v="58"/>
    <n v="1"/>
    <m/>
    <m/>
    <n v="14"/>
    <n v="14"/>
    <m/>
    <m/>
    <m/>
    <m/>
    <n v="14"/>
    <n v="14"/>
    <m/>
    <m/>
    <x v="58"/>
    <x v="0"/>
    <n v="0.11864406779661017"/>
    <s v="NO"/>
    <m/>
  </r>
  <r>
    <m/>
    <x v="8"/>
    <s v="KBC"/>
    <x v="0"/>
    <x v="1"/>
    <x v="49"/>
    <n v="1"/>
    <m/>
    <m/>
    <n v="14"/>
    <n v="14"/>
    <m/>
    <m/>
    <m/>
    <m/>
    <n v="14"/>
    <n v="14"/>
    <m/>
    <m/>
    <x v="49"/>
    <x v="0"/>
    <n v="0.30434782608695654"/>
    <s v="NO"/>
    <m/>
  </r>
  <r>
    <m/>
    <x v="2"/>
    <m/>
    <x v="0"/>
    <x v="1"/>
    <x v="58"/>
    <n v="1"/>
    <m/>
    <m/>
    <n v="40"/>
    <n v="40"/>
    <m/>
    <m/>
    <m/>
    <m/>
    <n v="40"/>
    <n v="40"/>
    <m/>
    <m/>
    <x v="58"/>
    <x v="0"/>
    <n v="0.33898305084745761"/>
    <s v="NO"/>
    <m/>
  </r>
  <r>
    <m/>
    <x v="2"/>
    <s v="KBC"/>
    <x v="0"/>
    <x v="1"/>
    <x v="49"/>
    <n v="1"/>
    <m/>
    <m/>
    <n v="10"/>
    <n v="10"/>
    <m/>
    <m/>
    <m/>
    <m/>
    <n v="10"/>
    <n v="10"/>
    <m/>
    <m/>
    <x v="49"/>
    <x v="0"/>
    <n v="0.21739130434782608"/>
    <s v="NO"/>
    <m/>
  </r>
  <r>
    <m/>
    <x v="6"/>
    <m/>
    <x v="0"/>
    <x v="16"/>
    <x v="137"/>
    <n v="1"/>
    <m/>
    <m/>
    <n v="42"/>
    <n v="42"/>
    <m/>
    <m/>
    <m/>
    <m/>
    <n v="42"/>
    <n v="42"/>
    <m/>
    <m/>
    <x v="137"/>
    <x v="0"/>
    <n v="0.48837209302325579"/>
    <s v="NO"/>
    <m/>
  </r>
  <r>
    <m/>
    <x v="13"/>
    <s v="KBSS"/>
    <x v="0"/>
    <x v="16"/>
    <x v="138"/>
    <n v="1"/>
    <m/>
    <m/>
    <n v="36"/>
    <n v="36"/>
    <m/>
    <m/>
    <m/>
    <m/>
    <n v="36"/>
    <n v="36"/>
    <m/>
    <m/>
    <x v="138"/>
    <x v="0"/>
    <n v="0.83720930232558144"/>
    <s v="NO"/>
    <m/>
  </r>
  <r>
    <m/>
    <x v="2"/>
    <s v="KBSS"/>
    <x v="0"/>
    <x v="16"/>
    <x v="138"/>
    <n v="1"/>
    <m/>
    <m/>
    <n v="10"/>
    <n v="10"/>
    <m/>
    <m/>
    <m/>
    <m/>
    <n v="10"/>
    <n v="10"/>
    <m/>
    <m/>
    <x v="138"/>
    <x v="0"/>
    <n v="0.23255813953488372"/>
    <s v="NO"/>
    <m/>
  </r>
  <r>
    <m/>
    <x v="2"/>
    <s v="KBC"/>
    <x v="0"/>
    <x v="1"/>
    <x v="49"/>
    <n v="1"/>
    <m/>
    <m/>
    <n v="8"/>
    <n v="8"/>
    <m/>
    <m/>
    <m/>
    <m/>
    <n v="8"/>
    <n v="8"/>
    <m/>
    <m/>
    <x v="49"/>
    <x v="0"/>
    <n v="0.17391304347826086"/>
    <s v="NO"/>
    <m/>
  </r>
  <r>
    <m/>
    <x v="13"/>
    <s v="KMSS"/>
    <x v="0"/>
    <x v="15"/>
    <x v="139"/>
    <n v="1"/>
    <m/>
    <m/>
    <n v="12"/>
    <n v="12"/>
    <m/>
    <m/>
    <m/>
    <m/>
    <n v="11"/>
    <n v="12"/>
    <m/>
    <m/>
    <x v="139"/>
    <x v="0"/>
    <n v="1"/>
    <s v="NO"/>
    <m/>
  </r>
  <r>
    <m/>
    <x v="2"/>
    <m/>
    <x v="0"/>
    <x v="5"/>
    <x v="93"/>
    <n v="1"/>
    <m/>
    <m/>
    <n v="40"/>
    <n v="40"/>
    <m/>
    <m/>
    <m/>
    <m/>
    <n v="20"/>
    <n v="40"/>
    <m/>
    <m/>
    <x v="93"/>
    <x v="0"/>
    <n v="1"/>
    <s v="NO"/>
    <m/>
  </r>
  <r>
    <m/>
    <x v="2"/>
    <s v="KBC"/>
    <x v="0"/>
    <x v="0"/>
    <x v="140"/>
    <n v="1"/>
    <m/>
    <m/>
    <n v="10"/>
    <n v="10"/>
    <m/>
    <m/>
    <m/>
    <m/>
    <n v="0"/>
    <n v="0"/>
    <m/>
    <m/>
    <x v="140"/>
    <x v="1"/>
    <s v=""/>
    <s v="NO"/>
    <m/>
  </r>
  <r>
    <m/>
    <x v="17"/>
    <s v="Shalom"/>
    <x v="0"/>
    <x v="1"/>
    <x v="64"/>
    <n v="1"/>
    <m/>
    <m/>
    <n v="12"/>
    <n v="12"/>
    <m/>
    <m/>
    <m/>
    <m/>
    <n v="12"/>
    <n v="12"/>
    <m/>
    <m/>
    <x v="64"/>
    <x v="0"/>
    <n v="0.22222222222222221"/>
    <s v="NO"/>
    <m/>
  </r>
  <r>
    <m/>
    <x v="2"/>
    <s v="Shalom"/>
    <x v="0"/>
    <x v="1"/>
    <x v="64"/>
    <n v="1"/>
    <m/>
    <m/>
    <n v="40"/>
    <n v="40"/>
    <m/>
    <m/>
    <m/>
    <m/>
    <n v="40"/>
    <n v="40"/>
    <m/>
    <m/>
    <x v="64"/>
    <x v="0"/>
    <n v="0.7407407407407407"/>
    <s v="NO"/>
    <m/>
  </r>
  <r>
    <m/>
    <x v="2"/>
    <s v="Shalom"/>
    <x v="0"/>
    <x v="1"/>
    <x v="64"/>
    <n v="1"/>
    <m/>
    <m/>
    <n v="20"/>
    <n v="20"/>
    <m/>
    <m/>
    <m/>
    <m/>
    <n v="20"/>
    <n v="20"/>
    <m/>
    <m/>
    <x v="64"/>
    <x v="0"/>
    <n v="0.37037037037037035"/>
    <s v="NO"/>
    <m/>
  </r>
  <r>
    <m/>
    <x v="2"/>
    <s v="Shalom"/>
    <x v="0"/>
    <x v="1"/>
    <x v="141"/>
    <n v="1"/>
    <m/>
    <m/>
    <n v="10"/>
    <n v="10"/>
    <m/>
    <m/>
    <m/>
    <m/>
    <n v="4"/>
    <n v="10"/>
    <m/>
    <m/>
    <x v="141"/>
    <x v="0"/>
    <n v="1"/>
    <s v="NO"/>
    <m/>
  </r>
  <r>
    <m/>
    <x v="2"/>
    <m/>
    <x v="0"/>
    <x v="1"/>
    <x v="141"/>
    <n v="1"/>
    <m/>
    <m/>
    <n v="5"/>
    <n v="5"/>
    <m/>
    <m/>
    <m/>
    <m/>
    <n v="4"/>
    <n v="5"/>
    <m/>
    <m/>
    <x v="141"/>
    <x v="0"/>
    <n v="1"/>
    <s v="NO"/>
    <m/>
  </r>
  <r>
    <m/>
    <x v="2"/>
    <s v="Shalom"/>
    <x v="0"/>
    <x v="0"/>
    <x v="73"/>
    <n v="1"/>
    <m/>
    <m/>
    <n v="45"/>
    <n v="45"/>
    <m/>
    <m/>
    <m/>
    <m/>
    <n v="45"/>
    <n v="45"/>
    <m/>
    <m/>
    <x v="73"/>
    <x v="0"/>
    <n v="0.97826086956521741"/>
    <s v="NO"/>
    <m/>
  </r>
  <r>
    <m/>
    <x v="4"/>
    <m/>
    <x v="0"/>
    <x v="0"/>
    <x v="73"/>
    <n v="1"/>
    <m/>
    <m/>
    <n v="24"/>
    <n v="24"/>
    <m/>
    <m/>
    <m/>
    <m/>
    <n v="24"/>
    <n v="24"/>
    <m/>
    <m/>
    <x v="73"/>
    <x v="0"/>
    <n v="0.52173913043478259"/>
    <s v="NO"/>
    <m/>
  </r>
  <r>
    <m/>
    <x v="2"/>
    <s v="Shalom"/>
    <x v="0"/>
    <x v="5"/>
    <x v="142"/>
    <n v="1"/>
    <m/>
    <m/>
    <n v="6"/>
    <m/>
    <m/>
    <m/>
    <m/>
    <m/>
    <n v="0"/>
    <n v="0"/>
    <m/>
    <m/>
    <x v="142"/>
    <x v="1"/>
    <s v=""/>
    <s v="NO"/>
    <m/>
  </r>
  <r>
    <m/>
    <x v="2"/>
    <m/>
    <x v="0"/>
    <x v="5"/>
    <x v="142"/>
    <n v="1"/>
    <m/>
    <m/>
    <n v="5"/>
    <m/>
    <m/>
    <m/>
    <m/>
    <m/>
    <n v="0"/>
    <n v="0"/>
    <m/>
    <m/>
    <x v="142"/>
    <x v="1"/>
    <s v=""/>
    <s v="NO"/>
    <m/>
  </r>
  <r>
    <m/>
    <x v="2"/>
    <s v="Shalom"/>
    <x v="0"/>
    <x v="0"/>
    <x v="94"/>
    <n v="1"/>
    <m/>
    <m/>
    <n v="34"/>
    <n v="34"/>
    <m/>
    <m/>
    <m/>
    <m/>
    <n v="34"/>
    <n v="34"/>
    <m/>
    <m/>
    <x v="94"/>
    <x v="0"/>
    <n v="0.52307692307692311"/>
    <s v="NO"/>
    <m/>
  </r>
  <r>
    <m/>
    <x v="4"/>
    <m/>
    <x v="0"/>
    <x v="0"/>
    <x v="94"/>
    <n v="1"/>
    <m/>
    <m/>
    <n v="15"/>
    <n v="15"/>
    <m/>
    <m/>
    <m/>
    <m/>
    <n v="15"/>
    <n v="15"/>
    <m/>
    <m/>
    <x v="94"/>
    <x v="0"/>
    <n v="0.23076923076923078"/>
    <s v="NO"/>
    <m/>
  </r>
  <r>
    <m/>
    <x v="2"/>
    <m/>
    <x v="0"/>
    <x v="0"/>
    <x v="140"/>
    <n v="1"/>
    <m/>
    <m/>
    <n v="5"/>
    <n v="5"/>
    <m/>
    <m/>
    <m/>
    <m/>
    <n v="0"/>
    <n v="0"/>
    <m/>
    <m/>
    <x v="140"/>
    <x v="1"/>
    <s v=""/>
    <s v="NO"/>
    <m/>
  </r>
  <r>
    <m/>
    <x v="4"/>
    <m/>
    <x v="0"/>
    <x v="0"/>
    <x v="140"/>
    <n v="1"/>
    <m/>
    <m/>
    <n v="10"/>
    <n v="10"/>
    <m/>
    <m/>
    <m/>
    <m/>
    <n v="0"/>
    <n v="0"/>
    <m/>
    <m/>
    <x v="140"/>
    <x v="1"/>
    <s v=""/>
    <s v="NO"/>
    <m/>
  </r>
  <r>
    <m/>
    <x v="2"/>
    <s v="KMSS"/>
    <x v="0"/>
    <x v="2"/>
    <x v="143"/>
    <n v="1"/>
    <m/>
    <m/>
    <m/>
    <m/>
    <m/>
    <m/>
    <m/>
    <m/>
    <n v="0"/>
    <n v="0"/>
    <n v="14"/>
    <m/>
    <x v="143"/>
    <x v="1"/>
    <s v=""/>
    <s v="NO"/>
    <m/>
  </r>
  <r>
    <m/>
    <x v="10"/>
    <m/>
    <x v="0"/>
    <x v="2"/>
    <x v="99"/>
    <n v="1"/>
    <n v="7"/>
    <n v="7"/>
    <m/>
    <m/>
    <m/>
    <m/>
    <m/>
    <m/>
    <n v="0"/>
    <n v="0"/>
    <m/>
    <m/>
    <x v="99"/>
    <x v="0"/>
    <n v="0"/>
    <s v="NO"/>
    <m/>
  </r>
  <r>
    <m/>
    <x v="10"/>
    <m/>
    <x v="0"/>
    <x v="2"/>
    <x v="144"/>
    <n v="1"/>
    <n v="47"/>
    <n v="47"/>
    <m/>
    <m/>
    <m/>
    <m/>
    <m/>
    <m/>
    <s v=""/>
    <n v="0"/>
    <m/>
    <m/>
    <x v="136"/>
    <x v="2"/>
    <s v=""/>
    <s v="NO"/>
    <m/>
  </r>
  <r>
    <m/>
    <x v="6"/>
    <m/>
    <x v="0"/>
    <x v="0"/>
    <x v="95"/>
    <n v="1"/>
    <m/>
    <m/>
    <n v="300"/>
    <m/>
    <m/>
    <m/>
    <m/>
    <m/>
    <n v="0"/>
    <n v="0"/>
    <m/>
    <m/>
    <x v="95"/>
    <x v="0"/>
    <n v="0"/>
    <s v="NO"/>
    <m/>
  </r>
  <r>
    <m/>
    <x v="2"/>
    <s v="Shalom"/>
    <x v="0"/>
    <x v="1"/>
    <x v="145"/>
    <n v="1"/>
    <m/>
    <m/>
    <n v="24"/>
    <n v="24"/>
    <m/>
    <m/>
    <m/>
    <m/>
    <n v="7"/>
    <n v="24"/>
    <m/>
    <m/>
    <x v="144"/>
    <x v="0"/>
    <n v="1"/>
    <s v="NO"/>
    <m/>
  </r>
  <r>
    <m/>
    <x v="6"/>
    <m/>
    <x v="0"/>
    <x v="5"/>
    <x v="96"/>
    <n v="1"/>
    <m/>
    <m/>
    <n v="30"/>
    <n v="30"/>
    <m/>
    <m/>
    <m/>
    <m/>
    <n v="15"/>
    <n v="30"/>
    <m/>
    <m/>
    <x v="96"/>
    <x v="0"/>
    <n v="1"/>
    <s v="NO"/>
    <m/>
  </r>
  <r>
    <m/>
    <x v="2"/>
    <s v="Metta"/>
    <x v="0"/>
    <x v="5"/>
    <x v="96"/>
    <n v="1"/>
    <m/>
    <m/>
    <n v="12"/>
    <n v="12"/>
    <m/>
    <m/>
    <m/>
    <m/>
    <n v="12"/>
    <n v="12"/>
    <m/>
    <m/>
    <x v="96"/>
    <x v="0"/>
    <n v="0.8"/>
    <s v="NO"/>
    <m/>
  </r>
  <r>
    <m/>
    <x v="2"/>
    <s v="Shalom"/>
    <x v="0"/>
    <x v="5"/>
    <x v="96"/>
    <n v="1"/>
    <m/>
    <m/>
    <n v="10"/>
    <n v="10"/>
    <m/>
    <m/>
    <m/>
    <m/>
    <n v="10"/>
    <n v="10"/>
    <m/>
    <m/>
    <x v="96"/>
    <x v="0"/>
    <n v="0.66666666666666663"/>
    <s v="NO"/>
    <m/>
  </r>
  <r>
    <m/>
    <x v="2"/>
    <m/>
    <x v="0"/>
    <x v="5"/>
    <x v="96"/>
    <n v="1"/>
    <m/>
    <m/>
    <n v="6"/>
    <m/>
    <m/>
    <m/>
    <m/>
    <m/>
    <n v="0"/>
    <n v="0"/>
    <m/>
    <m/>
    <x v="96"/>
    <x v="0"/>
    <n v="0"/>
    <s v="NO"/>
    <m/>
  </r>
  <r>
    <m/>
    <x v="2"/>
    <s v="Shalom"/>
    <x v="0"/>
    <x v="2"/>
    <x v="146"/>
    <n v="1"/>
    <m/>
    <m/>
    <n v="10"/>
    <n v="10"/>
    <m/>
    <m/>
    <m/>
    <m/>
    <n v="10"/>
    <n v="10"/>
    <m/>
    <m/>
    <x v="145"/>
    <x v="0"/>
    <n v="0.90909090909090906"/>
    <s v="NO"/>
    <m/>
  </r>
  <r>
    <m/>
    <x v="7"/>
    <s v="KBC"/>
    <x v="0"/>
    <x v="0"/>
    <x v="41"/>
    <n v="1"/>
    <m/>
    <m/>
    <n v="220"/>
    <n v="220"/>
    <m/>
    <m/>
    <m/>
    <m/>
    <n v="0"/>
    <n v="0"/>
    <m/>
    <m/>
    <x v="41"/>
    <x v="1"/>
    <s v=""/>
    <s v="NO"/>
    <m/>
  </r>
  <r>
    <m/>
    <x v="2"/>
    <s v="KBC"/>
    <x v="0"/>
    <x v="0"/>
    <x v="41"/>
    <n v="1"/>
    <m/>
    <m/>
    <n v="325"/>
    <n v="325"/>
    <m/>
    <m/>
    <m/>
    <m/>
    <n v="0"/>
    <n v="0"/>
    <m/>
    <m/>
    <x v="41"/>
    <x v="1"/>
    <s v=""/>
    <s v="NO"/>
    <m/>
  </r>
  <r>
    <m/>
    <x v="14"/>
    <s v="MDCG"/>
    <x v="1"/>
    <x v="6"/>
    <x v="65"/>
    <n v="1"/>
    <m/>
    <m/>
    <n v="85"/>
    <n v="85"/>
    <m/>
    <m/>
    <m/>
    <m/>
    <n v="85"/>
    <n v="85"/>
    <m/>
    <m/>
    <x v="65"/>
    <x v="0"/>
    <n v="0.45698924731182794"/>
    <s v="NO"/>
    <m/>
  </r>
  <r>
    <m/>
    <x v="2"/>
    <m/>
    <x v="0"/>
    <x v="2"/>
    <x v="147"/>
    <n v="1"/>
    <n v="30"/>
    <n v="30"/>
    <m/>
    <m/>
    <m/>
    <m/>
    <m/>
    <m/>
    <s v=""/>
    <n v="0"/>
    <m/>
    <m/>
    <x v="136"/>
    <x v="2"/>
    <s v=""/>
    <s v="NO"/>
    <m/>
  </r>
  <r>
    <m/>
    <x v="7"/>
    <s v="KBC"/>
    <x v="0"/>
    <x v="1"/>
    <x v="147"/>
    <n v="1"/>
    <m/>
    <m/>
    <n v="15"/>
    <n v="15"/>
    <m/>
    <m/>
    <m/>
    <m/>
    <s v=""/>
    <n v="0"/>
    <m/>
    <m/>
    <x v="136"/>
    <x v="2"/>
    <s v=""/>
    <s v="NO"/>
    <m/>
  </r>
  <r>
    <m/>
    <x v="2"/>
    <m/>
    <x v="0"/>
    <x v="10"/>
    <x v="147"/>
    <n v="1"/>
    <n v="55"/>
    <n v="55"/>
    <m/>
    <m/>
    <m/>
    <m/>
    <m/>
    <m/>
    <s v=""/>
    <n v="0"/>
    <m/>
    <m/>
    <x v="136"/>
    <x v="2"/>
    <s v=""/>
    <s v="NO"/>
    <m/>
  </r>
</pivotCacheRecords>
</file>

<file path=xl/pivotCache/pivotCacheRecords4.xml><?xml version="1.0" encoding="utf-8"?>
<pivotCacheRecords xmlns="http://schemas.openxmlformats.org/spreadsheetml/2006/main" xmlns:r="http://schemas.openxmlformats.org/officeDocument/2006/relationships" count="281">
  <r>
    <x v="0"/>
    <x v="0"/>
    <s v="MMR001"/>
    <s v="Myitkyina"/>
    <s v="MMR001D001"/>
    <x v="0"/>
    <s v="MMR001001"/>
    <s v="Myitkyina Town"/>
    <s v="MMR001001701"/>
    <s v="Tat Kone Ward"/>
    <s v="MMR001001701520"/>
    <x v="0"/>
    <x v="0"/>
    <x v="0"/>
    <n v="25.415482000000001"/>
    <n v="0"/>
    <n v="66"/>
    <n v="344"/>
    <n v="5.2121212121212119"/>
    <x v="0"/>
    <x v="0"/>
    <x v="0"/>
    <x v="0"/>
    <x v="0"/>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19-Aug-15 Update population from KBC_x000a_25-Jun-2015 Update population from KBC._x000a_Checked with KBC data"/>
    <s v="P4"/>
    <n v="6"/>
    <m/>
    <n v="6"/>
    <s v="Myitkyina Town"/>
    <n v="3.1341427522963001"/>
    <n v="1"/>
  </r>
  <r>
    <x v="0"/>
    <x v="0"/>
    <s v="MMR001"/>
    <s v="Myitkyina"/>
    <s v="MMR001D001"/>
    <x v="0"/>
    <s v="MMR001001"/>
    <s v="Myitkyina Town"/>
    <s v="MMR001001701"/>
    <s v="N Jang Dung"/>
    <m/>
    <x v="1"/>
    <x v="1"/>
    <x v="1"/>
    <n v="25.422194000000001"/>
    <n v="0"/>
    <n v="65"/>
    <n v="292"/>
    <n v="4.4923076923076923"/>
    <x v="0"/>
    <x v="0"/>
    <x v="0"/>
    <x v="0"/>
    <x v="0"/>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Update population from KBC_x000a_25-Jun-2015 Update population from KBC._x000a_Checked with KBC data"/>
    <s v="P4"/>
    <n v="0"/>
    <m/>
    <n v="0"/>
    <s v="Myitkyina Town"/>
    <n v="3.8820329084732199"/>
    <n v="1"/>
  </r>
  <r>
    <x v="0"/>
    <x v="0"/>
    <s v="MMR001"/>
    <s v="Myitkyina"/>
    <s v="MMR001D001"/>
    <x v="0"/>
    <s v="MMR001001"/>
    <s v="Myitkyina Town"/>
    <s v="MMR001001701"/>
    <s v="Tat Kone Ward"/>
    <s v="MMR001001701520"/>
    <x v="2"/>
    <x v="2"/>
    <x v="2"/>
    <n v="25.404752999999999"/>
    <n v="0"/>
    <n v="31"/>
    <n v="170"/>
    <n v="5.4838709677419351"/>
    <x v="0"/>
    <x v="0"/>
    <x v="0"/>
    <x v="0"/>
    <x v="1"/>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19-Aug-15 Update pouplation from KBC_x000a_25-Jun-2015 Update population from KBC._x000a_Update population according to KBC data"/>
    <s v="P4"/>
    <n v="11"/>
    <m/>
    <n v="11"/>
    <s v="Myitkyina Town"/>
    <n v="2.3045478259125423"/>
    <n v="1"/>
  </r>
  <r>
    <x v="0"/>
    <x v="0"/>
    <s v="MMR001"/>
    <s v="Myitkyina"/>
    <s v="MMR001D001"/>
    <x v="0"/>
    <s v="MMR001001"/>
    <s v="Myitkyina Town"/>
    <s v="MMR001001701"/>
    <s v="Tat Kone Ward"/>
    <s v="MMR001001701520"/>
    <x v="3"/>
    <x v="3"/>
    <x v="3"/>
    <n v="25.417733999999999"/>
    <n v="0"/>
    <n v="4"/>
    <n v="22"/>
    <n v="5.5"/>
    <x v="0"/>
    <x v="0"/>
    <x v="0"/>
    <x v="0"/>
    <x v="2"/>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27/June/2016: GPS point changes. Data source:WFP_x000a_16/Jun/2016: Population update. Data source: mail by Shalom_x000a_10 May 2016. Population update: Data source_Shalom_x000a_28/Jan/2016. Population update. Data source: KBC (mail by maran)_x000a_9/Nov/15. Population update. Data source: monthly report by HAP._x000a_19-Aug-15 Update population. Source: Shalom_x000a_25-Jun-15 Population update. Source : Shalom._x000a_Population update: Source: Camp Profile Round 2."/>
    <s v="P4"/>
    <n v="0"/>
    <m/>
    <n v="0"/>
    <s v="Myitkyina Town"/>
    <n v="3.3637010801853577"/>
    <n v="1"/>
  </r>
  <r>
    <x v="0"/>
    <x v="0"/>
    <s v="MMR001"/>
    <s v="Myitkyina"/>
    <s v="MMR001D001"/>
    <x v="0"/>
    <s v="MMR001001"/>
    <s v="Myitkyina Town"/>
    <s v="MMR001001701"/>
    <s v="Tat Kone Ward"/>
    <s v="MMR001001701520"/>
    <x v="4"/>
    <x v="4"/>
    <x v="4"/>
    <n v="25.404015000000001"/>
    <n v="0"/>
    <n v="46"/>
    <n v="238"/>
    <n v="5.1739130434782608"/>
    <x v="0"/>
    <x v="0"/>
    <x v="0"/>
    <x v="0"/>
    <x v="3"/>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Monthly report by KBC)._x000a_19-Aug-15 Update population from KBC._x000a_25-Jun-2015 Update population from KBC._x000a_Checked with KBC data"/>
    <s v="P4"/>
    <n v="14"/>
    <m/>
    <n v="14"/>
    <s v="Myitkyina Town"/>
    <n v="2.0123527499589278"/>
    <n v="1"/>
  </r>
  <r>
    <x v="0"/>
    <x v="0"/>
    <s v="MMR001"/>
    <s v="Myitkyina"/>
    <s v="MMR001D001"/>
    <x v="0"/>
    <s v="MMR001001"/>
    <s v="Myitkyina Town"/>
    <s v="MMR001001701"/>
    <s v="Si Tar Pu Ward"/>
    <s v="MMR001001701521"/>
    <x v="5"/>
    <x v="5"/>
    <x v="5"/>
    <n v="25.412313000000001"/>
    <n v="0"/>
    <n v="118"/>
    <n v="529"/>
    <n v="4.4830508474576272"/>
    <x v="0"/>
    <x v="0"/>
    <x v="0"/>
    <x v="0"/>
    <x v="2"/>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28/Jan/2016. Population update. Data source: KBC_x000a_2/Dec/2015. Population update. Data source: KBC._x000a_19-Aug-2015 Update population from KBC._x000a_25-Jun-2015 Update population from KBC._x000a_Update population according to KBC data"/>
    <s v="P4"/>
    <n v="54"/>
    <m/>
    <n v="54"/>
    <s v="Myitkyina Town"/>
    <n v="2.9133254097712102"/>
    <n v="1"/>
  </r>
  <r>
    <x v="0"/>
    <x v="0"/>
    <s v="MMR001"/>
    <s v="Myitkyina"/>
    <s v="MMR001D001"/>
    <x v="0"/>
    <s v="MMR001001"/>
    <s v="Myitkyina Town"/>
    <s v="MMR001001701"/>
    <s v="Si Tar Pu Ward"/>
    <s v="MMR001001701521"/>
    <x v="6"/>
    <x v="6"/>
    <x v="6"/>
    <n v="25.423817"/>
    <n v="0"/>
    <n v="22"/>
    <n v="111"/>
    <n v="5.0454545454545459"/>
    <x v="0"/>
    <x v="0"/>
    <x v="0"/>
    <x v="0"/>
    <x v="4"/>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19-Aug-15 Population update. Source Shalom._x000a_25-Jun-15 Population update. Source Shalom._x000a_Population update: Source: Camp Profile Round 2."/>
    <s v="P4"/>
    <n v="22"/>
    <m/>
    <n v="22"/>
    <s v="Myitkyina Town"/>
    <n v="4.9021696969220816"/>
    <n v="1"/>
  </r>
  <r>
    <x v="0"/>
    <x v="0"/>
    <s v="MMR001"/>
    <s v="Myitkyina"/>
    <s v="MMR001D001"/>
    <x v="0"/>
    <s v="MMR001001"/>
    <s v="Myitkyina Town"/>
    <s v="MMR001001701"/>
    <s v="Man Khein Ward"/>
    <s v="MMR001001701519"/>
    <x v="7"/>
    <x v="7"/>
    <x v="7"/>
    <n v="25.428910999999999"/>
    <n v="0"/>
    <n v="104"/>
    <n v="574"/>
    <n v="5.5192307692307692"/>
    <x v="0"/>
    <x v="0"/>
    <x v="0"/>
    <x v="0"/>
    <x v="1"/>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Update population from KBC_x000a_25-Jun-2015 Update population from KBC._x000a_Update population according to KBC data"/>
    <s v="P4"/>
    <n v="24"/>
    <m/>
    <n v="24"/>
    <s v="Myitkyina Town"/>
    <n v="5.4145379230647226"/>
    <n v="2"/>
  </r>
  <r>
    <x v="0"/>
    <x v="0"/>
    <s v="MMR001"/>
    <s v="Myitkyina"/>
    <s v="MMR001D001"/>
    <x v="0"/>
    <s v="MMR001001"/>
    <s v="Myitkyina Town"/>
    <s v="MMR001001701"/>
    <s v="Shwe Set Ward"/>
    <s v="MMR001001701518"/>
    <x v="8"/>
    <x v="8"/>
    <x v="8"/>
    <n v="25.440928"/>
    <n v="0"/>
    <n v="92"/>
    <n v="499"/>
    <n v="5.4239130434782608"/>
    <x v="0"/>
    <x v="0"/>
    <x v="0"/>
    <x v="0"/>
    <x v="1"/>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 Update population from KBC._x000a_25-Jun-2015 Update population from KBC._x000a_Update population according to KBC data"/>
    <s v="P4"/>
    <n v="42"/>
    <m/>
    <n v="42"/>
    <s v="Myitkyina Town"/>
    <n v="6.6198004689728469"/>
    <n v="2"/>
  </r>
  <r>
    <x v="0"/>
    <x v="0"/>
    <s v="MMR001"/>
    <s v="Myitkyina"/>
    <s v="MMR001D001"/>
    <x v="0"/>
    <s v="MMR001001"/>
    <s v="Myitkyina Town"/>
    <s v="MMR001001701"/>
    <s v="Du Ka Htaung Ward"/>
    <s v="MMR001001701504"/>
    <x v="9"/>
    <x v="9"/>
    <x v="9"/>
    <n v="25.3959740909091"/>
    <n v="0"/>
    <n v="7"/>
    <n v="46"/>
    <n v="6.5714285714285712"/>
    <x v="0"/>
    <x v="0"/>
    <x v="0"/>
    <x v="0"/>
    <x v="0"/>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 24/Feb/2017: Population update. Data source: KBC. 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Update population according to KBC data"/>
    <s v="P4"/>
    <n v="7"/>
    <m/>
    <n v="7"/>
    <s v="Myitkyina Town"/>
    <n v="1.1985969617964649"/>
    <n v="1"/>
  </r>
  <r>
    <x v="0"/>
    <x v="0"/>
    <s v="MMR001"/>
    <s v="Myitkyina"/>
    <s v="MMR001D001"/>
    <x v="0"/>
    <s v="MMR001001"/>
    <s v="Myitkyina Town"/>
    <s v="MMR001001701"/>
    <s v="Du Ka Htaung Ward"/>
    <s v="MMR001001701504"/>
    <x v="10"/>
    <x v="10"/>
    <x v="10"/>
    <n v="25.396492500000001"/>
    <n v="0"/>
    <n v="31"/>
    <n v="118"/>
    <n v="3.806451612903226"/>
    <x v="0"/>
    <x v="0"/>
    <x v="0"/>
    <x v="0"/>
    <x v="0"/>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 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Update population according to KBC data"/>
    <s v="P4"/>
    <n v="28"/>
    <m/>
    <n v="28"/>
    <s v="Myitkyina Town"/>
    <n v="1.3510454549069482"/>
    <n v="1"/>
  </r>
  <r>
    <x v="0"/>
    <x v="0"/>
    <s v="MMR001"/>
    <s v="Myitkyina"/>
    <s v="MMR001D001"/>
    <x v="0"/>
    <s v="MMR001001"/>
    <s v="Myitkyina Town"/>
    <s v="MMR001001701"/>
    <s v="Du Ka Htaung Ward"/>
    <s v="MMR001001701504"/>
    <x v="11"/>
    <x v="11"/>
    <x v="11"/>
    <n v="25.4002701851852"/>
    <n v="0"/>
    <n v="6"/>
    <n v="32"/>
    <n v="5.333333333333333"/>
    <x v="0"/>
    <x v="0"/>
    <x v="0"/>
    <x v="0"/>
    <x v="0"/>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 24/Feb/2017: Population update. Data source: KBC. 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Update population according to KBC data"/>
    <s v="P4"/>
    <n v="3"/>
    <m/>
    <n v="3"/>
    <s v="Myitkyina Town"/>
    <n v="1.5295244799681529"/>
    <n v="1"/>
  </r>
  <r>
    <x v="0"/>
    <x v="0"/>
    <s v="MMR001"/>
    <s v="Myitkyina"/>
    <s v="MMR001D001"/>
    <x v="0"/>
    <s v="MMR001001"/>
    <s v="Myitkyina Town"/>
    <s v="MMR001001701"/>
    <s v="Kyun Pin Thar Ward"/>
    <s v="MMR001001701510"/>
    <x v="12"/>
    <x v="12"/>
    <x v="12"/>
    <n v="25.3660036111111"/>
    <n v="0"/>
    <n v="42"/>
    <n v="186"/>
    <n v="4.4285714285714288"/>
    <x v="0"/>
    <x v="0"/>
    <x v="0"/>
    <x v="0"/>
    <x v="4"/>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Monthly report by KBC)._x000a_19-Aug-2015 Update population from KBC._x000a_25-Jun-2015 Update population from KBC._x000a_Update population according to KBC data"/>
    <s v="P4"/>
    <n v="37"/>
    <m/>
    <n v="37"/>
    <s v="Myitkyina Town"/>
    <n v="2.8164250706222882"/>
    <n v="1"/>
  </r>
  <r>
    <x v="0"/>
    <x v="0"/>
    <s v="MMR001"/>
    <s v="Myitkyina"/>
    <s v="MMR001D001"/>
    <x v="0"/>
    <s v="MMR001001"/>
    <s v="Myitkyina Town"/>
    <s v="MMR001001701"/>
    <s v="Lel Kone Ward"/>
    <s v="MMR001001701525"/>
    <x v="13"/>
    <x v="13"/>
    <x v="13"/>
    <n v="25.3510167948718"/>
    <n v="0"/>
    <n v="139"/>
    <n v="705"/>
    <n v="5.0719424460431659"/>
    <x v="0"/>
    <x v="0"/>
    <x v="0"/>
    <x v="0"/>
    <x v="0"/>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19-Aug-15 Update population from KBC._x000a_Update population according to KBC data"/>
    <s v="P4"/>
    <n v="14"/>
    <m/>
    <n v="14"/>
    <s v="Myitkyina Town"/>
    <n v="4.262018365878137"/>
    <n v="1"/>
  </r>
  <r>
    <x v="0"/>
    <x v="0"/>
    <s v="MMR001"/>
    <s v="Myitkyina"/>
    <s v="MMR001D001"/>
    <x v="0"/>
    <s v="MMR001001"/>
    <s v="Myitkyina Town"/>
    <s v="MMR001001701"/>
    <s v="Lel Kone Ward"/>
    <s v="MMR001001701525"/>
    <x v="14"/>
    <x v="14"/>
    <x v="14"/>
    <n v="25.362420757575801"/>
    <n v="0"/>
    <n v="105"/>
    <n v="580"/>
    <n v="5.5238095238095237"/>
    <x v="0"/>
    <x v="0"/>
    <x v="0"/>
    <x v="0"/>
    <x v="5"/>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Update population from KBC._x000a_25-Jun-2015 Update population from KBC._x000a_Update population according to KBC data"/>
    <s v="P4"/>
    <n v="81"/>
    <m/>
    <n v="81"/>
    <s v="Myitkyina Town"/>
    <n v="3.3602711423118103"/>
    <n v="1"/>
  </r>
  <r>
    <x v="0"/>
    <x v="0"/>
    <s v="MMR001"/>
    <s v="Myitkyina"/>
    <s v="MMR001D001"/>
    <x v="0"/>
    <s v="MMR001001"/>
    <s v="Myitkyina Town"/>
    <s v="MMR001001701"/>
    <s v="Maliyang Ward"/>
    <m/>
    <x v="15"/>
    <x v="15"/>
    <x v="15"/>
    <n v="25.360463124999999"/>
    <n v="0"/>
    <n v="62"/>
    <n v="309"/>
    <n v="4.9838709677419351"/>
    <x v="0"/>
    <x v="0"/>
    <x v="0"/>
    <x v="0"/>
    <x v="2"/>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19-Aug-15 Update population from KBC._x000a_25-Jun-2015 Update population from KBC._x000a_Update population according to KBC data"/>
    <s v="P4"/>
    <n v="42"/>
    <m/>
    <n v="42"/>
    <s v="Waingmaw Town"/>
    <n v="3.3362307375127798"/>
    <n v="1"/>
  </r>
  <r>
    <x v="1"/>
    <x v="0"/>
    <s v="MMR001"/>
    <s v="Mohnyin"/>
    <s v="MMR001D002"/>
    <x v="1"/>
    <s v="MMR001009"/>
    <s v="Lone Khin"/>
    <s v="MMR001009001"/>
    <s v="Lone Khin"/>
    <n v="166773"/>
    <x v="16"/>
    <x v="16"/>
    <x v="16"/>
    <n v="25.658650000000002"/>
    <m/>
    <n v="0"/>
    <n v="0"/>
    <s v="NA"/>
    <x v="0"/>
    <x v="0"/>
    <x v="0"/>
    <x v="1"/>
    <x v="6"/>
    <m/>
    <x v="2"/>
    <m/>
    <m/>
    <m/>
    <s v=" "/>
    <s v=""/>
    <n v="0"/>
    <m/>
    <n v="0"/>
    <s v=""/>
    <s v=""/>
    <s v=""/>
  </r>
  <r>
    <x v="0"/>
    <x v="0"/>
    <s v="MMR001"/>
    <s v="Myitkyina"/>
    <s v="MMR001D001"/>
    <x v="0"/>
    <s v="MMR001001"/>
    <s v="Myitkyina Town"/>
    <s v="MMR001001701"/>
    <s v="Jan Mai Kawng"/>
    <m/>
    <x v="17"/>
    <x v="17"/>
    <x v="17"/>
    <n v="25.403476999999999"/>
    <n v="0"/>
    <n v="200"/>
    <n v="1112"/>
    <n v="5.56"/>
    <x v="0"/>
    <x v="0"/>
    <x v="0"/>
    <x v="0"/>
    <x v="1"/>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Update population from KBC._x000a_25-Jun-2015 Update population from KBC._x000a_Checked with KBC data"/>
    <s v="P4"/>
    <n v="40"/>
    <m/>
    <n v="40"/>
    <s v="Myitkyina Town"/>
    <n v="2.4647367211404561"/>
    <n v="1"/>
  </r>
  <r>
    <x v="0"/>
    <x v="0"/>
    <s v="MMR001"/>
    <s v="Myitkyina"/>
    <s v="MMR001D001"/>
    <x v="0"/>
    <s v="MMR001001"/>
    <s v="Myitkyina Town"/>
    <s v="MMR001001701"/>
    <s v="Jan Mai Kawng"/>
    <m/>
    <x v="18"/>
    <x v="18"/>
    <x v="18"/>
    <n v="25.401061110000001"/>
    <m/>
    <n v="122"/>
    <n v="595"/>
    <n v="4.8770491803278686"/>
    <x v="0"/>
    <x v="0"/>
    <x v="0"/>
    <x v="0"/>
    <x v="1"/>
    <n v="3"/>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Dec/2015 (Population update. Data source: Monthly report by KMSS_MYT). Reason for pop changes; Arrived at the camp from daily work._x000a_23-Oct-15 (Population update. Data source: Monthly report by KMSS-MYT). Reason for changes; Arrive from the Daily Work._x000a_2 Oct 15 (Population update. Data Source: KMSS-MYT)_x000a_19-Aug-15 (Population update. Data Source: KMSS-MYT)_x000a_25-Jun-15 (Population update. Source : KMSS-MYT)_x000a_Population Update. Source: KMSS-MYT"/>
    <s v="P4"/>
    <n v="42"/>
    <m/>
    <n v="42"/>
    <s v="Myitkyina Town"/>
    <n v="1.8563710010113432"/>
    <n v="1"/>
  </r>
  <r>
    <x v="0"/>
    <x v="0"/>
    <s v="MMR001"/>
    <s v="Myitkyina"/>
    <s v="MMR001D001"/>
    <x v="0"/>
    <s v="MMR001001"/>
    <s v="Maw Hpawng"/>
    <s v="MMR001001007"/>
    <s v="Maw Hpawng"/>
    <n v="165698"/>
    <x v="19"/>
    <x v="19"/>
    <x v="19"/>
    <n v="25.374343974359"/>
    <n v="0"/>
    <n v="23"/>
    <n v="93"/>
    <n v="4.0434782608695654"/>
    <x v="0"/>
    <x v="0"/>
    <x v="0"/>
    <x v="2"/>
    <x v="3"/>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ate. Data source: monthly report by HAP._x000a_19-Aug-15 Population update. Source: Shalom_x000a_25-Jun-15 Population update. Source : Shalom._x000a_Population update: Source: Camp Profile Round 2."/>
    <s v="P4"/>
    <n v="0"/>
    <m/>
    <n v="0"/>
    <s v="Myitkyina Town"/>
    <n v="10.744749696609457"/>
    <n v="3"/>
  </r>
  <r>
    <x v="0"/>
    <x v="0"/>
    <s v="MMR001"/>
    <s v="Myitkyina"/>
    <s v="MMR001D001"/>
    <x v="0"/>
    <s v="MMR001001"/>
    <s v="Maw Hpawng"/>
    <s v="MMR001001007"/>
    <s v="Maw Hpawng"/>
    <n v="165698"/>
    <x v="20"/>
    <x v="20"/>
    <x v="20"/>
    <n v="25.371049444444399"/>
    <n v="476"/>
    <n v="15"/>
    <n v="78"/>
    <n v="5.2"/>
    <x v="0"/>
    <x v="0"/>
    <x v="0"/>
    <x v="2"/>
    <x v="3"/>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25-Jun-15 Population update. Source : Shalom._x000a_Population update: Source: Camp Profile Round 2."/>
    <s v="P4"/>
    <n v="0"/>
    <m/>
    <n v="0"/>
    <s v="Myitkyina Town"/>
    <n v="10.15228229456989"/>
    <n v="3"/>
  </r>
  <r>
    <x v="0"/>
    <x v="0"/>
    <s v="MMR001"/>
    <s v="Myitkyina"/>
    <s v="MMR001D001"/>
    <x v="0"/>
    <s v="MMR001001"/>
    <s v="Myitkyina Town"/>
    <s v="MMR001001701"/>
    <s v="Kachin Su Ward"/>
    <s v="MMR001001701509"/>
    <x v="21"/>
    <x v="21"/>
    <x v="21"/>
    <n v="25.377038166666701"/>
    <n v="0"/>
    <n v="7"/>
    <n v="37"/>
    <n v="5.2857142857142856"/>
    <x v="0"/>
    <x v="0"/>
    <x v="0"/>
    <x v="0"/>
    <x v="7"/>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25-Jun-15 Population update. Source : Shalom._x000a_Population update: Source: Camp Profile Round 2."/>
    <s v="P4"/>
    <n v="0"/>
    <m/>
    <n v="0"/>
    <s v="Myitkyina Town"/>
    <n v="1.7877148351104664"/>
    <n v="1"/>
  </r>
  <r>
    <x v="0"/>
    <x v="0"/>
    <s v="MMR001"/>
    <s v="Myitkyina"/>
    <s v="MMR001D001"/>
    <x v="0"/>
    <s v="MMR001001"/>
    <s v="Myitkyina Town"/>
    <s v="MMR001001701"/>
    <s v="Tat Kone Ward"/>
    <s v="MMR001001701520"/>
    <x v="22"/>
    <x v="22"/>
    <x v="22"/>
    <n v="25.423209"/>
    <n v="0"/>
    <n v="54"/>
    <n v="262"/>
    <n v="4.8518518518518521"/>
    <x v="0"/>
    <x v="0"/>
    <x v="0"/>
    <x v="0"/>
    <x v="7"/>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27/June/2016: GPS point changes. Data source:WFP_x000a_16/Jun/2016: Population update. Data source: mail by Shalom_x000a_10 May 2016. Population update: Data source_Shalom_x000a_28/Jan/2016. Population update. Data source: KBC (mail by maran)_x000a_9/Nov/15. Population update. Data source: monthly report by HAP._x000a_19-Aug-15 Update population. Source: Shalom_x000a_25-Jun-15 Population update. Source : Shalom._x000a_Population update: Source: Camp Profile Round 2."/>
    <s v="P4"/>
    <n v="0"/>
    <m/>
    <n v="0"/>
    <s v="Myitkyina Town"/>
    <n v="2.6190942927115026"/>
    <n v="1"/>
  </r>
  <r>
    <x v="0"/>
    <x v="0"/>
    <s v="MMR001"/>
    <s v="Myitkyina"/>
    <s v="MMR001D001"/>
    <x v="0"/>
    <s v="MMR001001"/>
    <s v="Nam Koi"/>
    <s v="MMR001001005"/>
    <s v="Nam Koi"/>
    <n v="165695"/>
    <x v="23"/>
    <x v="23"/>
    <x v="23"/>
    <n v="25.410569299999999"/>
    <m/>
    <n v="63"/>
    <n v="322"/>
    <n v="5.1111111111111107"/>
    <x v="0"/>
    <x v="0"/>
    <x v="0"/>
    <x v="0"/>
    <x v="4"/>
    <m/>
    <x v="3"/>
    <s v="IP"/>
    <m/>
    <d v="2017-06-29T00:00:00"/>
    <s v="29/June/2017: Pop update. Data source: KMSS_Myitkyina_x000a_2/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3-Oct-15 (Population update. Data source: Monthly report by KMSS-MYT). Reason for changes; Arrive from the Daily Work._x000a_19-Aug-15 (Population update. Data Source: KMSS-MYT) _x000a_25-Jun-15 (Population update. Source: KMSS-MYT)"/>
    <s v="P4"/>
    <n v="0"/>
    <m/>
    <n v="0"/>
    <s v="Myitkyina Town"/>
    <n v="4.037940696665812"/>
    <n v="1"/>
  </r>
  <r>
    <x v="0"/>
    <x v="0"/>
    <s v="MMR001"/>
    <s v="Myitkyina"/>
    <s v="MMR001D001"/>
    <x v="2"/>
    <s v="MMR001002"/>
    <s v="Waingmaw Town"/>
    <s v="MMR001002701"/>
    <s v="No (2) Ward"/>
    <s v="MMR001002701502"/>
    <x v="24"/>
    <x v="24"/>
    <x v="24"/>
    <n v="25.351724999999998"/>
    <n v="0"/>
    <n v="65"/>
    <n v="323"/>
    <n v="4.9692307692307693"/>
    <x v="0"/>
    <x v="0"/>
    <x v="0"/>
    <x v="0"/>
    <x v="0"/>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Monthly report by KBC)._x000a_19-Aug-2015 Update population from KBC._x000a_25-Jun-2015 Update population from KBC._x000a_Checked with KBC data"/>
    <s v="P4"/>
    <n v="27"/>
    <m/>
    <n v="27"/>
    <s v="Waingmaw Town"/>
    <n v="0.4474205416025816"/>
    <n v="1"/>
  </r>
  <r>
    <x v="0"/>
    <x v="0"/>
    <s v="MMR001"/>
    <s v="Myitkyina"/>
    <s v="MMR001D001"/>
    <x v="2"/>
    <s v="MMR001002"/>
    <s v="Waingmaw Town"/>
    <s v="MMR001002701"/>
    <s v="No (4) Ward"/>
    <s v="MMR001002701504"/>
    <x v="25"/>
    <x v="25"/>
    <x v="25"/>
    <n v="25.350809000000002"/>
    <n v="0"/>
    <n v="92"/>
    <n v="493"/>
    <n v="5.3586956521739131"/>
    <x v="0"/>
    <x v="0"/>
    <x v="0"/>
    <x v="0"/>
    <x v="8"/>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19-Aug-15 Population update. Source: Shalom._x000a_25-Jun-15 Population update. Source : Shalom._x000a_Population update: Source: Camp Profile Round 2."/>
    <s v="P4"/>
    <n v="0"/>
    <m/>
    <n v="0"/>
    <s v="Waingmaw Town"/>
    <n v="1.0367202051285227"/>
    <n v="1"/>
  </r>
  <r>
    <x v="0"/>
    <x v="0"/>
    <s v="MMR001"/>
    <s v="Myitkyina"/>
    <s v="MMR001D001"/>
    <x v="2"/>
    <s v="MMR001002"/>
    <s v="Mading"/>
    <s v="MMR001002001"/>
    <s v="Mading/Hka Kun"/>
    <n v="165730"/>
    <x v="26"/>
    <x v="26"/>
    <x v="26"/>
    <n v="25.356632000000001"/>
    <n v="0"/>
    <n v="30"/>
    <n v="261"/>
    <n v="8.6999999999999993"/>
    <x v="0"/>
    <x v="0"/>
    <x v="0"/>
    <x v="0"/>
    <x v="9"/>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Monthly report by KBC)._x000a_19-Aug-2015 Update population from KBC._x000a_25-Jun-2015 Update population from KBC._x000a_Population updated. Source: Shelter unit."/>
    <s v="P4"/>
    <n v="1"/>
    <m/>
    <n v="1"/>
    <s v="Waingmaw Town"/>
    <n v="1.1134935940025397"/>
    <n v="1"/>
  </r>
  <r>
    <x v="0"/>
    <x v="0"/>
    <s v="MMR001"/>
    <s v="Myitkyina"/>
    <s v="MMR001D001"/>
    <x v="2"/>
    <s v="MMR001002"/>
    <s v="Hkat Shu"/>
    <s v="MMR001002003"/>
    <s v="Hkat Shu"/>
    <n v="165735"/>
    <x v="27"/>
    <x v="27"/>
    <x v="27"/>
    <n v="25.321710740740698"/>
    <n v="0"/>
    <n v="102"/>
    <n v="502"/>
    <n v="4.9215686274509807"/>
    <x v="0"/>
    <x v="0"/>
    <x v="0"/>
    <x v="2"/>
    <x v="0"/>
    <n v="2"/>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1/Sep/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19-Aug-15. Population update. Source: Shalom._x000a_25-Jun-15 Population update. Source : Shalom._x000a_Population update: Source: Camp Profile Round 2."/>
    <s v="P4"/>
    <n v="0"/>
    <m/>
    <n v="0"/>
    <s v="Waingmaw Town"/>
    <n v="5.0655036329811631"/>
    <n v="2"/>
  </r>
  <r>
    <x v="0"/>
    <x v="0"/>
    <s v="MMR001"/>
    <s v="Myitkyina"/>
    <s v="MMR001D001"/>
    <x v="2"/>
    <s v="MMR001002"/>
    <s v="Mai Na"/>
    <s v="MMR001002006"/>
    <s v="Mai Na"/>
    <n v="165740"/>
    <x v="28"/>
    <x v="28"/>
    <x v="28"/>
    <n v="25.415667500000001"/>
    <m/>
    <n v="282"/>
    <n v="1466"/>
    <n v="5.1985815602836878"/>
    <x v="0"/>
    <x v="0"/>
    <x v="0"/>
    <x v="0"/>
    <x v="10"/>
    <n v="4"/>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Dec/2015 (Population update. Data source: Monthly report by KMSS_MYT). Reason for pop changes; Arrived at the camp from daily work._x000a_23-Oct-15 (Population update. Data sorce: Monthly report by KMSS-MYT). Reasion for changes; Travelling from the camp for daily worker._x000a_2-Oct-15 (Pupulation update. Data Source: KMSS-MYT) and NFI Distribution List (New arrival)_x000a_19-Aug-15 (Population update. Data Source: KMSS-MYT)_x000a_25-Jun-15 (Population update. Source: KMSS-MYT)_x000a_Population Update. Source: KMSS-MYT"/>
    <s v="P4"/>
    <n v="27"/>
    <m/>
    <n v="27"/>
    <s v="Myitkyina Town"/>
    <n v="5.7019834469756479"/>
    <n v="2"/>
  </r>
  <r>
    <x v="0"/>
    <x v="0"/>
    <s v="MMR001"/>
    <s v="Myitkyina"/>
    <s v="MMR001D001"/>
    <x v="2"/>
    <s v="MMR001002"/>
    <s v="Waingmaw Town"/>
    <s v="MMR001002701"/>
    <s v="No (3) Ward"/>
    <s v="MMR001002701503"/>
    <x v="29"/>
    <x v="29"/>
    <x v="29"/>
    <n v="25.345918166666699"/>
    <m/>
    <n v="31"/>
    <n v="171"/>
    <n v="5.5161290322580649"/>
    <x v="0"/>
    <x v="0"/>
    <x v="0"/>
    <x v="0"/>
    <x v="0"/>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25-Jun-15 Population update. Source : Shalom._x000a_Population update: Source: Camp Profile Round 2."/>
    <s v="P4"/>
    <n v="0"/>
    <m/>
    <n v="0"/>
    <s v="Waingmaw Town"/>
    <n v="0.77827912736780092"/>
    <n v="1"/>
  </r>
  <r>
    <x v="0"/>
    <x v="0"/>
    <s v="MMR001"/>
    <s v="Myitkyina"/>
    <s v="MMR001D001"/>
    <x v="2"/>
    <s v="MMR001002"/>
    <s v="Mai Na"/>
    <s v="MMR001002006"/>
    <s v="Mai Na"/>
    <n v="165740"/>
    <x v="30"/>
    <x v="30"/>
    <x v="30"/>
    <n v="25.424529444444399"/>
    <n v="0"/>
    <n v="289"/>
    <n v="1584"/>
    <n v="5.4809688581314875"/>
    <x v="0"/>
    <x v="0"/>
    <x v="0"/>
    <x v="2"/>
    <x v="1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19-Aug-15 Population update. Source: Shalom._x000a_25-Jun-15 Population update. Source : Shalom._x000a_Update population. Source: Camp Profile."/>
    <s v="P4"/>
    <n v="182"/>
    <m/>
    <n v="182"/>
    <s v="Myitkyina Town"/>
    <n v="5.9727739497559158"/>
    <n v="2"/>
  </r>
  <r>
    <x v="0"/>
    <x v="0"/>
    <s v="MMR001"/>
    <s v="Myitkyina"/>
    <s v="MMR001D001"/>
    <x v="2"/>
    <s v="MMR001002"/>
    <s v="Waingmaw Town"/>
    <s v="MMR001002701"/>
    <s v="No (2) Ward"/>
    <s v="MMR001002701502"/>
    <x v="31"/>
    <x v="31"/>
    <x v="31"/>
    <n v="25.3540362037037"/>
    <n v="0"/>
    <n v="111"/>
    <n v="445"/>
    <n v="4.0090090090090094"/>
    <x v="0"/>
    <x v="0"/>
    <x v="0"/>
    <x v="0"/>
    <x v="1"/>
    <n v="2"/>
    <x v="1"/>
    <s v="IP"/>
    <m/>
    <d v="2017-06-29T00:00:00"/>
    <s v="29/June/2017: Population update. Data source: Shalom_x000a_2/June/2017: Population update. Data source: Shalom_x000a_3/May/2017: Population update. Data source: Shalom_x000a_24/April/2017: Population update. Data source: Shalom_x000a_24/Apr/2017: Pop update. Data source: KMSS_Myitkyina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19-Aug-15 Population update. Source: Shalom._x000a_25-Jun-15 Population update. Source : Shalom."/>
    <s v="P4"/>
    <n v="0"/>
    <m/>
    <n v="0"/>
    <s v="Waingmaw Town"/>
    <n v="0.37684287609457234"/>
    <n v="1"/>
  </r>
  <r>
    <x v="0"/>
    <x v="0"/>
    <s v="MMR001"/>
    <s v="Myitkyina"/>
    <s v="MMR001D001"/>
    <x v="2"/>
    <s v="MMR001002"/>
    <s v="Ma Hkan Tee"/>
    <s v="MMR001002009"/>
    <s v="Nawng Hee"/>
    <n v="165745"/>
    <x v="32"/>
    <x v="32"/>
    <x v="32"/>
    <n v="25.351965"/>
    <m/>
    <n v="20"/>
    <n v="86"/>
    <n v="4.3"/>
    <x v="0"/>
    <x v="0"/>
    <x v="0"/>
    <x v="2"/>
    <x v="9"/>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19-Aug-15 Population update. Source: Shalom._x000a_Update population. Source: Camp Profile."/>
    <s v="P4"/>
    <n v="1"/>
    <m/>
    <n v="1"/>
    <s v="Myitkyina Town"/>
    <n v="6.0275881703713861"/>
    <n v="2"/>
  </r>
  <r>
    <x v="1"/>
    <x v="0"/>
    <s v="MMR001"/>
    <s v="Mohnyin"/>
    <s v="MMR001D002"/>
    <x v="1"/>
    <s v="MMR001009"/>
    <s v="Wa Ra Zut"/>
    <s v="MMR001009009"/>
    <s v="Shar Du Zut"/>
    <n v="166819"/>
    <x v="33"/>
    <x v="33"/>
    <x v="33"/>
    <n v="25.920006000000001"/>
    <m/>
    <m/>
    <m/>
    <s v="NA"/>
    <x v="0"/>
    <x v="0"/>
    <x v="0"/>
    <x v="2"/>
    <x v="12"/>
    <m/>
    <x v="2"/>
    <s v="IP"/>
    <m/>
    <d v="2017-04-24T00:00:00"/>
    <s v="24/Apr/2017: Changed camp status as &quot;closed&quot;. Data source: KMSS_Myitkyina and CCCM unit._x000a_16/Sep/2016: New added camp. There no responsible organization."/>
    <m/>
    <n v="0"/>
    <m/>
    <n v="0"/>
    <s v="Hpakant Town"/>
    <n v="0"/>
    <n v="1"/>
  </r>
  <r>
    <x v="1"/>
    <x v="0"/>
    <s v="MMR001"/>
    <s v="Mohnyin"/>
    <s v="MMR001D002"/>
    <x v="1"/>
    <s v="MMR001009"/>
    <s v="Lone Khin"/>
    <s v="MMR001009001"/>
    <s v="Hmaw Si Zar"/>
    <n v="166775"/>
    <x v="34"/>
    <x v="34"/>
    <x v="34"/>
    <m/>
    <m/>
    <m/>
    <m/>
    <s v="NA"/>
    <x v="0"/>
    <x v="0"/>
    <x v="0"/>
    <x v="1"/>
    <x v="6"/>
    <m/>
    <x v="2"/>
    <m/>
    <m/>
    <m/>
    <s v=" "/>
    <s v=""/>
    <n v="0"/>
    <m/>
    <n v="0"/>
    <s v=""/>
    <s v=""/>
    <s v=""/>
  </r>
  <r>
    <x v="0"/>
    <x v="1"/>
    <s v="MMR015"/>
    <s v="Muse"/>
    <s v="MMR015D002"/>
    <x v="3"/>
    <s v="MMR015010"/>
    <s v="Nawng Hkam"/>
    <s v="MMR015010010"/>
    <s v="Nawng Hkam"/>
    <n v="208353"/>
    <x v="35"/>
    <x v="35"/>
    <x v="35"/>
    <n v="23.828520000000001"/>
    <n v="740"/>
    <n v="67"/>
    <n v="357"/>
    <n v="5.3283582089552235"/>
    <x v="0"/>
    <x v="0"/>
    <x v="0"/>
    <x v="0"/>
    <x v="13"/>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Population Update. Source: Save The Children."/>
    <s v="P3"/>
    <n v="37"/>
    <m/>
    <n v="37"/>
    <s v="Namhkan Town"/>
    <n v="1.5619149693996526"/>
    <n v="1"/>
  </r>
  <r>
    <x v="0"/>
    <x v="0"/>
    <s v="MMR001"/>
    <s v="Myitkyina"/>
    <s v="MMR001D001"/>
    <x v="2"/>
    <s v="MMR001002"/>
    <s v="Waingmaw Town"/>
    <s v="MMR001002701"/>
    <s v="No (4) Ward"/>
    <s v="MMR001002701504"/>
    <x v="36"/>
    <x v="36"/>
    <x v="36"/>
    <n v="25.333683333333301"/>
    <m/>
    <n v="46"/>
    <n v="190"/>
    <n v="4.1304347826086953"/>
    <x v="0"/>
    <x v="0"/>
    <x v="0"/>
    <x v="0"/>
    <x v="14"/>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19-Aug-15 Population update. Source: Shalom._x000a_25-Jun-15 Population update. Source : Shalom._x000a_Population update: Source: Camp Profile Round 2."/>
    <s v="P4"/>
    <n v="0"/>
    <m/>
    <n v="0"/>
    <s v="Waingmaw Town"/>
    <n v="2.4174307716662291"/>
    <n v="1"/>
  </r>
  <r>
    <x v="0"/>
    <x v="0"/>
    <s v="MMR001"/>
    <s v="Myitkyina"/>
    <s v="MMR001D001"/>
    <x v="2"/>
    <s v="MMR001002"/>
    <s v="Waingmaw Town"/>
    <s v="MMR001002701"/>
    <s v="No (3) Ward"/>
    <s v="MMR001002701503"/>
    <x v="37"/>
    <x v="37"/>
    <x v="37"/>
    <n v="25.351250396825399"/>
    <n v="476"/>
    <n v="65"/>
    <n v="275"/>
    <n v="4.2307692307692308"/>
    <x v="0"/>
    <x v="0"/>
    <x v="0"/>
    <x v="0"/>
    <x v="14"/>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19-Aug-15 Population update. Source: Shalom._x000a_25-Jun-15 Population update. Source : Shalom._x000a_Population update: Source: Camp Profile Round 2."/>
    <s v="P4"/>
    <n v="10"/>
    <m/>
    <n v="10"/>
    <s v="Waingmaw Town"/>
    <n v="0.15089472113650237"/>
    <n v="1"/>
  </r>
  <r>
    <x v="0"/>
    <x v="0"/>
    <s v="MMR001"/>
    <s v="Myitkyina"/>
    <s v="MMR001D001"/>
    <x v="2"/>
    <s v="MMR001002"/>
    <s v="Mai Na"/>
    <s v="MMR001002006"/>
    <s v="Mai Na"/>
    <n v="165740"/>
    <x v="38"/>
    <x v="38"/>
    <x v="38"/>
    <n v="25.409612685185198"/>
    <n v="0"/>
    <n v="45"/>
    <n v="190"/>
    <n v="4.2222222222222223"/>
    <x v="0"/>
    <x v="0"/>
    <x v="0"/>
    <x v="0"/>
    <x v="13"/>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Monthly report by KBC)._x000a_19-Aug-15 Update population from KBC_x000a_25-Jun-2015 Update population. Data Source: KBC_x000a_Update population according to KBC data"/>
    <s v="P4"/>
    <n v="5"/>
    <m/>
    <n v="5"/>
    <s v="Myitkyina Town"/>
    <n v="4.3887485673235673"/>
    <n v="1"/>
  </r>
  <r>
    <x v="0"/>
    <x v="0"/>
    <s v="MMR001"/>
    <s v="Myitkyina"/>
    <s v="MMR001D001"/>
    <x v="2"/>
    <s v="MMR001002"/>
    <s v="Mai Na"/>
    <s v="MMR001002006"/>
    <s v="Mai Na"/>
    <n v="165740"/>
    <x v="39"/>
    <x v="39"/>
    <x v="39"/>
    <n v="25.4118005797101"/>
    <n v="0"/>
    <n v="498"/>
    <n v="2531"/>
    <n v="5.0823293172690764"/>
    <x v="0"/>
    <x v="0"/>
    <x v="0"/>
    <x v="2"/>
    <x v="15"/>
    <n v="3"/>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Monthly report by KBC)._x000a_19-Aug-15 Update population from KBC_x000a_25-Jun-2015 Update population. Data Source: KBC_x000a_Update population according to KBC data"/>
    <s v="P4"/>
    <n v="0"/>
    <m/>
    <n v="0"/>
    <s v="Myitkyina Town"/>
    <n v="5.2238983299151851"/>
    <n v="2"/>
  </r>
  <r>
    <x v="0"/>
    <x v="0"/>
    <s v="MMR001"/>
    <s v="Myitkyina"/>
    <s v="MMR001D001"/>
    <x v="2"/>
    <s v="MMR001002"/>
    <s v="Waw Shung (Kan Paik Ti Sub-township)"/>
    <s v="MMR001002035"/>
    <s v="Shan Kyaing"/>
    <n v="165845"/>
    <x v="40"/>
    <x v="40"/>
    <x v="40"/>
    <n v="25.418084"/>
    <m/>
    <n v="184"/>
    <n v="966"/>
    <n v="5.25"/>
    <x v="0"/>
    <x v="0"/>
    <x v="0"/>
    <x v="2"/>
    <x v="14"/>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5-Jun-2015 Update population. Data Source: KBC_x000a_Changed NGCA to GCA. Source: Programme Unit."/>
    <s v="P1"/>
    <n v="0"/>
    <m/>
    <n v="0"/>
    <s v="Kan Paik Ti Town"/>
    <n v="9.3609732231189877"/>
    <n v="2"/>
  </r>
  <r>
    <x v="0"/>
    <x v="0"/>
    <s v="MMR001"/>
    <s v="Myitkyina"/>
    <s v="MMR001D001"/>
    <x v="4"/>
    <s v="MMR001005"/>
    <s v="Chipwi Town"/>
    <s v="MMR001005701"/>
    <s v="Ba Leit Dan Ward"/>
    <s v="MMR001005701503"/>
    <x v="41"/>
    <x v="41"/>
    <x v="41"/>
    <n v="25.889410000000002"/>
    <n v="304"/>
    <n v="108"/>
    <n v="529"/>
    <n v="4.8981481481481479"/>
    <x v="0"/>
    <x v="0"/>
    <x v="0"/>
    <x v="0"/>
    <x v="16"/>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1/Sep/2016: Population update. Data source: Shalom_x000a_20/Jul/2016: Population update. Data source: Shalom_x000a_16/Jun/2016: Population update. Data source: mail by Shalom_x000a_10 May 2016. Population update: Data source_Shalom_x000a_28/Jan/2016. Population update. Data source: KBC (mail by maran)_x000a_9/Nov/15. Population update. Data source: monthly report by HAP._x000a_19-Aug-15 Population updae. Source: Shalom_x000a_25-Jun-15 (Population update. Source : Shalom)_x000a_2-Apr-15 (Population update, Source: UNHCR CCCM Mission)_x000a_Update IDP population from Shalom data (Assistant CCCM Officer)"/>
    <s v="P1"/>
    <n v="1"/>
    <m/>
    <n v="1"/>
    <s v="Chipwi Town"/>
    <n v="0.15809623370782155"/>
    <n v="1"/>
  </r>
  <r>
    <x v="0"/>
    <x v="0"/>
    <s v="MMR001"/>
    <s v="Myitkyina"/>
    <s v="MMR001D001"/>
    <x v="4"/>
    <s v="MMR001005"/>
    <s v="Hpa Re (Pang War Sub-township)"/>
    <s v="MMR001005026"/>
    <s v="Hpa Re Waw Jang"/>
    <n v="166355"/>
    <x v="42"/>
    <x v="42"/>
    <x v="42"/>
    <n v="25.754110000000001"/>
    <n v="2785"/>
    <n v="158"/>
    <n v="945"/>
    <n v="5.981012658227848"/>
    <x v="1"/>
    <x v="0"/>
    <x v="0"/>
    <x v="3"/>
    <x v="9"/>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2/May/2016. Population update. Data source: KBC_x000a_28/Jan/2016. Population update. Data source: KBC_x000a_2/Dec/2015. Population update. Data source: KBC_x000a_25-Jun-2015 Update population. Data Source: KBC_x000a_Update population according to KBC data"/>
    <s v="P1"/>
    <n v="158"/>
    <m/>
    <n v="158"/>
    <s v="Pang War Town"/>
    <n v="19.834999342466848"/>
    <n v="4"/>
  </r>
  <r>
    <x v="1"/>
    <x v="0"/>
    <s v="MMR001"/>
    <s v="Mohnyin"/>
    <s v="MMR001D002"/>
    <x v="1"/>
    <s v="MMR001009"/>
    <s v="Lone Khin"/>
    <s v="MMR001009001"/>
    <s v="Ku Day"/>
    <n v="216877"/>
    <x v="43"/>
    <x v="43"/>
    <x v="43"/>
    <n v="25.655989999999999"/>
    <m/>
    <m/>
    <m/>
    <s v="NA"/>
    <x v="0"/>
    <x v="0"/>
    <x v="0"/>
    <x v="1"/>
    <x v="6"/>
    <m/>
    <x v="2"/>
    <m/>
    <m/>
    <m/>
    <s v=" "/>
    <s v=""/>
    <n v="0"/>
    <m/>
    <n v="0"/>
    <s v=""/>
    <s v=""/>
    <s v=""/>
  </r>
  <r>
    <x v="1"/>
    <x v="0"/>
    <s v="MMR001"/>
    <s v="Myitkyina"/>
    <s v="MMR001D001"/>
    <x v="4"/>
    <s v="MMR001005"/>
    <s v="Lang Jaw (Pang War Sub-township)"/>
    <s v="MMR001005022"/>
    <s v="Lang Jaw"/>
    <n v="166337"/>
    <x v="44"/>
    <x v="44"/>
    <x v="44"/>
    <n v="25.708763000000001"/>
    <m/>
    <m/>
    <m/>
    <s v="NA"/>
    <x v="0"/>
    <x v="0"/>
    <x v="1"/>
    <x v="2"/>
    <x v="6"/>
    <m/>
    <x v="2"/>
    <s v="IP"/>
    <m/>
    <d v="2017-07-11T00:00:00"/>
    <s v="11/Jul/2017: Change status to Close as no update available since December 2016"/>
    <s v="P1"/>
    <n v="0"/>
    <m/>
    <n v="0"/>
    <s v="Pang War Town"/>
    <n v="12.486065224161463"/>
    <n v="3"/>
  </r>
  <r>
    <x v="1"/>
    <x v="0"/>
    <s v="MMR001"/>
    <s v="Mohnyin"/>
    <s v="MMR001D002"/>
    <x v="1"/>
    <s v="MMR001009"/>
    <s v="Hpakan Town"/>
    <s v="MMR001009701"/>
    <s v="Aye Mya Thar Yar Ward"/>
    <s v="MMR001009701504"/>
    <x v="45"/>
    <x v="45"/>
    <x v="34"/>
    <m/>
    <m/>
    <m/>
    <m/>
    <s v="NA"/>
    <x v="0"/>
    <x v="0"/>
    <x v="0"/>
    <x v="1"/>
    <x v="6"/>
    <m/>
    <x v="2"/>
    <m/>
    <m/>
    <m/>
    <s v=" "/>
    <s v=""/>
    <n v="0"/>
    <m/>
    <n v="0"/>
    <s v=""/>
    <s v=""/>
    <s v=""/>
  </r>
  <r>
    <x v="0"/>
    <x v="0"/>
    <s v="MMR001"/>
    <s v="Bhamo"/>
    <s v="MMR001D003"/>
    <x v="5"/>
    <s v="MMR001010"/>
    <s v="Bhamo Town"/>
    <s v="MMR001010701"/>
    <s v="Nyaung Pin Ward"/>
    <s v="MMR001010701508"/>
    <x v="46"/>
    <x v="46"/>
    <x v="45"/>
    <n v="24.268292826086999"/>
    <m/>
    <n v="638"/>
    <n v="4050"/>
    <n v="6.3479623824451412"/>
    <x v="0"/>
    <x v="0"/>
    <x v="0"/>
    <x v="0"/>
    <x v="1"/>
    <n v="3"/>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25-Jun-2015 Update population. Data Source: KBC_x000a_Population update: Source: Camp Profile Round 2."/>
    <s v="P4"/>
    <n v="213"/>
    <m/>
    <n v="213"/>
    <s v="Bhamo Town"/>
    <n v="1.5797992800898704"/>
    <n v="1"/>
  </r>
  <r>
    <x v="0"/>
    <x v="0"/>
    <s v="MMR001"/>
    <s v="Bhamo"/>
    <s v="MMR001D003"/>
    <x v="5"/>
    <s v="MMR001010"/>
    <s v="Moe Hping"/>
    <s v="MMR001010009"/>
    <s v="Moe Hping"/>
    <n v="166836"/>
    <x v="47"/>
    <x v="47"/>
    <x v="46"/>
    <n v="24.2631743589744"/>
    <n v="0"/>
    <n v="130"/>
    <n v="747"/>
    <n v="5.7461538461538462"/>
    <x v="0"/>
    <x v="0"/>
    <x v="0"/>
    <x v="0"/>
    <x v="0"/>
    <n v="2"/>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9-Aug-15 Population update. Source: Shalom_x000a_25-Jun-15 (Population update. Source : Shalom)_x000a_Population update: Source: Camp Profile Round 2."/>
    <s v="P4"/>
    <n v="28"/>
    <m/>
    <n v="28"/>
    <s v="Bhamo Town"/>
    <n v="1.0876401420946245"/>
    <n v="1"/>
  </r>
  <r>
    <x v="0"/>
    <x v="0"/>
    <s v="MMR001"/>
    <s v="Bhamo"/>
    <s v="MMR001D003"/>
    <x v="5"/>
    <s v="MMR001010"/>
    <s v="Moe Hping"/>
    <s v="MMR001010009"/>
    <s v="Moe Hping"/>
    <n v="166836"/>
    <x v="48"/>
    <x v="48"/>
    <x v="47"/>
    <n v="24.260719999999999"/>
    <m/>
    <n v="257"/>
    <n v="1266"/>
    <n v="4.9260700389105061"/>
    <x v="0"/>
    <x v="0"/>
    <x v="0"/>
    <x v="0"/>
    <x v="14"/>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BC _x000a_19-Aug-15 (Population Update. Data Source: KMSS-BMO)_x000a_Population update: Source: Camp Profile Round 2."/>
    <s v="P4"/>
    <n v="87"/>
    <n v="20"/>
    <n v="20"/>
    <s v="Bhamo Town"/>
    <n v="0.78440046838596356"/>
    <n v="1"/>
  </r>
  <r>
    <x v="0"/>
    <x v="0"/>
    <s v="MMR001"/>
    <s v="Bhamo"/>
    <s v="MMR001D003"/>
    <x v="5"/>
    <s v="MMR001010"/>
    <s v="Bhamo Town"/>
    <s v="MMR001010701"/>
    <s v="Pauk Kone Ward"/>
    <s v="MMR001010701506"/>
    <x v="49"/>
    <x v="49"/>
    <x v="48"/>
    <n v="24.253067000000001"/>
    <n v="0"/>
    <n v="13"/>
    <n v="56"/>
    <n v="4.3076923076923075"/>
    <x v="0"/>
    <x v="0"/>
    <x v="0"/>
    <x v="0"/>
    <x v="17"/>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9/Nov/15. Population update. Data source: monthly report by HAP._x000a_19-Aug-15 Population update. Source Shalom._x000a_25-Jun-15 Population update. Source Shalom_x000a_Population update: Source: Camp Profile Round 2."/>
    <s v="P4"/>
    <n v="0"/>
    <m/>
    <n v="0"/>
    <s v="Bhamo Town"/>
    <n v="0.20824727902294948"/>
    <n v="1"/>
  </r>
  <r>
    <x v="0"/>
    <x v="0"/>
    <s v="MMR001"/>
    <s v="Bhamo"/>
    <s v="MMR001D003"/>
    <x v="5"/>
    <s v="MMR001010"/>
    <s v="Bhamo Town"/>
    <s v="MMR001010701"/>
    <s v="Pauk Kone Ward"/>
    <s v="MMR001010701506"/>
    <x v="50"/>
    <x v="50"/>
    <x v="49"/>
    <n v="24.24766"/>
    <n v="0"/>
    <n v="38"/>
    <n v="214"/>
    <n v="5.6315789473684212"/>
    <x v="0"/>
    <x v="0"/>
    <x v="0"/>
    <x v="0"/>
    <x v="13"/>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2015 Update population. Data Source: KBC_x000a_Population update: Source: Camp Profile Round 2."/>
    <s v="P4"/>
    <n v="0"/>
    <m/>
    <n v="0"/>
    <s v="Bhamo Town"/>
    <n v="0.84749304721635399"/>
    <n v="1"/>
  </r>
  <r>
    <x v="0"/>
    <x v="0"/>
    <s v="MMR001"/>
    <s v="Bhamo"/>
    <s v="MMR001D003"/>
    <x v="5"/>
    <s v="MMR001010"/>
    <s v="Han Te"/>
    <s v="MMR001010024"/>
    <s v="Han Te"/>
    <n v="166851"/>
    <x v="51"/>
    <x v="51"/>
    <x v="50"/>
    <n v="24.24953"/>
    <n v="0"/>
    <n v="15"/>
    <n v="79"/>
    <n v="5.2666666666666666"/>
    <x v="0"/>
    <x v="0"/>
    <x v="0"/>
    <x v="0"/>
    <x v="18"/>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9/Nov/15. Population update. Data source: monthly report by HAP._x000a_19-Aug-15 Update population. Data Source: Shalom._x000a_25-Jun-2015 Update population. Data Source: KBC_x000a_Population update: Source: Camp Profile Round 2."/>
    <s v="P4"/>
    <n v="0"/>
    <n v="0"/>
    <n v="0"/>
    <s v="Bhamo Town"/>
    <n v="0.87147615879849294"/>
    <n v="1"/>
  </r>
  <r>
    <x v="0"/>
    <x v="0"/>
    <s v="MMR001"/>
    <s v="Bhamo"/>
    <s v="MMR001D003"/>
    <x v="5"/>
    <s v="MMR001010"/>
    <s v="Nam Hlaing"/>
    <s v="MMR001010015"/>
    <s v="Nam Hlaing"/>
    <n v="166844"/>
    <x v="52"/>
    <x v="52"/>
    <x v="51"/>
    <n v="24.32638"/>
    <m/>
    <n v="21"/>
    <n v="111"/>
    <n v="5.2857142857142856"/>
    <x v="0"/>
    <x v="0"/>
    <x v="0"/>
    <x v="0"/>
    <x v="14"/>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BC_x000a_19-Aug-2015. Update Population. Data Source; KMSS-BMO_x000a_Update population. Source UNHCR Bhamo"/>
    <s v="P4"/>
    <n v="11"/>
    <m/>
    <n v="11"/>
    <s v="Momauk Town"/>
    <n v="8.3788619521763046"/>
    <n v="2"/>
  </r>
  <r>
    <x v="0"/>
    <x v="0"/>
    <s v="MMR001"/>
    <s v="Bhamo"/>
    <s v="MMR001D003"/>
    <x v="5"/>
    <s v="MMR001010"/>
    <s v="Bhamo Town"/>
    <s v="MMR001010701"/>
    <s v="Shwe Kyee Nar Ward"/>
    <s v="MMR001010701513"/>
    <x v="53"/>
    <x v="53"/>
    <x v="52"/>
    <n v="24.29138"/>
    <n v="0"/>
    <n v="20"/>
    <n v="95"/>
    <n v="4.75"/>
    <x v="0"/>
    <x v="0"/>
    <x v="0"/>
    <x v="0"/>
    <x v="9"/>
    <n v="2"/>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9/Nov/15. Population update. Data source: monthly report by HAP._x000a_19-Aug-15 Population update. Source: Shalom._x000a_25-Jun-15 (Population update. Source : Shalom)_x000a_Population update: Source: Camp Profile Round 2."/>
    <s v="P4"/>
    <n v="0"/>
    <n v="0"/>
    <n v="0"/>
    <s v="Bhamo Town"/>
    <n v="4.108228790802368"/>
    <n v="1"/>
  </r>
  <r>
    <x v="1"/>
    <x v="1"/>
    <s v="MMR015"/>
    <s v="Muse"/>
    <s v="MMR015D002"/>
    <x v="3"/>
    <s v="MMR015010"/>
    <s v="Nawng Hkam"/>
    <s v="MMR015010010"/>
    <s v="Nawng Hkam"/>
    <n v="208353"/>
    <x v="54"/>
    <x v="54"/>
    <x v="34"/>
    <m/>
    <m/>
    <m/>
    <m/>
    <s v="NA"/>
    <x v="1"/>
    <x v="0"/>
    <x v="0"/>
    <x v="1"/>
    <x v="6"/>
    <m/>
    <x v="2"/>
    <s v="IP"/>
    <m/>
    <d v="2014-03-03T00:00:00"/>
    <s v="Closed. Same with (Nam Hkam Catholic Church  St. Thomas II)"/>
    <s v=""/>
    <n v="0"/>
    <m/>
    <n v="0"/>
    <s v=""/>
    <s v=""/>
    <s v=""/>
  </r>
  <r>
    <x v="0"/>
    <x v="0"/>
    <s v="MMR001"/>
    <s v="Bhamo"/>
    <s v="MMR001D003"/>
    <x v="6"/>
    <s v="MMR001012"/>
    <s v="Momauk Town"/>
    <s v="MMR001012701"/>
    <s v="Ah Lin Kawng Ward"/>
    <s v="MMR001012701502"/>
    <x v="55"/>
    <x v="55"/>
    <x v="53"/>
    <n v="24.250689999999999"/>
    <n v="0"/>
    <n v="387"/>
    <n v="1874"/>
    <n v="4.8423772609819125"/>
    <x v="0"/>
    <x v="0"/>
    <x v="0"/>
    <x v="0"/>
    <x v="0"/>
    <n v="3"/>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2015 Update population. Data Source: KBC_x000a_Population update: Source: Camp Profile Round 2."/>
    <s v="P4"/>
    <n v="111"/>
    <m/>
    <n v="111"/>
    <s v="Momauk Town"/>
    <n v="0.62513510418653162"/>
    <n v="1"/>
  </r>
  <r>
    <x v="0"/>
    <x v="1"/>
    <s v="MMR015"/>
    <s v="Muse"/>
    <s v="MMR015D002"/>
    <x v="3"/>
    <s v="MMR015010"/>
    <s v="Nawng Hkam"/>
    <s v="MMR015010010"/>
    <s v="Nawng Hkam"/>
    <n v="208353"/>
    <x v="56"/>
    <x v="56"/>
    <x v="54"/>
    <n v="23.828150000000001"/>
    <n v="751.8"/>
    <n v="44"/>
    <n v="214"/>
    <n v="4.8636363636363633"/>
    <x v="0"/>
    <x v="0"/>
    <x v="0"/>
    <x v="0"/>
    <x v="13"/>
    <m/>
    <x v="5"/>
    <s v="IP"/>
    <m/>
    <d v="2017-06-29T00:00:00"/>
    <s v="29/Jun/2017: Population update. Data source:KMSS_Lashio/ the same pop data with April._x000a_24/Apr/2017: Population update. Data source:KMSS_Lashio_x000a_14/Feb/2017: Population update. Data source: KMSS_LSO_x000a_10/Jan/2017: Population update. Data source: KMSS_LSO_x000a_27/Oct/2016: Population update. Data source: KMSS_Lashio_x000a_1/Sep/2016: Population update. Data source: KMSS_LSO_x000a_14/Jul/2016: Population update. Data source: KMSS_LSO_x000a_28/Jan/2016. Population update. Data source: KMSS_LSO_x000a_19-Aug-15 (Population update. Source: KMSS-LSO)_x000a_25-Jun-15 (Population update. Source: KMSS-LSO)_x000a_Population update. Changed NGCA to GCA. Source: CCCM Unit"/>
    <s v="P3"/>
    <n v="44"/>
    <m/>
    <n v="44"/>
    <s v="Namhkan Town"/>
    <n v="1.5239325151406049"/>
    <n v="1"/>
  </r>
  <r>
    <x v="1"/>
    <x v="0"/>
    <s v="MMR001"/>
    <s v="Bhamo"/>
    <s v="MMR001D003"/>
    <x v="7"/>
    <s v="MMR001013"/>
    <m/>
    <m/>
    <m/>
    <m/>
    <x v="57"/>
    <x v="57"/>
    <x v="34"/>
    <m/>
    <m/>
    <n v="0"/>
    <n v="0"/>
    <s v="NA"/>
    <x v="0"/>
    <x v="0"/>
    <x v="0"/>
    <x v="1"/>
    <x v="6"/>
    <m/>
    <x v="2"/>
    <s v="IP"/>
    <m/>
    <d v="2014-03-03T00:00:00"/>
    <s v="Closed. Rellocated to Man Win and La Ga Yaung"/>
    <s v=""/>
    <n v="0"/>
    <m/>
    <n v="0"/>
    <s v=""/>
    <s v=""/>
    <s v=""/>
  </r>
  <r>
    <x v="1"/>
    <x v="0"/>
    <s v="MMR001"/>
    <s v="Bhamo"/>
    <s v="MMR001D003"/>
    <x v="7"/>
    <s v="MMR001013"/>
    <m/>
    <m/>
    <m/>
    <m/>
    <x v="58"/>
    <x v="58"/>
    <x v="34"/>
    <m/>
    <m/>
    <n v="0"/>
    <n v="0"/>
    <s v="NA"/>
    <x v="0"/>
    <x v="0"/>
    <x v="1"/>
    <x v="2"/>
    <x v="6"/>
    <m/>
    <x v="2"/>
    <s v="IP"/>
    <m/>
    <d v="2015-03-27T00:00:00"/>
    <s v="27-Mar-15 (Closed. Source: UNHCR-Bhamo)_x000a_New Camp"/>
    <s v="P4"/>
    <n v="0"/>
    <m/>
    <n v="0"/>
    <s v=""/>
    <s v=""/>
    <s v=""/>
  </r>
  <r>
    <x v="1"/>
    <x v="0"/>
    <s v="MMR001"/>
    <s v="Bhamo"/>
    <s v="MMR001D003"/>
    <x v="6"/>
    <s v="MMR001012"/>
    <s v="Tar Li"/>
    <s v="MMR001012021"/>
    <s v="Tar Li"/>
    <n v="167086"/>
    <x v="59"/>
    <x v="59"/>
    <x v="55"/>
    <n v="24.492493"/>
    <m/>
    <m/>
    <m/>
    <s v="NA"/>
    <x v="0"/>
    <x v="0"/>
    <x v="1"/>
    <x v="2"/>
    <x v="6"/>
    <m/>
    <x v="2"/>
    <s v="RRD"/>
    <m/>
    <d v="2017-07-11T00:00:00"/>
    <s v="11/Jul/2017: Change status to Close as no update available since June 2014_x000a_Geo-Info, HH/Pop data was updated from Google Earth."/>
    <s v="P4"/>
    <n v="0"/>
    <m/>
    <n v="0"/>
    <s v="Dawthponeyan  Town"/>
    <n v="14.236592976936194"/>
    <n v="3"/>
  </r>
  <r>
    <x v="0"/>
    <x v="0"/>
    <s v="MMR001"/>
    <s v="Bhamo"/>
    <s v="MMR001D003"/>
    <x v="6"/>
    <s v="MMR001012"/>
    <s v="Myo Thit"/>
    <s v="MMR001012010"/>
    <s v="Myo Thit"/>
    <n v="167048"/>
    <x v="60"/>
    <x v="60"/>
    <x v="56"/>
    <n v="24.404876999999999"/>
    <m/>
    <n v="44"/>
    <n v="143"/>
    <n v="3.25"/>
    <x v="0"/>
    <x v="0"/>
    <x v="1"/>
    <x v="2"/>
    <x v="6"/>
    <m/>
    <x v="2"/>
    <s v="RRD"/>
    <m/>
    <d v="2017-04-07T00:00:00"/>
    <s v="7/April/2017: Population update. Data source: WFP_x000a_Geo-Info, HH/Pop data was updated from Google Earth."/>
    <s v="P4"/>
    <n v="0"/>
    <m/>
    <n v="0"/>
    <s v="Momauk Town"/>
    <n v="17.689123339899055"/>
    <n v="4"/>
  </r>
  <r>
    <x v="0"/>
    <x v="0"/>
    <s v="MMR001"/>
    <s v="Bhamo"/>
    <s v="MMR001D003"/>
    <x v="6"/>
    <s v="MMR001012"/>
    <s v="Man Pon"/>
    <s v="MMR001012001"/>
    <s v="Man Pon"/>
    <n v="167009"/>
    <x v="61"/>
    <x v="61"/>
    <x v="57"/>
    <n v="24.245100000000001"/>
    <m/>
    <n v="265"/>
    <n v="1183"/>
    <n v="4.4641509433962261"/>
    <x v="0"/>
    <x v="0"/>
    <x v="0"/>
    <x v="0"/>
    <x v="9"/>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BC _x000a_19-Aug-2015. Population Update. Data Source; KMSS-BMO_x000a_Population increased. Relocated from Momauk Catholic Church (St. Patrick) - MMR001CMP057"/>
    <s v="P4"/>
    <n v="112"/>
    <m/>
    <n v="112"/>
    <s v="Momauk Town"/>
    <n v="2.4411071835305544"/>
    <n v="1"/>
  </r>
  <r>
    <x v="1"/>
    <x v="0"/>
    <s v="MMR001"/>
    <s v="Bhamo"/>
    <s v="MMR001D003"/>
    <x v="6"/>
    <s v="MMR001012"/>
    <s v="Man Nawng"/>
    <s v="MMR001012014"/>
    <s v="Man Nawng"/>
    <n v="167063"/>
    <x v="62"/>
    <x v="62"/>
    <x v="58"/>
    <n v="24.410008999999999"/>
    <m/>
    <m/>
    <m/>
    <s v="NA"/>
    <x v="0"/>
    <x v="0"/>
    <x v="1"/>
    <x v="2"/>
    <x v="6"/>
    <m/>
    <x v="2"/>
    <s v="RRD"/>
    <m/>
    <d v="2017-07-11T00:00:00"/>
    <s v="11/Jul/17: Change status to Close as no update available."/>
    <s v="P4"/>
    <n v="0"/>
    <m/>
    <n v="0"/>
    <s v="Momauk Town"/>
    <n v="17.282528446236295"/>
    <n v="4"/>
  </r>
  <r>
    <x v="1"/>
    <x v="0"/>
    <s v="MMR001"/>
    <s v="Bhamo"/>
    <s v="MMR001D003"/>
    <x v="6"/>
    <s v="MMR001012"/>
    <s v="Maing Khat"/>
    <s v="MMR001012020"/>
    <s v="Maing Khat"/>
    <n v="167078"/>
    <x v="63"/>
    <x v="63"/>
    <x v="59"/>
    <n v="24.441697000000001"/>
    <m/>
    <m/>
    <m/>
    <s v="NA"/>
    <x v="0"/>
    <x v="0"/>
    <x v="1"/>
    <x v="2"/>
    <x v="6"/>
    <m/>
    <x v="2"/>
    <s v="RRD"/>
    <m/>
    <d v="2017-07-11T00:00:00"/>
    <s v="11/Jul/2017: Change status to Close as no update available since June/2017._x000a_Geo-Info, HH/Pop data was updated from Google Earth."/>
    <s v="P4"/>
    <n v="0"/>
    <m/>
    <n v="0"/>
    <s v="Dawthponeyan  Town"/>
    <n v="19.860265975801305"/>
    <n v="4"/>
  </r>
  <r>
    <x v="1"/>
    <x v="0"/>
    <s v="MMR001"/>
    <s v="Bhamo"/>
    <s v="MMR001D003"/>
    <x v="6"/>
    <s v="MMR001012"/>
    <s v="Hpar Kei (Dawthponeyan Sub-township)"/>
    <s v="MMR001012046"/>
    <s v="Hpar Kei"/>
    <n v="167242"/>
    <x v="64"/>
    <x v="64"/>
    <x v="60"/>
    <n v="24.630859999999998"/>
    <m/>
    <m/>
    <m/>
    <s v="NA"/>
    <x v="0"/>
    <x v="0"/>
    <x v="1"/>
    <x v="2"/>
    <x v="6"/>
    <m/>
    <x v="2"/>
    <s v="RRD"/>
    <m/>
    <d v="2017-07-11T00:00:00"/>
    <s v="11/Jul/2017: Change status to Close as no update available since Jan/2017._x000a_Update from OCHA Data (2 Jan 2014)"/>
    <s v="P4"/>
    <n v="0"/>
    <m/>
    <n v="0"/>
    <s v="Dawthponeyan  Town"/>
    <n v="3.6887624513681017"/>
    <n v="1"/>
  </r>
  <r>
    <x v="0"/>
    <x v="0"/>
    <s v="MMR001"/>
    <s v="Bhamo"/>
    <s v="MMR001D003"/>
    <x v="7"/>
    <s v="MMR001013"/>
    <s v="Mansi Town"/>
    <s v="MMR001013701"/>
    <s v="Kawng Yar Ward"/>
    <s v="MMR001013701504"/>
    <x v="65"/>
    <x v="65"/>
    <x v="61"/>
    <n v="24.129059999999999"/>
    <n v="0"/>
    <n v="194"/>
    <n v="874"/>
    <n v="4.5051546391752577"/>
    <x v="0"/>
    <x v="0"/>
    <x v="0"/>
    <x v="0"/>
    <x v="19"/>
    <n v="2"/>
    <x v="0"/>
    <s v="IP"/>
    <m/>
    <d v="2017-07-03T00:00:00"/>
    <s v="3/Jul/2017: Population update. Data source: KBC_x000a_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2/May/2016. Population update. Data source: KBC_x000a_28/Jan/2016. Population update. Data source: KBC"/>
    <s v="P4"/>
    <n v="89"/>
    <m/>
    <n v="89"/>
    <s v="Mansi Town"/>
    <n v="1.0576516850656514"/>
    <n v="1"/>
  </r>
  <r>
    <x v="0"/>
    <x v="0"/>
    <s v="MMR001"/>
    <s v="Bhamo"/>
    <s v="MMR001D003"/>
    <x v="8"/>
    <s v="MMR001011"/>
    <s v="Shwegu Town"/>
    <s v="MMR001011701"/>
    <s v="Shwegu Town"/>
    <s v="MMR001011701504"/>
    <x v="66"/>
    <x v="66"/>
    <x v="62"/>
    <n v="24.200361000000001"/>
    <n v="0"/>
    <n v="86"/>
    <n v="314"/>
    <n v="3.6511627906976742"/>
    <x v="0"/>
    <x v="0"/>
    <x v="0"/>
    <x v="0"/>
    <x v="1"/>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2015 Update population. Data Source: KBC_x000a_Population update: Source UNHCR-Bhamo"/>
    <s v="P4"/>
    <n v="44"/>
    <m/>
    <n v="44"/>
    <s v="Shwegu Town"/>
    <n v="0.74396039478864395"/>
    <n v="1"/>
  </r>
  <r>
    <x v="0"/>
    <x v="0"/>
    <s v="MMR001"/>
    <s v="Bhamo"/>
    <s v="MMR001D003"/>
    <x v="8"/>
    <s v="MMR001011"/>
    <s v="Shwegu Town"/>
    <s v="MMR001011701"/>
    <s v="Shwegu Town"/>
    <s v="MMR001011701504"/>
    <x v="67"/>
    <x v="67"/>
    <x v="62"/>
    <n v="24.200367"/>
    <m/>
    <n v="43"/>
    <n v="159"/>
    <n v="3.6976744186046511"/>
    <x v="0"/>
    <x v="0"/>
    <x v="0"/>
    <x v="0"/>
    <x v="1"/>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BC _x000a_19 Aug 2015. Update Population. Data Source; KMSS-BMO_x000a_Population update: Source UNHCR-Bhamo"/>
    <s v="P4"/>
    <n v="0"/>
    <m/>
    <n v="0"/>
    <s v="Shwegu Town"/>
    <n v="0.74330366237812662"/>
    <n v="1"/>
  </r>
  <r>
    <x v="0"/>
    <x v="0"/>
    <s v="MMR001"/>
    <s v="Bhamo"/>
    <s v="MMR001D003"/>
    <x v="6"/>
    <s v="MMR001012"/>
    <s v="Lwegel Town"/>
    <s v="MMR001012702"/>
    <s v="Aung Chan Thar Ward"/>
    <s v="MMR001012702503"/>
    <x v="68"/>
    <x v="68"/>
    <x v="63"/>
    <n v="24.205417000000001"/>
    <m/>
    <n v="103"/>
    <n v="495"/>
    <n v="4.8058252427184467"/>
    <x v="0"/>
    <x v="0"/>
    <x v="0"/>
    <x v="0"/>
    <x v="14"/>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BC _x000a_19 Aug 2015. Udate Population. Date Source; KMSS-BMO_x000a_Population update: Source: KMSS-BMO"/>
    <s v="P3"/>
    <n v="36"/>
    <m/>
    <n v="36"/>
    <s v="Lwegel Town"/>
    <n v="0.77978735578277303"/>
    <n v="1"/>
  </r>
  <r>
    <x v="0"/>
    <x v="0"/>
    <s v="MMR001"/>
    <s v="Bhamo"/>
    <s v="MMR001D003"/>
    <x v="6"/>
    <s v="MMR001012"/>
    <s v="Lwegel Town"/>
    <s v="MMR001012702"/>
    <s v="Aung Zay Yar Ward"/>
    <s v="MMR001012702505"/>
    <x v="69"/>
    <x v="69"/>
    <x v="64"/>
    <n v="24.200433"/>
    <n v="0"/>
    <n v="194"/>
    <n v="1071"/>
    <n v="5.5206185567010309"/>
    <x v="0"/>
    <x v="0"/>
    <x v="0"/>
    <x v="0"/>
    <x v="7"/>
    <n v="2"/>
    <x v="0"/>
    <s v="IP"/>
    <m/>
    <d v="2017-07-03T00:00:00"/>
    <s v="3/Jul/2017: Population update. Data source: KBC_x000a_2/June/2017: Population update. Data source: KBC_x000a_3/May/2017: Population update. Data source: KBC_x000a_27/Apr/2017: Population update. Data source: Camp focal point through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2/Dec/2015. Population update. Data source: KBC._x000a_25-Jun-2015 Update population. Data Source: KBC_x000a_Population update: Source: Camp Profile Round 2."/>
    <s v="P3"/>
    <n v="112"/>
    <m/>
    <n v="112"/>
    <s v="Lwegel Town"/>
    <n v="0.38934692601696641"/>
    <n v="1"/>
  </r>
  <r>
    <x v="0"/>
    <x v="0"/>
    <s v="MMR001"/>
    <s v="Bhamo"/>
    <s v="MMR001D003"/>
    <x v="6"/>
    <s v="MMR001012"/>
    <s v="Lwegel Town"/>
    <s v="MMR001012702"/>
    <s v="Aung Chan Thar Ward"/>
    <s v="MMR001012702503"/>
    <x v="70"/>
    <x v="70"/>
    <x v="65"/>
    <n v="24.200972"/>
    <m/>
    <n v="39"/>
    <n v="234"/>
    <n v="6"/>
    <x v="0"/>
    <x v="0"/>
    <x v="0"/>
    <x v="0"/>
    <x v="9"/>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2015 Update population. Data Source: KBC_x000a_Population update: Source: Camp Profile Round 2."/>
    <s v="P3"/>
    <n v="0"/>
    <m/>
    <n v="0"/>
    <s v="Lwegel Town"/>
    <n v="0.28829825866869707"/>
    <n v="1"/>
  </r>
  <r>
    <x v="0"/>
    <x v="0"/>
    <s v="MMR001"/>
    <s v="Bhamo"/>
    <s v="MMR001D003"/>
    <x v="6"/>
    <s v="MMR001012"/>
    <s v="Lwegel Town"/>
    <s v="MMR001012039"/>
    <s v="Aung Zay Yar Ward"/>
    <s v="MMR001012702505"/>
    <x v="71"/>
    <x v="71"/>
    <x v="66"/>
    <n v="24.205417000000001"/>
    <n v="0"/>
    <n v="49"/>
    <n v="300"/>
    <n v="6.1224489795918364"/>
    <x v="0"/>
    <x v="0"/>
    <x v="0"/>
    <x v="0"/>
    <x v="18"/>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2015 Update population. Data Source: KBC_x000a_Population update: Source: Camp Profile Round 2."/>
    <s v="P3"/>
    <n v="4"/>
    <m/>
    <n v="4"/>
    <s v="Lwegel Town"/>
    <n v="0.77561767807574999"/>
    <n v="1"/>
  </r>
  <r>
    <x v="0"/>
    <x v="0"/>
    <s v="MMR001"/>
    <s v="Bhamo"/>
    <s v="MMR001D003"/>
    <x v="6"/>
    <s v="MMR001012"/>
    <s v="Lwegel Town"/>
    <s v="MMR001012702"/>
    <s v="Saing Gyar Ward"/>
    <s v="MMR001012702506"/>
    <x v="72"/>
    <x v="72"/>
    <x v="67"/>
    <n v="24.207332999999998"/>
    <n v="0"/>
    <n v="41"/>
    <n v="245"/>
    <n v="5.975609756097561"/>
    <x v="0"/>
    <x v="0"/>
    <x v="0"/>
    <x v="0"/>
    <x v="18"/>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2015 Update population. Data Source: KBC_x000a_Population update: Source: Camp Profile Round 2."/>
    <s v="P3"/>
    <n v="1"/>
    <m/>
    <n v="1"/>
    <s v="Lwegel Town"/>
    <n v="1.343152344964242"/>
    <n v="1"/>
  </r>
  <r>
    <x v="1"/>
    <x v="0"/>
    <s v="MMR001"/>
    <s v="Bhamo"/>
    <s v="MMR001D003"/>
    <x v="7"/>
    <s v="MMR001013"/>
    <m/>
    <m/>
    <m/>
    <m/>
    <x v="73"/>
    <x v="73"/>
    <x v="34"/>
    <m/>
    <m/>
    <n v="0"/>
    <n v="0"/>
    <s v="NA"/>
    <x v="0"/>
    <x v="0"/>
    <x v="0"/>
    <x v="1"/>
    <x v="6"/>
    <m/>
    <x v="2"/>
    <s v="IP"/>
    <m/>
    <d v="2014-03-03T00:00:00"/>
    <s v="Closed. Rellocated to Man Win and La Ga Yaung"/>
    <s v=""/>
    <n v="0"/>
    <m/>
    <n v="0"/>
    <s v=""/>
    <s v=""/>
    <s v=""/>
  </r>
  <r>
    <x v="0"/>
    <x v="0"/>
    <s v="MMR001"/>
    <s v="Puta-O"/>
    <s v="MMR001D004"/>
    <x v="9"/>
    <s v="MMR001014"/>
    <s v="Puta-O Town"/>
    <s v="MMR001014701"/>
    <s v="Doke Tan Ward"/>
    <s v="MMR001014701509"/>
    <x v="74"/>
    <x v="74"/>
    <x v="68"/>
    <n v="27.311699999999998"/>
    <n v="476.7"/>
    <n v="14"/>
    <n v="75"/>
    <n v="5.3571428571428568"/>
    <x v="0"/>
    <x v="0"/>
    <x v="1"/>
    <x v="2"/>
    <x v="6"/>
    <m/>
    <x v="2"/>
    <s v="IP"/>
    <m/>
    <d v="2017-05-19T00:00:00"/>
    <s v="19/May/2017: Population update. Data source: Shelter Associate (UNHCR)_x000a_Changed Camp to Host Families. Source: Camp Profile Questionnaire."/>
    <s v="P3"/>
    <n v="0"/>
    <m/>
    <n v="0"/>
    <s v="Puta-O Town"/>
    <n v="1.3759254000531889"/>
    <n v="1"/>
  </r>
  <r>
    <x v="0"/>
    <x v="0"/>
    <s v="MMR001"/>
    <s v="Mohnyin"/>
    <s v="MMR001D002"/>
    <x v="10"/>
    <s v="MMR001008"/>
    <s v="Nawng Kaing Htaw"/>
    <s v="MMR001008002"/>
    <s v="Ma Haung"/>
    <n v="166676"/>
    <x v="75"/>
    <x v="75"/>
    <x v="69"/>
    <n v="25.296579999999999"/>
    <n v="0"/>
    <n v="15"/>
    <n v="72"/>
    <n v="4.8"/>
    <x v="0"/>
    <x v="0"/>
    <x v="0"/>
    <x v="0"/>
    <x v="9"/>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Update population from KBC._x000a_25-Jun-2015 Update population. Data Source: KBC_x000a_Checked with KBC data"/>
    <s v="P4"/>
    <n v="5"/>
    <m/>
    <n v="5"/>
    <s v="Mogaung Town"/>
    <n v="0.71141459237180937"/>
    <n v="1"/>
  </r>
  <r>
    <x v="0"/>
    <x v="0"/>
    <s v="MMR001"/>
    <s v="Mohnyin"/>
    <s v="MMR001D002"/>
    <x v="10"/>
    <s v="MMR001008"/>
    <s v="Mogaung Town"/>
    <s v="MMR001008701"/>
    <s v="Kyun Taw Ward"/>
    <s v="MMR001008701510"/>
    <x v="76"/>
    <x v="76"/>
    <x v="70"/>
    <n v="25.305669999999999"/>
    <n v="470"/>
    <n v="13"/>
    <n v="66"/>
    <n v="5.0769230769230766"/>
    <x v="0"/>
    <x v="0"/>
    <x v="0"/>
    <x v="0"/>
    <x v="9"/>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Update population from KBC._x000a_25-Jun-2015 Update population. Data Source: KBC_x000a_Checked with KBC data"/>
    <s v="P4"/>
    <n v="0"/>
    <m/>
    <n v="0"/>
    <s v="Mogaung Town"/>
    <n v="1.815139598767344"/>
    <n v="1"/>
  </r>
  <r>
    <x v="0"/>
    <x v="0"/>
    <s v="MMR001"/>
    <s v="Mohnyin"/>
    <s v="MMR001D002"/>
    <x v="10"/>
    <s v="MMR001008"/>
    <s v="Mogaung Town"/>
    <s v="MMR001008701"/>
    <s v="Nat Gyi Kone Ward"/>
    <s v="MMR001008701506"/>
    <x v="77"/>
    <x v="77"/>
    <x v="71"/>
    <n v="25.30442"/>
    <n v="100"/>
    <n v="12"/>
    <n v="47"/>
    <n v="3.9166666666666665"/>
    <x v="0"/>
    <x v="0"/>
    <x v="0"/>
    <x v="0"/>
    <x v="20"/>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19-Aug-15 Update population. Data Source: KBC._x000a_25-Jun-2015 Update population. Data Source: KBC_x000a_Update population according to KBC data"/>
    <s v="P4"/>
    <n v="0"/>
    <m/>
    <n v="0"/>
    <s v="Mogaung Town"/>
    <n v="0.86042374061342075"/>
    <n v="1"/>
  </r>
  <r>
    <x v="0"/>
    <x v="0"/>
    <s v="MMR001"/>
    <s v="Mohnyin"/>
    <s v="MMR001D002"/>
    <x v="11"/>
    <s v="MMR001007"/>
    <s v="Mohnyin Town"/>
    <s v="MMR001007701"/>
    <s v="Aung Tha Pyay Ward"/>
    <s v="MMR001007701505"/>
    <x v="78"/>
    <x v="78"/>
    <x v="72"/>
    <n v="24.764800000000001"/>
    <m/>
    <n v="11"/>
    <n v="57"/>
    <n v="5.1818181818181817"/>
    <x v="0"/>
    <x v="0"/>
    <x v="0"/>
    <x v="0"/>
    <x v="15"/>
    <m/>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_x000a_2/Dec/2015 (Population update. Data source: Monthly report by KMSS_MYT). Reasons for population changes; travelling from the camp for daily worker._x000a_2-Oct-15 (Population update. Data Source: Monthly report by KMSS-MYT)_x000a_19-Aug-15 (Population updata. Data Source: KMSS-MYT)_x000a_25-Jun-15 (Population update. Source KMSS-MYT)_x000a_Population Update. Source: KMSS-MYT"/>
    <s v="P4"/>
    <n v="0"/>
    <m/>
    <n v="0"/>
    <s v="Mohnyin Town"/>
    <n v="1.7021273757523427"/>
    <n v="1"/>
  </r>
  <r>
    <x v="1"/>
    <x v="0"/>
    <s v="MMR001"/>
    <s v="Mohnyin"/>
    <s v="MMR001D002"/>
    <x v="1"/>
    <s v="MMR001009"/>
    <s v="Nawng Mi"/>
    <s v="MMR001009008"/>
    <s v="Nawng Myi"/>
    <n v="166817"/>
    <x v="79"/>
    <x v="79"/>
    <x v="73"/>
    <n v="25.728653000000001"/>
    <m/>
    <m/>
    <m/>
    <s v="NA"/>
    <x v="0"/>
    <x v="0"/>
    <x v="0"/>
    <x v="2"/>
    <x v="6"/>
    <n v="1"/>
    <x v="1"/>
    <s v="IP"/>
    <m/>
    <d v="2015-04-02T00:00:00"/>
    <s v="19-Aug-15 Closed. IDP were provided with individual lands within Naung Hmee village and transit toward semi-permanent settlement. Source: CCCM Unit_x000a_2-Apr-15 (Population update, Source: UNHCR CCCM Mission)_x000a_Population update: Source: Camp Profile Round 2."/>
    <s v="P4"/>
    <n v="0"/>
    <m/>
    <n v="0"/>
    <s v="Kamaing Town"/>
    <n v="23.222739740353646"/>
    <n v="5"/>
  </r>
  <r>
    <x v="1"/>
    <x v="0"/>
    <s v="MMR001"/>
    <s v="Mohnyin"/>
    <s v="MMR001D002"/>
    <x v="1"/>
    <s v="MMR001009"/>
    <s v="Lone Khin"/>
    <s v="MMR001009001"/>
    <s v="Ma Sut Yang"/>
    <n v="216880"/>
    <x v="80"/>
    <x v="80"/>
    <x v="74"/>
    <n v="25.668469999999999"/>
    <n v="256"/>
    <m/>
    <m/>
    <s v="NA"/>
    <x v="0"/>
    <x v="0"/>
    <x v="0"/>
    <x v="2"/>
    <x v="21"/>
    <m/>
    <x v="2"/>
    <s v="RRD"/>
    <m/>
    <d v="2014-05-15T00:00:00"/>
    <s v="Only one HH left, included in Lon Khin Baptist distribution list."/>
    <s v=""/>
    <n v="0"/>
    <m/>
    <n v="0"/>
    <s v=""/>
    <s v=""/>
    <s v=""/>
  </r>
  <r>
    <x v="1"/>
    <x v="0"/>
    <s v="MMR001"/>
    <s v="Myitkyina"/>
    <s v="MMR001D001"/>
    <x v="2"/>
    <s v="MMR001002"/>
    <s v="Saga Pa (Sadung Sub-township)"/>
    <m/>
    <m/>
    <m/>
    <x v="81"/>
    <x v="81"/>
    <x v="75"/>
    <n v="25.273333000000001"/>
    <m/>
    <n v="0"/>
    <n v="0"/>
    <s v="NA"/>
    <x v="1"/>
    <x v="0"/>
    <x v="0"/>
    <x v="1"/>
    <x v="6"/>
    <m/>
    <x v="2"/>
    <m/>
    <m/>
    <m/>
    <m/>
    <s v=""/>
    <n v="0"/>
    <m/>
    <n v="0"/>
    <s v=""/>
    <s v=""/>
    <s v=""/>
  </r>
  <r>
    <x v="1"/>
    <x v="0"/>
    <s v="MMR001"/>
    <s v="Bhamo"/>
    <s v="MMR001D003"/>
    <x v="7"/>
    <s v="MMR001013"/>
    <s v="Dum Buk"/>
    <s v="MMR001013014"/>
    <s v="Dum Buk"/>
    <n v="167343"/>
    <x v="82"/>
    <x v="82"/>
    <x v="76"/>
    <n v="24.000250000000001"/>
    <m/>
    <m/>
    <m/>
    <s v="NA"/>
    <x v="1"/>
    <x v="0"/>
    <x v="0"/>
    <x v="2"/>
    <x v="3"/>
    <m/>
    <x v="4"/>
    <s v="IP"/>
    <m/>
    <d v="2016-09-16T00:00:00"/>
    <s v="16/Sep/2016: Changes camp status. Actually it was not closed. It was combined as one camp with Bum Tsit Pa. Data source: KMSS_Bhamo._x000a_28/Jan/2016. Population update. Data source: KBC_x000a_Population Update. Source: Save The Children."/>
    <s v="P2"/>
    <n v="0"/>
    <m/>
    <n v="0"/>
    <s v="Namhkan Town"/>
    <n v="19.631786732140053"/>
    <n v="4"/>
  </r>
  <r>
    <x v="1"/>
    <x v="0"/>
    <s v="MMR001"/>
    <s v="Mohnyin"/>
    <s v="MMR001D002"/>
    <x v="1"/>
    <s v="MMR001009"/>
    <m/>
    <m/>
    <m/>
    <m/>
    <x v="83"/>
    <x v="83"/>
    <x v="34"/>
    <m/>
    <m/>
    <m/>
    <m/>
    <s v="NA"/>
    <x v="0"/>
    <x v="0"/>
    <x v="0"/>
    <x v="1"/>
    <x v="6"/>
    <m/>
    <x v="2"/>
    <m/>
    <m/>
    <m/>
    <s v=" "/>
    <s v=""/>
    <n v="0"/>
    <m/>
    <n v="0"/>
    <s v=""/>
    <s v=""/>
    <s v=""/>
  </r>
  <r>
    <x v="1"/>
    <x v="0"/>
    <s v="MMR001"/>
    <s v="Bhamo"/>
    <s v="MMR001D003"/>
    <x v="5"/>
    <s v="MMR001010"/>
    <m/>
    <m/>
    <m/>
    <m/>
    <x v="84"/>
    <x v="84"/>
    <x v="34"/>
    <m/>
    <m/>
    <n v="0"/>
    <n v="0"/>
    <s v="NA"/>
    <x v="0"/>
    <x v="0"/>
    <x v="1"/>
    <x v="1"/>
    <x v="6"/>
    <m/>
    <x v="2"/>
    <m/>
    <s v="Estimation"/>
    <d v="2014-01-27T00:00:00"/>
    <s v="Closed : Source, OCHA"/>
    <s v=""/>
    <n v="0"/>
    <m/>
    <n v="0"/>
    <s v=""/>
    <s v=""/>
    <s v=""/>
  </r>
  <r>
    <x v="1"/>
    <x v="0"/>
    <s v="MMR001"/>
    <s v="Mohnyin"/>
    <s v="MMR001D002"/>
    <x v="1"/>
    <s v="MMR001009"/>
    <s v="Seik Mu"/>
    <s v="MMR001009003"/>
    <s v="Seik Mu"/>
    <n v="166783"/>
    <x v="85"/>
    <x v="85"/>
    <x v="34"/>
    <m/>
    <m/>
    <m/>
    <m/>
    <s v="NA"/>
    <x v="0"/>
    <x v="0"/>
    <x v="0"/>
    <x v="2"/>
    <x v="6"/>
    <m/>
    <x v="2"/>
    <s v="IP"/>
    <m/>
    <d v="2014-05-15T00:00:00"/>
    <s v="Closed."/>
    <s v=""/>
    <n v="0"/>
    <m/>
    <n v="0"/>
    <s v=""/>
    <s v=""/>
    <s v=""/>
  </r>
  <r>
    <x v="1"/>
    <x v="0"/>
    <s v="MMR001"/>
    <s v="Mohnyin"/>
    <s v="MMR001D002"/>
    <x v="1"/>
    <s v="MMR001009"/>
    <s v="Seik Mu"/>
    <s v="MMR001009003"/>
    <s v="Seik Mu"/>
    <n v="166783"/>
    <x v="86"/>
    <x v="86"/>
    <x v="34"/>
    <m/>
    <m/>
    <m/>
    <m/>
    <s v="NA"/>
    <x v="0"/>
    <x v="0"/>
    <x v="0"/>
    <x v="1"/>
    <x v="6"/>
    <m/>
    <x v="2"/>
    <s v="RRD"/>
    <m/>
    <d v="2014-01-24T00:00:00"/>
    <s v="UNOCHA"/>
    <s v=""/>
    <n v="0"/>
    <m/>
    <n v="0"/>
    <s v=""/>
    <s v=""/>
    <s v=""/>
  </r>
  <r>
    <x v="0"/>
    <x v="0"/>
    <s v="MMR001"/>
    <s v="Mohnyin"/>
    <s v="MMR001D002"/>
    <x v="1"/>
    <s v="MMR001009"/>
    <s v="Hpakan Town"/>
    <s v="MMR001009701"/>
    <s v="Maw Wam Ward"/>
    <s v="MMR001009701501"/>
    <x v="87"/>
    <x v="87"/>
    <x v="77"/>
    <n v="25.6145"/>
    <n v="65"/>
    <n v="4"/>
    <n v="14"/>
    <n v="3.5"/>
    <x v="0"/>
    <x v="0"/>
    <x v="0"/>
    <x v="0"/>
    <x v="18"/>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25-Jun-15 (Population update. Source : Shalom)_x000a_Population update: Source: Camp Profile Round 2."/>
    <s v="P4"/>
    <n v="0"/>
    <m/>
    <n v="0"/>
    <s v="Hpakant Town"/>
    <n v="0.79577754007276646"/>
    <n v="1"/>
  </r>
  <r>
    <x v="0"/>
    <x v="1"/>
    <s v="MMR015"/>
    <s v="Muse"/>
    <s v="MMR015D002"/>
    <x v="3"/>
    <s v="MMR015010"/>
    <s v="Nawng Hkam"/>
    <s v="MMR015010010"/>
    <s v="Nawng Hkam"/>
    <n v="208353"/>
    <x v="88"/>
    <x v="88"/>
    <x v="78"/>
    <n v="23.821380000000001"/>
    <n v="811.6"/>
    <n v="74"/>
    <n v="387"/>
    <n v="5.2297297297297298"/>
    <x v="0"/>
    <x v="0"/>
    <x v="0"/>
    <x v="0"/>
    <x v="22"/>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Population Update. Source: Save The Children."/>
    <s v="P3"/>
    <n v="0"/>
    <m/>
    <n v="0"/>
    <s v="Namhkan Town"/>
    <n v="1.7369508287203668"/>
    <n v="1"/>
  </r>
  <r>
    <x v="1"/>
    <x v="1"/>
    <s v="MMR015"/>
    <s v="Muse"/>
    <s v="MMR015D002"/>
    <x v="12"/>
    <s v="MMR015009"/>
    <s v="Mung Baw "/>
    <s v="MMR015009013"/>
    <s v="Mung Baw "/>
    <m/>
    <x v="89"/>
    <x v="89"/>
    <x v="79"/>
    <n v="24.008452999999999"/>
    <n v="3396"/>
    <m/>
    <m/>
    <s v="NA"/>
    <x v="1"/>
    <x v="0"/>
    <x v="1"/>
    <x v="2"/>
    <x v="6"/>
    <m/>
    <x v="2"/>
    <s v="IRRC"/>
    <m/>
    <d v="2017-04-06T00:00:00"/>
    <s v="6/April/2017: Changed the camp stutas as &quot;Closed&quot;. Data source CCCM and comfirmed by partner (KBC). And it was updated since 3/March/2017_x000a_Change to Host Families."/>
    <s v="P1"/>
    <n v="0"/>
    <m/>
    <n v="0"/>
    <s v="Pang Hseng (Kyu Koke) Town"/>
    <n v="7.490291417449443"/>
    <n v="2"/>
  </r>
  <r>
    <x v="1"/>
    <x v="0"/>
    <s v="MMR001"/>
    <s v="Myitkyina"/>
    <s v="MMR001D001"/>
    <x v="4"/>
    <s v="MMR001005"/>
    <m/>
    <m/>
    <m/>
    <m/>
    <x v="90"/>
    <x v="90"/>
    <x v="34"/>
    <m/>
    <m/>
    <m/>
    <m/>
    <s v="NA"/>
    <x v="0"/>
    <x v="0"/>
    <x v="0"/>
    <x v="2"/>
    <x v="6"/>
    <m/>
    <x v="3"/>
    <s v="IP"/>
    <m/>
    <d v="2015-04-02T00:00:00"/>
    <s v="2-Apr-15 (Closed. Source: GAD)_x000a_Responsible Agency update. KMSS-BMO to KMSS-MYT."/>
    <s v="P1"/>
    <n v="0"/>
    <m/>
    <n v="0"/>
    <s v=""/>
    <s v=""/>
    <s v=""/>
  </r>
  <r>
    <x v="0"/>
    <x v="1"/>
    <s v="MMR015"/>
    <s v="Muse"/>
    <s v="MMR015D002"/>
    <x v="13"/>
    <s v="MMR015011"/>
    <s v="Long Waun Nam Rein (Tarmoenye Sub-township)"/>
    <s v="MMR015011050"/>
    <s v="Mai Pong (Shu See)"/>
    <n v="219842"/>
    <x v="91"/>
    <x v="91"/>
    <x v="80"/>
    <n v="23.400155999999999"/>
    <n v="3109"/>
    <n v="46"/>
    <n v="252"/>
    <n v="5.4782608695652177"/>
    <x v="0"/>
    <x v="0"/>
    <x v="0"/>
    <x v="2"/>
    <x v="23"/>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27-Mar-15 (Changed to GCA. Source UNHCR-Bhamo)_x000a_Update population. Source: Camp Profile."/>
    <s v="P1"/>
    <n v="41"/>
    <m/>
    <n v="41"/>
    <s v="Tarmoenye Town"/>
    <n v="23.172399462804503"/>
    <n v="5"/>
  </r>
  <r>
    <x v="1"/>
    <x v="0"/>
    <s v="MMR001"/>
    <s v="Mohnyin"/>
    <s v="MMR001D002"/>
    <x v="1"/>
    <s v="MMR001009"/>
    <s v="Hpakan Town"/>
    <s v="MMR001009701"/>
    <s v="Maw Wam Ward"/>
    <s v="MMR001009701501"/>
    <x v="92"/>
    <x v="92"/>
    <x v="34"/>
    <m/>
    <m/>
    <n v="0"/>
    <n v="0"/>
    <s v="NA"/>
    <x v="0"/>
    <x v="0"/>
    <x v="0"/>
    <x v="1"/>
    <x v="6"/>
    <m/>
    <x v="2"/>
    <m/>
    <m/>
    <m/>
    <m/>
    <s v=""/>
    <n v="0"/>
    <m/>
    <n v="0"/>
    <s v=""/>
    <s v=""/>
    <s v=""/>
  </r>
  <r>
    <x v="0"/>
    <x v="1"/>
    <s v="MMR015"/>
    <s v="Muse"/>
    <s v="MMR015D002"/>
    <x v="13"/>
    <s v="MMR015011"/>
    <s v="Nam Hpat Kar"/>
    <s v="MMR015011020"/>
    <s v="Nam Hpat Kar (Ho Pon + Pang Sa Lorp)"/>
    <n v="208696"/>
    <x v="93"/>
    <x v="93"/>
    <x v="81"/>
    <n v="23.694130000000001"/>
    <n v="1135.7"/>
    <n v="63"/>
    <n v="279"/>
    <n v="4.4285714285714288"/>
    <x v="0"/>
    <x v="0"/>
    <x v="0"/>
    <x v="2"/>
    <x v="13"/>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Update population. Source: Camp Profile."/>
    <s v="P3"/>
    <n v="37"/>
    <m/>
    <n v="37"/>
    <s v="Namhkan Town"/>
    <n v="21.148671772283631"/>
    <n v="5"/>
  </r>
  <r>
    <x v="1"/>
    <x v="0"/>
    <s v="MMR001"/>
    <s v="Bhamo"/>
    <s v="MMR001D003"/>
    <x v="7"/>
    <s v="MMR001013"/>
    <m/>
    <m/>
    <m/>
    <m/>
    <x v="94"/>
    <x v="94"/>
    <x v="34"/>
    <m/>
    <m/>
    <n v="0"/>
    <n v="0"/>
    <s v="NA"/>
    <x v="0"/>
    <x v="0"/>
    <x v="2"/>
    <x v="1"/>
    <x v="6"/>
    <m/>
    <x v="2"/>
    <s v="IP"/>
    <m/>
    <d v="2014-02-07T00:00:00"/>
    <s v="Source OCHA"/>
    <s v=""/>
    <n v="0"/>
    <m/>
    <n v="0"/>
    <s v=""/>
    <s v=""/>
    <s v=""/>
  </r>
  <r>
    <x v="0"/>
    <x v="1"/>
    <s v="MMR015"/>
    <s v="Kyaukme"/>
    <s v="MMR015D003"/>
    <x v="14"/>
    <s v="MMR015019"/>
    <s v="Urban"/>
    <s v="MMR015019701"/>
    <s v="No (2) Ward"/>
    <s v="MMR015019701503"/>
    <x v="95"/>
    <x v="95"/>
    <x v="82"/>
    <n v="23.250678000000001"/>
    <n v="1250"/>
    <n v="35"/>
    <n v="178"/>
    <n v="5.0857142857142854"/>
    <x v="0"/>
    <x v="0"/>
    <x v="0"/>
    <x v="0"/>
    <x v="7"/>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5-Jun-15 Population update. Source: KBC_x000a_Changed NGCA to GCA. Source: CCCM Unit"/>
    <s v="P2"/>
    <n v="0"/>
    <m/>
    <n v="0"/>
    <s v="Manton Town"/>
    <n v="0.43878855438285824"/>
    <n v="1"/>
  </r>
  <r>
    <x v="1"/>
    <x v="1"/>
    <s v="MMR015"/>
    <s v="Muse"/>
    <s v="MMR015D003"/>
    <x v="12"/>
    <s v="MMR015019"/>
    <s v="Man Pying (Pang Hseng (Kyu Koke)) Sub-township"/>
    <s v="MMR015009038"/>
    <s v="Hawwa"/>
    <m/>
    <x v="96"/>
    <x v="96"/>
    <x v="83"/>
    <n v="23.917631"/>
    <m/>
    <m/>
    <m/>
    <s v="NA"/>
    <x v="0"/>
    <x v="0"/>
    <x v="1"/>
    <x v="2"/>
    <x v="6"/>
    <m/>
    <x v="2"/>
    <s v="IP"/>
    <m/>
    <d v="2017-04-06T00:00:00"/>
    <s v="6/Apr/2017: Changed the camp status as &quot;Closed&quot;. Data source: CCCM and comfirmed by partner (KBC). And it was updated since 3/Mar/2014._x000a_Change to Host Families."/>
    <s v="P3"/>
    <n v="0"/>
    <m/>
    <n v="0"/>
    <s v="Pang Hseng (Kyu Koke) Town"/>
    <n v="18.405283544772924"/>
    <n v="4"/>
  </r>
  <r>
    <x v="1"/>
    <x v="0"/>
    <s v="MMR001"/>
    <s v="Bhamo"/>
    <s v="MMR001D003"/>
    <x v="5"/>
    <s v="MMR001010"/>
    <m/>
    <m/>
    <m/>
    <m/>
    <x v="97"/>
    <x v="97"/>
    <x v="84"/>
    <n v="24.262418020999998"/>
    <m/>
    <m/>
    <m/>
    <s v="NA"/>
    <x v="0"/>
    <x v="0"/>
    <x v="0"/>
    <x v="1"/>
    <x v="6"/>
    <m/>
    <x v="2"/>
    <s v="IP"/>
    <m/>
    <d v="2014-01-22T00:00:00"/>
    <s v="Closed: Source UNHCR-Bhamo"/>
    <s v=""/>
    <n v="0"/>
    <m/>
    <n v="0"/>
    <s v=""/>
    <s v=""/>
    <s v=""/>
  </r>
  <r>
    <x v="1"/>
    <x v="1"/>
    <s v="MMR015"/>
    <s v="Muse"/>
    <s v="MMR015D003"/>
    <x v="12"/>
    <s v="MMR015019"/>
    <s v="Mone Paw Nam Chet (Zay) (Pang Hseng (Kyu Koke)) Sub-township"/>
    <s v="MMR015009033"/>
    <s v="Mone Paw Nam Chet"/>
    <n v="208167"/>
    <x v="98"/>
    <x v="98"/>
    <x v="85"/>
    <n v="23.978088"/>
    <m/>
    <m/>
    <m/>
    <s v="NA"/>
    <x v="0"/>
    <x v="0"/>
    <x v="1"/>
    <x v="2"/>
    <x v="6"/>
    <m/>
    <x v="2"/>
    <s v="IP"/>
    <m/>
    <d v="2017-04-06T00:00:00"/>
    <s v="6/Apr/2017: Changed the camp status as &quot;Closed&quot;. Data source: CCCM and comfirmed by partner (KBC). And it was updated since 3/Mar/2014._x000a_Change to Host Families."/>
    <s v="P3"/>
    <n v="0"/>
    <m/>
    <n v="0"/>
    <s v="Pang Hseng (Kyu Koke) Town"/>
    <n v="12.794700705104317"/>
    <n v="3"/>
  </r>
  <r>
    <x v="0"/>
    <x v="0"/>
    <s v="MMR001"/>
    <s v="Mohnyin"/>
    <s v="MMR001D002"/>
    <x v="1"/>
    <s v="MMR001009"/>
    <s v="Nam Ma Hpyit"/>
    <s v="MMR001009002"/>
    <s v="Nam Ma Hpyit"/>
    <n v="166776"/>
    <x v="99"/>
    <x v="99"/>
    <x v="86"/>
    <n v="25.613894999999999"/>
    <n v="251"/>
    <n v="50"/>
    <n v="218"/>
    <n v="4.3600000000000003"/>
    <x v="0"/>
    <x v="0"/>
    <x v="0"/>
    <x v="0"/>
    <x v="24"/>
    <n v="3"/>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3-Oct-15 (Population update. Data source: Monthly report by KMSS-MYT). Reason for changes; Travelling from the camp for Daily Worker._x000a_2-Oct-15 (Population update. Data Source: Monthly report by KMSS-MYT)_x000a_25-Jun-15 (Population update. Source: KMSS-MYT)_x000a_18-May-15 (Population update from field mission)_x000a_2-Apr-15 (Population update, Source: UNHCR CCCM Mission)"/>
    <s v="P4"/>
    <n v="0"/>
    <m/>
    <n v="0"/>
    <s v="Hpakant Town"/>
    <n v="2.9334852607184256"/>
    <n v="1"/>
  </r>
  <r>
    <x v="1"/>
    <x v="1"/>
    <s v="MMR015"/>
    <s v="Muse"/>
    <s v="MMR015D002"/>
    <x v="12"/>
    <s v="MMR015009"/>
    <s v="Man Gyat (Monekoe Sub-township)"/>
    <s v="MMR015009048"/>
    <s v="Gwum Hsan"/>
    <m/>
    <x v="100"/>
    <x v="100"/>
    <x v="87"/>
    <n v="24.101320999999999"/>
    <n v="2979"/>
    <m/>
    <m/>
    <s v="NA"/>
    <x v="1"/>
    <x v="0"/>
    <x v="0"/>
    <x v="0"/>
    <x v="25"/>
    <n v="1"/>
    <x v="0"/>
    <s v="IP"/>
    <m/>
    <d v="2016-06-15T00:00:00"/>
    <s v="Camp Closed. Updated on 15 Jun 2016. Data source: Camp Profiling Data from KBC (Our NSS KBC-ERC team confirmed that Munekoe Pa camp has been closed regarding to their request. )_x000a_12/May/2016. Population update. Data source: KBC_x000a_28/Jan/2016. Population update. Data source: KBC (mail by maran)_x000a_2/Dec/2015. Population update. Data source: KBC_x000a_25-Jun-15 Population update. Source: KBC_x000a_Update population. Source: Camp Profile."/>
    <s v="P1"/>
    <n v="0"/>
    <m/>
    <n v="0"/>
    <s v="Monekoe Town"/>
    <n v="1.789574394782699"/>
    <n v="1"/>
  </r>
  <r>
    <x v="0"/>
    <x v="0"/>
    <s v="MMR001"/>
    <s v="Mohnyin"/>
    <s v="MMR001D002"/>
    <x v="1"/>
    <s v="MMR001009"/>
    <s v="Nam Ma Hpyit"/>
    <s v="MMR001009002"/>
    <s v="Nam Ma Hpyit"/>
    <n v="166776"/>
    <x v="101"/>
    <x v="101"/>
    <x v="88"/>
    <n v="25.599250000000001"/>
    <n v="0"/>
    <n v="11"/>
    <n v="48"/>
    <n v="4.3636363636363633"/>
    <x v="0"/>
    <x v="0"/>
    <x v="0"/>
    <x v="0"/>
    <x v="18"/>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14-Oct-15 Population update. Soruce; Hpakant Mission Report_WFP_x000a_25-Jun-15 Population update. Source: KBC_x000a_2-Apr-15 (Population update, Source: UNHCR CCCM Mission)_x000a_Update population according to KBC data."/>
    <s v="P4"/>
    <n v="1"/>
    <m/>
    <n v="1"/>
    <s v="Hpakant Town"/>
    <n v="1.5942018764815451"/>
    <n v="1"/>
  </r>
  <r>
    <x v="1"/>
    <x v="0"/>
    <s v="MMR001"/>
    <s v="Puta-O"/>
    <s v="MMR001D004"/>
    <x v="15"/>
    <s v="MMR001018"/>
    <s v="La Ja Ga"/>
    <s v="MMR001018021"/>
    <s v="La Ja"/>
    <n v="168236"/>
    <x v="102"/>
    <x v="102"/>
    <x v="89"/>
    <n v="26.890058"/>
    <n v="1393"/>
    <m/>
    <m/>
    <s v="NA"/>
    <x v="0"/>
    <x v="0"/>
    <x v="0"/>
    <x v="2"/>
    <x v="6"/>
    <m/>
    <x v="2"/>
    <s v="RRD"/>
    <m/>
    <d v="2017-02-02T00:00:00"/>
    <s v="Closed Camp_x000a_Update data from OCHA IDPs List"/>
    <s v="P4"/>
    <n v="0"/>
    <m/>
    <n v="0"/>
    <s v="Khaunglanhpu Town"/>
    <n v="28.422357500443528"/>
    <n v="6"/>
  </r>
  <r>
    <x v="1"/>
    <x v="0"/>
    <s v="MMR001"/>
    <s v="Bhamo"/>
    <s v="MMR001D003"/>
    <x v="7"/>
    <s v="MMR001013"/>
    <s v="Man Mawn"/>
    <s v="MMR001013022"/>
    <m/>
    <m/>
    <x v="103"/>
    <x v="103"/>
    <x v="90"/>
    <n v="23.867713999999999"/>
    <n v="755"/>
    <n v="0"/>
    <n v="0"/>
    <s v="NA"/>
    <x v="1"/>
    <x v="0"/>
    <x v="0"/>
    <x v="2"/>
    <x v="26"/>
    <n v="2"/>
    <x v="4"/>
    <s v="IP"/>
    <m/>
    <d v="2014-06-21T00:00:00"/>
    <s v="Closed. Source: Save The Children"/>
    <s v="P4"/>
    <n v="0"/>
    <m/>
    <n v="0"/>
    <s v=""/>
    <s v=""/>
    <s v=""/>
  </r>
  <r>
    <x v="1"/>
    <x v="0"/>
    <s v="MMR001"/>
    <s v="Myitkyina"/>
    <s v="MMR001D001"/>
    <x v="2"/>
    <s v="MMR001002"/>
    <s v="Nam Sang Yang"/>
    <s v="MMR001002024"/>
    <s v="Nam Sang Yang"/>
    <n v="165772"/>
    <x v="104"/>
    <x v="104"/>
    <x v="91"/>
    <n v="24.747212999999999"/>
    <n v="221"/>
    <n v="0"/>
    <n v="0"/>
    <s v="NA"/>
    <x v="1"/>
    <x v="0"/>
    <x v="0"/>
    <x v="2"/>
    <x v="0"/>
    <n v="3"/>
    <x v="3"/>
    <s v="IP"/>
    <m/>
    <d v="2015-06-25T00:00:00"/>
    <s v="25-Jun-15 (Relocated to Hpum Lone Yan and Wai Choi)_x000a_Population Update. Source: UNHCR Cross-Line Mission Report. (July 2014)"/>
    <s v="P2"/>
    <n v="0"/>
    <n v="0"/>
    <n v="0"/>
    <s v="Laiza town"/>
    <n v="1.857513522619473"/>
    <n v="1"/>
  </r>
  <r>
    <x v="0"/>
    <x v="0"/>
    <s v="MMR001"/>
    <s v="Mohnyin"/>
    <s v="MMR001D002"/>
    <x v="1"/>
    <s v="MMR001009"/>
    <s v="Seik Mu"/>
    <s v="MMR001009003"/>
    <s v="Seik Mu"/>
    <n v="166783"/>
    <x v="105"/>
    <x v="105"/>
    <x v="92"/>
    <n v="25.582065"/>
    <n v="0"/>
    <n v="6"/>
    <n v="30"/>
    <n v="5"/>
    <x v="0"/>
    <x v="0"/>
    <x v="0"/>
    <x v="0"/>
    <x v="24"/>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1/Sep/2016: Population update. Data source: Shalom_x000a_20/Jul/2016: Population update. Data source: Shalom_x000a_16/Jun/2016: Population update. Data source: mail by Shalom_x000a_14-Oct-15 Population update. Soruce; Hpakant Mission Report_WFP_x000a_19-Aug-15 Population update. Source: Shalom_x000a_2-Apr-15 (Population update, Source: UNHCR CCCM Mission)_x000a_Population update: Source: Camp Profile Round 2."/>
    <s v="P4"/>
    <n v="0"/>
    <m/>
    <n v="0"/>
    <s v="Hpakant Town"/>
    <n v="4.4704963044882238"/>
    <n v="1"/>
  </r>
  <r>
    <x v="1"/>
    <x v="0"/>
    <s v="MMR001"/>
    <s v="Myitkyina"/>
    <s v="MMR001D001"/>
    <x v="16"/>
    <s v="MMR001003"/>
    <m/>
    <m/>
    <m/>
    <m/>
    <x v="106"/>
    <x v="106"/>
    <x v="34"/>
    <m/>
    <m/>
    <n v="0"/>
    <n v="0"/>
    <s v="NA"/>
    <x v="0"/>
    <x v="0"/>
    <x v="0"/>
    <x v="1"/>
    <x v="6"/>
    <m/>
    <x v="2"/>
    <m/>
    <m/>
    <d v="2014-03-14T00:00:00"/>
    <s v="Close. According to RRC's info, this camp does not include in reported list."/>
    <s v=""/>
    <n v="0"/>
    <m/>
    <n v="0"/>
    <s v=""/>
    <s v=""/>
    <s v=""/>
  </r>
  <r>
    <x v="1"/>
    <x v="0"/>
    <s v="MMR001"/>
    <s v="Bhamo"/>
    <s v="MMR001D003"/>
    <x v="7"/>
    <s v="MMR001013"/>
    <s v="La Gat Dawt"/>
    <s v="MMR001013027"/>
    <m/>
    <m/>
    <x v="107"/>
    <x v="107"/>
    <x v="93"/>
    <n v="23.9055"/>
    <n v="745"/>
    <n v="0"/>
    <n v="0"/>
    <s v="NA"/>
    <x v="1"/>
    <x v="0"/>
    <x v="0"/>
    <x v="3"/>
    <x v="18"/>
    <n v="2"/>
    <x v="4"/>
    <s v="IP"/>
    <m/>
    <d v="2015-08-19T00:00:00"/>
    <s v="19-Aug-15 Close. Source: CCCM Unit._x000a_Population source: KMSS-BMO"/>
    <s v="P2"/>
    <n v="0"/>
    <m/>
    <n v="0"/>
    <s v="Namhkan Town"/>
    <n v="12.392289083396149"/>
    <n v="3"/>
  </r>
  <r>
    <x v="0"/>
    <x v="0"/>
    <s v="MMR001"/>
    <s v="Myitkyina"/>
    <s v="MMR001D001"/>
    <x v="2"/>
    <s v="MMR001002"/>
    <s v="Saga Pa (Sadung Sub-township)"/>
    <s v="MMR001002040"/>
    <s v="Saga Pa"/>
    <n v="165895"/>
    <x v="108"/>
    <x v="108"/>
    <x v="94"/>
    <n v="25.220278"/>
    <n v="2404"/>
    <n v="152"/>
    <n v="584"/>
    <n v="3.8421052631578947"/>
    <x v="1"/>
    <x v="0"/>
    <x v="0"/>
    <x v="3"/>
    <x v="14"/>
    <n v="3"/>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Dec/2015 (Population update. Data source: Monthly report by KMSS_MYT). Reason for pop changes; Arrived at the camp from daily work._x000a_23-Oct-15 (Population update. Data sorce: Monthly report by KMSS-MYT). Reason for changes; Travelling from the camp for daily worker._x000a_2-Oct-15 (Population update. Data sorce: Monthly report by KMSS-MYT)_x000a_19-Aug-15 (Population update. Data source: KMSS-MYT)_x000a_25-Jun-15 (Population update. KMSS-MYT)_x000a_Population Update. Source: KMSS-MYT"/>
    <s v="P1"/>
    <n v="0"/>
    <m/>
    <n v="0"/>
    <s v="Sadung Town"/>
    <n v="18.198335991626355"/>
    <n v="4"/>
  </r>
  <r>
    <x v="1"/>
    <x v="0"/>
    <s v="MMR001"/>
    <s v="Mohnyin"/>
    <s v="MMR001D002"/>
    <x v="1"/>
    <s v="MMR001009"/>
    <s v="Seik Mu"/>
    <s v="MMR001009003"/>
    <s v="Ma Mon"/>
    <n v="166790"/>
    <x v="109"/>
    <x v="109"/>
    <x v="34"/>
    <m/>
    <m/>
    <n v="0"/>
    <n v="0"/>
    <s v="NA"/>
    <x v="0"/>
    <x v="0"/>
    <x v="0"/>
    <x v="1"/>
    <x v="6"/>
    <m/>
    <x v="2"/>
    <m/>
    <m/>
    <m/>
    <s v=" "/>
    <s v=""/>
    <n v="0"/>
    <m/>
    <n v="0"/>
    <s v=""/>
    <s v=""/>
    <s v=""/>
  </r>
  <r>
    <x v="0"/>
    <x v="0"/>
    <s v="MMR001"/>
    <s v="Myitkyina"/>
    <s v="MMR001D001"/>
    <x v="2"/>
    <s v="MMR001002"/>
    <s v="Saga Pa"/>
    <s v="MMR001002040"/>
    <s v="Hkau Shau"/>
    <m/>
    <x v="110"/>
    <x v="110"/>
    <x v="95"/>
    <n v="25.200333000000001"/>
    <n v="1023"/>
    <n v="149"/>
    <n v="830"/>
    <n v="5.5704697986577179"/>
    <x v="1"/>
    <x v="0"/>
    <x v="0"/>
    <x v="2"/>
    <x v="13"/>
    <n v="3"/>
    <x v="0"/>
    <s v="IP"/>
    <m/>
    <d v="2017-07-03T00:00:00"/>
    <s v="3/Jul/2017: Population update. Data source: KBC_x000a_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 HH and Pop changed a lot because they moved to GCA (Myitkyina and Waingmaw towns)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25-Jun-15 Population update. Source: KBC_x000a_Update population according to KBC data"/>
    <s v="P1"/>
    <n v="49"/>
    <m/>
    <n v="49"/>
    <s v="Sadung Town"/>
    <n v="21.287604662770121"/>
    <n v="5"/>
  </r>
  <r>
    <x v="0"/>
    <x v="0"/>
    <s v="MMR001"/>
    <s v="Myitkyina"/>
    <s v="MMR001D001"/>
    <x v="2"/>
    <s v="MMR001002"/>
    <s v="Nam Sang Yang"/>
    <s v="MMR001002024"/>
    <s v="Nam Sang Yang"/>
    <n v="165772"/>
    <x v="111"/>
    <x v="111"/>
    <x v="96"/>
    <n v="24.755253"/>
    <n v="316"/>
    <n v="1396"/>
    <n v="6821"/>
    <n v="4.8861031518624642"/>
    <x v="1"/>
    <x v="0"/>
    <x v="0"/>
    <x v="0"/>
    <x v="0"/>
    <n v="5"/>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KMSS_x000a_16/Feb/2016. HH and Pop correction_x000a_28/Jan/2016. Population update. Data source: KBC _x000a_2/Dec/2015 (Population update. Data source: Monthly report by KMSS_MYT). Reason for pop changes; Travelling from the camp for daily work._x000a_23-Oct-15 (Population update. Data sorce: Monthly report by KMSS-MYT). Reason for changes; Arrived from daily work._x000a_2-Oct-15 (Population update. Data Source: Monthly report by KMSS-MYT)_x000a_19-Aug-15 (Population update: Data Source: KMSS-MYT)_x000a_25-Jun-15 (Population update. Source: IRRC)_x000a_Population Update. Source: KMSS-MYT"/>
    <s v="P4"/>
    <n v="1236"/>
    <m/>
    <n v="1236"/>
    <s v="Laiza town"/>
    <n v="1.7420415164460403"/>
    <n v="1"/>
  </r>
  <r>
    <x v="1"/>
    <x v="0"/>
    <s v="MMR001"/>
    <s v="Puta-O"/>
    <s v="MMR001D004"/>
    <x v="17"/>
    <s v="MMR001016"/>
    <m/>
    <m/>
    <m/>
    <m/>
    <x v="112"/>
    <x v="112"/>
    <x v="97"/>
    <n v="27.274059999999999"/>
    <n v="403"/>
    <m/>
    <m/>
    <s v="NA"/>
    <x v="0"/>
    <x v="0"/>
    <x v="0"/>
    <x v="2"/>
    <x v="27"/>
    <m/>
    <x v="2"/>
    <s v="IP"/>
    <m/>
    <d v="2015-06-25T00:00:00"/>
    <s v="25-Jun-15 (Relocate to Long Sut)_x000a_Geo-Info, HH/Pop data received from MIRA Form"/>
    <s v="P3"/>
    <n v="0"/>
    <m/>
    <n v="0"/>
    <s v="Machanbaw Town"/>
    <n v="1.136583238544624"/>
    <n v="1"/>
  </r>
  <r>
    <x v="1"/>
    <x v="0"/>
    <s v="MMR001"/>
    <s v="Bhamo"/>
    <s v="MMR001D003"/>
    <x v="7"/>
    <s v="MMR001013"/>
    <s v="Mai Bat"/>
    <s v="MMR001013018"/>
    <s v="Man Kawng"/>
    <n v="167391"/>
    <x v="113"/>
    <x v="113"/>
    <x v="98"/>
    <n v="24.181640000000002"/>
    <m/>
    <n v="0"/>
    <n v="0"/>
    <s v="NA"/>
    <x v="0"/>
    <x v="0"/>
    <x v="0"/>
    <x v="1"/>
    <x v="6"/>
    <m/>
    <x v="2"/>
    <s v="IP"/>
    <m/>
    <d v="2014-03-03T00:00:00"/>
    <s v="Closed. Duplicate with Maing Khaung."/>
    <s v=""/>
    <n v="0"/>
    <m/>
    <n v="0"/>
    <s v=""/>
    <s v=""/>
    <s v=""/>
  </r>
  <r>
    <x v="0"/>
    <x v="0"/>
    <s v="MMR001"/>
    <s v="Myitkyina"/>
    <s v="MMR001D001"/>
    <x v="2"/>
    <s v="MMR001002"/>
    <s v="Sa Ma"/>
    <s v="MMR001002031"/>
    <s v="Nar Gu"/>
    <n v="165790"/>
    <x v="114"/>
    <x v="114"/>
    <x v="99"/>
    <n v="24.980250000000002"/>
    <n v="984"/>
    <n v="431"/>
    <n v="1920"/>
    <n v="4.4547563805104406"/>
    <x v="1"/>
    <x v="0"/>
    <x v="0"/>
    <x v="2"/>
    <x v="0"/>
    <n v="5"/>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KMSS_x000a_28/Jan/2016. Population update. Data source: KBC _x000a_23-Oct-15 (Population update. Data sorce: Monthly report by KMSS-MYT). Reason for changes; Traveling from the camp for daily worker._x000a_2-Oct-15 (Population update. Data Source: Monthly Report by KMSS-MYT)_x000a_19-Aug-15 (Population update. Data source: KMSS-MYT)_x000a_25-Jun-15 (Population update. Source: KMSS-MYT)_x000a_Population Update. Source: KMSS-MYT"/>
    <s v="P2"/>
    <n v="0"/>
    <m/>
    <n v="0"/>
    <s v="Laiza town"/>
    <n v="28.888856599204185"/>
    <n v="6"/>
  </r>
  <r>
    <x v="0"/>
    <x v="0"/>
    <s v="MMR001"/>
    <s v="Myitkyina"/>
    <s v="MMR001D001"/>
    <x v="2"/>
    <s v="MMR001002"/>
    <s v="Sa Ma"/>
    <s v="MMR001002031"/>
    <s v="Par Jaung"/>
    <n v="165792"/>
    <x v="115"/>
    <x v="115"/>
    <x v="100"/>
    <n v="24.831944"/>
    <n v="2330"/>
    <n v="186"/>
    <n v="585"/>
    <n v="3.1451612903225805"/>
    <x v="1"/>
    <x v="0"/>
    <x v="0"/>
    <x v="2"/>
    <x v="1"/>
    <n v="3"/>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Update population according to KBC data"/>
    <s v="P1"/>
    <n v="151"/>
    <m/>
    <n v="151"/>
    <s v="Laiza town"/>
    <n v="20.599512012485512"/>
    <n v="5"/>
  </r>
  <r>
    <x v="0"/>
    <x v="0"/>
    <s v="MMR001"/>
    <s v="Bhamo"/>
    <s v="MMR001D003"/>
    <x v="6"/>
    <s v="MMR001012"/>
    <s v="In Baw Mai Kyin (Dawthponeyan Sub-township)"/>
    <s v="MMR001012042"/>
    <s v="Hpun Lum Yang"/>
    <n v="167223"/>
    <x v="116"/>
    <x v="116"/>
    <x v="101"/>
    <n v="24.688338999999999"/>
    <n v="314"/>
    <n v="1546"/>
    <n v="8610"/>
    <n v="5.5692108667529103"/>
    <x v="1"/>
    <x v="0"/>
    <x v="0"/>
    <x v="2"/>
    <x v="15"/>
    <n v="7"/>
    <x v="3"/>
    <s v="IP"/>
    <m/>
    <d v="2017-06-29T00:00:00"/>
    <s v="29/June/2017: Pop update. Data source: KMSS_Myitkyina_x000a_6/June/2017: Change the township, village tract and village.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KMSS_x000a_28/Jan/2016. Population update. Data source: KBC _x000a_2/Dec/2015 (population changes. Data source; KMSS_MYT). Reason for pop changes; arrived at the camp form daily work._x000a_2-Oct-15 (Population update. Data Source: KMSS-MYT)_x000a_19-Aug-15 (Population update. Data Source: KMSS-MYT)_x000a_25-Jun-15 (Population update. KMSS-MYT)_x000a_2015-03-16 (Population moved to Hpun Lum Yang as there was no land available)_x000a_Population Update. Source: KMSS-MYT"/>
    <s v="P2"/>
    <n v="351"/>
    <m/>
    <n v="351"/>
    <s v="Laiza town"/>
    <n v="7.985347533011188"/>
    <n v="2"/>
  </r>
  <r>
    <x v="0"/>
    <x v="0"/>
    <s v="MMR001"/>
    <s v="Bhamo"/>
    <s v="MMR001D003"/>
    <x v="6"/>
    <s v="MMR001012"/>
    <s v="In Baw Mai Kyin (Dawthponeyan Sub-township)"/>
    <s v="MMR001012042"/>
    <s v="Hpun Lum Yang"/>
    <n v="167223"/>
    <x v="117"/>
    <x v="117"/>
    <x v="102"/>
    <n v="24.661905999999998"/>
    <n v="415"/>
    <n v="718"/>
    <n v="3321"/>
    <n v="4.6253481894150417"/>
    <x v="1"/>
    <x v="0"/>
    <x v="0"/>
    <x v="2"/>
    <x v="0"/>
    <n v="5"/>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_x000a_2-Oct-15 (Population update. Data Source: Monthly report by KMSS-MYT)_x000a_19-Aug-15 (Populaiton update. Data Source: KMSS-MYT)_x000a_25-Jun-15 (Population update. Source: IRRC)_x000a_2015-03-16 (Population moved from Je Yang Hka as there was no land available)_x000a_Population Update. Source: UNHCR Cross-Line Mission Report. (July 2014)"/>
    <s v="P2"/>
    <n v="100"/>
    <m/>
    <n v="100"/>
    <s v="Laiza town"/>
    <n v="10.953347686331073"/>
    <n v="3"/>
  </r>
  <r>
    <x v="0"/>
    <x v="0"/>
    <s v="MMR001"/>
    <s v="Bhamo"/>
    <s v="MMR001D003"/>
    <x v="6"/>
    <s v="MMR001012"/>
    <s v="Zee Wone Gawt"/>
    <s v="MMR001012023"/>
    <s v="Dum Bung"/>
    <n v="167343"/>
    <x v="118"/>
    <x v="118"/>
    <x v="103"/>
    <n v="24.461033"/>
    <n v="360"/>
    <n v="103"/>
    <n v="461"/>
    <n v="4.4757281553398061"/>
    <x v="1"/>
    <x v="0"/>
    <x v="0"/>
    <x v="3"/>
    <x v="2"/>
    <n v="4"/>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KMSS_x000a_28/Jan/2016. Population update. Data source: KBC (mail by maran)_x000a_23-Oct-15 (Population update. Data source: Monthly report by KMSS-MYT). Reason for changes; Travelling from the camp for daily worker._x000a_2-Oct-15 (Population update. Data Source: Monthly report by KMSS-MYT)_x000a_19-Aug-15 (Population update. Data Source: KMSS-MYT)_x000a_25-Jun-15 (Population update. Source: KMSS-MYT)_x000a_Population Update. Source: KMSS-MYT"/>
    <s v="P2"/>
    <n v="0"/>
    <m/>
    <n v="0"/>
    <s v="Dawthponeyan  Town"/>
    <n v="18.65617244319267"/>
    <n v="4"/>
  </r>
  <r>
    <x v="0"/>
    <x v="0"/>
    <s v="MMR001"/>
    <s v="Bhamo"/>
    <s v="MMR001D003"/>
    <x v="6"/>
    <s v="MMR001012"/>
    <s v="Kawng Hsa (Lwegel Sub-township)"/>
    <s v="MMR001012033"/>
    <s v="Mai Gyar Yang"/>
    <n v="216913"/>
    <x v="119"/>
    <x v="119"/>
    <x v="104"/>
    <n v="24.2744"/>
    <n v="978"/>
    <n v="597"/>
    <n v="3643"/>
    <n v="6.1021775544388612"/>
    <x v="1"/>
    <x v="0"/>
    <x v="0"/>
    <x v="2"/>
    <x v="7"/>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16/Feb/2016. some hh as they  join Nhkawng Pa camp which is closer to their village of origin_x000a_28/Jan/2016. Population update. Data source: KBC (mail by maran)_x000a_19-Aug-2015. Population Update. Data Source; KMSS-BMO_x000a_Population update: Source: Camp Profile Round 2."/>
    <s v="P2"/>
    <n v="0"/>
    <m/>
    <n v="0"/>
    <s v="Lwegel Town"/>
    <n v="8.953204937938569"/>
    <n v="2"/>
  </r>
  <r>
    <x v="0"/>
    <x v="0"/>
    <s v="MMR001"/>
    <s v="Bhamo"/>
    <s v="MMR001D003"/>
    <x v="7"/>
    <s v="MMR001013"/>
    <s v="In Ba Pa"/>
    <s v="MMR001013012"/>
    <s v="La Na"/>
    <n v="216948"/>
    <x v="120"/>
    <x v="120"/>
    <x v="105"/>
    <n v="24.056132999999999"/>
    <n v="866"/>
    <n v="547"/>
    <n v="2576"/>
    <n v="4.7093235831809874"/>
    <x v="1"/>
    <x v="0"/>
    <x v="0"/>
    <x v="2"/>
    <x v="3"/>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BC_x000a_19-Aug-2015. Update Population. Data Source; KMSS-BMO_x000a_Population update: Source UNHCR-Bhamo"/>
    <s v="P2"/>
    <n v="13"/>
    <m/>
    <n v="13"/>
    <s v="Lwegel Town"/>
    <n v="18.620903555062636"/>
    <n v="4"/>
  </r>
  <r>
    <x v="0"/>
    <x v="0"/>
    <s v="MMR001"/>
    <s v="Bhamo"/>
    <s v="MMR001D003"/>
    <x v="7"/>
    <s v="MMR001013"/>
    <s v="Dum Buk"/>
    <s v="MMR001013014"/>
    <s v="Dum Buk"/>
    <s v="Dum Buk"/>
    <x v="121"/>
    <x v="121"/>
    <x v="106"/>
    <n v="24.002433"/>
    <n v="854"/>
    <n v="386"/>
    <n v="1902"/>
    <n v="4.9274611398963728"/>
    <x v="1"/>
    <x v="0"/>
    <x v="0"/>
    <x v="2"/>
    <x v="3"/>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combined as one camp with Bum Tsit Pa Camp II)  Data Source: KMSS_BMO_x000a_28/Jan/2016. Population update. Data source: KBC_x000a_Population update: Source: KMSS-BMO_x000a_Population Update. Source: Save The Children."/>
    <s v="P2"/>
    <n v="196"/>
    <m/>
    <n v="196"/>
    <s v="Namhkan Town"/>
    <n v="19.796407430638478"/>
    <n v="4"/>
  </r>
  <r>
    <x v="0"/>
    <x v="0"/>
    <s v="MMR001"/>
    <s v="Bhamo"/>
    <s v="MMR001D003"/>
    <x v="6"/>
    <s v="MMR001012"/>
    <s v="Ba Lawng Kawng (Lwegel Sub-township)"/>
    <s v="MMR001012030"/>
    <s v="Hpa Lum"/>
    <n v="167138"/>
    <x v="122"/>
    <x v="122"/>
    <x v="107"/>
    <n v="24.378167000000001"/>
    <n v="1149"/>
    <n v="358"/>
    <n v="1655"/>
    <n v="4.6229050279329611"/>
    <x v="1"/>
    <x v="0"/>
    <x v="0"/>
    <x v="2"/>
    <x v="7"/>
    <n v="2"/>
    <x v="4"/>
    <s v="IP"/>
    <m/>
    <d v="2017-06-29T00:00:00"/>
    <s v="29/Jun/2017: Population update. Data source: KMSS_Bhamo and CCCM unit  (according to PPA)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16/Feb/2016. some HH increase as some IDP from Pa Kahtawng join as the camp is closer to village _x000a_28/Jan/2016. Population update. Data source: KBC (mail by maran)_x000a_19-Aug-2015. Update population. Data Source; KMSS-BMO_x000a_Population Update. Source: Save The Children."/>
    <s v="P1"/>
    <n v="0"/>
    <m/>
    <n v="0"/>
    <s v="Lwegel Town"/>
    <n v="20.558236360788097"/>
    <n v="5"/>
  </r>
  <r>
    <x v="0"/>
    <x v="0"/>
    <s v="MMR001"/>
    <s v="Bhamo"/>
    <s v="MMR001D003"/>
    <x v="7"/>
    <s v="MMR001013"/>
    <s v="Man Wein"/>
    <s v="MMR001013021"/>
    <s v="Man Wein"/>
    <n v="167405"/>
    <x v="123"/>
    <x v="123"/>
    <x v="108"/>
    <n v="23.835319999999999"/>
    <n v="795"/>
    <n v="449"/>
    <n v="2252"/>
    <n v="5.015590200445434"/>
    <x v="0"/>
    <x v="0"/>
    <x v="0"/>
    <x v="2"/>
    <x v="14"/>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16/Feb/2016. spontenous return to villages near Manwin Gyi_x000a_28/Jan/2016. Population update. Data source: KBC (mail by maran)_x000a_19-Aug-2015. Update Population. Data Source; KMSS-BMO_x000a_Population Update. Source: KMSS-BMO"/>
    <s v="P4"/>
    <n v="249"/>
    <m/>
    <n v="249"/>
    <s v="Namhkan Town"/>
    <n v="10.509375400480517"/>
    <n v="3"/>
  </r>
  <r>
    <x v="0"/>
    <x v="0"/>
    <s v="MMR001"/>
    <s v="Bhamo"/>
    <s v="MMR001D003"/>
    <x v="7"/>
    <s v="MMR001013"/>
    <s v="Man Wein"/>
    <s v="MMR001013021"/>
    <s v="Man Wein"/>
    <n v="167405"/>
    <x v="124"/>
    <x v="124"/>
    <x v="109"/>
    <n v="23.83013"/>
    <n v="741"/>
    <n v="98"/>
    <n v="524"/>
    <n v="5.3469387755102042"/>
    <x v="0"/>
    <x v="0"/>
    <x v="0"/>
    <x v="2"/>
    <x v="8"/>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13/Dec/2015. Population update. Data source:  Reason for Pop changes: camp pp reduced as IDP in the host who were registered in the camp but now they established their own separate entity as IDP in the host. _x000a_2/Dec/2015. Population update. Data source: KBC_x000a_25-Jun-15 Population update. Source: KBC_x000a_Population Update. Source: Save The Children."/>
    <s v="P4"/>
    <n v="24"/>
    <m/>
    <n v="24"/>
    <s v="Namhkan Town"/>
    <n v="9.3704379947870464"/>
    <n v="2"/>
  </r>
  <r>
    <x v="0"/>
    <x v="0"/>
    <s v="MMR001"/>
    <s v="Bhamo"/>
    <s v="MMR001D003"/>
    <x v="7"/>
    <s v="MMR001013"/>
    <s v="Man Wein"/>
    <s v="MMR001013021"/>
    <s v="Man Wein"/>
    <n v="167405"/>
    <x v="125"/>
    <x v="125"/>
    <x v="110"/>
    <n v="23.827870999999998"/>
    <m/>
    <n v="175"/>
    <n v="834"/>
    <n v="4.765714285714286"/>
    <x v="0"/>
    <x v="0"/>
    <x v="1"/>
    <x v="2"/>
    <x v="6"/>
    <m/>
    <x v="2"/>
    <s v="IP"/>
    <m/>
    <d v="2016-01-28T00:00:00"/>
    <s v="28/Jan/2016. Population update. Data source: KBC (mail by maran)_x000a_13/Dec/15. Population update. Data source: Mail by Ko Maran. Reason for pop changes: IDP in the host who were registered in the Man Win Bapitst Church (cultural compound) camp established their own separate entity as IDP in the host. _x000a_Population Update. Source: Save The Children."/>
    <s v="P4"/>
    <n v="0"/>
    <m/>
    <n v="0"/>
    <s v="Namhkan Town"/>
    <n v="9.5650381623500511"/>
    <n v="2"/>
  </r>
  <r>
    <x v="1"/>
    <x v="0"/>
    <s v="MMR001"/>
    <s v="Bhamo"/>
    <s v="MMR001D003"/>
    <x v="7"/>
    <s v="MMR001013"/>
    <s v="Mai Bat"/>
    <s v="MMR001013018"/>
    <s v="Man Kawng"/>
    <n v="167391"/>
    <x v="126"/>
    <x v="126"/>
    <x v="98"/>
    <n v="24.181640000000002"/>
    <m/>
    <n v="0"/>
    <n v="0"/>
    <s v="NA"/>
    <x v="0"/>
    <x v="0"/>
    <x v="0"/>
    <x v="1"/>
    <x v="6"/>
    <m/>
    <x v="2"/>
    <s v="IP"/>
    <m/>
    <d v="2014-03-03T00:00:00"/>
    <s v="Closed. Duplicate with Maing Khaung."/>
    <s v=""/>
    <n v="0"/>
    <m/>
    <n v="0"/>
    <s v=""/>
    <s v=""/>
    <s v=""/>
  </r>
  <r>
    <x v="1"/>
    <x v="0"/>
    <s v="MMR001"/>
    <s v="Myitkyina"/>
    <s v="MMR001D001"/>
    <x v="2"/>
    <s v="MMR001002"/>
    <s v="Nam Sang Yang"/>
    <s v="MMR001002024"/>
    <s v="Nam Sang Yang"/>
    <n v="165772"/>
    <x v="127"/>
    <x v="127"/>
    <x v="111"/>
    <n v="24.747966999999999"/>
    <m/>
    <n v="0"/>
    <n v="0"/>
    <s v="NA"/>
    <x v="0"/>
    <x v="0"/>
    <x v="0"/>
    <x v="1"/>
    <x v="6"/>
    <m/>
    <x v="2"/>
    <m/>
    <m/>
    <m/>
    <s v="Changed to closed"/>
    <s v=""/>
    <n v="0"/>
    <m/>
    <n v="0"/>
    <s v=""/>
    <s v=""/>
    <s v=""/>
  </r>
  <r>
    <x v="1"/>
    <x v="0"/>
    <s v="MMR001"/>
    <s v="Bhamo"/>
    <s v="MMR001D003"/>
    <x v="6"/>
    <s v="MMR001012"/>
    <s v="Momauk Town"/>
    <s v="MMR001012701"/>
    <s v="Ah Lin Kawng Ward"/>
    <s v="MMR001012701502"/>
    <x v="128"/>
    <x v="128"/>
    <x v="112"/>
    <n v="24.251860000000001"/>
    <n v="0"/>
    <m/>
    <m/>
    <s v="NA"/>
    <x v="0"/>
    <x v="0"/>
    <x v="0"/>
    <x v="0"/>
    <x v="3"/>
    <m/>
    <x v="2"/>
    <s v="IP"/>
    <m/>
    <d v="2015-11-09T00:00:00"/>
    <s v="9/Nov/2015. updated camp status (Closed). Data Source; Lu Lu Awng by mail._x000a_19-Aug-15 Population update. Source: Shalom_x000a_25-Jun-15 (Population update. Source : Shalom)_x000a_Checked with Shalom data, IDPs figure do not change"/>
    <s v="P4"/>
    <n v="0"/>
    <m/>
    <n v="0"/>
    <m/>
    <m/>
    <m/>
  </r>
  <r>
    <x v="1"/>
    <x v="0"/>
    <s v="MMR001"/>
    <s v="Mohnyin"/>
    <s v="MMR001D002"/>
    <x v="1"/>
    <s v="MMR001009"/>
    <s v="Hpakan Town"/>
    <s v="MMR001009701"/>
    <s v="Ma Shi Ka Htaung Ward"/>
    <s v="MMR001009701505"/>
    <x v="129"/>
    <x v="129"/>
    <x v="113"/>
    <n v="25.609179999999999"/>
    <m/>
    <n v="0"/>
    <n v="0"/>
    <s v="NA"/>
    <x v="0"/>
    <x v="0"/>
    <x v="0"/>
    <x v="1"/>
    <x v="6"/>
    <m/>
    <x v="2"/>
    <m/>
    <m/>
    <m/>
    <s v=" "/>
    <s v=""/>
    <n v="0"/>
    <m/>
    <n v="0"/>
    <s v=""/>
    <s v=""/>
    <s v=""/>
  </r>
  <r>
    <x v="0"/>
    <x v="0"/>
    <s v="MMR001"/>
    <s v="Bhamo"/>
    <s v="MMR001D003"/>
    <x v="8"/>
    <s v="MMR001011"/>
    <m/>
    <m/>
    <m/>
    <m/>
    <x v="130"/>
    <x v="130"/>
    <x v="34"/>
    <m/>
    <m/>
    <n v="375"/>
    <n v="1691"/>
    <n v="4.5093333333333332"/>
    <x v="0"/>
    <x v="0"/>
    <x v="1"/>
    <x v="2"/>
    <x v="28"/>
    <m/>
    <x v="2"/>
    <s v="IRRC"/>
    <m/>
    <d v="2017-06-02T00:00:00"/>
    <s v="2/June/2017: Updated Accessibility NGCA to GCA. Data source: UNOCHA._x000a_Change to Host Families."/>
    <s v="P4"/>
    <n v="0"/>
    <m/>
    <n v="0"/>
    <s v=""/>
    <s v=""/>
    <s v=""/>
  </r>
  <r>
    <x v="0"/>
    <x v="0"/>
    <s v="MMR001"/>
    <s v="Mohnyin"/>
    <s v="MMR001D002"/>
    <x v="1"/>
    <s v="MMR001009"/>
    <s v="Nam Si In (Karmaing Sub-township)"/>
    <s v="MMR001009012"/>
    <s v="Htwe San Yang"/>
    <n v="220512"/>
    <x v="131"/>
    <x v="131"/>
    <x v="114"/>
    <n v="25.51352"/>
    <n v="0"/>
    <n v="13"/>
    <n v="45"/>
    <n v="3.4615384615384617"/>
    <x v="0"/>
    <x v="0"/>
    <x v="0"/>
    <x v="0"/>
    <x v="17"/>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9-Aug-15 Population update. Source: KBC._x000a_25-Jun-15 Population update. Source: KBC_x000a_Update population according to KBC data"/>
    <s v="P4"/>
    <n v="13"/>
    <m/>
    <n v="13"/>
    <s v="Kamaing Town"/>
    <n v="1.1537462444167914"/>
    <n v="1"/>
  </r>
  <r>
    <x v="0"/>
    <x v="0"/>
    <s v="MMR001"/>
    <s v="Myitkyina"/>
    <s v="MMR001D001"/>
    <x v="2"/>
    <s v="MMR001002"/>
    <s v="Hpawt Dawt"/>
    <s v="MMR001002032"/>
    <s v="Lai Zar"/>
    <n v="165816"/>
    <x v="132"/>
    <x v="132"/>
    <x v="115"/>
    <n v="25.108011999999999"/>
    <m/>
    <n v="355"/>
    <n v="4450"/>
    <n v="12.535211267605634"/>
    <x v="1"/>
    <x v="1"/>
    <x v="3"/>
    <x v="0"/>
    <x v="6"/>
    <m/>
    <x v="2"/>
    <s v="IRRC"/>
    <m/>
    <d v="2014-06-13T00:00:00"/>
    <s v="2015-04-01 : According to UNICEF and WFP this location is a village. People are not IDP but are affected by the crisis. That s why it would remain in the list._x000a_Geo-Info, HH/Pop data was updated from Google Earth."/>
    <s v="P4"/>
    <n v="0"/>
    <m/>
    <n v="0"/>
    <s v="Sadung Town"/>
    <n v="34.344689881690819"/>
    <n v="7"/>
  </r>
  <r>
    <x v="0"/>
    <x v="0"/>
    <s v="MMR001"/>
    <s v="Mohnyin"/>
    <s v="MMR001D002"/>
    <x v="11"/>
    <s v="MMR001007"/>
    <s v="Nam Mun"/>
    <s v="MMR001007016"/>
    <s v="Indawgyi"/>
    <m/>
    <x v="133"/>
    <x v="133"/>
    <x v="116"/>
    <n v="24.998349999999999"/>
    <m/>
    <n v="19"/>
    <n v="103"/>
    <n v="5.4210526315789478"/>
    <x v="0"/>
    <x v="0"/>
    <x v="0"/>
    <x v="2"/>
    <x v="8"/>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8/Jul/2016: Population updte. Data source: KBC_x000a_15/Jun/2016: Population update. Data source: monthly report by KBC_x000a_12/May/2016. Population update. Data source: KBC_x000a_28/Jan/2016. Population update. Data source: KBC _x000a_2/Dec/2015. Population update. Data source: KBC._x000a_19-Aug-15 Population update. Source: KBC._x000a_25-Jun-15 Population update. Source: KBC_x000a_Update population according to KBC data"/>
    <s v="P4"/>
    <n v="0"/>
    <m/>
    <n v="0"/>
    <s v="Hopin Town"/>
    <n v="16.668825701583572"/>
    <n v="4"/>
  </r>
  <r>
    <x v="0"/>
    <x v="0"/>
    <s v="MMR001"/>
    <s v="Myitkyina"/>
    <s v="MMR001D001"/>
    <x v="2"/>
    <s v="MMR001002"/>
    <s v="Saga Pa"/>
    <s v="MMR001002040"/>
    <s v="Saga Pa"/>
    <n v="165895"/>
    <x v="134"/>
    <x v="134"/>
    <x v="117"/>
    <n v="25.265277999999999"/>
    <n v="2764"/>
    <n v="100"/>
    <n v="612"/>
    <n v="6.12"/>
    <x v="1"/>
    <x v="0"/>
    <x v="0"/>
    <x v="3"/>
    <x v="14"/>
    <n v="2"/>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Dec/2015 (Population update. Data source: Monthly report by KMSS_MYT). Reason for pop changes; Arrived at the camp and travelling from the camp for daily work._x000a_2-Oct-15 (Population update. Data source: Monthly report by KMSS-MYT)_x000a_19-Aug-15 (Population update. Data Source: KMSS-MYT)_x000a_25-Jun-15 (Population update. Source: KMSS-MYT)_x000a_Update population according to KBC data"/>
    <s v="P1"/>
    <n v="35"/>
    <m/>
    <n v="35"/>
    <s v="Sadung Town"/>
    <n v="17.035515422123492"/>
    <n v="4"/>
  </r>
  <r>
    <x v="0"/>
    <x v="0"/>
    <s v="MMR001"/>
    <s v="Myitkyina"/>
    <s v="MMR001D001"/>
    <x v="0"/>
    <s v="MMR001001"/>
    <s v="Pa La Na Sa Khan Myar"/>
    <s v="MMR001001003"/>
    <s v="Pi Tauk Myaing"/>
    <n v="165685"/>
    <x v="135"/>
    <x v="135"/>
    <x v="118"/>
    <n v="25.493819999999999"/>
    <m/>
    <n v="49"/>
    <n v="290"/>
    <n v="5.9183673469387754"/>
    <x v="0"/>
    <x v="0"/>
    <x v="0"/>
    <x v="0"/>
    <x v="16"/>
    <m/>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16/Feb/2016. Pop and HH correction._x000a_28/Jan/2016. Population update. Data source: KBC _x000a_13/Dec/2015. Population update. Data source: Mail by Ko Maran. Reason for pop changes: Increased from Sumpra Bum area _x000a_2/Dec/2015 (Population update. Data source: Monthly report by KMSS_MYT). Reason for pop changes; Arrived at the camp from daily work and new arrival from sumprabum._x000a_23-Oct-15 (Pupulation update. Data Source: Monthly report by KMSS-MYT). Reason for changes; Increasing from Sumprabum._x000a_2-Oct-15 (Pupulation update. Data Source: KMSS-MYT) and NFI Distribution List (New arrival)_x000a_19-Aug-15 (Population update. Data source: KMSS-MYT)_x000a_25-Jun-15 (Population update. Source: KMSS-MYT)_x000a_Population Update. Source: KMSS-MYT"/>
    <s v="P4"/>
    <n v="1"/>
    <m/>
    <n v="1"/>
    <s v="Myitkyina Town"/>
    <n v="12.627188913244609"/>
    <n v="3"/>
  </r>
  <r>
    <x v="0"/>
    <x v="0"/>
    <s v="MMR001"/>
    <s v="Bhamo"/>
    <s v="MMR001D003"/>
    <x v="5"/>
    <s v="MMR001010"/>
    <s v="Bhamo Town"/>
    <s v="MMR001010701"/>
    <m/>
    <m/>
    <x v="136"/>
    <x v="136"/>
    <x v="119"/>
    <n v="24.263786"/>
    <m/>
    <n v="197"/>
    <n v="957"/>
    <n v="4.8578680203045685"/>
    <x v="0"/>
    <x v="0"/>
    <x v="1"/>
    <x v="0"/>
    <x v="6"/>
    <m/>
    <x v="2"/>
    <s v="IP"/>
    <m/>
    <d v="2017-04-07T00:00:00"/>
    <s v="7/April/2017: Population update. Data source: WFP_x000a_9/Nov/15. Population update. Data source: mail from Pancy (WFP)._x000a_Update IDP increased in Oct and Nov 2013 from Angela (UNHCR - Bhamo)"/>
    <s v="P4"/>
    <n v="0"/>
    <m/>
    <n v="0"/>
    <s v="Bhamo Town"/>
    <n v="1.1354007641426449"/>
    <n v="1"/>
  </r>
  <r>
    <x v="0"/>
    <x v="0"/>
    <s v="MMR001"/>
    <s v="Mohnyin"/>
    <s v="MMR001D002"/>
    <x v="1"/>
    <s v="MMR001009"/>
    <s v="Hpakan Town"/>
    <s v="MMR001009701"/>
    <s v="Maw Wam Ward"/>
    <s v="MMR001009701501"/>
    <x v="137"/>
    <x v="137"/>
    <x v="120"/>
    <n v="25.61842"/>
    <n v="250"/>
    <n v="12"/>
    <n v="62"/>
    <n v="5.166666666666667"/>
    <x v="0"/>
    <x v="0"/>
    <x v="0"/>
    <x v="0"/>
    <x v="2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9-Aug-15 Population update. Source: Shalom_x000a_25-Jun-15 (Population update. Source : Shalom)_x000a_2-Apr-15 (Population update, Source: UNHCR CCCM Mission)_x000a_Population update: Source: Camp Profile Round 2."/>
    <s v="P4"/>
    <n v="0"/>
    <m/>
    <n v="0"/>
    <s v="Hpakant Town"/>
    <n v="0.75842119772531946"/>
    <n v="1"/>
  </r>
  <r>
    <x v="0"/>
    <x v="0"/>
    <s v="MMR001"/>
    <s v="Mohnyin"/>
    <s v="MMR001D002"/>
    <x v="1"/>
    <s v="MMR001009"/>
    <s v="Lone Khin"/>
    <s v="MMR001009001"/>
    <s v="Lone Khin"/>
    <n v="166773"/>
    <x v="138"/>
    <x v="138"/>
    <x v="121"/>
    <n v="25.656009999999998"/>
    <n v="317"/>
    <n v="72"/>
    <n v="347"/>
    <n v="4.8194444444444446"/>
    <x v="0"/>
    <x v="0"/>
    <x v="0"/>
    <x v="2"/>
    <x v="21"/>
    <m/>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0/May/2016. Population Update. Data source: KMSS_x000a_28/Jan/2016. Population update. Data source: KBC _x000a_23-Oct-15 Population update. Data source; Monthly report by KMSS_MYT. Reason for changes; A new sprad HH is added._x000a_14-Oct-15 Population update. Soruce; Hpakant Mission Report_WFP_x000a_2-Oct-15 (Population update. Data Source: Monthly report by KMSS-MYT)_x000a_25-Jun-15 (Population update. Source: KMSS-MYT)_x000a_18-May-15 (Population update from field mission)_x000a_2-Apr-15 (Population update, Source: UNHCR CCCM Mission)_x000a_Population Update. Source: KMSS-MYT"/>
    <s v="P4"/>
    <n v="60"/>
    <m/>
    <n v="60"/>
    <s v="Hpakant Town"/>
    <n v="6.3039408411778268"/>
    <n v="2"/>
  </r>
  <r>
    <x v="0"/>
    <x v="0"/>
    <s v="MMR001"/>
    <s v="Mohnyin"/>
    <s v="MMR001D002"/>
    <x v="1"/>
    <s v="MMR001009"/>
    <s v="Lone Khin"/>
    <s v="MMR001009001"/>
    <s v="Hmaw Si Zar"/>
    <n v="166775"/>
    <x v="139"/>
    <x v="139"/>
    <x v="122"/>
    <n v="25.647649999999999"/>
    <n v="0"/>
    <n v="38"/>
    <n v="231"/>
    <n v="6.0789473684210522"/>
    <x v="0"/>
    <x v="0"/>
    <x v="0"/>
    <x v="2"/>
    <x v="21"/>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25-Jun-15 Population update. Source: KBC_x000a_2-Apr-15 (Population update, Source: UNHCR CCCM Mission)"/>
    <s v="P4"/>
    <n v="18"/>
    <m/>
    <n v="18"/>
    <s v="Hpakant Town"/>
    <n v="5.184483270539272"/>
    <n v="2"/>
  </r>
  <r>
    <x v="0"/>
    <x v="0"/>
    <s v="MMR001"/>
    <s v="Mohnyin"/>
    <s v="MMR001D002"/>
    <x v="1"/>
    <s v="MMR001009"/>
    <s v="Lone Khin"/>
    <s v="MMR001009001"/>
    <s v="Nyein Chan Thar Yar"/>
    <n v="216876"/>
    <x v="140"/>
    <x v="140"/>
    <x v="123"/>
    <n v="25.637309999999999"/>
    <n v="277.60000000000002"/>
    <n v="70"/>
    <n v="347"/>
    <n v="4.9571428571428573"/>
    <x v="0"/>
    <x v="0"/>
    <x v="0"/>
    <x v="0"/>
    <x v="2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1/Sep/2016: Population update. Data source: Shalom_x000a_20/Jul/2016: Population update. Data source: Shalom_x000a_16/Jun/2016: Population update. Data source: mail by Shalom_x000a_14-Oct-15 Population update. Soruce; Hpakant Mission Report_WFP_x000a_19-Aug-15 Population update. Source: Shalom_x000a_25-Jun-15 (Population update. Source: Shalom)_x000a_2-Apr-15 (Population update, Source: UNHCR CCCM Mission)_x000a_Population update: Source: Camp Profile Round 2."/>
    <s v="P4"/>
    <n v="0"/>
    <m/>
    <n v="0"/>
    <s v="Hpakant Town"/>
    <n v="4.8862832644478198"/>
    <n v="1"/>
  </r>
  <r>
    <x v="1"/>
    <x v="0"/>
    <s v="MMR001"/>
    <s v="Mohnyin"/>
    <s v="MMR001D002"/>
    <x v="1"/>
    <s v="MMR001009"/>
    <s v="Hpakan Town"/>
    <s v="MMR001009701"/>
    <s v="Ma Shi Ka Htaung Ward"/>
    <s v="MMR001009701505"/>
    <x v="141"/>
    <x v="141"/>
    <x v="34"/>
    <m/>
    <m/>
    <n v="0"/>
    <n v="0"/>
    <s v="NA"/>
    <x v="0"/>
    <x v="0"/>
    <x v="0"/>
    <x v="1"/>
    <x v="6"/>
    <m/>
    <x v="2"/>
    <m/>
    <m/>
    <m/>
    <s v=" "/>
    <s v=""/>
    <n v="0"/>
    <m/>
    <n v="0"/>
    <s v=""/>
    <s v=""/>
    <s v=""/>
  </r>
  <r>
    <x v="1"/>
    <x v="0"/>
    <s v="MMR001"/>
    <s v="Mohnyin"/>
    <s v="MMR001D002"/>
    <x v="1"/>
    <s v="MMR001009"/>
    <s v="Hpakan Town"/>
    <s v="MMR001009701"/>
    <s v="Ma Shi Ka Htaung Ward"/>
    <s v="MMR001009701505"/>
    <x v="142"/>
    <x v="142"/>
    <x v="34"/>
    <m/>
    <m/>
    <n v="0"/>
    <n v="0"/>
    <s v="NA"/>
    <x v="0"/>
    <x v="0"/>
    <x v="0"/>
    <x v="1"/>
    <x v="6"/>
    <m/>
    <x v="2"/>
    <m/>
    <m/>
    <m/>
    <s v=" "/>
    <s v=""/>
    <n v="0"/>
    <m/>
    <n v="0"/>
    <s v=""/>
    <s v=""/>
    <s v=""/>
  </r>
  <r>
    <x v="1"/>
    <x v="0"/>
    <s v="MMR001"/>
    <s v="Mohnyin"/>
    <s v="MMR001D002"/>
    <x v="1"/>
    <s v="MMR001009"/>
    <s v="Hpakan Town"/>
    <s v="MMR001009701"/>
    <s v="Ma Shi Ka Htaung Ward"/>
    <s v="MMR001009701505"/>
    <x v="143"/>
    <x v="143"/>
    <x v="34"/>
    <m/>
    <m/>
    <n v="0"/>
    <n v="0"/>
    <s v="NA"/>
    <x v="0"/>
    <x v="0"/>
    <x v="0"/>
    <x v="1"/>
    <x v="6"/>
    <m/>
    <x v="2"/>
    <m/>
    <m/>
    <m/>
    <s v=" "/>
    <s v=""/>
    <n v="0"/>
    <m/>
    <n v="0"/>
    <s v=""/>
    <s v=""/>
    <s v=""/>
  </r>
  <r>
    <x v="1"/>
    <x v="0"/>
    <s v="MMR001"/>
    <s v="Mohnyin"/>
    <s v="MMR001D002"/>
    <x v="1"/>
    <s v="MMR001009"/>
    <s v="Hpakan Town"/>
    <s v="MMR001009701"/>
    <s v="Ma Shi Ka Htaung Ward"/>
    <s v="MMR001009701505"/>
    <x v="144"/>
    <x v="144"/>
    <x v="34"/>
    <m/>
    <m/>
    <n v="0"/>
    <n v="0"/>
    <s v="NA"/>
    <x v="0"/>
    <x v="0"/>
    <x v="0"/>
    <x v="1"/>
    <x v="6"/>
    <m/>
    <x v="2"/>
    <m/>
    <m/>
    <m/>
    <s v=" "/>
    <s v=""/>
    <n v="0"/>
    <m/>
    <n v="0"/>
    <s v=""/>
    <s v=""/>
    <s v=""/>
  </r>
  <r>
    <x v="0"/>
    <x v="0"/>
    <s v="MMR001"/>
    <s v="Mohnyin"/>
    <s v="MMR001D002"/>
    <x v="1"/>
    <s v="MMR001009"/>
    <s v="Lone Khin"/>
    <s v="MMR001009001"/>
    <s v="Lone Khin"/>
    <n v="166773"/>
    <x v="145"/>
    <x v="145"/>
    <x v="124"/>
    <n v="25.635300000000001"/>
    <n v="0"/>
    <n v="66"/>
    <n v="356"/>
    <n v="5.3939393939393936"/>
    <x v="0"/>
    <x v="0"/>
    <x v="0"/>
    <x v="0"/>
    <x v="21"/>
    <n v="1"/>
    <x v="1"/>
    <s v="IP"/>
    <m/>
    <d v="2017-06-29T00:00:00"/>
    <s v="29/June/2017: Population update. Data source: Shalom_x000a_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1/Sep/2016: Population update. Data source: Shalom_x000a_20/Jul/2016: Population update. Data source: Shalom_x000a_16/Jun/2016: Population update. Data source: mail by Shalom_x000a_14-Oct-15 Population update. Soruce; Hpakant Mission Report_WFP_x000a_19-Aug-15 Population update. Source: Shalom_x000a_25-Jun-15 (Population update. Source: Shalom)_x000a_Population update: Source: Camp Profile Round 2._x000a_2-Apr-15 (Population update, Source: UNHCR CCCM Mission)"/>
    <s v="P4"/>
    <n v="6"/>
    <m/>
    <n v="6"/>
    <s v="Hpakant Town"/>
    <n v="4.1842484710239098"/>
    <n v="1"/>
  </r>
  <r>
    <x v="1"/>
    <x v="0"/>
    <s v="MMR001"/>
    <s v="Mohnyin"/>
    <s v="MMR001D002"/>
    <x v="1"/>
    <s v="MMR001009"/>
    <s v="Hpakan Town"/>
    <s v="MMR001009701"/>
    <s v="Ma Shi Ka Htaung Ward"/>
    <s v="MMR001009701505"/>
    <x v="146"/>
    <x v="146"/>
    <x v="34"/>
    <m/>
    <m/>
    <n v="0"/>
    <n v="0"/>
    <s v="NA"/>
    <x v="0"/>
    <x v="0"/>
    <x v="0"/>
    <x v="1"/>
    <x v="6"/>
    <m/>
    <x v="2"/>
    <m/>
    <m/>
    <m/>
    <s v=" "/>
    <s v=""/>
    <n v="0"/>
    <m/>
    <n v="0"/>
    <s v=""/>
    <s v=""/>
    <s v=""/>
  </r>
  <r>
    <x v="1"/>
    <x v="0"/>
    <s v="MMR001"/>
    <s v="Mohnyin"/>
    <s v="MMR001D002"/>
    <x v="1"/>
    <s v="MMR001009"/>
    <s v="Lone Khin"/>
    <s v="MMR001009001"/>
    <s v="Lone Khin"/>
    <n v="166773"/>
    <x v="147"/>
    <x v="147"/>
    <x v="125"/>
    <n v="25.656130000000001"/>
    <n v="0"/>
    <m/>
    <m/>
    <s v="NA"/>
    <x v="0"/>
    <x v="0"/>
    <x v="0"/>
    <x v="2"/>
    <x v="21"/>
    <n v="2"/>
    <x v="0"/>
    <s v="IP"/>
    <m/>
    <d v="2017-07-03T00:00:00"/>
    <s v="3/Jul/2017: Changed camp status as &quot;Closed&quot; according to the information of KBC. Note from KBC &quot; (5 Ward Baptist Church( Lon Khin- MMR001CMP179, and Ku Day Maw KBC- MMR001CMP231) and open new camp as Lawng Hkang Shait Yang Camp ( Lel Pyin) under Hpakant Township. So technically, the mentioned two camp will be combine into one camp as Lawng Hkang Shait Yang Camp ( Lel Pyin)&quot;.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14-Oct-15 Population update. Soruce; Hpakant Mission Report_WFP_x000a_25-Jun-15 Population update. Source: KBC_x000a_2-Apr-15 (Population update, Source: UNHCR CCCM Mission)_x000a_Population Update. Source: KBC."/>
    <s v="P4"/>
    <n v="0"/>
    <m/>
    <n v="0"/>
    <s v="Hpakant Town"/>
    <n v="6.4753396248436657"/>
    <n v="2"/>
  </r>
  <r>
    <x v="1"/>
    <x v="0"/>
    <s v="MMR001"/>
    <s v="Mohnyin"/>
    <s v="MMR001D002"/>
    <x v="1"/>
    <s v="MMR001009"/>
    <s v="Hpakan Town"/>
    <s v="MMR001009701"/>
    <s v="Ma Shi Ka Htaung Ward"/>
    <s v="MMR001009701505"/>
    <x v="148"/>
    <x v="148"/>
    <x v="34"/>
    <m/>
    <m/>
    <n v="0"/>
    <n v="0"/>
    <s v="NA"/>
    <x v="0"/>
    <x v="0"/>
    <x v="0"/>
    <x v="1"/>
    <x v="6"/>
    <m/>
    <x v="2"/>
    <m/>
    <m/>
    <m/>
    <s v=" "/>
    <s v=""/>
    <n v="0"/>
    <m/>
    <n v="0"/>
    <s v=""/>
    <s v=""/>
    <s v=""/>
  </r>
  <r>
    <x v="1"/>
    <x v="0"/>
    <s v="MMR001"/>
    <s v="Mohnyin"/>
    <s v="MMR001D002"/>
    <x v="1"/>
    <s v="MMR001009"/>
    <s v="Hpakan Town"/>
    <s v="MMR001009701"/>
    <s v="Ma Shi Ka Htaung Ward"/>
    <s v="MMR001009701505"/>
    <x v="149"/>
    <x v="149"/>
    <x v="34"/>
    <m/>
    <m/>
    <n v="0"/>
    <n v="0"/>
    <s v="NA"/>
    <x v="0"/>
    <x v="0"/>
    <x v="0"/>
    <x v="1"/>
    <x v="6"/>
    <m/>
    <x v="2"/>
    <m/>
    <m/>
    <m/>
    <s v=" "/>
    <s v=""/>
    <n v="0"/>
    <m/>
    <n v="0"/>
    <s v=""/>
    <s v=""/>
    <s v=""/>
  </r>
  <r>
    <x v="0"/>
    <x v="0"/>
    <s v="MMR001"/>
    <s v="Mohnyin"/>
    <s v="MMR001D002"/>
    <x v="1"/>
    <s v="MMR001009"/>
    <s v="Seik Mu"/>
    <s v="MMR001009003"/>
    <s v="Maw Shan"/>
    <n v="166785"/>
    <x v="150"/>
    <x v="150"/>
    <x v="126"/>
    <n v="25.566510000000001"/>
    <n v="278"/>
    <n v="20"/>
    <n v="109"/>
    <n v="5.45"/>
    <x v="0"/>
    <x v="0"/>
    <x v="0"/>
    <x v="2"/>
    <x v="2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4-Oct-15 Population update. Soruce; Hpakant Mission Report_WFP_x000a_19-Aug-15 Population update. Source: Shalom_x000a_2-Apr-15 (Population update, Source: UNHCR CCCM Mission)_x000a_Population update: Source: Camp Profile Round 2."/>
    <s v="P4"/>
    <n v="0"/>
    <m/>
    <n v="0"/>
    <s v="Hpakant Town"/>
    <n v="6.7094919928483892"/>
    <n v="2"/>
  </r>
  <r>
    <x v="1"/>
    <x v="0"/>
    <s v="MMR001"/>
    <s v="Mohnyin"/>
    <s v="MMR001D002"/>
    <x v="1"/>
    <s v="MMR001009"/>
    <m/>
    <m/>
    <m/>
    <m/>
    <x v="151"/>
    <x v="151"/>
    <x v="127"/>
    <n v="25.6447"/>
    <m/>
    <n v="0"/>
    <n v="0"/>
    <s v="NA"/>
    <x v="0"/>
    <x v="0"/>
    <x v="0"/>
    <x v="1"/>
    <x v="6"/>
    <m/>
    <x v="2"/>
    <m/>
    <m/>
    <m/>
    <s v=" "/>
    <s v=""/>
    <n v="0"/>
    <m/>
    <n v="0"/>
    <s v=""/>
    <s v=""/>
    <s v=""/>
  </r>
  <r>
    <x v="0"/>
    <x v="0"/>
    <s v="MMR001"/>
    <s v="Mohnyin"/>
    <s v="MMR001D002"/>
    <x v="1"/>
    <s v="MMR001009"/>
    <s v="Seik Mu"/>
    <s v="MMR001009003"/>
    <s v="Maw Shan"/>
    <n v="166785"/>
    <x v="152"/>
    <x v="152"/>
    <x v="128"/>
    <n v="25.56551"/>
    <n v="259"/>
    <n v="9"/>
    <n v="37"/>
    <n v="4.1111111111111107"/>
    <x v="0"/>
    <x v="0"/>
    <x v="0"/>
    <x v="2"/>
    <x v="2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4-Oct-15 Population update. Soruce; Hpakant Mission Report_WFP_x000a_19-Aug-15 Population updae. Source: Shalom._x000a_25-Jun-15 (Population update. Source Shalom)_x000a_Population update: Source: Camp Profile Round 2."/>
    <s v="P4"/>
    <n v="0"/>
    <m/>
    <n v="0"/>
    <s v="Hpakant Town"/>
    <n v="6.2085564346706201"/>
    <n v="2"/>
  </r>
  <r>
    <x v="0"/>
    <x v="0"/>
    <s v="MMR001"/>
    <s v="Mohnyin"/>
    <s v="MMR001D002"/>
    <x v="1"/>
    <s v="MMR001009"/>
    <s v="Seik Mu"/>
    <s v="MMR001009003"/>
    <s v="Maw Shan"/>
    <n v="166785"/>
    <x v="153"/>
    <x v="153"/>
    <x v="129"/>
    <n v="25.668399999999998"/>
    <n v="0"/>
    <n v="8"/>
    <n v="36"/>
    <n v="4.5"/>
    <x v="0"/>
    <x v="0"/>
    <x v="0"/>
    <x v="2"/>
    <x v="21"/>
    <n v="1"/>
    <x v="0"/>
    <s v="IP"/>
    <m/>
    <d v="2017-07-03T00:00:00"/>
    <s v="3/Jul/2017: Population update. Data source: KBC_x000a_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14-Oct-15 Population update. Soruce; Hpakant Mission Report_WFP_x000a_25-Jun-15 Population update. Source: KBC_x000a_2-Apr-15 (Population update, Source: UNHCR CCCM Mission)_x000a_Update population according to KBC data"/>
    <s v="P4"/>
    <n v="3"/>
    <m/>
    <n v="3"/>
    <s v="Hpakant Town"/>
    <n v="7.419312682373878"/>
    <n v="2"/>
  </r>
  <r>
    <x v="0"/>
    <x v="0"/>
    <s v="MMR001"/>
    <s v="Mohnyin"/>
    <s v="MMR001D002"/>
    <x v="1"/>
    <s v="MMR001009"/>
    <s v="Seik Mu"/>
    <s v="MMR001009003"/>
    <s v="Sai Taung (Ywar Haung)"/>
    <n v="166788"/>
    <x v="154"/>
    <x v="154"/>
    <x v="130"/>
    <n v="25.577559999999998"/>
    <n v="0"/>
    <n v="33"/>
    <n v="171"/>
    <n v="5.1818181818181817"/>
    <x v="0"/>
    <x v="0"/>
    <x v="0"/>
    <x v="0"/>
    <x v="21"/>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14-Oct-15 Population update. Soruce; Hpakant Mission Report_WFP_x000a_25-Jun-15 Population update. Source: KBC_x000a_18-May-15 (Population update with field mission)_x000a_2-Apr-15 (Population update, Source: UNHCR CCCM Mission)_x000a_Update population according to KBC data"/>
    <s v="P4"/>
    <n v="18"/>
    <m/>
    <n v="18"/>
    <s v="Hpakant Town"/>
    <n v="4.6754712546149264"/>
    <n v="1"/>
  </r>
  <r>
    <x v="0"/>
    <x v="0"/>
    <s v="MMR001"/>
    <s v="Mohnyin"/>
    <s v="MMR001D002"/>
    <x v="1"/>
    <s v="MMR001009"/>
    <s v="Hpakan Town"/>
    <s v="MMR001009701"/>
    <s v="Maw Wam Ward"/>
    <s v="MMR001009701501"/>
    <x v="155"/>
    <x v="155"/>
    <x v="131"/>
    <n v="25.616509000000001"/>
    <n v="264"/>
    <n v="14"/>
    <n v="81"/>
    <n v="5.7857142857142856"/>
    <x v="0"/>
    <x v="0"/>
    <x v="0"/>
    <x v="0"/>
    <x v="2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1/Sep/2016: Population update. Data source: Shalom_x000a_20/Jul/2016: Population update. Data source: Shalom_x000a_16/Jun/2016: Population update. Data source: mail by Shalom_x000a_14-Oct-15 Population update. Soruce; Hpakant Mission Report_WFP_x000a_19-Aug-15 Population update. Source: Shalom_x000a_25-Jun-15 (Population update. Source: Shalom)_x000a_Population update: Source: Camp Profile Round 2._x000a_2-Apr-15 (Population update, Source: UNHCR CCCM Mission)"/>
    <s v="P4"/>
    <n v="4"/>
    <m/>
    <n v="4"/>
    <s v="Hpakant Town"/>
    <n v="0.66733171900141897"/>
    <n v="1"/>
  </r>
  <r>
    <x v="1"/>
    <x v="0"/>
    <s v="MMR001"/>
    <s v="Mohnyin"/>
    <s v="MMR001D002"/>
    <x v="1"/>
    <s v="MMR001009"/>
    <s v="Hpakan Town"/>
    <s v="MMR001009701"/>
    <s v="Maw Wam Ward"/>
    <s v="MMR001009701501"/>
    <x v="156"/>
    <x v="156"/>
    <x v="34"/>
    <m/>
    <m/>
    <n v="0"/>
    <n v="0"/>
    <s v="NA"/>
    <x v="0"/>
    <x v="0"/>
    <x v="0"/>
    <x v="1"/>
    <x v="6"/>
    <m/>
    <x v="2"/>
    <m/>
    <m/>
    <m/>
    <s v=" "/>
    <s v=""/>
    <n v="0"/>
    <m/>
    <n v="0"/>
    <s v=""/>
    <s v=""/>
    <s v=""/>
  </r>
  <r>
    <x v="1"/>
    <x v="0"/>
    <s v="MMR001"/>
    <s v="Mohnyin"/>
    <s v="MMR001D002"/>
    <x v="1"/>
    <s v="MMR001009"/>
    <s v="Hpakan Town"/>
    <s v="MMR001009701"/>
    <s v="Maw Wam Ward"/>
    <s v="MMR001009701501"/>
    <x v="157"/>
    <x v="157"/>
    <x v="132"/>
    <n v="25.619221"/>
    <m/>
    <n v="0"/>
    <n v="0"/>
    <s v="NA"/>
    <x v="0"/>
    <x v="0"/>
    <x v="0"/>
    <x v="1"/>
    <x v="6"/>
    <m/>
    <x v="2"/>
    <m/>
    <m/>
    <m/>
    <s v=" "/>
    <s v=""/>
    <n v="0"/>
    <m/>
    <n v="0"/>
    <s v=""/>
    <s v=""/>
    <s v=""/>
  </r>
  <r>
    <x v="1"/>
    <x v="0"/>
    <s v="MMR001"/>
    <s v="Mohnyin"/>
    <s v="MMR001D002"/>
    <x v="1"/>
    <s v="MMR001009"/>
    <s v="Hpakan Town"/>
    <s v="MMR001009701"/>
    <s v="Maw Wam Ward"/>
    <s v="MMR001009701501"/>
    <x v="158"/>
    <x v="158"/>
    <x v="34"/>
    <m/>
    <m/>
    <n v="0"/>
    <n v="0"/>
    <s v="NA"/>
    <x v="0"/>
    <x v="0"/>
    <x v="0"/>
    <x v="1"/>
    <x v="6"/>
    <m/>
    <x v="2"/>
    <m/>
    <m/>
    <m/>
    <s v=" "/>
    <s v=""/>
    <n v="0"/>
    <m/>
    <n v="0"/>
    <s v=""/>
    <s v=""/>
    <s v=""/>
  </r>
  <r>
    <x v="1"/>
    <x v="0"/>
    <s v="MMR001"/>
    <s v="Mohnyin"/>
    <s v="MMR001D002"/>
    <x v="1"/>
    <s v="MMR001009"/>
    <s v="Hpakan Town"/>
    <s v="MMR001009701"/>
    <s v="Maw Wam Ward"/>
    <s v="MMR001009701501"/>
    <x v="159"/>
    <x v="159"/>
    <x v="34"/>
    <m/>
    <m/>
    <n v="0"/>
    <n v="0"/>
    <s v="NA"/>
    <x v="0"/>
    <x v="0"/>
    <x v="0"/>
    <x v="1"/>
    <x v="6"/>
    <m/>
    <x v="2"/>
    <m/>
    <m/>
    <m/>
    <s v=" "/>
    <s v=""/>
    <n v="0"/>
    <m/>
    <n v="0"/>
    <s v=""/>
    <s v=""/>
    <s v=""/>
  </r>
  <r>
    <x v="0"/>
    <x v="0"/>
    <s v="MMR001"/>
    <s v="Mohnyin"/>
    <s v="MMR001D002"/>
    <x v="1"/>
    <s v="MMR001009"/>
    <s v="Hpakan Town"/>
    <s v="MMR001009701"/>
    <s v="Maw Wam Ward"/>
    <s v="MMR001009701501"/>
    <x v="160"/>
    <x v="160"/>
    <x v="133"/>
    <n v="25.615960999999999"/>
    <n v="281"/>
    <n v="4"/>
    <n v="26"/>
    <n v="6.5"/>
    <x v="0"/>
    <x v="0"/>
    <x v="0"/>
    <x v="0"/>
    <x v="18"/>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9/Nov/15. Population update. Data source: monthly report by HAP._x000a_14-Oct-15 Population update. Soruce; Hpakant Mission Report_WFP_x000a_25-Jun-15 (Population update. Source: Shalom)_x000a_18-May-15 (Population update from field mission)_x000a_2-Apr-15 (Population update, Source: UNHCR CCCM Mission)_x000a_Population update: Source: Camp Profile Round 2."/>
    <s v="P4"/>
    <n v="0"/>
    <m/>
    <n v="0"/>
    <s v="Hpakant Town"/>
    <n v="0.56771790814545575"/>
    <n v="1"/>
  </r>
  <r>
    <x v="0"/>
    <x v="0"/>
    <s v="MMR001"/>
    <s v="Mohnyin"/>
    <s v="MMR001D002"/>
    <x v="1"/>
    <s v="MMR001009"/>
    <s v="Nam Ma Hpyit"/>
    <s v="MMR001009002"/>
    <s v="Nam Ma Hpyit"/>
    <n v="166776"/>
    <x v="161"/>
    <x v="161"/>
    <x v="134"/>
    <n v="25.617998"/>
    <m/>
    <n v="12"/>
    <n v="55"/>
    <n v="4.583333333333333"/>
    <x v="0"/>
    <x v="0"/>
    <x v="0"/>
    <x v="0"/>
    <x v="21"/>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9/Nov/15. Population update. Data source: monthly report by HAP._x000a_14-Oct-15 Population update. Soruce; Hpakant Mission Report_WFP_x000a_25-Jun-15 (Population update. Source Shalom)_x000a_2-Apr-15 (Population update, Source: UNHCR CCCM Mission)_x000a_Population update: Source: Camp Profile Round 2."/>
    <s v="P4"/>
    <n v="0"/>
    <m/>
    <n v="0"/>
    <s v="Hpakant Town"/>
    <n v="2.814225084976667"/>
    <n v="1"/>
  </r>
  <r>
    <x v="0"/>
    <x v="0"/>
    <s v="MMR001"/>
    <s v="Bhamo"/>
    <s v="MMR001D003"/>
    <x v="5"/>
    <s v="MMR001010"/>
    <s v="Han Te"/>
    <s v="MMR001010024"/>
    <s v="Hpan Hkar Kone"/>
    <n v="166854"/>
    <x v="162"/>
    <x v="162"/>
    <x v="135"/>
    <n v="24.222349999999999"/>
    <n v="0"/>
    <n v="153"/>
    <n v="773"/>
    <n v="5.0522875816993462"/>
    <x v="0"/>
    <x v="0"/>
    <x v="0"/>
    <x v="0"/>
    <x v="21"/>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Population update: Source: Camp Profile Round 2."/>
    <s v="P4"/>
    <n v="27"/>
    <m/>
    <n v="27"/>
    <s v="Bhamo Town"/>
    <n v="4.067486452659054"/>
    <n v="1"/>
  </r>
  <r>
    <x v="0"/>
    <x v="0"/>
    <s v="MMR001"/>
    <s v="Bhamo"/>
    <s v="MMR001D003"/>
    <x v="5"/>
    <s v="MMR001010"/>
    <s v="Aung Thar"/>
    <s v="MMR001010048"/>
    <s v="Aung Thar"/>
    <n v="166904"/>
    <x v="163"/>
    <x v="163"/>
    <x v="135"/>
    <n v="24.260466999999998"/>
    <n v="0"/>
    <n v="12"/>
    <n v="55"/>
    <n v="4.583333333333333"/>
    <x v="0"/>
    <x v="0"/>
    <x v="0"/>
    <x v="0"/>
    <x v="23"/>
    <n v="1"/>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13/Dec/2015. Population update. Data source: mail by Ko Maran. reason for population changes: Aung Tar KBC camp still exist. WFP report about camp closure but the small camp still exist. We change the status as open again_x000a_9/Nov/15. Camp Closed_x000a_25-Jun-15 Population update. Source: KBC_x000a_Population Update. Source: KBC."/>
    <s v="P4"/>
    <n v="0"/>
    <m/>
    <n v="0"/>
    <s v="Bhamo Town"/>
    <n v="1.9489261822960435"/>
    <n v="1"/>
  </r>
  <r>
    <x v="1"/>
    <x v="0"/>
    <s v="MMR001"/>
    <s v="Mohnyin"/>
    <s v="MMR001D002"/>
    <x v="1"/>
    <s v="MMR001009"/>
    <s v="Lone Khin"/>
    <s v="MMR001009001"/>
    <s v="Lone Khin"/>
    <n v="166773"/>
    <x v="164"/>
    <x v="164"/>
    <x v="136"/>
    <n v="25.651440000000001"/>
    <m/>
    <n v="0"/>
    <n v="0"/>
    <s v="NA"/>
    <x v="0"/>
    <x v="0"/>
    <x v="0"/>
    <x v="1"/>
    <x v="6"/>
    <m/>
    <x v="2"/>
    <m/>
    <m/>
    <m/>
    <s v=" "/>
    <s v=""/>
    <n v="0"/>
    <m/>
    <n v="0"/>
    <s v=""/>
    <s v=""/>
    <s v=""/>
  </r>
  <r>
    <x v="0"/>
    <x v="0"/>
    <s v="MMR001"/>
    <s v="Myitkyina"/>
    <s v="MMR001D001"/>
    <x v="4"/>
    <s v="MMR001005"/>
    <s v="Urban"/>
    <s v="MMR001005701"/>
    <s v="Rit Law"/>
    <m/>
    <x v="165"/>
    <x v="165"/>
    <x v="137"/>
    <n v="25.887339999999998"/>
    <n v="259.10000000000002"/>
    <n v="144"/>
    <n v="644"/>
    <n v="4.4722222222222223"/>
    <x v="0"/>
    <x v="0"/>
    <x v="0"/>
    <x v="2"/>
    <x v="8"/>
    <n v="1"/>
    <x v="1"/>
    <s v="IP"/>
    <m/>
    <d v="2017-06-29T00:00:00"/>
    <s v="29/June/2017: Population update. Data source: Shalom_x000a_2/June/2017: Population update. Data source: Shalom_x000a_3/May/2017: Population update. Data source: Shalom_x000a_24/April/2017: Population update. Data source: Shalom_x000a_14/Feb/2017: Population update. Data source: Shalom (the same data with previous month)_x000a_10/Jan/2017: Population update. Data source: Shalom._x000a_21 Oct 2016: Population update. Data source: Shalom_x000a_20/Jul/2016: Population update. Data source: Shalom_x000a_16/Jun/2016: Population update. Data source: mail by Shalom_x000a_16/Jun/2016. Population update. Data source: monthly report from KMSS_MYT_x000a_10 May 2016. Population update: Data source_Shalom_x000a_28/Jan/2016. (New added camp) Population update. Data source: KBC (mail by maran)_x000a_9/Nov/15. Population update. Data source: monthly report by HAP._x000a_19-Aug-15 Population update. Source: Shalom_x000a_25-Jun-15 (Population update. Source: Shalom)_x000a_2-Apr-15 (Population update, Source: UNHCR CCCM Mission)_x000a_Population update: Source: Camp Profile Round 2."/>
    <s v="P1"/>
    <n v="71"/>
    <m/>
    <n v="71"/>
    <s v="Chipwi Town"/>
    <n v="0"/>
    <n v="1"/>
  </r>
  <r>
    <x v="0"/>
    <x v="0"/>
    <s v="MMR001"/>
    <s v="Bhamo"/>
    <s v="MMR001D003"/>
    <x v="7"/>
    <s v="MMR001013"/>
    <s v="Mansi Town"/>
    <s v="MMR001013701"/>
    <m/>
    <m/>
    <x v="136"/>
    <x v="166"/>
    <x v="138"/>
    <n v="24.118618999999999"/>
    <m/>
    <n v="73"/>
    <n v="274"/>
    <n v="3.7534246575342465"/>
    <x v="0"/>
    <x v="0"/>
    <x v="1"/>
    <x v="0"/>
    <x v="6"/>
    <m/>
    <x v="2"/>
    <s v="IP"/>
    <m/>
    <d v="2017-04-07T00:00:00"/>
    <s v="7/April/2017: Population update. Data source: WFP_x000a_9/Nov/15. Population update. Data source: mail from Pancy (WFP)._x000a_Update IDP increased in Oct and Nov 2013 from (UNHCR - Bhamo)"/>
    <s v="P4"/>
    <n v="0"/>
    <m/>
    <n v="0"/>
    <s v="Mansi Town"/>
    <n v="0.51447052329458698"/>
    <n v="1"/>
  </r>
  <r>
    <x v="0"/>
    <x v="0"/>
    <s v="MMR001"/>
    <s v="Bhamo"/>
    <s v="MMR001D003"/>
    <x v="6"/>
    <s v="MMR001012"/>
    <s v="Momauk Town"/>
    <s v="MMR001012701"/>
    <m/>
    <m/>
    <x v="136"/>
    <x v="167"/>
    <x v="139"/>
    <n v="24.251232000000002"/>
    <m/>
    <n v="226"/>
    <n v="1048"/>
    <n v="4.6371681415929205"/>
    <x v="0"/>
    <x v="0"/>
    <x v="1"/>
    <x v="0"/>
    <x v="6"/>
    <m/>
    <x v="2"/>
    <s v="RRD"/>
    <m/>
    <d v="2017-04-07T00:00:00"/>
    <s v="7/April/2017: Population update. Data source: WFP_x000a_9/Nov/15. Population update. Data source: mail from Pancy (WFP)."/>
    <s v="P4"/>
    <n v="0"/>
    <m/>
    <n v="0"/>
    <s v="Momauk Town"/>
    <n v="0.60629049139006752"/>
    <n v="1"/>
  </r>
  <r>
    <x v="1"/>
    <x v="0"/>
    <s v="MMR001"/>
    <s v="Bhamo"/>
    <s v="MMR001D003"/>
    <x v="6"/>
    <s v="MMR001012"/>
    <s v="Man Ping (Ping) (Dawthponeyan Sub-township)"/>
    <s v="MMR001012052"/>
    <s v="Man Ping"/>
    <n v="167270"/>
    <x v="166"/>
    <x v="168"/>
    <x v="140"/>
    <n v="24.759551999999999"/>
    <m/>
    <m/>
    <m/>
    <s v="NA"/>
    <x v="0"/>
    <x v="0"/>
    <x v="1"/>
    <x v="2"/>
    <x v="6"/>
    <m/>
    <x v="2"/>
    <s v="RRD"/>
    <m/>
    <d v="2017-07-11T00:00:00"/>
    <s v="11/Jul/2017: Change status to Close as no update available_x000a_Geo-Info, HH/Pop data was updated from Google Earth."/>
    <s v="P4"/>
    <n v="0"/>
    <m/>
    <n v="0"/>
    <s v="Dawthponeyan  Town"/>
    <n v="24.701686141136339"/>
    <n v="5"/>
  </r>
  <r>
    <x v="1"/>
    <x v="0"/>
    <s v="MMR001"/>
    <s v="Bhamo"/>
    <s v="MMR001D003"/>
    <x v="8"/>
    <s v="MMR001011"/>
    <s v="Shwegu Town"/>
    <s v="MMR001011701"/>
    <m/>
    <m/>
    <x v="136"/>
    <x v="169"/>
    <x v="141"/>
    <n v="24.224830999999998"/>
    <m/>
    <m/>
    <m/>
    <s v="NA"/>
    <x v="0"/>
    <x v="0"/>
    <x v="1"/>
    <x v="0"/>
    <x v="6"/>
    <m/>
    <x v="2"/>
    <s v="RRD"/>
    <m/>
    <d v="2017-07-11T00:00:00"/>
    <s v="11/Jul/2017: Change status to Close as no update available."/>
    <s v="P4"/>
    <n v="0"/>
    <m/>
    <n v="0"/>
    <s v="Shwegu Town"/>
    <n v="2.3794331620169178"/>
    <n v="1"/>
  </r>
  <r>
    <x v="0"/>
    <x v="0"/>
    <s v="MMR001"/>
    <s v="Bhamo"/>
    <s v="MMR001D003"/>
    <x v="6"/>
    <s v="MMR001012"/>
    <s v="Khon Sint"/>
    <s v="MMR001012013"/>
    <s v="Khon Sint"/>
    <n v="167060"/>
    <x v="167"/>
    <x v="170"/>
    <x v="142"/>
    <n v="24.377054000000001"/>
    <m/>
    <n v="4"/>
    <n v="26"/>
    <n v="6.5"/>
    <x v="0"/>
    <x v="0"/>
    <x v="1"/>
    <x v="2"/>
    <x v="6"/>
    <m/>
    <x v="2"/>
    <s v="RRD"/>
    <m/>
    <d v="2014-03-03T00:00:00"/>
    <s v="Update from OCHA Data (2 Jan 2014)"/>
    <s v="P4"/>
    <n v="0"/>
    <m/>
    <n v="0"/>
    <s v="Momauk Town"/>
    <n v="13.446032768350749"/>
    <n v="3"/>
  </r>
  <r>
    <x v="1"/>
    <x v="0"/>
    <s v="MMR001"/>
    <s v="Myitkyina"/>
    <s v="MMR001D001"/>
    <x v="2"/>
    <s v="MMR001002"/>
    <s v="Hkat Shu"/>
    <s v="MMR001002003"/>
    <s v="Hkat Shu"/>
    <n v="165735"/>
    <x v="168"/>
    <x v="171"/>
    <x v="143"/>
    <n v="25.328987000000001"/>
    <m/>
    <m/>
    <m/>
    <s v="NA"/>
    <x v="0"/>
    <x v="0"/>
    <x v="0"/>
    <x v="1"/>
    <x v="6"/>
    <m/>
    <x v="2"/>
    <m/>
    <m/>
    <m/>
    <s v=" "/>
    <s v=""/>
    <n v="0"/>
    <m/>
    <n v="0"/>
    <s v=""/>
    <s v=""/>
    <s v=""/>
  </r>
  <r>
    <x v="1"/>
    <x v="0"/>
    <s v="MMR001"/>
    <s v="Bhamo"/>
    <s v="MMR001D003"/>
    <x v="6"/>
    <s v="MMR001012"/>
    <s v="Momauk Town"/>
    <s v="MMR001012701"/>
    <s v="Kyay Nan Waing Ward"/>
    <s v="MMR001012701503"/>
    <x v="169"/>
    <x v="172"/>
    <x v="144"/>
    <n v="24.25177"/>
    <n v="0"/>
    <m/>
    <m/>
    <s v="NA"/>
    <x v="0"/>
    <x v="0"/>
    <x v="0"/>
    <x v="0"/>
    <x v="2"/>
    <n v="2"/>
    <x v="4"/>
    <s v="IP"/>
    <m/>
    <d v="2014-11-28T00:00:00"/>
    <s v="Closed. Population relocated to Man Bung Catholic Compound (MMR001CMP062)"/>
    <s v="P4"/>
    <n v="0"/>
    <m/>
    <n v="0"/>
    <s v=""/>
    <s v=""/>
    <s v=""/>
  </r>
  <r>
    <x v="0"/>
    <x v="1"/>
    <s v="MMR015"/>
    <s v="Kyaukme"/>
    <s v="MMR015D003"/>
    <x v="18"/>
    <s v="MMR015015"/>
    <s v="Namtu Town"/>
    <s v="MMR015015701"/>
    <s v="Namtu Ward"/>
    <s v="MMR015015701501"/>
    <x v="170"/>
    <x v="173"/>
    <x v="145"/>
    <n v="23.094290000000001"/>
    <n v="534.29999999999995"/>
    <n v="44"/>
    <n v="186"/>
    <n v="4.2272727272727275"/>
    <x v="0"/>
    <x v="0"/>
    <x v="0"/>
    <x v="0"/>
    <x v="7"/>
    <n v="1"/>
    <x v="0"/>
    <s v="IP"/>
    <m/>
    <d v="2017-07-03T00:00:00"/>
    <s v="3/Jul/2017: Namtu KBC 1(MMR015CMP230) and Namtu KBC 2 (MMR015CMP231) are already integrated into the old camp ( Nam Tu Baptist (MMR015CMP014)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Update population. Source: Camp Profile."/>
    <s v="P3"/>
    <n v="34"/>
    <m/>
    <n v="34"/>
    <s v="Namtu Town"/>
    <n v="0.37588352961435612"/>
    <n v="1"/>
  </r>
  <r>
    <x v="1"/>
    <x v="1"/>
    <s v="MMR015"/>
    <s v="Muse"/>
    <s v="MMR015D002"/>
    <x v="13"/>
    <s v="MMR015011"/>
    <s v="Kar Lai Kone Hsar"/>
    <s v="MMR015011005"/>
    <s v="Kar Lai"/>
    <n v="208557"/>
    <x v="171"/>
    <x v="174"/>
    <x v="146"/>
    <n v="23.4008"/>
    <n v="0"/>
    <m/>
    <m/>
    <s v="NA"/>
    <x v="0"/>
    <x v="0"/>
    <x v="0"/>
    <x v="2"/>
    <x v="21"/>
    <m/>
    <x v="0"/>
    <s v="IP"/>
    <m/>
    <d v="2017-04-27T00:00:00"/>
    <s v="27/Apr/2017: Changed camp status as &quot;Closed&quot;, Data source: KBC._x000a_15/Mar/2017: Population update, KBC is not responsible  org started from December 2016. Data Source: KBC_x000a_24/Feb/2017: Population update. Data source: KBC_x000a_18/Jul/2016: Population updte. Data source: KBC_x000a_12/May/2016. Population update. Data source: KBC_x000a_25-Jun-15 Population update. Source: KBC_x000a_Update population. Source: Camp Profile."/>
    <s v="P3"/>
    <n v="0"/>
    <m/>
    <n v="0"/>
    <s v="Kutkai Town"/>
    <n v="11.65743881259678"/>
    <n v="3"/>
  </r>
  <r>
    <x v="0"/>
    <x v="0"/>
    <s v="MMR001"/>
    <s v="Puta-O"/>
    <s v="MMR001D004"/>
    <x v="19"/>
    <s v="MMR001015"/>
    <s v="Sumprabum Town"/>
    <s v="MMR001015701"/>
    <m/>
    <m/>
    <x v="172"/>
    <x v="175"/>
    <x v="147"/>
    <n v="26.541930000000001"/>
    <n v="1025"/>
    <n v="5"/>
    <n v="32"/>
    <n v="6.4"/>
    <x v="0"/>
    <x v="0"/>
    <x v="0"/>
    <x v="2"/>
    <x v="6"/>
    <m/>
    <x v="2"/>
    <s v="RRD"/>
    <m/>
    <d v="2017-07-11T00:00:00"/>
    <s v="No update information"/>
    <s v="P4"/>
    <n v="5"/>
    <m/>
    <n v="5"/>
    <s v="Sumprabum Town"/>
    <n v="0.23004407510846425"/>
    <n v="1"/>
  </r>
  <r>
    <x v="0"/>
    <x v="0"/>
    <s v="MMR001"/>
    <s v="Myitkyina"/>
    <s v="MMR001D001"/>
    <x v="2"/>
    <s v="MMR001002"/>
    <s v="Nam Sang Yang"/>
    <s v="MMR001002024"/>
    <m/>
    <m/>
    <x v="173"/>
    <x v="176"/>
    <x v="148"/>
    <n v="24.752471"/>
    <m/>
    <m/>
    <n v="1047"/>
    <s v="NA"/>
    <x v="1"/>
    <x v="0"/>
    <x v="4"/>
    <x v="0"/>
    <x v="6"/>
    <m/>
    <x v="2"/>
    <s v="IRRC"/>
    <m/>
    <d v="2014-09-17T00:00:00"/>
    <s v="In 2014, this school is no longer accepting the lower grade students."/>
    <s v="P2"/>
    <n v="0"/>
    <m/>
    <n v="0"/>
    <s v="Laiza town"/>
    <n v="2.3307568207764655"/>
    <n v="1"/>
  </r>
  <r>
    <x v="0"/>
    <x v="1"/>
    <s v="MMR015"/>
    <s v="Muse"/>
    <s v="MMR015D002"/>
    <x v="13"/>
    <s v="MMR015011"/>
    <s v="Kutkai Town"/>
    <s v="MMR015011701"/>
    <s v="No (5) Ward"/>
    <s v="MMR015011701505"/>
    <x v="174"/>
    <x v="177"/>
    <x v="149"/>
    <n v="23.450914000000001"/>
    <n v="4336"/>
    <n v="57"/>
    <n v="280"/>
    <n v="4.9122807017543861"/>
    <x v="0"/>
    <x v="0"/>
    <x v="0"/>
    <x v="0"/>
    <x v="16"/>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5-Jun-15 Population update. Source: KBC_x000a_Update population. Source: Camp Profile."/>
    <s v="P3"/>
    <n v="0"/>
    <m/>
    <n v="0"/>
    <s v="Kutkai Town"/>
    <n v="1.9281430163271129"/>
    <n v="1"/>
  </r>
  <r>
    <x v="0"/>
    <x v="0"/>
    <s v="MMR001"/>
    <s v="Myitkyina"/>
    <s v="MMR001D001"/>
    <x v="4"/>
    <s v="MMR001005"/>
    <s v="Pang War Town"/>
    <s v="MMR001005702"/>
    <s v="No (2) Ward"/>
    <s v="MMR001005702502"/>
    <x v="175"/>
    <x v="178"/>
    <x v="150"/>
    <n v="25.60867"/>
    <n v="2345"/>
    <n v="57"/>
    <n v="262"/>
    <n v="4.5964912280701755"/>
    <x v="0"/>
    <x v="0"/>
    <x v="0"/>
    <x v="2"/>
    <x v="25"/>
    <n v="1"/>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2/Dec/2015 (population update. Data source: Monthly report by KMSS-MYT). _x000a_23-Oct-2015 (Population update. Data Source: Monthly report by KMSS-MYT). Reason for population changes; Travelling from the camp for Daily Worker._x000a_19-Aug-2015 (Population update. Data Source: KMSS-MYT)_x000a_2-Apr-15 (Population update, Source: UNHCR CCCM Mission)_x000a_New Camp. KMSS-MYT"/>
    <s v="P1"/>
    <n v="57"/>
    <m/>
    <n v="57"/>
    <s v="Pang War Town"/>
    <n v="0.18710270881855062"/>
    <n v="1"/>
  </r>
  <r>
    <x v="0"/>
    <x v="1"/>
    <s v="MMR015"/>
    <s v="Muse"/>
    <s v="MMR015D002"/>
    <x v="13"/>
    <s v="MMR015011"/>
    <s v="Kutkai Town"/>
    <s v="MMR015011701"/>
    <s v="No (3) Ward"/>
    <s v="MMR015011701503"/>
    <x v="176"/>
    <x v="179"/>
    <x v="151"/>
    <n v="23.460349999999998"/>
    <n v="4430"/>
    <n v="30"/>
    <n v="145"/>
    <n v="4.833333333333333"/>
    <x v="0"/>
    <x v="0"/>
    <x v="0"/>
    <x v="0"/>
    <x v="16"/>
    <m/>
    <x v="5"/>
    <s v="IP"/>
    <m/>
    <d v="2017-06-29T00:00:00"/>
    <s v="29/Jun/2017: Population update. Data source:KMSS_Lashio/ the same pop data with April._x000a_24/Apr/2017: Population update. Data source:KMSS_Lashio_x000a_14/Feb/2017: Population update. Data source: KMSS_LSO_x000a_10/Jan/2017: Population update. Data source: KMSS_LSO_x000a_27/Oct/2016: Population update. Data source: KMSS_Lashio_x000a_1/Sep/2016: Population update. Data source: KMSS_LSO_x000a_14/Jul/2016: Population update. Data source: KMSS_LSO_x000a_28/Jan/2016. Population update. Data source: KMSS_LSO_x000a_19-Aug-15 (Population update. Source: MKSS-LSO)_x000a_25-Jun-15 (Population update. Source: KMSS-LSO)_x000a_Population updated. Source: Shelter unit."/>
    <s v="P3"/>
    <n v="0"/>
    <m/>
    <n v="0"/>
    <s v="Kutkai Town"/>
    <n v="0.42212558305526549"/>
    <n v="1"/>
  </r>
  <r>
    <x v="1"/>
    <x v="0"/>
    <s v="MMR001"/>
    <s v="Bhamo"/>
    <s v="MMR001D003"/>
    <x v="7"/>
    <s v="MMR001013"/>
    <s v="Mung Ding Pa"/>
    <s v="MMR001013038"/>
    <s v="Mung Ding Pa"/>
    <n v="167495"/>
    <x v="177"/>
    <x v="180"/>
    <x v="152"/>
    <n v="23.867000000000001"/>
    <m/>
    <m/>
    <m/>
    <s v="NA"/>
    <x v="1"/>
    <x v="0"/>
    <x v="0"/>
    <x v="1"/>
    <x v="6"/>
    <m/>
    <x v="2"/>
    <m/>
    <m/>
    <d v="2014-03-03T00:00:00"/>
    <s v="Closed. Same with (Namhkan St. Thomas 1)"/>
    <s v=""/>
    <n v="0"/>
    <m/>
    <n v="0"/>
    <s v=""/>
    <s v=""/>
    <s v=""/>
  </r>
  <r>
    <x v="1"/>
    <x v="0"/>
    <s v="MMR001"/>
    <s v="Bhamo"/>
    <s v="MMR001D003"/>
    <x v="7"/>
    <s v="MMR001013"/>
    <s v="Mung Ding Pa"/>
    <s v="MMR001013038"/>
    <m/>
    <m/>
    <x v="178"/>
    <x v="181"/>
    <x v="153"/>
    <n v="24.20645"/>
    <n v="781.8"/>
    <n v="0"/>
    <n v="0"/>
    <s v="NA"/>
    <x v="1"/>
    <x v="0"/>
    <x v="0"/>
    <x v="2"/>
    <x v="25"/>
    <m/>
    <x v="2"/>
    <s v="IP"/>
    <m/>
    <d v="2014-01-22T00:00:00"/>
    <s v="Closed: Source UNHCR-Bhamo"/>
    <s v=""/>
    <n v="0"/>
    <m/>
    <n v="0"/>
    <s v=""/>
    <s v=""/>
    <s v=""/>
  </r>
  <r>
    <x v="0"/>
    <x v="1"/>
    <s v="MMR015"/>
    <s v="Muse"/>
    <s v="MMR015D002"/>
    <x v="13"/>
    <s v="MMR015011"/>
    <s v="Mong Yu"/>
    <s v="MMR015011030"/>
    <s v="Mong Yu"/>
    <n v="208747"/>
    <x v="179"/>
    <x v="182"/>
    <x v="154"/>
    <n v="23.588920000000002"/>
    <n v="1012.5"/>
    <n v="68"/>
    <n v="305"/>
    <n v="4.4852941176470589"/>
    <x v="0"/>
    <x v="0"/>
    <x v="0"/>
    <x v="2"/>
    <x v="21"/>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Update population. Source: Camp Profile."/>
    <s v="P3"/>
    <n v="5"/>
    <m/>
    <n v="5"/>
    <s v="Kutkai Town"/>
    <n v="21.050742639251741"/>
    <n v="5"/>
  </r>
  <r>
    <x v="1"/>
    <x v="0"/>
    <s v="MMR001"/>
    <s v="Mohnyin"/>
    <s v="MMR001D002"/>
    <x v="1"/>
    <s v="MMR001009"/>
    <s v="Lone Khin"/>
    <s v="MMR001009001"/>
    <s v="Lone Khin"/>
    <n v="166773"/>
    <x v="180"/>
    <x v="183"/>
    <x v="155"/>
    <n v="25.658670000000001"/>
    <n v="0"/>
    <n v="0"/>
    <n v="0"/>
    <s v="NA"/>
    <x v="0"/>
    <x v="0"/>
    <x v="0"/>
    <x v="2"/>
    <x v="21"/>
    <m/>
    <x v="2"/>
    <s v="RRD"/>
    <m/>
    <d v="2014-05-15T00:00:00"/>
    <s v="Closed."/>
    <s v=""/>
    <n v="0"/>
    <m/>
    <n v="0"/>
    <s v=""/>
    <s v=""/>
    <s v=""/>
  </r>
  <r>
    <x v="1"/>
    <x v="0"/>
    <s v="MMR001"/>
    <s v="Myitkyina"/>
    <s v="MMR001D001"/>
    <x v="0"/>
    <s v="MMR001001"/>
    <s v="Myitkyina Town"/>
    <s v="MMR001001701"/>
    <s v="Myay Myint Ward"/>
    <s v="MMR001001701517"/>
    <x v="181"/>
    <x v="184"/>
    <x v="156"/>
    <n v="25.387862999999999"/>
    <n v="0"/>
    <m/>
    <m/>
    <s v="NA"/>
    <x v="0"/>
    <x v="0"/>
    <x v="0"/>
    <x v="0"/>
    <x v="3"/>
    <n v="1"/>
    <x v="1"/>
    <s v="IP"/>
    <m/>
    <d v="2015-06-25T00:00:00"/>
    <s v="25-Jun-15 Relocate to Shatapru Thida Aye Baptist Church_x000a_Population update: Source: Camp Profile Round 2."/>
    <s v="P4"/>
    <n v="0"/>
    <m/>
    <n v="0"/>
    <s v="Myitkyina Town"/>
    <n v="1.3751794210741128"/>
    <n v="1"/>
  </r>
  <r>
    <x v="1"/>
    <x v="0"/>
    <s v="MMR001"/>
    <s v="Bhamo"/>
    <s v="MMR001D003"/>
    <x v="7"/>
    <s v="MMR001013"/>
    <s v="Man Wein"/>
    <s v="MMR001013021"/>
    <m/>
    <m/>
    <x v="182"/>
    <x v="185"/>
    <x v="34"/>
    <m/>
    <m/>
    <n v="0"/>
    <n v="0"/>
    <s v="NA"/>
    <x v="1"/>
    <x v="0"/>
    <x v="0"/>
    <x v="1"/>
    <x v="6"/>
    <m/>
    <x v="2"/>
    <s v="IP"/>
    <m/>
    <d v="2014-04-08T00:00:00"/>
    <s v="Closed. Move to Bum Tist Pa II and Man Wing. HH113/Pop837"/>
    <s v=""/>
    <n v="0"/>
    <m/>
    <n v="0"/>
    <s v=""/>
    <s v=""/>
    <s v=""/>
  </r>
  <r>
    <x v="0"/>
    <x v="0"/>
    <s v="MMR001"/>
    <s v="Bhamo"/>
    <s v="MMR001D003"/>
    <x v="7"/>
    <s v="MMR001013"/>
    <s v="Maing Khaung"/>
    <s v="MMR001013007"/>
    <s v="Maing Khaung"/>
    <n v="167301"/>
    <x v="183"/>
    <x v="186"/>
    <x v="157"/>
    <n v="23.972453000000002"/>
    <n v="466"/>
    <n v="403"/>
    <n v="1855"/>
    <n v="4.6029776674937963"/>
    <x v="0"/>
    <x v="0"/>
    <x v="0"/>
    <x v="2"/>
    <x v="29"/>
    <n v="2"/>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13/Dec/2014. Population update. Data source: Mail by Ko Maran. Reason for Pop changes: Following September 2016 conflict there was sudden increase of IDP pp in Mansi and Mahkawng_x000a_2/Dec/2015. Population update. Data source: KBC_x000a_2-Oct-14 Population update (New arrival). Data source: NFI distribution list from Bhamo._x000a_19-Aug-15 Population update. Source: KBC._x000a_25-Jun-15 Population update. Source: KBC_x000a_Population update: Source: Camp Profile Round 2."/>
    <s v="P4"/>
    <n v="94"/>
    <m/>
    <n v="94"/>
    <s v="Mansi Town"/>
    <n v="17.731070777343263"/>
    <n v="4"/>
  </r>
  <r>
    <x v="1"/>
    <x v="1"/>
    <s v="MMR015"/>
    <s v="Muse"/>
    <s v="MMR015D002"/>
    <x v="13"/>
    <s v="MMR015011"/>
    <s v="Long Waun Nam Rein (Tarmoenye Sub-township)"/>
    <s v="MMR015011050"/>
    <s v="Mai Pong (Shu See)"/>
    <m/>
    <x v="184"/>
    <x v="187"/>
    <x v="158"/>
    <n v="23.391741"/>
    <n v="0"/>
    <n v="0"/>
    <n v="0"/>
    <s v="NA"/>
    <x v="0"/>
    <x v="0"/>
    <x v="0"/>
    <x v="2"/>
    <x v="23"/>
    <m/>
    <x v="2"/>
    <s v="IP"/>
    <m/>
    <d v="2014-03-03T00:00:00"/>
    <s v="Close. Same with Kutkai Down Town RC. Source UNHCR Bhamo"/>
    <s v=""/>
    <n v="0"/>
    <m/>
    <n v="0"/>
    <s v=""/>
    <s v=""/>
    <s v=""/>
  </r>
  <r>
    <x v="0"/>
    <x v="1"/>
    <s v="MMR015"/>
    <s v="Muse"/>
    <s v="MMR015D002"/>
    <x v="13"/>
    <s v="MMR015011"/>
    <s v="Kar Lai Kone Hsar"/>
    <s v="MMR015011005"/>
    <s v="Kar Lai"/>
    <n v="208557"/>
    <x v="185"/>
    <x v="188"/>
    <x v="159"/>
    <n v="23.38503"/>
    <n v="0"/>
    <n v="186"/>
    <n v="951"/>
    <n v="5.112903225806452"/>
    <x v="0"/>
    <x v="0"/>
    <x v="0"/>
    <x v="2"/>
    <x v="16"/>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18/Jul/2016: Population updte. Data source: KBC_x000a_15/Jun/2016: Population update. Data source: monthly report by KBC_x000a_12/May/2016. Population update. Data source: KBC_x000a_28/Jan/2016. Population update. Data source: KBC_x000a_25-Jun-15 Population update. Source: KBC_x000a_Population update. Source: KBC."/>
    <s v="P3"/>
    <n v="85"/>
    <m/>
    <n v="85"/>
    <s v="Kutkai Town"/>
    <n v="13.632081902964599"/>
    <n v="3"/>
  </r>
  <r>
    <x v="0"/>
    <x v="1"/>
    <s v="MMR015"/>
    <s v="Muse"/>
    <s v="MMR015D002"/>
    <x v="12"/>
    <s v="MMR015009"/>
    <s v="Hpai Kawng"/>
    <s v="MMR015009031"/>
    <s v="Hpai Kawng"/>
    <n v="208156"/>
    <x v="186"/>
    <x v="189"/>
    <x v="160"/>
    <n v="24.08738"/>
    <m/>
    <n v="32"/>
    <n v="187"/>
    <n v="5.84375"/>
    <x v="0"/>
    <x v="0"/>
    <x v="1"/>
    <x v="2"/>
    <x v="6"/>
    <m/>
    <x v="2"/>
    <s v="IRRC"/>
    <m/>
    <d v="2017-06-02T00:00:00"/>
    <s v="2/June/2017: Population updated. Data source: WASH Cluster (dated 7/April_outlook mail)_x000a_Change to Host Families."/>
    <s v="P4"/>
    <n v="0"/>
    <m/>
    <n v="0"/>
    <s v="Pang Hseng (Kyu Koke) Town"/>
    <n v="5.5919136174199959"/>
    <n v="2"/>
  </r>
  <r>
    <x v="1"/>
    <x v="0"/>
    <s v="MMR001"/>
    <s v="Bhamo"/>
    <s v="MMR001D003"/>
    <x v="7"/>
    <s v="MMR001013"/>
    <s v="Nam Lin Pa"/>
    <s v="MMR001013037"/>
    <m/>
    <m/>
    <x v="187"/>
    <x v="190"/>
    <x v="161"/>
    <n v="23.75817"/>
    <n v="781.8"/>
    <n v="0"/>
    <n v="0"/>
    <s v="NA"/>
    <x v="1"/>
    <x v="0"/>
    <x v="0"/>
    <x v="2"/>
    <x v="25"/>
    <m/>
    <x v="2"/>
    <s v="IP"/>
    <m/>
    <m/>
    <s v="Closed: Source UNHCR-Bhamo"/>
    <s v=""/>
    <n v="0"/>
    <m/>
    <n v="0"/>
    <s v=""/>
    <s v=""/>
    <s v=""/>
  </r>
  <r>
    <x v="0"/>
    <x v="0"/>
    <s v="MMR001"/>
    <s v="Bhamo"/>
    <s v="MMR001D003"/>
    <x v="7"/>
    <s v="MMR001013"/>
    <s v="Maing Khaung"/>
    <s v="MMR001013007"/>
    <s v="Maing Khaung"/>
    <n v="167301"/>
    <x v="188"/>
    <x v="191"/>
    <x v="162"/>
    <n v="23.976571"/>
    <n v="478"/>
    <n v="174"/>
    <n v="779"/>
    <n v="4.4770114942528734"/>
    <x v="0"/>
    <x v="0"/>
    <x v="0"/>
    <x v="2"/>
    <x v="29"/>
    <n v="2"/>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28/Jan/2016. Population update. Data source: KMSS _x000a_19-Aug-15 Update population. Source KMSS-BMO_x000a_Geo-Info update."/>
    <s v="P4"/>
    <n v="124"/>
    <m/>
    <n v="124"/>
    <s v="Kamaing Town"/>
    <n v="12.257552920582597"/>
    <n v="3"/>
  </r>
  <r>
    <x v="1"/>
    <x v="0"/>
    <s v="MMR001"/>
    <s v="Bhamo"/>
    <s v="MMR001D003"/>
    <x v="7"/>
    <s v="MMR001013"/>
    <s v="Nam Lin Pa"/>
    <s v="MMR001013037"/>
    <m/>
    <m/>
    <x v="189"/>
    <x v="192"/>
    <x v="34"/>
    <m/>
    <m/>
    <n v="0"/>
    <n v="0"/>
    <s v="NA"/>
    <x v="1"/>
    <x v="0"/>
    <x v="0"/>
    <x v="1"/>
    <x v="6"/>
    <m/>
    <x v="2"/>
    <s v="IP"/>
    <m/>
    <m/>
    <s v="Closed: Source UNHCR-Bhamo"/>
    <s v=""/>
    <n v="0"/>
    <m/>
    <n v="0"/>
    <s v=""/>
    <s v=""/>
    <s v=""/>
  </r>
  <r>
    <x v="0"/>
    <x v="0"/>
    <s v="MMR001"/>
    <s v="Myitkyina"/>
    <s v="MMR001D001"/>
    <x v="4"/>
    <s v="MMR001005"/>
    <s v="Lang Jaw"/>
    <s v="MMR001005022"/>
    <s v="Saw Zam"/>
    <m/>
    <x v="190"/>
    <x v="193"/>
    <x v="163"/>
    <n v="25.645959999999999"/>
    <n v="1945"/>
    <n v="31"/>
    <n v="176"/>
    <n v="5.67741935483871"/>
    <x v="0"/>
    <x v="0"/>
    <x v="0"/>
    <x v="0"/>
    <x v="25"/>
    <m/>
    <x v="3"/>
    <s v="IP"/>
    <m/>
    <d v="2017-06-29T00:00:00"/>
    <s v="29/June/2017: Pop update. Data source: KMSS_Myitkyina_x000a_2/June/2017: Pop update. Data source: KMSS_Myitkyina_x000a_3/May/2017: Pop update. Data source: KMSS_Myitkyina_x000a_24/Apr/2017: Pop update. Data source: KMSS_Myitkyina_x000a_14/Feb/2017: Population update. Data source: KMSS_Myitkyina_x000a_10/Jan/2017: Population update. Data source: KMSS_Myitkyina_x000a_21/Oct/2016: Population update. Data source: KMSS_Myitkyina_x000a_1/Sep/2016: population update. Data source: KMSS_Myitkyina_x000a_14/Jul/2016: Population update. Data Source:KMSS_Myitkyina_x000a_16/Jun/2016. Population update. Data source: monthly report from KMSS_MYT_x000a_10/May/2016. Population Update. Data source: KMSS_x000a_28/Jan/2016. Population update. Data source: KBC _x000a_19-Aug-15 (Population update. Data Source: KMSS-MYT)_x000a_2-Apr-15 (Population update, Source: UNHCR CCCM Mission)_x000a_Population Update. Source: KMSS-MYT"/>
    <s v="P1"/>
    <n v="31"/>
    <m/>
    <n v="31"/>
    <s v="Naypyitaw Town"/>
    <n v="0"/>
    <n v="1"/>
  </r>
  <r>
    <x v="1"/>
    <x v="0"/>
    <s v="MMR001"/>
    <s v="Bhamo"/>
    <s v="MMR001D003"/>
    <x v="7"/>
    <s v="MMR001013"/>
    <s v="Nam Lin Pa"/>
    <s v="MMR001013037"/>
    <m/>
    <m/>
    <x v="191"/>
    <x v="194"/>
    <x v="161"/>
    <n v="23.75817"/>
    <m/>
    <n v="0"/>
    <n v="0"/>
    <s v="NA"/>
    <x v="1"/>
    <x v="0"/>
    <x v="0"/>
    <x v="1"/>
    <x v="6"/>
    <m/>
    <x v="2"/>
    <s v="IRRC"/>
    <m/>
    <m/>
    <s v="This IDP are registered in Nam Lim pa (Boarder) (MMR001CMP204). We should not calculate this number in total. "/>
    <s v=""/>
    <n v="0"/>
    <m/>
    <n v="0"/>
    <s v=""/>
    <s v=""/>
    <s v=""/>
  </r>
  <r>
    <x v="0"/>
    <x v="0"/>
    <s v="MMR001"/>
    <s v="Puta-O"/>
    <s v="MMR001D004"/>
    <x v="9"/>
    <s v="MMR001014"/>
    <s v="Lang Taung"/>
    <s v="MMR001014009"/>
    <s v="Inn Lel Yan"/>
    <n v="217032"/>
    <x v="192"/>
    <x v="195"/>
    <x v="164"/>
    <n v="27.248964999999998"/>
    <n v="398"/>
    <n v="10"/>
    <n v="56"/>
    <n v="5.6"/>
    <x v="0"/>
    <x v="0"/>
    <x v="1"/>
    <x v="2"/>
    <x v="24"/>
    <m/>
    <x v="2"/>
    <s v="IP"/>
    <m/>
    <d v="2017-07-11T00:00:00"/>
    <s v="11/Jul/2017: Not updated due to lack of access._x000a_New host families."/>
    <s v="P3"/>
    <n v="0"/>
    <m/>
    <n v="0"/>
    <s v="Machanbaw Town"/>
    <n v="4.789460146835963"/>
    <n v="1"/>
  </r>
  <r>
    <x v="0"/>
    <x v="0"/>
    <s v="MMR001"/>
    <s v="Bhamo"/>
    <s v="MMR001D003"/>
    <x v="7"/>
    <s v="MMR001013"/>
    <s v="Man Wein"/>
    <s v="MMR001013021"/>
    <s v="Man Wein"/>
    <n v="167405"/>
    <x v="193"/>
    <x v="196"/>
    <x v="165"/>
    <n v="23.833477999999999"/>
    <n v="925"/>
    <n v="145"/>
    <n v="654"/>
    <n v="4.5103448275862066"/>
    <x v="0"/>
    <x v="0"/>
    <x v="0"/>
    <x v="2"/>
    <x v="30"/>
    <m/>
    <x v="4"/>
    <s v="IP"/>
    <m/>
    <d v="2017-06-29T00:00:00"/>
    <s v="29/Jun/2017: Population update. Data source: KMSS_Bhamo_x000a_3/May/2017: Population update. Data source: KMSS_Bhamo_x000a_27/Apr/2017: Population update. Data source: KMSS_Bhamo &amp; CCCM unit_x000a_14/Feb/2017: Population update. Data source: KMSS_Bhamo_x000a_10/Jan/2017: Population update. Data source: KMSS_Bhamo_x000a_21/Oct/2016: Population update. Data source: KMSS_BMO_x000a_16/Sep/2016: Population update. Data Source: KMSS_BMO_x000a_16/Feb/2016. families’ extension_x000a_28/Jan/2016. Population update. Data source: KBC (mail by maran)_x000a_19-Aug-2015. Update Population. Data Source; KMSS-BMO_x000a_Responsible Agency update. KMSS-MYT to KMSS-BMO."/>
    <s v="P4"/>
    <n v="145"/>
    <m/>
    <n v="145"/>
    <s v="Namhkan Town"/>
    <n v="10.527586947557506"/>
    <n v="3"/>
  </r>
  <r>
    <x v="0"/>
    <x v="0"/>
    <s v="MMR001"/>
    <s v="Mohnyin"/>
    <s v="MMR001D002"/>
    <x v="1"/>
    <s v="MMR001009"/>
    <s v="Nam Ma Hpyit"/>
    <s v="MMR001009002"/>
    <s v="Nam Ma Hpyit"/>
    <n v="166776"/>
    <x v="194"/>
    <x v="197"/>
    <x v="166"/>
    <n v="25.611160000000002"/>
    <m/>
    <n v="103"/>
    <n v="497"/>
    <n v="4.825242718446602"/>
    <x v="0"/>
    <x v="0"/>
    <x v="0"/>
    <x v="0"/>
    <x v="18"/>
    <m/>
    <x v="0"/>
    <s v="IP"/>
    <m/>
    <d v="2017-07-03T00:00:00"/>
    <s v="3/Jul/2017: Population update. Data source: KBC_x000a_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18/Jul/2016: Population updte. Data source: KBC_x000a_14-Oct-15 Population update. Soruce; Hpakant Mission Report_WFP_x000a_25-Jun-15 Population update. Source: KBC_x000a_18-May-15 (Population update from field mission)_x000a_3-Apr-15 (Population update. Source: Camp Profile Round 3)_x000a_New camp"/>
    <s v="P4"/>
    <n v="103"/>
    <m/>
    <n v="103"/>
    <s v="Hpakant Town"/>
    <n v="0.19374952337076978"/>
    <n v="1"/>
  </r>
  <r>
    <x v="0"/>
    <x v="0"/>
    <s v="MMR001"/>
    <s v="Bhamo"/>
    <s v="MMR001D003"/>
    <x v="7"/>
    <s v="MMR001013"/>
    <s v="Man Wein"/>
    <s v="MMR001013021"/>
    <s v="Man Wein"/>
    <n v="167405"/>
    <x v="195"/>
    <x v="198"/>
    <x v="167"/>
    <n v="23.829599000000002"/>
    <m/>
    <n v="117"/>
    <n v="545"/>
    <n v="4.6581196581196584"/>
    <x v="0"/>
    <x v="0"/>
    <x v="0"/>
    <x v="2"/>
    <x v="31"/>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Population Update. Source: Save The Children."/>
    <s v=""/>
    <n v="117"/>
    <m/>
    <n v="117"/>
    <s v="Namhkan Town"/>
    <n v="9.2957189123335944"/>
    <n v="2"/>
  </r>
  <r>
    <x v="1"/>
    <x v="0"/>
    <s v="MMR001"/>
    <s v="Mohnyin"/>
    <s v="MMR001D002"/>
    <x v="1"/>
    <s v="MMR001009"/>
    <s v="Lone Khin"/>
    <s v="MMR001009001"/>
    <s v="Ku Day"/>
    <n v="216877"/>
    <x v="196"/>
    <x v="199"/>
    <x v="168"/>
    <n v="25.806999999999999"/>
    <m/>
    <m/>
    <m/>
    <s v="NA"/>
    <x v="0"/>
    <x v="0"/>
    <x v="0"/>
    <x v="2"/>
    <x v="32"/>
    <m/>
    <x v="0"/>
    <s v="IP"/>
    <m/>
    <d v="2017-07-03T00:00:00"/>
    <s v="3/Jul/2017: Changed camp status as &quot;Closed&quot; according to the information of KBC. Note from KBC &quot; (5 Ward Baptist Church( Lon Khin- MMR001CMP179, and Ku Day Maw KBC- MMR001CMP231) and open new camp as Lawng Hkang Shait Yang Camp ( Lel Pyin) under Hpakant Township. So technically, the mentioned two camp will be combine into one camp as Lawng Hkang Shait Yang Camp ( Lel Pyin)&quot;.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18-May-15 (Population update by field mission)_x000a_Source: CCCM Unit (Hpakant Assessement Mission)"/>
    <m/>
    <n v="0"/>
    <m/>
    <n v="0"/>
    <s v="Hpakant Town"/>
    <n v="10"/>
    <n v="3"/>
  </r>
  <r>
    <x v="0"/>
    <x v="0"/>
    <s v="MMR001"/>
    <s v="Mohnyin"/>
    <s v="MMR001D002"/>
    <x v="11"/>
    <s v="MMR001007"/>
    <s v="Hopin Town"/>
    <s v="MMR001007702"/>
    <s v="Myo Ma (South) Ward"/>
    <s v="MMR001007702503"/>
    <x v="197"/>
    <x v="200"/>
    <x v="169"/>
    <n v="24.996279999999999"/>
    <m/>
    <n v="26"/>
    <n v="119"/>
    <n v="4.5769230769230766"/>
    <x v="0"/>
    <x v="0"/>
    <x v="1"/>
    <x v="0"/>
    <x v="21"/>
    <m/>
    <x v="2"/>
    <s v="IP"/>
    <m/>
    <d v="2017-04-24T00:00:00"/>
    <s v="24/Apr/2017: Population update. Data source: CCCM unit_x000a_19-Mar-2015 (WFP has been providing this host families since 2013.)"/>
    <m/>
    <n v="0"/>
    <m/>
    <n v="0"/>
    <s v="Hopin Town"/>
    <n v="0"/>
    <n v="1"/>
  </r>
  <r>
    <x v="0"/>
    <x v="0"/>
    <s v="MMR001"/>
    <s v="Mohnyin"/>
    <s v="MMR001D002"/>
    <x v="11"/>
    <s v="MMR001007"/>
    <s v="Mohnyin Town"/>
    <s v="MMR001007701"/>
    <m/>
    <m/>
    <x v="198"/>
    <x v="201"/>
    <x v="170"/>
    <n v="24.764959999999999"/>
    <m/>
    <n v="14"/>
    <n v="57"/>
    <n v="4.0714285714285712"/>
    <x v="0"/>
    <x v="0"/>
    <x v="1"/>
    <x v="0"/>
    <x v="21"/>
    <m/>
    <x v="2"/>
    <s v="IP"/>
    <m/>
    <d v="2017-04-24T00:00:00"/>
    <s v="24/Apr/2017: Population update. Data source: CCCM unit_x000a_10/Jan/2017: Population update. Data source: KMSS_Myitkyina_x000a_16/Jun/2016. Population update. Data source: monthly report from KMSS_MYT_x000a_28/Jan/2016. Population update. Data source: KBC (mail by maran)_x000a_9/Nov/15. Population update. Data source: mail from Pancy (WFP)._x000a_19-Mar-2015 (WFP has been providing this host families since 2013.)"/>
    <m/>
    <n v="0"/>
    <m/>
    <n v="0"/>
    <s v="Mohnyin Town"/>
    <n v="0"/>
    <n v="1"/>
  </r>
  <r>
    <x v="0"/>
    <x v="0"/>
    <s v="MMR001"/>
    <s v="Puta-O"/>
    <s v="MMR001D004"/>
    <x v="9"/>
    <s v="MMR001014"/>
    <s v="Puta-O Town"/>
    <s v="MMR001014701"/>
    <s v="Lone Sut Ward"/>
    <s v="MMR001014701510"/>
    <x v="199"/>
    <x v="202"/>
    <x v="171"/>
    <n v="27.337499999999999"/>
    <m/>
    <n v="61"/>
    <n v="276"/>
    <n v="4.5245901639344259"/>
    <x v="0"/>
    <x v="0"/>
    <x v="0"/>
    <x v="0"/>
    <x v="33"/>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13/Dec/2015. Population update. Data source: Mail by Ko Maran. Reason for pop changes: data obtain from Protection team monitoring report  November 2015_x000a_2/Dec/2015. Population update. Data source: KBC_x000a_19-Aug-15 Population update. Source KBC._x000a_25-Jun-15 New camp. Data Source : KBC"/>
    <m/>
    <n v="1"/>
    <m/>
    <n v="1"/>
    <s v="Puta-O Town"/>
    <n v="0"/>
    <n v="1"/>
  </r>
  <r>
    <x v="1"/>
    <x v="0"/>
    <s v="MMR001"/>
    <s v="Mohnyin"/>
    <s v="MMR001D002"/>
    <x v="10"/>
    <s v="MMR001008"/>
    <s v="Sar Hmaw"/>
    <s v="MMR001008018"/>
    <s v="Sar Hmaw"/>
    <n v="166724"/>
    <x v="200"/>
    <x v="203"/>
    <x v="172"/>
    <n v="25.225000000000001"/>
    <m/>
    <m/>
    <m/>
    <s v="NA"/>
    <x v="0"/>
    <x v="0"/>
    <x v="1"/>
    <x v="2"/>
    <x v="34"/>
    <m/>
    <x v="2"/>
    <s v="RRD"/>
    <m/>
    <d v="2017-07-11T00:00:00"/>
    <s v="11/Jul/2017: Closed camp. No update information._x000a_25-Jun-2015 (New host families. Source: RRD)"/>
    <m/>
    <n v="0"/>
    <m/>
    <n v="0"/>
    <s v="Mogaung Town"/>
    <n v="5"/>
    <n v="2"/>
  </r>
  <r>
    <x v="0"/>
    <x v="0"/>
    <s v="MMR001"/>
    <s v="Mohnyin"/>
    <s v="MMR001D002"/>
    <x v="10"/>
    <s v="MMR001008"/>
    <s v="Sar Hmaw"/>
    <s v="MMR001008018"/>
    <s v="Sar Hmaw"/>
    <n v="166724"/>
    <x v="201"/>
    <x v="204"/>
    <x v="172"/>
    <n v="25.225000000000001"/>
    <m/>
    <n v="28"/>
    <n v="134"/>
    <n v="4.7857142857142856"/>
    <x v="0"/>
    <x v="0"/>
    <x v="0"/>
    <x v="2"/>
    <x v="34"/>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 And it was changed from host families to camp according to the data collection of Camp Profiling Round_5._x000a_12/May/2016. Population update. Data source: KBC_x000a_28/Jan/2016. Population update. Data source: KBC_x000a_13/Dec/2015. Population update. Data source: Mail by Ko Maran. Reason for pop changes; The same number since March 2015 displacement but pp was divided between KBC and ICM churches. After setting up of a camp managed by KBC from August total population combined as it was. _x000a_2/Dec/2015. Population update. Data source: KBC._x000a_25-Jun-2015 (New host families. Source: RRD)"/>
    <m/>
    <n v="0"/>
    <m/>
    <n v="0"/>
    <s v="Mogaung Town"/>
    <n v="5"/>
    <n v="2"/>
  </r>
  <r>
    <x v="0"/>
    <x v="0"/>
    <s v="MMR001"/>
    <s v="Mohnyin"/>
    <s v="MMR001D002"/>
    <x v="10"/>
    <s v="MMR001008"/>
    <s v="Nawng Kaing Htaw"/>
    <s v="MMR001008002"/>
    <s v="Ma Haung"/>
    <n v="166676"/>
    <x v="202"/>
    <x v="205"/>
    <x v="69"/>
    <n v="25.299679999999999"/>
    <m/>
    <n v="7"/>
    <n v="31"/>
    <n v="4.4285714285714288"/>
    <x v="0"/>
    <x v="0"/>
    <x v="0"/>
    <x v="0"/>
    <x v="34"/>
    <m/>
    <x v="2"/>
    <s v="IP"/>
    <m/>
    <d v="2017-06-29T00:00:00"/>
    <s v="29/June/2017: Population update. Planning to local integration through KMSS_Myitkyina. There is no responsible org now._x000a_3/May/2017: Pop update. Data source: KMSS_Myitkyina_x000a_24/Apr/2017: Pop update. Data source: KMSS_Myitkyina_x000a_6/Apr/2017: Change camp status as &quot;Open&quot;. Data source: Protection team and comfirmed by camp manager._x000a_2/feb/2017: Closed Camp_x000a_10/Jan/2017: Population update. Data source: KMSS_Myitkyina_x000a_21/Oct/2016: Population update. Data source: KMSS_Myitkyina_x000a_14/Jul/2016: Population update. Data Source:KMSS_Myitkyina_x000a_9/Nov/15. Accomodation changes from Host families to Camp. Data source: CCCM_x000a_19-Aug-15 (Population Udate. Data Source: KMSS-MYT)_x000a_25-Jun-2015 (New host families. Source: RRD)"/>
    <m/>
    <n v="7"/>
    <m/>
    <n v="7"/>
    <s v="Mogaung Town"/>
    <n v="0.75"/>
    <n v="1"/>
  </r>
  <r>
    <x v="0"/>
    <x v="0"/>
    <s v="MMR001"/>
    <s v="Puta-O"/>
    <s v="MMR001D004"/>
    <x v="19"/>
    <s v="MMR001015"/>
    <m/>
    <m/>
    <m/>
    <m/>
    <x v="203"/>
    <x v="206"/>
    <x v="173"/>
    <n v="26.569633"/>
    <m/>
    <n v="73"/>
    <n v="407"/>
    <n v="5.5753424657534243"/>
    <x v="1"/>
    <x v="0"/>
    <x v="0"/>
    <x v="2"/>
    <x v="35"/>
    <m/>
    <x v="0"/>
    <s v="IP"/>
    <m/>
    <d v="2017-07-03T00:00:00"/>
    <s v="3/Jul/2017: Population update. Data source: KBC_x000a_2/June/2017: Population update. Data source: KBC_x000a_2/June/2017: Updated Accessibility GCA to NGCA. Data source: UNOCHA and confirmed by CCCM_x000a_3/May/2017: Population update. Data source: KBC_x000a_24/Apr/2017: Population update. Data source: KBC and CCCM unit_x000a_15/Mar/2017: Population update. Data Source: KBC_x000a_24/Feb/2017: Population and Responsible agency update. Data source: KBC._x000a_10/2/2015. New Camp. Data source: CCCM team"/>
    <m/>
    <n v="73"/>
    <m/>
    <n v="73"/>
    <s v="Sumprabum Town"/>
    <n v="0"/>
    <n v="1"/>
  </r>
  <r>
    <x v="0"/>
    <x v="0"/>
    <s v="MMR001"/>
    <s v="Puta-O"/>
    <s v="MMR001D004"/>
    <x v="19"/>
    <s v="MMR001015"/>
    <m/>
    <m/>
    <m/>
    <m/>
    <x v="204"/>
    <x v="207"/>
    <x v="174"/>
    <n v="26.548506"/>
    <m/>
    <n v="63"/>
    <n v="320"/>
    <n v="5.0793650793650791"/>
    <x v="1"/>
    <x v="0"/>
    <x v="0"/>
    <x v="2"/>
    <x v="35"/>
    <m/>
    <x v="0"/>
    <s v="IP"/>
    <m/>
    <d v="2017-07-03T00:00:00"/>
    <s v="3/Jul/2017: Population update. Data source: KBC_x000a_2/June/2017: Population update. Data source: KBC_x000a_2/June/2017: Updated Accessibility GCA to NGCA. Data source: UNOCHA and confirmed by CCCM_x000a_3/May/2017: Population update. Data source: KBC_x000a_24/Apr/2017: Population update. Data source: KBC and CCCM unit_x000a_24/Apr/2017: Population update. Data source: KBC and CCCM unit_x000a_15/Mar/2017: Population update. Data Source: KBC_x000a_24/Feb/2017: Population and Responsible agency update. Data source: KBC._x000a_10/2/2015. New Camp. Data source: CCCM team"/>
    <m/>
    <n v="63"/>
    <m/>
    <n v="63"/>
    <s v="Sumprabum Town"/>
    <n v="0"/>
    <n v="1"/>
  </r>
  <r>
    <x v="1"/>
    <x v="0"/>
    <s v="MMR001"/>
    <s v="Bhamo"/>
    <s v="MMR001D003"/>
    <x v="6"/>
    <s v="MMR001012"/>
    <s v="Dawthponeyan  Town"/>
    <s v="MMR001012703"/>
    <s v="No (2) Ward"/>
    <s v="MMR001012703502"/>
    <x v="205"/>
    <x v="208"/>
    <x v="175"/>
    <n v="24.613976000000001"/>
    <m/>
    <m/>
    <m/>
    <s v="NA"/>
    <x v="0"/>
    <x v="0"/>
    <x v="4"/>
    <x v="2"/>
    <x v="6"/>
    <m/>
    <x v="2"/>
    <s v="WFP"/>
    <m/>
    <d v="2017-07-11T00:00:00"/>
    <s v="11/Jul/2017: Closed camp. No update information since Nov 2015._x000a_9/Nov/2015. Population update. Data source: mail from WFP._x000a_New added Boarding School"/>
    <m/>
    <n v="0"/>
    <m/>
    <n v="0"/>
    <s v="Dawthponeyan  Town"/>
    <n v="0"/>
    <n v="1"/>
  </r>
  <r>
    <x v="1"/>
    <x v="1"/>
    <s v="MMR015"/>
    <s v="Muse"/>
    <s v="MMR015D002"/>
    <x v="3"/>
    <s v="MMR015010"/>
    <s v="Nawng Hkam"/>
    <s v="MMR015010010"/>
    <s v="Nawng Hkam"/>
    <n v="208353"/>
    <x v="206"/>
    <x v="209"/>
    <x v="176"/>
    <n v="23.82152"/>
    <n v="813.4"/>
    <n v="0"/>
    <n v="0"/>
    <s v="NA"/>
    <x v="1"/>
    <x v="0"/>
    <x v="0"/>
    <x v="1"/>
    <x v="6"/>
    <m/>
    <x v="4"/>
    <s v="IP"/>
    <m/>
    <d v="2014-03-14T00:00:00"/>
    <s v="Closed. Source Cluster Coordinator"/>
    <s v=""/>
    <n v="0"/>
    <m/>
    <n v="0"/>
    <s v=""/>
    <s v=""/>
    <s v=""/>
  </r>
  <r>
    <x v="1"/>
    <x v="0"/>
    <s v="MMR001"/>
    <s v="Myitkyina"/>
    <s v="MMR001D001"/>
    <x v="1"/>
    <s v="MMR001004"/>
    <s v="Wa Ra Zut"/>
    <s v="MMR001009009"/>
    <s v="Wa Ra Zut"/>
    <n v="166818"/>
    <x v="207"/>
    <x v="210"/>
    <x v="168"/>
    <n v="25.806999999999999"/>
    <m/>
    <m/>
    <m/>
    <s v="NA"/>
    <x v="0"/>
    <x v="0"/>
    <x v="0"/>
    <x v="2"/>
    <x v="36"/>
    <m/>
    <x v="2"/>
    <s v="IP"/>
    <m/>
    <d v="2017-07-11T00:00:00"/>
    <s v="11/Jul/2017: Change status into closed: Data source: KBC_x000a_25/Jul/2016: Added as new camp according to KBC data. Data was given by Jade"/>
    <m/>
    <n v="0"/>
    <m/>
    <n v="0"/>
    <s v="Hpakant Town"/>
    <n v="0"/>
    <n v="1"/>
  </r>
  <r>
    <x v="1"/>
    <x v="0"/>
    <s v="MMR001"/>
    <s v="Mohnyin"/>
    <s v="MMR001D002"/>
    <x v="11"/>
    <s v="MMR001007"/>
    <s v="Nam Mun"/>
    <s v="MMR001007016"/>
    <s v="Nam Mun"/>
    <n v="166591"/>
    <x v="208"/>
    <x v="211"/>
    <x v="116"/>
    <n v="24.998349999999999"/>
    <n v="0"/>
    <n v="0"/>
    <n v="0"/>
    <s v="NA"/>
    <x v="0"/>
    <x v="0"/>
    <x v="0"/>
    <x v="2"/>
    <x v="20"/>
    <m/>
    <x v="0"/>
    <s v="RRD"/>
    <m/>
    <d v="2014-07-17T00:00:00"/>
    <s v="Closed. Duplicate with (Nawng Ing (Indawgyi) Baptist Church)"/>
    <s v="P4"/>
    <n v="0"/>
    <m/>
    <n v="0"/>
    <s v=""/>
    <s v=""/>
    <s v=""/>
  </r>
  <r>
    <x v="0"/>
    <x v="0"/>
    <s v="MMR001"/>
    <s v="Mohnyin"/>
    <s v="MMR001D002"/>
    <x v="1"/>
    <s v="MMR001009"/>
    <s v="Wa Ra Zut"/>
    <s v="MMR001009009"/>
    <s v="Shar Du Zut"/>
    <n v="166819"/>
    <x v="209"/>
    <x v="212"/>
    <x v="33"/>
    <n v="25.920006000000001"/>
    <m/>
    <n v="30"/>
    <n v="110"/>
    <n v="3.6666666666666665"/>
    <x v="0"/>
    <x v="0"/>
    <x v="0"/>
    <x v="2"/>
    <x v="12"/>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6/Sep/2016: New added camp. There no responsible organization."/>
    <m/>
    <n v="14"/>
    <m/>
    <n v="14"/>
    <s v="Hpakant Town"/>
    <n v="0"/>
    <n v="1"/>
  </r>
  <r>
    <x v="1"/>
    <x v="0"/>
    <s v="MMR001"/>
    <s v="Puta-O"/>
    <s v="MMR001D004"/>
    <x v="9"/>
    <s v="MMR001014"/>
    <s v="Lang Taung"/>
    <s v="MMR001014009"/>
    <s v="Nawng Hkaing"/>
    <n v="167567"/>
    <x v="210"/>
    <x v="213"/>
    <x v="177"/>
    <n v="27.270199999999999"/>
    <n v="372.9"/>
    <n v="0"/>
    <n v="0"/>
    <s v="NA"/>
    <x v="0"/>
    <x v="0"/>
    <x v="0"/>
    <x v="2"/>
    <x v="24"/>
    <m/>
    <x v="2"/>
    <s v="IP"/>
    <m/>
    <d v="2014-03-27T00:00:00"/>
    <s v="25-Jun-15 (Relocated to Lone Sut)_x000a_Geo-Info, HH/Pop data received from MIRA Form"/>
    <s v="P3"/>
    <n v="0"/>
    <m/>
    <n v="0"/>
    <s v="Machanbaw Town"/>
    <n v="1.7005689699647599"/>
    <n v="1"/>
  </r>
  <r>
    <x v="0"/>
    <x v="0"/>
    <s v="MMR001"/>
    <s v="Mohnyin"/>
    <s v="MMR001D002"/>
    <x v="1"/>
    <s v="MMR001009"/>
    <s v="Wa Ra Zut"/>
    <s v="MMR001009009"/>
    <s v="Shar Du Zut"/>
    <n v="166819"/>
    <x v="211"/>
    <x v="214"/>
    <x v="33"/>
    <n v="25.920006000000001"/>
    <m/>
    <n v="6"/>
    <n v="16"/>
    <n v="2.6666666666666665"/>
    <x v="0"/>
    <x v="0"/>
    <x v="0"/>
    <x v="2"/>
    <x v="12"/>
    <m/>
    <x v="3"/>
    <s v="IP"/>
    <m/>
    <d v="2017-06-29T00:00:00"/>
    <s v="29/June/2017: Pop update. Data source: KMSS_Myitkyina_x000a_2/June/2017: Pop update. Data source: KMSS_Myitkyina_x000a_3/May/2017: Pop update. Data source: KMSS_Myitkyina_x000a_24/April/2017: Updated Pop and responsible agency. Data source:KMSS_Myitkyina_x000a_16/Sep/2016: New added camp. There no responsible organization."/>
    <m/>
    <n v="6"/>
    <m/>
    <n v="6"/>
    <s v="Hpakant Town"/>
    <n v="0"/>
    <n v="1"/>
  </r>
  <r>
    <x v="0"/>
    <x v="0"/>
    <s v="MMR001"/>
    <s v="Mohnyin"/>
    <s v="MMR001D002"/>
    <x v="1"/>
    <s v="MMR001009"/>
    <s v="Wa Ra Zut"/>
    <s v="MMR001009009"/>
    <s v="Shar Du Zut"/>
    <n v="166819"/>
    <x v="212"/>
    <x v="215"/>
    <x v="33"/>
    <n v="25.920006000000001"/>
    <m/>
    <n v="20"/>
    <n v="84"/>
    <n v="4.2"/>
    <x v="0"/>
    <x v="0"/>
    <x v="0"/>
    <x v="2"/>
    <x v="12"/>
    <m/>
    <x v="3"/>
    <s v="IP"/>
    <m/>
    <d v="2017-06-29T00:00:00"/>
    <s v="29/June/2017: Pop update. Data source: KMSS_Myitkyina_x000a_2/June/2017: Pop update. Data source: KMSS_Myitkyina_x000a_3/May/2017: Pop update. Data source: KMSS_Myitkyina_x000a_24/April/2017: Updated Pop and responsible agency. Data source:KMSS_Myitkyina_x000a_16/Sep/2016: New added camp. There no responsible organization."/>
    <m/>
    <n v="20"/>
    <m/>
    <n v="20"/>
    <s v="Hpakant Town"/>
    <n v="0"/>
    <n v="1"/>
  </r>
  <r>
    <x v="0"/>
    <x v="0"/>
    <s v="MMR001"/>
    <s v="Myitkyina"/>
    <s v="MMR001D001"/>
    <x v="2"/>
    <s v="MMR001002"/>
    <s v="Moke Lwe"/>
    <s v="MMR001002002"/>
    <s v="Khar Shi"/>
    <n v="216822"/>
    <x v="213"/>
    <x v="216"/>
    <x v="178"/>
    <n v="25.305008999999998"/>
    <m/>
    <n v="62"/>
    <n v="410"/>
    <n v="6.612903225806452"/>
    <x v="0"/>
    <x v="0"/>
    <x v="0"/>
    <x v="2"/>
    <x v="6"/>
    <m/>
    <x v="2"/>
    <s v="WV"/>
    <m/>
    <d v="2017-06-02T00:00:00"/>
    <s v="2/June/2017: New added camp. Data source: WASH cluster, WV (World Vision)."/>
    <m/>
    <n v="62"/>
    <m/>
    <n v="62"/>
    <s v=""/>
    <s v=""/>
    <s v=""/>
  </r>
  <r>
    <x v="0"/>
    <x v="0"/>
    <s v="MMR001"/>
    <s v="Myitkyina"/>
    <s v="MMR001D001"/>
    <x v="2"/>
    <s v="MMR001002"/>
    <s v="Sa Ma"/>
    <s v="MMR001002031"/>
    <s v="Par Jaung"/>
    <n v="165792"/>
    <x v="214"/>
    <x v="217"/>
    <x v="34"/>
    <m/>
    <m/>
    <n v="402"/>
    <n v="1816"/>
    <n v="4.5174129353233834"/>
    <x v="1"/>
    <x v="0"/>
    <x v="0"/>
    <x v="2"/>
    <x v="37"/>
    <n v="3"/>
    <x v="0"/>
    <s v="IP"/>
    <m/>
    <d v="2017-07-03T00:00:00"/>
    <s v="3/Jul/2017: Population update. Data source: KBC_x000a_6/June/2017: Added as new camp instead of Zai Awng - Mung Ga Zup camp because of the conflict on Dec, 2016. So IDPs ( from Zai Awng - Mung Ga Zup ) flew to Lung Byen. They stay awhile at Lung Byen and then they moved to Shait Yang on 17 Jan 2017. Changed the camp name as &quot;Shait Yan"/>
    <m/>
    <n v="402"/>
    <m/>
    <n v="402"/>
    <s v=""/>
    <s v=""/>
    <s v=""/>
  </r>
  <r>
    <x v="0"/>
    <x v="0"/>
    <s v="MMR001"/>
    <s v="Mohnyin"/>
    <s v="MMR001D002"/>
    <x v="1"/>
    <s v="MMR001009"/>
    <s v="Lone Khin"/>
    <s v="MMR001009001"/>
    <s v="Lel Pyin"/>
    <n v="220486"/>
    <x v="215"/>
    <x v="218"/>
    <x v="34"/>
    <m/>
    <m/>
    <n v="118"/>
    <n v="617"/>
    <n v="5.2288135593220337"/>
    <x v="0"/>
    <x v="0"/>
    <x v="0"/>
    <x v="2"/>
    <x v="38"/>
    <m/>
    <x v="0"/>
    <s v="IP"/>
    <m/>
    <d v="2017-07-03T00:00:00"/>
    <s v="3/Jul/2017: Added New camp. _x000a_As per mail from KBC-HDD, we have to close two camps (5 Ward Baptist Church( Lon Khin- MMR001CMP179, and Ku Day Maw KBC- MMR001CMP231) and open new camp as Lawng Hkang Shait Yang Camp ( Lel Pyin) under Hpakant Township. So technically, the mentioned two camp will be combine into one camp as Lawng Hkang Shait Yang Camp ( Lel Pyin)"/>
    <m/>
    <n v="118"/>
    <m/>
    <n v="118"/>
    <s v=""/>
    <s v=""/>
    <s v=""/>
  </r>
  <r>
    <x v="1"/>
    <x v="0"/>
    <s v="MMR001"/>
    <s v="Myitkyina"/>
    <s v="MMR001D001"/>
    <x v="2"/>
    <s v="MMR001002"/>
    <s v="Nawng Si Paw"/>
    <s v="MMR001002013"/>
    <s v="Nawng Si Paw"/>
    <n v="165750"/>
    <x v="216"/>
    <x v="219"/>
    <x v="34"/>
    <m/>
    <m/>
    <m/>
    <m/>
    <s v="NA"/>
    <x v="0"/>
    <x v="0"/>
    <x v="0"/>
    <x v="1"/>
    <x v="6"/>
    <m/>
    <x v="2"/>
    <m/>
    <m/>
    <m/>
    <s v=" "/>
    <s v=""/>
    <n v="0"/>
    <m/>
    <n v="0"/>
    <s v=""/>
    <s v=""/>
    <s v=""/>
  </r>
  <r>
    <x v="0"/>
    <x v="1"/>
    <s v="MMR015"/>
    <s v="Muse"/>
    <s v="MMR015D002"/>
    <x v="12"/>
    <s v="MMR015009"/>
    <s v="Man Nway (Pang Hseng (Kyu Koke)) Sub-township"/>
    <s v="MMR015009036"/>
    <s v="Nam Hkawng Khu"/>
    <n v="208182"/>
    <x v="217"/>
    <x v="220"/>
    <x v="179"/>
    <n v="23.933098999999999"/>
    <n v="0"/>
    <n v="9"/>
    <n v="44"/>
    <n v="4.8888888888888893"/>
    <x v="1"/>
    <x v="0"/>
    <x v="0"/>
    <x v="2"/>
    <x v="23"/>
    <n v="1"/>
    <x v="2"/>
    <s v="IP"/>
    <m/>
    <d v="2017-06-02T00:00:00"/>
    <s v="2/Jun/2017: Changed camp status as &quot;Open&quot; according to WASH cluster information and confirmed by CCCM unit. But, there is no responsible agency._x000a_3/Mar/2016. Closed camp. Data source: January report from KBC_x000a_28/Jan/2016. Population update. Data source: KBC (mail by maran)_x000a_2/Dec/2015. Population update. Data source: KBC_x000a_25-Jun-15 Population update. Source: KBC_x000a_Update population. Source: Camp Profile."/>
    <s v="P2"/>
    <n v="0"/>
    <m/>
    <n v="0"/>
    <s v=""/>
    <s v=""/>
    <s v=""/>
  </r>
  <r>
    <x v="0"/>
    <x v="1"/>
    <s v="MMR015"/>
    <s v="Lashio"/>
    <s v="MMR015D001"/>
    <x v="20"/>
    <s v="MMR015002"/>
    <s v="Nar Tee"/>
    <s v="MMR015002029"/>
    <s v="Nar Tee"/>
    <n v="206422"/>
    <x v="218"/>
    <x v="221"/>
    <x v="180"/>
    <n v="23.372409999999999"/>
    <n v="617.6"/>
    <n v="67"/>
    <n v="392"/>
    <n v="5.8507462686567164"/>
    <x v="1"/>
    <x v="0"/>
    <x v="1"/>
    <x v="2"/>
    <x v="26"/>
    <m/>
    <x v="2"/>
    <s v="IP"/>
    <m/>
    <d v="2017-07-11T00:00:00"/>
    <s v="11/Jul/2017: Not  updated since Mar/2014._x000a_Change to Host Families."/>
    <s v="P4"/>
    <n v="0"/>
    <m/>
    <n v="0"/>
    <s v="Kunlong Town"/>
    <n v="30.037709702375544"/>
    <n v="7"/>
  </r>
  <r>
    <x v="1"/>
    <x v="0"/>
    <s v="MMR001"/>
    <s v="Mohnyin"/>
    <s v="MMR001D002"/>
    <x v="1"/>
    <s v="MMR001009"/>
    <s v="Hpakan Town"/>
    <s v="MMR001009701"/>
    <s v="Hnget Pyaw Taw Ward"/>
    <s v="MMR001009701502"/>
    <x v="219"/>
    <x v="222"/>
    <x v="166"/>
    <n v="25.611160000000002"/>
    <n v="0"/>
    <n v="0"/>
    <n v="0"/>
    <s v="NA"/>
    <x v="0"/>
    <x v="0"/>
    <x v="0"/>
    <x v="0"/>
    <x v="18"/>
    <n v="2"/>
    <x v="0"/>
    <s v="IP"/>
    <m/>
    <d v="2014-05-15T00:00:00"/>
    <s v="Closed.Moved to Na Ma Pyit KBC."/>
    <s v=""/>
    <n v="0"/>
    <m/>
    <n v="0"/>
    <s v=""/>
    <s v=""/>
    <s v=""/>
  </r>
  <r>
    <x v="0"/>
    <x v="1"/>
    <s v="MMR015"/>
    <s v="Kyaukme"/>
    <s v="MMR015D003"/>
    <x v="14"/>
    <s v="MMR015019"/>
    <s v="Urban"/>
    <s v="MMR015019701"/>
    <s v="No (2) Ward"/>
    <s v="MMR015019701503"/>
    <x v="220"/>
    <x v="223"/>
    <x v="181"/>
    <n v="23.24661"/>
    <n v="87.3"/>
    <n v="29"/>
    <n v="178"/>
    <n v="6.1379310344827589"/>
    <x v="0"/>
    <x v="0"/>
    <x v="0"/>
    <x v="0"/>
    <x v="9"/>
    <m/>
    <x v="5"/>
    <s v="IP"/>
    <m/>
    <d v="2017-06-29T00:00:00"/>
    <s v="29/Jun/2017: Population update. Data source:KMSS_Lashio/ the same pop data with April._x000a_24/Apr/2017: Population update. Data source:KMSS_Lashio_x000a_14/Feb/2017: Population update. Data source: KMSS_LSO_x000a_10/Jan/2017: Population update. Data source: KMSS_LSO_x000a_27/Oct/2016: Population update. Data source: KMSS_Lashio_x000a_1/Sep/2016: Population update. Data source: KMSS_LSO_x000a_14/Jul/2016: Population update. Data source: KMSS_LSO_x000a_28/Jan/2016. Population update. Data source: KMSS_LSO_x000a_19-Aug-15 (Population update. Source: KMSS-LSO)_x000a_25-Jun-15 (Population update. Source: KMSS-LSO)_x000a_New Camp"/>
    <s v="P3"/>
    <n v="0"/>
    <m/>
    <n v="0"/>
    <s v="Manton Town"/>
    <n v="0.71762888500316424"/>
    <n v="1"/>
  </r>
  <r>
    <x v="0"/>
    <x v="1"/>
    <s v="MMR015"/>
    <s v="Kyaukme"/>
    <s v="MMR015D003"/>
    <x v="18"/>
    <s v="MMR015015"/>
    <s v="Namtu Town"/>
    <s v="MMR015015701"/>
    <s v="Namtu Ward"/>
    <s v="MMR015015701501"/>
    <x v="221"/>
    <x v="224"/>
    <x v="182"/>
    <n v="23.088058"/>
    <n v="1948"/>
    <n v="118"/>
    <n v="520"/>
    <n v="4.406779661016949"/>
    <x v="0"/>
    <x v="0"/>
    <x v="1"/>
    <x v="0"/>
    <x v="6"/>
    <m/>
    <x v="2"/>
    <s v="IP"/>
    <m/>
    <d v="2014-09-01T00:00:00"/>
    <s v="Change to Host Families. Source: Programme Unit."/>
    <s v="P3"/>
    <n v="0"/>
    <m/>
    <n v="0"/>
    <s v="Namtu Town"/>
    <n v="0.63626694856259092"/>
    <n v="1"/>
  </r>
  <r>
    <x v="1"/>
    <x v="1"/>
    <s v="MMR015"/>
    <s v="Muse"/>
    <s v="MMR015D002"/>
    <x v="13"/>
    <s v="MMR015011"/>
    <s v="Galeng"/>
    <m/>
    <s v="Galeng"/>
    <m/>
    <x v="222"/>
    <x v="225"/>
    <x v="34"/>
    <m/>
    <m/>
    <n v="0"/>
    <n v="0"/>
    <s v="NA"/>
    <x v="1"/>
    <x v="0"/>
    <x v="0"/>
    <x v="2"/>
    <x v="6"/>
    <m/>
    <x v="2"/>
    <s v="IP"/>
    <m/>
    <d v="2013-01-15T00:00:00"/>
    <s v="Close: Duplicate Camp (MMR015CMP020 - Zup Aung Camp) 21-Jan-14"/>
    <s v=""/>
    <n v="0"/>
    <m/>
    <n v="0"/>
    <s v=""/>
    <s v=""/>
    <s v=""/>
  </r>
  <r>
    <x v="1"/>
    <x v="0"/>
    <s v="MMR001"/>
    <s v="Mohnyin"/>
    <s v="MMR001D002"/>
    <x v="1"/>
    <s v="MMR001009"/>
    <s v="Hpakan Town"/>
    <s v="MMR001009701"/>
    <s v="Hnget Pyaw Taw Ward"/>
    <s v="MMR001009701502"/>
    <x v="223"/>
    <x v="226"/>
    <x v="183"/>
    <n v="25.611899999999999"/>
    <m/>
    <n v="0"/>
    <n v="0"/>
    <s v="NA"/>
    <x v="0"/>
    <x v="0"/>
    <x v="0"/>
    <x v="1"/>
    <x v="6"/>
    <m/>
    <x v="2"/>
    <m/>
    <m/>
    <m/>
    <s v=" "/>
    <s v=""/>
    <n v="0"/>
    <m/>
    <n v="0"/>
    <s v=""/>
    <s v=""/>
    <s v=""/>
  </r>
  <r>
    <x v="1"/>
    <x v="0"/>
    <s v="MMR001"/>
    <s v="Bhamo"/>
    <s v="MMR001D003"/>
    <x v="6"/>
    <s v="MMR001012"/>
    <s v="Momauk Town"/>
    <s v="MMR001012701"/>
    <s v="Ah Lin Kawng Ward"/>
    <s v="MMR001012701502"/>
    <x v="224"/>
    <x v="227"/>
    <x v="184"/>
    <n v="24.253769999999999"/>
    <n v="0"/>
    <m/>
    <m/>
    <s v="NA"/>
    <x v="0"/>
    <x v="0"/>
    <x v="0"/>
    <x v="0"/>
    <x v="3"/>
    <n v="1"/>
    <x v="1"/>
    <s v="IP"/>
    <m/>
    <d v="2016-06-16T00:00:00"/>
    <s v="16/Jun/2016: Camp Closed. Data source: Shalom. Commnets from Shalom &quot;Household return to Kayuk sa khan village&quot;_x000a_9/Nov/15. Population update. Data source: monthly report by HAP._x000a_19-Aug-15 Population update. Source: Shalom_x000a_25-Jun-15 (Population update. Source : Shalom)_x000a_Population update: Source UNHCR-Bhamo"/>
    <s v="P4"/>
    <n v="0"/>
    <m/>
    <n v="0"/>
    <s v="Momauk Town"/>
    <n v="0.32830807173487342"/>
    <n v="1"/>
  </r>
  <r>
    <x v="1"/>
    <x v="0"/>
    <s v="MMR001"/>
    <s v="Mohnyin"/>
    <s v="MMR001D002"/>
    <x v="1"/>
    <s v="MMR001009"/>
    <s v="Hpakan Town"/>
    <s v="MMR001009701"/>
    <s v="Myo Ma Ward"/>
    <s v="MMR001009701503"/>
    <x v="225"/>
    <x v="228"/>
    <x v="34"/>
    <m/>
    <m/>
    <n v="0"/>
    <n v="0"/>
    <s v="NA"/>
    <x v="0"/>
    <x v="0"/>
    <x v="0"/>
    <x v="1"/>
    <x v="6"/>
    <m/>
    <x v="2"/>
    <m/>
    <m/>
    <m/>
    <s v=" "/>
    <s v=""/>
    <n v="0"/>
    <m/>
    <n v="0"/>
    <s v=""/>
    <s v=""/>
    <s v=""/>
  </r>
  <r>
    <x v="1"/>
    <x v="1"/>
    <s v="MMR015"/>
    <s v="Muse"/>
    <s v="MMR015D002"/>
    <x v="13"/>
    <s v="MMR015011"/>
    <s v="Galeng"/>
    <m/>
    <s v="Galeng"/>
    <m/>
    <x v="226"/>
    <x v="229"/>
    <x v="34"/>
    <m/>
    <m/>
    <n v="0"/>
    <n v="0"/>
    <s v="NA"/>
    <x v="1"/>
    <x v="0"/>
    <x v="0"/>
    <x v="2"/>
    <x v="6"/>
    <m/>
    <x v="2"/>
    <s v="IP"/>
    <m/>
    <d v="2013-01-15T00:00:00"/>
    <s v="Close: Duplicate Camp (MMR015CMP015 - Kone Khem Camp) 21-Jan-14"/>
    <s v=""/>
    <n v="0"/>
    <m/>
    <n v="0"/>
    <s v=""/>
    <s v=""/>
    <s v=""/>
  </r>
  <r>
    <x v="1"/>
    <x v="0"/>
    <s v="MMR001"/>
    <s v="Mohnyin"/>
    <s v="MMR001D002"/>
    <x v="1"/>
    <s v="MMR001009"/>
    <m/>
    <m/>
    <m/>
    <m/>
    <x v="227"/>
    <x v="230"/>
    <x v="34"/>
    <m/>
    <m/>
    <n v="0"/>
    <n v="0"/>
    <s v="NA"/>
    <x v="0"/>
    <x v="0"/>
    <x v="0"/>
    <x v="1"/>
    <x v="6"/>
    <m/>
    <x v="2"/>
    <m/>
    <m/>
    <m/>
    <m/>
    <s v=""/>
    <n v="0"/>
    <m/>
    <n v="0"/>
    <s v=""/>
    <s v=""/>
    <s v=""/>
  </r>
  <r>
    <x v="0"/>
    <x v="1"/>
    <s v="MMR015"/>
    <s v="Muse"/>
    <s v="MMR015D002"/>
    <x v="12"/>
    <s v="MMR015009"/>
    <s v="Muse Town"/>
    <s v="MMR015009701"/>
    <s v="Ho Mun Ward"/>
    <s v="MMR015009701504"/>
    <x v="228"/>
    <x v="231"/>
    <x v="185"/>
    <n v="24.006319999999999"/>
    <n v="812.7"/>
    <n v="44"/>
    <n v="214"/>
    <n v="4.8636363636363633"/>
    <x v="0"/>
    <x v="0"/>
    <x v="0"/>
    <x v="0"/>
    <x v="39"/>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25-Jun-15 Population update. Source: KBC_x000a_New camp."/>
    <s v="P4"/>
    <n v="0"/>
    <m/>
    <n v="0"/>
    <s v="Muse Town"/>
    <n v="1.989668595899414"/>
    <n v="1"/>
  </r>
  <r>
    <x v="0"/>
    <x v="1"/>
    <s v="MMR015"/>
    <s v="Muse"/>
    <s v="MMR015D002"/>
    <x v="3"/>
    <s v="MMR015010"/>
    <s v="Nawng Hkam"/>
    <s v="MMR015010010"/>
    <s v="Nawng Hkam"/>
    <n v="208353"/>
    <x v="229"/>
    <x v="232"/>
    <x v="186"/>
    <n v="23.841646999999998"/>
    <n v="798"/>
    <n v="36"/>
    <n v="179"/>
    <n v="4.9722222222222223"/>
    <x v="0"/>
    <x v="0"/>
    <x v="0"/>
    <x v="0"/>
    <x v="40"/>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_x000a_2/Dec/2015. Population update. Data source: KBC_x000a_25-Jun-15 Population update. Source: KBC_x000a_Population Update. Source: Save The Children."/>
    <s v="P4"/>
    <n v="0"/>
    <m/>
    <n v="0"/>
    <s v="Namhkan Town"/>
    <n v="2.0141034419413328"/>
    <n v="1"/>
  </r>
  <r>
    <x v="0"/>
    <x v="1"/>
    <s v="MMR015"/>
    <s v="Muse"/>
    <s v="MMR015D002"/>
    <x v="3"/>
    <s v="MMR015010"/>
    <s v="Ho Nar"/>
    <s v="MMR015010002"/>
    <s v="Pang Long"/>
    <n v="208338"/>
    <x v="230"/>
    <x v="233"/>
    <x v="187"/>
    <n v="23.838190000000001"/>
    <n v="829.8"/>
    <n v="120"/>
    <n v="563"/>
    <n v="4.6916666666666664"/>
    <x v="0"/>
    <x v="0"/>
    <x v="0"/>
    <x v="0"/>
    <x v="41"/>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5/Jun/2016: Population update. Data source: monthly report by KBC_x000a_12/May/2016. Population update. Data source: KBC_x000a_28/Jan/2016. Population update. Data source: KBC_x000a_2/Dec/2015. Population update. Data source: KBC_x000a_25-Jun-15 Population update. Source: KBC_x000a_Population Update. Source: Save The Children."/>
    <s v="P4"/>
    <n v="48"/>
    <m/>
    <n v="48"/>
    <s v="Namhkan Town"/>
    <n v="2.8590638493982405"/>
    <n v="1"/>
  </r>
  <r>
    <x v="1"/>
    <x v="0"/>
    <s v="MMR001"/>
    <s v="Mohnyin"/>
    <s v="MMR001D002"/>
    <x v="1"/>
    <s v="MMR001009"/>
    <m/>
    <m/>
    <m/>
    <m/>
    <x v="231"/>
    <x v="234"/>
    <x v="34"/>
    <m/>
    <m/>
    <n v="0"/>
    <n v="0"/>
    <s v="NA"/>
    <x v="0"/>
    <x v="0"/>
    <x v="0"/>
    <x v="1"/>
    <x v="6"/>
    <m/>
    <x v="2"/>
    <m/>
    <m/>
    <m/>
    <s v=" "/>
    <s v=""/>
    <n v="0"/>
    <m/>
    <n v="0"/>
    <s v=""/>
    <s v=""/>
    <s v=""/>
  </r>
  <r>
    <x v="0"/>
    <x v="1"/>
    <s v="MMR015"/>
    <s v="Muse"/>
    <s v="MMR015D002"/>
    <x v="12"/>
    <s v="MMR015009"/>
    <s v="Muse Town"/>
    <s v="MMR015009701"/>
    <s v="Ho Mun Ward"/>
    <s v="MMR015009701504"/>
    <x v="232"/>
    <x v="235"/>
    <x v="188"/>
    <n v="24.006789000000001"/>
    <n v="814"/>
    <n v="25"/>
    <n v="113"/>
    <n v="4.5199999999999996"/>
    <x v="0"/>
    <x v="0"/>
    <x v="0"/>
    <x v="0"/>
    <x v="42"/>
    <m/>
    <x v="5"/>
    <s v="IP"/>
    <m/>
    <d v="2017-06-29T00:00:00"/>
    <s v="29/Jun/2017: Population update. Data source:KMSS_Lashio/ the same pop data with April._x000a_24/Apr/2017: Population update. Data source:KMSS_Lashio_x000a_14/Feb/2017: Population update. Data source: KMSS_LSO_x000a_10/Jan/2017: Population update. Data source: KMSS_LSO_x000a_27/Oct/2016: Population update. Data source: KMSS_Lashio_x000a_1/Sep/2016: Population update. Data source: KMSS_LSO_x000a_14/Jul/2016: Population update. Data source: KMSS_LSO_x000a_28/Jan/2016. Population update. Data source: KMSS_LSO_x000a_19-Aug-15 (Population update. Source: MKSS-LSO)_x000a_25-Jun-15 (Population update. Source: KMSS-LSO)_x000a_Population Update. Source: Save The Children."/>
    <s v="P4"/>
    <n v="0"/>
    <m/>
    <n v="0"/>
    <s v="Muse Town"/>
    <n v="2.1362355825722199"/>
    <n v="1"/>
  </r>
  <r>
    <x v="0"/>
    <x v="1"/>
    <s v="MMR015"/>
    <s v="Muse"/>
    <s v="MMR015D002"/>
    <x v="13"/>
    <s v="MMR015011"/>
    <s v="Long Waun Nam Rein (Tarmoenye Sub-township)"/>
    <s v="MMR015011050"/>
    <s v="Mai Pong (Shu See)"/>
    <n v="219842"/>
    <x v="233"/>
    <x v="236"/>
    <x v="189"/>
    <n v="23.463000000000001"/>
    <m/>
    <n v="22"/>
    <n v="105"/>
    <n v="4.7727272727272725"/>
    <x v="0"/>
    <x v="0"/>
    <x v="0"/>
    <x v="2"/>
    <x v="23"/>
    <m/>
    <x v="5"/>
    <s v="IP"/>
    <m/>
    <d v="2017-06-29T00:00:00"/>
    <s v="29/Jun/2017: Population update. Data source:KMSS_Lashio/ the same pop data with April._x000a_24/Apr/2017: Population update. Data source:KMSS_Lashio_x000a_14/Feb/2017: Population update. Data source: KMSS_LSO_x000a_10/Jan/2017: Population update. Data source: KMSS_LSO_x000a_27/Oct/2016: Population update. Data source: KMSS_Lashio_x000a_1/Sep/2016: Population update. Data source: KMSS_LSO_x000a_14/Jul/2016: Population update. Data source: KMSS_LSO_x000a_28/Jan/2016. Population update. Data source: KMSS_LSO_x000a_19-Aug-15 (Population update. Source KMSS-LSO)_x000a_25-Jun-15 (Population update. Source KMSS-LSO)_x000a_27-Mar-15 (Changed to GCA. Source UNHCR-Bhamo)_x000a_New camp. Source: KMSS-BMO"/>
    <m/>
    <n v="22"/>
    <m/>
    <n v="22"/>
    <m/>
    <s v=""/>
    <s v=""/>
  </r>
  <r>
    <x v="0"/>
    <x v="1"/>
    <s v="MMR015"/>
    <s v="Lashio"/>
    <s v="MMR015D001"/>
    <x v="20"/>
    <s v="MMR015002"/>
    <s v="Nam Sa Larp"/>
    <s v="MMR015002021"/>
    <s v="Nam Sa Larp"/>
    <n v="206352"/>
    <x v="234"/>
    <x v="237"/>
    <x v="190"/>
    <n v="23.354268999999999"/>
    <m/>
    <n v="34"/>
    <n v="185"/>
    <n v="5.4411764705882355"/>
    <x v="0"/>
    <x v="0"/>
    <x v="0"/>
    <x v="2"/>
    <x v="35"/>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19-Aug-15 Population update. Source KBC._x000a_25-Jun-15 New camp. Data Source : KBC"/>
    <m/>
    <n v="0"/>
    <m/>
    <n v="0"/>
    <m/>
    <s v=""/>
    <s v=""/>
  </r>
  <r>
    <x v="0"/>
    <x v="1"/>
    <s v="MMR015"/>
    <s v="Muse"/>
    <s v="MMR015D002"/>
    <x v="13"/>
    <s v="MMR015011"/>
    <s v="Kar Lai Kone Hsar"/>
    <s v="MMR015011005"/>
    <m/>
    <m/>
    <x v="235"/>
    <x v="238"/>
    <x v="191"/>
    <n v="23.447111"/>
    <m/>
    <n v="105"/>
    <n v="568"/>
    <n v="5.4095238095238098"/>
    <x v="0"/>
    <x v="0"/>
    <x v="0"/>
    <x v="2"/>
    <x v="35"/>
    <m/>
    <x v="2"/>
    <s v="IP"/>
    <m/>
    <d v="2017-07-11T00:00:00"/>
    <s v="11/Jul/2017: Updated from UNOCHA, visited on March 2017 _x000a_9/Nov/15. New added camp. Data source: UNHCR CCCM officer NSS mission 8-12 July 2015."/>
    <m/>
    <n v="105"/>
    <m/>
    <n v="105"/>
    <m/>
    <s v=""/>
    <s v=""/>
  </r>
  <r>
    <x v="0"/>
    <x v="1"/>
    <s v="MMR015"/>
    <s v="Muse"/>
    <s v="MMR015D002"/>
    <x v="13"/>
    <s v="MMR015011"/>
    <s v="Mong Yu"/>
    <s v="MMR015011030"/>
    <s v="Mong Yu"/>
    <n v="208747"/>
    <x v="236"/>
    <x v="239"/>
    <x v="192"/>
    <n v="23.591999999999999"/>
    <m/>
    <n v="146"/>
    <n v="678"/>
    <n v="4.6438356164383565"/>
    <x v="0"/>
    <x v="0"/>
    <x v="0"/>
    <x v="2"/>
    <x v="43"/>
    <m/>
    <x v="0"/>
    <s v="IP"/>
    <m/>
    <d v="2017-07-03T00:00:00"/>
    <s v="3/Jul/2017: Population update. Data source: KBC_x000a_2/June/2017: Population update. Data source: KBC_x000a_3/May/2017: Population update. Data source: KBC_x000a_24/Apr/2017: Population update. Data source: KBC and CCCM unit_x000a_15/Mar/2017: Population update. Data Source: KBC_x000a_24/Feb/2017: Population and Responsible agency update. Data source: KBC._x000a_10/Jan/2017: Population update. Data source: KBC_x000a_18/Jul/2016: Added as new camp according to KBC_Brang Mai."/>
    <m/>
    <n v="146"/>
    <m/>
    <n v="146"/>
    <m/>
    <s v=""/>
    <s v=""/>
  </r>
  <r>
    <x v="0"/>
    <x v="1"/>
    <s v="MMR015"/>
    <s v="Kyaukme"/>
    <s v="MMR015D003"/>
    <x v="18"/>
    <s v="MMR015015"/>
    <s v="Pang Long"/>
    <s v="MMR015015011"/>
    <s v="Pang Tha Pyay"/>
    <n v="210455"/>
    <x v="237"/>
    <x v="240"/>
    <x v="193"/>
    <n v="22.765999999999998"/>
    <m/>
    <n v="19"/>
    <n v="82"/>
    <n v="4.3157894736842106"/>
    <x v="0"/>
    <x v="0"/>
    <x v="0"/>
    <x v="2"/>
    <x v="36"/>
    <m/>
    <x v="2"/>
    <s v="IP"/>
    <m/>
    <d v="2016-07-25T00:00:00"/>
    <s v="25/Jul/2016: Added as new camp according to KBC data. Data was given by Jade"/>
    <m/>
    <n v="19"/>
    <m/>
    <n v="19"/>
    <s v=""/>
    <s v=""/>
    <s v=""/>
  </r>
  <r>
    <x v="0"/>
    <x v="1"/>
    <s v="MMR015"/>
    <s v="Kyaukme"/>
    <s v="MMR015D003"/>
    <x v="14"/>
    <s v="MMR015019"/>
    <m/>
    <m/>
    <m/>
    <m/>
    <x v="238"/>
    <x v="241"/>
    <x v="34"/>
    <m/>
    <m/>
    <n v="36"/>
    <n v="188"/>
    <n v="5.2222222222222223"/>
    <x v="0"/>
    <x v="0"/>
    <x v="0"/>
    <x v="0"/>
    <x v="36"/>
    <m/>
    <x v="2"/>
    <s v="IP"/>
    <m/>
    <d v="2017-07-11T00:00:00"/>
    <s v="11/Jul/2017: No update information since Jul/2016_x000a_25/Jul/2016: Added as new camp according to KBC data. "/>
    <m/>
    <n v="36"/>
    <m/>
    <n v="36"/>
    <s v=""/>
    <s v=""/>
    <s v=""/>
  </r>
  <r>
    <x v="1"/>
    <x v="0"/>
    <s v="MMR001"/>
    <s v="Bhamo"/>
    <s v="MMR001D003"/>
    <x v="7"/>
    <s v="MMR001013"/>
    <m/>
    <m/>
    <m/>
    <m/>
    <x v="239"/>
    <x v="242"/>
    <x v="34"/>
    <m/>
    <m/>
    <n v="0"/>
    <n v="0"/>
    <s v="NA"/>
    <x v="0"/>
    <x v="0"/>
    <x v="0"/>
    <x v="2"/>
    <x v="6"/>
    <m/>
    <x v="2"/>
    <s v="IP"/>
    <m/>
    <d v="2014-01-13T00:00:00"/>
    <s v="Close (Source: OCHA)"/>
    <s v=""/>
    <n v="0"/>
    <m/>
    <n v="0"/>
    <s v=""/>
    <s v=""/>
    <s v=""/>
  </r>
  <r>
    <x v="1"/>
    <x v="0"/>
    <s v="MMR001"/>
    <s v="Bhamo"/>
    <s v="MMR001D003"/>
    <x v="5"/>
    <s v="MMR001010"/>
    <m/>
    <m/>
    <m/>
    <m/>
    <x v="240"/>
    <x v="243"/>
    <x v="34"/>
    <m/>
    <m/>
    <m/>
    <m/>
    <s v="NA"/>
    <x v="0"/>
    <x v="0"/>
    <x v="0"/>
    <x v="0"/>
    <x v="6"/>
    <m/>
    <x v="2"/>
    <s v="IP"/>
    <m/>
    <d v="2014-03-04T00:00:00"/>
    <s v="Closed. Rellocated next to AD 2000 Tharthana Compound and CCCM is under AD 2000"/>
    <s v=""/>
    <n v="0"/>
    <m/>
    <n v="0"/>
    <s v=""/>
    <s v=""/>
    <s v=""/>
  </r>
  <r>
    <x v="1"/>
    <x v="1"/>
    <s v="MMR015"/>
    <s v="Muse"/>
    <s v="MMR015D002"/>
    <x v="3"/>
    <s v="MMR015010"/>
    <s v="Mong Wee"/>
    <s v="MMR015010036"/>
    <s v="Mong Wee"/>
    <n v="208469"/>
    <x v="241"/>
    <x v="244"/>
    <x v="194"/>
    <n v="23.611999999999998"/>
    <m/>
    <m/>
    <m/>
    <s v="NA"/>
    <x v="0"/>
    <x v="0"/>
    <x v="0"/>
    <x v="2"/>
    <x v="44"/>
    <m/>
    <x v="2"/>
    <s v="IP"/>
    <m/>
    <d v="2017-06-02T00:00:00"/>
    <s v="2/June/2017: Changed camp status as &quot;Closed&quot;. Data source: UNOCHA and confirmed by CCCM unit._x000a_25/Jul/2016: Added as new camp according to KBC data. Data was given by Jade"/>
    <m/>
    <n v="0"/>
    <m/>
    <n v="0"/>
    <s v=""/>
    <s v=""/>
    <s v=""/>
  </r>
  <r>
    <x v="0"/>
    <x v="1"/>
    <s v="MMR015"/>
    <s v="Muse"/>
    <s v="MMR015D002"/>
    <x v="3"/>
    <s v="MMR015010"/>
    <s v="Mong Wee"/>
    <s v="MMR015010036"/>
    <s v="Mong Wee"/>
    <n v="208469"/>
    <x v="242"/>
    <x v="245"/>
    <x v="195"/>
    <n v="23.611999999999998"/>
    <m/>
    <n v="61"/>
    <n v="276"/>
    <n v="4.5245901639344259"/>
    <x v="0"/>
    <x v="0"/>
    <x v="0"/>
    <x v="2"/>
    <x v="45"/>
    <m/>
    <x v="2"/>
    <s v="IP"/>
    <m/>
    <d v="2017-06-02T00:00:00"/>
    <s v="2/Jun/2017: Population update. Data source: WASH cluster._x000a_25/Jul/2016: Added as new camp according to KBC data. Data was given by Jade"/>
    <m/>
    <n v="61"/>
    <m/>
    <n v="61"/>
    <s v=""/>
    <s v=""/>
    <s v=""/>
  </r>
  <r>
    <x v="0"/>
    <x v="1"/>
    <s v="MMR015"/>
    <s v="Muse"/>
    <s v="MMR015D002"/>
    <x v="13"/>
    <s v="MMR015011"/>
    <s v="Nam Hpat Kar"/>
    <s v="MMR015011020"/>
    <s v="Aung Tha Pyay Ward"/>
    <m/>
    <x v="243"/>
    <x v="246"/>
    <x v="196"/>
    <n v="23.682887999999998"/>
    <m/>
    <n v="37"/>
    <n v="130"/>
    <n v="3.5135135135135136"/>
    <x v="0"/>
    <x v="0"/>
    <x v="0"/>
    <x v="0"/>
    <x v="44"/>
    <m/>
    <x v="2"/>
    <s v="IP"/>
    <m/>
    <d v="2017-04-06T00:00:00"/>
    <s v="6/Apr/2017: Population update. Data source: CCCM and comfirmed by camp manager._x000a_20/Feb/2017: Updating GPS coordiante._x000a_25/Jul/2016: Added as new camp according to KBC data. Data was given by Jade"/>
    <m/>
    <n v="37"/>
    <m/>
    <n v="37"/>
    <s v=""/>
    <s v=""/>
    <s v=""/>
  </r>
  <r>
    <x v="1"/>
    <x v="1"/>
    <s v="MMR015"/>
    <s v="Lashio"/>
    <s v="MMR015D001"/>
    <x v="20"/>
    <s v="MMR015002"/>
    <s v="Kawng Wein"/>
    <s v="MMR015002026"/>
    <s v="Kawng Wein"/>
    <n v="206395"/>
    <x v="244"/>
    <x v="247"/>
    <x v="197"/>
    <n v="23.353999999999999"/>
    <m/>
    <m/>
    <m/>
    <s v="NA"/>
    <x v="0"/>
    <x v="0"/>
    <x v="0"/>
    <x v="0"/>
    <x v="45"/>
    <m/>
    <x v="2"/>
    <s v="IP"/>
    <m/>
    <d v="2017-07-11T00:00:00"/>
    <s v="11/Jul/2017: Camp status change into closed. KBC said Camp will be combine with Nam Sa Larp. DATA Source: KBC_x000a_25/Jul/2016: Added as new camp according to KBC data. Data was given by Jade"/>
    <m/>
    <n v="0"/>
    <m/>
    <n v="0"/>
    <s v=""/>
    <s v=""/>
    <s v=""/>
  </r>
  <r>
    <x v="0"/>
    <x v="1"/>
    <s v="MMR015"/>
    <s v="Muse"/>
    <s v="MMR015D002"/>
    <x v="13"/>
    <s v="MMR015011"/>
    <s v="Mung Hawm"/>
    <m/>
    <s v="Htoi San Yang "/>
    <m/>
    <x v="245"/>
    <x v="248"/>
    <x v="198"/>
    <n v="23.850999999999999"/>
    <m/>
    <n v="30"/>
    <n v="170"/>
    <n v="5.666666666666667"/>
    <x v="0"/>
    <x v="0"/>
    <x v="0"/>
    <x v="2"/>
    <x v="44"/>
    <m/>
    <x v="2"/>
    <s v="IP"/>
    <m/>
    <d v="2017-07-11T00:00:00"/>
    <s v="11/Jul/2017: No update information since Jul/2016_x000a_25/Jul/2016: Added as new camp according to KBC data. Data was given by Jade"/>
    <m/>
    <n v="30"/>
    <m/>
    <n v="30"/>
    <s v=""/>
    <s v=""/>
    <s v=""/>
  </r>
  <r>
    <x v="1"/>
    <x v="1"/>
    <s v="MMR015"/>
    <s v="Kyaukme"/>
    <s v="MMR015D003"/>
    <x v="18"/>
    <s v="MMR015015"/>
    <s v="Namtu Town"/>
    <s v="MMR015015701"/>
    <s v="Namtu Ward"/>
    <s v="MMR015015701501"/>
    <x v="246"/>
    <x v="249"/>
    <x v="199"/>
    <n v="23.099304"/>
    <m/>
    <m/>
    <m/>
    <s v="NA"/>
    <x v="0"/>
    <x v="0"/>
    <x v="0"/>
    <x v="0"/>
    <x v="6"/>
    <m/>
    <x v="2"/>
    <s v="IP"/>
    <m/>
    <d v="2017-06-02T00:00:00"/>
    <s v="2/June/2017: Changed camp status as &quot;Closed&quot; according to UNHCR_Lashio information._x000a_17-01-2017: New added camp. Missing data will be collected from partners and present in next Report."/>
    <m/>
    <n v="0"/>
    <m/>
    <n v="0"/>
    <s v=""/>
    <s v=""/>
    <s v=""/>
  </r>
  <r>
    <x v="0"/>
    <x v="1"/>
    <s v="MMR015"/>
    <s v="Kyaukme"/>
    <s v="MMR015D003"/>
    <x v="18"/>
    <s v="MMR015015"/>
    <s v="Namtu Town"/>
    <s v="MMR015015701"/>
    <s v="Namtu Ward"/>
    <s v="MMR015015701501"/>
    <x v="247"/>
    <x v="250"/>
    <x v="34"/>
    <m/>
    <m/>
    <n v="13"/>
    <n v="45"/>
    <n v="3.4615384615384617"/>
    <x v="0"/>
    <x v="0"/>
    <x v="0"/>
    <x v="0"/>
    <x v="6"/>
    <m/>
    <x v="2"/>
    <s v="IP"/>
    <m/>
    <d v="2017-01-17T00:00:00"/>
    <s v="17-01-2017: New added camp. Missing data will be collected from partners and present in next Report."/>
    <m/>
    <n v="13"/>
    <m/>
    <n v="13"/>
    <s v=""/>
    <s v=""/>
    <s v=""/>
  </r>
  <r>
    <x v="1"/>
    <x v="1"/>
    <s v="MMR015"/>
    <s v="Kyaukme"/>
    <s v="MMR015D003"/>
    <x v="18"/>
    <s v="MMR015015"/>
    <s v="Namtu Town"/>
    <s v="MMR015015701"/>
    <s v="Namtu Ward"/>
    <s v="MMR015015701501"/>
    <x v="248"/>
    <x v="251"/>
    <x v="34"/>
    <m/>
    <m/>
    <m/>
    <m/>
    <s v="NA"/>
    <x v="0"/>
    <x v="0"/>
    <x v="0"/>
    <x v="0"/>
    <x v="6"/>
    <m/>
    <x v="2"/>
    <s v="IP"/>
    <m/>
    <d v="2017-07-03T00:00:00"/>
    <s v="3/Jul/2017: Changed camp status as &quot;Closed&quot; according to the information of KBC. Note from KBC &quot;Namtu KBC 1(MMR015CMP230) and Namtu KBC 2 (MMR015CMP231) are already integrated into the old camp ( Nam Tu Baptist (MMR015CMP014)&quot;._x000a_17-01-2017: New added camp. Missing data will be collected from partners and present in next Report."/>
    <m/>
    <n v="0"/>
    <m/>
    <n v="0"/>
    <s v=""/>
    <s v=""/>
    <s v=""/>
  </r>
  <r>
    <x v="1"/>
    <x v="1"/>
    <s v="MMR015"/>
    <s v="Kyaukme"/>
    <s v="MMR015D003"/>
    <x v="18"/>
    <s v="MMR015015"/>
    <s v="Namtu Town"/>
    <s v="MMR015015701"/>
    <s v="Namtu Ward"/>
    <s v="MMR015015701501"/>
    <x v="249"/>
    <x v="252"/>
    <x v="34"/>
    <m/>
    <m/>
    <m/>
    <m/>
    <s v="NA"/>
    <x v="0"/>
    <x v="0"/>
    <x v="0"/>
    <x v="0"/>
    <x v="6"/>
    <m/>
    <x v="2"/>
    <s v="IP"/>
    <m/>
    <d v="2017-07-03T00:00:00"/>
    <s v="3/Jul/2017: Changed camp status as &quot;Closed&quot; according to the information of KBC. Note from KBC &quot;Namtu KBC 1(MMR015CMP230) and Namtu KBC 2 (MMR015CMP231) are already integrated into the old camp ( Nam Tu Baptist (MMR015CMP014)&quot;._x000a_17-01-2017: New added camp. Missing data will be collected from partners and present in next Report."/>
    <m/>
    <n v="0"/>
    <m/>
    <n v="0"/>
    <s v=""/>
    <s v=""/>
    <s v=""/>
  </r>
  <r>
    <x v="0"/>
    <x v="1"/>
    <s v="MMR015"/>
    <s v="Kyaukme"/>
    <s v="MMR015D003"/>
    <x v="18"/>
    <s v="MMR015015"/>
    <s v="Namtu Town"/>
    <s v="MMR015015701"/>
    <s v="Namtu Ward"/>
    <s v="MMR015015701501"/>
    <x v="250"/>
    <x v="253"/>
    <x v="34"/>
    <m/>
    <m/>
    <n v="59"/>
    <n v="268"/>
    <n v="4.5423728813559325"/>
    <x v="0"/>
    <x v="0"/>
    <x v="0"/>
    <x v="0"/>
    <x v="6"/>
    <m/>
    <x v="2"/>
    <s v="IP"/>
    <m/>
    <d v="2017-01-17T00:00:00"/>
    <s v="17-01-2017: New added camp. Missing data will be collected from partners and present in next Report."/>
    <m/>
    <n v="59"/>
    <m/>
    <n v="59"/>
    <s v=""/>
    <s v=""/>
    <s v=""/>
  </r>
  <r>
    <x v="1"/>
    <x v="1"/>
    <s v="MMR015"/>
    <s v="Muse"/>
    <s v="MMR015D002"/>
    <x v="12"/>
    <s v="MMR015009"/>
    <s v="Muse Town"/>
    <s v="MMR015009701"/>
    <s v="Ho Mun Ward"/>
    <s v="MMR015009701504"/>
    <x v="251"/>
    <x v="254"/>
    <x v="34"/>
    <m/>
    <m/>
    <m/>
    <m/>
    <s v="NA"/>
    <x v="0"/>
    <x v="0"/>
    <x v="0"/>
    <x v="0"/>
    <x v="6"/>
    <m/>
    <x v="2"/>
    <s v="IP"/>
    <m/>
    <d v="2017-04-06T00:00:00"/>
    <s v="6/Apr/2017: Changed camp status as &quot;closed&quot;. Data source: CCCM_UNHCR, comfirmed by partners (KBC)_x000a_17-01-2017: New added camp. Missing data will be collected from partners and present in next Report."/>
    <m/>
    <n v="0"/>
    <m/>
    <n v="0"/>
    <s v=""/>
    <s v=""/>
    <s v=""/>
  </r>
  <r>
    <x v="1"/>
    <x v="1"/>
    <s v="MMR015"/>
    <s v="Muse"/>
    <s v="MMR015D002"/>
    <x v="12"/>
    <s v="MMR015009"/>
    <s v="Muse Town"/>
    <s v="MMR015009701"/>
    <s v="Myauk Ward"/>
    <s v="MMR015009701505"/>
    <x v="252"/>
    <x v="255"/>
    <x v="34"/>
    <m/>
    <m/>
    <m/>
    <m/>
    <s v="NA"/>
    <x v="0"/>
    <x v="0"/>
    <x v="0"/>
    <x v="0"/>
    <x v="6"/>
    <m/>
    <x v="2"/>
    <m/>
    <m/>
    <d v="2017-01-17T00:00:00"/>
    <s v="17-01-2017: New added camp. Missing data will be collected from partners and present in next Report."/>
    <m/>
    <n v="0"/>
    <m/>
    <n v="0"/>
    <s v=""/>
    <s v=""/>
    <s v=""/>
  </r>
  <r>
    <x v="1"/>
    <x v="1"/>
    <s v="MMR015"/>
    <s v="Muse"/>
    <s v="MMR015D002"/>
    <x v="12"/>
    <s v="MMR015009"/>
    <s v="Muse Town"/>
    <s v="MMR015009701"/>
    <s v="Taung Ward"/>
    <s v="MMR015009701503"/>
    <x v="253"/>
    <x v="256"/>
    <x v="34"/>
    <m/>
    <m/>
    <m/>
    <m/>
    <s v="NA"/>
    <x v="0"/>
    <x v="0"/>
    <x v="0"/>
    <x v="0"/>
    <x v="6"/>
    <m/>
    <x v="2"/>
    <m/>
    <m/>
    <d v="2017-01-17T00:00:00"/>
    <s v="17-01-2017: New added camp. Missing data will be collected from partners and present in next Report."/>
    <m/>
    <n v="0"/>
    <m/>
    <n v="0"/>
    <s v=""/>
    <s v=""/>
    <s v=""/>
  </r>
  <r>
    <x v="1"/>
    <x v="1"/>
    <s v="MMR015"/>
    <s v="Muse"/>
    <s v="MMR015D002"/>
    <x v="12"/>
    <s v="MMR015009"/>
    <m/>
    <m/>
    <m/>
    <m/>
    <x v="254"/>
    <x v="257"/>
    <x v="34"/>
    <m/>
    <m/>
    <m/>
    <m/>
    <s v="NA"/>
    <x v="0"/>
    <x v="0"/>
    <x v="0"/>
    <x v="1"/>
    <x v="6"/>
    <m/>
    <x v="2"/>
    <s v="IP"/>
    <m/>
    <d v="2017-04-06T00:00:00"/>
    <s v="6/Apr/2017: Changed camp status as &quot;closed&quot;. Data source: CCCM_UNHCR, comfirmed by partners (KBC)_x000a_17-01-2017: New added camp. Missing data will be collected from partners and present in next Report."/>
    <m/>
    <n v="0"/>
    <m/>
    <n v="0"/>
    <s v=""/>
    <s v=""/>
    <s v=""/>
  </r>
  <r>
    <x v="1"/>
    <x v="1"/>
    <s v="MMR015"/>
    <s v="Muse"/>
    <s v="MMR015D002"/>
    <x v="12"/>
    <s v="MMR015009"/>
    <s v="Muse Town"/>
    <s v="MMR015009701"/>
    <s v="Swei Taw Ward"/>
    <s v="MMR015009701507"/>
    <x v="255"/>
    <x v="258"/>
    <x v="34"/>
    <m/>
    <m/>
    <m/>
    <m/>
    <s v="NA"/>
    <x v="0"/>
    <x v="0"/>
    <x v="0"/>
    <x v="0"/>
    <x v="6"/>
    <m/>
    <x v="2"/>
    <s v="IP"/>
    <m/>
    <d v="2017-04-06T00:00:00"/>
    <s v="6/Apr/2017: Changed camp status as &quot;closed&quot;. Data source: CCCM_UNHCR, comfirmed by partners (KBC)_x000a_17-01-2017: New added camp. Missing data will be collected from partners and present in next Report."/>
    <m/>
    <n v="0"/>
    <m/>
    <n v="0"/>
    <s v=""/>
    <s v=""/>
    <s v=""/>
  </r>
  <r>
    <x v="1"/>
    <x v="0"/>
    <s v="MMR001"/>
    <s v="Mohnyin"/>
    <s v="MMR001D002"/>
    <x v="1"/>
    <s v="MMR001009"/>
    <s v="Haung Par"/>
    <s v="MMR001009004"/>
    <s v="Haung Par"/>
    <n v="166794"/>
    <x v="256"/>
    <x v="259"/>
    <x v="34"/>
    <m/>
    <m/>
    <n v="0"/>
    <n v="0"/>
    <s v="NA"/>
    <x v="0"/>
    <x v="0"/>
    <x v="0"/>
    <x v="1"/>
    <x v="6"/>
    <m/>
    <x v="2"/>
    <m/>
    <m/>
    <m/>
    <m/>
    <s v=""/>
    <n v="0"/>
    <m/>
    <n v="0"/>
    <s v=""/>
    <s v=""/>
    <s v=""/>
  </r>
  <r>
    <x v="1"/>
    <x v="1"/>
    <s v="MMR015"/>
    <s v="Muse"/>
    <s v="MMR015D002"/>
    <x v="12"/>
    <s v="MMR015009"/>
    <s v="Nam Pang"/>
    <s v="MMR015009001"/>
    <s v="Nam Hkon"/>
    <n v="208003"/>
    <x v="257"/>
    <x v="260"/>
    <x v="34"/>
    <m/>
    <m/>
    <m/>
    <m/>
    <s v="NA"/>
    <x v="0"/>
    <x v="0"/>
    <x v="0"/>
    <x v="2"/>
    <x v="6"/>
    <m/>
    <x v="2"/>
    <s v="IP"/>
    <m/>
    <d v="2017-04-06T00:00:00"/>
    <s v="6/Apr/2017: Changed camp status as &quot;closed&quot;. Data source: CCCM_UNHCR, comfirmed by partners (KBC)_x000a_17-01-2017: New added camp. Missing data will be collected from partners and present in next Report."/>
    <m/>
    <n v="0"/>
    <m/>
    <n v="0"/>
    <s v=""/>
    <s v=""/>
    <s v=""/>
  </r>
  <r>
    <x v="1"/>
    <x v="1"/>
    <s v="MMR015"/>
    <s v="Muse"/>
    <s v="MMR015D002"/>
    <x v="12"/>
    <s v="MMR015009"/>
    <s v="Muse Town"/>
    <s v="MMR015009701"/>
    <s v="Ho Mun Ward"/>
    <s v="MMR015009701504"/>
    <x v="258"/>
    <x v="261"/>
    <x v="34"/>
    <m/>
    <m/>
    <m/>
    <m/>
    <s v="NA"/>
    <x v="0"/>
    <x v="0"/>
    <x v="0"/>
    <x v="0"/>
    <x v="6"/>
    <m/>
    <x v="2"/>
    <s v="IP"/>
    <m/>
    <d v="2017-04-06T00:00:00"/>
    <s v="6/Apr/2017: Changed camp status as &quot;closed&quot;. Data source: CCCM_UNHCR, comfirmed by partners (KBC)_x000a_17-01-2017: New added camp. Missing data will be collected from partners and present in next Report."/>
    <m/>
    <n v="0"/>
    <m/>
    <n v="0"/>
    <s v=""/>
    <s v=""/>
    <s v=""/>
  </r>
  <r>
    <x v="1"/>
    <x v="1"/>
    <s v="MMR015"/>
    <s v="Muse"/>
    <s v="MMR015D002"/>
    <x v="12"/>
    <s v="MMR015009"/>
    <s v="Muse Town"/>
    <s v="MMR015009701"/>
    <m/>
    <m/>
    <x v="259"/>
    <x v="262"/>
    <x v="34"/>
    <m/>
    <m/>
    <m/>
    <m/>
    <s v="NA"/>
    <x v="0"/>
    <x v="0"/>
    <x v="0"/>
    <x v="1"/>
    <x v="6"/>
    <m/>
    <x v="2"/>
    <m/>
    <m/>
    <d v="2017-01-17T00:00:00"/>
    <s v="17-01-2017: New added camp. Missing data will be collected from partners and present in next Report."/>
    <m/>
    <n v="0"/>
    <m/>
    <n v="0"/>
    <s v=""/>
    <s v=""/>
    <s v=""/>
  </r>
  <r>
    <x v="1"/>
    <x v="1"/>
    <s v="MMR015"/>
    <s v="Muse"/>
    <s v="MMR015D002"/>
    <x v="12"/>
    <s v="MMR015009"/>
    <s v="Muse Town"/>
    <s v="MMR015009701"/>
    <s v="Ho Mun Ward"/>
    <s v="MMR015009701504"/>
    <x v="260"/>
    <x v="263"/>
    <x v="34"/>
    <m/>
    <m/>
    <m/>
    <m/>
    <s v="NA"/>
    <x v="0"/>
    <x v="0"/>
    <x v="0"/>
    <x v="0"/>
    <x v="6"/>
    <m/>
    <x v="2"/>
    <s v="IP"/>
    <m/>
    <d v="2017-04-06T00:00:00"/>
    <s v="6/Apr/2017: Changed camp status as &quot;closed&quot;. Data source: CCCM_UNHCR, comfirmed by partners (KBC)_x000a_17-01-2017: New added camp. Missing data will be collected from partners and present in next Report."/>
    <m/>
    <n v="0"/>
    <m/>
    <n v="0"/>
    <s v=""/>
    <s v=""/>
    <s v=""/>
  </r>
  <r>
    <x v="1"/>
    <x v="0"/>
    <s v="MMR001"/>
    <s v="Mohnyin"/>
    <s v="MMR001D002"/>
    <x v="1"/>
    <s v="MMR001009"/>
    <s v="Wa Ra Zut"/>
    <s v="MMR001009009"/>
    <s v="Shar Du Zut"/>
    <n v="166819"/>
    <x v="261"/>
    <x v="264"/>
    <x v="33"/>
    <n v="25.920006000000001"/>
    <m/>
    <m/>
    <m/>
    <s v="NA"/>
    <x v="0"/>
    <x v="0"/>
    <x v="0"/>
    <x v="2"/>
    <x v="12"/>
    <m/>
    <x v="2"/>
    <s v="IP"/>
    <m/>
    <d v="2017-04-24T00:00:00"/>
    <s v="24/Apr/2017: Changed camp status as &quot;closed&quot;. Data source: KMSS_Myitkyina and CCCM unit._x000a_16/Sep/2016: New added camp. There no responsible organization."/>
    <m/>
    <n v="0"/>
    <m/>
    <n v="0"/>
    <s v="Hpakant Town"/>
    <n v="0"/>
    <n v="1"/>
  </r>
  <r>
    <x v="1"/>
    <x v="0"/>
    <s v="MMR001"/>
    <s v="Bhamo"/>
    <s v="MMR001D003"/>
    <x v="5"/>
    <s v="MMR001010"/>
    <s v="Han Te"/>
    <s v="MMR001010024"/>
    <m/>
    <m/>
    <x v="262"/>
    <x v="265"/>
    <x v="200"/>
    <n v="24.229189999999999"/>
    <n v="126"/>
    <m/>
    <m/>
    <s v="NA"/>
    <x v="0"/>
    <x v="0"/>
    <x v="0"/>
    <x v="0"/>
    <x v="6"/>
    <m/>
    <x v="1"/>
    <s v="IP"/>
    <m/>
    <d v="2014-09-24T00:00:00"/>
    <s v="Closed. Source: UNHCR-Bhamo. (5-Nov-2014 During the yesterday GCM meeting, it is noted from WFP that the Tharthana Ahlin Yaung New Monastery, MMR001CMP224, is closed already. Some families are still remained staying with host family and WFP is still providing them with regular food supplies.)"/>
    <s v="P4"/>
    <n v="0"/>
    <m/>
    <n v="0"/>
    <s v=""/>
    <s v=""/>
    <s v=""/>
  </r>
  <r>
    <x v="1"/>
    <x v="0"/>
    <s v="MMR001"/>
    <s v="Mohnyin"/>
    <s v="MMR001D002"/>
    <x v="1"/>
    <s v="MMR001009"/>
    <s v="Hpakan Town"/>
    <s v="MMR001009701"/>
    <s v="Myo Ma Ward"/>
    <s v="MMR001009701503"/>
    <x v="263"/>
    <x v="266"/>
    <x v="34"/>
    <m/>
    <m/>
    <m/>
    <m/>
    <s v="NA"/>
    <x v="0"/>
    <x v="0"/>
    <x v="0"/>
    <x v="1"/>
    <x v="6"/>
    <m/>
    <x v="2"/>
    <m/>
    <m/>
    <m/>
    <s v=" "/>
    <s v=""/>
    <n v="0"/>
    <m/>
    <n v="0"/>
    <s v=""/>
    <s v=""/>
    <s v=""/>
  </r>
  <r>
    <x v="1"/>
    <x v="0"/>
    <s v="MMR001"/>
    <s v="Bhamo"/>
    <s v="MMR001D003"/>
    <x v="5"/>
    <s v="MMR001010"/>
    <m/>
    <m/>
    <m/>
    <m/>
    <x v="264"/>
    <x v="267"/>
    <x v="34"/>
    <m/>
    <m/>
    <n v="0"/>
    <n v="0"/>
    <s v="NA"/>
    <x v="0"/>
    <x v="0"/>
    <x v="0"/>
    <x v="0"/>
    <x v="6"/>
    <m/>
    <x v="2"/>
    <s v="IP"/>
    <m/>
    <d v="2014-03-03T00:00:00"/>
    <s v="Closed. Rellocated to Tharthana Ahlin Yaung."/>
    <s v=""/>
    <n v="0"/>
    <m/>
    <n v="0"/>
    <s v=""/>
    <s v=""/>
    <s v=""/>
  </r>
  <r>
    <x v="1"/>
    <x v="0"/>
    <s v="MMR001"/>
    <s v="Myitkyina"/>
    <s v="MMR001D001"/>
    <x v="2"/>
    <s v="MMR001002"/>
    <s v="Waingmaw Town"/>
    <s v="MMR001002701"/>
    <s v="No (2) Ward"/>
    <s v="MMR001002701502"/>
    <x v="265"/>
    <x v="268"/>
    <x v="201"/>
    <n v="25.355841999999999"/>
    <n v="0"/>
    <m/>
    <m/>
    <s v="NA"/>
    <x v="0"/>
    <x v="0"/>
    <x v="4"/>
    <x v="0"/>
    <x v="14"/>
    <n v="1"/>
    <x v="0"/>
    <s v="IP"/>
    <m/>
    <d v="2016-03-03T00:00:00"/>
    <s v="3/Mar/2016. Closed Camp. Data source: January report from KBC._x000a_28/Jan/2016. Population update. Data source: KBC (mail by maran)_x000a_2/Dec/2015 (Population update. Data source: Monthly report by KBC)._x000a_25-Jun-2015 Update population. Data Source: KBC_x000a_Changed to Boarding School."/>
    <s v="P4"/>
    <n v="0"/>
    <m/>
    <n v="0"/>
    <s v="Waingmaw Town"/>
    <n v="0.70725493400809891"/>
    <n v="1"/>
  </r>
  <r>
    <x v="1"/>
    <x v="0"/>
    <s v="MMR001"/>
    <s v="Mohnyin"/>
    <s v="MMR001D002"/>
    <x v="1"/>
    <s v="MMR001009"/>
    <s v="Seik Mu"/>
    <s v="MMR001009003"/>
    <s v="Seik Mu"/>
    <n v="166783"/>
    <x v="266"/>
    <x v="269"/>
    <x v="202"/>
    <n v="25.57921"/>
    <n v="0"/>
    <m/>
    <m/>
    <s v="NA"/>
    <x v="0"/>
    <x v="0"/>
    <x v="0"/>
    <x v="2"/>
    <x v="21"/>
    <m/>
    <x v="3"/>
    <s v="RRD"/>
    <m/>
    <d v="2014-04-07T00:00:00"/>
    <s v="Move to Nant Ma Hpit Catholic Church."/>
    <s v=""/>
    <n v="0"/>
    <m/>
    <n v="0"/>
    <s v=""/>
    <s v=""/>
    <s v=""/>
  </r>
  <r>
    <x v="1"/>
    <x v="1"/>
    <s v="MMR015"/>
    <s v="Muse"/>
    <s v="MMR015D002"/>
    <x v="12"/>
    <s v="MMR015009"/>
    <s v="Muse Town"/>
    <s v="MMR015009701"/>
    <s v="Ho Mun Ward"/>
    <s v="MMR015009701504"/>
    <x v="267"/>
    <x v="270"/>
    <x v="34"/>
    <m/>
    <m/>
    <m/>
    <m/>
    <s v="NA"/>
    <x v="0"/>
    <x v="0"/>
    <x v="0"/>
    <x v="0"/>
    <x v="6"/>
    <m/>
    <x v="2"/>
    <s v="IP"/>
    <m/>
    <d v="2017-04-06T00:00:00"/>
    <s v="6/Apr/2017: Changed camp status as &quot;closed&quot;. Data source: CCCM_UNHCR, comfirmed by partners (KBC)_x000a_17-01-2017: New added camp. Missing data will be collected from partners and present in next Report."/>
    <m/>
    <n v="0"/>
    <m/>
    <n v="0"/>
    <s v=""/>
    <s v=""/>
    <s v=""/>
  </r>
  <r>
    <x v="1"/>
    <x v="0"/>
    <s v="MMR001"/>
    <s v="Myitkyina"/>
    <s v="MMR001D001"/>
    <x v="4"/>
    <s v="MMR001005"/>
    <m/>
    <m/>
    <m/>
    <m/>
    <x v="268"/>
    <x v="271"/>
    <x v="34"/>
    <m/>
    <m/>
    <m/>
    <m/>
    <s v="NA"/>
    <x v="0"/>
    <x v="0"/>
    <x v="0"/>
    <x v="1"/>
    <x v="6"/>
    <m/>
    <x v="2"/>
    <m/>
    <m/>
    <m/>
    <s v=" "/>
    <s v=""/>
    <n v="0"/>
    <m/>
    <n v="0"/>
    <s v=""/>
    <s v=""/>
    <s v=""/>
  </r>
  <r>
    <x v="1"/>
    <x v="0"/>
    <s v="MMR001"/>
    <s v="Mohnyin"/>
    <s v="MMR001D002"/>
    <x v="1"/>
    <s v="MMR001009"/>
    <s v="Hpakan Town"/>
    <s v="MMR001009701"/>
    <s v="Ma Shi Ka Htaung Ward"/>
    <s v="MMR001009701505"/>
    <x v="269"/>
    <x v="272"/>
    <x v="34"/>
    <m/>
    <m/>
    <m/>
    <m/>
    <s v="NA"/>
    <x v="0"/>
    <x v="0"/>
    <x v="0"/>
    <x v="1"/>
    <x v="6"/>
    <m/>
    <x v="2"/>
    <m/>
    <m/>
    <m/>
    <s v=" "/>
    <s v=""/>
    <n v="0"/>
    <m/>
    <n v="0"/>
    <s v=""/>
    <s v=""/>
    <s v=""/>
  </r>
  <r>
    <x v="1"/>
    <x v="0"/>
    <s v="MMR001"/>
    <s v="Myitkyina"/>
    <s v="MMR001D001"/>
    <x v="2"/>
    <s v="MMR001002"/>
    <s v="Hpawt Dawt"/>
    <s v="MMR001002032"/>
    <s v="Mon Gar Zut"/>
    <n v="220360"/>
    <x v="270"/>
    <x v="273"/>
    <x v="203"/>
    <n v="25.106670000000001"/>
    <n v="756"/>
    <m/>
    <m/>
    <s v="NA"/>
    <x v="1"/>
    <x v="0"/>
    <x v="0"/>
    <x v="2"/>
    <x v="14"/>
    <n v="3"/>
    <x v="0"/>
    <s v="IP"/>
    <m/>
    <d v="2017-06-02T00:00:00"/>
    <s v="6/June/2017: Changed camp status as &quot;Closed&quot; because of the conflict on Dec, 2016. So IDPs ( from Zai Awng - Mung Ga Zup) flew to Lung Byen. They stay awhile at Lung Byen and then they moved to Shait Yang on 17 Jan 2017. Added as a new camp (Shait Yang) instead of Zai Awng-Mung Ga Zup&quot;._x000a_3/May/2017: Population update. Data source: KBC_x000a_24/Apr/2017: Population update. Data source: KBC and CCCM unit_x000a_15/Mar/2017: Population update. Data Source: KBC_x000a_24/Feb/2017: Population update. Data source: KBC_x000a_10/Jan/2017: Population update. Data source: KBC_x000a_21/Oct/2016: Population update. Data soure: KBC_x000a_9/Sep/2016. Population update. Data source:KBC._x000a_18/Jul/2016: Population updte. Data source: KBC_x000a_15/Jun/2016: Population update. Data source: monthly report by KBC_x000a_12/May/2016. Population update. Data source: KBC_x000a_28/Jan/2016. Population update. Data source: KBC _x000a_2/Dec/2015. Population update. Data source: KBC_x000a_25-Jun-15 Population update. Source: KBC_x000a_Update population according to KBC data"/>
    <s v="P2"/>
    <n v="0"/>
    <m/>
    <n v="0"/>
    <s v="Sadung Town"/>
    <n v="32.827754639406997"/>
    <n v="7"/>
  </r>
  <r>
    <x v="1"/>
    <x v="0"/>
    <s v="MMR001"/>
    <s v="Mohnyin"/>
    <s v="MMR001D002"/>
    <x v="1"/>
    <s v="MMR001009"/>
    <s v="Hpakan Town"/>
    <s v="MMR001009701"/>
    <s v="Maw Wam Ward"/>
    <s v="MMR001009701501"/>
    <x v="271"/>
    <x v="274"/>
    <x v="204"/>
    <n v="25.615006000000001"/>
    <m/>
    <n v="0"/>
    <n v="0"/>
    <s v="NA"/>
    <x v="0"/>
    <x v="0"/>
    <x v="0"/>
    <x v="1"/>
    <x v="6"/>
    <m/>
    <x v="2"/>
    <m/>
    <m/>
    <m/>
    <s v=" "/>
    <s v=""/>
    <n v="0"/>
    <m/>
    <n v="0"/>
    <s v=""/>
    <s v=""/>
    <s v=""/>
  </r>
  <r>
    <x v="1"/>
    <x v="1"/>
    <s v="MMR015"/>
    <s v="Muse"/>
    <s v="MMR015D002"/>
    <x v="12"/>
    <s v="MMR015009"/>
    <m/>
    <m/>
    <m/>
    <m/>
    <x v="272"/>
    <x v="275"/>
    <x v="34"/>
    <m/>
    <m/>
    <m/>
    <m/>
    <s v="NA"/>
    <x v="0"/>
    <x v="0"/>
    <x v="0"/>
    <x v="1"/>
    <x v="6"/>
    <m/>
    <x v="2"/>
    <s v="IP"/>
    <m/>
    <d v="2017-04-06T00:00:00"/>
    <s v="6/Apr/2017: Changed camp status as &quot;closed&quot;. Data source: CCCM_UNHCR, comfirmed by partners (KBC)_x000a_17-01-2017: New added camp. Missing data will be collected from partners and present in next Report."/>
    <m/>
    <n v="0"/>
    <m/>
    <n v="0"/>
    <s v=""/>
    <s v=""/>
    <s v=""/>
  </r>
  <r>
    <x v="0"/>
    <x v="1"/>
    <s v="MMR015"/>
    <s v="Kyaukme"/>
    <s v="MMR015D003"/>
    <x v="21"/>
    <s v="MMR015014"/>
    <s v="Moe Tay"/>
    <s v="MMR015014024"/>
    <s v="Nawng Tha Kyar"/>
    <n v="209986"/>
    <x v="273"/>
    <x v="276"/>
    <x v="205"/>
    <n v="22.677008000000001"/>
    <m/>
    <n v="37"/>
    <n v="120"/>
    <n v="3.2432432432432434"/>
    <x v="0"/>
    <x v="0"/>
    <x v="0"/>
    <x v="2"/>
    <x v="6"/>
    <m/>
    <x v="2"/>
    <s v="IP"/>
    <m/>
    <d v="2017-01-17T00:00:00"/>
    <s v="17-01-2017: New added camp. Missing data will be collected from partners and present in next Report."/>
    <m/>
    <n v="37"/>
    <m/>
    <n v="37"/>
    <s v=""/>
    <s v=""/>
    <s v=""/>
  </r>
  <r>
    <x v="0"/>
    <x v="1"/>
    <s v="MMR015"/>
    <s v="Muse"/>
    <s v="MMR015D002"/>
    <x v="13"/>
    <s v="MMR015011"/>
    <s v="Kutkai Town"/>
    <s v="MMR015011701"/>
    <s v="No (6) Ward"/>
    <s v="MMR015011701506"/>
    <x v="274"/>
    <x v="277"/>
    <x v="151"/>
    <n v="23.460349999999998"/>
    <m/>
    <n v="40"/>
    <n v="195"/>
    <n v="4.875"/>
    <x v="0"/>
    <x v="0"/>
    <x v="0"/>
    <x v="0"/>
    <x v="46"/>
    <m/>
    <x v="2"/>
    <s v="IP"/>
    <m/>
    <d v="2017-04-06T00:00:00"/>
    <s v="6/April/2017: New Added camp. Data source: UNOCHA, Partners and CCCM."/>
    <m/>
    <n v="40"/>
    <m/>
    <n v="40"/>
    <s v=""/>
    <s v=""/>
    <s v=""/>
  </r>
  <r>
    <x v="0"/>
    <x v="1"/>
    <s v="MMR015"/>
    <s v="Muse"/>
    <s v="MMR015D002"/>
    <x v="13"/>
    <s v="MMR015011"/>
    <s v="Kawng Hkar Man Pying"/>
    <s v="MMR015011002"/>
    <s v="Man Loi"/>
    <n v="208530"/>
    <x v="275"/>
    <x v="278"/>
    <x v="34"/>
    <m/>
    <m/>
    <n v="24"/>
    <n v="84"/>
    <n v="3.5"/>
    <x v="0"/>
    <x v="0"/>
    <x v="0"/>
    <x v="2"/>
    <x v="6"/>
    <m/>
    <x v="2"/>
    <s v="IP"/>
    <m/>
    <d v="2017-05-06T00:00:00"/>
    <s v="6/May/2017: New added camp. Data source: KBC. Camp was confirmed by CCCM unit. The missing informaiton will be updated as soon as possible."/>
    <m/>
    <n v="24"/>
    <m/>
    <n v="24"/>
    <s v=""/>
    <s v=""/>
    <s v=""/>
  </r>
  <r>
    <x v="0"/>
    <x v="1"/>
    <s v="MMR015"/>
    <s v="Muse"/>
    <s v="MMR015D002"/>
    <x v="12"/>
    <s v="MMR015009"/>
    <s v="Hpai Kawng (Pang Hseng-Kyu Koke Sub-township"/>
    <s v="MMR015009031"/>
    <s v="Hpai Kawng"/>
    <n v="208156"/>
    <x v="276"/>
    <x v="279"/>
    <x v="160"/>
    <n v="24.08738"/>
    <m/>
    <n v="208"/>
    <n v="952"/>
    <n v="4.5769230769230766"/>
    <x v="0"/>
    <x v="0"/>
    <x v="0"/>
    <x v="2"/>
    <x v="6"/>
    <m/>
    <x v="2"/>
    <s v="IP"/>
    <m/>
    <d v="2017-06-02T00:00:00"/>
    <s v="2/June/2017:Updated Pop and township. Data source: KBC and UNHCR_Lashio._x000a_6/May/2017: New added camp. Data source: KBC. Camp was confirmed by CCCM unit. The missing informaiton will be updated as soon as possible."/>
    <m/>
    <n v="208"/>
    <m/>
    <n v="208"/>
    <s v=""/>
    <s v=""/>
    <s v=""/>
  </r>
  <r>
    <x v="0"/>
    <x v="1"/>
    <s v="MMR015"/>
    <s v="Kyaukme"/>
    <s v="MMR015D003"/>
    <x v="18"/>
    <s v="MMR015015"/>
    <s v="Namtu Town"/>
    <s v="MMR015015701"/>
    <s v="Namtu Ward"/>
    <s v="MMR015015701501"/>
    <x v="277"/>
    <x v="280"/>
    <x v="199"/>
    <n v="23.099304"/>
    <m/>
    <n v="35"/>
    <n v="116"/>
    <n v="3.3142857142857145"/>
    <x v="0"/>
    <x v="0"/>
    <x v="0"/>
    <x v="0"/>
    <x v="47"/>
    <m/>
    <x v="2"/>
    <s v="IP"/>
    <m/>
    <d v="2017-07-03T00:00:00"/>
    <s v="3/Jul/2017: Added as new camp. Note &quot;As per Ko Sai( UNHCR’s Lashio) data update, we have to close Shwe Myint Thar Monastry camp fron Naumtu and open new camp ( Kyu Sot). The IDPs from the mentioned monastery camp are relocated to Kyu Sot area. The new location is adjacent to old location. You can also take reference from the attached file&quot;._x000a_2/June/2017: Changed camp status as &quot;Closed&quot; according to UNHCR_Lashio information._x000a_17-01-2017: New added camp. Missing data will be collected from partners and present in next Report."/>
    <m/>
    <n v="35"/>
    <m/>
    <n v="35"/>
    <s v=""/>
    <s v=""/>
    <s v=""/>
  </r>
</pivotCacheRecords>
</file>

<file path=xl/pivotCache/pivotCacheRecords5.xml><?xml version="1.0" encoding="utf-8"?>
<pivotCacheRecords xmlns="http://schemas.openxmlformats.org/spreadsheetml/2006/main" xmlns:r="http://schemas.openxmlformats.org/officeDocument/2006/relationships" count="1167">
  <r>
    <n v="-0.96666666666666667"/>
    <d v="2017-05-30T00:00:00"/>
    <x v="0"/>
    <s v="NRC"/>
    <s v="Shan_North"/>
    <s v="Namtu"/>
    <s v="Nam Tu Baptist"/>
    <m/>
    <m/>
    <m/>
    <n v="46"/>
    <n v="9"/>
    <n v="46"/>
    <n v="46"/>
    <m/>
    <m/>
    <n v="46"/>
    <m/>
    <m/>
    <m/>
    <m/>
    <m/>
    <m/>
    <m/>
    <n v="0"/>
    <n v="0"/>
    <n v="0"/>
    <n v="46"/>
    <n v="9"/>
    <n v="46"/>
    <n v="46"/>
    <n v="0"/>
    <n v="0"/>
    <n v="115"/>
    <n v="0"/>
    <n v="0"/>
    <n v="0"/>
    <n v="0"/>
    <x v="0"/>
    <n v="0"/>
    <n v="0"/>
    <n v="0"/>
    <s v="MMR015CMP014"/>
    <x v="0"/>
    <x v="0"/>
    <x v="0"/>
    <n v="1.121951219512195E-3"/>
    <m/>
    <s v="3/Jul/2017: Updated NFI distribution. Data source NRC."/>
  </r>
  <r>
    <n v="-0.96666666666666667"/>
    <d v="2017-05-30T00:00:00"/>
    <x v="0"/>
    <s v="NRC"/>
    <s v="Shan_North"/>
    <s v="Namtu"/>
    <s v="Lisu Church Namtu"/>
    <m/>
    <m/>
    <m/>
    <n v="25"/>
    <n v="5"/>
    <n v="25"/>
    <n v="25"/>
    <m/>
    <m/>
    <n v="25"/>
    <m/>
    <m/>
    <m/>
    <m/>
    <m/>
    <m/>
    <m/>
    <n v="0"/>
    <n v="0"/>
    <n v="0"/>
    <n v="25"/>
    <n v="5"/>
    <n v="25"/>
    <n v="25"/>
    <n v="0"/>
    <n v="0"/>
    <n v="62.5"/>
    <n v="0"/>
    <n v="0"/>
    <n v="0"/>
    <n v="0"/>
    <x v="0"/>
    <n v="0"/>
    <n v="0"/>
    <n v="0"/>
    <s v="MMR015CMP232"/>
    <x v="0"/>
    <x v="0"/>
    <x v="1"/>
    <s v=""/>
    <m/>
    <s v="3/Jul/2017: Updated NFI distribution. Data source NRC."/>
  </r>
  <r>
    <n v="-0.96666666666666667"/>
    <d v="2017-05-30T00:00:00"/>
    <x v="0"/>
    <s v="NRC"/>
    <s v="Shan_North"/>
    <s v="Namtu"/>
    <s v="Pan Ta Pyae"/>
    <m/>
    <m/>
    <m/>
    <n v="16"/>
    <n v="3"/>
    <n v="16"/>
    <n v="16"/>
    <m/>
    <m/>
    <n v="16"/>
    <m/>
    <m/>
    <m/>
    <m/>
    <m/>
    <m/>
    <m/>
    <n v="0"/>
    <n v="0"/>
    <n v="0"/>
    <n v="16"/>
    <n v="3"/>
    <n v="16"/>
    <n v="16"/>
    <n v="0"/>
    <n v="0"/>
    <n v="40"/>
    <n v="0"/>
    <n v="0"/>
    <n v="0"/>
    <n v="0"/>
    <x v="0"/>
    <n v="0"/>
    <n v="0"/>
    <n v="0"/>
    <s v="MMR015CMP221"/>
    <x v="1"/>
    <x v="0"/>
    <x v="1"/>
    <n v="3.7762567854614113E-4"/>
    <m/>
    <s v="3/Jul/2017: Updated NFI distribution. Data source NRC."/>
  </r>
  <r>
    <n v="-0.96666666666666667"/>
    <d v="2017-05-30T00:00:00"/>
    <x v="0"/>
    <s v="NRC"/>
    <s v="Shan_North"/>
    <s v="Namtu"/>
    <s v="Kyu Sot"/>
    <m/>
    <m/>
    <m/>
    <n v="60"/>
    <m/>
    <n v="60"/>
    <n v="60"/>
    <m/>
    <m/>
    <n v="60"/>
    <m/>
    <m/>
    <m/>
    <m/>
    <m/>
    <m/>
    <m/>
    <n v="0"/>
    <n v="0"/>
    <n v="0"/>
    <n v="60"/>
    <n v="0"/>
    <n v="60"/>
    <n v="60"/>
    <n v="0"/>
    <n v="0"/>
    <n v="150"/>
    <n v="0"/>
    <n v="0"/>
    <n v="0"/>
    <n v="0"/>
    <x v="0"/>
    <n v="0"/>
    <n v="0"/>
    <n v="0"/>
    <s v="MMR015CMP248"/>
    <x v="1"/>
    <x v="0"/>
    <x v="1"/>
    <n v="1.402491760360908E-3"/>
    <m/>
    <s v="3/Jul/2017: Updated NFI distribution. Data source NRC."/>
  </r>
  <r>
    <n v="-0.9"/>
    <d v="2017-05-28T00:00:00"/>
    <x v="0"/>
    <s v="NRC"/>
    <s v="Shan_North"/>
    <s v="Kutkai"/>
    <s v="Mai Yu Lay Ta'ang"/>
    <m/>
    <m/>
    <m/>
    <n v="143"/>
    <n v="62"/>
    <n v="286"/>
    <n v="143"/>
    <m/>
    <m/>
    <n v="143"/>
    <m/>
    <m/>
    <m/>
    <m/>
    <m/>
    <m/>
    <m/>
    <n v="0"/>
    <n v="0"/>
    <n v="0"/>
    <n v="143"/>
    <n v="62"/>
    <n v="286"/>
    <n v="143"/>
    <n v="0"/>
    <n v="0"/>
    <n v="357.5"/>
    <n v="0"/>
    <n v="0"/>
    <n v="0"/>
    <n v="0"/>
    <x v="0"/>
    <n v="0"/>
    <n v="0"/>
    <n v="0"/>
    <s v="MMR015CMP220"/>
    <x v="1"/>
    <x v="0"/>
    <x v="1"/>
    <n v="3.3698597855543774E-3"/>
    <m/>
    <s v="3/Jul/2017: Updated NFI distribution. Data source NRC."/>
  </r>
  <r>
    <n v="-0.8666666666666667"/>
    <d v="2017-05-27T00:00:00"/>
    <x v="0"/>
    <s v="NRC"/>
    <s v="Shan_North"/>
    <s v="Kutkai"/>
    <s v="Man Loi"/>
    <m/>
    <m/>
    <m/>
    <n v="24"/>
    <n v="9"/>
    <n v="48"/>
    <n v="24"/>
    <m/>
    <m/>
    <n v="24"/>
    <m/>
    <m/>
    <m/>
    <m/>
    <m/>
    <m/>
    <m/>
    <n v="0"/>
    <n v="0"/>
    <n v="0"/>
    <n v="24"/>
    <n v="9"/>
    <n v="48"/>
    <n v="24"/>
    <n v="0"/>
    <n v="0"/>
    <n v="60"/>
    <n v="0"/>
    <n v="0"/>
    <n v="0"/>
    <n v="0"/>
    <x v="0"/>
    <n v="0"/>
    <n v="0"/>
    <n v="0"/>
    <s v="MMR015CMP246"/>
    <x v="0"/>
    <x v="0"/>
    <x v="1"/>
    <s v=""/>
    <m/>
    <s v="3/Jul/2017: Updated NFI distribution. Data source NRC."/>
  </r>
  <r>
    <n v="-0.83333333333333337"/>
    <d v="2017-05-26T00:00:00"/>
    <x v="0"/>
    <s v="NRC"/>
    <s v="Shan_North"/>
    <s v="Kutkai"/>
    <s v="Kutkai downtown (KBC Church-2)"/>
    <m/>
    <m/>
    <m/>
    <n v="46"/>
    <n v="12"/>
    <n v="92"/>
    <n v="46"/>
    <m/>
    <m/>
    <n v="46"/>
    <m/>
    <m/>
    <m/>
    <m/>
    <m/>
    <m/>
    <m/>
    <n v="0"/>
    <n v="0"/>
    <n v="0"/>
    <n v="46"/>
    <n v="12"/>
    <n v="92"/>
    <n v="46"/>
    <n v="0"/>
    <n v="0"/>
    <n v="115"/>
    <n v="0"/>
    <n v="0"/>
    <n v="0"/>
    <n v="0"/>
    <x v="0"/>
    <n v="0"/>
    <n v="0"/>
    <n v="0"/>
    <s v="MMR015CMP245"/>
    <x v="1"/>
    <x v="0"/>
    <x v="1"/>
    <n v="1.0766782136504072E-3"/>
    <m/>
    <s v="3/Jul/2017: Updated NFI distribution. Data source NRC."/>
  </r>
  <r>
    <n v="-0.8"/>
    <d v="2017-05-25T00:00:00"/>
    <x v="0"/>
    <s v="NRC"/>
    <s v="Shan_North"/>
    <s v="Hseni"/>
    <s v="Nam Sa Larp"/>
    <m/>
    <m/>
    <m/>
    <n v="57"/>
    <m/>
    <m/>
    <n v="57"/>
    <m/>
    <m/>
    <n v="57"/>
    <m/>
    <m/>
    <m/>
    <m/>
    <m/>
    <m/>
    <m/>
    <n v="0"/>
    <n v="0"/>
    <n v="0"/>
    <n v="57"/>
    <n v="0"/>
    <n v="0"/>
    <n v="57"/>
    <n v="0"/>
    <n v="0"/>
    <n v="142.5"/>
    <n v="0"/>
    <n v="0"/>
    <n v="0"/>
    <n v="0"/>
    <x v="0"/>
    <n v="0"/>
    <n v="0"/>
    <n v="0"/>
    <s v="MMR015CMP218"/>
    <x v="1"/>
    <x v="0"/>
    <x v="1"/>
    <n v="1.3559805880673707E-3"/>
    <m/>
    <s v="3/Jul/2017: Updated NFI distribution. Data source NRC."/>
  </r>
  <r>
    <n v="-0.3"/>
    <d v="2017-05-10T00:00:00"/>
    <x v="0"/>
    <s v="NRC"/>
    <s v="Kachin"/>
    <s v="Bhamo"/>
    <s v="Pang Hkawng Yang"/>
    <m/>
    <m/>
    <m/>
    <n v="54"/>
    <n v="6"/>
    <n v="108"/>
    <n v="54"/>
    <m/>
    <m/>
    <n v="54"/>
    <m/>
    <m/>
    <m/>
    <m/>
    <m/>
    <m/>
    <m/>
    <n v="0"/>
    <n v="0"/>
    <n v="0"/>
    <n v="54"/>
    <n v="6"/>
    <n v="108"/>
    <n v="54"/>
    <n v="0"/>
    <n v="0"/>
    <n v="135"/>
    <n v="0"/>
    <n v="0"/>
    <n v="0"/>
    <n v="0"/>
    <x v="0"/>
    <n v="0"/>
    <n v="0"/>
    <n v="0"/>
    <s v=""/>
    <x v="2"/>
    <x v="1"/>
    <x v="2"/>
    <s v=""/>
    <m/>
    <s v="Update date: 3/Jul/2017. Data source NRC. Distribution for Storm affected villages."/>
  </r>
  <r>
    <n v="-0.23333333333333334"/>
    <d v="2017-05-08T00:00:00"/>
    <x v="1"/>
    <s v="KBC"/>
    <s v="Kachin"/>
    <s v="Waingmaw"/>
    <s v="Shing Jai"/>
    <m/>
    <m/>
    <m/>
    <m/>
    <m/>
    <n v="358"/>
    <m/>
    <m/>
    <m/>
    <m/>
    <m/>
    <m/>
    <m/>
    <m/>
    <m/>
    <m/>
    <m/>
    <n v="0"/>
    <n v="0"/>
    <n v="0"/>
    <n v="0"/>
    <n v="0"/>
    <n v="358"/>
    <n v="0"/>
    <n v="0"/>
    <n v="0"/>
    <n v="0"/>
    <n v="0"/>
    <n v="0"/>
    <n v="0"/>
    <n v="0"/>
    <x v="0"/>
    <n v="0"/>
    <n v="0"/>
    <n v="0"/>
    <s v="MMR001CMP041"/>
    <x v="3"/>
    <x v="0"/>
    <x v="3"/>
    <n v="0"/>
    <m/>
    <s v="2/June/2017: Update blanket data. Data source: KBC"/>
  </r>
  <r>
    <n v="0.13333333333333333"/>
    <d v="2017-04-27T00:00:00"/>
    <x v="2"/>
    <s v="Solidarities"/>
    <s v="Kachin"/>
    <s v="Waingmaw"/>
    <s v="Qtr. 2 Lhaovo Baptist Church"/>
    <n v="10"/>
    <m/>
    <n v="90"/>
    <m/>
    <m/>
    <m/>
    <m/>
    <m/>
    <n v="10"/>
    <m/>
    <m/>
    <m/>
    <m/>
    <m/>
    <n v="10"/>
    <m/>
    <m/>
    <m/>
    <n v="0"/>
    <n v="90"/>
    <n v="0"/>
    <n v="0"/>
    <n v="0"/>
    <n v="0"/>
    <n v="0"/>
    <n v="10"/>
    <n v="0"/>
    <n v="0"/>
    <n v="0"/>
    <n v="0"/>
    <n v="0"/>
    <x v="0"/>
    <n v="10"/>
    <n v="0"/>
    <n v="0"/>
    <s v="MMR001CMP032"/>
    <x v="3"/>
    <x v="0"/>
    <x v="4"/>
    <n v="0"/>
    <m/>
    <s v="Update date: 15/May/2017. Data source: SI "/>
  </r>
  <r>
    <n v="0.6"/>
    <d v="2017-04-13T00:00:00"/>
    <x v="1"/>
    <s v="Shalom"/>
    <s v="Kachin"/>
    <s v="Waingmaw"/>
    <s v="Qtr. 2 Lhaovo Baptist Church"/>
    <m/>
    <n v="17"/>
    <n v="17"/>
    <n v="58"/>
    <n v="17"/>
    <n v="58"/>
    <n v="17"/>
    <m/>
    <n v="17"/>
    <n v="76"/>
    <m/>
    <m/>
    <m/>
    <m/>
    <n v="17"/>
    <m/>
    <n v="15"/>
    <n v="0"/>
    <n v="17"/>
    <n v="17"/>
    <n v="58"/>
    <n v="17"/>
    <n v="58"/>
    <n v="17"/>
    <n v="0"/>
    <n v="17"/>
    <n v="190"/>
    <n v="0"/>
    <n v="0"/>
    <n v="0"/>
    <n v="0"/>
    <x v="0"/>
    <n v="17"/>
    <n v="0"/>
    <n v="15"/>
    <s v="MMR001CMP032"/>
    <x v="3"/>
    <x v="0"/>
    <x v="4"/>
    <n v="4.174340085942296E-4"/>
    <m/>
    <s v="Update date: 2/June/2017. Data source: CAR_April"/>
  </r>
  <r>
    <n v="0.9"/>
    <d v="2017-04-04T00:00:00"/>
    <x v="0"/>
    <s v="NRC"/>
    <s v="Kachin"/>
    <s v="Mansi"/>
    <s v="Maing Khaung Catholic Church"/>
    <m/>
    <m/>
    <m/>
    <m/>
    <m/>
    <m/>
    <m/>
    <m/>
    <m/>
    <m/>
    <n v="144"/>
    <m/>
    <m/>
    <n v="36"/>
    <m/>
    <m/>
    <m/>
    <m/>
    <n v="0"/>
    <n v="0"/>
    <n v="0"/>
    <n v="0"/>
    <n v="0"/>
    <n v="0"/>
    <n v="0"/>
    <n v="0"/>
    <n v="0"/>
    <n v="144"/>
    <n v="0"/>
    <n v="0"/>
    <n v="36"/>
    <x v="1"/>
    <n v="0"/>
    <n v="0"/>
    <n v="0"/>
    <s v="MMR001CMP223"/>
    <x v="3"/>
    <x v="0"/>
    <x v="4"/>
    <n v="0"/>
    <m/>
    <s v="Update date: 16/May/2017. Data source: NRC"/>
  </r>
  <r>
    <n v="1.0333333333333334"/>
    <d v="2017-03-31T00:00:00"/>
    <x v="0"/>
    <s v="NRC"/>
    <s v="Shan_North"/>
    <s v="Kutkai"/>
    <s v="Kutkai downtown (RC Church)"/>
    <m/>
    <m/>
    <m/>
    <m/>
    <m/>
    <m/>
    <m/>
    <m/>
    <m/>
    <m/>
    <n v="540"/>
    <m/>
    <m/>
    <n v="135"/>
    <m/>
    <m/>
    <m/>
    <n v="0"/>
    <n v="0"/>
    <n v="0"/>
    <n v="0"/>
    <n v="0"/>
    <n v="0"/>
    <n v="0"/>
    <n v="0"/>
    <n v="0"/>
    <n v="0"/>
    <n v="540"/>
    <n v="0"/>
    <n v="0"/>
    <n v="135"/>
    <x v="1"/>
    <n v="0"/>
    <n v="0"/>
    <n v="0"/>
    <s v="MMR015CMP017"/>
    <x v="3"/>
    <x v="0"/>
    <x v="0"/>
    <n v="0"/>
    <m/>
    <s v="Update date: 16/May/2017. Data source: NRC"/>
  </r>
  <r>
    <n v="1.1000000000000001"/>
    <d v="2017-03-29T00:00:00"/>
    <x v="1"/>
    <s v="Shalom"/>
    <s v="Kachin"/>
    <s v="Waingmaw"/>
    <s v="Nawng Hee Village"/>
    <m/>
    <n v="5"/>
    <n v="5"/>
    <n v="10"/>
    <n v="5"/>
    <n v="10"/>
    <n v="5"/>
    <m/>
    <n v="5"/>
    <n v="28"/>
    <m/>
    <m/>
    <m/>
    <m/>
    <n v="5"/>
    <m/>
    <m/>
    <n v="0"/>
    <n v="5"/>
    <n v="5"/>
    <n v="10"/>
    <n v="5"/>
    <n v="10"/>
    <n v="5"/>
    <n v="0"/>
    <n v="5"/>
    <n v="70"/>
    <n v="0"/>
    <n v="0"/>
    <n v="0"/>
    <n v="0"/>
    <x v="0"/>
    <n v="5"/>
    <n v="0"/>
    <n v="0"/>
    <s v="MMR001CMP033"/>
    <x v="3"/>
    <x v="0"/>
    <x v="4"/>
    <n v="1.2186205215695832E-4"/>
    <m/>
    <s v="3/May/2017: Update NFI distribution data. Data source: Shalom (CAR_March data)"/>
  </r>
  <r>
    <n v="1.4"/>
    <d v="2017-03-20T00:00:00"/>
    <x v="1"/>
    <s v="KBC"/>
    <s v="Kachin"/>
    <s v="Sumprabum"/>
    <s v="Salang Yang"/>
    <m/>
    <m/>
    <m/>
    <m/>
    <m/>
    <n v="134"/>
    <m/>
    <m/>
    <m/>
    <m/>
    <m/>
    <m/>
    <m/>
    <m/>
    <m/>
    <m/>
    <m/>
    <n v="0"/>
    <n v="0"/>
    <n v="0"/>
    <n v="0"/>
    <n v="0"/>
    <n v="134"/>
    <n v="0"/>
    <n v="0"/>
    <n v="0"/>
    <n v="0"/>
    <n v="0"/>
    <n v="0"/>
    <n v="0"/>
    <n v="0"/>
    <x v="0"/>
    <n v="0"/>
    <n v="0"/>
    <n v="0"/>
    <s v="MMR001CMP239"/>
    <x v="1"/>
    <x v="0"/>
    <x v="1"/>
    <n v="0"/>
    <m/>
    <s v="2/June/2017: Update blanket data. Data source: KBC"/>
  </r>
  <r>
    <n v="1.4333333333333333"/>
    <d v="2017-03-19T00:00:00"/>
    <x v="1"/>
    <s v="KBC"/>
    <s v="Kachin"/>
    <s v="Sumprabum"/>
    <s v="Ndup Yang"/>
    <m/>
    <m/>
    <m/>
    <m/>
    <m/>
    <n v="292"/>
    <m/>
    <m/>
    <m/>
    <m/>
    <m/>
    <m/>
    <m/>
    <m/>
    <m/>
    <m/>
    <m/>
    <n v="0"/>
    <n v="0"/>
    <n v="0"/>
    <n v="0"/>
    <n v="0"/>
    <n v="292"/>
    <n v="0"/>
    <n v="0"/>
    <n v="0"/>
    <n v="0"/>
    <n v="0"/>
    <n v="0"/>
    <n v="0"/>
    <n v="0"/>
    <x v="0"/>
    <n v="0"/>
    <n v="0"/>
    <n v="0"/>
    <s v="MMR001CMP238"/>
    <x v="1"/>
    <x v="0"/>
    <x v="1"/>
    <n v="0"/>
    <m/>
    <s v="2/June/2017: Update blanket data. Data source: KBC"/>
  </r>
  <r>
    <n v="1.5333333333333334"/>
    <d v="2017-03-16T00:00:00"/>
    <x v="1"/>
    <s v="Shalom"/>
    <s v="Kachin"/>
    <s v="Chipwi"/>
    <s v="Lhaovao Baptist Church (LBC)"/>
    <m/>
    <m/>
    <m/>
    <m/>
    <m/>
    <m/>
    <m/>
    <m/>
    <m/>
    <m/>
    <n v="97"/>
    <n v="203"/>
    <m/>
    <m/>
    <m/>
    <m/>
    <m/>
    <n v="0"/>
    <n v="0"/>
    <n v="0"/>
    <n v="0"/>
    <n v="0"/>
    <n v="0"/>
    <n v="0"/>
    <n v="0"/>
    <n v="0"/>
    <n v="0"/>
    <n v="97"/>
    <n v="203"/>
    <n v="0"/>
    <n v="0"/>
    <x v="1"/>
    <n v="0"/>
    <n v="0"/>
    <n v="0"/>
    <s v="MMR001CMP195"/>
    <x v="3"/>
    <x v="0"/>
    <x v="3"/>
    <n v="0"/>
    <m/>
    <s v="3/May/2017: Update NFI distribution data. Data source: Shalom (CAR_March data)"/>
  </r>
  <r>
    <n v="1.5666666666666667"/>
    <d v="2017-03-15T00:00:00"/>
    <x v="1"/>
    <s v="Shalom"/>
    <s v="Kachin"/>
    <s v="Chipwi"/>
    <s v="Chipwi KBC camp"/>
    <m/>
    <m/>
    <m/>
    <m/>
    <m/>
    <m/>
    <m/>
    <m/>
    <m/>
    <m/>
    <n v="79"/>
    <n v="152"/>
    <m/>
    <m/>
    <m/>
    <m/>
    <m/>
    <n v="0"/>
    <n v="0"/>
    <n v="0"/>
    <n v="0"/>
    <n v="0"/>
    <n v="0"/>
    <n v="0"/>
    <n v="0"/>
    <n v="0"/>
    <n v="0"/>
    <n v="79"/>
    <n v="152"/>
    <n v="0"/>
    <n v="0"/>
    <x v="1"/>
    <n v="0"/>
    <n v="0"/>
    <n v="0"/>
    <s v="MMR001CMP042"/>
    <x v="3"/>
    <x v="0"/>
    <x v="3"/>
    <n v="0"/>
    <m/>
    <s v="3/May/2017: Update NFI distribution data. Data source: Shalom (CAR_March data)"/>
  </r>
  <r>
    <n v="1.5666666666666667"/>
    <d v="2017-03-15T00:00:00"/>
    <x v="2"/>
    <s v="Solidarities"/>
    <s v="Kachin"/>
    <s v="Waingmaw"/>
    <s v="Woi Chyai "/>
    <m/>
    <n v="6"/>
    <m/>
    <n v="12"/>
    <m/>
    <n v="12"/>
    <m/>
    <m/>
    <m/>
    <n v="12"/>
    <m/>
    <m/>
    <m/>
    <m/>
    <m/>
    <m/>
    <m/>
    <n v="0"/>
    <n v="6"/>
    <n v="0"/>
    <n v="12"/>
    <n v="0"/>
    <n v="12"/>
    <n v="0"/>
    <n v="0"/>
    <n v="0"/>
    <n v="30"/>
    <n v="0"/>
    <n v="0"/>
    <n v="0"/>
    <n v="0"/>
    <x v="0"/>
    <n v="0"/>
    <n v="0"/>
    <n v="0"/>
    <s v="MMR001CMP116"/>
    <x v="3"/>
    <x v="0"/>
    <x v="4"/>
    <n v="0"/>
    <m/>
    <s v="Update date: 15/May/2017. Data source: SI "/>
  </r>
  <r>
    <n v="1.6"/>
    <d v="2017-03-14T00:00:00"/>
    <x v="2"/>
    <s v="Solidarities"/>
    <s v="Kachin"/>
    <s v="Momauk"/>
    <s v="Hpun Lum Yang "/>
    <m/>
    <n v="8"/>
    <m/>
    <n v="16"/>
    <m/>
    <n v="16"/>
    <m/>
    <m/>
    <m/>
    <n v="16"/>
    <m/>
    <m/>
    <m/>
    <m/>
    <m/>
    <m/>
    <m/>
    <n v="0"/>
    <n v="8"/>
    <n v="0"/>
    <n v="16"/>
    <n v="0"/>
    <n v="16"/>
    <n v="0"/>
    <n v="0"/>
    <n v="0"/>
    <n v="40"/>
    <n v="0"/>
    <n v="0"/>
    <n v="0"/>
    <n v="0"/>
    <x v="0"/>
    <n v="0"/>
    <n v="0"/>
    <n v="0"/>
    <s v="MMR001CMP122"/>
    <x v="3"/>
    <x v="0"/>
    <x v="5"/>
    <n v="0"/>
    <m/>
    <s v="Update date: 15/May/2017. Data source: SI "/>
  </r>
  <r>
    <n v="1.6"/>
    <d v="2017-03-14T00:00:00"/>
    <x v="2"/>
    <s v="Solidarities"/>
    <s v="Kachin"/>
    <s v="Waingmaw"/>
    <s v="Je Yang Hka "/>
    <m/>
    <n v="6"/>
    <m/>
    <n v="12"/>
    <m/>
    <n v="12"/>
    <m/>
    <m/>
    <m/>
    <n v="12"/>
    <m/>
    <m/>
    <m/>
    <m/>
    <m/>
    <m/>
    <m/>
    <n v="0"/>
    <n v="6"/>
    <n v="0"/>
    <n v="12"/>
    <n v="0"/>
    <n v="12"/>
    <n v="0"/>
    <n v="0"/>
    <n v="0"/>
    <n v="30"/>
    <n v="0"/>
    <n v="0"/>
    <n v="0"/>
    <n v="0"/>
    <x v="0"/>
    <n v="0"/>
    <n v="0"/>
    <n v="0"/>
    <s v="MMR001CMP121"/>
    <x v="3"/>
    <x v="0"/>
    <x v="5"/>
    <n v="0"/>
    <m/>
    <s v="Update date: 15/May/2017. Data source: SI "/>
  </r>
  <r>
    <n v="2.0333333333333332"/>
    <d v="2017-03-01T00:00:00"/>
    <x v="2"/>
    <s v="Solidarities"/>
    <s v="Kachin"/>
    <s v="Waingmaw"/>
    <s v="Hka Shi"/>
    <n v="55"/>
    <m/>
    <n v="495"/>
    <m/>
    <m/>
    <m/>
    <m/>
    <m/>
    <n v="55"/>
    <m/>
    <m/>
    <m/>
    <m/>
    <m/>
    <n v="55"/>
    <m/>
    <m/>
    <n v="55"/>
    <n v="0"/>
    <n v="495"/>
    <n v="0"/>
    <n v="0"/>
    <n v="0"/>
    <n v="0"/>
    <n v="0"/>
    <n v="55"/>
    <n v="0"/>
    <n v="0"/>
    <n v="0"/>
    <n v="0"/>
    <n v="0"/>
    <x v="0"/>
    <n v="55"/>
    <n v="0"/>
    <n v="0"/>
    <s v="MMR001CMP248"/>
    <x v="3"/>
    <x v="0"/>
    <x v="1"/>
    <s v=""/>
    <m/>
    <s v="Update date: 15/May/2017. Data source: SI "/>
  </r>
  <r>
    <n v="2.0333333333333332"/>
    <d v="2017-03-01T00:00:00"/>
    <x v="2"/>
    <s v="Solidarities"/>
    <s v="Kachin"/>
    <s v="Waingmaw"/>
    <s v="Sadung"/>
    <n v="91"/>
    <n v="92"/>
    <n v="546"/>
    <n v="184"/>
    <n v="170"/>
    <n v="184"/>
    <m/>
    <m/>
    <n v="91"/>
    <n v="184"/>
    <m/>
    <m/>
    <m/>
    <m/>
    <n v="91"/>
    <n v="85"/>
    <m/>
    <n v="91"/>
    <n v="92"/>
    <n v="546"/>
    <n v="184"/>
    <n v="170"/>
    <n v="184"/>
    <n v="0"/>
    <n v="0"/>
    <n v="91"/>
    <n v="460"/>
    <n v="0"/>
    <n v="0"/>
    <n v="0"/>
    <n v="0"/>
    <x v="0"/>
    <n v="91"/>
    <n v="85"/>
    <n v="0"/>
    <s v=""/>
    <x v="2"/>
    <x v="1"/>
    <x v="2"/>
    <s v=""/>
    <m/>
    <s v="Update date: 15/May/2017. Data source: SI (IDP site)"/>
  </r>
  <r>
    <n v="2.4666666666666668"/>
    <d v="2017-02-16T00:00:00"/>
    <x v="1"/>
    <s v="KBC"/>
    <s v="Kachin"/>
    <s v="Hpakant"/>
    <s v="Shar Du Zut KBC church "/>
    <m/>
    <m/>
    <m/>
    <m/>
    <m/>
    <m/>
    <m/>
    <m/>
    <m/>
    <m/>
    <n v="62"/>
    <n v="33"/>
    <m/>
    <m/>
    <m/>
    <m/>
    <m/>
    <n v="0"/>
    <n v="0"/>
    <n v="0"/>
    <n v="0"/>
    <n v="0"/>
    <n v="0"/>
    <n v="0"/>
    <n v="0"/>
    <n v="0"/>
    <n v="0"/>
    <n v="62"/>
    <n v="33"/>
    <n v="0"/>
    <n v="0"/>
    <x v="1"/>
    <n v="0"/>
    <n v="0"/>
    <n v="0"/>
    <s v="MMR001CMP244"/>
    <x v="1"/>
    <x v="0"/>
    <x v="1"/>
    <n v="0"/>
    <m/>
    <s v="Update date: 27/April/2017. Data source: Programme Unit_UNHCR"/>
  </r>
  <r>
    <n v="2.5333333333333332"/>
    <d v="2017-02-14T00:00:00"/>
    <x v="1"/>
    <s v="KBC"/>
    <s v="Kachin"/>
    <s v="Mansi"/>
    <s v="Maing Khaung"/>
    <m/>
    <n v="4"/>
    <n v="4"/>
    <n v="7"/>
    <n v="4"/>
    <n v="7"/>
    <n v="4"/>
    <m/>
    <n v="4"/>
    <n v="14"/>
    <m/>
    <m/>
    <m/>
    <m/>
    <n v="4"/>
    <m/>
    <m/>
    <n v="0"/>
    <n v="4"/>
    <n v="4"/>
    <n v="7"/>
    <n v="4"/>
    <n v="7"/>
    <n v="4"/>
    <n v="0"/>
    <n v="4"/>
    <n v="35"/>
    <n v="0"/>
    <n v="0"/>
    <n v="0"/>
    <n v="0"/>
    <x v="0"/>
    <n v="4"/>
    <n v="0"/>
    <n v="0"/>
    <s v="MMR001CMP218"/>
    <x v="0"/>
    <x v="0"/>
    <x v="4"/>
    <n v="9.6274188889958599E-5"/>
    <m/>
    <s v="Update date: 27/April/2017. Data source: Programme Unit_UNHCR"/>
  </r>
  <r>
    <n v="2.5333333333333332"/>
    <d v="2017-02-14T00:00:00"/>
    <x v="2"/>
    <s v="Solidarities"/>
    <s v="Kachin"/>
    <s v="Mansi"/>
    <s v="Maing Khaung"/>
    <n v="2"/>
    <m/>
    <n v="18"/>
    <m/>
    <m/>
    <m/>
    <m/>
    <m/>
    <n v="2"/>
    <m/>
    <m/>
    <m/>
    <m/>
    <m/>
    <n v="2"/>
    <m/>
    <m/>
    <n v="2"/>
    <n v="0"/>
    <n v="18"/>
    <n v="0"/>
    <n v="0"/>
    <n v="0"/>
    <n v="0"/>
    <n v="0"/>
    <n v="2"/>
    <n v="0"/>
    <n v="0"/>
    <n v="0"/>
    <n v="0"/>
    <n v="0"/>
    <x v="0"/>
    <n v="2"/>
    <n v="0"/>
    <n v="0"/>
    <s v="MMR001CMP218"/>
    <x v="3"/>
    <x v="0"/>
    <x v="4"/>
    <n v="0"/>
    <m/>
    <s v="Update date: 15/May/2017. Data source: SI and confirmed by CCCM unit."/>
  </r>
  <r>
    <n v="2.5333333333333332"/>
    <d v="2017-02-14T00:00:00"/>
    <x v="1"/>
    <s v="KMSS_Bhamo"/>
    <s v="Kachin"/>
    <s v="Mansi"/>
    <s v="Maing Khaung Catholic Church"/>
    <m/>
    <n v="1"/>
    <n v="1"/>
    <n v="2"/>
    <n v="1"/>
    <n v="2"/>
    <n v="1"/>
    <m/>
    <n v="1"/>
    <n v="3"/>
    <m/>
    <m/>
    <m/>
    <m/>
    <n v="1"/>
    <m/>
    <m/>
    <n v="0"/>
    <n v="1"/>
    <n v="1"/>
    <n v="2"/>
    <n v="1"/>
    <n v="2"/>
    <n v="1"/>
    <n v="0"/>
    <n v="1"/>
    <n v="7.5"/>
    <n v="0"/>
    <n v="0"/>
    <n v="0"/>
    <n v="0"/>
    <x v="0"/>
    <n v="1"/>
    <n v="0"/>
    <n v="0"/>
    <s v="MMR001CMP223"/>
    <x v="0"/>
    <x v="0"/>
    <x v="4"/>
    <n v="2.406854722248965E-5"/>
    <m/>
    <s v="Update date: 27/April/2017. Data source: Programme Unit_UNHCR"/>
  </r>
  <r>
    <n v="2.5666666666666669"/>
    <d v="2017-02-13T00:00:00"/>
    <x v="1"/>
    <s v="KBC"/>
    <s v="Kachin"/>
    <s v="Myitkyina"/>
    <s v="Le Kone Bethlehem Church"/>
    <m/>
    <n v="3"/>
    <n v="3"/>
    <n v="5"/>
    <n v="3"/>
    <n v="8"/>
    <n v="3"/>
    <m/>
    <n v="3"/>
    <n v="8"/>
    <m/>
    <m/>
    <m/>
    <m/>
    <n v="3"/>
    <m/>
    <m/>
    <n v="0"/>
    <n v="3"/>
    <n v="3"/>
    <n v="5"/>
    <n v="3"/>
    <n v="8"/>
    <n v="3"/>
    <n v="0"/>
    <n v="3"/>
    <n v="20"/>
    <n v="0"/>
    <n v="0"/>
    <n v="0"/>
    <n v="0"/>
    <x v="0"/>
    <n v="3"/>
    <n v="0"/>
    <n v="0"/>
    <s v="MMR001CMP015"/>
    <x v="0"/>
    <x v="0"/>
    <x v="4"/>
    <n v="7.3886166046843827E-5"/>
    <m/>
    <s v="Update date: 27/April/2017. Data source: Programme Unit_UNHCR"/>
  </r>
  <r>
    <n v="2.5666666666666669"/>
    <d v="2017-02-13T00:00:00"/>
    <x v="1"/>
    <s v="KBC"/>
    <s v="Kachin"/>
    <s v="Myitkyina"/>
    <s v="Jan Mai Kawng Baptist Church"/>
    <m/>
    <n v="1"/>
    <n v="1"/>
    <n v="2"/>
    <n v="1"/>
    <n v="3"/>
    <n v="1"/>
    <m/>
    <n v="1"/>
    <n v="3"/>
    <m/>
    <m/>
    <m/>
    <m/>
    <n v="1"/>
    <m/>
    <m/>
    <n v="0"/>
    <n v="1"/>
    <n v="1"/>
    <n v="2"/>
    <n v="1"/>
    <n v="3"/>
    <n v="1"/>
    <n v="0"/>
    <n v="1"/>
    <n v="7.5"/>
    <n v="0"/>
    <n v="0"/>
    <n v="0"/>
    <n v="0"/>
    <x v="0"/>
    <n v="1"/>
    <n v="0"/>
    <n v="0"/>
    <s v="MMR001CMP018"/>
    <x v="0"/>
    <x v="0"/>
    <x v="4"/>
    <n v="2.4554941682013504E-5"/>
    <m/>
    <s v="Update date: 27/April/2017. Data source: Programme Unit_UNHCR"/>
  </r>
  <r>
    <n v="2.5666666666666669"/>
    <d v="2017-02-13T00:00:00"/>
    <x v="1"/>
    <s v="KBC"/>
    <s v="Kachin"/>
    <s v="Myitkyina"/>
    <s v="Kyun Pin Thar Baptist Church"/>
    <m/>
    <n v="3"/>
    <n v="3"/>
    <n v="9"/>
    <n v="3"/>
    <n v="17"/>
    <n v="3"/>
    <m/>
    <n v="3"/>
    <n v="17"/>
    <m/>
    <m/>
    <m/>
    <m/>
    <n v="3"/>
    <m/>
    <m/>
    <n v="0"/>
    <n v="3"/>
    <n v="3"/>
    <n v="9"/>
    <n v="3"/>
    <n v="17"/>
    <n v="3"/>
    <n v="0"/>
    <n v="3"/>
    <n v="42.5"/>
    <n v="0"/>
    <n v="0"/>
    <n v="0"/>
    <n v="0"/>
    <x v="0"/>
    <n v="3"/>
    <n v="0"/>
    <n v="0"/>
    <s v="MMR001CMP013"/>
    <x v="0"/>
    <x v="0"/>
    <x v="4"/>
    <n v="7.333349629665843E-5"/>
    <m/>
    <s v="Update date: 27/April/2017. Data source: Programme Unit_UNHCR"/>
  </r>
  <r>
    <n v="2.5666666666666669"/>
    <d v="2017-02-13T00:00:00"/>
    <x v="1"/>
    <s v="KBC"/>
    <s v="Kachin"/>
    <s v="Myitkyina"/>
    <s v="Man Hkring Baptist Church"/>
    <m/>
    <n v="1"/>
    <n v="1"/>
    <n v="2"/>
    <n v="1"/>
    <n v="3"/>
    <n v="1"/>
    <m/>
    <n v="1"/>
    <n v="3"/>
    <m/>
    <m/>
    <m/>
    <m/>
    <n v="1"/>
    <m/>
    <m/>
    <n v="0"/>
    <n v="1"/>
    <n v="1"/>
    <n v="2"/>
    <n v="1"/>
    <n v="3"/>
    <n v="1"/>
    <n v="0"/>
    <n v="1"/>
    <n v="7.5"/>
    <n v="0"/>
    <n v="0"/>
    <n v="0"/>
    <n v="0"/>
    <x v="0"/>
    <n v="1"/>
    <n v="0"/>
    <n v="0"/>
    <s v="MMR001CMP008"/>
    <x v="0"/>
    <x v="0"/>
    <x v="4"/>
    <n v="2.4554941682013504E-5"/>
    <m/>
    <s v="Update date: 27/April/2017. Data source: Programme Unit_UNHCR"/>
  </r>
  <r>
    <n v="2.5666666666666669"/>
    <d v="2017-02-13T00:00:00"/>
    <x v="1"/>
    <s v="KBC"/>
    <s v="Kachin"/>
    <s v="Myitkyina"/>
    <s v="Maliyang Baptist Church"/>
    <m/>
    <n v="1"/>
    <n v="1"/>
    <n v="2"/>
    <n v="1"/>
    <n v="3"/>
    <n v="1"/>
    <m/>
    <n v="1"/>
    <n v="3"/>
    <m/>
    <m/>
    <m/>
    <m/>
    <n v="1"/>
    <m/>
    <m/>
    <n v="0"/>
    <n v="1"/>
    <n v="1"/>
    <n v="2"/>
    <n v="1"/>
    <n v="3"/>
    <n v="1"/>
    <n v="0"/>
    <n v="1"/>
    <n v="7.5"/>
    <n v="0"/>
    <n v="0"/>
    <n v="0"/>
    <n v="0"/>
    <x v="0"/>
    <n v="1"/>
    <n v="0"/>
    <n v="0"/>
    <s v="MMR001CMP016"/>
    <x v="0"/>
    <x v="0"/>
    <x v="4"/>
    <n v="2.4536264599077437E-5"/>
    <m/>
    <s v="Update date: 27/April/2017. Data source: Programme Unit_UNHCR"/>
  </r>
  <r>
    <n v="2.6666666666666665"/>
    <d v="2017-02-10T00:00:00"/>
    <x v="1"/>
    <s v="KBC"/>
    <s v="Kachin"/>
    <s v="Myitkyina"/>
    <s v="Shatapru Thida Aye Baptist Church"/>
    <m/>
    <n v="4"/>
    <n v="4"/>
    <n v="10"/>
    <n v="4"/>
    <n v="14"/>
    <n v="4"/>
    <m/>
    <n v="4"/>
    <n v="14"/>
    <m/>
    <m/>
    <m/>
    <m/>
    <n v="4"/>
    <m/>
    <m/>
    <n v="0"/>
    <n v="4"/>
    <n v="4"/>
    <n v="10"/>
    <n v="4"/>
    <n v="14"/>
    <n v="4"/>
    <n v="0"/>
    <n v="4"/>
    <n v="35"/>
    <n v="0"/>
    <n v="0"/>
    <n v="0"/>
    <n v="0"/>
    <x v="0"/>
    <n v="4"/>
    <n v="0"/>
    <n v="0"/>
    <s v="MMR001CMP007"/>
    <x v="0"/>
    <x v="0"/>
    <x v="4"/>
    <n v="9.7777995062211254E-5"/>
    <m/>
    <s v="Update date: 27/April/2017. Data source: Programme Unit_UNHCR"/>
  </r>
  <r>
    <n v="2.6666666666666665"/>
    <d v="2017-02-10T00:00:00"/>
    <x v="1"/>
    <s v="KBC"/>
    <s v="Kachin"/>
    <s v="Myitkyina"/>
    <s v="Njang Dung Baptist Church "/>
    <m/>
    <n v="4"/>
    <n v="4"/>
    <n v="8"/>
    <n v="4"/>
    <n v="11"/>
    <n v="4"/>
    <m/>
    <n v="4"/>
    <n v="11"/>
    <m/>
    <m/>
    <m/>
    <m/>
    <n v="4"/>
    <m/>
    <m/>
    <n v="0"/>
    <n v="4"/>
    <n v="4"/>
    <n v="8"/>
    <n v="4"/>
    <n v="11"/>
    <n v="4"/>
    <n v="0"/>
    <n v="4"/>
    <n v="27.5"/>
    <n v="0"/>
    <n v="0"/>
    <n v="0"/>
    <n v="0"/>
    <x v="0"/>
    <n v="4"/>
    <n v="0"/>
    <n v="0"/>
    <s v="MMR001CMP002"/>
    <x v="0"/>
    <x v="0"/>
    <x v="4"/>
    <n v="9.8292173485686198E-5"/>
    <m/>
    <s v="Update date: 27/April/2017. Data source: Programme Unit_UNHCR"/>
  </r>
  <r>
    <n v="2.6666666666666665"/>
    <d v="2017-02-10T00:00:00"/>
    <x v="1"/>
    <s v="KBC"/>
    <s v="Kachin"/>
    <s v="Myitkyina"/>
    <s v="Tat Kone Galile Baptist Church"/>
    <m/>
    <n v="1"/>
    <n v="1"/>
    <n v="2"/>
    <n v="1"/>
    <n v="3"/>
    <n v="1"/>
    <m/>
    <n v="1"/>
    <n v="3"/>
    <m/>
    <m/>
    <m/>
    <m/>
    <n v="1"/>
    <m/>
    <m/>
    <n v="0"/>
    <n v="1"/>
    <n v="1"/>
    <n v="2"/>
    <n v="1"/>
    <n v="3"/>
    <n v="1"/>
    <n v="0"/>
    <n v="1"/>
    <n v="7.5"/>
    <n v="0"/>
    <n v="0"/>
    <n v="0"/>
    <n v="0"/>
    <x v="0"/>
    <n v="1"/>
    <n v="0"/>
    <n v="0"/>
    <s v="MMR001CMP003"/>
    <x v="0"/>
    <x v="0"/>
    <x v="4"/>
    <n v="2.4554941682013504E-5"/>
    <m/>
    <s v="Update date: 27/April/2017. Data source: Programme Unit_UNHCR"/>
  </r>
  <r>
    <n v="2.6666666666666665"/>
    <d v="2017-02-10T00:00:00"/>
    <x v="1"/>
    <s v="KBC"/>
    <s v="Kachin"/>
    <s v="Myitkyina"/>
    <s v="Tat Kone San Pya Baptist Church"/>
    <m/>
    <n v="1"/>
    <n v="1"/>
    <n v="3"/>
    <n v="1"/>
    <n v="4"/>
    <n v="1"/>
    <m/>
    <n v="1"/>
    <n v="4"/>
    <m/>
    <m/>
    <m/>
    <m/>
    <n v="1"/>
    <m/>
    <m/>
    <n v="0"/>
    <n v="1"/>
    <n v="1"/>
    <n v="3"/>
    <n v="1"/>
    <n v="4"/>
    <n v="1"/>
    <n v="0"/>
    <n v="1"/>
    <n v="10"/>
    <n v="0"/>
    <n v="0"/>
    <n v="0"/>
    <n v="0"/>
    <x v="0"/>
    <n v="1"/>
    <n v="0"/>
    <n v="0"/>
    <s v="MMR001CMP005"/>
    <x v="0"/>
    <x v="0"/>
    <x v="4"/>
    <n v="2.4499595756670014E-5"/>
    <m/>
    <s v="Update date: 27/April/2017. Data source: Programme Unit_UNHCR"/>
  </r>
  <r>
    <n v="2.6666666666666665"/>
    <d v="2017-02-10T00:00:00"/>
    <x v="1"/>
    <s v="Shalom"/>
    <s v="Kachin"/>
    <s v="Bhamo"/>
    <s v="Mu-yin Baptist Church"/>
    <m/>
    <m/>
    <m/>
    <m/>
    <n v="8"/>
    <m/>
    <m/>
    <m/>
    <m/>
    <m/>
    <m/>
    <m/>
    <m/>
    <m/>
    <m/>
    <m/>
    <m/>
    <n v="0"/>
    <n v="0"/>
    <n v="0"/>
    <n v="0"/>
    <n v="8"/>
    <n v="0"/>
    <n v="0"/>
    <n v="0"/>
    <n v="0"/>
    <n v="0"/>
    <n v="0"/>
    <n v="0"/>
    <n v="0"/>
    <n v="0"/>
    <x v="0"/>
    <n v="0"/>
    <n v="0"/>
    <n v="0"/>
    <s v="MMR001CMP051"/>
    <x v="0"/>
    <x v="0"/>
    <x v="4"/>
    <n v="0"/>
    <m/>
    <s v="Update date: 27/April/2017. Data source: Programme Unit_UNHCR"/>
  </r>
  <r>
    <n v="2.7"/>
    <d v="2017-02-09T00:00:00"/>
    <x v="1"/>
    <s v="KBC"/>
    <s v="Kachin"/>
    <s v="Waingmaw"/>
    <s v="Maina KBC (Bawng Ring)"/>
    <m/>
    <n v="17"/>
    <n v="17"/>
    <n v="114"/>
    <n v="17"/>
    <n v="174"/>
    <n v="17"/>
    <m/>
    <n v="17"/>
    <n v="188"/>
    <m/>
    <m/>
    <m/>
    <m/>
    <n v="17"/>
    <m/>
    <n v="49"/>
    <n v="0"/>
    <n v="17"/>
    <n v="17"/>
    <n v="114"/>
    <n v="17"/>
    <n v="174"/>
    <n v="17"/>
    <n v="0"/>
    <n v="17"/>
    <n v="470"/>
    <n v="0"/>
    <n v="0"/>
    <n v="0"/>
    <n v="0"/>
    <x v="0"/>
    <n v="17"/>
    <n v="0"/>
    <n v="49"/>
    <s v="MMR001CMP040"/>
    <x v="0"/>
    <x v="0"/>
    <x v="4"/>
    <n v="4.1401816809137626E-4"/>
    <m/>
    <s v="Update date: 27/April/2017. Data source: Programme Unit_UNHCR"/>
  </r>
  <r>
    <n v="2.9333333333333331"/>
    <d v="2017-02-02T00:00:00"/>
    <x v="1"/>
    <s v="KMSS_Bhamo"/>
    <s v="Kachin"/>
    <s v="Mansi"/>
    <s v="Maing Khaung Catholic Church"/>
    <m/>
    <n v="25"/>
    <n v="25"/>
    <n v="25"/>
    <n v="25"/>
    <n v="45"/>
    <n v="25"/>
    <m/>
    <n v="25"/>
    <n v="83"/>
    <m/>
    <m/>
    <m/>
    <m/>
    <n v="25"/>
    <m/>
    <m/>
    <n v="0"/>
    <n v="25"/>
    <n v="25"/>
    <n v="25"/>
    <n v="25"/>
    <n v="45"/>
    <n v="25"/>
    <n v="0"/>
    <n v="25"/>
    <n v="207.5"/>
    <n v="0"/>
    <n v="0"/>
    <n v="0"/>
    <n v="0"/>
    <x v="0"/>
    <n v="25"/>
    <n v="0"/>
    <n v="0"/>
    <s v="MMR001CMP223"/>
    <x v="0"/>
    <x v="0"/>
    <x v="4"/>
    <n v="6.0171368056224125E-4"/>
    <m/>
    <s v="Update date: 27/April/2017. Data source: Programme Unit_UNHCR"/>
  </r>
  <r>
    <n v="2.9666666666666668"/>
    <d v="2017-02-01T00:00:00"/>
    <x v="1"/>
    <s v="KBC"/>
    <s v="Kachin"/>
    <s v="Shwegu"/>
    <s v="Shwe Gu Baptist Church"/>
    <m/>
    <m/>
    <n v="50"/>
    <m/>
    <m/>
    <m/>
    <m/>
    <m/>
    <m/>
    <m/>
    <m/>
    <m/>
    <m/>
    <m/>
    <m/>
    <m/>
    <m/>
    <n v="0"/>
    <n v="0"/>
    <n v="50"/>
    <n v="0"/>
    <n v="0"/>
    <n v="0"/>
    <n v="0"/>
    <n v="0"/>
    <n v="0"/>
    <n v="0"/>
    <n v="0"/>
    <n v="0"/>
    <n v="0"/>
    <n v="0"/>
    <x v="0"/>
    <n v="0"/>
    <n v="0"/>
    <n v="0"/>
    <s v="MMR001CMP067"/>
    <x v="0"/>
    <x v="0"/>
    <x v="4"/>
    <n v="0"/>
    <m/>
    <s v="Update date: 27/April/2017. Data source: Programme Unit_UNHCR"/>
  </r>
  <r>
    <n v="3"/>
    <d v="2017-01-31T00:00:00"/>
    <x v="1"/>
    <s v="KMSS_Myitkyina"/>
    <s v="Kachin"/>
    <s v="Myitkyina"/>
    <s v="Pa Dauk Myaing(Pa La Na)"/>
    <m/>
    <n v="1"/>
    <n v="1"/>
    <n v="3"/>
    <n v="1"/>
    <n v="3"/>
    <n v="1"/>
    <m/>
    <n v="1"/>
    <n v="3"/>
    <m/>
    <m/>
    <m/>
    <m/>
    <n v="1"/>
    <m/>
    <m/>
    <n v="0"/>
    <n v="1"/>
    <n v="1"/>
    <n v="3"/>
    <n v="1"/>
    <n v="3"/>
    <n v="1"/>
    <n v="0"/>
    <n v="1"/>
    <n v="7.5"/>
    <n v="0"/>
    <n v="0"/>
    <n v="0"/>
    <n v="0"/>
    <x v="0"/>
    <n v="1"/>
    <n v="0"/>
    <n v="0"/>
    <s v="MMR001CMP162"/>
    <x v="0"/>
    <x v="0"/>
    <x v="4"/>
    <n v="2.4245950926195326E-5"/>
    <m/>
    <s v="Update date: 24/April/2017. Data source: KMSS_Myitkyina/under Feb_2017_CAR"/>
  </r>
  <r>
    <n v="3"/>
    <d v="2017-01-31T00:00:00"/>
    <x v="1"/>
    <s v="KMSS_Myitkyina"/>
    <s v="Kachin"/>
    <s v="Waingmaw"/>
    <s v="Maina Catholic Church (St. Joseph)"/>
    <m/>
    <n v="22"/>
    <n v="22"/>
    <n v="76"/>
    <n v="22"/>
    <n v="76"/>
    <n v="22"/>
    <m/>
    <n v="22"/>
    <n v="76"/>
    <m/>
    <m/>
    <m/>
    <m/>
    <n v="22"/>
    <m/>
    <m/>
    <n v="0"/>
    <n v="22"/>
    <n v="22"/>
    <n v="76"/>
    <n v="22"/>
    <n v="76"/>
    <n v="22"/>
    <n v="0"/>
    <n v="22"/>
    <n v="190"/>
    <n v="0"/>
    <n v="0"/>
    <n v="0"/>
    <n v="0"/>
    <x v="0"/>
    <n v="22"/>
    <n v="0"/>
    <n v="0"/>
    <s v="MMR001CMP029"/>
    <x v="0"/>
    <x v="0"/>
    <x v="4"/>
    <n v="5.3106744556558679E-4"/>
    <m/>
    <s v="Update date: 27/April/2017. Data source: Programme Unit_UNHCR"/>
  </r>
  <r>
    <n v="3.1"/>
    <d v="2017-01-28T00:00:00"/>
    <x v="1"/>
    <s v="KMSS_Myitkyina"/>
    <s v="Kachin"/>
    <s v="Waingmaw"/>
    <s v="Maina Catholic Church (St. Joseph)"/>
    <m/>
    <m/>
    <m/>
    <m/>
    <m/>
    <m/>
    <m/>
    <m/>
    <m/>
    <m/>
    <m/>
    <m/>
    <m/>
    <m/>
    <m/>
    <m/>
    <n v="10"/>
    <n v="0"/>
    <n v="0"/>
    <n v="0"/>
    <n v="0"/>
    <n v="0"/>
    <n v="0"/>
    <n v="0"/>
    <n v="0"/>
    <n v="0"/>
    <n v="0"/>
    <n v="0"/>
    <n v="0"/>
    <n v="0"/>
    <n v="0"/>
    <x v="0"/>
    <n v="0"/>
    <n v="0"/>
    <n v="10"/>
    <s v="MMR001CMP029"/>
    <x v="3"/>
    <x v="0"/>
    <x v="4"/>
    <n v="0"/>
    <m/>
    <s v="Update date: 27/April/2017. Data source: Programme Unit_UNHCR"/>
  </r>
  <r>
    <n v="3.1666666666666665"/>
    <d v="2017-01-26T00:00:00"/>
    <x v="1"/>
    <s v="KBC"/>
    <s v="Kachin"/>
    <s v="Waingmaw"/>
    <s v="Maina KBC (Bawng Ring)"/>
    <m/>
    <n v="6"/>
    <n v="6"/>
    <n v="18"/>
    <n v="6"/>
    <n v="24"/>
    <n v="6"/>
    <m/>
    <n v="6"/>
    <n v="24"/>
    <m/>
    <m/>
    <m/>
    <m/>
    <n v="6"/>
    <m/>
    <n v="6"/>
    <n v="0"/>
    <n v="6"/>
    <n v="6"/>
    <n v="18"/>
    <n v="6"/>
    <n v="24"/>
    <n v="6"/>
    <n v="0"/>
    <n v="6"/>
    <n v="60"/>
    <n v="0"/>
    <n v="0"/>
    <n v="0"/>
    <n v="0"/>
    <x v="0"/>
    <n v="6"/>
    <n v="0"/>
    <n v="6"/>
    <s v="MMR001CMP040"/>
    <x v="3"/>
    <x v="0"/>
    <x v="4"/>
    <n v="1.4612405932636809E-4"/>
    <m/>
    <s v="Update date: 27/April/2017. Data source: Programme Unit_UNHCR"/>
  </r>
  <r>
    <n v="3.2666666666666666"/>
    <d v="2017-01-23T00:00:00"/>
    <x v="2"/>
    <s v="Solidarities"/>
    <s v="Kachin"/>
    <s v="Waingmaw"/>
    <s v="Je Yang Hka "/>
    <n v="38"/>
    <n v="38"/>
    <n v="342"/>
    <n v="76"/>
    <m/>
    <n v="76"/>
    <m/>
    <m/>
    <n v="38"/>
    <n v="76"/>
    <m/>
    <m/>
    <m/>
    <m/>
    <n v="38"/>
    <m/>
    <m/>
    <n v="38"/>
    <n v="38"/>
    <n v="342"/>
    <n v="76"/>
    <n v="0"/>
    <n v="76"/>
    <n v="0"/>
    <n v="0"/>
    <n v="38"/>
    <n v="190"/>
    <n v="0"/>
    <n v="0"/>
    <n v="0"/>
    <n v="0"/>
    <x v="0"/>
    <n v="38"/>
    <n v="0"/>
    <n v="0"/>
    <s v="MMR001CMP121"/>
    <x v="3"/>
    <x v="0"/>
    <x v="5"/>
    <n v="0"/>
    <m/>
    <s v="Update date: 15/May/2017. Data source: SI "/>
  </r>
  <r>
    <n v="3.2666666666666666"/>
    <d v="2017-01-23T00:00:00"/>
    <x v="1"/>
    <s v="KMSS_Bhamo"/>
    <s v="Kachin"/>
    <s v="Mansi"/>
    <s v="Man Kawng Catholic Church"/>
    <m/>
    <n v="24"/>
    <n v="25"/>
    <n v="45"/>
    <n v="25"/>
    <n v="45"/>
    <n v="25"/>
    <m/>
    <n v="25"/>
    <n v="83"/>
    <m/>
    <m/>
    <m/>
    <m/>
    <n v="25"/>
    <m/>
    <m/>
    <n v="0"/>
    <n v="24"/>
    <n v="25"/>
    <n v="45"/>
    <n v="25"/>
    <n v="45"/>
    <n v="25"/>
    <n v="0"/>
    <n v="25"/>
    <n v="207.5"/>
    <n v="0"/>
    <n v="0"/>
    <n v="0"/>
    <n v="0"/>
    <x v="0"/>
    <n v="25"/>
    <n v="0"/>
    <n v="0"/>
    <s v="MMR001CMP213"/>
    <x v="0"/>
    <x v="2"/>
    <x v="2"/>
    <s v=""/>
    <m/>
    <s v="Data source: KMSS_Bhamo. Data was received when the camps status was changed as &quot;Closed&quot;"/>
  </r>
  <r>
    <n v="3.2666666666666666"/>
    <d v="2017-01-23T00:00:00"/>
    <x v="1"/>
    <s v="KMSS_Bhamo"/>
    <s v="Kachin"/>
    <s v="Mansi"/>
    <s v="Man Kawng Catholic Church"/>
    <m/>
    <n v="24"/>
    <n v="25"/>
    <n v="45"/>
    <n v="25"/>
    <n v="45"/>
    <n v="25"/>
    <m/>
    <n v="25"/>
    <n v="83"/>
    <m/>
    <m/>
    <m/>
    <m/>
    <m/>
    <m/>
    <m/>
    <n v="0"/>
    <n v="24"/>
    <n v="25"/>
    <n v="45"/>
    <n v="25"/>
    <n v="45"/>
    <n v="25"/>
    <n v="0"/>
    <n v="25"/>
    <n v="207.5"/>
    <n v="0"/>
    <n v="0"/>
    <n v="0"/>
    <n v="0"/>
    <x v="0"/>
    <n v="0"/>
    <n v="0"/>
    <n v="0"/>
    <s v="MMR001CMP213"/>
    <x v="0"/>
    <x v="2"/>
    <x v="2"/>
    <s v=""/>
    <m/>
    <s v="Data source: KMSS_Bhamo. Data was received when the camps status was changed as &quot;Closed&quot;"/>
  </r>
  <r>
    <n v="3.3666666666666667"/>
    <d v="2017-01-20T00:00:00"/>
    <x v="1"/>
    <s v="Shalom"/>
    <s v="Kachin"/>
    <s v="Waingmaw"/>
    <s v="Maina AG Church"/>
    <m/>
    <n v="5"/>
    <n v="5"/>
    <n v="21"/>
    <n v="5"/>
    <n v="21"/>
    <n v="5"/>
    <m/>
    <n v="5"/>
    <n v="21"/>
    <m/>
    <m/>
    <m/>
    <m/>
    <n v="5"/>
    <m/>
    <m/>
    <n v="0"/>
    <n v="5"/>
    <n v="5"/>
    <n v="21"/>
    <n v="5"/>
    <n v="21"/>
    <n v="5"/>
    <n v="0"/>
    <n v="5"/>
    <n v="52.5"/>
    <n v="0"/>
    <n v="0"/>
    <n v="0"/>
    <n v="0"/>
    <x v="0"/>
    <n v="5"/>
    <n v="0"/>
    <n v="0"/>
    <s v="MMR001CMP031"/>
    <x v="3"/>
    <x v="0"/>
    <x v="4"/>
    <n v="1.2060980316480124E-4"/>
    <m/>
    <s v="Update date: 27/April/2017. Data source: Programme Unit_UNHCR"/>
  </r>
  <r>
    <n v="3.3666666666666667"/>
    <d v="2017-01-20T00:00:00"/>
    <x v="1"/>
    <s v="Shalom"/>
    <s v="Kachin"/>
    <s v="Waingmaw"/>
    <s v="Qtr. 4 Monestry (Thargaya Thayett Taw)"/>
    <m/>
    <n v="6"/>
    <n v="6"/>
    <n v="13"/>
    <n v="6"/>
    <n v="13"/>
    <n v="6"/>
    <m/>
    <n v="6"/>
    <n v="13"/>
    <m/>
    <m/>
    <m/>
    <m/>
    <n v="6"/>
    <m/>
    <m/>
    <n v="0"/>
    <n v="6"/>
    <n v="6"/>
    <n v="13"/>
    <n v="6"/>
    <n v="13"/>
    <n v="6"/>
    <n v="0"/>
    <n v="6"/>
    <n v="32.5"/>
    <n v="0"/>
    <n v="0"/>
    <n v="0"/>
    <n v="0"/>
    <x v="0"/>
    <n v="6"/>
    <n v="0"/>
    <n v="0"/>
    <s v="MMR001CMP026"/>
    <x v="3"/>
    <x v="0"/>
    <x v="4"/>
    <n v="1.4655593551538836E-4"/>
    <m/>
    <s v="Update date: 27/April/2017. Data source: Programme Unit_UNHCR"/>
  </r>
  <r>
    <n v="3.3666666666666667"/>
    <d v="2017-01-20T00:00:00"/>
    <x v="1"/>
    <s v="Shalom"/>
    <s v="Kachin"/>
    <s v="Waingmaw"/>
    <s v="Qtr. 2 Lhaovo Baptist Church"/>
    <m/>
    <n v="9"/>
    <n v="9"/>
    <n v="19"/>
    <n v="9"/>
    <n v="19"/>
    <n v="9"/>
    <m/>
    <n v="9"/>
    <n v="19"/>
    <m/>
    <m/>
    <m/>
    <m/>
    <n v="9"/>
    <m/>
    <n v="10"/>
    <n v="0"/>
    <n v="9"/>
    <n v="9"/>
    <n v="19"/>
    <n v="9"/>
    <n v="19"/>
    <n v="9"/>
    <n v="0"/>
    <n v="9"/>
    <n v="47.5"/>
    <n v="0"/>
    <n v="0"/>
    <n v="0"/>
    <n v="0"/>
    <x v="0"/>
    <n v="9"/>
    <n v="0"/>
    <n v="10"/>
    <s v="MMR001CMP032"/>
    <x v="3"/>
    <x v="0"/>
    <x v="4"/>
    <n v="2.2099447513812155E-4"/>
    <m/>
    <s v="Update date: 27/April/2017. Data source: Programme Unit_UNHCR"/>
  </r>
  <r>
    <n v="3.3666666666666667"/>
    <d v="2017-01-20T00:00:00"/>
    <x v="1"/>
    <s v="Shalom"/>
    <s v="Kachin"/>
    <s v="Waingmaw"/>
    <s v="Waingmaw AG Church"/>
    <m/>
    <n v="6"/>
    <n v="6"/>
    <n v="17"/>
    <n v="6"/>
    <n v="17"/>
    <n v="6"/>
    <m/>
    <n v="6"/>
    <n v="17"/>
    <m/>
    <m/>
    <m/>
    <m/>
    <n v="6"/>
    <m/>
    <m/>
    <n v="0"/>
    <n v="6"/>
    <n v="6"/>
    <n v="17"/>
    <n v="6"/>
    <n v="17"/>
    <n v="6"/>
    <n v="0"/>
    <n v="6"/>
    <n v="42.5"/>
    <n v="0"/>
    <n v="0"/>
    <n v="0"/>
    <n v="0"/>
    <x v="0"/>
    <n v="6"/>
    <n v="0"/>
    <n v="0"/>
    <s v="MMR001CMP038"/>
    <x v="3"/>
    <x v="0"/>
    <x v="4"/>
    <n v="1.4688601645123384E-4"/>
    <m/>
    <s v="Update date: 27/April/2017. Data source: Programme Unit_UNHCR"/>
  </r>
  <r>
    <n v="3.3666666666666667"/>
    <d v="2017-01-20T00:00:00"/>
    <x v="1"/>
    <s v="Shalom"/>
    <s v="Kachin"/>
    <s v="Waingmaw"/>
    <s v="Thargaya Lisu Baptist Church"/>
    <m/>
    <n v="1"/>
    <n v="1"/>
    <n v="4"/>
    <n v="1"/>
    <n v="4"/>
    <n v="1"/>
    <m/>
    <n v="1"/>
    <n v="4"/>
    <m/>
    <m/>
    <m/>
    <m/>
    <n v="1"/>
    <m/>
    <m/>
    <n v="0"/>
    <n v="1"/>
    <n v="1"/>
    <n v="4"/>
    <n v="1"/>
    <n v="4"/>
    <n v="1"/>
    <n v="0"/>
    <n v="1"/>
    <n v="10"/>
    <n v="0"/>
    <n v="0"/>
    <n v="0"/>
    <n v="0"/>
    <x v="0"/>
    <n v="1"/>
    <n v="0"/>
    <n v="0"/>
    <s v="MMR001CMP037"/>
    <x v="3"/>
    <x v="0"/>
    <x v="4"/>
    <n v="2.4481002741872306E-5"/>
    <m/>
    <s v="Update date: 27/April/2017. Data source: Programme Unit_UNHCR"/>
  </r>
  <r>
    <n v="3.3666666666666667"/>
    <d v="2017-01-20T00:00:00"/>
    <x v="1"/>
    <s v="KBC"/>
    <s v="Kachin"/>
    <s v="Mansi"/>
    <s v="Man Kawng Baptist Church"/>
    <m/>
    <n v="11"/>
    <n v="11"/>
    <n v="32"/>
    <n v="11"/>
    <n v="32"/>
    <n v="11"/>
    <m/>
    <n v="11"/>
    <n v="52"/>
    <m/>
    <m/>
    <m/>
    <m/>
    <n v="11"/>
    <m/>
    <n v="11"/>
    <n v="0"/>
    <n v="11"/>
    <n v="11"/>
    <n v="32"/>
    <n v="11"/>
    <n v="32"/>
    <n v="11"/>
    <n v="0"/>
    <n v="11"/>
    <n v="130"/>
    <n v="0"/>
    <n v="0"/>
    <n v="0"/>
    <n v="0"/>
    <x v="0"/>
    <n v="11"/>
    <n v="0"/>
    <n v="11"/>
    <s v="MMR001CMP212"/>
    <x v="3"/>
    <x v="2"/>
    <x v="2"/>
    <s v=""/>
    <m/>
    <s v="Update date: 27/April/2017. Data source: Programme Unit_UNHCR"/>
  </r>
  <r>
    <n v="3.4"/>
    <d v="2017-01-19T00:00:00"/>
    <x v="1"/>
    <s v="KMSS_Myitkyina"/>
    <s v="Kachin"/>
    <s v="Waingmaw"/>
    <s v="Maina Catholic Church (St. Joseph)"/>
    <m/>
    <n v="9"/>
    <n v="9"/>
    <n v="35"/>
    <n v="9"/>
    <n v="35"/>
    <n v="9"/>
    <m/>
    <n v="9"/>
    <n v="35"/>
    <m/>
    <m/>
    <m/>
    <m/>
    <n v="9"/>
    <m/>
    <n v="9"/>
    <n v="0"/>
    <n v="9"/>
    <n v="9"/>
    <n v="35"/>
    <n v="9"/>
    <n v="35"/>
    <n v="9"/>
    <n v="0"/>
    <n v="9"/>
    <n v="87.5"/>
    <n v="0"/>
    <n v="0"/>
    <n v="0"/>
    <n v="0"/>
    <x v="0"/>
    <n v="9"/>
    <n v="0"/>
    <n v="9"/>
    <s v="MMR001CMP029"/>
    <x v="0"/>
    <x v="0"/>
    <x v="4"/>
    <n v="2.172548640950128E-4"/>
    <m/>
    <s v="Update date: 27/April/2017. Data source: Programme Unit_UNHCR"/>
  </r>
  <r>
    <n v="3.4333333333333331"/>
    <d v="2017-01-18T00:00:00"/>
    <x v="2"/>
    <s v="Solidarities"/>
    <s v="Kachin"/>
    <s v="Momauk"/>
    <s v="Hpun Lum Yang "/>
    <n v="73"/>
    <n v="73"/>
    <n v="657"/>
    <n v="146"/>
    <m/>
    <n v="146"/>
    <m/>
    <m/>
    <n v="73"/>
    <n v="146"/>
    <m/>
    <m/>
    <m/>
    <m/>
    <n v="73"/>
    <m/>
    <m/>
    <n v="73"/>
    <n v="73"/>
    <n v="657"/>
    <n v="146"/>
    <n v="0"/>
    <n v="146"/>
    <n v="0"/>
    <n v="0"/>
    <n v="73"/>
    <n v="365"/>
    <n v="0"/>
    <n v="0"/>
    <n v="0"/>
    <n v="0"/>
    <x v="0"/>
    <n v="73"/>
    <n v="0"/>
    <n v="0"/>
    <s v="MMR001CMP122"/>
    <x v="3"/>
    <x v="0"/>
    <x v="5"/>
    <n v="0"/>
    <m/>
    <s v="Update date: 15/May/2017. Data source: SI "/>
  </r>
  <r>
    <n v="3.4333333333333331"/>
    <d v="2017-01-18T00:00:00"/>
    <x v="2"/>
    <s v="Solidarities"/>
    <s v="Kachin"/>
    <s v="Waingmaw"/>
    <s v="Woi Chyai "/>
    <n v="10"/>
    <n v="10"/>
    <n v="90"/>
    <n v="20"/>
    <m/>
    <n v="20"/>
    <m/>
    <m/>
    <n v="10"/>
    <n v="20"/>
    <m/>
    <m/>
    <m/>
    <m/>
    <n v="10"/>
    <m/>
    <m/>
    <n v="10"/>
    <n v="10"/>
    <n v="90"/>
    <n v="20"/>
    <n v="0"/>
    <n v="20"/>
    <n v="0"/>
    <n v="0"/>
    <n v="10"/>
    <n v="50"/>
    <n v="0"/>
    <n v="0"/>
    <n v="0"/>
    <n v="0"/>
    <x v="0"/>
    <n v="10"/>
    <n v="0"/>
    <n v="0"/>
    <s v="MMR001CMP116"/>
    <x v="3"/>
    <x v="0"/>
    <x v="4"/>
    <n v="0"/>
    <m/>
    <s v="Update date: 15/May/2017. Data source: SI "/>
  </r>
  <r>
    <n v="3.5333333333333332"/>
    <d v="2017-01-15T00:00:00"/>
    <x v="1"/>
    <s v="KBC"/>
    <s v="Kachin"/>
    <s v="Mansi"/>
    <s v="Man Kawng Baptist Church"/>
    <m/>
    <n v="15"/>
    <n v="15"/>
    <n v="15"/>
    <n v="15"/>
    <n v="15"/>
    <n v="15"/>
    <m/>
    <n v="15"/>
    <n v="30"/>
    <m/>
    <m/>
    <m/>
    <m/>
    <n v="15"/>
    <m/>
    <n v="15"/>
    <n v="0"/>
    <n v="15"/>
    <n v="15"/>
    <n v="15"/>
    <n v="15"/>
    <n v="15"/>
    <n v="15"/>
    <n v="0"/>
    <n v="15"/>
    <n v="75"/>
    <n v="0"/>
    <n v="0"/>
    <n v="0"/>
    <n v="0"/>
    <x v="0"/>
    <n v="15"/>
    <n v="0"/>
    <n v="15"/>
    <s v="MMR001CMP212"/>
    <x v="3"/>
    <x v="2"/>
    <x v="2"/>
    <s v=""/>
    <m/>
    <s v="Update date: 27/April/2017. Data source: Programme Unit_UNHCR"/>
  </r>
  <r>
    <n v="3.5333333333333332"/>
    <d v="2017-01-15T00:00:00"/>
    <x v="2"/>
    <s v="Solidarities"/>
    <s v="Kachin"/>
    <s v="Mansi"/>
    <s v="Maing Khaung"/>
    <n v="15"/>
    <m/>
    <n v="135"/>
    <m/>
    <m/>
    <m/>
    <m/>
    <m/>
    <n v="15"/>
    <m/>
    <m/>
    <m/>
    <m/>
    <m/>
    <n v="15"/>
    <m/>
    <m/>
    <n v="15"/>
    <n v="0"/>
    <n v="135"/>
    <n v="0"/>
    <n v="0"/>
    <n v="0"/>
    <n v="0"/>
    <n v="0"/>
    <n v="15"/>
    <n v="0"/>
    <n v="0"/>
    <n v="0"/>
    <n v="0"/>
    <n v="0"/>
    <x v="0"/>
    <n v="15"/>
    <n v="0"/>
    <n v="0"/>
    <s v="MMR001CMP218"/>
    <x v="3"/>
    <x v="0"/>
    <x v="4"/>
    <n v="0"/>
    <m/>
    <s v="Update date: 15/May/2017. Data source: SI "/>
  </r>
  <r>
    <n v="3.7"/>
    <d v="2017-01-10T00:00:00"/>
    <x v="1"/>
    <s v="KMSS_Myitkyina"/>
    <s v="Kachin"/>
    <s v="Myitkyina"/>
    <s v="Jan Mai Kawng Catholic Church"/>
    <m/>
    <n v="1"/>
    <n v="1"/>
    <n v="4"/>
    <n v="1"/>
    <n v="4"/>
    <n v="1"/>
    <m/>
    <n v="1"/>
    <n v="4"/>
    <m/>
    <m/>
    <m/>
    <m/>
    <n v="1"/>
    <m/>
    <m/>
    <m/>
    <m/>
    <m/>
    <m/>
    <m/>
    <m/>
    <m/>
    <m/>
    <m/>
    <m/>
    <m/>
    <m/>
    <m/>
    <m/>
    <x v="2"/>
    <m/>
    <m/>
    <m/>
    <s v="MMR001CMP019"/>
    <x v="4"/>
    <x v="0"/>
    <x v="4"/>
    <n v="2.4554941682013504E-5"/>
    <m/>
    <s v="Update date: 27/April/2017. Data source: Programme Unit_UNHCR"/>
  </r>
  <r>
    <n v="3.7"/>
    <d v="2017-01-10T00:00:00"/>
    <x v="1"/>
    <s v="KMSS_Myitkyina"/>
    <s v="Kachin"/>
    <s v="Waingmaw"/>
    <s v="Maina Catholic Church (St. Joseph)"/>
    <m/>
    <n v="6"/>
    <n v="6"/>
    <n v="10"/>
    <n v="6"/>
    <n v="18"/>
    <n v="6"/>
    <m/>
    <n v="6"/>
    <n v="17"/>
    <m/>
    <m/>
    <m/>
    <m/>
    <n v="6"/>
    <m/>
    <m/>
    <m/>
    <m/>
    <m/>
    <m/>
    <m/>
    <m/>
    <m/>
    <m/>
    <m/>
    <m/>
    <m/>
    <m/>
    <m/>
    <m/>
    <x v="2"/>
    <m/>
    <m/>
    <m/>
    <s v="MMR001CMP029"/>
    <x v="4"/>
    <x v="0"/>
    <x v="4"/>
    <n v="1.4483657606334185E-4"/>
    <m/>
    <s v="Update date: 27/April/2017. Data source: Programme Unit_UNHCR"/>
  </r>
  <r>
    <n v="3.9666666666666668"/>
    <d v="2017-01-02T00:00:00"/>
    <x v="1"/>
    <s v="KBC"/>
    <s v="Kachin"/>
    <s v="Waingmaw"/>
    <s v="Maina KBC (Bawng Ring)"/>
    <m/>
    <m/>
    <m/>
    <m/>
    <m/>
    <m/>
    <m/>
    <m/>
    <m/>
    <m/>
    <m/>
    <m/>
    <m/>
    <m/>
    <m/>
    <m/>
    <n v="17"/>
    <n v="0"/>
    <n v="0"/>
    <n v="0"/>
    <n v="0"/>
    <n v="0"/>
    <n v="0"/>
    <n v="0"/>
    <n v="0"/>
    <n v="0"/>
    <n v="0"/>
    <n v="0"/>
    <n v="0"/>
    <n v="0"/>
    <n v="0"/>
    <x v="0"/>
    <n v="0"/>
    <n v="0"/>
    <n v="17"/>
    <s v="MMR001CMP040"/>
    <x v="3"/>
    <x v="0"/>
    <x v="4"/>
    <n v="0"/>
    <m/>
    <s v="Update date: 27/April/2017. Data source: Programme Unit_UNHCR"/>
  </r>
  <r>
    <n v="5.0666666666666664"/>
    <d v="2016-11-30T00:00:00"/>
    <x v="2"/>
    <s v="Solidarities"/>
    <s v="Kachin"/>
    <s v="Bhamo"/>
    <s v="Phan Khar Kone"/>
    <m/>
    <m/>
    <m/>
    <m/>
    <m/>
    <m/>
    <m/>
    <m/>
    <m/>
    <m/>
    <m/>
    <m/>
    <m/>
    <m/>
    <n v="2"/>
    <m/>
    <m/>
    <n v="0"/>
    <n v="0"/>
    <n v="0"/>
    <n v="0"/>
    <n v="0"/>
    <n v="0"/>
    <n v="0"/>
    <n v="0"/>
    <n v="0"/>
    <n v="0"/>
    <n v="0"/>
    <n v="0"/>
    <n v="0"/>
    <n v="0"/>
    <x v="0"/>
    <n v="2"/>
    <n v="0"/>
    <n v="0"/>
    <s v="MMR001CMP193"/>
    <x v="0"/>
    <x v="0"/>
    <x v="4"/>
    <n v="0"/>
    <m/>
    <s v="Data source: Solidarities/under Nov_2016_CAR"/>
  </r>
  <r>
    <n v="5.0666666666666664"/>
    <d v="2016-11-30T00:00:00"/>
    <x v="2"/>
    <s v="Solidarities"/>
    <s v="Kachin"/>
    <s v="Bhamo"/>
    <s v="Robert Church"/>
    <m/>
    <m/>
    <m/>
    <m/>
    <m/>
    <m/>
    <m/>
    <m/>
    <m/>
    <m/>
    <m/>
    <m/>
    <m/>
    <m/>
    <n v="5"/>
    <m/>
    <m/>
    <n v="0"/>
    <n v="0"/>
    <n v="0"/>
    <n v="0"/>
    <n v="0"/>
    <n v="0"/>
    <n v="0"/>
    <n v="0"/>
    <n v="0"/>
    <n v="0"/>
    <n v="0"/>
    <n v="0"/>
    <n v="0"/>
    <n v="0"/>
    <x v="0"/>
    <n v="5"/>
    <n v="0"/>
    <n v="0"/>
    <s v="MMR001CMP047"/>
    <x v="0"/>
    <x v="0"/>
    <x v="4"/>
    <n v="0"/>
    <m/>
    <s v="Data source: Solidarities/under Nov_2016_CAR"/>
  </r>
  <r>
    <n v="5.1333333333333337"/>
    <d v="2016-11-28T00:00:00"/>
    <x v="1"/>
    <s v="KBC"/>
    <s v="Shan_North"/>
    <s v="Muse"/>
    <s v="Muse Baptist Church"/>
    <m/>
    <m/>
    <m/>
    <n v="76"/>
    <n v="38"/>
    <n v="76"/>
    <m/>
    <m/>
    <n v="38"/>
    <n v="114"/>
    <m/>
    <m/>
    <m/>
    <m/>
    <m/>
    <m/>
    <m/>
    <n v="0"/>
    <n v="0"/>
    <n v="0"/>
    <n v="76"/>
    <n v="38"/>
    <n v="76"/>
    <n v="0"/>
    <n v="0"/>
    <n v="38"/>
    <n v="285"/>
    <n v="0"/>
    <n v="0"/>
    <n v="0"/>
    <n v="0"/>
    <x v="0"/>
    <n v="0"/>
    <n v="0"/>
    <n v="0"/>
    <s v="MMR015CMP213"/>
    <x v="1"/>
    <x v="0"/>
    <x v="4"/>
    <n v="0"/>
    <m/>
    <s v="Data source: KBC/under nov_201_CAR"/>
  </r>
  <r>
    <n v="6.0666666666666664"/>
    <d v="2016-10-31T00:00:00"/>
    <x v="2"/>
    <s v="Solidarities"/>
    <s v="Kachin"/>
    <s v="Momauk"/>
    <s v="Loi Je Catholic Church"/>
    <m/>
    <m/>
    <m/>
    <m/>
    <m/>
    <m/>
    <m/>
    <m/>
    <m/>
    <m/>
    <m/>
    <m/>
    <m/>
    <m/>
    <n v="1"/>
    <m/>
    <m/>
    <n v="0"/>
    <n v="0"/>
    <n v="0"/>
    <n v="0"/>
    <n v="0"/>
    <n v="0"/>
    <n v="0"/>
    <n v="0"/>
    <n v="0"/>
    <n v="0"/>
    <n v="0"/>
    <n v="0"/>
    <n v="0"/>
    <n v="0"/>
    <x v="0"/>
    <n v="1"/>
    <n v="0"/>
    <n v="0"/>
    <s v="MMR001CMP069"/>
    <x v="0"/>
    <x v="0"/>
    <x v="0"/>
    <n v="0"/>
    <m/>
    <s v="Data source: Solidarities/under Nov_2016_CAR"/>
  </r>
  <r>
    <n v="6.0666666666666664"/>
    <d v="2016-10-31T00:00:00"/>
    <x v="2"/>
    <s v="Solidarities"/>
    <s v="Kachin"/>
    <s v="Momauk"/>
    <s v="Seng Ja "/>
    <m/>
    <m/>
    <m/>
    <m/>
    <m/>
    <m/>
    <m/>
    <m/>
    <m/>
    <m/>
    <m/>
    <m/>
    <m/>
    <m/>
    <n v="2"/>
    <m/>
    <m/>
    <n v="0"/>
    <n v="0"/>
    <n v="0"/>
    <n v="0"/>
    <n v="0"/>
    <n v="0"/>
    <n v="0"/>
    <n v="0"/>
    <n v="0"/>
    <n v="0"/>
    <n v="0"/>
    <n v="0"/>
    <n v="0"/>
    <n v="0"/>
    <x v="0"/>
    <n v="2"/>
    <n v="0"/>
    <n v="0"/>
    <s v="MMR001CMP073"/>
    <x v="0"/>
    <x v="0"/>
    <x v="0"/>
    <n v="0"/>
    <m/>
    <s v="Data source: Solidarities/under Nov_2016_CAR"/>
  </r>
  <r>
    <n v="7.1"/>
    <d v="2016-09-30T00:00:00"/>
    <x v="2"/>
    <s v="Solidarities"/>
    <s v="Kachin"/>
    <s v="Momauk"/>
    <s v="Momauk Baptist Church"/>
    <m/>
    <m/>
    <m/>
    <m/>
    <m/>
    <m/>
    <m/>
    <m/>
    <m/>
    <m/>
    <m/>
    <m/>
    <m/>
    <m/>
    <n v="1"/>
    <m/>
    <m/>
    <n v="0"/>
    <n v="0"/>
    <n v="0"/>
    <n v="0"/>
    <n v="0"/>
    <n v="0"/>
    <n v="0"/>
    <n v="0"/>
    <n v="0"/>
    <n v="0"/>
    <n v="0"/>
    <n v="0"/>
    <n v="0"/>
    <n v="0"/>
    <x v="0"/>
    <n v="1"/>
    <n v="0"/>
    <n v="0"/>
    <s v="MMR001CMP056"/>
    <x v="0"/>
    <x v="0"/>
    <x v="4"/>
    <n v="0"/>
    <m/>
    <s v="Data source: Solidarities/under Nov_2016_CAR"/>
  </r>
  <r>
    <n v="7.1"/>
    <d v="2016-09-30T00:00:00"/>
    <x v="3"/>
    <s v="Relief International"/>
    <s v="Shan_North"/>
    <s v="Namtu"/>
    <s v="Nam Tu Baptist"/>
    <n v="11"/>
    <m/>
    <m/>
    <m/>
    <n v="11"/>
    <m/>
    <m/>
    <m/>
    <m/>
    <m/>
    <m/>
    <m/>
    <m/>
    <m/>
    <m/>
    <m/>
    <m/>
    <n v="11"/>
    <n v="0"/>
    <n v="0"/>
    <n v="0"/>
    <n v="11"/>
    <n v="0"/>
    <n v="0"/>
    <n v="0"/>
    <n v="0"/>
    <n v="0"/>
    <n v="0"/>
    <n v="0"/>
    <n v="0"/>
    <n v="0"/>
    <x v="0"/>
    <n v="0"/>
    <n v="0"/>
    <n v="0"/>
    <s v="MMR015CMP014"/>
    <x v="0"/>
    <x v="0"/>
    <x v="0"/>
    <n v="0"/>
    <m/>
    <s v="According to their list, Tarpulin is under &quot;Shelter Kit&quot; . Two items (Tarpulin and Rope) are included in &quot;Shelter Kit&quot;"/>
  </r>
  <r>
    <n v="7.1"/>
    <d v="2016-09-30T00:00:00"/>
    <x v="2"/>
    <s v="Solidarities"/>
    <s v="Kachin"/>
    <s v="Bhamo"/>
    <s v="Phan Khar Kone"/>
    <m/>
    <m/>
    <m/>
    <m/>
    <m/>
    <m/>
    <m/>
    <m/>
    <m/>
    <m/>
    <m/>
    <m/>
    <m/>
    <m/>
    <n v="1"/>
    <m/>
    <m/>
    <n v="0"/>
    <n v="0"/>
    <n v="0"/>
    <n v="0"/>
    <n v="0"/>
    <n v="0"/>
    <n v="0"/>
    <n v="0"/>
    <n v="0"/>
    <n v="0"/>
    <n v="0"/>
    <n v="0"/>
    <n v="0"/>
    <n v="0"/>
    <x v="0"/>
    <n v="1"/>
    <n v="0"/>
    <n v="0"/>
    <s v="MMR001CMP193"/>
    <x v="0"/>
    <x v="0"/>
    <x v="4"/>
    <n v="0"/>
    <m/>
    <s v="Data source: Solidarities/under Nov_2016_CAR"/>
  </r>
  <r>
    <n v="7.1"/>
    <d v="2016-09-30T00:00:00"/>
    <x v="3"/>
    <s v="Relief International"/>
    <s v="Shan_North"/>
    <s v="Namtu"/>
    <s v="Shwe Myint Thar Monastry "/>
    <n v="11"/>
    <m/>
    <m/>
    <m/>
    <n v="11"/>
    <m/>
    <m/>
    <m/>
    <m/>
    <m/>
    <m/>
    <m/>
    <m/>
    <m/>
    <m/>
    <m/>
    <m/>
    <n v="11"/>
    <n v="0"/>
    <n v="0"/>
    <n v="0"/>
    <n v="11"/>
    <n v="0"/>
    <n v="0"/>
    <n v="0"/>
    <n v="0"/>
    <n v="0"/>
    <n v="0"/>
    <n v="0"/>
    <n v="0"/>
    <n v="0"/>
    <x v="0"/>
    <n v="0"/>
    <n v="0"/>
    <n v="0"/>
    <s v="MMR015CMP228"/>
    <x v="0"/>
    <x v="2"/>
    <x v="1"/>
    <s v=""/>
    <m/>
    <s v="According to their list, Tarpulin is under &quot;Shelter Kit&quot; . Two items (Tarpulin and Rope) are included in &quot;Shelter Kit&quot;"/>
  </r>
  <r>
    <n v="7.7"/>
    <d v="2016-09-12T00:00:00"/>
    <x v="3"/>
    <s v="Relief International"/>
    <s v="Shan_North"/>
    <s v="Namtu"/>
    <s v="Namtu KBC 2"/>
    <m/>
    <m/>
    <m/>
    <m/>
    <n v="18"/>
    <m/>
    <m/>
    <m/>
    <m/>
    <m/>
    <m/>
    <m/>
    <m/>
    <m/>
    <m/>
    <m/>
    <m/>
    <n v="0"/>
    <n v="0"/>
    <n v="0"/>
    <n v="0"/>
    <n v="18"/>
    <n v="0"/>
    <n v="0"/>
    <n v="0"/>
    <n v="0"/>
    <n v="0"/>
    <n v="0"/>
    <n v="0"/>
    <n v="0"/>
    <n v="0"/>
    <x v="0"/>
    <n v="0"/>
    <n v="0"/>
    <n v="0"/>
    <s v="MMR015CMP231"/>
    <x v="0"/>
    <x v="2"/>
    <x v="1"/>
    <s v=""/>
    <m/>
    <s v="According to their list, Tarpulin is under &quot;Shelter Kit&quot; . Two items (Tarpulin and Rope) are included in &quot;Shelter Kit&quot;"/>
  </r>
  <r>
    <n v="8.1"/>
    <d v="2016-08-31T00:00:00"/>
    <x v="2"/>
    <s v="Solidarities"/>
    <s v="Kachin"/>
    <s v="Bhamo"/>
    <s v="AD-2000 Tharthana Compound"/>
    <m/>
    <m/>
    <m/>
    <m/>
    <m/>
    <m/>
    <m/>
    <m/>
    <m/>
    <m/>
    <m/>
    <m/>
    <m/>
    <m/>
    <n v="1"/>
    <m/>
    <m/>
    <n v="0"/>
    <n v="0"/>
    <n v="0"/>
    <n v="0"/>
    <n v="0"/>
    <n v="0"/>
    <n v="0"/>
    <n v="0"/>
    <n v="0"/>
    <n v="0"/>
    <n v="0"/>
    <n v="0"/>
    <n v="0"/>
    <n v="0"/>
    <x v="0"/>
    <n v="1"/>
    <n v="0"/>
    <n v="0"/>
    <s v="MMR001CMP050"/>
    <x v="0"/>
    <x v="0"/>
    <x v="4"/>
    <n v="0"/>
    <m/>
    <s v="Data source: Solidarities/under Nov_2016_CAR"/>
  </r>
  <r>
    <n v="8.1"/>
    <d v="2016-08-31T00:00:00"/>
    <x v="2"/>
    <s v="Solidarities"/>
    <s v="Kachin"/>
    <s v="Bhamo"/>
    <s v="Robert Church"/>
    <m/>
    <m/>
    <m/>
    <m/>
    <m/>
    <m/>
    <m/>
    <m/>
    <m/>
    <m/>
    <m/>
    <m/>
    <m/>
    <m/>
    <n v="1"/>
    <m/>
    <m/>
    <n v="0"/>
    <n v="0"/>
    <n v="0"/>
    <n v="0"/>
    <n v="0"/>
    <n v="0"/>
    <n v="0"/>
    <n v="0"/>
    <n v="0"/>
    <n v="0"/>
    <n v="0"/>
    <n v="0"/>
    <n v="0"/>
    <n v="0"/>
    <x v="0"/>
    <n v="1"/>
    <n v="0"/>
    <n v="0"/>
    <s v="MMR001CMP047"/>
    <x v="0"/>
    <x v="0"/>
    <x v="4"/>
    <n v="0"/>
    <m/>
    <s v="Data source: Solidarities/under Nov_2016_CAR"/>
  </r>
  <r>
    <n v="8.1"/>
    <d v="2016-08-31T00:00:00"/>
    <x v="2"/>
    <s v="Solidarities"/>
    <s v="Kachin"/>
    <s v="Hpakant"/>
    <s v="Shar Du Zut KBC church "/>
    <n v="165"/>
    <n v="139"/>
    <m/>
    <m/>
    <m/>
    <m/>
    <m/>
    <m/>
    <m/>
    <m/>
    <m/>
    <m/>
    <m/>
    <m/>
    <n v="8"/>
    <m/>
    <m/>
    <n v="165"/>
    <n v="139"/>
    <n v="0"/>
    <n v="0"/>
    <n v="0"/>
    <n v="0"/>
    <n v="0"/>
    <n v="0"/>
    <n v="0"/>
    <n v="0"/>
    <n v="0"/>
    <n v="0"/>
    <n v="0"/>
    <n v="0"/>
    <x v="0"/>
    <n v="8"/>
    <n v="0"/>
    <n v="0"/>
    <s v="MMR001CMP244"/>
    <x v="1"/>
    <x v="0"/>
    <x v="1"/>
    <n v="0"/>
    <m/>
    <s v="Data source: Solidarities/under Nov_2016_CAR, Newly displacement. Distribution related to Emergency Intervention (ERF), "/>
  </r>
  <r>
    <n v="8.5333333333333332"/>
    <d v="2016-08-18T00:00:00"/>
    <x v="4"/>
    <s v="KBC"/>
    <s v="Kachin"/>
    <s v="Myitkyina"/>
    <s v="Man Hkring Baptist Church"/>
    <m/>
    <m/>
    <m/>
    <m/>
    <n v="29"/>
    <m/>
    <m/>
    <m/>
    <m/>
    <m/>
    <m/>
    <m/>
    <m/>
    <m/>
    <m/>
    <m/>
    <m/>
    <n v="0"/>
    <n v="0"/>
    <n v="0"/>
    <n v="0"/>
    <n v="29"/>
    <n v="0"/>
    <n v="0"/>
    <n v="0"/>
    <n v="0"/>
    <n v="0"/>
    <n v="0"/>
    <n v="0"/>
    <n v="0"/>
    <n v="0"/>
    <x v="0"/>
    <n v="0"/>
    <n v="0"/>
    <n v="0"/>
    <s v="MMR001CMP008"/>
    <x v="0"/>
    <x v="0"/>
    <x v="4"/>
    <n v="0"/>
    <m/>
    <m/>
  </r>
  <r>
    <n v="8.7333333333333325"/>
    <d v="2016-08-12T00:00:00"/>
    <x v="3"/>
    <s v="Relief International"/>
    <s v="Shan_North"/>
    <s v="Hsipaw"/>
    <s v="Man Kaung/Naung Ti Kyar Village"/>
    <m/>
    <m/>
    <m/>
    <m/>
    <n v="38"/>
    <m/>
    <m/>
    <m/>
    <m/>
    <m/>
    <m/>
    <m/>
    <m/>
    <m/>
    <m/>
    <m/>
    <m/>
    <n v="0"/>
    <n v="0"/>
    <n v="0"/>
    <n v="0"/>
    <n v="38"/>
    <n v="0"/>
    <n v="0"/>
    <n v="0"/>
    <n v="0"/>
    <n v="0"/>
    <n v="0"/>
    <n v="0"/>
    <n v="0"/>
    <n v="0"/>
    <x v="0"/>
    <n v="0"/>
    <n v="0"/>
    <n v="0"/>
    <s v="MMR015CMP244"/>
    <x v="0"/>
    <x v="0"/>
    <x v="1"/>
    <s v=""/>
    <m/>
    <s v="According to their list, Tarpulin is under &quot;Shelter Kit&quot; . Two items (Tarpulin and Rope) are included in &quot;Shelter Kit&quot;"/>
  </r>
  <r>
    <n v="8.8000000000000007"/>
    <d v="2016-08-10T00:00:00"/>
    <x v="1"/>
    <s v="KBC"/>
    <s v="Kachin"/>
    <s v="Hpakant"/>
    <s v="Njang Dung Baptist Church "/>
    <m/>
    <n v="4"/>
    <n v="4"/>
    <n v="10"/>
    <n v="117"/>
    <n v="10"/>
    <n v="4"/>
    <m/>
    <n v="8"/>
    <n v="16"/>
    <m/>
    <m/>
    <m/>
    <m/>
    <n v="4"/>
    <m/>
    <m/>
    <m/>
    <m/>
    <m/>
    <m/>
    <m/>
    <m/>
    <m/>
    <m/>
    <m/>
    <m/>
    <m/>
    <m/>
    <m/>
    <m/>
    <x v="2"/>
    <m/>
    <n v="0"/>
    <n v="0"/>
    <s v="MMR001CMP002"/>
    <x v="0"/>
    <x v="0"/>
    <x v="6"/>
    <m/>
    <m/>
    <s v="(Njang Dung Camp, Shwe Zet Camp and 4 Camps in Hpakhant Tsp distributio)There is no specific camp and township name. Remarks-Through KBC-Myitkyina for new arrivals in 6 Camps: Njang Dung Camp, Shwe Zet Camp and 4 Camps in Hpakhant Tsp)"/>
  </r>
  <r>
    <n v="8.9333333333333336"/>
    <d v="2016-08-06T00:00:00"/>
    <x v="1"/>
    <s v="KMSS"/>
    <s v="Kachin"/>
    <s v="Hpakant"/>
    <s v="Muyin church (Aung Yar pre-school compound)"/>
    <m/>
    <n v="25"/>
    <n v="25"/>
    <n v="38"/>
    <n v="25"/>
    <n v="49"/>
    <n v="25"/>
    <m/>
    <n v="25"/>
    <n v="47"/>
    <m/>
    <m/>
    <m/>
    <m/>
    <n v="25"/>
    <m/>
    <m/>
    <m/>
    <m/>
    <m/>
    <m/>
    <m/>
    <m/>
    <m/>
    <m/>
    <m/>
    <m/>
    <m/>
    <m/>
    <m/>
    <m/>
    <x v="2"/>
    <m/>
    <n v="0"/>
    <n v="0"/>
    <s v="MMR001CMP247"/>
    <x v="1"/>
    <x v="0"/>
    <x v="1"/>
    <n v="5.8707495773060309E-4"/>
    <s v="No"/>
    <s v="Emergency"/>
  </r>
  <r>
    <n v="8.9333333333333336"/>
    <d v="2016-08-06T00:00:00"/>
    <x v="1"/>
    <s v="KMSS"/>
    <s v="Kachin"/>
    <s v="Hpakant"/>
    <s v="Shar Du Zut RC church"/>
    <m/>
    <n v="7"/>
    <n v="7"/>
    <n v="7"/>
    <n v="7"/>
    <n v="9"/>
    <n v="7"/>
    <m/>
    <n v="7"/>
    <n v="11"/>
    <m/>
    <m/>
    <m/>
    <m/>
    <n v="7"/>
    <m/>
    <m/>
    <n v="0"/>
    <n v="7"/>
    <n v="7"/>
    <n v="7"/>
    <n v="7"/>
    <n v="9"/>
    <n v="7"/>
    <n v="0"/>
    <n v="7"/>
    <n v="27.5"/>
    <n v="0"/>
    <n v="0"/>
    <n v="0"/>
    <n v="0"/>
    <x v="0"/>
    <n v="7"/>
    <n v="0"/>
    <n v="0"/>
    <s v="MMR001CMP246"/>
    <x v="1"/>
    <x v="0"/>
    <x v="1"/>
    <n v="1.6438098816456886E-4"/>
    <s v="No"/>
    <s v="Emergency"/>
  </r>
  <r>
    <n v="8.9333333333333336"/>
    <d v="2016-08-06T00:00:00"/>
    <x v="1"/>
    <s v="KMSS"/>
    <s v="Kachin"/>
    <s v="Hpakant"/>
    <s v="A Lo Taw Pyae monastery"/>
    <m/>
    <n v="21"/>
    <n v="21"/>
    <n v="27"/>
    <n v="21"/>
    <n v="30"/>
    <n v="21"/>
    <m/>
    <n v="21"/>
    <n v="33"/>
    <m/>
    <m/>
    <m/>
    <m/>
    <n v="21"/>
    <m/>
    <m/>
    <n v="0"/>
    <n v="21"/>
    <n v="21"/>
    <n v="27"/>
    <n v="21"/>
    <n v="30"/>
    <n v="21"/>
    <n v="0"/>
    <n v="21"/>
    <n v="82.5"/>
    <n v="0"/>
    <n v="0"/>
    <n v="0"/>
    <n v="0"/>
    <x v="0"/>
    <n v="21"/>
    <n v="0"/>
    <n v="0"/>
    <s v="MMR001CMP243"/>
    <x v="1"/>
    <x v="2"/>
    <x v="1"/>
    <n v="4.931429644937066E-4"/>
    <m/>
    <m/>
  </r>
  <r>
    <n v="8.9333333333333336"/>
    <d v="2016-08-06T00:00:00"/>
    <x v="1"/>
    <s v="KMSS_Myitkyina"/>
    <s v="Kachin"/>
    <s v="Hpakant"/>
    <s v="A Lo Taw Pyae monastery"/>
    <m/>
    <n v="21"/>
    <n v="21"/>
    <n v="27"/>
    <n v="21"/>
    <n v="30"/>
    <n v="21"/>
    <m/>
    <n v="21"/>
    <n v="33"/>
    <m/>
    <m/>
    <m/>
    <m/>
    <n v="21"/>
    <m/>
    <m/>
    <m/>
    <m/>
    <m/>
    <m/>
    <m/>
    <m/>
    <m/>
    <m/>
    <m/>
    <m/>
    <m/>
    <m/>
    <m/>
    <m/>
    <x v="2"/>
    <m/>
    <m/>
    <m/>
    <m/>
    <x v="2"/>
    <x v="2"/>
    <x v="6"/>
    <m/>
    <m/>
    <m/>
  </r>
  <r>
    <n v="8.9666666666666668"/>
    <d v="2016-08-05T00:00:00"/>
    <x v="1"/>
    <s v="KMSS_Myitkyina"/>
    <s v="Kachin"/>
    <s v="Hpakant"/>
    <s v="Mandung - RC"/>
    <m/>
    <n v="53"/>
    <n v="53"/>
    <n v="131"/>
    <n v="53"/>
    <n v="131"/>
    <n v="53"/>
    <m/>
    <n v="53"/>
    <n v="131"/>
    <m/>
    <m/>
    <m/>
    <m/>
    <n v="53"/>
    <m/>
    <m/>
    <n v="0"/>
    <n v="53"/>
    <n v="53"/>
    <n v="131"/>
    <n v="53"/>
    <n v="131"/>
    <n v="53"/>
    <n v="0"/>
    <n v="53"/>
    <n v="327.5"/>
    <n v="0"/>
    <n v="0"/>
    <n v="0"/>
    <n v="0"/>
    <x v="0"/>
    <n v="53"/>
    <n v="0"/>
    <n v="0"/>
    <s v="MMR015CMP209"/>
    <x v="0"/>
    <x v="0"/>
    <x v="0"/>
    <n v="1.2917377528637581E-3"/>
    <m/>
    <s v="(Buddha Camp, RC Camp and Mudung Camp)Emergency Distribution"/>
  </r>
  <r>
    <n v="8.9666666666666668"/>
    <d v="2016-08-05T00:00:00"/>
    <x v="1"/>
    <s v="KBC"/>
    <s v="Kachin"/>
    <s v="Hpakant"/>
    <s v="Wara Zup KBC Church"/>
    <m/>
    <n v="23"/>
    <m/>
    <n v="38"/>
    <n v="23"/>
    <n v="38"/>
    <n v="23"/>
    <m/>
    <n v="23"/>
    <n v="55"/>
    <m/>
    <m/>
    <m/>
    <m/>
    <n v="23"/>
    <m/>
    <n v="9"/>
    <n v="0"/>
    <n v="23"/>
    <n v="0"/>
    <n v="38"/>
    <n v="23"/>
    <n v="38"/>
    <n v="23"/>
    <n v="0"/>
    <n v="23"/>
    <n v="137.5"/>
    <n v="0"/>
    <n v="0"/>
    <n v="0"/>
    <n v="0"/>
    <x v="0"/>
    <n v="23"/>
    <n v="0"/>
    <n v="9"/>
    <s v="MMR001CMP242"/>
    <x v="1"/>
    <x v="2"/>
    <x v="1"/>
    <n v="5.4283691291007793E-4"/>
    <m/>
    <s v="Emergency Distribution"/>
  </r>
  <r>
    <n v="9.6333333333333329"/>
    <d v="2016-07-16T00:00:00"/>
    <x v="3"/>
    <s v="Relief International"/>
    <s v="Shan_North"/>
    <s v="Namtu"/>
    <s v="Nam Tu Baptist"/>
    <n v="40"/>
    <m/>
    <m/>
    <m/>
    <n v="40"/>
    <m/>
    <m/>
    <m/>
    <m/>
    <m/>
    <m/>
    <m/>
    <m/>
    <m/>
    <m/>
    <m/>
    <m/>
    <n v="40"/>
    <n v="0"/>
    <n v="0"/>
    <n v="0"/>
    <n v="40"/>
    <n v="0"/>
    <n v="0"/>
    <n v="0"/>
    <n v="0"/>
    <n v="0"/>
    <n v="0"/>
    <n v="0"/>
    <n v="0"/>
    <n v="0"/>
    <x v="0"/>
    <n v="0"/>
    <n v="0"/>
    <n v="0"/>
    <s v="MMR015CMP014"/>
    <x v="0"/>
    <x v="0"/>
    <x v="0"/>
    <n v="0"/>
    <m/>
    <s v="According to their list, Tarpulin is under &quot;Shelter Kit&quot; . Two items (Tarpulin and Rope) are included in &quot;Shelter Kit&quot;"/>
  </r>
  <r>
    <n v="9.6333333333333329"/>
    <d v="2016-07-16T00:00:00"/>
    <x v="3"/>
    <s v="Relief International"/>
    <s v="Shan_North"/>
    <s v="Namtu"/>
    <s v="Shwe Myint Thar Monastry "/>
    <n v="59"/>
    <m/>
    <m/>
    <m/>
    <n v="59"/>
    <m/>
    <m/>
    <m/>
    <m/>
    <m/>
    <m/>
    <m/>
    <m/>
    <m/>
    <m/>
    <m/>
    <m/>
    <n v="59"/>
    <n v="0"/>
    <n v="0"/>
    <n v="0"/>
    <n v="59"/>
    <n v="0"/>
    <n v="0"/>
    <n v="0"/>
    <n v="0"/>
    <n v="0"/>
    <n v="0"/>
    <n v="0"/>
    <n v="0"/>
    <n v="0"/>
    <x v="0"/>
    <n v="0"/>
    <n v="0"/>
    <n v="0"/>
    <s v="MMR015CMP228"/>
    <x v="0"/>
    <x v="2"/>
    <x v="1"/>
    <s v=""/>
    <m/>
    <s v="According to their list, Tarpulin is under &quot;Shelter Kit&quot; . Two items (Tarpulin and Rope) are included in &quot;Shelter Kit&quot;"/>
  </r>
  <r>
    <n v="10.166666666666666"/>
    <d v="2016-06-30T00:00:00"/>
    <x v="2"/>
    <s v="Solidarities"/>
    <s v="Kachin"/>
    <s v="Bhamo"/>
    <s v="AD-2000 Tharthana Compound"/>
    <m/>
    <m/>
    <m/>
    <m/>
    <m/>
    <m/>
    <m/>
    <m/>
    <m/>
    <m/>
    <m/>
    <m/>
    <m/>
    <m/>
    <n v="2"/>
    <m/>
    <m/>
    <n v="0"/>
    <n v="0"/>
    <n v="0"/>
    <n v="0"/>
    <n v="0"/>
    <n v="0"/>
    <n v="0"/>
    <n v="0"/>
    <n v="0"/>
    <n v="0"/>
    <n v="0"/>
    <n v="0"/>
    <n v="0"/>
    <n v="0"/>
    <x v="0"/>
    <n v="2"/>
    <n v="0"/>
    <n v="0"/>
    <s v="MMR001CMP050"/>
    <x v="0"/>
    <x v="0"/>
    <x v="4"/>
    <n v="0"/>
    <m/>
    <s v="Data source: Solidarities/under Nov_2016_CAR"/>
  </r>
  <r>
    <n v="10.166666666666666"/>
    <d v="2016-06-30T00:00:00"/>
    <x v="2"/>
    <s v="Solidarities"/>
    <s v="Kachin"/>
    <s v="Momauk"/>
    <s v="Loi Je Baptist Church"/>
    <m/>
    <m/>
    <m/>
    <m/>
    <m/>
    <m/>
    <m/>
    <m/>
    <m/>
    <m/>
    <m/>
    <m/>
    <m/>
    <m/>
    <n v="2"/>
    <m/>
    <m/>
    <n v="0"/>
    <n v="0"/>
    <n v="0"/>
    <n v="0"/>
    <n v="0"/>
    <n v="0"/>
    <n v="0"/>
    <n v="0"/>
    <n v="0"/>
    <n v="0"/>
    <n v="0"/>
    <n v="0"/>
    <n v="0"/>
    <n v="0"/>
    <x v="0"/>
    <n v="2"/>
    <n v="0"/>
    <n v="0"/>
    <s v="MMR001CMP071"/>
    <x v="0"/>
    <x v="0"/>
    <x v="0"/>
    <n v="0"/>
    <m/>
    <s v="Data source: Solidarities/under Nov_2016_CAR"/>
  </r>
  <r>
    <n v="10.166666666666666"/>
    <d v="2016-06-30T00:00:00"/>
    <x v="2"/>
    <s v="Solidarities"/>
    <s v="Kachin"/>
    <s v="Momauk"/>
    <s v="Loi Je Lisu Camp"/>
    <m/>
    <m/>
    <m/>
    <m/>
    <m/>
    <m/>
    <m/>
    <m/>
    <m/>
    <m/>
    <m/>
    <m/>
    <m/>
    <m/>
    <n v="1"/>
    <m/>
    <m/>
    <n v="0"/>
    <n v="0"/>
    <n v="0"/>
    <n v="0"/>
    <n v="0"/>
    <n v="0"/>
    <n v="0"/>
    <n v="0"/>
    <n v="0"/>
    <n v="0"/>
    <n v="0"/>
    <n v="0"/>
    <n v="0"/>
    <n v="0"/>
    <x v="0"/>
    <n v="1"/>
    <n v="0"/>
    <n v="0"/>
    <s v="MMR001CMP070"/>
    <x v="0"/>
    <x v="0"/>
    <x v="0"/>
    <n v="0"/>
    <m/>
    <s v="Data source: Solidarities/under Nov_2016_CAR"/>
  </r>
  <r>
    <n v="10.166666666666666"/>
    <d v="2016-06-30T00:00:00"/>
    <x v="2"/>
    <s v="Solidarities"/>
    <s v="Kachin"/>
    <s v="Momauk"/>
    <s v="Nyaung Na Pin "/>
    <m/>
    <m/>
    <m/>
    <m/>
    <m/>
    <m/>
    <m/>
    <m/>
    <m/>
    <m/>
    <m/>
    <m/>
    <m/>
    <m/>
    <n v="1"/>
    <m/>
    <m/>
    <n v="0"/>
    <n v="0"/>
    <n v="0"/>
    <n v="0"/>
    <n v="0"/>
    <n v="0"/>
    <n v="0"/>
    <n v="0"/>
    <n v="0"/>
    <n v="0"/>
    <n v="0"/>
    <n v="0"/>
    <n v="0"/>
    <n v="0"/>
    <x v="0"/>
    <n v="1"/>
    <n v="0"/>
    <n v="0"/>
    <s v="MMR001CMP072"/>
    <x v="0"/>
    <x v="0"/>
    <x v="0"/>
    <n v="0"/>
    <m/>
    <s v="Data source: Solidarities/under Nov_2016_CAR"/>
  </r>
  <r>
    <n v="10.166666666666666"/>
    <d v="2016-06-30T00:00:00"/>
    <x v="2"/>
    <s v="Solidarities"/>
    <s v="Kachin"/>
    <s v="Bhamo"/>
    <s v="Phan Khar Kone"/>
    <m/>
    <m/>
    <m/>
    <m/>
    <m/>
    <m/>
    <m/>
    <m/>
    <m/>
    <m/>
    <m/>
    <m/>
    <m/>
    <m/>
    <n v="4"/>
    <m/>
    <m/>
    <n v="0"/>
    <n v="0"/>
    <n v="0"/>
    <n v="0"/>
    <n v="0"/>
    <n v="0"/>
    <n v="0"/>
    <n v="0"/>
    <n v="0"/>
    <n v="0"/>
    <n v="0"/>
    <n v="0"/>
    <n v="0"/>
    <n v="0"/>
    <x v="0"/>
    <n v="4"/>
    <n v="0"/>
    <n v="0"/>
    <s v="MMR001CMP193"/>
    <x v="0"/>
    <x v="0"/>
    <x v="4"/>
    <n v="0"/>
    <m/>
    <s v="Data source: Solidarities/under Nov_2016_CAR"/>
  </r>
  <r>
    <n v="10.166666666666666"/>
    <d v="2016-06-30T00:00:00"/>
    <x v="2"/>
    <s v="Solidarities"/>
    <s v="Kachin"/>
    <s v="Momauk"/>
    <s v="Seng Ja "/>
    <m/>
    <m/>
    <m/>
    <m/>
    <m/>
    <m/>
    <m/>
    <m/>
    <m/>
    <m/>
    <m/>
    <m/>
    <m/>
    <m/>
    <n v="1"/>
    <m/>
    <m/>
    <n v="0"/>
    <n v="0"/>
    <n v="0"/>
    <n v="0"/>
    <n v="0"/>
    <n v="0"/>
    <n v="0"/>
    <n v="0"/>
    <n v="0"/>
    <n v="0"/>
    <n v="0"/>
    <n v="0"/>
    <n v="0"/>
    <n v="0"/>
    <x v="0"/>
    <n v="1"/>
    <n v="0"/>
    <n v="0"/>
    <s v="MMR001CMP073"/>
    <x v="0"/>
    <x v="0"/>
    <x v="0"/>
    <n v="0"/>
    <m/>
    <s v="Data source: Solidarities/under Nov_2016_CAR"/>
  </r>
  <r>
    <n v="10.166666666666666"/>
    <d v="2016-06-30T00:00:00"/>
    <x v="2"/>
    <s v="Solidarities"/>
    <s v="Kachin"/>
    <s v="Bhamo"/>
    <s v="Ta Gun Taing Monastery (Shwe Kyi Na)"/>
    <m/>
    <m/>
    <m/>
    <m/>
    <m/>
    <m/>
    <m/>
    <m/>
    <m/>
    <m/>
    <m/>
    <m/>
    <m/>
    <m/>
    <n v="2"/>
    <m/>
    <m/>
    <n v="0"/>
    <n v="0"/>
    <n v="0"/>
    <n v="0"/>
    <n v="0"/>
    <n v="0"/>
    <n v="0"/>
    <n v="0"/>
    <n v="0"/>
    <n v="0"/>
    <n v="0"/>
    <n v="0"/>
    <n v="0"/>
    <n v="0"/>
    <x v="0"/>
    <n v="2"/>
    <n v="0"/>
    <n v="0"/>
    <s v="MMR001CMP055"/>
    <x v="0"/>
    <x v="0"/>
    <x v="4"/>
    <n v="0"/>
    <m/>
    <s v="Data source: Solidarities/under Nov_2016_CAR"/>
  </r>
  <r>
    <n v="10.766666666666667"/>
    <d v="2016-06-12T00:00:00"/>
    <x v="3"/>
    <s v="Relief International"/>
    <s v="Shan_North"/>
    <s v="Namtu"/>
    <s v="Namtu KBC 1"/>
    <m/>
    <m/>
    <m/>
    <m/>
    <n v="41"/>
    <m/>
    <m/>
    <m/>
    <m/>
    <m/>
    <m/>
    <m/>
    <m/>
    <m/>
    <m/>
    <m/>
    <m/>
    <n v="0"/>
    <n v="0"/>
    <n v="0"/>
    <n v="0"/>
    <n v="41"/>
    <n v="0"/>
    <n v="0"/>
    <n v="0"/>
    <n v="0"/>
    <n v="0"/>
    <n v="0"/>
    <n v="0"/>
    <n v="0"/>
    <n v="0"/>
    <x v="0"/>
    <n v="0"/>
    <n v="0"/>
    <n v="0"/>
    <s v="MMR015CMP230"/>
    <x v="0"/>
    <x v="2"/>
    <x v="1"/>
    <s v=""/>
    <m/>
    <s v="According to their list, Tarpulin is under &quot;Shelter Kit&quot; . Two items (Tarpulin and Rope) are included in &quot;Shelter Kit&quot;"/>
  </r>
  <r>
    <n v="10.766666666666667"/>
    <d v="2016-06-12T00:00:00"/>
    <x v="3"/>
    <s v="Relief International"/>
    <s v="Shan_North"/>
    <s v="Namtu"/>
    <s v="Namtu RC"/>
    <m/>
    <m/>
    <m/>
    <m/>
    <n v="23"/>
    <m/>
    <m/>
    <m/>
    <m/>
    <m/>
    <m/>
    <m/>
    <m/>
    <m/>
    <m/>
    <m/>
    <m/>
    <n v="0"/>
    <n v="0"/>
    <n v="0"/>
    <n v="0"/>
    <n v="23"/>
    <n v="0"/>
    <n v="0"/>
    <n v="0"/>
    <n v="0"/>
    <n v="0"/>
    <n v="0"/>
    <n v="0"/>
    <n v="0"/>
    <n v="0"/>
    <x v="0"/>
    <n v="0"/>
    <n v="0"/>
    <n v="0"/>
    <s v="MMR015CMP229"/>
    <x v="0"/>
    <x v="0"/>
    <x v="1"/>
    <s v=""/>
    <m/>
    <s v="According to their list, Tarpulin is under &quot;Shelter Kit&quot; . Two items (Tarpulin and Rope) are included in &quot;Shelter Kit&quot;"/>
  </r>
  <r>
    <n v="10.833333333333334"/>
    <d v="2016-06-10T00:00:00"/>
    <x v="1"/>
    <s v="UNHCR"/>
    <s v="Kachin"/>
    <s v="Sumprabum"/>
    <s v="Lisu Manau Park"/>
    <m/>
    <m/>
    <m/>
    <n v="25"/>
    <n v="8"/>
    <n v="66"/>
    <n v="34"/>
    <m/>
    <n v="6"/>
    <n v="104"/>
    <m/>
    <m/>
    <m/>
    <m/>
    <m/>
    <m/>
    <m/>
    <n v="0"/>
    <n v="0"/>
    <n v="0"/>
    <n v="25"/>
    <n v="8"/>
    <n v="66"/>
    <n v="34"/>
    <n v="0"/>
    <n v="6"/>
    <n v="260"/>
    <n v="0"/>
    <n v="0"/>
    <n v="0"/>
    <n v="0"/>
    <x v="0"/>
    <n v="0"/>
    <n v="0"/>
    <n v="0"/>
    <s v=""/>
    <x v="2"/>
    <x v="1"/>
    <x v="2"/>
    <s v=""/>
    <s v="No"/>
    <m/>
  </r>
  <r>
    <n v="11.166666666666666"/>
    <d v="2016-05-31T00:00:00"/>
    <x v="2"/>
    <s v="Solidarities"/>
    <s v="Kachin"/>
    <s v="Mansi"/>
    <s v="Maing Khaung"/>
    <n v="25"/>
    <n v="25"/>
    <m/>
    <m/>
    <n v="25"/>
    <m/>
    <m/>
    <m/>
    <m/>
    <m/>
    <m/>
    <m/>
    <m/>
    <m/>
    <m/>
    <m/>
    <m/>
    <n v="25"/>
    <n v="25"/>
    <n v="0"/>
    <n v="0"/>
    <n v="25"/>
    <n v="0"/>
    <n v="0"/>
    <n v="0"/>
    <n v="0"/>
    <n v="0"/>
    <n v="0"/>
    <n v="0"/>
    <n v="0"/>
    <n v="0"/>
    <x v="0"/>
    <n v="0"/>
    <n v="0"/>
    <n v="0"/>
    <s v="MMR001CMP218"/>
    <x v="0"/>
    <x v="0"/>
    <x v="4"/>
    <n v="0"/>
    <m/>
    <m/>
  </r>
  <r>
    <n v="12.033333333333333"/>
    <d v="2016-05-05T00:00:00"/>
    <x v="1"/>
    <s v="KMSS_Myitkyina"/>
    <s v="Kachin"/>
    <s v="Mogaung"/>
    <s v="Ma Hawng RC "/>
    <m/>
    <n v="7"/>
    <n v="7"/>
    <n v="13"/>
    <n v="7"/>
    <n v="13"/>
    <n v="7"/>
    <n v="7"/>
    <n v="7"/>
    <n v="13"/>
    <m/>
    <m/>
    <m/>
    <m/>
    <n v="7"/>
    <m/>
    <m/>
    <n v="0"/>
    <n v="0"/>
    <n v="0"/>
    <n v="0"/>
    <n v="0"/>
    <n v="0"/>
    <n v="0"/>
    <n v="0"/>
    <n v="0"/>
    <n v="0"/>
    <n v="0"/>
    <n v="0"/>
    <n v="0"/>
    <n v="0"/>
    <x v="0"/>
    <n v="0"/>
    <n v="0"/>
    <n v="0"/>
    <s v="MMR001CMP237"/>
    <x v="1"/>
    <x v="0"/>
    <x v="1"/>
    <n v="1.6617210682492583E-4"/>
    <m/>
    <m/>
  </r>
  <r>
    <n v="12.2"/>
    <d v="2016-04-30T00:00:00"/>
    <x v="2"/>
    <s v="Solidarities"/>
    <s v="Kachin"/>
    <s v="Momauk"/>
    <s v="Loi Je Baptist Church"/>
    <m/>
    <m/>
    <m/>
    <m/>
    <m/>
    <m/>
    <m/>
    <m/>
    <m/>
    <m/>
    <m/>
    <m/>
    <m/>
    <m/>
    <m/>
    <n v="3"/>
    <m/>
    <n v="0"/>
    <n v="0"/>
    <n v="0"/>
    <n v="0"/>
    <n v="0"/>
    <n v="0"/>
    <n v="0"/>
    <n v="0"/>
    <n v="0"/>
    <n v="0"/>
    <n v="0"/>
    <n v="0"/>
    <n v="0"/>
    <n v="0"/>
    <x v="0"/>
    <n v="0"/>
    <n v="0"/>
    <n v="0"/>
    <s v="MMR001CMP071"/>
    <x v="0"/>
    <x v="0"/>
    <x v="0"/>
    <n v="0"/>
    <m/>
    <m/>
  </r>
  <r>
    <n v="12.2"/>
    <d v="2016-04-30T00:00:00"/>
    <x v="2"/>
    <s v="Solidarities"/>
    <s v="Kachin"/>
    <s v="Momauk"/>
    <s v="Loi Je Baptist Church"/>
    <m/>
    <m/>
    <m/>
    <m/>
    <m/>
    <m/>
    <m/>
    <m/>
    <m/>
    <m/>
    <m/>
    <m/>
    <m/>
    <m/>
    <m/>
    <m/>
    <m/>
    <n v="0"/>
    <n v="0"/>
    <n v="0"/>
    <n v="0"/>
    <n v="0"/>
    <n v="0"/>
    <n v="0"/>
    <n v="0"/>
    <n v="0"/>
    <n v="0"/>
    <n v="0"/>
    <n v="0"/>
    <n v="0"/>
    <n v="0"/>
    <x v="0"/>
    <n v="0"/>
    <n v="0"/>
    <n v="0"/>
    <s v="MMR001CMP071"/>
    <x v="0"/>
    <x v="0"/>
    <x v="0"/>
    <n v="0"/>
    <m/>
    <m/>
  </r>
  <r>
    <n v="12.2"/>
    <d v="2016-04-30T00:00:00"/>
    <x v="2"/>
    <s v="Solidarities"/>
    <s v="Kachin"/>
    <s v="Momauk"/>
    <s v="Loi Je Catholic Church"/>
    <m/>
    <m/>
    <m/>
    <m/>
    <m/>
    <m/>
    <m/>
    <m/>
    <m/>
    <m/>
    <m/>
    <m/>
    <m/>
    <m/>
    <m/>
    <n v="6"/>
    <m/>
    <n v="0"/>
    <n v="0"/>
    <n v="0"/>
    <n v="0"/>
    <n v="0"/>
    <n v="0"/>
    <n v="0"/>
    <n v="0"/>
    <n v="0"/>
    <n v="0"/>
    <n v="0"/>
    <n v="0"/>
    <n v="0"/>
    <n v="0"/>
    <x v="0"/>
    <n v="0"/>
    <n v="0"/>
    <n v="0"/>
    <s v="MMR001CMP069"/>
    <x v="0"/>
    <x v="0"/>
    <x v="0"/>
    <n v="0"/>
    <m/>
    <m/>
  </r>
  <r>
    <n v="12.2"/>
    <d v="2016-04-30T00:00:00"/>
    <x v="2"/>
    <s v="Solidarities"/>
    <s v="Kachin"/>
    <s v="Momauk"/>
    <s v="Loi Je Lisu Camp"/>
    <m/>
    <m/>
    <m/>
    <m/>
    <m/>
    <m/>
    <m/>
    <m/>
    <m/>
    <m/>
    <m/>
    <m/>
    <m/>
    <m/>
    <m/>
    <n v="14"/>
    <m/>
    <n v="0"/>
    <n v="0"/>
    <n v="0"/>
    <n v="0"/>
    <n v="0"/>
    <n v="0"/>
    <n v="0"/>
    <n v="0"/>
    <n v="0"/>
    <n v="0"/>
    <n v="0"/>
    <n v="0"/>
    <n v="0"/>
    <n v="0"/>
    <x v="0"/>
    <n v="0"/>
    <n v="0"/>
    <n v="0"/>
    <s v="MMR001CMP070"/>
    <x v="0"/>
    <x v="0"/>
    <x v="0"/>
    <n v="0"/>
    <m/>
    <m/>
  </r>
  <r>
    <n v="12.2"/>
    <d v="2016-04-30T00:00:00"/>
    <x v="2"/>
    <s v="Solidarities"/>
    <s v="Kachin"/>
    <s v="Momauk"/>
    <s v="Nyaung Na Pin "/>
    <m/>
    <m/>
    <m/>
    <m/>
    <m/>
    <m/>
    <m/>
    <m/>
    <m/>
    <m/>
    <m/>
    <m/>
    <m/>
    <m/>
    <m/>
    <n v="5"/>
    <m/>
    <n v="0"/>
    <n v="0"/>
    <n v="0"/>
    <n v="0"/>
    <n v="0"/>
    <n v="0"/>
    <n v="0"/>
    <n v="0"/>
    <n v="0"/>
    <n v="0"/>
    <n v="0"/>
    <n v="0"/>
    <n v="0"/>
    <n v="0"/>
    <x v="0"/>
    <n v="0"/>
    <n v="0"/>
    <n v="0"/>
    <s v="MMR001CMP072"/>
    <x v="0"/>
    <x v="0"/>
    <x v="0"/>
    <n v="0"/>
    <m/>
    <m/>
  </r>
  <r>
    <n v="12.2"/>
    <d v="2016-04-30T00:00:00"/>
    <x v="2"/>
    <s v="Solidarities"/>
    <s v="Kachin"/>
    <s v="Momauk"/>
    <s v="Seng Ja "/>
    <m/>
    <m/>
    <m/>
    <m/>
    <m/>
    <m/>
    <m/>
    <m/>
    <m/>
    <m/>
    <m/>
    <m/>
    <m/>
    <m/>
    <m/>
    <n v="4"/>
    <m/>
    <n v="0"/>
    <n v="0"/>
    <n v="0"/>
    <n v="0"/>
    <n v="0"/>
    <n v="0"/>
    <n v="0"/>
    <n v="0"/>
    <n v="0"/>
    <n v="0"/>
    <n v="0"/>
    <n v="0"/>
    <n v="0"/>
    <n v="0"/>
    <x v="0"/>
    <n v="0"/>
    <n v="0"/>
    <n v="0"/>
    <s v="MMR001CMP073"/>
    <x v="0"/>
    <x v="0"/>
    <x v="0"/>
    <n v="0"/>
    <m/>
    <m/>
  </r>
  <r>
    <n v="12.233333333333333"/>
    <d v="2016-04-29T00:00:00"/>
    <x v="2"/>
    <s v="Solidarities"/>
    <s v="Kachin"/>
    <s v="Bhamo"/>
    <s v="AD-2000 Tharthana Compound"/>
    <m/>
    <m/>
    <m/>
    <m/>
    <m/>
    <m/>
    <m/>
    <m/>
    <m/>
    <m/>
    <m/>
    <m/>
    <m/>
    <m/>
    <m/>
    <n v="74"/>
    <m/>
    <n v="0"/>
    <n v="0"/>
    <n v="0"/>
    <n v="0"/>
    <n v="0"/>
    <n v="0"/>
    <n v="0"/>
    <n v="0"/>
    <n v="0"/>
    <n v="0"/>
    <n v="0"/>
    <n v="0"/>
    <n v="0"/>
    <n v="0"/>
    <x v="0"/>
    <n v="0"/>
    <n v="0"/>
    <n v="0"/>
    <s v="MMR001CMP050"/>
    <x v="0"/>
    <x v="0"/>
    <x v="4"/>
    <n v="0"/>
    <m/>
    <m/>
  </r>
  <r>
    <n v="12.233333333333333"/>
    <d v="2016-04-29T00:00:00"/>
    <x v="2"/>
    <s v="Solidarities"/>
    <s v="Kachin"/>
    <s v="Bhamo"/>
    <s v="Phan Khar Kone"/>
    <m/>
    <m/>
    <m/>
    <m/>
    <m/>
    <m/>
    <m/>
    <m/>
    <m/>
    <m/>
    <m/>
    <m/>
    <m/>
    <m/>
    <m/>
    <n v="48"/>
    <m/>
    <n v="0"/>
    <n v="0"/>
    <n v="0"/>
    <n v="0"/>
    <n v="0"/>
    <n v="0"/>
    <n v="0"/>
    <n v="0"/>
    <n v="0"/>
    <n v="0"/>
    <n v="0"/>
    <n v="0"/>
    <n v="0"/>
    <n v="0"/>
    <x v="0"/>
    <n v="0"/>
    <n v="0"/>
    <n v="0"/>
    <s v="MMR001CMP193"/>
    <x v="0"/>
    <x v="0"/>
    <x v="4"/>
    <n v="0"/>
    <m/>
    <m/>
  </r>
  <r>
    <n v="12.233333333333333"/>
    <d v="2016-04-29T00:00:00"/>
    <x v="2"/>
    <s v="Solidarities"/>
    <s v="Kachin"/>
    <s v="Bhamo"/>
    <s v="Robert Church"/>
    <m/>
    <m/>
    <m/>
    <m/>
    <m/>
    <m/>
    <m/>
    <m/>
    <m/>
    <m/>
    <m/>
    <m/>
    <m/>
    <m/>
    <m/>
    <n v="152"/>
    <m/>
    <n v="0"/>
    <n v="0"/>
    <n v="0"/>
    <n v="0"/>
    <n v="0"/>
    <n v="0"/>
    <n v="0"/>
    <n v="0"/>
    <n v="0"/>
    <n v="0"/>
    <n v="0"/>
    <n v="0"/>
    <n v="0"/>
    <n v="0"/>
    <x v="0"/>
    <n v="0"/>
    <n v="0"/>
    <n v="0"/>
    <s v="MMR001CMP047"/>
    <x v="0"/>
    <x v="0"/>
    <x v="4"/>
    <n v="0"/>
    <m/>
    <m/>
  </r>
  <r>
    <n v="12.233333333333333"/>
    <d v="2016-04-29T00:00:00"/>
    <x v="2"/>
    <s v="Solidarities"/>
    <s v="Kachin"/>
    <s v="Bhamo"/>
    <s v="Ta Gun Taing Monastery (Shwe Kyi Na)"/>
    <m/>
    <m/>
    <m/>
    <m/>
    <m/>
    <m/>
    <m/>
    <m/>
    <m/>
    <m/>
    <m/>
    <m/>
    <m/>
    <m/>
    <m/>
    <n v="10"/>
    <m/>
    <n v="0"/>
    <n v="0"/>
    <n v="0"/>
    <n v="0"/>
    <n v="0"/>
    <n v="0"/>
    <n v="0"/>
    <n v="0"/>
    <n v="0"/>
    <n v="0"/>
    <n v="0"/>
    <n v="0"/>
    <n v="0"/>
    <n v="0"/>
    <x v="0"/>
    <n v="0"/>
    <n v="0"/>
    <n v="0"/>
    <s v="MMR001CMP055"/>
    <x v="0"/>
    <x v="0"/>
    <x v="4"/>
    <n v="0"/>
    <m/>
    <m/>
  </r>
  <r>
    <n v="12.233333333333333"/>
    <d v="2016-04-29T00:00:00"/>
    <x v="2"/>
    <s v="Solidarities"/>
    <s v="Kachin"/>
    <s v="Momauk"/>
    <s v="Edin"/>
    <m/>
    <m/>
    <m/>
    <m/>
    <m/>
    <m/>
    <m/>
    <m/>
    <m/>
    <m/>
    <m/>
    <m/>
    <m/>
    <m/>
    <m/>
    <n v="26"/>
    <m/>
    <n v="0"/>
    <n v="0"/>
    <n v="0"/>
    <n v="0"/>
    <n v="0"/>
    <n v="0"/>
    <n v="0"/>
    <n v="0"/>
    <n v="0"/>
    <n v="0"/>
    <n v="0"/>
    <n v="0"/>
    <n v="0"/>
    <n v="0"/>
    <x v="0"/>
    <n v="0"/>
    <n v="0"/>
    <n v="0"/>
    <s v=""/>
    <x v="2"/>
    <x v="1"/>
    <x v="2"/>
    <s v=""/>
    <m/>
    <m/>
  </r>
  <r>
    <n v="12.233333333333333"/>
    <d v="2016-04-29T00:00:00"/>
    <x v="2"/>
    <s v="Solidarities"/>
    <s v="Kachin"/>
    <s v="Momauk"/>
    <s v="Ni Thaw Ka Monestry"/>
    <m/>
    <m/>
    <m/>
    <m/>
    <m/>
    <m/>
    <m/>
    <m/>
    <m/>
    <m/>
    <m/>
    <m/>
    <m/>
    <m/>
    <m/>
    <n v="10"/>
    <m/>
    <n v="0"/>
    <n v="0"/>
    <n v="0"/>
    <n v="0"/>
    <n v="0"/>
    <n v="0"/>
    <n v="0"/>
    <n v="0"/>
    <n v="0"/>
    <n v="0"/>
    <n v="0"/>
    <n v="0"/>
    <n v="0"/>
    <n v="0"/>
    <x v="0"/>
    <n v="0"/>
    <n v="0"/>
    <n v="0"/>
    <s v="MMR001CMP059"/>
    <x v="0"/>
    <x v="2"/>
    <x v="4"/>
    <n v="0"/>
    <m/>
    <m/>
  </r>
  <r>
    <n v="12.833333333333334"/>
    <d v="2016-04-11T00:00:00"/>
    <x v="1"/>
    <s v="KBC"/>
    <s v="Shan_North"/>
    <s v="Namhkan"/>
    <s v="Mine Wee (Man Jan)"/>
    <m/>
    <m/>
    <m/>
    <n v="126"/>
    <m/>
    <n v="126"/>
    <n v="64"/>
    <m/>
    <m/>
    <n v="122"/>
    <m/>
    <m/>
    <m/>
    <m/>
    <n v="64"/>
    <m/>
    <m/>
    <n v="0"/>
    <n v="0"/>
    <n v="0"/>
    <n v="0"/>
    <n v="0"/>
    <n v="0"/>
    <n v="0"/>
    <n v="0"/>
    <n v="0"/>
    <n v="0"/>
    <n v="0"/>
    <n v="0"/>
    <n v="0"/>
    <n v="0"/>
    <x v="0"/>
    <n v="0"/>
    <n v="0"/>
    <n v="0"/>
    <s v=""/>
    <x v="2"/>
    <x v="1"/>
    <x v="2"/>
    <s v=""/>
    <m/>
    <m/>
  </r>
  <r>
    <n v="12.933333333333334"/>
    <d v="2016-04-08T00:00:00"/>
    <x v="1"/>
    <s v="KBC"/>
    <s v="Kachin"/>
    <s v="Bhamo"/>
    <s v="Lisu Boarding-House"/>
    <m/>
    <m/>
    <m/>
    <m/>
    <n v="10"/>
    <m/>
    <m/>
    <m/>
    <m/>
    <m/>
    <m/>
    <m/>
    <m/>
    <m/>
    <m/>
    <m/>
    <m/>
    <n v="0"/>
    <n v="0"/>
    <n v="0"/>
    <n v="0"/>
    <n v="0"/>
    <n v="0"/>
    <n v="0"/>
    <n v="0"/>
    <n v="0"/>
    <n v="0"/>
    <n v="0"/>
    <n v="0"/>
    <n v="0"/>
    <n v="0"/>
    <x v="0"/>
    <n v="0"/>
    <n v="0"/>
    <n v="0"/>
    <s v="MMR001CMP049"/>
    <x v="0"/>
    <x v="0"/>
    <x v="4"/>
    <n v="0"/>
    <m/>
    <m/>
  </r>
  <r>
    <n v="13.2"/>
    <d v="2016-03-31T00:00:00"/>
    <x v="1"/>
    <s v="Shalom"/>
    <s v="Kachin"/>
    <s v="Bhamo"/>
    <s v="Mu-yin Baptist Church"/>
    <m/>
    <m/>
    <m/>
    <m/>
    <n v="4"/>
    <m/>
    <m/>
    <m/>
    <m/>
    <m/>
    <m/>
    <m/>
    <m/>
    <m/>
    <m/>
    <m/>
    <m/>
    <n v="0"/>
    <n v="0"/>
    <n v="0"/>
    <n v="0"/>
    <n v="0"/>
    <n v="0"/>
    <n v="0"/>
    <n v="0"/>
    <n v="0"/>
    <n v="0"/>
    <n v="0"/>
    <n v="0"/>
    <n v="0"/>
    <n v="0"/>
    <x v="0"/>
    <n v="0"/>
    <n v="0"/>
    <n v="0"/>
    <s v="MMR001CMP051"/>
    <x v="0"/>
    <x v="0"/>
    <x v="4"/>
    <n v="0"/>
    <m/>
    <m/>
  </r>
  <r>
    <n v="13.666666666666666"/>
    <d v="2016-03-17T00:00:00"/>
    <x v="2"/>
    <s v="Solidarities"/>
    <s v="Kachin"/>
    <s v="Bhamo"/>
    <s v="Robert Church"/>
    <m/>
    <m/>
    <m/>
    <m/>
    <m/>
    <m/>
    <m/>
    <m/>
    <m/>
    <m/>
    <m/>
    <m/>
    <m/>
    <m/>
    <n v="1"/>
    <m/>
    <m/>
    <n v="0"/>
    <n v="0"/>
    <n v="0"/>
    <n v="0"/>
    <n v="0"/>
    <n v="0"/>
    <n v="0"/>
    <n v="0"/>
    <n v="0"/>
    <n v="0"/>
    <n v="0"/>
    <n v="0"/>
    <n v="0"/>
    <n v="0"/>
    <x v="0"/>
    <n v="0"/>
    <n v="0"/>
    <n v="0"/>
    <s v="MMR001CMP047"/>
    <x v="0"/>
    <x v="0"/>
    <x v="4"/>
    <n v="0"/>
    <m/>
    <m/>
  </r>
  <r>
    <n v="13.7"/>
    <d v="2016-03-16T00:00:00"/>
    <x v="2"/>
    <s v="Solidarities"/>
    <s v="Kachin"/>
    <s v="Bhamo"/>
    <s v="Phan Khar Kone"/>
    <m/>
    <m/>
    <m/>
    <m/>
    <m/>
    <m/>
    <m/>
    <m/>
    <m/>
    <m/>
    <m/>
    <m/>
    <m/>
    <m/>
    <n v="4"/>
    <m/>
    <m/>
    <n v="0"/>
    <n v="0"/>
    <n v="0"/>
    <n v="0"/>
    <n v="0"/>
    <n v="0"/>
    <n v="0"/>
    <n v="0"/>
    <n v="0"/>
    <n v="0"/>
    <n v="0"/>
    <n v="0"/>
    <n v="0"/>
    <n v="0"/>
    <x v="0"/>
    <n v="0"/>
    <n v="0"/>
    <n v="0"/>
    <s v="MMR001CMP193"/>
    <x v="0"/>
    <x v="0"/>
    <x v="4"/>
    <n v="0"/>
    <m/>
    <m/>
  </r>
  <r>
    <n v="13.7"/>
    <d v="2016-03-16T00:00:00"/>
    <x v="2"/>
    <s v="Solidarities"/>
    <s v="Kachin"/>
    <s v="Momauk"/>
    <s v="Ni Thaw Ka Monestry"/>
    <m/>
    <m/>
    <m/>
    <m/>
    <m/>
    <m/>
    <m/>
    <m/>
    <m/>
    <m/>
    <m/>
    <m/>
    <m/>
    <m/>
    <n v="1"/>
    <m/>
    <m/>
    <n v="0"/>
    <n v="0"/>
    <n v="0"/>
    <n v="0"/>
    <n v="0"/>
    <n v="0"/>
    <n v="0"/>
    <n v="0"/>
    <n v="0"/>
    <n v="0"/>
    <n v="0"/>
    <n v="0"/>
    <n v="0"/>
    <n v="0"/>
    <x v="0"/>
    <n v="0"/>
    <n v="0"/>
    <n v="0"/>
    <s v="MMR001CMP059"/>
    <x v="0"/>
    <x v="2"/>
    <x v="4"/>
    <n v="0"/>
    <m/>
    <m/>
  </r>
  <r>
    <n v="13.966666666666667"/>
    <d v="2016-03-08T00:00:00"/>
    <x v="1"/>
    <s v="KMSS_LSO"/>
    <s v="Shan_North"/>
    <s v="Kutkai"/>
    <m/>
    <m/>
    <m/>
    <m/>
    <n v="600"/>
    <m/>
    <m/>
    <m/>
    <m/>
    <m/>
    <m/>
    <m/>
    <m/>
    <m/>
    <m/>
    <m/>
    <m/>
    <m/>
    <n v="0"/>
    <n v="0"/>
    <n v="0"/>
    <n v="0"/>
    <n v="0"/>
    <n v="0"/>
    <n v="0"/>
    <n v="0"/>
    <n v="0"/>
    <n v="0"/>
    <n v="0"/>
    <n v="0"/>
    <n v="0"/>
    <n v="0"/>
    <x v="0"/>
    <n v="0"/>
    <n v="0"/>
    <n v="0"/>
    <s v=""/>
    <x v="2"/>
    <x v="1"/>
    <x v="2"/>
    <s v=""/>
    <m/>
    <s v="For Kyauk Mae Areas. Mosquito 650 pcs transported to Shan but 600 pcs are distributed through RRD and KMSS-Lashio to 12 camp-like setting areas and 50 pcs are returned back to UNHCR Myitkyina warehouse. "/>
  </r>
  <r>
    <n v="14.233333333333333"/>
    <d v="2016-02-29T00:00:00"/>
    <x v="2"/>
    <s v="Solidarities"/>
    <s v="Kachin"/>
    <s v="Momauk"/>
    <s v="Edin"/>
    <m/>
    <m/>
    <m/>
    <m/>
    <m/>
    <m/>
    <m/>
    <m/>
    <m/>
    <m/>
    <m/>
    <m/>
    <m/>
    <m/>
    <m/>
    <m/>
    <m/>
    <n v="0"/>
    <n v="0"/>
    <n v="0"/>
    <n v="0"/>
    <n v="0"/>
    <n v="0"/>
    <n v="0"/>
    <n v="0"/>
    <n v="0"/>
    <n v="0"/>
    <n v="0"/>
    <n v="0"/>
    <n v="0"/>
    <n v="0"/>
    <x v="0"/>
    <n v="0"/>
    <n v="0"/>
    <n v="0"/>
    <s v=""/>
    <x v="2"/>
    <x v="1"/>
    <x v="2"/>
    <s v=""/>
    <m/>
    <m/>
  </r>
  <r>
    <n v="14.233333333333333"/>
    <d v="2016-02-29T00:00:00"/>
    <x v="2"/>
    <s v="Solidarities"/>
    <s v="Kachin"/>
    <s v="Momauk"/>
    <s v="Ni Thaw Ka Monestry"/>
    <m/>
    <m/>
    <m/>
    <m/>
    <m/>
    <m/>
    <m/>
    <m/>
    <m/>
    <m/>
    <m/>
    <m/>
    <m/>
    <m/>
    <m/>
    <m/>
    <m/>
    <n v="0"/>
    <n v="0"/>
    <n v="0"/>
    <n v="0"/>
    <n v="0"/>
    <n v="0"/>
    <n v="0"/>
    <n v="0"/>
    <n v="0"/>
    <n v="0"/>
    <n v="0"/>
    <n v="0"/>
    <n v="0"/>
    <n v="0"/>
    <x v="0"/>
    <n v="0"/>
    <n v="0"/>
    <n v="0"/>
    <s v="MMR001CMP059"/>
    <x v="0"/>
    <x v="2"/>
    <x v="4"/>
    <n v="0"/>
    <m/>
    <m/>
  </r>
  <r>
    <n v="14.266666666666667"/>
    <d v="2016-02-28T00:00:00"/>
    <x v="1"/>
    <s v="KBC"/>
    <s v="Kachin"/>
    <s v="Chipwi"/>
    <s v="Hpare Hkyer - BP6"/>
    <m/>
    <m/>
    <m/>
    <m/>
    <m/>
    <n v="345"/>
    <m/>
    <m/>
    <m/>
    <m/>
    <m/>
    <n v="765"/>
    <m/>
    <m/>
    <m/>
    <m/>
    <m/>
    <n v="0"/>
    <n v="0"/>
    <n v="0"/>
    <n v="0"/>
    <n v="0"/>
    <n v="0"/>
    <n v="0"/>
    <n v="0"/>
    <n v="0"/>
    <n v="0"/>
    <n v="0"/>
    <n v="0"/>
    <n v="0"/>
    <n v="0"/>
    <x v="1"/>
    <n v="0"/>
    <n v="0"/>
    <n v="0"/>
    <s v="MMR001CMP043"/>
    <x v="0"/>
    <x v="0"/>
    <x v="3"/>
    <n v="0"/>
    <m/>
    <m/>
  </r>
  <r>
    <n v="14.3"/>
    <d v="2016-02-27T00:00:00"/>
    <x v="1"/>
    <s v="KBC"/>
    <s v="Kachin"/>
    <s v="Waingmaw"/>
    <s v="Hpare Hkyer - BP6"/>
    <m/>
    <m/>
    <m/>
    <m/>
    <m/>
    <m/>
    <m/>
    <m/>
    <m/>
    <m/>
    <n v="380"/>
    <n v="380"/>
    <m/>
    <m/>
    <m/>
    <m/>
    <m/>
    <n v="0"/>
    <n v="0"/>
    <n v="0"/>
    <n v="0"/>
    <n v="0"/>
    <n v="0"/>
    <n v="0"/>
    <n v="0"/>
    <n v="0"/>
    <n v="0"/>
    <n v="0"/>
    <n v="0"/>
    <n v="0"/>
    <n v="0"/>
    <x v="1"/>
    <n v="0"/>
    <n v="0"/>
    <n v="0"/>
    <s v="MMR001CMP043"/>
    <x v="0"/>
    <x v="0"/>
    <x v="3"/>
    <n v="0"/>
    <m/>
    <s v="13/May/16 (Hpare camp received only winter clothes)_x000a_For Pajau camp and Hpare camp, items transported by UNHCR laiza mission team and further distributed by KBC -&gt; 365 pcs of blackets, Fleece jackets for female (M) = 300 pcs, Fleece jackets for  female (L) = 160 pcs, "/>
  </r>
  <r>
    <n v="14.3"/>
    <d v="2016-02-27T00:00:00"/>
    <x v="1"/>
    <s v="KBC"/>
    <s v="Kachin"/>
    <s v="Waingmaw"/>
    <s v="Pajau - Jan Mai"/>
    <m/>
    <m/>
    <m/>
    <m/>
    <m/>
    <m/>
    <m/>
    <m/>
    <m/>
    <m/>
    <n v="330"/>
    <n v="330"/>
    <m/>
    <n v="346"/>
    <m/>
    <m/>
    <m/>
    <n v="0"/>
    <n v="0"/>
    <n v="0"/>
    <n v="0"/>
    <n v="0"/>
    <n v="0"/>
    <n v="0"/>
    <n v="0"/>
    <n v="0"/>
    <n v="0"/>
    <n v="0"/>
    <n v="0"/>
    <n v="0"/>
    <n v="0"/>
    <x v="1"/>
    <n v="0"/>
    <n v="0"/>
    <n v="0"/>
    <s v="MMR001CMP120"/>
    <x v="0"/>
    <x v="0"/>
    <x v="3"/>
    <n v="0"/>
    <m/>
    <s v="Pajau camp received both winter itmes and blankets"/>
  </r>
  <r>
    <n v="14.3"/>
    <d v="2016-02-27T00:00:00"/>
    <x v="1"/>
    <s v="KBC"/>
    <s v="Kachin"/>
    <s v="Waingmaw"/>
    <s v="Pajau - Jan Mai"/>
    <m/>
    <m/>
    <m/>
    <m/>
    <m/>
    <n v="670"/>
    <m/>
    <m/>
    <n v="345"/>
    <m/>
    <m/>
    <m/>
    <m/>
    <m/>
    <m/>
    <m/>
    <m/>
    <n v="0"/>
    <n v="0"/>
    <n v="0"/>
    <n v="0"/>
    <n v="0"/>
    <n v="0"/>
    <n v="0"/>
    <n v="0"/>
    <n v="0"/>
    <n v="0"/>
    <n v="0"/>
    <n v="0"/>
    <n v="0"/>
    <n v="0"/>
    <x v="0"/>
    <n v="0"/>
    <n v="0"/>
    <n v="0"/>
    <s v="MMR001CMP120"/>
    <x v="0"/>
    <x v="0"/>
    <x v="3"/>
    <n v="0"/>
    <m/>
    <m/>
  </r>
  <r>
    <n v="14.333333333333334"/>
    <d v="2016-02-26T00:00:00"/>
    <x v="2"/>
    <s v="Solidarities"/>
    <s v="Kachin"/>
    <s v="Bhamo"/>
    <s v="AD-2000 Tharthana Compound"/>
    <m/>
    <m/>
    <m/>
    <m/>
    <m/>
    <m/>
    <m/>
    <m/>
    <m/>
    <m/>
    <m/>
    <m/>
    <m/>
    <m/>
    <m/>
    <m/>
    <m/>
    <n v="0"/>
    <n v="0"/>
    <n v="0"/>
    <n v="0"/>
    <n v="0"/>
    <n v="0"/>
    <n v="0"/>
    <n v="0"/>
    <n v="0"/>
    <n v="0"/>
    <n v="0"/>
    <n v="0"/>
    <n v="0"/>
    <n v="0"/>
    <x v="0"/>
    <n v="0"/>
    <n v="0"/>
    <n v="0"/>
    <s v="MMR001CMP050"/>
    <x v="0"/>
    <x v="0"/>
    <x v="4"/>
    <n v="0"/>
    <m/>
    <m/>
  </r>
  <r>
    <n v="14.333333333333334"/>
    <d v="2016-02-26T00:00:00"/>
    <x v="2"/>
    <s v="Solidarities"/>
    <s v="Kachin"/>
    <s v="Bhamo"/>
    <s v="Ta Gun Taing Monastery (Shwe Kyi Na)"/>
    <m/>
    <m/>
    <m/>
    <m/>
    <m/>
    <m/>
    <m/>
    <m/>
    <m/>
    <m/>
    <m/>
    <m/>
    <m/>
    <m/>
    <m/>
    <m/>
    <m/>
    <n v="0"/>
    <n v="0"/>
    <n v="0"/>
    <n v="0"/>
    <n v="0"/>
    <n v="0"/>
    <n v="0"/>
    <n v="0"/>
    <n v="0"/>
    <n v="0"/>
    <n v="0"/>
    <n v="0"/>
    <n v="0"/>
    <n v="0"/>
    <x v="0"/>
    <n v="0"/>
    <n v="0"/>
    <n v="0"/>
    <s v="MMR001CMP055"/>
    <x v="0"/>
    <x v="0"/>
    <x v="4"/>
    <n v="0"/>
    <m/>
    <m/>
  </r>
  <r>
    <n v="14.366666666666667"/>
    <d v="2016-02-25T00:00:00"/>
    <x v="2"/>
    <s v="Solidarities"/>
    <s v="Kachin"/>
    <s v="Bhamo"/>
    <s v="Phan Khar Kone"/>
    <m/>
    <m/>
    <m/>
    <m/>
    <m/>
    <m/>
    <m/>
    <m/>
    <m/>
    <m/>
    <m/>
    <m/>
    <m/>
    <m/>
    <m/>
    <m/>
    <m/>
    <n v="0"/>
    <n v="0"/>
    <n v="0"/>
    <n v="0"/>
    <n v="0"/>
    <n v="0"/>
    <n v="0"/>
    <n v="0"/>
    <n v="0"/>
    <n v="0"/>
    <n v="0"/>
    <n v="0"/>
    <n v="0"/>
    <n v="0"/>
    <x v="0"/>
    <n v="0"/>
    <n v="0"/>
    <n v="0"/>
    <s v="MMR001CMP193"/>
    <x v="0"/>
    <x v="0"/>
    <x v="4"/>
    <n v="0"/>
    <m/>
    <m/>
  </r>
  <r>
    <n v="14.366666666666667"/>
    <d v="2016-02-25T00:00:00"/>
    <x v="2"/>
    <s v="Solidarities"/>
    <s v="Kachin"/>
    <s v="Bhamo"/>
    <s v="Robert Church"/>
    <m/>
    <m/>
    <m/>
    <m/>
    <m/>
    <m/>
    <m/>
    <m/>
    <m/>
    <m/>
    <m/>
    <m/>
    <m/>
    <m/>
    <m/>
    <m/>
    <m/>
    <n v="0"/>
    <n v="0"/>
    <n v="0"/>
    <n v="0"/>
    <n v="0"/>
    <n v="0"/>
    <n v="0"/>
    <n v="0"/>
    <n v="0"/>
    <n v="0"/>
    <n v="0"/>
    <n v="0"/>
    <n v="0"/>
    <n v="0"/>
    <x v="0"/>
    <n v="0"/>
    <n v="0"/>
    <n v="0"/>
    <s v="MMR001CMP047"/>
    <x v="0"/>
    <x v="0"/>
    <x v="4"/>
    <n v="0"/>
    <m/>
    <m/>
  </r>
  <r>
    <n v="14.4"/>
    <d v="2016-02-24T00:00:00"/>
    <x v="2"/>
    <s v="KBC"/>
    <s v="Kachin"/>
    <s v="Momauk"/>
    <s v="Je Yang Hka "/>
    <m/>
    <m/>
    <m/>
    <m/>
    <m/>
    <m/>
    <m/>
    <m/>
    <m/>
    <m/>
    <m/>
    <m/>
    <m/>
    <m/>
    <m/>
    <m/>
    <m/>
    <n v="0"/>
    <n v="0"/>
    <n v="0"/>
    <n v="0"/>
    <n v="0"/>
    <n v="0"/>
    <n v="0"/>
    <n v="0"/>
    <n v="0"/>
    <n v="0"/>
    <n v="0"/>
    <n v="0"/>
    <n v="0"/>
    <n v="0"/>
    <x v="0"/>
    <n v="0"/>
    <n v="0"/>
    <n v="0"/>
    <s v="MMR001CMP121"/>
    <x v="0"/>
    <x v="0"/>
    <x v="5"/>
    <n v="0"/>
    <m/>
    <m/>
  </r>
  <r>
    <n v="14.433333333333334"/>
    <d v="2016-02-23T00:00:00"/>
    <x v="2"/>
    <s v="KBC"/>
    <s v="Kachin"/>
    <s v="Momauk"/>
    <s v="Je Yang Hka "/>
    <m/>
    <m/>
    <n v="1807"/>
    <m/>
    <m/>
    <m/>
    <m/>
    <m/>
    <m/>
    <m/>
    <m/>
    <m/>
    <m/>
    <m/>
    <m/>
    <m/>
    <m/>
    <n v="0"/>
    <n v="0"/>
    <n v="0"/>
    <n v="0"/>
    <n v="0"/>
    <n v="0"/>
    <n v="0"/>
    <n v="0"/>
    <n v="0"/>
    <n v="0"/>
    <n v="0"/>
    <n v="0"/>
    <n v="0"/>
    <n v="0"/>
    <x v="0"/>
    <n v="0"/>
    <n v="0"/>
    <n v="0"/>
    <s v="MMR001CMP121"/>
    <x v="0"/>
    <x v="0"/>
    <x v="5"/>
    <n v="0"/>
    <m/>
    <m/>
  </r>
  <r>
    <n v="14.466666666666667"/>
    <d v="2016-02-22T00:00:00"/>
    <x v="1"/>
    <s v="KBC"/>
    <s v="Shan_North"/>
    <s v="Kutkai"/>
    <m/>
    <m/>
    <m/>
    <m/>
    <m/>
    <m/>
    <m/>
    <m/>
    <m/>
    <m/>
    <m/>
    <m/>
    <m/>
    <m/>
    <m/>
    <m/>
    <m/>
    <n v="71"/>
    <n v="0"/>
    <n v="0"/>
    <n v="0"/>
    <n v="0"/>
    <n v="0"/>
    <n v="0"/>
    <n v="0"/>
    <n v="0"/>
    <n v="0"/>
    <n v="0"/>
    <n v="0"/>
    <n v="0"/>
    <n v="0"/>
    <n v="0"/>
    <x v="0"/>
    <n v="0"/>
    <n v="0"/>
    <n v="0"/>
    <s v=""/>
    <x v="2"/>
    <x v="1"/>
    <x v="2"/>
    <s v=""/>
    <m/>
    <s v="For Mang Wee villagers. 'KBC-Muse released family tents from their stock for this distribution"/>
  </r>
  <r>
    <n v="14.933333333333334"/>
    <d v="2016-02-08T00:00:00"/>
    <x v="2"/>
    <s v="Solidarities"/>
    <s v="Kachin"/>
    <s v="Momauk"/>
    <s v="Nyaung Na Pin "/>
    <m/>
    <m/>
    <n v="82"/>
    <m/>
    <m/>
    <m/>
    <m/>
    <m/>
    <m/>
    <m/>
    <m/>
    <m/>
    <m/>
    <m/>
    <m/>
    <m/>
    <m/>
    <n v="0"/>
    <n v="0"/>
    <n v="0"/>
    <n v="0"/>
    <n v="0"/>
    <n v="0"/>
    <n v="0"/>
    <n v="0"/>
    <n v="0"/>
    <n v="0"/>
    <n v="0"/>
    <n v="0"/>
    <n v="0"/>
    <n v="0"/>
    <x v="0"/>
    <n v="0"/>
    <n v="0"/>
    <n v="0"/>
    <s v="MMR001CMP072"/>
    <x v="0"/>
    <x v="0"/>
    <x v="0"/>
    <n v="0"/>
    <m/>
    <m/>
  </r>
  <r>
    <n v="14.933333333333334"/>
    <d v="2016-02-08T00:00:00"/>
    <x v="2"/>
    <s v="Solidarities"/>
    <s v="Kachin"/>
    <s v="Bhamo"/>
    <s v="Robert Church"/>
    <m/>
    <m/>
    <n v="996"/>
    <m/>
    <m/>
    <m/>
    <m/>
    <m/>
    <m/>
    <m/>
    <m/>
    <m/>
    <m/>
    <m/>
    <m/>
    <m/>
    <m/>
    <n v="0"/>
    <n v="0"/>
    <n v="0"/>
    <n v="0"/>
    <n v="0"/>
    <n v="0"/>
    <n v="0"/>
    <n v="0"/>
    <n v="0"/>
    <n v="0"/>
    <n v="0"/>
    <n v="0"/>
    <n v="0"/>
    <n v="0"/>
    <x v="0"/>
    <n v="0"/>
    <n v="0"/>
    <n v="0"/>
    <s v="MMR001CMP047"/>
    <x v="0"/>
    <x v="0"/>
    <x v="4"/>
    <n v="0"/>
    <m/>
    <m/>
  </r>
  <r>
    <n v="14.933333333333334"/>
    <d v="2016-02-08T00:00:00"/>
    <x v="2"/>
    <s v="Solidarities"/>
    <s v="Kachin"/>
    <s v="Momauk"/>
    <s v="Seng Ja "/>
    <m/>
    <m/>
    <n v="62"/>
    <m/>
    <m/>
    <m/>
    <m/>
    <m/>
    <m/>
    <m/>
    <m/>
    <m/>
    <m/>
    <m/>
    <m/>
    <m/>
    <m/>
    <n v="0"/>
    <n v="0"/>
    <n v="0"/>
    <n v="0"/>
    <n v="0"/>
    <n v="0"/>
    <n v="0"/>
    <n v="0"/>
    <n v="0"/>
    <n v="0"/>
    <n v="0"/>
    <n v="0"/>
    <n v="0"/>
    <n v="0"/>
    <x v="0"/>
    <n v="0"/>
    <n v="0"/>
    <n v="0"/>
    <s v="MMR001CMP073"/>
    <x v="0"/>
    <x v="0"/>
    <x v="0"/>
    <n v="0"/>
    <m/>
    <m/>
  </r>
  <r>
    <n v="15.033333333333333"/>
    <d v="2016-02-05T00:00:00"/>
    <x v="2"/>
    <s v="Solidarities"/>
    <s v="Kachin"/>
    <s v="Momauk"/>
    <s v="Loi Je Lisu Camp"/>
    <m/>
    <m/>
    <n v="258"/>
    <m/>
    <m/>
    <m/>
    <m/>
    <m/>
    <m/>
    <m/>
    <m/>
    <m/>
    <m/>
    <m/>
    <m/>
    <m/>
    <m/>
    <n v="0"/>
    <n v="0"/>
    <n v="0"/>
    <n v="0"/>
    <n v="0"/>
    <n v="0"/>
    <n v="0"/>
    <n v="0"/>
    <n v="0"/>
    <n v="0"/>
    <n v="0"/>
    <n v="0"/>
    <n v="0"/>
    <n v="0"/>
    <x v="0"/>
    <n v="0"/>
    <n v="0"/>
    <n v="0"/>
    <s v="MMR001CMP070"/>
    <x v="0"/>
    <x v="0"/>
    <x v="0"/>
    <n v="0"/>
    <m/>
    <m/>
  </r>
  <r>
    <n v="15.066666666666666"/>
    <d v="2016-02-04T00:00:00"/>
    <x v="2"/>
    <s v="Solidarities"/>
    <s v="Kachin"/>
    <s v="Momauk"/>
    <s v="Loi Je Baptist Church"/>
    <m/>
    <m/>
    <n v="55"/>
    <m/>
    <m/>
    <m/>
    <m/>
    <m/>
    <m/>
    <m/>
    <m/>
    <m/>
    <m/>
    <m/>
    <m/>
    <m/>
    <m/>
    <n v="0"/>
    <n v="0"/>
    <n v="0"/>
    <n v="0"/>
    <n v="0"/>
    <n v="0"/>
    <n v="0"/>
    <n v="0"/>
    <n v="0"/>
    <n v="0"/>
    <n v="0"/>
    <n v="0"/>
    <n v="0"/>
    <n v="0"/>
    <x v="0"/>
    <n v="0"/>
    <n v="0"/>
    <n v="0"/>
    <s v="MMR001CMP071"/>
    <x v="0"/>
    <x v="0"/>
    <x v="0"/>
    <n v="0"/>
    <m/>
    <m/>
  </r>
  <r>
    <n v="15.066666666666666"/>
    <d v="2016-02-04T00:00:00"/>
    <x v="2"/>
    <s v="Solidarities"/>
    <s v="Kachin"/>
    <s v="Momauk"/>
    <s v="Loi Je Baptist Church"/>
    <m/>
    <m/>
    <m/>
    <m/>
    <m/>
    <m/>
    <m/>
    <m/>
    <m/>
    <m/>
    <m/>
    <m/>
    <m/>
    <m/>
    <m/>
    <m/>
    <m/>
    <n v="0"/>
    <n v="0"/>
    <n v="0"/>
    <n v="0"/>
    <n v="0"/>
    <n v="0"/>
    <n v="0"/>
    <n v="0"/>
    <n v="0"/>
    <n v="0"/>
    <n v="0"/>
    <n v="0"/>
    <n v="0"/>
    <n v="0"/>
    <x v="0"/>
    <n v="0"/>
    <n v="0"/>
    <n v="0"/>
    <s v="MMR001CMP071"/>
    <x v="0"/>
    <x v="0"/>
    <x v="0"/>
    <n v="0"/>
    <m/>
    <m/>
  </r>
  <r>
    <n v="15.066666666666666"/>
    <d v="2016-02-04T00:00:00"/>
    <x v="2"/>
    <s v="Solidarities"/>
    <s v="Kachin"/>
    <s v="Momauk"/>
    <s v="Loi Je Catholic Church"/>
    <m/>
    <m/>
    <n v="71"/>
    <m/>
    <m/>
    <m/>
    <m/>
    <m/>
    <m/>
    <m/>
    <m/>
    <m/>
    <m/>
    <m/>
    <m/>
    <m/>
    <m/>
    <n v="0"/>
    <n v="0"/>
    <n v="0"/>
    <n v="0"/>
    <n v="0"/>
    <n v="0"/>
    <n v="0"/>
    <n v="0"/>
    <n v="0"/>
    <n v="0"/>
    <n v="0"/>
    <n v="0"/>
    <n v="0"/>
    <n v="0"/>
    <x v="0"/>
    <n v="0"/>
    <n v="0"/>
    <n v="0"/>
    <s v="MMR001CMP069"/>
    <x v="0"/>
    <x v="0"/>
    <x v="0"/>
    <n v="0"/>
    <m/>
    <m/>
  </r>
  <r>
    <n v="15.066666666666666"/>
    <d v="2016-02-04T00:00:00"/>
    <x v="2"/>
    <s v="Solidarities"/>
    <s v="Kachin"/>
    <s v="Bhamo"/>
    <s v="Ta Gun Taing Monastery (Shwe Kyi Na)"/>
    <m/>
    <m/>
    <n v="29"/>
    <m/>
    <m/>
    <m/>
    <m/>
    <m/>
    <m/>
    <m/>
    <m/>
    <m/>
    <m/>
    <m/>
    <m/>
    <m/>
    <m/>
    <n v="0"/>
    <n v="0"/>
    <n v="0"/>
    <n v="0"/>
    <n v="0"/>
    <n v="0"/>
    <n v="0"/>
    <n v="0"/>
    <n v="0"/>
    <n v="0"/>
    <n v="0"/>
    <n v="0"/>
    <n v="0"/>
    <n v="0"/>
    <x v="0"/>
    <n v="0"/>
    <n v="0"/>
    <n v="0"/>
    <s v="MMR001CMP055"/>
    <x v="0"/>
    <x v="0"/>
    <x v="4"/>
    <n v="0"/>
    <m/>
    <m/>
  </r>
  <r>
    <n v="15.066666666666666"/>
    <d v="2016-02-04T00:00:00"/>
    <x v="2"/>
    <s v="Solidarities"/>
    <s v="Kachin"/>
    <s v="Momauk"/>
    <s v="Edin"/>
    <m/>
    <m/>
    <n v="96"/>
    <m/>
    <m/>
    <m/>
    <m/>
    <m/>
    <m/>
    <m/>
    <m/>
    <m/>
    <m/>
    <m/>
    <m/>
    <m/>
    <m/>
    <n v="0"/>
    <n v="0"/>
    <n v="0"/>
    <n v="0"/>
    <n v="0"/>
    <n v="0"/>
    <n v="0"/>
    <n v="0"/>
    <n v="0"/>
    <n v="0"/>
    <n v="0"/>
    <n v="0"/>
    <n v="0"/>
    <n v="0"/>
    <x v="0"/>
    <n v="0"/>
    <n v="0"/>
    <n v="0"/>
    <s v=""/>
    <x v="2"/>
    <x v="1"/>
    <x v="2"/>
    <s v=""/>
    <m/>
    <m/>
  </r>
  <r>
    <n v="15.066666666666666"/>
    <d v="2016-02-04T00:00:00"/>
    <x v="2"/>
    <s v="Solidarities"/>
    <s v="Kachin"/>
    <s v="Momauk"/>
    <s v="Ni Thaw Ka Monestry"/>
    <m/>
    <m/>
    <n v="33"/>
    <m/>
    <m/>
    <m/>
    <m/>
    <m/>
    <m/>
    <m/>
    <m/>
    <m/>
    <m/>
    <m/>
    <m/>
    <m/>
    <m/>
    <n v="0"/>
    <n v="0"/>
    <n v="0"/>
    <n v="0"/>
    <n v="0"/>
    <n v="0"/>
    <n v="0"/>
    <n v="0"/>
    <n v="0"/>
    <n v="0"/>
    <n v="0"/>
    <n v="0"/>
    <n v="0"/>
    <n v="0"/>
    <x v="0"/>
    <n v="0"/>
    <n v="0"/>
    <n v="0"/>
    <s v="MMR001CMP059"/>
    <x v="0"/>
    <x v="2"/>
    <x v="4"/>
    <n v="0"/>
    <m/>
    <m/>
  </r>
  <r>
    <n v="15.133333333333333"/>
    <d v="2016-02-02T00:00:00"/>
    <x v="2"/>
    <s v="Solidarities"/>
    <s v="Kachin"/>
    <s v="Bhamo"/>
    <s v="AD-2000 Tharthana Compound"/>
    <m/>
    <m/>
    <n v="310"/>
    <m/>
    <m/>
    <m/>
    <m/>
    <m/>
    <m/>
    <m/>
    <m/>
    <m/>
    <m/>
    <m/>
    <m/>
    <m/>
    <m/>
    <n v="0"/>
    <n v="0"/>
    <n v="0"/>
    <n v="0"/>
    <n v="0"/>
    <n v="0"/>
    <n v="0"/>
    <n v="0"/>
    <n v="0"/>
    <n v="0"/>
    <n v="0"/>
    <n v="0"/>
    <n v="0"/>
    <n v="0"/>
    <x v="0"/>
    <n v="0"/>
    <n v="0"/>
    <n v="0"/>
    <s v="MMR001CMP050"/>
    <x v="0"/>
    <x v="0"/>
    <x v="4"/>
    <n v="0"/>
    <m/>
    <m/>
  </r>
  <r>
    <n v="15.133333333333333"/>
    <d v="2016-02-02T00:00:00"/>
    <x v="2"/>
    <s v="Solidarities"/>
    <s v="Kachin"/>
    <s v="Bhamo"/>
    <s v="Phan Khar Kone"/>
    <m/>
    <m/>
    <n v="204"/>
    <m/>
    <m/>
    <m/>
    <m/>
    <m/>
    <m/>
    <m/>
    <m/>
    <m/>
    <m/>
    <m/>
    <m/>
    <m/>
    <m/>
    <n v="0"/>
    <n v="0"/>
    <n v="0"/>
    <n v="0"/>
    <n v="0"/>
    <n v="0"/>
    <n v="0"/>
    <n v="0"/>
    <n v="0"/>
    <n v="0"/>
    <n v="0"/>
    <n v="0"/>
    <n v="0"/>
    <n v="0"/>
    <x v="0"/>
    <n v="0"/>
    <n v="0"/>
    <n v="0"/>
    <s v="MMR001CMP193"/>
    <x v="0"/>
    <x v="0"/>
    <x v="4"/>
    <n v="0"/>
    <m/>
    <m/>
  </r>
  <r>
    <n v="15.266666666666667"/>
    <d v="2016-01-29T00:00:00"/>
    <x v="2"/>
    <s v="Solidarities"/>
    <s v="Kachin"/>
    <s v="Momauk"/>
    <s v="Loi Je Baptist Church"/>
    <m/>
    <m/>
    <m/>
    <m/>
    <m/>
    <m/>
    <m/>
    <m/>
    <m/>
    <m/>
    <m/>
    <m/>
    <m/>
    <m/>
    <n v="2"/>
    <m/>
    <m/>
    <n v="0"/>
    <n v="0"/>
    <n v="0"/>
    <n v="0"/>
    <n v="0"/>
    <n v="0"/>
    <n v="0"/>
    <n v="0"/>
    <n v="0"/>
    <n v="0"/>
    <n v="0"/>
    <n v="0"/>
    <n v="0"/>
    <n v="0"/>
    <x v="0"/>
    <n v="0"/>
    <n v="0"/>
    <n v="0"/>
    <s v="MMR001CMP071"/>
    <x v="0"/>
    <x v="0"/>
    <x v="0"/>
    <n v="0"/>
    <m/>
    <m/>
  </r>
  <r>
    <n v="15.266666666666667"/>
    <d v="2016-01-29T00:00:00"/>
    <x v="2"/>
    <s v="Solidarities"/>
    <s v="Kachin"/>
    <s v="Momauk"/>
    <s v="Loi Je Lisu Camp"/>
    <m/>
    <m/>
    <m/>
    <m/>
    <m/>
    <m/>
    <m/>
    <m/>
    <m/>
    <m/>
    <m/>
    <m/>
    <m/>
    <m/>
    <n v="3"/>
    <m/>
    <m/>
    <n v="0"/>
    <n v="0"/>
    <n v="0"/>
    <n v="0"/>
    <n v="0"/>
    <n v="0"/>
    <n v="0"/>
    <n v="0"/>
    <n v="0"/>
    <n v="0"/>
    <n v="0"/>
    <n v="0"/>
    <n v="0"/>
    <n v="0"/>
    <x v="0"/>
    <n v="0"/>
    <n v="0"/>
    <n v="0"/>
    <s v="MMR001CMP070"/>
    <x v="0"/>
    <x v="0"/>
    <x v="0"/>
    <n v="0"/>
    <m/>
    <m/>
  </r>
  <r>
    <n v="15.266666666666667"/>
    <d v="2016-01-29T00:00:00"/>
    <x v="2"/>
    <s v="Solidarities"/>
    <s v="Kachin"/>
    <s v="Momauk"/>
    <s v="Seng Ja "/>
    <m/>
    <m/>
    <m/>
    <m/>
    <m/>
    <m/>
    <m/>
    <m/>
    <m/>
    <m/>
    <m/>
    <m/>
    <m/>
    <m/>
    <n v="3"/>
    <m/>
    <m/>
    <n v="0"/>
    <n v="0"/>
    <n v="0"/>
    <n v="0"/>
    <n v="0"/>
    <n v="0"/>
    <n v="0"/>
    <n v="0"/>
    <n v="0"/>
    <n v="0"/>
    <n v="0"/>
    <n v="0"/>
    <n v="0"/>
    <n v="0"/>
    <x v="0"/>
    <n v="0"/>
    <n v="0"/>
    <n v="0"/>
    <s v="MMR001CMP073"/>
    <x v="0"/>
    <x v="0"/>
    <x v="0"/>
    <n v="0"/>
    <m/>
    <m/>
  </r>
  <r>
    <n v="15.366666666666667"/>
    <d v="2016-01-26T00:00:00"/>
    <x v="2"/>
    <s v="Solidarities"/>
    <s v="Kachin"/>
    <s v="Bhamo"/>
    <s v="Robert Church"/>
    <m/>
    <m/>
    <m/>
    <m/>
    <m/>
    <m/>
    <m/>
    <m/>
    <m/>
    <m/>
    <m/>
    <m/>
    <m/>
    <m/>
    <n v="5"/>
    <m/>
    <m/>
    <n v="0"/>
    <n v="0"/>
    <n v="0"/>
    <n v="0"/>
    <n v="0"/>
    <n v="0"/>
    <n v="0"/>
    <n v="0"/>
    <n v="0"/>
    <n v="0"/>
    <n v="0"/>
    <n v="0"/>
    <n v="0"/>
    <n v="0"/>
    <x v="0"/>
    <n v="0"/>
    <n v="0"/>
    <n v="0"/>
    <s v="MMR001CMP047"/>
    <x v="0"/>
    <x v="0"/>
    <x v="4"/>
    <n v="0"/>
    <m/>
    <m/>
  </r>
  <r>
    <n v="15.5"/>
    <d v="2016-01-22T00:00:00"/>
    <x v="2"/>
    <s v="Solidarities"/>
    <s v="Kachin"/>
    <s v="Bhamo"/>
    <s v="Phan Khar Kone"/>
    <m/>
    <m/>
    <m/>
    <m/>
    <m/>
    <m/>
    <m/>
    <m/>
    <m/>
    <m/>
    <m/>
    <m/>
    <m/>
    <m/>
    <n v="4"/>
    <m/>
    <m/>
    <n v="0"/>
    <n v="0"/>
    <n v="0"/>
    <n v="0"/>
    <n v="0"/>
    <n v="0"/>
    <n v="0"/>
    <n v="0"/>
    <n v="0"/>
    <n v="0"/>
    <n v="0"/>
    <n v="0"/>
    <n v="0"/>
    <n v="0"/>
    <x v="0"/>
    <n v="0"/>
    <n v="0"/>
    <n v="0"/>
    <s v="MMR001CMP193"/>
    <x v="0"/>
    <x v="0"/>
    <x v="4"/>
    <n v="0"/>
    <m/>
    <m/>
  </r>
  <r>
    <n v="15.966666666666667"/>
    <d v="2016-01-08T00:00:00"/>
    <x v="1"/>
    <s v="KBC"/>
    <s v="Shan_North"/>
    <s v="Namtu"/>
    <s v="Nam Tu Baptist"/>
    <m/>
    <m/>
    <m/>
    <n v="35"/>
    <m/>
    <n v="35"/>
    <n v="18"/>
    <m/>
    <n v="18"/>
    <n v="82"/>
    <m/>
    <m/>
    <m/>
    <m/>
    <n v="18"/>
    <m/>
    <m/>
    <n v="0"/>
    <n v="0"/>
    <n v="0"/>
    <n v="0"/>
    <n v="0"/>
    <n v="0"/>
    <n v="0"/>
    <n v="0"/>
    <n v="0"/>
    <n v="0"/>
    <n v="0"/>
    <n v="0"/>
    <n v="0"/>
    <n v="0"/>
    <x v="0"/>
    <n v="0"/>
    <n v="0"/>
    <n v="0"/>
    <s v="MMR015CMP014"/>
    <x v="0"/>
    <x v="0"/>
    <x v="0"/>
    <n v="4.3902439024390245E-4"/>
    <m/>
    <m/>
  </r>
  <r>
    <n v="16.166666666666668"/>
    <d v="2016-01-02T00:00:00"/>
    <x v="1"/>
    <s v="KBC"/>
    <s v="Shan_North"/>
    <s v="Namhkan"/>
    <m/>
    <m/>
    <m/>
    <m/>
    <m/>
    <m/>
    <m/>
    <m/>
    <m/>
    <m/>
    <m/>
    <m/>
    <m/>
    <m/>
    <m/>
    <m/>
    <m/>
    <n v="37"/>
    <n v="0"/>
    <n v="0"/>
    <n v="0"/>
    <n v="0"/>
    <n v="0"/>
    <n v="0"/>
    <n v="0"/>
    <n v="0"/>
    <n v="0"/>
    <n v="0"/>
    <n v="0"/>
    <n v="0"/>
    <n v="0"/>
    <n v="0"/>
    <x v="0"/>
    <n v="0"/>
    <n v="0"/>
    <n v="0"/>
    <s v=""/>
    <x v="2"/>
    <x v="1"/>
    <x v="2"/>
    <s v=""/>
    <m/>
    <s v="Man Sa village"/>
  </r>
  <r>
    <n v="16.666666666666668"/>
    <d v="2015-12-18T00:00:00"/>
    <x v="2"/>
    <s v="Solidarities"/>
    <s v="Kachin"/>
    <s v="Bhamo"/>
    <s v="Phan Khar Kone"/>
    <m/>
    <m/>
    <m/>
    <m/>
    <m/>
    <m/>
    <m/>
    <m/>
    <m/>
    <m/>
    <m/>
    <m/>
    <m/>
    <m/>
    <m/>
    <n v="24"/>
    <m/>
    <n v="0"/>
    <n v="0"/>
    <n v="0"/>
    <n v="0"/>
    <n v="0"/>
    <n v="0"/>
    <n v="0"/>
    <n v="0"/>
    <n v="0"/>
    <n v="0"/>
    <n v="0"/>
    <n v="0"/>
    <n v="0"/>
    <n v="0"/>
    <x v="0"/>
    <n v="0"/>
    <n v="0"/>
    <n v="0"/>
    <s v="MMR001CMP193"/>
    <x v="0"/>
    <x v="0"/>
    <x v="4"/>
    <n v="0"/>
    <m/>
    <m/>
  </r>
  <r>
    <n v="16.666666666666668"/>
    <d v="2015-12-18T00:00:00"/>
    <x v="2"/>
    <s v="Solidarities"/>
    <s v="Kachin"/>
    <s v="Bhamo"/>
    <s v="Ta Gun Taing Monastery (Shwe Kyi Na)"/>
    <m/>
    <m/>
    <m/>
    <m/>
    <m/>
    <m/>
    <m/>
    <m/>
    <m/>
    <m/>
    <m/>
    <m/>
    <m/>
    <m/>
    <m/>
    <n v="5"/>
    <m/>
    <n v="0"/>
    <n v="0"/>
    <n v="0"/>
    <n v="0"/>
    <n v="0"/>
    <n v="0"/>
    <n v="0"/>
    <n v="0"/>
    <n v="0"/>
    <n v="0"/>
    <n v="0"/>
    <n v="0"/>
    <n v="0"/>
    <n v="0"/>
    <x v="0"/>
    <n v="0"/>
    <n v="0"/>
    <n v="0"/>
    <s v="MMR001CMP055"/>
    <x v="0"/>
    <x v="0"/>
    <x v="4"/>
    <n v="0"/>
    <m/>
    <m/>
  </r>
  <r>
    <n v="16.666666666666668"/>
    <d v="2015-12-18T00:00:00"/>
    <x v="2"/>
    <s v="Solidarities"/>
    <s v="Kachin"/>
    <s v="Momauk"/>
    <s v="Edin"/>
    <m/>
    <m/>
    <m/>
    <m/>
    <m/>
    <m/>
    <m/>
    <m/>
    <m/>
    <m/>
    <m/>
    <m/>
    <m/>
    <m/>
    <m/>
    <n v="13"/>
    <m/>
    <n v="0"/>
    <n v="0"/>
    <n v="0"/>
    <n v="0"/>
    <n v="0"/>
    <n v="0"/>
    <n v="0"/>
    <n v="0"/>
    <n v="0"/>
    <n v="0"/>
    <n v="0"/>
    <n v="0"/>
    <n v="0"/>
    <n v="0"/>
    <x v="0"/>
    <n v="0"/>
    <n v="0"/>
    <n v="0"/>
    <s v=""/>
    <x v="2"/>
    <x v="1"/>
    <x v="2"/>
    <s v=""/>
    <m/>
    <m/>
  </r>
  <r>
    <n v="16.666666666666668"/>
    <d v="2015-12-18T00:00:00"/>
    <x v="2"/>
    <s v="Solidarities"/>
    <s v="Kachin"/>
    <s v="Momauk"/>
    <s v="Ni Thaw Ka Monestry"/>
    <m/>
    <m/>
    <m/>
    <m/>
    <m/>
    <m/>
    <m/>
    <m/>
    <m/>
    <m/>
    <m/>
    <m/>
    <m/>
    <m/>
    <m/>
    <n v="5"/>
    <m/>
    <n v="0"/>
    <n v="0"/>
    <n v="0"/>
    <n v="0"/>
    <n v="0"/>
    <n v="0"/>
    <n v="0"/>
    <n v="0"/>
    <n v="0"/>
    <n v="0"/>
    <n v="0"/>
    <n v="0"/>
    <n v="0"/>
    <n v="0"/>
    <x v="0"/>
    <n v="0"/>
    <n v="0"/>
    <n v="0"/>
    <s v="MMR001CMP059"/>
    <x v="0"/>
    <x v="2"/>
    <x v="4"/>
    <n v="0"/>
    <m/>
    <m/>
  </r>
  <r>
    <n v="16.7"/>
    <d v="2015-12-17T00:00:00"/>
    <x v="2"/>
    <s v="Solidarities"/>
    <s v="Kachin"/>
    <s v="Bhamo"/>
    <s v="AD-2000 Tharthana Compound"/>
    <m/>
    <m/>
    <m/>
    <m/>
    <m/>
    <m/>
    <m/>
    <m/>
    <m/>
    <m/>
    <m/>
    <m/>
    <m/>
    <m/>
    <m/>
    <n v="38"/>
    <m/>
    <n v="0"/>
    <n v="0"/>
    <n v="0"/>
    <n v="0"/>
    <n v="0"/>
    <n v="0"/>
    <n v="0"/>
    <n v="0"/>
    <n v="0"/>
    <n v="0"/>
    <n v="0"/>
    <n v="0"/>
    <n v="0"/>
    <n v="0"/>
    <x v="0"/>
    <n v="0"/>
    <n v="0"/>
    <n v="0"/>
    <s v="MMR001CMP050"/>
    <x v="0"/>
    <x v="0"/>
    <x v="4"/>
    <n v="0"/>
    <m/>
    <m/>
  </r>
  <r>
    <n v="16.7"/>
    <d v="2015-12-17T00:00:00"/>
    <x v="2"/>
    <s v="Solidarities"/>
    <s v="Kachin"/>
    <s v="Bhamo"/>
    <s v="Robert Church"/>
    <m/>
    <m/>
    <m/>
    <m/>
    <m/>
    <m/>
    <m/>
    <m/>
    <m/>
    <m/>
    <m/>
    <m/>
    <m/>
    <m/>
    <m/>
    <n v="76"/>
    <m/>
    <n v="0"/>
    <n v="0"/>
    <n v="0"/>
    <n v="0"/>
    <n v="0"/>
    <n v="0"/>
    <n v="0"/>
    <n v="0"/>
    <n v="0"/>
    <n v="0"/>
    <n v="0"/>
    <n v="0"/>
    <n v="0"/>
    <n v="0"/>
    <x v="0"/>
    <n v="0"/>
    <n v="0"/>
    <n v="0"/>
    <s v="MMR001CMP047"/>
    <x v="0"/>
    <x v="0"/>
    <x v="4"/>
    <n v="0"/>
    <m/>
    <m/>
  </r>
  <r>
    <n v="16.766666666666666"/>
    <d v="2015-12-15T00:00:00"/>
    <x v="2"/>
    <s v="Solidarities"/>
    <s v="Kachin"/>
    <s v="Momauk"/>
    <s v="Loi Je Baptist Church"/>
    <m/>
    <m/>
    <m/>
    <m/>
    <m/>
    <m/>
    <m/>
    <m/>
    <m/>
    <m/>
    <m/>
    <m/>
    <m/>
    <m/>
    <m/>
    <n v="3"/>
    <m/>
    <n v="0"/>
    <n v="0"/>
    <n v="0"/>
    <n v="0"/>
    <n v="0"/>
    <n v="0"/>
    <n v="0"/>
    <n v="0"/>
    <n v="0"/>
    <n v="0"/>
    <n v="0"/>
    <n v="0"/>
    <n v="0"/>
    <n v="0"/>
    <x v="0"/>
    <n v="0"/>
    <n v="0"/>
    <n v="0"/>
    <s v="MMR001CMP071"/>
    <x v="0"/>
    <x v="0"/>
    <x v="0"/>
    <n v="0"/>
    <m/>
    <m/>
  </r>
  <r>
    <n v="16.766666666666666"/>
    <d v="2015-12-15T00:00:00"/>
    <x v="2"/>
    <s v="Solidarities"/>
    <s v="Kachin"/>
    <s v="Momauk"/>
    <s v="Loi Je Baptist Church"/>
    <m/>
    <m/>
    <m/>
    <m/>
    <m/>
    <m/>
    <m/>
    <m/>
    <m/>
    <m/>
    <m/>
    <m/>
    <m/>
    <m/>
    <m/>
    <m/>
    <m/>
    <n v="0"/>
    <n v="0"/>
    <n v="0"/>
    <n v="0"/>
    <n v="0"/>
    <n v="0"/>
    <n v="0"/>
    <n v="0"/>
    <n v="0"/>
    <n v="0"/>
    <n v="0"/>
    <n v="0"/>
    <n v="0"/>
    <n v="0"/>
    <x v="0"/>
    <n v="0"/>
    <n v="0"/>
    <n v="0"/>
    <s v="MMR001CMP071"/>
    <x v="0"/>
    <x v="0"/>
    <x v="0"/>
    <n v="0"/>
    <m/>
    <m/>
  </r>
  <r>
    <n v="16.766666666666666"/>
    <d v="2015-12-15T00:00:00"/>
    <x v="2"/>
    <s v="Solidarities"/>
    <s v="Kachin"/>
    <s v="Momauk"/>
    <s v="Loi Je Catholic Church"/>
    <m/>
    <m/>
    <m/>
    <m/>
    <m/>
    <m/>
    <m/>
    <m/>
    <m/>
    <m/>
    <m/>
    <m/>
    <m/>
    <m/>
    <m/>
    <n v="20"/>
    <m/>
    <n v="0"/>
    <n v="0"/>
    <n v="0"/>
    <n v="0"/>
    <n v="0"/>
    <n v="0"/>
    <n v="0"/>
    <n v="0"/>
    <n v="0"/>
    <n v="0"/>
    <n v="0"/>
    <n v="0"/>
    <n v="0"/>
    <n v="0"/>
    <x v="0"/>
    <n v="0"/>
    <n v="0"/>
    <n v="0"/>
    <s v="MMR001CMP069"/>
    <x v="0"/>
    <x v="0"/>
    <x v="0"/>
    <n v="0"/>
    <m/>
    <m/>
  </r>
  <r>
    <n v="16.766666666666666"/>
    <d v="2015-12-15T00:00:00"/>
    <x v="2"/>
    <s v="Solidarities"/>
    <s v="Kachin"/>
    <s v="Momauk"/>
    <s v="Loi Je Lisu Camp"/>
    <m/>
    <m/>
    <m/>
    <m/>
    <m/>
    <m/>
    <m/>
    <m/>
    <m/>
    <m/>
    <m/>
    <m/>
    <m/>
    <m/>
    <m/>
    <n v="14"/>
    <m/>
    <n v="0"/>
    <n v="0"/>
    <n v="0"/>
    <n v="0"/>
    <n v="0"/>
    <n v="0"/>
    <n v="0"/>
    <n v="0"/>
    <n v="0"/>
    <n v="0"/>
    <n v="0"/>
    <n v="0"/>
    <n v="0"/>
    <n v="0"/>
    <x v="0"/>
    <n v="0"/>
    <n v="0"/>
    <n v="0"/>
    <s v="MMR001CMP070"/>
    <x v="0"/>
    <x v="0"/>
    <x v="0"/>
    <n v="0"/>
    <m/>
    <m/>
  </r>
  <r>
    <n v="16.766666666666666"/>
    <d v="2015-12-15T00:00:00"/>
    <x v="1"/>
    <s v="KBC"/>
    <s v="Kachin"/>
    <s v="Myitkyina"/>
    <s v="Man Hkring Baptist Church"/>
    <m/>
    <m/>
    <m/>
    <n v="7"/>
    <n v="7"/>
    <m/>
    <n v="7"/>
    <m/>
    <n v="7"/>
    <n v="27"/>
    <m/>
    <m/>
    <m/>
    <n v="27"/>
    <n v="7"/>
    <m/>
    <m/>
    <n v="0"/>
    <n v="0"/>
    <n v="0"/>
    <n v="0"/>
    <n v="0"/>
    <n v="0"/>
    <n v="0"/>
    <n v="0"/>
    <n v="0"/>
    <n v="0"/>
    <n v="0"/>
    <n v="0"/>
    <n v="0"/>
    <n v="0"/>
    <x v="1"/>
    <n v="0"/>
    <n v="0"/>
    <n v="0"/>
    <s v="MMR001CMP008"/>
    <x v="0"/>
    <x v="0"/>
    <x v="4"/>
    <n v="1.7188459177409454E-4"/>
    <s v="No"/>
    <m/>
  </r>
  <r>
    <n v="16.766666666666666"/>
    <d v="2015-12-15T00:00:00"/>
    <x v="2"/>
    <s v="Solidarities"/>
    <s v="Kachin"/>
    <s v="Momauk"/>
    <s v="Nyaung Na Pin "/>
    <m/>
    <m/>
    <m/>
    <m/>
    <m/>
    <m/>
    <m/>
    <m/>
    <m/>
    <m/>
    <m/>
    <m/>
    <m/>
    <m/>
    <m/>
    <n v="5"/>
    <m/>
    <n v="0"/>
    <n v="0"/>
    <n v="0"/>
    <n v="0"/>
    <n v="0"/>
    <n v="0"/>
    <n v="0"/>
    <n v="0"/>
    <n v="0"/>
    <n v="0"/>
    <n v="0"/>
    <n v="0"/>
    <n v="0"/>
    <n v="0"/>
    <x v="0"/>
    <n v="0"/>
    <n v="0"/>
    <n v="0"/>
    <s v="MMR001CMP072"/>
    <x v="0"/>
    <x v="0"/>
    <x v="0"/>
    <n v="0"/>
    <m/>
    <m/>
  </r>
  <r>
    <n v="16.766666666666666"/>
    <d v="2015-12-15T00:00:00"/>
    <x v="2"/>
    <s v="Solidarities"/>
    <s v="Kachin"/>
    <s v="Momauk"/>
    <s v="Seng Ja "/>
    <m/>
    <m/>
    <m/>
    <m/>
    <m/>
    <m/>
    <m/>
    <m/>
    <m/>
    <m/>
    <m/>
    <m/>
    <m/>
    <m/>
    <m/>
    <n v="4"/>
    <m/>
    <n v="0"/>
    <n v="0"/>
    <n v="0"/>
    <n v="0"/>
    <n v="0"/>
    <n v="0"/>
    <n v="0"/>
    <n v="0"/>
    <n v="0"/>
    <n v="0"/>
    <n v="0"/>
    <n v="0"/>
    <n v="0"/>
    <n v="0"/>
    <x v="0"/>
    <n v="0"/>
    <n v="0"/>
    <n v="0"/>
    <s v="MMR001CMP073"/>
    <x v="0"/>
    <x v="0"/>
    <x v="0"/>
    <n v="0"/>
    <m/>
    <m/>
  </r>
  <r>
    <n v="16.8"/>
    <d v="2015-12-14T00:00:00"/>
    <x v="2"/>
    <s v="Solidarities"/>
    <s v="Kachin"/>
    <s v="Bhamo"/>
    <s v="Robert Church"/>
    <m/>
    <m/>
    <m/>
    <m/>
    <m/>
    <m/>
    <m/>
    <m/>
    <m/>
    <m/>
    <m/>
    <m/>
    <m/>
    <m/>
    <n v="2"/>
    <m/>
    <m/>
    <n v="0"/>
    <n v="0"/>
    <n v="0"/>
    <n v="0"/>
    <n v="0"/>
    <n v="0"/>
    <n v="0"/>
    <n v="0"/>
    <n v="0"/>
    <n v="0"/>
    <n v="0"/>
    <n v="0"/>
    <n v="0"/>
    <n v="0"/>
    <x v="0"/>
    <n v="0"/>
    <n v="0"/>
    <n v="0"/>
    <s v="MMR001CMP047"/>
    <x v="0"/>
    <x v="0"/>
    <x v="4"/>
    <n v="0"/>
    <m/>
    <m/>
  </r>
  <r>
    <n v="16.899999999999999"/>
    <d v="2015-12-11T00:00:00"/>
    <x v="1"/>
    <s v="Shalom"/>
    <s v="Kachin"/>
    <s v="Myitkyina"/>
    <s v="Tat Kone Emanuel Church"/>
    <m/>
    <m/>
    <m/>
    <m/>
    <m/>
    <m/>
    <m/>
    <m/>
    <m/>
    <m/>
    <m/>
    <m/>
    <m/>
    <n v="11"/>
    <m/>
    <m/>
    <m/>
    <n v="0"/>
    <n v="0"/>
    <n v="0"/>
    <n v="0"/>
    <n v="0"/>
    <n v="0"/>
    <n v="0"/>
    <n v="0"/>
    <n v="0"/>
    <n v="0"/>
    <n v="0"/>
    <n v="0"/>
    <n v="0"/>
    <n v="0"/>
    <x v="1"/>
    <n v="0"/>
    <n v="0"/>
    <n v="0"/>
    <s v="MMR001CMP004"/>
    <x v="0"/>
    <x v="0"/>
    <x v="4"/>
    <n v="0"/>
    <s v="No"/>
    <m/>
  </r>
  <r>
    <n v="17.133333333333333"/>
    <d v="2015-12-04T00:00:00"/>
    <x v="2"/>
    <s v="Solidarities"/>
    <s v="Kachin"/>
    <s v="Bhamo"/>
    <s v="Phan Khar Kone"/>
    <m/>
    <m/>
    <m/>
    <m/>
    <m/>
    <m/>
    <m/>
    <m/>
    <m/>
    <m/>
    <m/>
    <m/>
    <m/>
    <m/>
    <n v="5"/>
    <m/>
    <m/>
    <n v="0"/>
    <n v="0"/>
    <n v="0"/>
    <n v="0"/>
    <n v="0"/>
    <n v="0"/>
    <n v="0"/>
    <n v="0"/>
    <n v="0"/>
    <n v="0"/>
    <n v="0"/>
    <n v="0"/>
    <n v="0"/>
    <n v="0"/>
    <x v="0"/>
    <n v="0"/>
    <n v="0"/>
    <n v="0"/>
    <s v="MMR001CMP193"/>
    <x v="0"/>
    <x v="0"/>
    <x v="4"/>
    <n v="0"/>
    <m/>
    <m/>
  </r>
  <r>
    <n v="17.133333333333333"/>
    <d v="2015-12-04T00:00:00"/>
    <x v="2"/>
    <s v="Solidarities"/>
    <s v="Kachin"/>
    <s v="Momauk"/>
    <s v="Edin"/>
    <m/>
    <m/>
    <m/>
    <m/>
    <m/>
    <m/>
    <m/>
    <m/>
    <m/>
    <m/>
    <m/>
    <m/>
    <m/>
    <m/>
    <n v="1"/>
    <m/>
    <m/>
    <n v="0"/>
    <n v="0"/>
    <n v="0"/>
    <n v="0"/>
    <n v="0"/>
    <n v="0"/>
    <n v="0"/>
    <n v="0"/>
    <n v="0"/>
    <n v="0"/>
    <n v="0"/>
    <n v="0"/>
    <n v="0"/>
    <n v="0"/>
    <x v="0"/>
    <n v="0"/>
    <n v="0"/>
    <n v="0"/>
    <s v=""/>
    <x v="2"/>
    <x v="1"/>
    <x v="2"/>
    <s v=""/>
    <m/>
    <m/>
  </r>
  <r>
    <n v="17.233333333333334"/>
    <d v="2015-12-01T00:00:00"/>
    <x v="2"/>
    <s v="Solidarities"/>
    <s v="Kachin"/>
    <s v="Momauk"/>
    <s v="Loi Je B.E.H.S"/>
    <m/>
    <m/>
    <m/>
    <m/>
    <m/>
    <m/>
    <m/>
    <m/>
    <m/>
    <m/>
    <m/>
    <m/>
    <m/>
    <m/>
    <n v="44"/>
    <m/>
    <m/>
    <n v="0"/>
    <n v="0"/>
    <n v="0"/>
    <n v="0"/>
    <n v="0"/>
    <n v="0"/>
    <n v="0"/>
    <n v="0"/>
    <n v="0"/>
    <n v="0"/>
    <n v="0"/>
    <n v="0"/>
    <n v="0"/>
    <n v="0"/>
    <x v="0"/>
    <n v="0"/>
    <n v="0"/>
    <n v="0"/>
    <s v=""/>
    <x v="2"/>
    <x v="1"/>
    <x v="2"/>
    <s v=""/>
    <m/>
    <m/>
  </r>
  <r>
    <n v="17.366666666666667"/>
    <d v="2015-11-27T00:00:00"/>
    <x v="1"/>
    <s v="KBC"/>
    <s v="Kachin"/>
    <s v="Shwegu"/>
    <s v="Shwe Gu Baptist Church"/>
    <m/>
    <m/>
    <m/>
    <m/>
    <n v="9"/>
    <n v="23"/>
    <n v="10"/>
    <m/>
    <n v="8"/>
    <n v="24"/>
    <m/>
    <m/>
    <m/>
    <m/>
    <n v="6"/>
    <m/>
    <m/>
    <n v="0"/>
    <n v="0"/>
    <n v="0"/>
    <n v="0"/>
    <n v="0"/>
    <n v="0"/>
    <n v="0"/>
    <n v="0"/>
    <n v="0"/>
    <n v="0"/>
    <n v="0"/>
    <n v="0"/>
    <n v="0"/>
    <n v="0"/>
    <x v="0"/>
    <n v="0"/>
    <n v="0"/>
    <n v="0"/>
    <s v="MMR001CMP067"/>
    <x v="0"/>
    <x v="0"/>
    <x v="4"/>
    <n v="2.4554941682013506E-4"/>
    <s v="No"/>
    <m/>
  </r>
  <r>
    <n v="17.433333333333334"/>
    <d v="2015-11-25T00:00:00"/>
    <x v="1"/>
    <s v="KBC"/>
    <s v="Kachin"/>
    <s v="Shwegu"/>
    <s v="Shwe Gu Baptist Church"/>
    <m/>
    <m/>
    <m/>
    <m/>
    <n v="4"/>
    <n v="16"/>
    <n v="4"/>
    <m/>
    <n v="4"/>
    <n v="23"/>
    <m/>
    <m/>
    <m/>
    <m/>
    <n v="7"/>
    <m/>
    <m/>
    <n v="0"/>
    <n v="0"/>
    <n v="0"/>
    <n v="0"/>
    <n v="0"/>
    <n v="0"/>
    <n v="0"/>
    <n v="0"/>
    <n v="0"/>
    <n v="0"/>
    <n v="0"/>
    <n v="0"/>
    <n v="0"/>
    <n v="0"/>
    <x v="0"/>
    <n v="0"/>
    <n v="0"/>
    <n v="0"/>
    <s v="MMR001CMP067"/>
    <x v="0"/>
    <x v="0"/>
    <x v="4"/>
    <n v="9.8219766728054015E-5"/>
    <s v="No"/>
    <m/>
  </r>
  <r>
    <n v="17.433333333333334"/>
    <d v="2015-11-25T00:00:00"/>
    <x v="1"/>
    <s v="KBC"/>
    <s v="Kachin"/>
    <s v="Shwegu"/>
    <s v="Shwe Gu Catholic Church"/>
    <m/>
    <m/>
    <m/>
    <m/>
    <n v="4"/>
    <n v="12"/>
    <n v="3"/>
    <m/>
    <n v="4"/>
    <n v="14"/>
    <m/>
    <m/>
    <m/>
    <m/>
    <n v="4"/>
    <m/>
    <m/>
    <n v="0"/>
    <n v="0"/>
    <n v="0"/>
    <n v="0"/>
    <n v="0"/>
    <n v="0"/>
    <n v="0"/>
    <n v="0"/>
    <n v="0"/>
    <n v="0"/>
    <n v="0"/>
    <n v="0"/>
    <n v="0"/>
    <n v="0"/>
    <x v="0"/>
    <n v="0"/>
    <n v="0"/>
    <n v="0"/>
    <s v="MMR001CMP068"/>
    <x v="0"/>
    <x v="0"/>
    <x v="4"/>
    <n v="7.3664825046040511E-5"/>
    <s v="No"/>
    <m/>
  </r>
  <r>
    <n v="17.466666666666665"/>
    <d v="2015-11-24T00:00:00"/>
    <x v="1"/>
    <s v="KMSS"/>
    <s v="Kachin"/>
    <s v="Myitkyina"/>
    <s v="Pa Dauk Myaing(Pa La Na)"/>
    <m/>
    <m/>
    <m/>
    <m/>
    <m/>
    <m/>
    <m/>
    <m/>
    <m/>
    <m/>
    <m/>
    <m/>
    <m/>
    <n v="50"/>
    <m/>
    <m/>
    <m/>
    <n v="0"/>
    <n v="0"/>
    <n v="0"/>
    <n v="0"/>
    <n v="0"/>
    <n v="0"/>
    <n v="0"/>
    <n v="0"/>
    <n v="0"/>
    <n v="0"/>
    <n v="0"/>
    <n v="0"/>
    <n v="0"/>
    <n v="0"/>
    <x v="1"/>
    <n v="0"/>
    <n v="0"/>
    <n v="0"/>
    <s v="MMR001CMP162"/>
    <x v="0"/>
    <x v="0"/>
    <x v="4"/>
    <n v="0"/>
    <s v="No"/>
    <m/>
  </r>
  <r>
    <n v="18.2"/>
    <d v="2015-11-02T00:00:00"/>
    <x v="1"/>
    <s v="KBC"/>
    <s v="Kachin"/>
    <s v="Mansi"/>
    <s v="Mai hkawng Camp (RC +KBC)"/>
    <m/>
    <m/>
    <n v="223"/>
    <m/>
    <n v="30"/>
    <m/>
    <m/>
    <m/>
    <m/>
    <n v="337"/>
    <m/>
    <m/>
    <m/>
    <m/>
    <m/>
    <m/>
    <m/>
    <n v="0"/>
    <n v="0"/>
    <n v="0"/>
    <n v="0"/>
    <n v="0"/>
    <n v="0"/>
    <n v="0"/>
    <n v="0"/>
    <n v="0"/>
    <n v="0"/>
    <n v="0"/>
    <n v="0"/>
    <n v="0"/>
    <n v="0"/>
    <x v="0"/>
    <n v="0"/>
    <n v="0"/>
    <n v="0"/>
    <s v=""/>
    <x v="2"/>
    <x v="1"/>
    <x v="2"/>
    <s v=""/>
    <s v="No"/>
    <m/>
  </r>
  <r>
    <n v="19.266666666666666"/>
    <d v="2015-10-01T00:00:00"/>
    <x v="1"/>
    <s v="KBC"/>
    <s v="Kachin"/>
    <s v="Mansi"/>
    <s v="Mai hkawng Camp (RC +KBC)"/>
    <m/>
    <n v="77"/>
    <n v="232"/>
    <n v="200"/>
    <n v="89"/>
    <n v="200"/>
    <n v="119"/>
    <m/>
    <n v="119"/>
    <n v="345"/>
    <m/>
    <m/>
    <m/>
    <m/>
    <n v="119"/>
    <m/>
    <n v="45"/>
    <n v="0"/>
    <n v="0"/>
    <n v="0"/>
    <n v="0"/>
    <n v="0"/>
    <n v="0"/>
    <n v="0"/>
    <n v="0"/>
    <n v="0"/>
    <n v="0"/>
    <n v="0"/>
    <n v="0"/>
    <n v="0"/>
    <n v="0"/>
    <x v="0"/>
    <n v="0"/>
    <n v="0"/>
    <n v="0"/>
    <s v=""/>
    <x v="2"/>
    <x v="1"/>
    <x v="2"/>
    <s v=""/>
    <s v="No"/>
    <m/>
  </r>
  <r>
    <n v="19.566666666666666"/>
    <d v="2015-09-22T00:00:00"/>
    <x v="1"/>
    <s v="KBC"/>
    <s v="Kachin"/>
    <s v="Mansi"/>
    <s v="Mai hkawng Camp (RC +KBC)"/>
    <m/>
    <m/>
    <n v="145"/>
    <n v="132"/>
    <n v="66"/>
    <n v="132"/>
    <n v="66"/>
    <m/>
    <n v="66"/>
    <n v="243"/>
    <m/>
    <m/>
    <m/>
    <m/>
    <n v="66"/>
    <m/>
    <m/>
    <n v="0"/>
    <n v="0"/>
    <n v="0"/>
    <n v="0"/>
    <n v="0"/>
    <n v="0"/>
    <n v="0"/>
    <n v="0"/>
    <n v="0"/>
    <n v="0"/>
    <n v="0"/>
    <n v="0"/>
    <n v="0"/>
    <n v="0"/>
    <x v="0"/>
    <n v="0"/>
    <n v="0"/>
    <n v="0"/>
    <s v=""/>
    <x v="2"/>
    <x v="1"/>
    <x v="2"/>
    <s v=""/>
    <s v="No"/>
    <m/>
  </r>
  <r>
    <n v="19.600000000000001"/>
    <d v="2015-09-21T00:00:00"/>
    <x v="1"/>
    <s v="KMSS"/>
    <s v="Kachin"/>
    <s v="Waingmaw"/>
    <s v="Maina Catholic Church (St. Joseph)"/>
    <m/>
    <m/>
    <m/>
    <n v="41"/>
    <n v="16"/>
    <n v="41"/>
    <n v="16"/>
    <m/>
    <n v="16"/>
    <n v="80"/>
    <m/>
    <m/>
    <m/>
    <m/>
    <n v="16"/>
    <m/>
    <m/>
    <n v="0"/>
    <n v="0"/>
    <n v="0"/>
    <n v="0"/>
    <n v="0"/>
    <n v="0"/>
    <n v="0"/>
    <n v="0"/>
    <n v="0"/>
    <n v="0"/>
    <n v="0"/>
    <n v="0"/>
    <n v="0"/>
    <n v="0"/>
    <x v="0"/>
    <n v="0"/>
    <n v="0"/>
    <n v="0"/>
    <s v="MMR001CMP029"/>
    <x v="0"/>
    <x v="0"/>
    <x v="4"/>
    <n v="3.8623086950224499E-4"/>
    <s v="No"/>
    <m/>
  </r>
  <r>
    <n v="19.600000000000001"/>
    <d v="2015-09-21T00:00:00"/>
    <x v="1"/>
    <s v="KMSS-MKN"/>
    <s v="Kachin"/>
    <s v="Myitkyina"/>
    <m/>
    <m/>
    <m/>
    <m/>
    <m/>
    <m/>
    <m/>
    <m/>
    <m/>
    <m/>
    <m/>
    <m/>
    <m/>
    <m/>
    <m/>
    <m/>
    <m/>
    <m/>
    <n v="0"/>
    <n v="0"/>
    <n v="0"/>
    <n v="0"/>
    <n v="0"/>
    <n v="0"/>
    <n v="0"/>
    <n v="0"/>
    <n v="0"/>
    <n v="0"/>
    <n v="0"/>
    <n v="0"/>
    <n v="0"/>
    <n v="0"/>
    <x v="0"/>
    <n v="0"/>
    <n v="0"/>
    <n v="0"/>
    <s v=""/>
    <x v="2"/>
    <x v="1"/>
    <x v="2"/>
    <s v=""/>
    <s v="No"/>
    <m/>
  </r>
  <r>
    <n v="19.7"/>
    <d v="2015-09-18T00:00:00"/>
    <x v="1"/>
    <s v="KMSS"/>
    <s v="Kachin"/>
    <s v="Myitkyina"/>
    <s v="Pa Dauk Myaing(Pa La Na)"/>
    <m/>
    <n v="11"/>
    <n v="11"/>
    <n v="21"/>
    <n v="16"/>
    <n v="21"/>
    <n v="11"/>
    <m/>
    <n v="11"/>
    <n v="42"/>
    <m/>
    <m/>
    <m/>
    <m/>
    <n v="11"/>
    <m/>
    <n v="6"/>
    <n v="0"/>
    <n v="0"/>
    <n v="0"/>
    <n v="0"/>
    <n v="0"/>
    <n v="0"/>
    <n v="0"/>
    <n v="0"/>
    <n v="0"/>
    <n v="0"/>
    <n v="0"/>
    <n v="0"/>
    <n v="0"/>
    <n v="0"/>
    <x v="0"/>
    <n v="0"/>
    <n v="0"/>
    <n v="0"/>
    <s v="MMR001CMP162"/>
    <x v="0"/>
    <x v="0"/>
    <x v="4"/>
    <n v="2.667054601881486E-4"/>
    <s v="No"/>
    <m/>
  </r>
  <r>
    <n v="20.433333333333334"/>
    <d v="2015-08-27T00:00:00"/>
    <x v="1"/>
    <s v="KBC"/>
    <s v="Kachin"/>
    <s v="Myitkyina"/>
    <m/>
    <m/>
    <m/>
    <m/>
    <m/>
    <m/>
    <m/>
    <m/>
    <m/>
    <m/>
    <m/>
    <m/>
    <m/>
    <m/>
    <m/>
    <m/>
    <n v="10"/>
    <m/>
    <n v="0"/>
    <n v="0"/>
    <n v="0"/>
    <n v="0"/>
    <n v="0"/>
    <n v="0"/>
    <n v="0"/>
    <n v="0"/>
    <n v="0"/>
    <n v="0"/>
    <n v="0"/>
    <n v="0"/>
    <n v="0"/>
    <n v="0"/>
    <x v="0"/>
    <n v="0"/>
    <n v="0"/>
    <n v="0"/>
    <s v=""/>
    <x v="2"/>
    <x v="1"/>
    <x v="2"/>
    <s v=""/>
    <s v="No"/>
    <m/>
  </r>
  <r>
    <n v="20.433333333333334"/>
    <d v="2015-08-27T00:00:00"/>
    <x v="1"/>
    <s v="KMSS-MKN"/>
    <s v="Kachin"/>
    <s v="Myitkyina"/>
    <m/>
    <m/>
    <m/>
    <m/>
    <m/>
    <m/>
    <m/>
    <m/>
    <m/>
    <m/>
    <m/>
    <m/>
    <m/>
    <m/>
    <m/>
    <m/>
    <n v="7"/>
    <m/>
    <n v="0"/>
    <n v="0"/>
    <n v="0"/>
    <n v="0"/>
    <n v="0"/>
    <n v="0"/>
    <n v="0"/>
    <n v="0"/>
    <n v="0"/>
    <n v="0"/>
    <n v="0"/>
    <n v="0"/>
    <n v="0"/>
    <n v="0"/>
    <x v="0"/>
    <n v="0"/>
    <n v="0"/>
    <n v="0"/>
    <s v=""/>
    <x v="2"/>
    <x v="1"/>
    <x v="2"/>
    <s v=""/>
    <s v="No"/>
    <m/>
  </r>
  <r>
    <n v="20.433333333333334"/>
    <d v="2015-08-27T00:00:00"/>
    <x v="1"/>
    <s v="Shalom"/>
    <s v="Kachin"/>
    <s v="Myitkyina"/>
    <m/>
    <m/>
    <m/>
    <m/>
    <m/>
    <m/>
    <m/>
    <m/>
    <m/>
    <m/>
    <m/>
    <m/>
    <m/>
    <m/>
    <m/>
    <m/>
    <n v="8"/>
    <m/>
    <n v="0"/>
    <n v="0"/>
    <n v="0"/>
    <n v="0"/>
    <n v="0"/>
    <n v="0"/>
    <n v="0"/>
    <n v="0"/>
    <n v="0"/>
    <n v="0"/>
    <n v="0"/>
    <n v="0"/>
    <n v="0"/>
    <n v="0"/>
    <x v="0"/>
    <n v="0"/>
    <n v="0"/>
    <n v="0"/>
    <s v=""/>
    <x v="2"/>
    <x v="1"/>
    <x v="2"/>
    <s v=""/>
    <s v="No"/>
    <s v="Updated on 2/Dec/2015. Data source: mail by Win Aung Htun_x000a_Updated on 11/Nov/2015. Added jerry can data. Data source: mail by Win Aung Htun_x000a_Updated on 29/Sep/2015. _x000a_Data Source: Lu Lu Awng and Win Aung Tun"/>
  </r>
  <r>
    <n v="20.966666666666665"/>
    <d v="2015-08-11T00:00:00"/>
    <x v="1"/>
    <s v="KBC"/>
    <s v="Kachin"/>
    <s v="Mogaung"/>
    <s v="Kyun Taw Baptist Church "/>
    <m/>
    <m/>
    <m/>
    <n v="14"/>
    <n v="14"/>
    <m/>
    <m/>
    <m/>
    <m/>
    <m/>
    <m/>
    <m/>
    <m/>
    <m/>
    <m/>
    <m/>
    <m/>
    <n v="0"/>
    <n v="0"/>
    <n v="0"/>
    <n v="0"/>
    <n v="0"/>
    <n v="0"/>
    <n v="0"/>
    <n v="0"/>
    <n v="0"/>
    <n v="0"/>
    <n v="0"/>
    <n v="0"/>
    <n v="0"/>
    <n v="0"/>
    <x v="0"/>
    <n v="0"/>
    <n v="0"/>
    <n v="0"/>
    <s v="MMR001CMP078"/>
    <x v="0"/>
    <x v="0"/>
    <x v="4"/>
    <n v="0"/>
    <s v="No"/>
    <s v="Updated on 2/Dec/2015. Data source: mail by Win Aung Htun_x000a_Updated on 29/Sep/2015. _x000a_Data Source: Lu Lu Awng and Win Aung Tun"/>
  </r>
  <r>
    <n v="20.966666666666665"/>
    <d v="2015-08-11T00:00:00"/>
    <x v="1"/>
    <s v="Shalom"/>
    <s v="Kachin"/>
    <s v="Myitkyina"/>
    <s v="Tat Kone Emanuel Church"/>
    <m/>
    <m/>
    <m/>
    <n v="6"/>
    <n v="4"/>
    <n v="6"/>
    <n v="4"/>
    <m/>
    <n v="4"/>
    <n v="10"/>
    <m/>
    <m/>
    <m/>
    <m/>
    <n v="4"/>
    <m/>
    <m/>
    <n v="0"/>
    <n v="0"/>
    <n v="0"/>
    <n v="0"/>
    <n v="0"/>
    <n v="0"/>
    <n v="0"/>
    <n v="0"/>
    <n v="0"/>
    <n v="0"/>
    <n v="0"/>
    <n v="0"/>
    <n v="0"/>
    <n v="0"/>
    <x v="0"/>
    <n v="0"/>
    <n v="0"/>
    <n v="0"/>
    <s v="MMR001CMP004"/>
    <x v="0"/>
    <x v="0"/>
    <x v="4"/>
    <n v="9.814505839630975E-5"/>
    <s v="No"/>
    <m/>
  </r>
  <r>
    <n v="21.666666666666668"/>
    <d v="2015-07-21T00:00:00"/>
    <x v="1"/>
    <s v="KBC"/>
    <s v="Kachin"/>
    <s v="Sumprabum"/>
    <s v="Sumprabum"/>
    <m/>
    <m/>
    <m/>
    <m/>
    <n v="250"/>
    <m/>
    <m/>
    <m/>
    <m/>
    <m/>
    <m/>
    <m/>
    <m/>
    <m/>
    <m/>
    <m/>
    <m/>
    <n v="0"/>
    <n v="0"/>
    <n v="0"/>
    <n v="0"/>
    <n v="0"/>
    <n v="0"/>
    <n v="0"/>
    <n v="0"/>
    <n v="0"/>
    <n v="0"/>
    <n v="0"/>
    <n v="0"/>
    <n v="0"/>
    <n v="0"/>
    <x v="0"/>
    <n v="0"/>
    <n v="0"/>
    <n v="0"/>
    <s v="MMR001CMP206"/>
    <x v="0"/>
    <x v="0"/>
    <x v="4"/>
    <s v=""/>
    <s v="No"/>
    <s v="Updated on 2/Dec/2015. Data source: mail by Win Aung Htun_x000a_Updated on 11/Nov/2015. Added jerry can data. Data source: mail by Win Aung Htun_x000a_Updated on 29/Sep/2015. _x000a_Data Source: Lu Lu Awng and Win Aung Tun"/>
  </r>
  <r>
    <n v="22.366666666666667"/>
    <d v="2015-06-30T00:00:00"/>
    <x v="2"/>
    <s v="Solidarities"/>
    <s v="Kachin"/>
    <s v="Bhamo"/>
    <s v="AD-2000 Tharthana Compound"/>
    <m/>
    <m/>
    <m/>
    <m/>
    <m/>
    <m/>
    <m/>
    <m/>
    <m/>
    <m/>
    <m/>
    <m/>
    <m/>
    <m/>
    <n v="3"/>
    <m/>
    <m/>
    <n v="0"/>
    <n v="0"/>
    <n v="0"/>
    <n v="0"/>
    <n v="0"/>
    <n v="0"/>
    <n v="0"/>
    <n v="0"/>
    <n v="0"/>
    <n v="0"/>
    <n v="0"/>
    <n v="0"/>
    <n v="0"/>
    <n v="0"/>
    <x v="0"/>
    <n v="0"/>
    <n v="0"/>
    <n v="0"/>
    <s v="MMR001CMP050"/>
    <x v="0"/>
    <x v="0"/>
    <x v="4"/>
    <n v="0"/>
    <m/>
    <m/>
  </r>
  <r>
    <n v="22.366666666666667"/>
    <d v="2015-06-30T00:00:00"/>
    <x v="2"/>
    <s v="Solidarities"/>
    <s v="Kachin"/>
    <s v="Bhamo"/>
    <s v="Phan Khar Kone"/>
    <m/>
    <m/>
    <m/>
    <m/>
    <m/>
    <m/>
    <m/>
    <m/>
    <m/>
    <m/>
    <m/>
    <m/>
    <m/>
    <m/>
    <n v="5"/>
    <m/>
    <m/>
    <n v="0"/>
    <n v="0"/>
    <n v="0"/>
    <n v="0"/>
    <n v="0"/>
    <n v="0"/>
    <n v="0"/>
    <n v="0"/>
    <n v="0"/>
    <n v="0"/>
    <n v="0"/>
    <n v="0"/>
    <n v="0"/>
    <n v="0"/>
    <x v="0"/>
    <n v="0"/>
    <n v="0"/>
    <n v="0"/>
    <s v="MMR001CMP193"/>
    <x v="0"/>
    <x v="0"/>
    <x v="4"/>
    <n v="0"/>
    <m/>
    <m/>
  </r>
  <r>
    <n v="22.366666666666667"/>
    <d v="2015-06-30T00:00:00"/>
    <x v="2"/>
    <s v="Solidarities"/>
    <s v="Kachin"/>
    <s v="Momauk"/>
    <s v="Edin"/>
    <m/>
    <m/>
    <m/>
    <m/>
    <m/>
    <m/>
    <m/>
    <m/>
    <m/>
    <m/>
    <m/>
    <m/>
    <m/>
    <m/>
    <n v="2"/>
    <m/>
    <m/>
    <n v="0"/>
    <n v="0"/>
    <n v="0"/>
    <n v="0"/>
    <n v="0"/>
    <n v="0"/>
    <n v="0"/>
    <n v="0"/>
    <n v="0"/>
    <n v="0"/>
    <n v="0"/>
    <n v="0"/>
    <n v="0"/>
    <n v="0"/>
    <x v="0"/>
    <n v="0"/>
    <n v="0"/>
    <n v="0"/>
    <s v=""/>
    <x v="2"/>
    <x v="1"/>
    <x v="2"/>
    <s v=""/>
    <m/>
    <m/>
  </r>
  <r>
    <n v="22.366666666666667"/>
    <d v="2015-06-30T00:00:00"/>
    <x v="2"/>
    <s v="Solidarities"/>
    <s v="Kachin"/>
    <s v="Waingmaw"/>
    <s v="Laiza Market 3 - Laiza Gat"/>
    <m/>
    <m/>
    <n v="825"/>
    <m/>
    <m/>
    <m/>
    <m/>
    <m/>
    <m/>
    <m/>
    <m/>
    <m/>
    <m/>
    <m/>
    <m/>
    <m/>
    <m/>
    <n v="0"/>
    <n v="0"/>
    <n v="0"/>
    <n v="0"/>
    <n v="0"/>
    <n v="0"/>
    <n v="0"/>
    <n v="0"/>
    <n v="0"/>
    <n v="0"/>
    <n v="0"/>
    <n v="0"/>
    <n v="0"/>
    <n v="0"/>
    <x v="0"/>
    <n v="0"/>
    <n v="0"/>
    <n v="0"/>
    <s v="MMR001CMP117"/>
    <x v="0"/>
    <x v="2"/>
    <x v="5"/>
    <n v="0"/>
    <m/>
    <m/>
  </r>
  <r>
    <n v="22.4"/>
    <d v="2015-06-29T00:00:00"/>
    <x v="2"/>
    <s v="KBC"/>
    <s v="Kachin"/>
    <s v="Momauk"/>
    <s v="Je Yang Hka "/>
    <m/>
    <m/>
    <n v="2350"/>
    <m/>
    <m/>
    <m/>
    <m/>
    <m/>
    <m/>
    <m/>
    <m/>
    <m/>
    <m/>
    <m/>
    <m/>
    <m/>
    <m/>
    <n v="0"/>
    <n v="0"/>
    <n v="0"/>
    <n v="0"/>
    <n v="0"/>
    <n v="0"/>
    <n v="0"/>
    <n v="0"/>
    <n v="0"/>
    <n v="0"/>
    <n v="0"/>
    <n v="0"/>
    <n v="0"/>
    <n v="0"/>
    <x v="0"/>
    <n v="0"/>
    <n v="0"/>
    <n v="0"/>
    <s v="MMR001CMP121"/>
    <x v="0"/>
    <x v="0"/>
    <x v="5"/>
    <n v="0"/>
    <m/>
    <m/>
  </r>
  <r>
    <n v="23.233333333333334"/>
    <d v="2015-06-04T00:00:00"/>
    <x v="2"/>
    <s v="Solidarities"/>
    <s v="Kachin"/>
    <s v="Momauk"/>
    <s v="Loi Je Baptist Church"/>
    <m/>
    <m/>
    <n v="54"/>
    <m/>
    <m/>
    <m/>
    <m/>
    <m/>
    <m/>
    <m/>
    <m/>
    <m/>
    <m/>
    <m/>
    <m/>
    <m/>
    <m/>
    <n v="0"/>
    <n v="0"/>
    <n v="0"/>
    <n v="0"/>
    <n v="0"/>
    <n v="0"/>
    <n v="0"/>
    <n v="0"/>
    <n v="0"/>
    <n v="0"/>
    <n v="0"/>
    <n v="0"/>
    <n v="0"/>
    <n v="0"/>
    <x v="0"/>
    <n v="0"/>
    <n v="0"/>
    <n v="0"/>
    <s v="MMR001CMP071"/>
    <x v="0"/>
    <x v="0"/>
    <x v="0"/>
    <n v="0"/>
    <m/>
    <m/>
  </r>
  <r>
    <n v="23.233333333333334"/>
    <d v="2015-06-04T00:00:00"/>
    <x v="1"/>
    <s v="KBC"/>
    <s v="Kachin"/>
    <s v="Momauk"/>
    <s v="Loi Je Lisu Camp"/>
    <m/>
    <m/>
    <m/>
    <m/>
    <n v="88"/>
    <n v="27"/>
    <n v="9"/>
    <m/>
    <n v="9"/>
    <n v="48"/>
    <m/>
    <m/>
    <m/>
    <m/>
    <n v="9"/>
    <m/>
    <m/>
    <n v="0"/>
    <n v="0"/>
    <n v="0"/>
    <n v="0"/>
    <n v="0"/>
    <n v="0"/>
    <n v="0"/>
    <n v="0"/>
    <n v="0"/>
    <n v="0"/>
    <n v="0"/>
    <n v="0"/>
    <n v="0"/>
    <n v="0"/>
    <x v="0"/>
    <n v="0"/>
    <n v="0"/>
    <n v="0"/>
    <s v="MMR001CMP070"/>
    <x v="0"/>
    <x v="0"/>
    <x v="0"/>
    <n v="2.1951219512195122E-4"/>
    <s v="No"/>
    <m/>
  </r>
  <r>
    <n v="23.233333333333334"/>
    <d v="2015-06-04T00:00:00"/>
    <x v="1"/>
    <s v="KBC"/>
    <s v="Kachin"/>
    <s v="Momauk"/>
    <s v="Momauk Baptist Church"/>
    <m/>
    <m/>
    <m/>
    <m/>
    <n v="80"/>
    <m/>
    <m/>
    <m/>
    <m/>
    <m/>
    <m/>
    <m/>
    <m/>
    <m/>
    <m/>
    <m/>
    <m/>
    <n v="0"/>
    <n v="0"/>
    <n v="0"/>
    <n v="0"/>
    <n v="0"/>
    <n v="0"/>
    <n v="0"/>
    <n v="0"/>
    <n v="0"/>
    <n v="0"/>
    <n v="0"/>
    <n v="0"/>
    <n v="0"/>
    <n v="0"/>
    <x v="0"/>
    <n v="0"/>
    <n v="0"/>
    <n v="0"/>
    <s v="MMR001CMP056"/>
    <x v="0"/>
    <x v="0"/>
    <x v="4"/>
    <n v="0"/>
    <s v="No"/>
    <m/>
  </r>
  <r>
    <n v="23.233333333333334"/>
    <d v="2015-06-04T00:00:00"/>
    <x v="2"/>
    <s v="Solidarities"/>
    <s v="Kachin"/>
    <s v="Momauk"/>
    <s v="Nyaung Na Pin "/>
    <m/>
    <m/>
    <n v="87"/>
    <m/>
    <m/>
    <m/>
    <m/>
    <m/>
    <m/>
    <m/>
    <m/>
    <m/>
    <m/>
    <m/>
    <m/>
    <m/>
    <m/>
    <n v="0"/>
    <n v="0"/>
    <n v="0"/>
    <n v="0"/>
    <n v="0"/>
    <n v="0"/>
    <n v="0"/>
    <n v="0"/>
    <n v="0"/>
    <n v="0"/>
    <n v="0"/>
    <n v="0"/>
    <n v="0"/>
    <n v="0"/>
    <x v="0"/>
    <n v="0"/>
    <n v="0"/>
    <n v="0"/>
    <s v="MMR001CMP072"/>
    <x v="0"/>
    <x v="0"/>
    <x v="0"/>
    <n v="0"/>
    <m/>
    <m/>
  </r>
  <r>
    <n v="23.233333333333334"/>
    <d v="2015-06-04T00:00:00"/>
    <x v="1"/>
    <s v="KBC"/>
    <s v="Kachin"/>
    <s v="Bhamo"/>
    <s v="Phan Khar Kone"/>
    <m/>
    <m/>
    <m/>
    <m/>
    <n v="37"/>
    <m/>
    <m/>
    <m/>
    <m/>
    <m/>
    <m/>
    <m/>
    <m/>
    <m/>
    <m/>
    <m/>
    <m/>
    <n v="0"/>
    <n v="0"/>
    <n v="0"/>
    <n v="0"/>
    <n v="0"/>
    <n v="0"/>
    <n v="0"/>
    <n v="0"/>
    <n v="0"/>
    <n v="0"/>
    <n v="0"/>
    <n v="0"/>
    <n v="0"/>
    <n v="0"/>
    <x v="0"/>
    <n v="0"/>
    <n v="0"/>
    <n v="0"/>
    <s v="MMR001CMP193"/>
    <x v="0"/>
    <x v="0"/>
    <x v="4"/>
    <n v="0"/>
    <s v="No"/>
    <m/>
  </r>
  <r>
    <n v="23.233333333333334"/>
    <d v="2015-06-04T00:00:00"/>
    <x v="1"/>
    <s v="KBC"/>
    <s v="Kachin"/>
    <s v="Momauk"/>
    <s v="Seng Ja "/>
    <m/>
    <m/>
    <m/>
    <n v="18"/>
    <n v="35"/>
    <m/>
    <m/>
    <m/>
    <m/>
    <m/>
    <m/>
    <m/>
    <m/>
    <m/>
    <m/>
    <m/>
    <n v="8"/>
    <n v="0"/>
    <n v="0"/>
    <n v="0"/>
    <n v="0"/>
    <n v="0"/>
    <n v="0"/>
    <n v="0"/>
    <n v="0"/>
    <n v="0"/>
    <n v="0"/>
    <n v="0"/>
    <n v="0"/>
    <n v="0"/>
    <n v="0"/>
    <x v="0"/>
    <n v="0"/>
    <n v="0"/>
    <n v="0"/>
    <s v="MMR001CMP073"/>
    <x v="0"/>
    <x v="0"/>
    <x v="0"/>
    <n v="0"/>
    <s v="No"/>
    <m/>
  </r>
  <r>
    <n v="23.233333333333334"/>
    <d v="2015-06-04T00:00:00"/>
    <x v="2"/>
    <s v="Solidarities"/>
    <s v="Kachin"/>
    <s v="Momauk"/>
    <s v="Seng Ja "/>
    <m/>
    <m/>
    <n v="73"/>
    <m/>
    <m/>
    <m/>
    <m/>
    <m/>
    <m/>
    <m/>
    <m/>
    <m/>
    <m/>
    <m/>
    <m/>
    <m/>
    <m/>
    <n v="0"/>
    <n v="0"/>
    <n v="0"/>
    <n v="0"/>
    <n v="0"/>
    <n v="0"/>
    <n v="0"/>
    <n v="0"/>
    <n v="0"/>
    <n v="0"/>
    <n v="0"/>
    <n v="0"/>
    <n v="0"/>
    <n v="0"/>
    <x v="0"/>
    <n v="0"/>
    <n v="0"/>
    <n v="0"/>
    <s v="MMR001CMP073"/>
    <x v="0"/>
    <x v="0"/>
    <x v="0"/>
    <n v="0"/>
    <m/>
    <m/>
  </r>
  <r>
    <n v="23.266666666666666"/>
    <d v="2015-06-03T00:00:00"/>
    <x v="2"/>
    <s v="Solidarities"/>
    <s v="Kachin"/>
    <s v="Momauk"/>
    <s v="Loi Je Baptist Church"/>
    <m/>
    <m/>
    <m/>
    <m/>
    <m/>
    <m/>
    <m/>
    <m/>
    <m/>
    <m/>
    <m/>
    <m/>
    <m/>
    <m/>
    <m/>
    <m/>
    <m/>
    <n v="0"/>
    <n v="0"/>
    <n v="0"/>
    <n v="0"/>
    <n v="0"/>
    <n v="0"/>
    <n v="0"/>
    <n v="0"/>
    <n v="0"/>
    <n v="0"/>
    <n v="0"/>
    <n v="0"/>
    <n v="0"/>
    <n v="0"/>
    <x v="0"/>
    <n v="0"/>
    <n v="0"/>
    <n v="0"/>
    <s v="MMR001CMP071"/>
    <x v="0"/>
    <x v="0"/>
    <x v="0"/>
    <n v="0"/>
    <m/>
    <m/>
  </r>
  <r>
    <n v="23.266666666666666"/>
    <d v="2015-06-03T00:00:00"/>
    <x v="2"/>
    <s v="Solidarities"/>
    <s v="Kachin"/>
    <s v="Momauk"/>
    <s v="Loi Je Catholic Church"/>
    <m/>
    <m/>
    <n v="115"/>
    <m/>
    <m/>
    <m/>
    <m/>
    <m/>
    <m/>
    <m/>
    <m/>
    <m/>
    <m/>
    <m/>
    <m/>
    <m/>
    <m/>
    <n v="0"/>
    <n v="0"/>
    <n v="0"/>
    <n v="0"/>
    <n v="0"/>
    <n v="0"/>
    <n v="0"/>
    <n v="0"/>
    <n v="0"/>
    <n v="0"/>
    <n v="0"/>
    <n v="0"/>
    <n v="0"/>
    <n v="0"/>
    <x v="0"/>
    <n v="0"/>
    <n v="0"/>
    <n v="0"/>
    <s v="MMR001CMP069"/>
    <x v="0"/>
    <x v="0"/>
    <x v="0"/>
    <n v="0"/>
    <m/>
    <m/>
  </r>
  <r>
    <n v="23.266666666666666"/>
    <d v="2015-06-03T00:00:00"/>
    <x v="2"/>
    <s v="Solidarities"/>
    <s v="Kachin"/>
    <s v="Momauk"/>
    <s v="Loi Je Lisu Camp"/>
    <m/>
    <m/>
    <n v="270"/>
    <m/>
    <m/>
    <m/>
    <m/>
    <m/>
    <m/>
    <m/>
    <m/>
    <m/>
    <m/>
    <m/>
    <m/>
    <m/>
    <m/>
    <n v="0"/>
    <n v="0"/>
    <n v="0"/>
    <n v="0"/>
    <n v="0"/>
    <n v="0"/>
    <n v="0"/>
    <n v="0"/>
    <n v="0"/>
    <n v="0"/>
    <n v="0"/>
    <n v="0"/>
    <n v="0"/>
    <n v="0"/>
    <x v="0"/>
    <n v="0"/>
    <n v="0"/>
    <n v="0"/>
    <s v="MMR001CMP070"/>
    <x v="0"/>
    <x v="0"/>
    <x v="0"/>
    <n v="0"/>
    <m/>
    <m/>
  </r>
  <r>
    <n v="23.266666666666666"/>
    <d v="2015-06-03T00:00:00"/>
    <x v="1"/>
    <s v="KBC"/>
    <s v="Kachin"/>
    <s v="Mansi"/>
    <s v="Maing Khaung"/>
    <m/>
    <m/>
    <m/>
    <n v="6"/>
    <n v="12"/>
    <n v="24"/>
    <n v="3"/>
    <m/>
    <n v="3"/>
    <n v="9"/>
    <m/>
    <m/>
    <m/>
    <m/>
    <n v="3"/>
    <m/>
    <m/>
    <n v="0"/>
    <n v="0"/>
    <n v="0"/>
    <n v="0"/>
    <n v="0"/>
    <n v="0"/>
    <n v="0"/>
    <n v="0"/>
    <n v="0"/>
    <n v="0"/>
    <n v="0"/>
    <n v="0"/>
    <n v="0"/>
    <n v="0"/>
    <x v="0"/>
    <n v="0"/>
    <n v="0"/>
    <n v="0"/>
    <s v="MMR001CMP218"/>
    <x v="0"/>
    <x v="0"/>
    <x v="4"/>
    <n v="7.2205641667468946E-5"/>
    <s v="No"/>
    <m/>
  </r>
  <r>
    <n v="23.3"/>
    <d v="2015-06-02T00:00:00"/>
    <x v="2"/>
    <s v="Solidarities"/>
    <s v="Kachin"/>
    <s v="Bhamo"/>
    <s v="Robert Church"/>
    <m/>
    <m/>
    <n v="1048"/>
    <m/>
    <m/>
    <m/>
    <m/>
    <m/>
    <m/>
    <m/>
    <m/>
    <m/>
    <m/>
    <m/>
    <m/>
    <m/>
    <m/>
    <n v="0"/>
    <n v="0"/>
    <n v="0"/>
    <n v="0"/>
    <n v="0"/>
    <n v="0"/>
    <n v="0"/>
    <n v="0"/>
    <n v="0"/>
    <n v="0"/>
    <n v="0"/>
    <n v="0"/>
    <n v="0"/>
    <n v="0"/>
    <x v="0"/>
    <n v="0"/>
    <n v="0"/>
    <n v="0"/>
    <s v="MMR001CMP047"/>
    <x v="0"/>
    <x v="0"/>
    <x v="4"/>
    <n v="0"/>
    <m/>
    <m/>
  </r>
  <r>
    <n v="23.366666666666667"/>
    <d v="2015-05-31T00:00:00"/>
    <x v="2"/>
    <s v="Solidarities"/>
    <s v="Kachin"/>
    <s v="Momauk"/>
    <s v="Loi Je Baptist Church"/>
    <m/>
    <m/>
    <m/>
    <m/>
    <m/>
    <m/>
    <m/>
    <m/>
    <m/>
    <m/>
    <m/>
    <m/>
    <m/>
    <m/>
    <n v="2"/>
    <m/>
    <m/>
    <n v="0"/>
    <n v="0"/>
    <n v="0"/>
    <n v="0"/>
    <n v="0"/>
    <n v="0"/>
    <n v="0"/>
    <n v="0"/>
    <n v="0"/>
    <n v="0"/>
    <n v="0"/>
    <n v="0"/>
    <n v="0"/>
    <n v="0"/>
    <x v="0"/>
    <n v="0"/>
    <n v="0"/>
    <n v="0"/>
    <s v="MMR001CMP071"/>
    <x v="0"/>
    <x v="0"/>
    <x v="0"/>
    <n v="0"/>
    <m/>
    <m/>
  </r>
  <r>
    <n v="23.366666666666667"/>
    <d v="2015-05-31T00:00:00"/>
    <x v="2"/>
    <s v="Solidarities"/>
    <s v="Kachin"/>
    <s v="Momauk"/>
    <s v="Loi Je Lisu Camp"/>
    <m/>
    <m/>
    <m/>
    <m/>
    <m/>
    <m/>
    <m/>
    <m/>
    <m/>
    <m/>
    <m/>
    <m/>
    <m/>
    <m/>
    <n v="4"/>
    <m/>
    <m/>
    <n v="0"/>
    <n v="0"/>
    <n v="0"/>
    <n v="0"/>
    <n v="0"/>
    <n v="0"/>
    <n v="0"/>
    <n v="0"/>
    <n v="0"/>
    <n v="0"/>
    <n v="0"/>
    <n v="0"/>
    <n v="0"/>
    <n v="0"/>
    <x v="0"/>
    <n v="0"/>
    <n v="0"/>
    <n v="0"/>
    <s v="MMR001CMP070"/>
    <x v="0"/>
    <x v="0"/>
    <x v="0"/>
    <n v="0"/>
    <m/>
    <m/>
  </r>
  <r>
    <n v="23.366666666666667"/>
    <d v="2015-05-31T00:00:00"/>
    <x v="2"/>
    <s v="Solidarities"/>
    <s v="Kachin"/>
    <s v="Bhamo"/>
    <s v="Phan Khar Kone"/>
    <m/>
    <m/>
    <m/>
    <m/>
    <m/>
    <m/>
    <m/>
    <m/>
    <m/>
    <m/>
    <m/>
    <m/>
    <m/>
    <m/>
    <n v="6"/>
    <m/>
    <m/>
    <n v="0"/>
    <n v="0"/>
    <n v="0"/>
    <n v="0"/>
    <n v="0"/>
    <n v="0"/>
    <n v="0"/>
    <n v="0"/>
    <n v="0"/>
    <n v="0"/>
    <n v="0"/>
    <n v="0"/>
    <n v="0"/>
    <n v="0"/>
    <x v="0"/>
    <n v="0"/>
    <n v="0"/>
    <n v="0"/>
    <s v="MMR001CMP193"/>
    <x v="0"/>
    <x v="0"/>
    <x v="4"/>
    <n v="0"/>
    <m/>
    <m/>
  </r>
  <r>
    <n v="23.366666666666667"/>
    <d v="2015-05-31T00:00:00"/>
    <x v="2"/>
    <s v="Solidarities"/>
    <s v="Kachin"/>
    <s v="Momauk"/>
    <s v="Seng Ja "/>
    <m/>
    <m/>
    <m/>
    <m/>
    <m/>
    <m/>
    <m/>
    <m/>
    <m/>
    <m/>
    <m/>
    <m/>
    <m/>
    <m/>
    <n v="3"/>
    <m/>
    <m/>
    <n v="0"/>
    <n v="0"/>
    <n v="0"/>
    <n v="0"/>
    <n v="0"/>
    <n v="0"/>
    <n v="0"/>
    <n v="0"/>
    <n v="0"/>
    <n v="0"/>
    <n v="0"/>
    <n v="0"/>
    <n v="0"/>
    <n v="0"/>
    <x v="0"/>
    <n v="0"/>
    <n v="0"/>
    <n v="0"/>
    <s v="MMR001CMP073"/>
    <x v="0"/>
    <x v="0"/>
    <x v="0"/>
    <n v="0"/>
    <m/>
    <m/>
  </r>
  <r>
    <n v="23.366666666666667"/>
    <d v="2015-05-31T00:00:00"/>
    <x v="2"/>
    <s v="Solidarities"/>
    <s v="Kachin"/>
    <s v="Momauk"/>
    <s v="Ni Thaw Ka Monestry"/>
    <m/>
    <m/>
    <n v="34"/>
    <m/>
    <m/>
    <m/>
    <m/>
    <m/>
    <m/>
    <m/>
    <m/>
    <m/>
    <m/>
    <m/>
    <m/>
    <m/>
    <m/>
    <n v="0"/>
    <n v="0"/>
    <n v="0"/>
    <n v="0"/>
    <n v="0"/>
    <n v="0"/>
    <n v="0"/>
    <n v="0"/>
    <n v="0"/>
    <n v="0"/>
    <n v="0"/>
    <n v="0"/>
    <n v="0"/>
    <n v="0"/>
    <x v="0"/>
    <n v="0"/>
    <n v="0"/>
    <n v="0"/>
    <s v="MMR001CMP059"/>
    <x v="0"/>
    <x v="2"/>
    <x v="4"/>
    <n v="0"/>
    <m/>
    <m/>
  </r>
  <r>
    <n v="23.4"/>
    <d v="2015-05-30T00:00:00"/>
    <x v="2"/>
    <s v="Solidarities"/>
    <s v="Kachin"/>
    <s v="Bhamo"/>
    <s v="Robert Church"/>
    <m/>
    <m/>
    <m/>
    <m/>
    <m/>
    <m/>
    <m/>
    <m/>
    <m/>
    <m/>
    <m/>
    <m/>
    <m/>
    <m/>
    <n v="3"/>
    <m/>
    <m/>
    <n v="0"/>
    <n v="0"/>
    <n v="0"/>
    <n v="0"/>
    <n v="0"/>
    <n v="0"/>
    <n v="0"/>
    <n v="0"/>
    <n v="0"/>
    <n v="0"/>
    <n v="0"/>
    <n v="0"/>
    <n v="0"/>
    <n v="0"/>
    <x v="0"/>
    <n v="0"/>
    <n v="0"/>
    <n v="0"/>
    <s v="MMR001CMP047"/>
    <x v="0"/>
    <x v="0"/>
    <x v="4"/>
    <n v="0"/>
    <m/>
    <m/>
  </r>
  <r>
    <n v="23.433333333333334"/>
    <d v="2015-05-29T00:00:00"/>
    <x v="2"/>
    <s v="Solidarities"/>
    <s v="Kachin"/>
    <s v="Bhamo"/>
    <s v="Phan Khar Kone"/>
    <m/>
    <m/>
    <n v="258"/>
    <m/>
    <m/>
    <m/>
    <m/>
    <m/>
    <m/>
    <m/>
    <m/>
    <m/>
    <m/>
    <m/>
    <m/>
    <m/>
    <m/>
    <n v="0"/>
    <n v="0"/>
    <n v="0"/>
    <n v="0"/>
    <n v="0"/>
    <n v="0"/>
    <n v="0"/>
    <n v="0"/>
    <n v="0"/>
    <n v="0"/>
    <n v="0"/>
    <n v="0"/>
    <n v="0"/>
    <n v="0"/>
    <x v="0"/>
    <n v="0"/>
    <n v="0"/>
    <n v="0"/>
    <s v="MMR001CMP193"/>
    <x v="0"/>
    <x v="0"/>
    <x v="4"/>
    <n v="0"/>
    <m/>
    <m/>
  </r>
  <r>
    <n v="23.433333333333334"/>
    <d v="2015-05-29T00:00:00"/>
    <x v="2"/>
    <s v="Solidarities"/>
    <s v="Kachin"/>
    <s v="Momauk"/>
    <s v="Edin"/>
    <m/>
    <m/>
    <n v="103"/>
    <m/>
    <m/>
    <m/>
    <m/>
    <m/>
    <m/>
    <m/>
    <m/>
    <m/>
    <m/>
    <m/>
    <m/>
    <m/>
    <m/>
    <n v="0"/>
    <n v="0"/>
    <n v="0"/>
    <n v="0"/>
    <n v="0"/>
    <n v="0"/>
    <n v="0"/>
    <n v="0"/>
    <n v="0"/>
    <n v="0"/>
    <n v="0"/>
    <n v="0"/>
    <n v="0"/>
    <n v="0"/>
    <x v="0"/>
    <n v="0"/>
    <n v="0"/>
    <n v="0"/>
    <s v=""/>
    <x v="2"/>
    <x v="1"/>
    <x v="2"/>
    <s v=""/>
    <m/>
    <m/>
  </r>
  <r>
    <n v="23.466666666666665"/>
    <d v="2015-05-28T00:00:00"/>
    <x v="2"/>
    <s v="Solidarities"/>
    <s v="Kachin"/>
    <s v="Bhamo"/>
    <s v="Ta Gun Taing Monastery (Shwe Kyi Na)"/>
    <m/>
    <m/>
    <n v="36"/>
    <m/>
    <m/>
    <m/>
    <m/>
    <m/>
    <m/>
    <m/>
    <m/>
    <m/>
    <m/>
    <m/>
    <m/>
    <m/>
    <m/>
    <n v="0"/>
    <n v="0"/>
    <n v="0"/>
    <n v="0"/>
    <n v="0"/>
    <n v="0"/>
    <n v="0"/>
    <n v="0"/>
    <n v="0"/>
    <n v="0"/>
    <n v="0"/>
    <n v="0"/>
    <n v="0"/>
    <n v="0"/>
    <x v="0"/>
    <n v="0"/>
    <n v="0"/>
    <n v="0"/>
    <s v="MMR001CMP055"/>
    <x v="0"/>
    <x v="0"/>
    <x v="4"/>
    <n v="0"/>
    <m/>
    <m/>
  </r>
  <r>
    <n v="23.5"/>
    <d v="2015-05-27T00:00:00"/>
    <x v="2"/>
    <s v="Solidarities"/>
    <s v="Kachin"/>
    <s v="Bhamo"/>
    <s v="AD-2000 Tharthana Compound"/>
    <m/>
    <m/>
    <n v="424"/>
    <m/>
    <m/>
    <m/>
    <m/>
    <m/>
    <m/>
    <m/>
    <m/>
    <m/>
    <m/>
    <m/>
    <m/>
    <m/>
    <m/>
    <n v="0"/>
    <n v="0"/>
    <n v="0"/>
    <n v="0"/>
    <n v="0"/>
    <n v="0"/>
    <n v="0"/>
    <n v="0"/>
    <n v="0"/>
    <n v="0"/>
    <n v="0"/>
    <n v="0"/>
    <n v="0"/>
    <n v="0"/>
    <x v="0"/>
    <n v="0"/>
    <n v="0"/>
    <n v="0"/>
    <s v="MMR001CMP050"/>
    <x v="0"/>
    <x v="0"/>
    <x v="4"/>
    <n v="0"/>
    <m/>
    <m/>
  </r>
  <r>
    <n v="23.966666666666665"/>
    <d v="2015-05-13T00:00:00"/>
    <x v="1"/>
    <s v="KMSS-BMO"/>
    <s v="Kachin"/>
    <s v="Momauk"/>
    <s v="Man Bung Catholic compound"/>
    <m/>
    <m/>
    <m/>
    <m/>
    <m/>
    <n v="28"/>
    <m/>
    <m/>
    <m/>
    <m/>
    <m/>
    <m/>
    <m/>
    <m/>
    <m/>
    <m/>
    <m/>
    <n v="0"/>
    <n v="0"/>
    <n v="0"/>
    <n v="0"/>
    <n v="0"/>
    <n v="0"/>
    <n v="0"/>
    <n v="0"/>
    <n v="0"/>
    <n v="0"/>
    <n v="0"/>
    <n v="0"/>
    <n v="0"/>
    <n v="0"/>
    <x v="0"/>
    <n v="0"/>
    <n v="0"/>
    <n v="0"/>
    <s v="MMR001CMP062"/>
    <x v="0"/>
    <x v="0"/>
    <x v="4"/>
    <n v="0"/>
    <s v="No"/>
    <m/>
  </r>
  <r>
    <n v="24.6"/>
    <d v="2015-04-24T00:00:00"/>
    <x v="1"/>
    <s v="KBC"/>
    <s v="Kachin"/>
    <s v="Momauk"/>
    <s v="Loi Je Lisu Camp"/>
    <m/>
    <m/>
    <m/>
    <m/>
    <m/>
    <m/>
    <m/>
    <m/>
    <n v="9"/>
    <m/>
    <m/>
    <m/>
    <m/>
    <m/>
    <m/>
    <m/>
    <m/>
    <n v="0"/>
    <n v="0"/>
    <n v="0"/>
    <n v="0"/>
    <n v="0"/>
    <n v="0"/>
    <n v="0"/>
    <n v="0"/>
    <n v="0"/>
    <n v="0"/>
    <n v="0"/>
    <n v="0"/>
    <n v="0"/>
    <n v="0"/>
    <x v="0"/>
    <n v="0"/>
    <n v="0"/>
    <n v="0"/>
    <s v="MMR001CMP070"/>
    <x v="0"/>
    <x v="0"/>
    <x v="0"/>
    <n v="0"/>
    <s v="No"/>
    <m/>
  </r>
  <r>
    <n v="24.6"/>
    <d v="2015-04-24T00:00:00"/>
    <x v="1"/>
    <s v="KBC"/>
    <s v="Kachin"/>
    <s v="Momauk"/>
    <s v="Seng Ja "/>
    <m/>
    <m/>
    <m/>
    <n v="36"/>
    <n v="18"/>
    <n v="90"/>
    <n v="18"/>
    <m/>
    <m/>
    <n v="90"/>
    <m/>
    <m/>
    <m/>
    <m/>
    <n v="18"/>
    <m/>
    <m/>
    <n v="0"/>
    <n v="0"/>
    <n v="0"/>
    <n v="0"/>
    <n v="0"/>
    <n v="0"/>
    <n v="0"/>
    <n v="0"/>
    <n v="0"/>
    <n v="0"/>
    <n v="0"/>
    <n v="0"/>
    <n v="0"/>
    <n v="0"/>
    <x v="0"/>
    <n v="0"/>
    <n v="0"/>
    <n v="0"/>
    <s v="MMR001CMP073"/>
    <x v="0"/>
    <x v="0"/>
    <x v="0"/>
    <n v="4.3772190068576433E-4"/>
    <s v="No"/>
    <m/>
  </r>
  <r>
    <n v="24.866666666666667"/>
    <d v="2015-04-16T00:00:00"/>
    <x v="1"/>
    <s v="KMSS-LSO"/>
    <s v="Shan_North"/>
    <s v="Kutkai"/>
    <s v="Kutkai downtown (RC Church)"/>
    <m/>
    <m/>
    <m/>
    <m/>
    <m/>
    <m/>
    <m/>
    <m/>
    <m/>
    <n v="69"/>
    <m/>
    <m/>
    <m/>
    <m/>
    <m/>
    <m/>
    <m/>
    <n v="0"/>
    <n v="0"/>
    <n v="0"/>
    <n v="0"/>
    <n v="0"/>
    <n v="0"/>
    <n v="0"/>
    <n v="0"/>
    <n v="0"/>
    <n v="0"/>
    <n v="0"/>
    <n v="0"/>
    <n v="0"/>
    <n v="0"/>
    <x v="0"/>
    <n v="0"/>
    <n v="0"/>
    <n v="0"/>
    <s v="MMR015CMP017"/>
    <x v="0"/>
    <x v="0"/>
    <x v="0"/>
    <n v="0"/>
    <s v="No"/>
    <m/>
  </r>
  <r>
    <n v="25.133333333333333"/>
    <d v="2015-04-08T00:00:00"/>
    <x v="2"/>
    <s v="Solidarities"/>
    <s v="Kachin"/>
    <s v="Bhamo"/>
    <s v="AD-2000 Tharthana Compound"/>
    <m/>
    <m/>
    <m/>
    <m/>
    <m/>
    <m/>
    <m/>
    <m/>
    <m/>
    <m/>
    <m/>
    <m/>
    <m/>
    <m/>
    <m/>
    <n v="7"/>
    <m/>
    <n v="0"/>
    <n v="0"/>
    <n v="0"/>
    <n v="0"/>
    <n v="0"/>
    <n v="0"/>
    <n v="0"/>
    <n v="0"/>
    <n v="0"/>
    <n v="0"/>
    <n v="0"/>
    <n v="0"/>
    <n v="0"/>
    <n v="0"/>
    <x v="0"/>
    <n v="0"/>
    <n v="0"/>
    <n v="0"/>
    <s v="MMR001CMP050"/>
    <x v="0"/>
    <x v="0"/>
    <x v="4"/>
    <n v="0"/>
    <m/>
    <m/>
  </r>
  <r>
    <n v="25.133333333333333"/>
    <d v="2015-04-08T00:00:00"/>
    <x v="1"/>
    <s v="KBC"/>
    <s v="Kachin"/>
    <s v="Mansi"/>
    <s v="Maing Khaung"/>
    <m/>
    <m/>
    <m/>
    <n v="8"/>
    <n v="4"/>
    <m/>
    <n v="4"/>
    <m/>
    <n v="4"/>
    <m/>
    <m/>
    <m/>
    <m/>
    <m/>
    <m/>
    <m/>
    <m/>
    <n v="0"/>
    <n v="0"/>
    <n v="0"/>
    <n v="0"/>
    <n v="0"/>
    <n v="0"/>
    <n v="0"/>
    <n v="0"/>
    <n v="0"/>
    <n v="0"/>
    <n v="0"/>
    <n v="0"/>
    <n v="0"/>
    <n v="0"/>
    <x v="0"/>
    <n v="0"/>
    <n v="0"/>
    <n v="0"/>
    <s v="MMR001CMP218"/>
    <x v="0"/>
    <x v="0"/>
    <x v="4"/>
    <n v="9.6274188889958599E-5"/>
    <s v="No"/>
    <m/>
  </r>
  <r>
    <n v="25.133333333333333"/>
    <d v="2015-04-08T00:00:00"/>
    <x v="2"/>
    <s v="Solidarities"/>
    <s v="Kachin"/>
    <s v="Bhamo"/>
    <s v="Ta Gun Taing Monastery (Shwe Kyi Na)"/>
    <m/>
    <m/>
    <m/>
    <m/>
    <m/>
    <m/>
    <m/>
    <m/>
    <m/>
    <m/>
    <m/>
    <m/>
    <m/>
    <m/>
    <m/>
    <n v="2"/>
    <m/>
    <n v="0"/>
    <n v="0"/>
    <n v="0"/>
    <n v="0"/>
    <n v="0"/>
    <n v="0"/>
    <n v="0"/>
    <n v="0"/>
    <n v="0"/>
    <n v="0"/>
    <n v="0"/>
    <n v="0"/>
    <n v="0"/>
    <n v="0"/>
    <x v="0"/>
    <n v="0"/>
    <n v="0"/>
    <n v="0"/>
    <s v="MMR001CMP055"/>
    <x v="0"/>
    <x v="0"/>
    <x v="4"/>
    <n v="0"/>
    <m/>
    <m/>
  </r>
  <r>
    <n v="25.3"/>
    <d v="2015-04-03T00:00:00"/>
    <x v="1"/>
    <s v="Shalom-BM"/>
    <s v="Kachin"/>
    <s v="Bhamo"/>
    <s v="Mu-yin Baptist Church"/>
    <m/>
    <m/>
    <m/>
    <m/>
    <n v="3"/>
    <n v="53"/>
    <m/>
    <m/>
    <n v="3"/>
    <n v="11"/>
    <m/>
    <m/>
    <m/>
    <m/>
    <n v="3"/>
    <m/>
    <m/>
    <n v="0"/>
    <n v="0"/>
    <n v="0"/>
    <n v="0"/>
    <n v="0"/>
    <n v="0"/>
    <n v="0"/>
    <n v="0"/>
    <n v="0"/>
    <n v="0"/>
    <n v="0"/>
    <n v="0"/>
    <n v="0"/>
    <n v="0"/>
    <x v="0"/>
    <n v="0"/>
    <n v="0"/>
    <n v="0"/>
    <s v="MMR001CMP051"/>
    <x v="0"/>
    <x v="0"/>
    <x v="4"/>
    <n v="0"/>
    <s v="No"/>
    <m/>
  </r>
  <r>
    <n v="25.3"/>
    <d v="2015-04-03T00:00:00"/>
    <x v="1"/>
    <s v="UNHCR"/>
    <s v="Kachin"/>
    <s v="Momauk"/>
    <s v="Nhkawng Pa "/>
    <m/>
    <m/>
    <m/>
    <m/>
    <m/>
    <m/>
    <m/>
    <m/>
    <m/>
    <m/>
    <m/>
    <m/>
    <m/>
    <m/>
    <n v="405"/>
    <m/>
    <m/>
    <n v="0"/>
    <n v="0"/>
    <n v="0"/>
    <n v="0"/>
    <n v="0"/>
    <n v="0"/>
    <n v="0"/>
    <n v="0"/>
    <n v="0"/>
    <n v="0"/>
    <n v="0"/>
    <n v="0"/>
    <n v="0"/>
    <n v="0"/>
    <x v="0"/>
    <n v="0"/>
    <n v="0"/>
    <n v="0"/>
    <s v="MMR001CMP131"/>
    <x v="0"/>
    <x v="0"/>
    <x v="3"/>
    <n v="0"/>
    <s v="No"/>
    <m/>
  </r>
  <r>
    <n v="25.3"/>
    <d v="2015-04-03T00:00:00"/>
    <x v="1"/>
    <s v="Shalom-BM"/>
    <s v="Kachin"/>
    <s v="Bhamo"/>
    <s v="Lisu Baptist Church"/>
    <m/>
    <m/>
    <m/>
    <m/>
    <m/>
    <n v="15"/>
    <m/>
    <m/>
    <n v="26"/>
    <n v="720"/>
    <m/>
    <m/>
    <m/>
    <m/>
    <n v="26"/>
    <m/>
    <m/>
    <n v="0"/>
    <n v="0"/>
    <n v="0"/>
    <n v="0"/>
    <n v="0"/>
    <n v="0"/>
    <n v="0"/>
    <n v="0"/>
    <n v="0"/>
    <n v="0"/>
    <n v="0"/>
    <n v="0"/>
    <n v="0"/>
    <n v="0"/>
    <x v="0"/>
    <n v="0"/>
    <n v="0"/>
    <n v="0"/>
    <s v=""/>
    <x v="2"/>
    <x v="1"/>
    <x v="2"/>
    <s v=""/>
    <s v="No"/>
    <m/>
  </r>
  <r>
    <n v="25.3"/>
    <d v="2015-04-03T00:00:00"/>
    <x v="1"/>
    <s v="Shalom"/>
    <s v="Kachin"/>
    <s v="Momauk"/>
    <s v="Mandalay Monestry"/>
    <m/>
    <m/>
    <m/>
    <m/>
    <m/>
    <m/>
    <m/>
    <m/>
    <m/>
    <m/>
    <m/>
    <m/>
    <m/>
    <m/>
    <m/>
    <m/>
    <m/>
    <n v="0"/>
    <n v="0"/>
    <n v="0"/>
    <n v="0"/>
    <n v="0"/>
    <n v="0"/>
    <n v="0"/>
    <n v="0"/>
    <n v="0"/>
    <n v="0"/>
    <n v="0"/>
    <n v="0"/>
    <n v="0"/>
    <n v="0"/>
    <x v="0"/>
    <n v="0"/>
    <n v="0"/>
    <n v="0"/>
    <s v="MMR001CMP058"/>
    <x v="0"/>
    <x v="2"/>
    <x v="4"/>
    <n v="0"/>
    <s v="No"/>
    <m/>
  </r>
  <r>
    <n v="25.3"/>
    <d v="2015-04-03T00:00:00"/>
    <x v="1"/>
    <s v="Shalom"/>
    <s v="Kachin"/>
    <s v="Momauk"/>
    <s v="Ni Thaw Ka Monestry"/>
    <m/>
    <m/>
    <m/>
    <n v="105"/>
    <n v="26"/>
    <n v="308"/>
    <n v="29"/>
    <m/>
    <m/>
    <n v="69"/>
    <m/>
    <m/>
    <m/>
    <m/>
    <m/>
    <m/>
    <m/>
    <n v="0"/>
    <n v="0"/>
    <n v="0"/>
    <n v="0"/>
    <n v="0"/>
    <n v="0"/>
    <n v="0"/>
    <n v="0"/>
    <n v="0"/>
    <n v="0"/>
    <n v="0"/>
    <n v="0"/>
    <n v="0"/>
    <n v="0"/>
    <x v="0"/>
    <n v="0"/>
    <n v="0"/>
    <n v="0"/>
    <s v="MMR001CMP059"/>
    <x v="0"/>
    <x v="2"/>
    <x v="4"/>
    <n v="7.1048827694343043E-4"/>
    <s v="No"/>
    <m/>
  </r>
  <r>
    <n v="25.5"/>
    <d v="2015-03-28T00:00:00"/>
    <x v="1"/>
    <s v="KMSS-BMO"/>
    <s v="Kachin"/>
    <s v="Mansi"/>
    <s v="Bum Tsit Pa Camp II"/>
    <m/>
    <m/>
    <m/>
    <m/>
    <m/>
    <n v="704"/>
    <m/>
    <m/>
    <n v="9"/>
    <m/>
    <m/>
    <m/>
    <m/>
    <m/>
    <m/>
    <m/>
    <m/>
    <n v="0"/>
    <n v="0"/>
    <n v="0"/>
    <n v="0"/>
    <n v="0"/>
    <n v="0"/>
    <n v="0"/>
    <n v="0"/>
    <n v="0"/>
    <n v="0"/>
    <n v="0"/>
    <n v="0"/>
    <n v="0"/>
    <n v="0"/>
    <x v="0"/>
    <n v="0"/>
    <n v="0"/>
    <n v="0"/>
    <s v="MMR001CMP226"/>
    <x v="0"/>
    <x v="2"/>
    <x v="5"/>
    <n v="0"/>
    <s v="No"/>
    <m/>
  </r>
  <r>
    <n v="25.533333333333335"/>
    <d v="2015-03-27T00:00:00"/>
    <x v="1"/>
    <s v="KMSS-BMO"/>
    <s v="Kachin"/>
    <s v="Mansi"/>
    <s v="Lana Zup Ja "/>
    <m/>
    <m/>
    <m/>
    <m/>
    <m/>
    <n v="357"/>
    <m/>
    <m/>
    <m/>
    <m/>
    <m/>
    <m/>
    <m/>
    <m/>
    <m/>
    <m/>
    <m/>
    <n v="0"/>
    <n v="0"/>
    <n v="0"/>
    <n v="0"/>
    <n v="0"/>
    <n v="0"/>
    <n v="0"/>
    <n v="0"/>
    <n v="0"/>
    <n v="0"/>
    <n v="0"/>
    <n v="0"/>
    <n v="0"/>
    <n v="0"/>
    <x v="0"/>
    <n v="0"/>
    <n v="0"/>
    <n v="0"/>
    <s v="MMR001CMP128"/>
    <x v="0"/>
    <x v="0"/>
    <x v="5"/>
    <n v="0"/>
    <s v="No"/>
    <m/>
  </r>
  <r>
    <n v="25.6"/>
    <d v="2015-03-25T00:00:00"/>
    <x v="1"/>
    <s v="KMSS-BMO"/>
    <s v="Kachin"/>
    <s v="Mansi"/>
    <s v="Bum Tsit Pa "/>
    <m/>
    <m/>
    <m/>
    <m/>
    <m/>
    <n v="829"/>
    <m/>
    <m/>
    <m/>
    <m/>
    <m/>
    <m/>
    <m/>
    <m/>
    <m/>
    <m/>
    <m/>
    <n v="0"/>
    <n v="0"/>
    <n v="0"/>
    <n v="0"/>
    <n v="0"/>
    <n v="0"/>
    <n v="0"/>
    <n v="0"/>
    <n v="0"/>
    <n v="0"/>
    <n v="0"/>
    <n v="0"/>
    <n v="0"/>
    <n v="0"/>
    <x v="0"/>
    <n v="0"/>
    <n v="0"/>
    <n v="0"/>
    <s v="MMR001CMP129"/>
    <x v="0"/>
    <x v="0"/>
    <x v="5"/>
    <n v="0"/>
    <s v="No"/>
    <m/>
  </r>
  <r>
    <n v="25.6"/>
    <d v="2015-03-25T00:00:00"/>
    <x v="2"/>
    <s v="Solidarities"/>
    <s v="Kachin"/>
    <s v="Momauk"/>
    <s v="Edin"/>
    <m/>
    <m/>
    <m/>
    <m/>
    <m/>
    <m/>
    <m/>
    <m/>
    <m/>
    <m/>
    <m/>
    <m/>
    <m/>
    <m/>
    <m/>
    <n v="3"/>
    <m/>
    <n v="0"/>
    <n v="0"/>
    <n v="0"/>
    <n v="0"/>
    <n v="0"/>
    <n v="0"/>
    <n v="0"/>
    <n v="0"/>
    <n v="0"/>
    <n v="0"/>
    <n v="0"/>
    <n v="0"/>
    <n v="0"/>
    <n v="0"/>
    <x v="0"/>
    <n v="0"/>
    <n v="0"/>
    <n v="0"/>
    <s v=""/>
    <x v="2"/>
    <x v="1"/>
    <x v="2"/>
    <s v=""/>
    <m/>
    <m/>
  </r>
  <r>
    <n v="25.6"/>
    <d v="2015-03-25T00:00:00"/>
    <x v="1"/>
    <s v="UNHCR"/>
    <s v="Kachin"/>
    <s v="Mansi"/>
    <s v="Lana Zup Ja and Bumtsit pa (1) and (2)"/>
    <m/>
    <m/>
    <m/>
    <n v="1621"/>
    <m/>
    <m/>
    <m/>
    <m/>
    <m/>
    <m/>
    <m/>
    <m/>
    <m/>
    <m/>
    <m/>
    <m/>
    <m/>
    <n v="0"/>
    <n v="0"/>
    <n v="0"/>
    <n v="0"/>
    <n v="0"/>
    <n v="0"/>
    <n v="0"/>
    <n v="0"/>
    <n v="0"/>
    <n v="0"/>
    <n v="0"/>
    <n v="0"/>
    <n v="0"/>
    <n v="0"/>
    <x v="0"/>
    <n v="0"/>
    <n v="0"/>
    <n v="0"/>
    <s v=""/>
    <x v="2"/>
    <x v="1"/>
    <x v="2"/>
    <s v=""/>
    <s v="No"/>
    <m/>
  </r>
  <r>
    <n v="25.6"/>
    <d v="2015-03-25T00:00:00"/>
    <x v="1"/>
    <s v="UNHCR"/>
    <s v="Kachin"/>
    <s v="Bhamo"/>
    <s v="Nhkawng Pa camp and Pa Kahtawng camp thru cross line mission with KMSS-Bhamo"/>
    <m/>
    <m/>
    <m/>
    <m/>
    <m/>
    <m/>
    <m/>
    <m/>
    <m/>
    <m/>
    <n v="2086"/>
    <n v="3036"/>
    <m/>
    <m/>
    <m/>
    <m/>
    <m/>
    <n v="0"/>
    <n v="0"/>
    <n v="0"/>
    <n v="0"/>
    <n v="0"/>
    <n v="0"/>
    <n v="0"/>
    <n v="0"/>
    <n v="0"/>
    <n v="0"/>
    <n v="0"/>
    <n v="0"/>
    <n v="0"/>
    <n v="0"/>
    <x v="1"/>
    <n v="0"/>
    <n v="0"/>
    <n v="0"/>
    <s v=""/>
    <x v="2"/>
    <x v="1"/>
    <x v="2"/>
    <s v=""/>
    <s v="No"/>
    <m/>
  </r>
  <r>
    <n v="25.6"/>
    <d v="2015-03-25T00:00:00"/>
    <x v="2"/>
    <s v="Solidarities"/>
    <s v="Kachin"/>
    <s v="Momauk"/>
    <s v="Ni Thaw Ka Monestry"/>
    <m/>
    <m/>
    <m/>
    <m/>
    <m/>
    <m/>
    <m/>
    <m/>
    <m/>
    <m/>
    <m/>
    <m/>
    <m/>
    <m/>
    <m/>
    <n v="1"/>
    <m/>
    <n v="0"/>
    <n v="0"/>
    <n v="0"/>
    <n v="0"/>
    <n v="0"/>
    <n v="0"/>
    <n v="0"/>
    <n v="0"/>
    <n v="0"/>
    <n v="0"/>
    <n v="0"/>
    <n v="0"/>
    <n v="0"/>
    <n v="0"/>
    <x v="0"/>
    <n v="0"/>
    <n v="0"/>
    <n v="0"/>
    <s v="MMR001CMP059"/>
    <x v="0"/>
    <x v="2"/>
    <x v="4"/>
    <n v="0"/>
    <m/>
    <m/>
  </r>
  <r>
    <n v="25.9"/>
    <d v="2015-03-16T00:00:00"/>
    <x v="1"/>
    <s v="UNHCR"/>
    <s v="Kachin"/>
    <s v="Bhamo"/>
    <s v="Nhkawng Pa camp and Pa Kahtawng camp thru cross line mission with KMSS-Bhamo"/>
    <m/>
    <m/>
    <m/>
    <m/>
    <m/>
    <m/>
    <m/>
    <m/>
    <m/>
    <m/>
    <n v="2460"/>
    <n v="3600"/>
    <m/>
    <m/>
    <m/>
    <m/>
    <m/>
    <n v="0"/>
    <n v="0"/>
    <n v="0"/>
    <n v="0"/>
    <n v="0"/>
    <n v="0"/>
    <n v="0"/>
    <n v="0"/>
    <n v="0"/>
    <n v="0"/>
    <n v="0"/>
    <n v="0"/>
    <n v="0"/>
    <n v="0"/>
    <x v="1"/>
    <n v="0"/>
    <n v="0"/>
    <n v="0"/>
    <s v=""/>
    <x v="2"/>
    <x v="1"/>
    <x v="2"/>
    <s v=""/>
    <s v="No"/>
    <m/>
  </r>
  <r>
    <n v="26"/>
    <d v="2015-03-13T00:00:00"/>
    <x v="1"/>
    <s v="KMSS"/>
    <s v="Kachin"/>
    <s v="Waingmaw"/>
    <s v="Maina Catholic Church (St. Joseph)"/>
    <m/>
    <m/>
    <m/>
    <m/>
    <n v="1"/>
    <m/>
    <m/>
    <m/>
    <m/>
    <m/>
    <m/>
    <m/>
    <m/>
    <m/>
    <m/>
    <m/>
    <m/>
    <n v="0"/>
    <n v="0"/>
    <n v="0"/>
    <n v="0"/>
    <n v="0"/>
    <n v="0"/>
    <n v="0"/>
    <n v="0"/>
    <n v="0"/>
    <n v="0"/>
    <n v="0"/>
    <n v="0"/>
    <n v="0"/>
    <n v="0"/>
    <x v="0"/>
    <n v="0"/>
    <n v="0"/>
    <n v="0"/>
    <s v="MMR001CMP029"/>
    <x v="0"/>
    <x v="0"/>
    <x v="4"/>
    <n v="0"/>
    <s v="No"/>
    <m/>
  </r>
  <r>
    <n v="26.033333333333335"/>
    <d v="2015-03-12T00:00:00"/>
    <x v="2"/>
    <s v="Solidarities"/>
    <s v="Kachin"/>
    <s v="Momauk"/>
    <s v="Loi Je Baptist Church"/>
    <m/>
    <m/>
    <m/>
    <m/>
    <m/>
    <m/>
    <m/>
    <m/>
    <m/>
    <m/>
    <m/>
    <m/>
    <m/>
    <m/>
    <m/>
    <n v="1"/>
    <m/>
    <n v="0"/>
    <n v="0"/>
    <n v="0"/>
    <n v="0"/>
    <n v="0"/>
    <n v="0"/>
    <n v="0"/>
    <n v="0"/>
    <n v="0"/>
    <n v="0"/>
    <n v="0"/>
    <n v="0"/>
    <n v="0"/>
    <n v="0"/>
    <x v="0"/>
    <n v="0"/>
    <n v="0"/>
    <n v="0"/>
    <s v="MMR001CMP071"/>
    <x v="0"/>
    <x v="0"/>
    <x v="0"/>
    <n v="0"/>
    <m/>
    <m/>
  </r>
  <r>
    <n v="26.033333333333335"/>
    <d v="2015-03-12T00:00:00"/>
    <x v="2"/>
    <s v="Solidarities"/>
    <s v="Kachin"/>
    <s v="Momauk"/>
    <s v="Loi Je Baptist Church"/>
    <m/>
    <m/>
    <m/>
    <m/>
    <m/>
    <m/>
    <m/>
    <m/>
    <m/>
    <m/>
    <m/>
    <m/>
    <m/>
    <m/>
    <m/>
    <m/>
    <m/>
    <n v="0"/>
    <n v="0"/>
    <n v="0"/>
    <n v="0"/>
    <n v="0"/>
    <n v="0"/>
    <n v="0"/>
    <n v="0"/>
    <n v="0"/>
    <n v="0"/>
    <n v="0"/>
    <n v="0"/>
    <n v="0"/>
    <n v="0"/>
    <x v="0"/>
    <n v="0"/>
    <n v="0"/>
    <n v="0"/>
    <s v="MMR001CMP071"/>
    <x v="0"/>
    <x v="0"/>
    <x v="0"/>
    <n v="0"/>
    <m/>
    <m/>
  </r>
  <r>
    <n v="26.033333333333335"/>
    <d v="2015-03-12T00:00:00"/>
    <x v="2"/>
    <s v="Solidarities"/>
    <s v="Kachin"/>
    <s v="Momauk"/>
    <s v="Loi Je Catholic Church"/>
    <m/>
    <m/>
    <m/>
    <m/>
    <m/>
    <m/>
    <m/>
    <m/>
    <m/>
    <m/>
    <m/>
    <m/>
    <m/>
    <m/>
    <m/>
    <n v="2"/>
    <m/>
    <n v="0"/>
    <n v="0"/>
    <n v="0"/>
    <n v="0"/>
    <n v="0"/>
    <n v="0"/>
    <n v="0"/>
    <n v="0"/>
    <n v="0"/>
    <n v="0"/>
    <n v="0"/>
    <n v="0"/>
    <n v="0"/>
    <n v="0"/>
    <x v="0"/>
    <n v="0"/>
    <n v="0"/>
    <n v="0"/>
    <s v="MMR001CMP069"/>
    <x v="0"/>
    <x v="0"/>
    <x v="0"/>
    <n v="0"/>
    <m/>
    <m/>
  </r>
  <r>
    <n v="26.033333333333335"/>
    <d v="2015-03-12T00:00:00"/>
    <x v="2"/>
    <s v="Solidarities"/>
    <s v="Kachin"/>
    <s v="Momauk"/>
    <s v="Loi Je Lisu Camp"/>
    <m/>
    <m/>
    <m/>
    <m/>
    <m/>
    <m/>
    <m/>
    <m/>
    <m/>
    <m/>
    <m/>
    <m/>
    <m/>
    <m/>
    <m/>
    <n v="5"/>
    <m/>
    <n v="0"/>
    <n v="0"/>
    <n v="0"/>
    <n v="0"/>
    <n v="0"/>
    <n v="0"/>
    <n v="0"/>
    <n v="0"/>
    <n v="0"/>
    <n v="0"/>
    <n v="0"/>
    <n v="0"/>
    <n v="0"/>
    <n v="0"/>
    <x v="0"/>
    <n v="0"/>
    <n v="0"/>
    <n v="0"/>
    <s v="MMR001CMP070"/>
    <x v="0"/>
    <x v="0"/>
    <x v="0"/>
    <n v="0"/>
    <m/>
    <m/>
  </r>
  <r>
    <n v="26.033333333333335"/>
    <d v="2015-03-12T00:00:00"/>
    <x v="2"/>
    <s v="Solidarities"/>
    <s v="Kachin"/>
    <s v="Bhamo"/>
    <s v="Phan Khar Kone"/>
    <m/>
    <m/>
    <m/>
    <m/>
    <m/>
    <m/>
    <m/>
    <m/>
    <m/>
    <m/>
    <m/>
    <m/>
    <m/>
    <m/>
    <m/>
    <n v="7"/>
    <m/>
    <n v="0"/>
    <n v="0"/>
    <n v="0"/>
    <n v="0"/>
    <n v="0"/>
    <n v="0"/>
    <n v="0"/>
    <n v="0"/>
    <n v="0"/>
    <n v="0"/>
    <n v="0"/>
    <n v="0"/>
    <n v="0"/>
    <n v="0"/>
    <x v="0"/>
    <n v="0"/>
    <n v="0"/>
    <n v="0"/>
    <s v="MMR001CMP193"/>
    <x v="0"/>
    <x v="0"/>
    <x v="4"/>
    <n v="0"/>
    <m/>
    <m/>
  </r>
  <r>
    <n v="26.033333333333335"/>
    <d v="2015-03-12T00:00:00"/>
    <x v="2"/>
    <s v="Solidarities"/>
    <s v="Kachin"/>
    <s v="Bhamo"/>
    <s v="Robert Church"/>
    <m/>
    <m/>
    <m/>
    <m/>
    <m/>
    <m/>
    <m/>
    <m/>
    <m/>
    <m/>
    <m/>
    <m/>
    <m/>
    <m/>
    <m/>
    <n v="11"/>
    <m/>
    <n v="0"/>
    <n v="0"/>
    <n v="0"/>
    <n v="0"/>
    <n v="0"/>
    <n v="0"/>
    <n v="0"/>
    <n v="0"/>
    <n v="0"/>
    <n v="0"/>
    <n v="0"/>
    <n v="0"/>
    <n v="0"/>
    <n v="0"/>
    <x v="0"/>
    <n v="0"/>
    <n v="0"/>
    <n v="0"/>
    <s v="MMR001CMP047"/>
    <x v="0"/>
    <x v="0"/>
    <x v="4"/>
    <n v="0"/>
    <m/>
    <m/>
  </r>
  <r>
    <n v="26.033333333333335"/>
    <d v="2015-03-12T00:00:00"/>
    <x v="2"/>
    <s v="Solidarities"/>
    <s v="Kachin"/>
    <s v="Momauk"/>
    <s v="Seng Ja "/>
    <m/>
    <m/>
    <m/>
    <m/>
    <m/>
    <m/>
    <m/>
    <m/>
    <m/>
    <m/>
    <m/>
    <m/>
    <m/>
    <m/>
    <m/>
    <n v="4"/>
    <m/>
    <n v="0"/>
    <n v="0"/>
    <n v="0"/>
    <n v="0"/>
    <n v="0"/>
    <n v="0"/>
    <n v="0"/>
    <n v="0"/>
    <n v="0"/>
    <n v="0"/>
    <n v="0"/>
    <n v="0"/>
    <n v="0"/>
    <n v="0"/>
    <x v="0"/>
    <n v="0"/>
    <n v="0"/>
    <n v="0"/>
    <s v="MMR001CMP073"/>
    <x v="0"/>
    <x v="0"/>
    <x v="0"/>
    <n v="0"/>
    <m/>
    <m/>
  </r>
  <r>
    <n v="26.1"/>
    <d v="2015-03-10T00:00:00"/>
    <x v="2"/>
    <s v="Solidarities"/>
    <s v="Kachin"/>
    <s v="Momauk"/>
    <s v="Nyaung Na Pin "/>
    <m/>
    <m/>
    <m/>
    <m/>
    <m/>
    <m/>
    <m/>
    <m/>
    <m/>
    <m/>
    <m/>
    <m/>
    <m/>
    <m/>
    <m/>
    <n v="2"/>
    <m/>
    <n v="0"/>
    <n v="0"/>
    <n v="0"/>
    <n v="0"/>
    <n v="0"/>
    <n v="0"/>
    <n v="0"/>
    <n v="0"/>
    <n v="0"/>
    <n v="0"/>
    <n v="0"/>
    <n v="0"/>
    <n v="0"/>
    <n v="0"/>
    <x v="0"/>
    <n v="0"/>
    <n v="0"/>
    <n v="0"/>
    <s v="MMR001CMP072"/>
    <x v="0"/>
    <x v="0"/>
    <x v="0"/>
    <n v="0"/>
    <m/>
    <m/>
  </r>
  <r>
    <n v="26.266666666666666"/>
    <d v="2015-03-05T00:00:00"/>
    <x v="1"/>
    <s v="KMSS-LSO"/>
    <s v="Shan_North"/>
    <s v="Hseni"/>
    <s v="Nam Sa Larp"/>
    <m/>
    <n v="43"/>
    <n v="43"/>
    <n v="85"/>
    <n v="43"/>
    <n v="95"/>
    <n v="43"/>
    <n v="43"/>
    <n v="43"/>
    <n v="95"/>
    <m/>
    <m/>
    <m/>
    <m/>
    <n v="43"/>
    <m/>
    <m/>
    <n v="0"/>
    <n v="0"/>
    <n v="0"/>
    <n v="0"/>
    <n v="0"/>
    <n v="0"/>
    <n v="0"/>
    <n v="0"/>
    <n v="0"/>
    <n v="0"/>
    <n v="0"/>
    <n v="0"/>
    <n v="0"/>
    <n v="0"/>
    <x v="0"/>
    <n v="0"/>
    <n v="0"/>
    <n v="0"/>
    <s v="MMR015CMP218"/>
    <x v="1"/>
    <x v="0"/>
    <x v="1"/>
    <n v="1.0229327243315254E-3"/>
    <s v="No"/>
    <m/>
  </r>
  <r>
    <n v="26.5"/>
    <d v="2015-02-26T00:00:00"/>
    <x v="2"/>
    <s v="Solidarities"/>
    <s v="Kachin"/>
    <s v="Bhamo"/>
    <s v="AD-2000 Tharthana Compound"/>
    <m/>
    <m/>
    <m/>
    <m/>
    <m/>
    <m/>
    <m/>
    <m/>
    <m/>
    <m/>
    <m/>
    <m/>
    <m/>
    <m/>
    <m/>
    <n v="37"/>
    <m/>
    <n v="0"/>
    <n v="0"/>
    <n v="0"/>
    <n v="0"/>
    <n v="0"/>
    <n v="0"/>
    <n v="0"/>
    <n v="0"/>
    <n v="0"/>
    <n v="0"/>
    <n v="0"/>
    <n v="0"/>
    <n v="0"/>
    <n v="0"/>
    <x v="0"/>
    <n v="0"/>
    <n v="0"/>
    <n v="0"/>
    <s v="MMR001CMP050"/>
    <x v="0"/>
    <x v="0"/>
    <x v="4"/>
    <n v="0"/>
    <m/>
    <m/>
  </r>
  <r>
    <n v="26.533333333333335"/>
    <d v="2015-02-25T00:00:00"/>
    <x v="2"/>
    <s v="Solidarities"/>
    <s v="Kachin"/>
    <s v="Bhamo"/>
    <s v="Robert Church"/>
    <m/>
    <m/>
    <m/>
    <m/>
    <m/>
    <m/>
    <m/>
    <m/>
    <m/>
    <m/>
    <m/>
    <m/>
    <m/>
    <m/>
    <m/>
    <n v="76"/>
    <m/>
    <n v="0"/>
    <n v="0"/>
    <n v="0"/>
    <n v="0"/>
    <n v="0"/>
    <n v="0"/>
    <n v="0"/>
    <n v="0"/>
    <n v="0"/>
    <n v="0"/>
    <n v="0"/>
    <n v="0"/>
    <n v="0"/>
    <n v="0"/>
    <x v="0"/>
    <n v="0"/>
    <n v="0"/>
    <n v="0"/>
    <s v="MMR001CMP047"/>
    <x v="0"/>
    <x v="0"/>
    <x v="4"/>
    <n v="0"/>
    <m/>
    <m/>
  </r>
  <r>
    <n v="26.666666666666668"/>
    <d v="2015-02-21T00:00:00"/>
    <x v="1"/>
    <s v="KMSS-LSO"/>
    <s v="Shan_North"/>
    <s v="Kutkai"/>
    <s v="Zup Aung Camp"/>
    <m/>
    <n v="54"/>
    <n v="36"/>
    <n v="108"/>
    <n v="54"/>
    <n v="108"/>
    <n v="54"/>
    <n v="54"/>
    <n v="54"/>
    <n v="108"/>
    <m/>
    <m/>
    <m/>
    <m/>
    <n v="54"/>
    <m/>
    <m/>
    <n v="0"/>
    <n v="0"/>
    <n v="0"/>
    <n v="0"/>
    <n v="0"/>
    <n v="0"/>
    <n v="0"/>
    <n v="0"/>
    <n v="0"/>
    <n v="0"/>
    <n v="0"/>
    <n v="0"/>
    <n v="0"/>
    <n v="0"/>
    <x v="0"/>
    <n v="0"/>
    <n v="0"/>
    <n v="0"/>
    <s v="MMR015CMP020"/>
    <x v="0"/>
    <x v="0"/>
    <x v="0"/>
    <n v="1.3092813500145475E-3"/>
    <s v="No"/>
    <m/>
  </r>
  <r>
    <n v="26.666666666666668"/>
    <d v="2015-02-21T00:00:00"/>
    <x v="1"/>
    <s v="UNHCR"/>
    <s v="Shan_North"/>
    <s v="Kutkai"/>
    <s v="Namtit"/>
    <m/>
    <m/>
    <m/>
    <n v="161"/>
    <n v="76"/>
    <m/>
    <n v="76"/>
    <m/>
    <n v="76"/>
    <m/>
    <m/>
    <m/>
    <m/>
    <m/>
    <n v="76"/>
    <m/>
    <m/>
    <n v="0"/>
    <n v="0"/>
    <n v="0"/>
    <n v="0"/>
    <n v="0"/>
    <n v="0"/>
    <n v="0"/>
    <n v="0"/>
    <n v="0"/>
    <n v="0"/>
    <n v="0"/>
    <n v="0"/>
    <n v="0"/>
    <n v="0"/>
    <x v="0"/>
    <n v="0"/>
    <n v="0"/>
    <n v="0"/>
    <s v=""/>
    <x v="2"/>
    <x v="1"/>
    <x v="2"/>
    <s v=""/>
    <s v="No"/>
    <m/>
  </r>
  <r>
    <n v="26.833333333333332"/>
    <d v="2015-02-16T00:00:00"/>
    <x v="1"/>
    <s v="KMSS"/>
    <s v="Kachin"/>
    <s v="Waingmaw"/>
    <s v="Hpun Lum Yang "/>
    <m/>
    <m/>
    <m/>
    <m/>
    <m/>
    <m/>
    <m/>
    <m/>
    <m/>
    <m/>
    <n v="865"/>
    <n v="924"/>
    <m/>
    <n v="918"/>
    <m/>
    <m/>
    <m/>
    <n v="0"/>
    <n v="0"/>
    <n v="0"/>
    <n v="0"/>
    <n v="0"/>
    <n v="0"/>
    <n v="0"/>
    <n v="0"/>
    <n v="0"/>
    <n v="0"/>
    <n v="0"/>
    <n v="0"/>
    <n v="0"/>
    <n v="0"/>
    <x v="1"/>
    <n v="0"/>
    <n v="0"/>
    <n v="0"/>
    <s v="MMR001CMP122"/>
    <x v="0"/>
    <x v="0"/>
    <x v="5"/>
    <n v="0"/>
    <s v="No"/>
    <m/>
  </r>
  <r>
    <n v="26.833333333333332"/>
    <d v="2015-02-16T00:00:00"/>
    <x v="1"/>
    <s v="KMSS"/>
    <s v="Kachin"/>
    <s v="Waingmaw"/>
    <s v="Je Yang Hka "/>
    <m/>
    <m/>
    <m/>
    <m/>
    <m/>
    <m/>
    <m/>
    <m/>
    <m/>
    <m/>
    <n v="2676"/>
    <n v="2672"/>
    <m/>
    <n v="3186"/>
    <m/>
    <m/>
    <m/>
    <n v="0"/>
    <n v="0"/>
    <n v="0"/>
    <n v="0"/>
    <n v="0"/>
    <n v="0"/>
    <n v="0"/>
    <n v="0"/>
    <n v="0"/>
    <n v="0"/>
    <n v="0"/>
    <n v="0"/>
    <n v="0"/>
    <n v="0"/>
    <x v="1"/>
    <n v="0"/>
    <n v="0"/>
    <n v="0"/>
    <s v="MMR001CMP121"/>
    <x v="0"/>
    <x v="0"/>
    <x v="5"/>
    <n v="0"/>
    <s v="No"/>
    <m/>
  </r>
  <r>
    <n v="26.833333333333332"/>
    <d v="2015-02-16T00:00:00"/>
    <x v="1"/>
    <s v="KMSS"/>
    <s v="Kachin"/>
    <s v="Waingmaw"/>
    <s v="Woi Chyai "/>
    <m/>
    <m/>
    <m/>
    <m/>
    <m/>
    <m/>
    <m/>
    <m/>
    <m/>
    <m/>
    <n v="1620"/>
    <n v="2207"/>
    <m/>
    <n v="1760"/>
    <m/>
    <m/>
    <m/>
    <n v="0"/>
    <n v="0"/>
    <n v="0"/>
    <n v="0"/>
    <n v="0"/>
    <n v="0"/>
    <n v="0"/>
    <n v="0"/>
    <n v="0"/>
    <n v="0"/>
    <n v="0"/>
    <n v="0"/>
    <n v="0"/>
    <n v="0"/>
    <x v="1"/>
    <n v="0"/>
    <n v="0"/>
    <n v="0"/>
    <s v="MMR001CMP116"/>
    <x v="0"/>
    <x v="0"/>
    <x v="4"/>
    <n v="0"/>
    <s v="No"/>
    <m/>
  </r>
  <r>
    <n v="26.833333333333332"/>
    <d v="2015-02-16T00:00:00"/>
    <x v="1"/>
    <s v="KMSS"/>
    <s v="Kachin"/>
    <s v="Waingmaw"/>
    <s v="Laiza Market 3 - Laiza Gat"/>
    <m/>
    <m/>
    <m/>
    <m/>
    <m/>
    <m/>
    <m/>
    <m/>
    <m/>
    <m/>
    <n v="1119"/>
    <n v="1455"/>
    <m/>
    <n v="1080"/>
    <m/>
    <m/>
    <m/>
    <n v="0"/>
    <n v="0"/>
    <n v="0"/>
    <n v="0"/>
    <n v="0"/>
    <n v="0"/>
    <n v="0"/>
    <n v="0"/>
    <n v="0"/>
    <n v="0"/>
    <n v="0"/>
    <n v="0"/>
    <n v="0"/>
    <n v="0"/>
    <x v="1"/>
    <n v="0"/>
    <n v="0"/>
    <n v="0"/>
    <s v="MMR001CMP117"/>
    <x v="0"/>
    <x v="2"/>
    <x v="5"/>
    <n v="0"/>
    <s v="No"/>
    <m/>
  </r>
  <r>
    <n v="26.933333333333334"/>
    <d v="2015-02-13T00:00:00"/>
    <x v="1"/>
    <s v="KMSS"/>
    <s v="Kachin"/>
    <s v="Myitkyina"/>
    <s v="Pa Dauk Myaing(Pa La Na)"/>
    <m/>
    <m/>
    <m/>
    <m/>
    <m/>
    <n v="18"/>
    <n v="9"/>
    <m/>
    <n v="29"/>
    <n v="145"/>
    <m/>
    <m/>
    <m/>
    <m/>
    <m/>
    <m/>
    <m/>
    <n v="0"/>
    <n v="0"/>
    <n v="0"/>
    <n v="0"/>
    <n v="0"/>
    <n v="0"/>
    <n v="0"/>
    <n v="0"/>
    <n v="0"/>
    <n v="0"/>
    <n v="0"/>
    <n v="0"/>
    <n v="0"/>
    <n v="0"/>
    <x v="0"/>
    <n v="0"/>
    <n v="0"/>
    <n v="0"/>
    <s v="MMR001CMP162"/>
    <x v="0"/>
    <x v="0"/>
    <x v="4"/>
    <n v="2.1821355833575792E-4"/>
    <s v="No"/>
    <m/>
  </r>
  <r>
    <n v="26.933333333333334"/>
    <d v="2015-02-13T00:00:00"/>
    <x v="1"/>
    <s v="KMSS-LSO"/>
    <s v="Shan_North"/>
    <s v="Kutkai"/>
    <s v="Pyi Lung Chan Tar"/>
    <m/>
    <n v="68"/>
    <n v="54"/>
    <n v="134"/>
    <n v="68"/>
    <n v="134"/>
    <n v="68"/>
    <m/>
    <n v="68"/>
    <n v="134"/>
    <m/>
    <m/>
    <m/>
    <m/>
    <n v="68"/>
    <m/>
    <m/>
    <n v="0"/>
    <n v="0"/>
    <n v="0"/>
    <n v="0"/>
    <n v="0"/>
    <n v="0"/>
    <n v="0"/>
    <n v="0"/>
    <n v="0"/>
    <n v="0"/>
    <n v="0"/>
    <n v="0"/>
    <n v="0"/>
    <n v="0"/>
    <x v="0"/>
    <n v="0"/>
    <n v="0"/>
    <n v="0"/>
    <s v=""/>
    <x v="2"/>
    <x v="1"/>
    <x v="2"/>
    <s v=""/>
    <s v="No"/>
    <m/>
  </r>
  <r>
    <n v="27.033333333333335"/>
    <d v="2015-02-10T00:00:00"/>
    <x v="1"/>
    <s v="UNHCR"/>
    <s v="Shan_North"/>
    <s v="Mansi"/>
    <s v="Moe Gok (A Shae Kyaung)"/>
    <m/>
    <m/>
    <m/>
    <n v="49"/>
    <n v="16"/>
    <n v="49"/>
    <n v="16"/>
    <m/>
    <n v="16"/>
    <n v="92"/>
    <m/>
    <m/>
    <m/>
    <m/>
    <n v="15"/>
    <m/>
    <m/>
    <n v="0"/>
    <n v="0"/>
    <n v="0"/>
    <n v="0"/>
    <n v="0"/>
    <n v="0"/>
    <n v="0"/>
    <n v="0"/>
    <n v="0"/>
    <n v="0"/>
    <n v="0"/>
    <n v="0"/>
    <n v="0"/>
    <n v="0"/>
    <x v="0"/>
    <n v="0"/>
    <n v="0"/>
    <n v="0"/>
    <s v=""/>
    <x v="2"/>
    <x v="1"/>
    <x v="2"/>
    <s v=""/>
    <s v="No"/>
    <m/>
  </r>
  <r>
    <n v="27.033333333333335"/>
    <d v="2015-02-10T00:00:00"/>
    <x v="1"/>
    <s v="UNHCR"/>
    <s v="Shan_North"/>
    <s v="Mansi"/>
    <s v="Moe Gok (Aung Daw Mu)"/>
    <m/>
    <m/>
    <m/>
    <n v="75"/>
    <n v="13"/>
    <n v="110"/>
    <n v="13"/>
    <m/>
    <n v="13"/>
    <n v="45"/>
    <m/>
    <m/>
    <m/>
    <m/>
    <m/>
    <m/>
    <m/>
    <n v="0"/>
    <n v="0"/>
    <n v="0"/>
    <n v="0"/>
    <n v="0"/>
    <n v="0"/>
    <n v="0"/>
    <n v="0"/>
    <n v="0"/>
    <n v="0"/>
    <n v="0"/>
    <n v="0"/>
    <n v="0"/>
    <n v="0"/>
    <x v="0"/>
    <n v="0"/>
    <n v="0"/>
    <n v="0"/>
    <s v=""/>
    <x v="2"/>
    <x v="1"/>
    <x v="2"/>
    <s v=""/>
    <s v="No"/>
    <m/>
  </r>
  <r>
    <n v="27.033333333333335"/>
    <d v="2015-02-10T00:00:00"/>
    <x v="1"/>
    <s v="UNHCR"/>
    <s v="Shan_North"/>
    <s v="Mansi"/>
    <s v="Moe Gok (Pain Pyit Lisu Village)"/>
    <m/>
    <n v="200"/>
    <m/>
    <n v="86"/>
    <n v="28"/>
    <n v="173"/>
    <n v="28"/>
    <m/>
    <n v="43"/>
    <n v="199"/>
    <m/>
    <m/>
    <m/>
    <m/>
    <n v="42"/>
    <m/>
    <m/>
    <n v="0"/>
    <n v="0"/>
    <n v="0"/>
    <n v="0"/>
    <n v="0"/>
    <n v="0"/>
    <n v="0"/>
    <n v="0"/>
    <n v="0"/>
    <n v="0"/>
    <n v="0"/>
    <n v="0"/>
    <n v="0"/>
    <n v="0"/>
    <x v="0"/>
    <n v="0"/>
    <n v="0"/>
    <n v="0"/>
    <s v=""/>
    <x v="2"/>
    <x v="1"/>
    <x v="2"/>
    <s v=""/>
    <s v="No"/>
    <m/>
  </r>
  <r>
    <n v="27.033333333333335"/>
    <d v="2015-02-10T00:00:00"/>
    <x v="1"/>
    <s v="UNHCR"/>
    <s v="Shan_North"/>
    <s v="Mansi"/>
    <s v="Moe Mait (Man Ohn0"/>
    <m/>
    <m/>
    <m/>
    <n v="90"/>
    <n v="43"/>
    <n v="93"/>
    <n v="43"/>
    <m/>
    <n v="32"/>
    <n v="164"/>
    <m/>
    <m/>
    <m/>
    <m/>
    <n v="43"/>
    <m/>
    <m/>
    <n v="0"/>
    <n v="0"/>
    <n v="0"/>
    <n v="0"/>
    <n v="0"/>
    <n v="0"/>
    <n v="0"/>
    <n v="0"/>
    <n v="0"/>
    <n v="0"/>
    <n v="0"/>
    <n v="0"/>
    <n v="0"/>
    <n v="0"/>
    <x v="0"/>
    <n v="0"/>
    <n v="0"/>
    <n v="0"/>
    <s v=""/>
    <x v="2"/>
    <x v="1"/>
    <x v="2"/>
    <s v=""/>
    <s v="No"/>
    <m/>
  </r>
  <r>
    <n v="27.033333333333335"/>
    <d v="2015-02-10T00:00:00"/>
    <x v="1"/>
    <s v="KBC"/>
    <s v="Kachin"/>
    <s v="Puta-O"/>
    <s v="Resettlement place"/>
    <m/>
    <m/>
    <n v="46"/>
    <n v="92"/>
    <n v="46"/>
    <n v="92"/>
    <n v="46"/>
    <m/>
    <n v="46"/>
    <n v="230"/>
    <m/>
    <m/>
    <m/>
    <m/>
    <n v="46"/>
    <m/>
    <n v="55"/>
    <n v="0"/>
    <n v="0"/>
    <n v="0"/>
    <n v="0"/>
    <n v="0"/>
    <n v="0"/>
    <n v="0"/>
    <n v="0"/>
    <n v="0"/>
    <n v="0"/>
    <n v="0"/>
    <n v="0"/>
    <n v="0"/>
    <n v="0"/>
    <x v="0"/>
    <n v="0"/>
    <n v="0"/>
    <n v="0"/>
    <s v=""/>
    <x v="2"/>
    <x v="1"/>
    <x v="2"/>
    <s v=""/>
    <s v="No"/>
    <m/>
  </r>
  <r>
    <n v="27.533333333333335"/>
    <d v="2015-01-26T00:00:00"/>
    <x v="1"/>
    <s v="KBC"/>
    <s v="Kachin"/>
    <s v="Hpakant"/>
    <s v="5 Ward RC Church(lon Khin)"/>
    <m/>
    <n v="100"/>
    <m/>
    <n v="200"/>
    <n v="200"/>
    <n v="200"/>
    <n v="100"/>
    <m/>
    <n v="100"/>
    <n v="500"/>
    <m/>
    <m/>
    <m/>
    <m/>
    <n v="100"/>
    <m/>
    <m/>
    <n v="0"/>
    <n v="0"/>
    <n v="0"/>
    <n v="0"/>
    <n v="0"/>
    <n v="0"/>
    <n v="0"/>
    <n v="0"/>
    <n v="0"/>
    <n v="0"/>
    <n v="0"/>
    <n v="0"/>
    <n v="0"/>
    <n v="0"/>
    <x v="0"/>
    <n v="0"/>
    <n v="0"/>
    <n v="0"/>
    <s v="MMR001CMP168"/>
    <x v="0"/>
    <x v="0"/>
    <x v="4"/>
    <n v="2.4227740763173833E-3"/>
    <s v="No"/>
    <s v="Updated on 11/Nov/2015. Added jerry can data. Data source: mail by Win Aung Htun"/>
  </r>
  <r>
    <n v="27.533333333333335"/>
    <d v="2015-01-26T00:00:00"/>
    <x v="1"/>
    <s v="KMSS"/>
    <s v="Kachin"/>
    <s v="Hpakant"/>
    <s v="Emergency"/>
    <m/>
    <n v="200"/>
    <m/>
    <n v="400"/>
    <n v="250"/>
    <n v="400"/>
    <n v="200"/>
    <m/>
    <n v="200"/>
    <n v="1200"/>
    <m/>
    <m/>
    <m/>
    <m/>
    <n v="200"/>
    <m/>
    <n v="30"/>
    <n v="0"/>
    <n v="0"/>
    <n v="0"/>
    <n v="0"/>
    <n v="0"/>
    <n v="0"/>
    <n v="0"/>
    <n v="0"/>
    <n v="0"/>
    <n v="0"/>
    <n v="0"/>
    <n v="0"/>
    <n v="0"/>
    <n v="0"/>
    <x v="0"/>
    <n v="0"/>
    <n v="0"/>
    <n v="0"/>
    <s v=""/>
    <x v="2"/>
    <x v="1"/>
    <x v="2"/>
    <s v=""/>
    <s v="No"/>
    <m/>
  </r>
  <r>
    <n v="27.966666666666665"/>
    <d v="2015-01-13T00:00:00"/>
    <x v="5"/>
    <s v="MRCS"/>
    <s v="Kachin"/>
    <s v="Chipwi"/>
    <s v="Chipwi KBC camp"/>
    <m/>
    <m/>
    <m/>
    <m/>
    <m/>
    <m/>
    <m/>
    <m/>
    <m/>
    <m/>
    <n v="293"/>
    <n v="190"/>
    <m/>
    <n v="170"/>
    <m/>
    <m/>
    <m/>
    <n v="0"/>
    <n v="0"/>
    <n v="0"/>
    <n v="0"/>
    <n v="0"/>
    <n v="0"/>
    <n v="0"/>
    <n v="0"/>
    <n v="0"/>
    <n v="0"/>
    <n v="0"/>
    <n v="0"/>
    <n v="0"/>
    <n v="0"/>
    <x v="1"/>
    <n v="0"/>
    <n v="0"/>
    <n v="0"/>
    <s v="MMR001CMP042"/>
    <x v="0"/>
    <x v="0"/>
    <x v="3"/>
    <n v="0"/>
    <m/>
    <m/>
  </r>
  <r>
    <n v="27.966666666666665"/>
    <d v="2015-01-13T00:00:00"/>
    <x v="5"/>
    <s v="MRCS"/>
    <s v="Kachin"/>
    <s v="Chipwi"/>
    <s v="Lhaovao Baptist Church (LBC)"/>
    <m/>
    <m/>
    <m/>
    <m/>
    <m/>
    <m/>
    <m/>
    <m/>
    <m/>
    <m/>
    <n v="350"/>
    <n v="236"/>
    <m/>
    <n v="203"/>
    <m/>
    <m/>
    <m/>
    <n v="0"/>
    <n v="0"/>
    <n v="0"/>
    <n v="0"/>
    <n v="0"/>
    <n v="0"/>
    <n v="0"/>
    <n v="0"/>
    <n v="0"/>
    <n v="0"/>
    <n v="0"/>
    <n v="0"/>
    <n v="0"/>
    <n v="0"/>
    <x v="1"/>
    <n v="0"/>
    <n v="0"/>
    <n v="0"/>
    <s v="MMR001CMP195"/>
    <x v="0"/>
    <x v="0"/>
    <x v="3"/>
    <n v="0"/>
    <m/>
    <m/>
  </r>
  <r>
    <n v="27.966666666666665"/>
    <d v="2015-01-13T00:00:00"/>
    <x v="5"/>
    <s v="MRCS"/>
    <s v="Kachin"/>
    <s v="Momauk"/>
    <s v="Nyaung Na Pin "/>
    <m/>
    <m/>
    <m/>
    <m/>
    <m/>
    <m/>
    <m/>
    <m/>
    <m/>
    <m/>
    <n v="195"/>
    <n v="91"/>
    <m/>
    <n v="92"/>
    <m/>
    <m/>
    <m/>
    <n v="0"/>
    <n v="0"/>
    <n v="0"/>
    <n v="0"/>
    <n v="0"/>
    <n v="0"/>
    <n v="0"/>
    <n v="0"/>
    <n v="0"/>
    <n v="0"/>
    <n v="0"/>
    <n v="0"/>
    <n v="0"/>
    <n v="0"/>
    <x v="1"/>
    <n v="0"/>
    <n v="0"/>
    <n v="0"/>
    <s v="MMR001CMP072"/>
    <x v="0"/>
    <x v="0"/>
    <x v="0"/>
    <n v="0"/>
    <m/>
    <m/>
  </r>
  <r>
    <n v="27.966666666666665"/>
    <d v="2015-01-13T00:00:00"/>
    <x v="5"/>
    <s v="MRCS"/>
    <s v="Kachin"/>
    <s v="Myitkyina"/>
    <s v="Pa Dauk Myaing(Pa La Na)"/>
    <m/>
    <m/>
    <m/>
    <m/>
    <m/>
    <m/>
    <m/>
    <m/>
    <m/>
    <m/>
    <n v="323"/>
    <n v="178"/>
    <m/>
    <m/>
    <m/>
    <m/>
    <m/>
    <n v="0"/>
    <n v="0"/>
    <n v="0"/>
    <n v="0"/>
    <n v="0"/>
    <n v="0"/>
    <n v="0"/>
    <n v="0"/>
    <n v="0"/>
    <n v="0"/>
    <n v="0"/>
    <n v="0"/>
    <n v="0"/>
    <n v="0"/>
    <x v="1"/>
    <n v="0"/>
    <n v="0"/>
    <n v="0"/>
    <s v="MMR001CMP162"/>
    <x v="0"/>
    <x v="0"/>
    <x v="4"/>
    <n v="0"/>
    <m/>
    <m/>
  </r>
  <r>
    <n v="27.966666666666665"/>
    <d v="2015-01-13T00:00:00"/>
    <x v="5"/>
    <s v="MRCS"/>
    <s v="Kachin"/>
    <s v="Chipwi"/>
    <s v="Pan Wa"/>
    <m/>
    <m/>
    <m/>
    <m/>
    <m/>
    <m/>
    <m/>
    <m/>
    <m/>
    <m/>
    <n v="187"/>
    <n v="137"/>
    <m/>
    <n v="118"/>
    <m/>
    <m/>
    <m/>
    <n v="0"/>
    <n v="0"/>
    <n v="0"/>
    <n v="0"/>
    <n v="0"/>
    <n v="0"/>
    <n v="0"/>
    <n v="0"/>
    <n v="0"/>
    <n v="0"/>
    <n v="0"/>
    <n v="0"/>
    <n v="0"/>
    <n v="0"/>
    <x v="1"/>
    <n v="0"/>
    <n v="0"/>
    <n v="0"/>
    <s v="MMR001CMP210"/>
    <x v="0"/>
    <x v="0"/>
    <x v="3"/>
    <n v="0"/>
    <m/>
    <m/>
  </r>
  <r>
    <n v="27.966666666666665"/>
    <d v="2015-01-13T00:00:00"/>
    <x v="5"/>
    <s v="MRCS"/>
    <s v="Kachin"/>
    <s v="Hpakant"/>
    <s v="Rawan Baptist Church, Maw Shan Vil., Seik Mu"/>
    <m/>
    <m/>
    <m/>
    <m/>
    <m/>
    <m/>
    <m/>
    <m/>
    <m/>
    <m/>
    <n v="26"/>
    <n v="14"/>
    <m/>
    <m/>
    <m/>
    <m/>
    <m/>
    <n v="0"/>
    <n v="0"/>
    <n v="0"/>
    <n v="0"/>
    <n v="0"/>
    <n v="0"/>
    <n v="0"/>
    <n v="0"/>
    <n v="0"/>
    <n v="0"/>
    <n v="0"/>
    <n v="0"/>
    <n v="0"/>
    <n v="0"/>
    <x v="1"/>
    <n v="0"/>
    <n v="0"/>
    <n v="0"/>
    <s v="MMR001CMP182"/>
    <x v="0"/>
    <x v="0"/>
    <x v="4"/>
    <n v="0"/>
    <m/>
    <m/>
  </r>
  <r>
    <n v="27.966666666666665"/>
    <d v="2015-01-13T00:00:00"/>
    <x v="5"/>
    <s v="MRCS"/>
    <s v="Kachin"/>
    <s v="Hpakant"/>
    <s v="Sai Nai Baptish Church, Maw Shan Vil., Seki Mu"/>
    <m/>
    <m/>
    <m/>
    <m/>
    <m/>
    <m/>
    <m/>
    <m/>
    <m/>
    <m/>
    <n v="34"/>
    <n v="9"/>
    <m/>
    <m/>
    <m/>
    <m/>
    <m/>
    <n v="0"/>
    <n v="0"/>
    <n v="0"/>
    <n v="0"/>
    <n v="0"/>
    <n v="0"/>
    <n v="0"/>
    <n v="0"/>
    <n v="0"/>
    <n v="0"/>
    <n v="0"/>
    <n v="0"/>
    <n v="0"/>
    <n v="0"/>
    <x v="1"/>
    <n v="0"/>
    <n v="0"/>
    <n v="0"/>
    <s v="MMR001CMP183"/>
    <x v="0"/>
    <x v="0"/>
    <x v="4"/>
    <n v="0"/>
    <m/>
    <m/>
  </r>
  <r>
    <n v="27.966666666666665"/>
    <d v="2015-01-13T00:00:00"/>
    <x v="5"/>
    <s v="MRCS"/>
    <s v="Kachin"/>
    <s v="Chipwi"/>
    <s v="Saw Zam"/>
    <m/>
    <m/>
    <m/>
    <m/>
    <m/>
    <m/>
    <m/>
    <m/>
    <m/>
    <m/>
    <n v="111"/>
    <n v="56"/>
    <m/>
    <n v="58"/>
    <m/>
    <m/>
    <m/>
    <n v="0"/>
    <n v="0"/>
    <n v="0"/>
    <n v="0"/>
    <n v="0"/>
    <n v="0"/>
    <n v="0"/>
    <n v="0"/>
    <n v="0"/>
    <n v="0"/>
    <n v="0"/>
    <n v="0"/>
    <n v="0"/>
    <n v="0"/>
    <x v="1"/>
    <n v="0"/>
    <n v="0"/>
    <n v="0"/>
    <s v="MMR001CMP225"/>
    <x v="0"/>
    <x v="0"/>
    <x v="3"/>
    <n v="0"/>
    <m/>
    <m/>
  </r>
  <r>
    <n v="27.966666666666665"/>
    <d v="2015-01-13T00:00:00"/>
    <x v="5"/>
    <s v="MRCS"/>
    <s v="Kachin"/>
    <s v="Momauk"/>
    <s v="Seng Ja "/>
    <m/>
    <m/>
    <m/>
    <m/>
    <m/>
    <m/>
    <m/>
    <m/>
    <m/>
    <m/>
    <n v="155"/>
    <n v="73"/>
    <m/>
    <n v="96"/>
    <m/>
    <m/>
    <m/>
    <n v="0"/>
    <n v="0"/>
    <n v="0"/>
    <n v="0"/>
    <n v="0"/>
    <n v="0"/>
    <n v="0"/>
    <n v="0"/>
    <n v="0"/>
    <n v="0"/>
    <n v="0"/>
    <n v="0"/>
    <n v="0"/>
    <n v="0"/>
    <x v="1"/>
    <n v="0"/>
    <n v="0"/>
    <n v="0"/>
    <s v="MMR001CMP073"/>
    <x v="0"/>
    <x v="0"/>
    <x v="0"/>
    <n v="0"/>
    <m/>
    <m/>
  </r>
  <r>
    <n v="27.966666666666665"/>
    <d v="2015-01-13T00:00:00"/>
    <x v="5"/>
    <s v="MRCS"/>
    <s v="Kachin"/>
    <s v="Sumprabum"/>
    <s v="Sumprabum"/>
    <m/>
    <m/>
    <m/>
    <m/>
    <m/>
    <m/>
    <m/>
    <m/>
    <m/>
    <m/>
    <n v="91"/>
    <n v="32"/>
    <m/>
    <n v="36"/>
    <m/>
    <m/>
    <m/>
    <n v="0"/>
    <n v="0"/>
    <n v="0"/>
    <n v="0"/>
    <n v="0"/>
    <n v="0"/>
    <n v="0"/>
    <n v="0"/>
    <n v="0"/>
    <n v="0"/>
    <n v="0"/>
    <n v="0"/>
    <n v="0"/>
    <n v="0"/>
    <x v="1"/>
    <n v="0"/>
    <n v="0"/>
    <n v="0"/>
    <s v="MMR001CMP206"/>
    <x v="0"/>
    <x v="0"/>
    <x v="4"/>
    <s v=""/>
    <m/>
    <m/>
  </r>
  <r>
    <n v="27.966666666666665"/>
    <d v="2015-01-13T00:00:00"/>
    <x v="1"/>
    <s v="Shalom"/>
    <s v="Kachin"/>
    <s v="Myitkyina"/>
    <s v="Tat Kone COC Baptist - Tat Kone Htoi San"/>
    <m/>
    <m/>
    <m/>
    <m/>
    <n v="2"/>
    <m/>
    <m/>
    <m/>
    <m/>
    <m/>
    <m/>
    <m/>
    <m/>
    <m/>
    <m/>
    <m/>
    <m/>
    <n v="0"/>
    <n v="0"/>
    <n v="0"/>
    <n v="0"/>
    <n v="0"/>
    <n v="0"/>
    <n v="0"/>
    <n v="0"/>
    <n v="0"/>
    <n v="0"/>
    <n v="0"/>
    <n v="0"/>
    <n v="0"/>
    <n v="0"/>
    <x v="0"/>
    <n v="0"/>
    <n v="0"/>
    <n v="0"/>
    <s v="MMR001CMP023"/>
    <x v="0"/>
    <x v="0"/>
    <x v="4"/>
    <n v="0"/>
    <s v="No"/>
    <m/>
  </r>
  <r>
    <n v="27.966666666666665"/>
    <d v="2015-01-13T00:00:00"/>
    <x v="5"/>
    <s v="MRCS"/>
    <s v="Kachin"/>
    <s v="Hpakant"/>
    <s v="Ward 2 Sai Taung Baptist Church, Seik Mu "/>
    <m/>
    <m/>
    <m/>
    <m/>
    <m/>
    <m/>
    <m/>
    <m/>
    <m/>
    <m/>
    <n v="94"/>
    <n v="58"/>
    <m/>
    <m/>
    <m/>
    <m/>
    <m/>
    <n v="0"/>
    <n v="0"/>
    <n v="0"/>
    <n v="0"/>
    <n v="0"/>
    <n v="0"/>
    <n v="0"/>
    <n v="0"/>
    <n v="0"/>
    <n v="0"/>
    <n v="0"/>
    <n v="0"/>
    <n v="0"/>
    <n v="0"/>
    <x v="1"/>
    <n v="0"/>
    <n v="0"/>
    <n v="0"/>
    <s v="MMR001CMP184"/>
    <x v="0"/>
    <x v="0"/>
    <x v="4"/>
    <n v="0"/>
    <m/>
    <m/>
  </r>
  <r>
    <n v="27.966666666666665"/>
    <d v="2015-01-13T00:00:00"/>
    <x v="5"/>
    <s v="MRCS"/>
    <s v="Kachin"/>
    <s v="Hpakant"/>
    <s v="Yumar Baptist Church"/>
    <m/>
    <m/>
    <m/>
    <m/>
    <m/>
    <m/>
    <m/>
    <m/>
    <m/>
    <m/>
    <n v="33"/>
    <n v="8"/>
    <m/>
    <m/>
    <m/>
    <m/>
    <m/>
    <n v="0"/>
    <n v="0"/>
    <n v="0"/>
    <n v="0"/>
    <n v="0"/>
    <n v="0"/>
    <n v="0"/>
    <n v="0"/>
    <n v="0"/>
    <n v="0"/>
    <n v="0"/>
    <n v="0"/>
    <n v="0"/>
    <n v="0"/>
    <x v="1"/>
    <n v="0"/>
    <n v="0"/>
    <n v="0"/>
    <s v="MMR001CMP105"/>
    <x v="0"/>
    <x v="0"/>
    <x v="4"/>
    <n v="0"/>
    <m/>
    <m/>
  </r>
  <r>
    <n v="28.066666666666666"/>
    <d v="2015-01-10T00:00:00"/>
    <x v="1"/>
    <s v="UNHCR"/>
    <s v="Kachin"/>
    <s v="Puta-O"/>
    <s v="Naung Khaing"/>
    <m/>
    <m/>
    <n v="55"/>
    <n v="110"/>
    <n v="55"/>
    <n v="110"/>
    <n v="55"/>
    <m/>
    <n v="55"/>
    <n v="275"/>
    <m/>
    <m/>
    <m/>
    <m/>
    <n v="55"/>
    <m/>
    <m/>
    <n v="0"/>
    <n v="0"/>
    <n v="0"/>
    <n v="0"/>
    <n v="0"/>
    <n v="0"/>
    <n v="0"/>
    <n v="0"/>
    <n v="0"/>
    <n v="0"/>
    <n v="0"/>
    <n v="0"/>
    <n v="0"/>
    <n v="0"/>
    <x v="0"/>
    <n v="0"/>
    <n v="0"/>
    <n v="0"/>
    <s v="MMR001CMP220"/>
    <x v="0"/>
    <x v="2"/>
    <x v="0"/>
    <n v="1.3257164895027359E-3"/>
    <s v="No"/>
    <m/>
  </r>
  <r>
    <n v="28.366666666666667"/>
    <d v="2015-01-01T00:00:00"/>
    <x v="1"/>
    <s v="KBC"/>
    <s v="Kachin"/>
    <s v="Waingmaw"/>
    <s v="Shing Jai"/>
    <m/>
    <m/>
    <m/>
    <m/>
    <m/>
    <m/>
    <n v="50"/>
    <m/>
    <m/>
    <m/>
    <m/>
    <m/>
    <m/>
    <m/>
    <m/>
    <m/>
    <n v="90"/>
    <n v="0"/>
    <n v="0"/>
    <n v="0"/>
    <n v="0"/>
    <n v="0"/>
    <n v="0"/>
    <n v="0"/>
    <n v="0"/>
    <n v="0"/>
    <n v="0"/>
    <n v="0"/>
    <n v="0"/>
    <n v="0"/>
    <n v="0"/>
    <x v="0"/>
    <n v="0"/>
    <n v="0"/>
    <n v="0"/>
    <s v="MMR001CMP041"/>
    <x v="0"/>
    <x v="0"/>
    <x v="3"/>
    <n v="1.2240501370936153E-3"/>
    <s v="No"/>
    <m/>
  </r>
  <r>
    <n v="28.433333333333334"/>
    <d v="2014-12-30T00:00:00"/>
    <x v="1"/>
    <s v="KBC"/>
    <s v="Kachin"/>
    <s v="Waingmaw"/>
    <s v="Shing Jai"/>
    <m/>
    <m/>
    <n v="120"/>
    <n v="240"/>
    <n v="135"/>
    <n v="240"/>
    <n v="170"/>
    <n v="120"/>
    <n v="120"/>
    <n v="600"/>
    <m/>
    <m/>
    <m/>
    <m/>
    <m/>
    <m/>
    <m/>
    <n v="0"/>
    <n v="0"/>
    <n v="0"/>
    <n v="0"/>
    <n v="0"/>
    <n v="0"/>
    <n v="0"/>
    <n v="0"/>
    <n v="0"/>
    <n v="0"/>
    <n v="0"/>
    <n v="0"/>
    <n v="0"/>
    <n v="0"/>
    <x v="0"/>
    <n v="0"/>
    <n v="0"/>
    <n v="0"/>
    <s v="MMR001CMP041"/>
    <x v="0"/>
    <x v="0"/>
    <x v="3"/>
    <n v="4.1617704661182919E-3"/>
    <m/>
    <m/>
  </r>
  <r>
    <n v="28.8"/>
    <d v="2014-12-19T00:00:00"/>
    <x v="1"/>
    <s v="KBC"/>
    <s v="Kachin"/>
    <s v="Waingmaw"/>
    <s v="Hkau Shau (BP 12)"/>
    <m/>
    <m/>
    <m/>
    <m/>
    <m/>
    <m/>
    <m/>
    <m/>
    <m/>
    <m/>
    <n v="364"/>
    <n v="543"/>
    <m/>
    <n v="362"/>
    <m/>
    <m/>
    <m/>
    <n v="0"/>
    <n v="0"/>
    <n v="0"/>
    <n v="0"/>
    <n v="0"/>
    <n v="0"/>
    <n v="0"/>
    <n v="0"/>
    <n v="0"/>
    <n v="0"/>
    <n v="0"/>
    <n v="0"/>
    <n v="0"/>
    <n v="0"/>
    <x v="1"/>
    <n v="0"/>
    <n v="0"/>
    <n v="0"/>
    <s v="MMR001CMP115"/>
    <x v="0"/>
    <x v="0"/>
    <x v="3"/>
    <n v="0"/>
    <m/>
    <m/>
  </r>
  <r>
    <n v="28.8"/>
    <d v="2014-12-19T00:00:00"/>
    <x v="1"/>
    <m/>
    <s v="Kachin"/>
    <s v="Chipwi"/>
    <s v="Hpare Hkyer - BP6"/>
    <m/>
    <m/>
    <m/>
    <m/>
    <m/>
    <m/>
    <m/>
    <m/>
    <m/>
    <m/>
    <n v="320"/>
    <n v="465"/>
    <m/>
    <n v="310"/>
    <m/>
    <m/>
    <m/>
    <n v="0"/>
    <n v="0"/>
    <n v="0"/>
    <n v="0"/>
    <n v="0"/>
    <n v="0"/>
    <n v="0"/>
    <n v="0"/>
    <n v="0"/>
    <n v="0"/>
    <n v="0"/>
    <n v="0"/>
    <n v="0"/>
    <n v="0"/>
    <x v="1"/>
    <n v="0"/>
    <n v="0"/>
    <n v="0"/>
    <s v="MMR001CMP043"/>
    <x v="0"/>
    <x v="0"/>
    <x v="3"/>
    <n v="0"/>
    <m/>
    <m/>
  </r>
  <r>
    <n v="28.8"/>
    <d v="2014-12-19T00:00:00"/>
    <x v="1"/>
    <m/>
    <s v="Kachin"/>
    <s v="Waingmaw"/>
    <s v="Pajau - Jan Mai"/>
    <m/>
    <m/>
    <m/>
    <m/>
    <m/>
    <m/>
    <m/>
    <m/>
    <m/>
    <m/>
    <n v="384"/>
    <n v="573"/>
    <m/>
    <n v="382"/>
    <m/>
    <m/>
    <m/>
    <n v="0"/>
    <n v="0"/>
    <n v="0"/>
    <n v="0"/>
    <n v="0"/>
    <n v="0"/>
    <n v="0"/>
    <n v="0"/>
    <n v="0"/>
    <n v="0"/>
    <n v="0"/>
    <n v="0"/>
    <n v="0"/>
    <n v="0"/>
    <x v="1"/>
    <n v="0"/>
    <n v="0"/>
    <n v="0"/>
    <s v="MMR001CMP120"/>
    <x v="0"/>
    <x v="0"/>
    <x v="3"/>
    <n v="0"/>
    <m/>
    <m/>
  </r>
  <r>
    <n v="28.8"/>
    <d v="2014-12-19T00:00:00"/>
    <x v="1"/>
    <s v="KBC"/>
    <s v="Kachin"/>
    <s v="Waingmaw"/>
    <s v="Zai Awng - Mung Ga Zup"/>
    <m/>
    <m/>
    <m/>
    <m/>
    <m/>
    <m/>
    <m/>
    <m/>
    <m/>
    <m/>
    <n v="1292"/>
    <n v="1938"/>
    <m/>
    <n v="1292"/>
    <m/>
    <m/>
    <m/>
    <n v="0"/>
    <n v="0"/>
    <n v="0"/>
    <n v="0"/>
    <n v="0"/>
    <n v="0"/>
    <n v="0"/>
    <n v="0"/>
    <n v="0"/>
    <n v="0"/>
    <n v="0"/>
    <n v="0"/>
    <n v="0"/>
    <n v="0"/>
    <x v="1"/>
    <n v="0"/>
    <n v="0"/>
    <n v="0"/>
    <s v="MMR001CMP111"/>
    <x v="0"/>
    <x v="2"/>
    <x v="5"/>
    <n v="0"/>
    <m/>
    <m/>
  </r>
  <r>
    <n v="28.833333333333332"/>
    <d v="2014-12-18T00:00:00"/>
    <x v="2"/>
    <s v="Solidarities"/>
    <s v="Kachin"/>
    <s v="Momauk"/>
    <s v="Nyaung Na Pin "/>
    <m/>
    <m/>
    <n v="85"/>
    <m/>
    <m/>
    <m/>
    <m/>
    <m/>
    <m/>
    <m/>
    <m/>
    <m/>
    <m/>
    <m/>
    <m/>
    <m/>
    <m/>
    <n v="0"/>
    <n v="0"/>
    <n v="0"/>
    <n v="0"/>
    <n v="0"/>
    <n v="0"/>
    <n v="0"/>
    <n v="0"/>
    <n v="0"/>
    <n v="0"/>
    <n v="0"/>
    <n v="0"/>
    <n v="0"/>
    <n v="0"/>
    <x v="0"/>
    <n v="0"/>
    <n v="0"/>
    <n v="0"/>
    <s v="MMR001CMP072"/>
    <x v="0"/>
    <x v="0"/>
    <x v="0"/>
    <n v="0"/>
    <m/>
    <m/>
  </r>
  <r>
    <n v="28.833333333333332"/>
    <d v="2014-12-18T00:00:00"/>
    <x v="2"/>
    <s v="Solidarities"/>
    <s v="Kachin"/>
    <s v="Momauk"/>
    <s v="Seng Ja "/>
    <m/>
    <m/>
    <n v="61"/>
    <m/>
    <m/>
    <m/>
    <m/>
    <m/>
    <m/>
    <m/>
    <m/>
    <m/>
    <m/>
    <m/>
    <m/>
    <m/>
    <m/>
    <n v="0"/>
    <n v="0"/>
    <n v="0"/>
    <n v="0"/>
    <n v="0"/>
    <n v="0"/>
    <n v="0"/>
    <n v="0"/>
    <n v="0"/>
    <n v="0"/>
    <n v="0"/>
    <n v="0"/>
    <n v="0"/>
    <n v="0"/>
    <x v="0"/>
    <n v="0"/>
    <n v="0"/>
    <n v="0"/>
    <s v="MMR001CMP073"/>
    <x v="0"/>
    <x v="0"/>
    <x v="0"/>
    <n v="0"/>
    <m/>
    <m/>
  </r>
  <r>
    <n v="28.866666666666667"/>
    <d v="2014-12-17T00:00:00"/>
    <x v="2"/>
    <s v="Solidarities"/>
    <s v="Kachin"/>
    <s v="Momauk"/>
    <s v="Loi Je Baptist Church"/>
    <m/>
    <m/>
    <m/>
    <m/>
    <m/>
    <m/>
    <m/>
    <m/>
    <m/>
    <m/>
    <m/>
    <m/>
    <m/>
    <m/>
    <m/>
    <m/>
    <m/>
    <n v="0"/>
    <n v="0"/>
    <n v="0"/>
    <n v="0"/>
    <n v="0"/>
    <n v="0"/>
    <n v="0"/>
    <n v="0"/>
    <n v="0"/>
    <n v="0"/>
    <n v="0"/>
    <n v="0"/>
    <n v="0"/>
    <n v="0"/>
    <x v="0"/>
    <n v="0"/>
    <n v="0"/>
    <n v="0"/>
    <s v="MMR001CMP071"/>
    <x v="0"/>
    <x v="0"/>
    <x v="0"/>
    <n v="0"/>
    <m/>
    <m/>
  </r>
  <r>
    <n v="28.866666666666667"/>
    <d v="2014-12-17T00:00:00"/>
    <x v="2"/>
    <s v="Solidarities"/>
    <s v="Kachin"/>
    <s v="Momauk"/>
    <s v="Loi Je Catholic Church"/>
    <m/>
    <m/>
    <n v="124"/>
    <m/>
    <m/>
    <m/>
    <m/>
    <m/>
    <m/>
    <m/>
    <m/>
    <m/>
    <m/>
    <m/>
    <m/>
    <m/>
    <m/>
    <n v="0"/>
    <n v="0"/>
    <n v="0"/>
    <n v="0"/>
    <n v="0"/>
    <n v="0"/>
    <n v="0"/>
    <n v="0"/>
    <n v="0"/>
    <n v="0"/>
    <n v="0"/>
    <n v="0"/>
    <n v="0"/>
    <n v="0"/>
    <x v="0"/>
    <n v="0"/>
    <n v="0"/>
    <n v="0"/>
    <s v="MMR001CMP069"/>
    <x v="0"/>
    <x v="0"/>
    <x v="0"/>
    <n v="0"/>
    <m/>
    <m/>
  </r>
  <r>
    <n v="28.866666666666667"/>
    <d v="2014-12-17T00:00:00"/>
    <x v="2"/>
    <s v="Solidarities"/>
    <s v="Kachin"/>
    <s v="Momauk"/>
    <s v="Loi Je Lisu Camp"/>
    <m/>
    <m/>
    <n v="283"/>
    <m/>
    <m/>
    <m/>
    <m/>
    <m/>
    <m/>
    <m/>
    <m/>
    <m/>
    <m/>
    <m/>
    <m/>
    <m/>
    <m/>
    <n v="0"/>
    <n v="0"/>
    <n v="0"/>
    <n v="0"/>
    <n v="0"/>
    <n v="0"/>
    <n v="0"/>
    <n v="0"/>
    <n v="0"/>
    <n v="0"/>
    <n v="0"/>
    <n v="0"/>
    <n v="0"/>
    <n v="0"/>
    <x v="0"/>
    <n v="0"/>
    <n v="0"/>
    <n v="0"/>
    <s v="MMR001CMP070"/>
    <x v="0"/>
    <x v="0"/>
    <x v="0"/>
    <n v="0"/>
    <m/>
    <m/>
  </r>
  <r>
    <n v="29.1"/>
    <d v="2014-12-10T00:00:00"/>
    <x v="2"/>
    <s v="Solidarities"/>
    <s v="Kachin"/>
    <s v="Bhamo"/>
    <s v="Phan Khar Kone"/>
    <m/>
    <m/>
    <n v="245"/>
    <m/>
    <m/>
    <m/>
    <m/>
    <m/>
    <m/>
    <m/>
    <m/>
    <m/>
    <m/>
    <m/>
    <m/>
    <m/>
    <m/>
    <n v="0"/>
    <n v="0"/>
    <n v="0"/>
    <n v="0"/>
    <n v="0"/>
    <n v="0"/>
    <n v="0"/>
    <n v="0"/>
    <n v="0"/>
    <n v="0"/>
    <n v="0"/>
    <n v="0"/>
    <n v="0"/>
    <n v="0"/>
    <x v="0"/>
    <n v="0"/>
    <n v="0"/>
    <n v="0"/>
    <s v="MMR001CMP193"/>
    <x v="0"/>
    <x v="0"/>
    <x v="4"/>
    <n v="0"/>
    <m/>
    <m/>
  </r>
  <r>
    <n v="29.1"/>
    <d v="2014-12-10T00:00:00"/>
    <x v="2"/>
    <s v="Solidarities"/>
    <s v="Kachin"/>
    <s v="Bhamo"/>
    <s v="Ta Gun Taing Monastery (Shwe Kyi Na)"/>
    <m/>
    <m/>
    <n v="55"/>
    <m/>
    <m/>
    <m/>
    <m/>
    <m/>
    <m/>
    <m/>
    <m/>
    <m/>
    <m/>
    <m/>
    <m/>
    <m/>
    <m/>
    <n v="0"/>
    <n v="0"/>
    <n v="0"/>
    <n v="0"/>
    <n v="0"/>
    <n v="0"/>
    <n v="0"/>
    <n v="0"/>
    <n v="0"/>
    <n v="0"/>
    <n v="0"/>
    <n v="0"/>
    <n v="0"/>
    <n v="0"/>
    <x v="0"/>
    <n v="0"/>
    <n v="0"/>
    <n v="0"/>
    <s v="MMR001CMP055"/>
    <x v="0"/>
    <x v="0"/>
    <x v="4"/>
    <n v="0"/>
    <m/>
    <m/>
  </r>
  <r>
    <n v="29.1"/>
    <d v="2014-12-10T00:00:00"/>
    <x v="2"/>
    <s v="Solidarities"/>
    <s v="Kachin"/>
    <s v="Momauk"/>
    <s v="Edin"/>
    <m/>
    <m/>
    <n v="85"/>
    <m/>
    <m/>
    <m/>
    <m/>
    <m/>
    <m/>
    <m/>
    <m/>
    <m/>
    <m/>
    <m/>
    <m/>
    <m/>
    <m/>
    <n v="0"/>
    <n v="0"/>
    <n v="0"/>
    <n v="0"/>
    <n v="0"/>
    <n v="0"/>
    <n v="0"/>
    <n v="0"/>
    <n v="0"/>
    <n v="0"/>
    <n v="0"/>
    <n v="0"/>
    <n v="0"/>
    <n v="0"/>
    <x v="0"/>
    <n v="0"/>
    <n v="0"/>
    <n v="0"/>
    <s v=""/>
    <x v="2"/>
    <x v="1"/>
    <x v="2"/>
    <s v=""/>
    <m/>
    <m/>
  </r>
  <r>
    <n v="29.1"/>
    <d v="2014-12-10T00:00:00"/>
    <x v="2"/>
    <s v="Solidarities"/>
    <s v="Kachin"/>
    <s v="Momauk"/>
    <s v="Ni Thaw Ka Monestry"/>
    <m/>
    <m/>
    <n v="33"/>
    <m/>
    <m/>
    <m/>
    <m/>
    <m/>
    <m/>
    <m/>
    <m/>
    <m/>
    <m/>
    <m/>
    <m/>
    <m/>
    <m/>
    <n v="0"/>
    <n v="0"/>
    <n v="0"/>
    <n v="0"/>
    <n v="0"/>
    <n v="0"/>
    <n v="0"/>
    <n v="0"/>
    <n v="0"/>
    <n v="0"/>
    <n v="0"/>
    <n v="0"/>
    <n v="0"/>
    <n v="0"/>
    <x v="0"/>
    <n v="0"/>
    <n v="0"/>
    <n v="0"/>
    <s v="MMR001CMP059"/>
    <x v="0"/>
    <x v="2"/>
    <x v="4"/>
    <n v="0"/>
    <m/>
    <m/>
  </r>
  <r>
    <n v="29.133333333333333"/>
    <d v="2014-12-09T00:00:00"/>
    <x v="2"/>
    <s v="Solidarities"/>
    <s v="Kachin"/>
    <s v="Bhamo"/>
    <s v="AD-2000 Tharthana Compound"/>
    <m/>
    <m/>
    <n v="354"/>
    <m/>
    <m/>
    <m/>
    <m/>
    <m/>
    <m/>
    <m/>
    <m/>
    <m/>
    <m/>
    <m/>
    <m/>
    <m/>
    <m/>
    <n v="0"/>
    <n v="0"/>
    <n v="0"/>
    <n v="0"/>
    <n v="0"/>
    <n v="0"/>
    <n v="0"/>
    <n v="0"/>
    <n v="0"/>
    <n v="0"/>
    <n v="0"/>
    <n v="0"/>
    <n v="0"/>
    <n v="0"/>
    <x v="0"/>
    <n v="0"/>
    <n v="0"/>
    <n v="0"/>
    <s v="MMR001CMP050"/>
    <x v="0"/>
    <x v="0"/>
    <x v="4"/>
    <n v="0"/>
    <m/>
    <m/>
  </r>
  <r>
    <n v="29.133333333333333"/>
    <d v="2014-12-09T00:00:00"/>
    <x v="2"/>
    <s v="Solidarities"/>
    <s v="Kachin"/>
    <s v="Bhamo"/>
    <s v="Robert Church"/>
    <m/>
    <m/>
    <n v="1135"/>
    <m/>
    <m/>
    <m/>
    <m/>
    <m/>
    <m/>
    <m/>
    <m/>
    <m/>
    <m/>
    <m/>
    <m/>
    <m/>
    <m/>
    <n v="0"/>
    <n v="0"/>
    <n v="0"/>
    <n v="0"/>
    <n v="0"/>
    <n v="0"/>
    <n v="0"/>
    <n v="0"/>
    <n v="0"/>
    <n v="0"/>
    <n v="0"/>
    <n v="0"/>
    <n v="0"/>
    <n v="0"/>
    <x v="0"/>
    <n v="0"/>
    <n v="0"/>
    <n v="0"/>
    <s v="MMR001CMP047"/>
    <x v="0"/>
    <x v="0"/>
    <x v="4"/>
    <n v="0"/>
    <m/>
    <m/>
  </r>
  <r>
    <n v="29.266666666666666"/>
    <d v="2014-12-05T00:00:00"/>
    <x v="1"/>
    <s v="KMSS"/>
    <s v="Kachin"/>
    <s v="Waingmaw"/>
    <s v="Border Post 8"/>
    <m/>
    <m/>
    <m/>
    <n v="164"/>
    <m/>
    <m/>
    <m/>
    <m/>
    <m/>
    <m/>
    <n v="302"/>
    <n v="440"/>
    <m/>
    <n v="297"/>
    <m/>
    <m/>
    <m/>
    <n v="0"/>
    <n v="0"/>
    <n v="0"/>
    <n v="0"/>
    <n v="0"/>
    <n v="0"/>
    <n v="0"/>
    <n v="0"/>
    <n v="0"/>
    <n v="0"/>
    <n v="0"/>
    <n v="0"/>
    <n v="0"/>
    <n v="0"/>
    <x v="1"/>
    <n v="0"/>
    <n v="0"/>
    <n v="0"/>
    <s v="MMR001CMP113"/>
    <x v="0"/>
    <x v="0"/>
    <x v="3"/>
    <n v="0"/>
    <m/>
    <m/>
  </r>
  <r>
    <n v="29.266666666666666"/>
    <d v="2014-12-05T00:00:00"/>
    <x v="1"/>
    <s v="KMSS"/>
    <s v="Kachin"/>
    <s v="Waingmaw"/>
    <s v="Post 6 Camp"/>
    <m/>
    <m/>
    <m/>
    <n v="124"/>
    <m/>
    <m/>
    <m/>
    <m/>
    <m/>
    <m/>
    <n v="262"/>
    <n v="400"/>
    <m/>
    <n v="257"/>
    <m/>
    <m/>
    <m/>
    <n v="0"/>
    <n v="0"/>
    <n v="0"/>
    <n v="0"/>
    <n v="0"/>
    <n v="0"/>
    <n v="0"/>
    <n v="0"/>
    <n v="0"/>
    <n v="0"/>
    <n v="0"/>
    <n v="0"/>
    <n v="0"/>
    <n v="0"/>
    <x v="1"/>
    <n v="0"/>
    <n v="0"/>
    <n v="0"/>
    <s v="MMR001CMP160"/>
    <x v="0"/>
    <x v="0"/>
    <x v="3"/>
    <n v="0"/>
    <m/>
    <m/>
  </r>
  <r>
    <n v="29.666666666666668"/>
    <d v="2014-11-23T00:00:00"/>
    <x v="1"/>
    <s v="KBC"/>
    <s v="Kachin"/>
    <s v="Myitkyina"/>
    <s v="Jan Mai Kawng Baptist Church"/>
    <m/>
    <m/>
    <m/>
    <n v="72"/>
    <n v="36"/>
    <n v="72"/>
    <n v="36"/>
    <m/>
    <n v="36"/>
    <n v="180"/>
    <m/>
    <m/>
    <m/>
    <m/>
    <m/>
    <m/>
    <m/>
    <n v="0"/>
    <n v="0"/>
    <n v="0"/>
    <n v="0"/>
    <n v="0"/>
    <n v="0"/>
    <n v="0"/>
    <n v="0"/>
    <n v="0"/>
    <n v="0"/>
    <n v="0"/>
    <n v="0"/>
    <n v="0"/>
    <n v="0"/>
    <x v="0"/>
    <n v="0"/>
    <n v="0"/>
    <n v="0"/>
    <s v="MMR001CMP018"/>
    <x v="0"/>
    <x v="0"/>
    <x v="4"/>
    <n v="8.8397790055248619E-4"/>
    <m/>
    <m/>
  </r>
  <r>
    <n v="30.066666666666666"/>
    <d v="2014-11-11T00:00:00"/>
    <x v="1"/>
    <s v="KBC"/>
    <s v="Kachin"/>
    <s v="Hpakant"/>
    <s v="Hlaing Naung Baptist"/>
    <m/>
    <m/>
    <n v="19"/>
    <n v="38"/>
    <n v="19"/>
    <n v="38"/>
    <n v="19"/>
    <m/>
    <n v="19"/>
    <n v="95"/>
    <m/>
    <m/>
    <m/>
    <m/>
    <m/>
    <m/>
    <m/>
    <n v="0"/>
    <n v="0"/>
    <n v="0"/>
    <n v="0"/>
    <n v="0"/>
    <n v="0"/>
    <n v="0"/>
    <n v="0"/>
    <n v="0"/>
    <n v="0"/>
    <n v="0"/>
    <n v="0"/>
    <n v="0"/>
    <n v="0"/>
    <x v="0"/>
    <n v="0"/>
    <n v="0"/>
    <n v="0"/>
    <s v="MMR001CMP148"/>
    <x v="0"/>
    <x v="0"/>
    <x v="4"/>
    <n v="4.6135541364155112E-4"/>
    <m/>
    <m/>
  </r>
  <r>
    <n v="30.1"/>
    <d v="2014-11-10T00:00:00"/>
    <x v="5"/>
    <s v="MRCS"/>
    <s v="Kachin"/>
    <s v="Hpakant"/>
    <s v="Nam Ma Phyit, COC"/>
    <m/>
    <m/>
    <m/>
    <m/>
    <m/>
    <m/>
    <m/>
    <m/>
    <m/>
    <m/>
    <n v="50"/>
    <n v="17"/>
    <m/>
    <m/>
    <m/>
    <m/>
    <m/>
    <n v="0"/>
    <n v="0"/>
    <n v="0"/>
    <n v="0"/>
    <n v="0"/>
    <n v="0"/>
    <n v="0"/>
    <n v="0"/>
    <n v="0"/>
    <n v="0"/>
    <n v="0"/>
    <n v="0"/>
    <n v="0"/>
    <n v="0"/>
    <x v="1"/>
    <n v="0"/>
    <n v="0"/>
    <n v="0"/>
    <s v="MMR001CMP192"/>
    <x v="0"/>
    <x v="0"/>
    <x v="4"/>
    <n v="0"/>
    <m/>
    <m/>
  </r>
  <r>
    <n v="30.1"/>
    <d v="2014-11-10T00:00:00"/>
    <x v="5"/>
    <s v="MRCS"/>
    <s v="Kachin"/>
    <s v="Hpakant"/>
    <s v="Nant Ma Hpit Catholic Church"/>
    <m/>
    <m/>
    <m/>
    <m/>
    <m/>
    <m/>
    <m/>
    <m/>
    <m/>
    <m/>
    <n v="117"/>
    <n v="65"/>
    <m/>
    <m/>
    <m/>
    <m/>
    <m/>
    <n v="0"/>
    <n v="0"/>
    <n v="0"/>
    <n v="0"/>
    <n v="0"/>
    <n v="0"/>
    <n v="0"/>
    <n v="0"/>
    <n v="0"/>
    <n v="0"/>
    <n v="0"/>
    <n v="0"/>
    <n v="0"/>
    <n v="0"/>
    <x v="1"/>
    <n v="0"/>
    <n v="0"/>
    <n v="0"/>
    <s v="MMR001CMP103"/>
    <x v="0"/>
    <x v="0"/>
    <x v="4"/>
    <n v="0"/>
    <m/>
    <m/>
  </r>
  <r>
    <n v="30.1"/>
    <d v="2014-11-10T00:00:00"/>
    <x v="5"/>
    <s v="MRCS"/>
    <s v="Kachin"/>
    <s v="Puta-O"/>
    <s v="Tote Tan Ward"/>
    <m/>
    <m/>
    <m/>
    <m/>
    <m/>
    <m/>
    <m/>
    <m/>
    <m/>
    <m/>
    <n v="72"/>
    <n v="11"/>
    <m/>
    <m/>
    <m/>
    <m/>
    <m/>
    <n v="0"/>
    <n v="0"/>
    <n v="0"/>
    <n v="0"/>
    <n v="0"/>
    <n v="0"/>
    <n v="0"/>
    <n v="0"/>
    <n v="0"/>
    <n v="0"/>
    <n v="0"/>
    <n v="0"/>
    <n v="0"/>
    <n v="0"/>
    <x v="1"/>
    <n v="0"/>
    <n v="0"/>
    <n v="0"/>
    <s v="MMR001CMP075"/>
    <x v="0"/>
    <x v="0"/>
    <x v="0"/>
    <s v=""/>
    <m/>
    <m/>
  </r>
  <r>
    <n v="30.1"/>
    <d v="2014-11-10T00:00:00"/>
    <x v="5"/>
    <s v="MRCS"/>
    <s v="Kachin"/>
    <s v="Puta-O"/>
    <s v="Naung Khaing"/>
    <m/>
    <m/>
    <m/>
    <m/>
    <m/>
    <m/>
    <m/>
    <m/>
    <m/>
    <m/>
    <n v="52"/>
    <n v="16"/>
    <m/>
    <m/>
    <m/>
    <m/>
    <m/>
    <n v="0"/>
    <n v="0"/>
    <n v="0"/>
    <n v="0"/>
    <n v="0"/>
    <n v="0"/>
    <n v="0"/>
    <n v="0"/>
    <n v="0"/>
    <n v="0"/>
    <n v="0"/>
    <n v="0"/>
    <n v="0"/>
    <n v="0"/>
    <x v="1"/>
    <n v="0"/>
    <n v="0"/>
    <n v="0"/>
    <s v="MMR001CMP220"/>
    <x v="0"/>
    <x v="2"/>
    <x v="0"/>
    <n v="0"/>
    <m/>
    <m/>
  </r>
  <r>
    <n v="30.333333333333332"/>
    <d v="2014-11-03T00:00:00"/>
    <x v="1"/>
    <s v="Shalom"/>
    <s v="Kachin"/>
    <s v="Waingmaw"/>
    <s v="Hkat Cho "/>
    <m/>
    <m/>
    <n v="15"/>
    <n v="30"/>
    <n v="15"/>
    <n v="30"/>
    <n v="15"/>
    <m/>
    <n v="15"/>
    <n v="75"/>
    <m/>
    <m/>
    <m/>
    <m/>
    <m/>
    <m/>
    <m/>
    <n v="0"/>
    <n v="0"/>
    <n v="0"/>
    <n v="0"/>
    <n v="0"/>
    <n v="0"/>
    <n v="0"/>
    <n v="0"/>
    <n v="0"/>
    <n v="0"/>
    <n v="0"/>
    <n v="0"/>
    <n v="0"/>
    <n v="0"/>
    <x v="0"/>
    <n v="0"/>
    <n v="0"/>
    <n v="0"/>
    <s v="MMR001CMP028"/>
    <x v="0"/>
    <x v="0"/>
    <x v="4"/>
    <n v="3.6859565057132326E-4"/>
    <m/>
    <m/>
  </r>
  <r>
    <n v="30.433333333333334"/>
    <d v="2014-10-31T00:00:00"/>
    <x v="1"/>
    <m/>
    <s v="Kachin"/>
    <s v="Hpakant"/>
    <s v="5 Ward Baptist Church(lon Khin)"/>
    <m/>
    <m/>
    <n v="77"/>
    <n v="154"/>
    <n v="77"/>
    <n v="154"/>
    <n v="77"/>
    <m/>
    <n v="77"/>
    <n v="385"/>
    <m/>
    <m/>
    <m/>
    <m/>
    <m/>
    <m/>
    <m/>
    <n v="0"/>
    <n v="0"/>
    <n v="0"/>
    <n v="0"/>
    <n v="0"/>
    <n v="0"/>
    <n v="0"/>
    <n v="0"/>
    <n v="0"/>
    <n v="0"/>
    <n v="0"/>
    <n v="0"/>
    <n v="0"/>
    <n v="0"/>
    <x v="0"/>
    <n v="0"/>
    <n v="0"/>
    <n v="0"/>
    <s v="MMR001CMP179"/>
    <x v="0"/>
    <x v="2"/>
    <x v="4"/>
    <n v="1.8655360387643853E-3"/>
    <m/>
    <m/>
  </r>
  <r>
    <n v="30.433333333333334"/>
    <d v="2014-10-31T00:00:00"/>
    <x v="1"/>
    <m/>
    <s v="Kachin"/>
    <s v="Hpakant"/>
    <s v="5 Ward RC Church(lon Khin)"/>
    <m/>
    <m/>
    <n v="59"/>
    <n v="118"/>
    <n v="59"/>
    <n v="118"/>
    <n v="59"/>
    <m/>
    <n v="59"/>
    <n v="295"/>
    <m/>
    <m/>
    <m/>
    <m/>
    <m/>
    <m/>
    <m/>
    <n v="0"/>
    <n v="0"/>
    <n v="0"/>
    <n v="0"/>
    <n v="0"/>
    <n v="0"/>
    <n v="0"/>
    <n v="0"/>
    <n v="0"/>
    <n v="0"/>
    <n v="0"/>
    <n v="0"/>
    <n v="0"/>
    <n v="0"/>
    <x v="0"/>
    <n v="0"/>
    <n v="0"/>
    <n v="0"/>
    <s v="MMR001CMP168"/>
    <x v="0"/>
    <x v="0"/>
    <x v="4"/>
    <n v="1.4294367050272563E-3"/>
    <m/>
    <m/>
  </r>
  <r>
    <n v="30.433333333333334"/>
    <d v="2014-10-31T00:00:00"/>
    <x v="1"/>
    <m/>
    <s v="Kachin"/>
    <s v="Hpakant"/>
    <s v="AG Church, Hmaw Si Sa"/>
    <m/>
    <m/>
    <n v="67"/>
    <n v="134"/>
    <n v="67"/>
    <n v="134"/>
    <n v="67"/>
    <m/>
    <n v="67"/>
    <n v="335"/>
    <m/>
    <m/>
    <m/>
    <m/>
    <m/>
    <m/>
    <m/>
    <n v="0"/>
    <n v="0"/>
    <n v="0"/>
    <n v="0"/>
    <n v="0"/>
    <n v="0"/>
    <n v="0"/>
    <n v="0"/>
    <n v="0"/>
    <n v="0"/>
    <n v="0"/>
    <n v="0"/>
    <n v="0"/>
    <n v="0"/>
    <x v="0"/>
    <n v="0"/>
    <n v="0"/>
    <n v="0"/>
    <s v="MMR001CMP176"/>
    <x v="0"/>
    <x v="0"/>
    <x v="4"/>
    <n v="1.6232586311326468E-3"/>
    <m/>
    <m/>
  </r>
  <r>
    <n v="30.433333333333334"/>
    <d v="2014-10-31T00:00:00"/>
    <x v="1"/>
    <m/>
    <s v="Kachin"/>
    <s v="Hpakant"/>
    <s v="AG Church, Maw Wan"/>
    <m/>
    <m/>
    <n v="14"/>
    <n v="28"/>
    <n v="14"/>
    <n v="28"/>
    <n v="14"/>
    <m/>
    <n v="14"/>
    <n v="70"/>
    <m/>
    <m/>
    <m/>
    <m/>
    <m/>
    <m/>
    <m/>
    <n v="0"/>
    <n v="0"/>
    <n v="0"/>
    <n v="0"/>
    <n v="0"/>
    <n v="0"/>
    <n v="0"/>
    <n v="0"/>
    <n v="0"/>
    <n v="0"/>
    <n v="0"/>
    <n v="0"/>
    <n v="0"/>
    <n v="0"/>
    <x v="0"/>
    <n v="0"/>
    <n v="0"/>
    <n v="0"/>
    <s v="MMR001CMP190"/>
    <x v="0"/>
    <x v="0"/>
    <x v="4"/>
    <n v="3.391883706844337E-4"/>
    <m/>
    <m/>
  </r>
  <r>
    <n v="30.433333333333334"/>
    <d v="2014-10-31T00:00:00"/>
    <x v="5"/>
    <s v="MRCS"/>
    <s v="Kachin"/>
    <s v="Machanbaw"/>
    <s v="Machanbaw - KBC"/>
    <m/>
    <m/>
    <m/>
    <m/>
    <m/>
    <m/>
    <m/>
    <m/>
    <m/>
    <m/>
    <n v="20"/>
    <n v="8"/>
    <m/>
    <m/>
    <m/>
    <m/>
    <m/>
    <n v="0"/>
    <n v="0"/>
    <n v="0"/>
    <n v="0"/>
    <n v="0"/>
    <n v="0"/>
    <n v="0"/>
    <n v="0"/>
    <n v="0"/>
    <n v="0"/>
    <n v="0"/>
    <n v="0"/>
    <n v="0"/>
    <n v="0"/>
    <x v="1"/>
    <n v="0"/>
    <n v="0"/>
    <n v="0"/>
    <s v="MMR001CMP221"/>
    <x v="0"/>
    <x v="2"/>
    <x v="0"/>
    <n v="0"/>
    <m/>
    <m/>
  </r>
  <r>
    <n v="30.433333333333334"/>
    <d v="2014-10-31T00:00:00"/>
    <x v="1"/>
    <m/>
    <s v="Kachin"/>
    <s v="Hpakant"/>
    <s v="Baptist Church, Hmaw Si Sar(Lon Khin)"/>
    <m/>
    <m/>
    <n v="38"/>
    <n v="76"/>
    <n v="38"/>
    <n v="76"/>
    <n v="38"/>
    <m/>
    <n v="38"/>
    <n v="190"/>
    <m/>
    <m/>
    <m/>
    <m/>
    <m/>
    <m/>
    <m/>
    <n v="0"/>
    <n v="0"/>
    <n v="0"/>
    <n v="0"/>
    <n v="0"/>
    <n v="0"/>
    <n v="0"/>
    <n v="0"/>
    <n v="0"/>
    <n v="0"/>
    <n v="0"/>
    <n v="0"/>
    <n v="0"/>
    <n v="0"/>
    <x v="0"/>
    <n v="0"/>
    <n v="0"/>
    <n v="0"/>
    <s v="MMR001CMP169"/>
    <x v="0"/>
    <x v="0"/>
    <x v="4"/>
    <n v="9.2065414900060572E-4"/>
    <m/>
    <m/>
  </r>
  <r>
    <n v="30.433333333333334"/>
    <d v="2014-10-31T00:00:00"/>
    <x v="1"/>
    <m/>
    <s v="Kachin"/>
    <s v="Hpakant"/>
    <s v="Chin Church, Seik Mu"/>
    <m/>
    <m/>
    <n v="5"/>
    <n v="10"/>
    <n v="5"/>
    <n v="10"/>
    <n v="5"/>
    <m/>
    <n v="5"/>
    <n v="25"/>
    <m/>
    <m/>
    <m/>
    <m/>
    <m/>
    <m/>
    <m/>
    <n v="0"/>
    <n v="0"/>
    <n v="0"/>
    <n v="0"/>
    <n v="0"/>
    <n v="0"/>
    <n v="0"/>
    <n v="0"/>
    <n v="0"/>
    <n v="0"/>
    <n v="0"/>
    <n v="0"/>
    <n v="0"/>
    <n v="0"/>
    <x v="0"/>
    <n v="0"/>
    <n v="0"/>
    <n v="0"/>
    <s v="MMR001CMP109"/>
    <x v="0"/>
    <x v="0"/>
    <x v="4"/>
    <n v="1.2051968086388508E-4"/>
    <m/>
    <m/>
  </r>
  <r>
    <n v="30.433333333333334"/>
    <d v="2014-10-31T00:00:00"/>
    <x v="1"/>
    <m/>
    <s v="Kachin"/>
    <s v="Hpakant"/>
    <s v="Dhama Rakhita, Nyein Chan Tar Yar Ward(Lon Khin)"/>
    <m/>
    <m/>
    <n v="67"/>
    <n v="134"/>
    <n v="67"/>
    <n v="134"/>
    <n v="67"/>
    <m/>
    <n v="67"/>
    <n v="335"/>
    <m/>
    <m/>
    <m/>
    <m/>
    <m/>
    <m/>
    <m/>
    <n v="0"/>
    <n v="0"/>
    <n v="0"/>
    <n v="0"/>
    <n v="0"/>
    <n v="0"/>
    <n v="0"/>
    <n v="0"/>
    <n v="0"/>
    <n v="0"/>
    <n v="0"/>
    <n v="0"/>
    <n v="0"/>
    <n v="0"/>
    <x v="0"/>
    <n v="0"/>
    <n v="0"/>
    <n v="0"/>
    <s v="MMR001CMP174"/>
    <x v="0"/>
    <x v="0"/>
    <x v="4"/>
    <n v="1.6232586311326468E-3"/>
    <m/>
    <m/>
  </r>
  <r>
    <n v="30.433333333333334"/>
    <d v="2014-10-31T00:00:00"/>
    <x v="1"/>
    <m/>
    <s v="Kachin"/>
    <s v="Hpakant"/>
    <s v="Hmaw Wan, Anglican"/>
    <m/>
    <m/>
    <n v="10"/>
    <n v="20"/>
    <n v="10"/>
    <n v="20"/>
    <n v="10"/>
    <m/>
    <n v="10"/>
    <n v="50"/>
    <m/>
    <m/>
    <m/>
    <m/>
    <m/>
    <m/>
    <m/>
    <n v="0"/>
    <n v="0"/>
    <n v="0"/>
    <n v="0"/>
    <n v="0"/>
    <n v="0"/>
    <n v="0"/>
    <n v="0"/>
    <n v="0"/>
    <n v="0"/>
    <n v="0"/>
    <n v="0"/>
    <n v="0"/>
    <n v="0"/>
    <x v="0"/>
    <n v="0"/>
    <n v="0"/>
    <n v="0"/>
    <s v="MMR001CMP191"/>
    <x v="0"/>
    <x v="0"/>
    <x v="4"/>
    <n v="2.431788337143135E-4"/>
    <m/>
    <m/>
  </r>
  <r>
    <n v="30.433333333333334"/>
    <d v="2014-10-31T00:00:00"/>
    <x v="1"/>
    <m/>
    <s v="Kachin"/>
    <s v="Hpakant"/>
    <s v="Hpakant Baptist Church, Nam Ma Hpit"/>
    <m/>
    <m/>
    <n v="64"/>
    <n v="128"/>
    <n v="64"/>
    <n v="128"/>
    <n v="64"/>
    <m/>
    <n v="64"/>
    <n v="320"/>
    <m/>
    <m/>
    <m/>
    <m/>
    <m/>
    <m/>
    <m/>
    <n v="0"/>
    <n v="0"/>
    <n v="0"/>
    <n v="0"/>
    <n v="0"/>
    <n v="0"/>
    <n v="0"/>
    <n v="0"/>
    <n v="0"/>
    <n v="0"/>
    <n v="0"/>
    <n v="0"/>
    <n v="0"/>
    <n v="0"/>
    <x v="0"/>
    <n v="0"/>
    <n v="0"/>
    <n v="0"/>
    <s v="MMR001CMP229"/>
    <x v="0"/>
    <x v="0"/>
    <x v="4"/>
    <n v="1.5563445357716064E-3"/>
    <m/>
    <m/>
  </r>
  <r>
    <n v="30.433333333333334"/>
    <d v="2014-10-31T00:00:00"/>
    <x v="1"/>
    <m/>
    <s v="Kachin"/>
    <s v="Hpakant"/>
    <s v="Lisu Baptist Church, Maw Shan Vil,. Seik Mu"/>
    <m/>
    <m/>
    <n v="25"/>
    <n v="50"/>
    <n v="25"/>
    <n v="50"/>
    <n v="25"/>
    <m/>
    <n v="25"/>
    <n v="125"/>
    <m/>
    <m/>
    <m/>
    <m/>
    <m/>
    <m/>
    <m/>
    <n v="0"/>
    <n v="0"/>
    <n v="0"/>
    <n v="0"/>
    <n v="0"/>
    <n v="0"/>
    <n v="0"/>
    <n v="0"/>
    <n v="0"/>
    <n v="0"/>
    <n v="0"/>
    <n v="0"/>
    <n v="0"/>
    <n v="0"/>
    <x v="0"/>
    <n v="0"/>
    <n v="0"/>
    <n v="0"/>
    <s v="MMR001CMP181"/>
    <x v="0"/>
    <x v="0"/>
    <x v="4"/>
    <n v="6.0569351907934583E-4"/>
    <m/>
    <m/>
  </r>
  <r>
    <n v="30.433333333333334"/>
    <d v="2014-10-31T00:00:00"/>
    <x v="1"/>
    <m/>
    <s v="Kachin"/>
    <s v="Hpakant"/>
    <s v="Lisu Baptist Church, Maw Wan Ward"/>
    <m/>
    <m/>
    <n v="15"/>
    <n v="30"/>
    <n v="15"/>
    <n v="30"/>
    <n v="15"/>
    <m/>
    <n v="15"/>
    <n v="75"/>
    <m/>
    <m/>
    <m/>
    <m/>
    <m/>
    <m/>
    <m/>
    <n v="0"/>
    <n v="0"/>
    <n v="0"/>
    <n v="0"/>
    <n v="0"/>
    <n v="0"/>
    <n v="0"/>
    <n v="0"/>
    <n v="0"/>
    <n v="0"/>
    <n v="0"/>
    <n v="0"/>
    <n v="0"/>
    <n v="0"/>
    <x v="0"/>
    <n v="0"/>
    <n v="0"/>
    <n v="0"/>
    <s v="MMR001CMP167"/>
    <x v="0"/>
    <x v="0"/>
    <x v="4"/>
    <n v="3.6341611144760752E-4"/>
    <m/>
    <m/>
  </r>
  <r>
    <n v="30.433333333333334"/>
    <d v="2014-10-31T00:00:00"/>
    <x v="5"/>
    <s v="MRCS"/>
    <s v="Kachin"/>
    <s v="Hpakant"/>
    <s v="Maw Wan, Mu-yin Baptist Church"/>
    <m/>
    <m/>
    <m/>
    <m/>
    <m/>
    <m/>
    <m/>
    <m/>
    <m/>
    <m/>
    <n v="11"/>
    <n v="15"/>
    <m/>
    <m/>
    <m/>
    <m/>
    <m/>
    <n v="0"/>
    <n v="0"/>
    <n v="0"/>
    <n v="0"/>
    <n v="0"/>
    <n v="0"/>
    <n v="0"/>
    <n v="0"/>
    <n v="0"/>
    <n v="0"/>
    <n v="0"/>
    <n v="0"/>
    <n v="0"/>
    <n v="0"/>
    <x v="1"/>
    <n v="0"/>
    <n v="0"/>
    <n v="0"/>
    <s v="MMR001CMP091"/>
    <x v="0"/>
    <x v="0"/>
    <x v="4"/>
    <n v="0"/>
    <m/>
    <m/>
  </r>
  <r>
    <n v="30.433333333333334"/>
    <d v="2014-10-31T00:00:00"/>
    <x v="1"/>
    <m/>
    <s v="Kachin"/>
    <s v="Hpakant"/>
    <s v="Maw Wan, Mu-yin Baptist Church"/>
    <m/>
    <m/>
    <n v="5"/>
    <n v="10"/>
    <n v="5"/>
    <n v="10"/>
    <n v="5"/>
    <m/>
    <n v="5"/>
    <n v="25"/>
    <m/>
    <m/>
    <m/>
    <m/>
    <m/>
    <m/>
    <m/>
    <n v="0"/>
    <n v="0"/>
    <n v="0"/>
    <n v="0"/>
    <n v="0"/>
    <n v="0"/>
    <n v="0"/>
    <n v="0"/>
    <n v="0"/>
    <n v="0"/>
    <n v="0"/>
    <n v="0"/>
    <n v="0"/>
    <n v="0"/>
    <x v="0"/>
    <n v="0"/>
    <n v="0"/>
    <n v="0"/>
    <s v="MMR001CMP091"/>
    <x v="0"/>
    <x v="0"/>
    <x v="4"/>
    <n v="1.2158941685715675E-4"/>
    <m/>
    <m/>
  </r>
  <r>
    <n v="30.433333333333334"/>
    <d v="2014-10-31T00:00:00"/>
    <x v="1"/>
    <m/>
    <s v="Kachin"/>
    <s v="Hpakant"/>
    <s v="Nam Ma Phyit, COC"/>
    <m/>
    <m/>
    <n v="17"/>
    <n v="34"/>
    <n v="17"/>
    <n v="34"/>
    <n v="17"/>
    <m/>
    <n v="17"/>
    <n v="85"/>
    <m/>
    <m/>
    <m/>
    <m/>
    <m/>
    <m/>
    <m/>
    <n v="0"/>
    <n v="0"/>
    <n v="0"/>
    <n v="0"/>
    <n v="0"/>
    <n v="0"/>
    <n v="0"/>
    <n v="0"/>
    <n v="0"/>
    <n v="0"/>
    <n v="0"/>
    <n v="0"/>
    <n v="0"/>
    <n v="0"/>
    <x v="0"/>
    <n v="0"/>
    <n v="0"/>
    <n v="0"/>
    <s v="MMR001CMP192"/>
    <x v="0"/>
    <x v="0"/>
    <x v="4"/>
    <n v="4.1187159297395516E-4"/>
    <m/>
    <m/>
  </r>
  <r>
    <n v="30.433333333333334"/>
    <d v="2014-10-31T00:00:00"/>
    <x v="1"/>
    <m/>
    <s v="Kachin"/>
    <s v="Hpakant"/>
    <s v="Nant Ma Hpit Catholic Church"/>
    <m/>
    <m/>
    <n v="36"/>
    <n v="72"/>
    <n v="36"/>
    <n v="72"/>
    <n v="36"/>
    <m/>
    <n v="36"/>
    <n v="180"/>
    <m/>
    <m/>
    <m/>
    <m/>
    <m/>
    <m/>
    <m/>
    <n v="0"/>
    <n v="0"/>
    <n v="0"/>
    <n v="0"/>
    <n v="0"/>
    <n v="0"/>
    <n v="0"/>
    <n v="0"/>
    <n v="0"/>
    <n v="0"/>
    <n v="0"/>
    <n v="0"/>
    <n v="0"/>
    <n v="0"/>
    <x v="0"/>
    <n v="0"/>
    <n v="0"/>
    <n v="0"/>
    <s v="MMR001CMP103"/>
    <x v="0"/>
    <x v="0"/>
    <x v="4"/>
    <n v="8.6774170221997249E-4"/>
    <m/>
    <s v="used in warehouse"/>
  </r>
  <r>
    <n v="30.433333333333334"/>
    <d v="2014-10-31T00:00:00"/>
    <x v="1"/>
    <m/>
    <s v="Kachin"/>
    <s v="Hpakant"/>
    <s v="Rawan Baptist Church, Maw Shan Vil., Seik Mu"/>
    <m/>
    <m/>
    <n v="12"/>
    <n v="24"/>
    <n v="12"/>
    <n v="24"/>
    <n v="12"/>
    <m/>
    <n v="12"/>
    <n v="60"/>
    <m/>
    <m/>
    <m/>
    <m/>
    <m/>
    <m/>
    <m/>
    <n v="0"/>
    <n v="0"/>
    <n v="0"/>
    <n v="0"/>
    <n v="0"/>
    <n v="0"/>
    <n v="0"/>
    <n v="0"/>
    <n v="0"/>
    <n v="0"/>
    <n v="0"/>
    <n v="0"/>
    <n v="0"/>
    <n v="0"/>
    <x v="0"/>
    <n v="0"/>
    <n v="0"/>
    <n v="0"/>
    <s v="MMR001CMP182"/>
    <x v="0"/>
    <x v="0"/>
    <x v="4"/>
    <n v="2.9073288915808601E-4"/>
    <m/>
    <m/>
  </r>
  <r>
    <n v="30.433333333333334"/>
    <d v="2014-10-31T00:00:00"/>
    <x v="1"/>
    <m/>
    <s v="Kachin"/>
    <s v="Hpakant"/>
    <s v="Sai Nai Baptish Church, Maw Shan Vil., Seki Mu"/>
    <m/>
    <m/>
    <n v="9"/>
    <n v="18"/>
    <n v="9"/>
    <n v="18"/>
    <n v="9"/>
    <m/>
    <n v="9"/>
    <n v="45"/>
    <m/>
    <m/>
    <m/>
    <m/>
    <m/>
    <m/>
    <m/>
    <n v="0"/>
    <n v="0"/>
    <n v="0"/>
    <n v="0"/>
    <n v="0"/>
    <n v="0"/>
    <n v="0"/>
    <n v="0"/>
    <n v="0"/>
    <n v="0"/>
    <n v="0"/>
    <n v="0"/>
    <n v="0"/>
    <n v="0"/>
    <x v="0"/>
    <n v="0"/>
    <n v="0"/>
    <n v="0"/>
    <s v="MMR001CMP183"/>
    <x v="0"/>
    <x v="0"/>
    <x v="4"/>
    <n v="2.1804966686856452E-4"/>
    <m/>
    <m/>
  </r>
  <r>
    <n v="30.433333333333334"/>
    <d v="2014-10-31T00:00:00"/>
    <x v="1"/>
    <m/>
    <s v="Kachin"/>
    <s v="Hpakant"/>
    <s v="Ward 2 Sai Taung Baptist Church, Seik Mu "/>
    <m/>
    <m/>
    <n v="38"/>
    <n v="76"/>
    <n v="38"/>
    <n v="76"/>
    <n v="38"/>
    <m/>
    <n v="38"/>
    <n v="190"/>
    <m/>
    <m/>
    <m/>
    <m/>
    <m/>
    <m/>
    <m/>
    <n v="0"/>
    <n v="0"/>
    <n v="0"/>
    <n v="0"/>
    <n v="0"/>
    <n v="0"/>
    <n v="0"/>
    <n v="0"/>
    <n v="0"/>
    <n v="0"/>
    <n v="0"/>
    <n v="0"/>
    <n v="0"/>
    <n v="0"/>
    <x v="0"/>
    <n v="0"/>
    <n v="0"/>
    <n v="0"/>
    <s v="MMR001CMP184"/>
    <x v="0"/>
    <x v="0"/>
    <x v="4"/>
    <n v="9.2065414900060572E-4"/>
    <m/>
    <m/>
  </r>
  <r>
    <n v="30.433333333333334"/>
    <d v="2014-10-31T00:00:00"/>
    <x v="1"/>
    <m/>
    <s v="Kachin"/>
    <s v="Hpakant"/>
    <s v="Yumar Baptist Church"/>
    <m/>
    <m/>
    <n v="10"/>
    <n v="20"/>
    <n v="10"/>
    <n v="20"/>
    <n v="10"/>
    <m/>
    <n v="10"/>
    <n v="50"/>
    <m/>
    <m/>
    <m/>
    <m/>
    <m/>
    <m/>
    <m/>
    <n v="0"/>
    <n v="0"/>
    <n v="0"/>
    <n v="0"/>
    <n v="0"/>
    <n v="0"/>
    <n v="0"/>
    <n v="0"/>
    <n v="0"/>
    <n v="0"/>
    <n v="0"/>
    <n v="0"/>
    <n v="0"/>
    <n v="0"/>
    <x v="0"/>
    <n v="0"/>
    <n v="0"/>
    <n v="0"/>
    <s v="MMR001CMP105"/>
    <x v="0"/>
    <x v="0"/>
    <x v="4"/>
    <n v="2.431788337143135E-4"/>
    <m/>
    <m/>
  </r>
  <r>
    <n v="30.466666666666665"/>
    <d v="2014-10-30T00:00:00"/>
    <x v="1"/>
    <m/>
    <s v="Kachin"/>
    <s v="Bhamo"/>
    <s v="Aung Thar Church"/>
    <m/>
    <m/>
    <m/>
    <m/>
    <m/>
    <m/>
    <m/>
    <m/>
    <m/>
    <m/>
    <m/>
    <m/>
    <m/>
    <m/>
    <m/>
    <m/>
    <m/>
    <n v="0"/>
    <n v="0"/>
    <n v="0"/>
    <n v="0"/>
    <n v="0"/>
    <n v="0"/>
    <n v="0"/>
    <n v="0"/>
    <n v="0"/>
    <n v="0"/>
    <n v="0"/>
    <n v="0"/>
    <n v="0"/>
    <n v="0"/>
    <x v="0"/>
    <n v="0"/>
    <n v="0"/>
    <n v="0"/>
    <s v="MMR001CMP194"/>
    <x v="0"/>
    <x v="0"/>
    <x v="4"/>
    <n v="0"/>
    <m/>
    <m/>
  </r>
  <r>
    <n v="30.633333333333333"/>
    <d v="2014-10-25T00:00:00"/>
    <x v="5"/>
    <s v="MRCS"/>
    <s v="Kachin"/>
    <s v="Hpakant"/>
    <s v="5 Ward Baptist Church(lon Khin)"/>
    <m/>
    <m/>
    <m/>
    <m/>
    <m/>
    <m/>
    <m/>
    <m/>
    <m/>
    <m/>
    <n v="229"/>
    <n v="126"/>
    <m/>
    <m/>
    <m/>
    <m/>
    <m/>
    <n v="0"/>
    <n v="0"/>
    <n v="0"/>
    <n v="0"/>
    <n v="0"/>
    <n v="0"/>
    <n v="0"/>
    <n v="0"/>
    <n v="0"/>
    <n v="0"/>
    <n v="0"/>
    <n v="0"/>
    <n v="0"/>
    <n v="0"/>
    <x v="1"/>
    <n v="0"/>
    <n v="0"/>
    <n v="0"/>
    <s v="MMR001CMP179"/>
    <x v="0"/>
    <x v="2"/>
    <x v="4"/>
    <n v="0"/>
    <m/>
    <m/>
  </r>
  <r>
    <n v="30.633333333333333"/>
    <d v="2014-10-25T00:00:00"/>
    <x v="5"/>
    <s v="MRCS"/>
    <s v="Kachin"/>
    <s v="Hpakant"/>
    <s v="5 Ward RC Church(lon Khin)"/>
    <m/>
    <m/>
    <m/>
    <m/>
    <m/>
    <m/>
    <m/>
    <m/>
    <m/>
    <m/>
    <n v="223"/>
    <n v="96"/>
    <m/>
    <m/>
    <m/>
    <m/>
    <m/>
    <n v="0"/>
    <n v="0"/>
    <n v="0"/>
    <n v="0"/>
    <n v="0"/>
    <n v="0"/>
    <n v="0"/>
    <n v="0"/>
    <n v="0"/>
    <n v="0"/>
    <n v="0"/>
    <n v="0"/>
    <n v="0"/>
    <n v="0"/>
    <x v="1"/>
    <n v="0"/>
    <n v="0"/>
    <n v="0"/>
    <s v="MMR001CMP168"/>
    <x v="0"/>
    <x v="0"/>
    <x v="4"/>
    <n v="0"/>
    <m/>
    <m/>
  </r>
  <r>
    <n v="30.633333333333333"/>
    <d v="2014-10-25T00:00:00"/>
    <x v="5"/>
    <s v="MRCS"/>
    <s v="Kachin"/>
    <s v="Hpakant"/>
    <s v="AG Church, Hmaw Si Sa"/>
    <m/>
    <m/>
    <m/>
    <m/>
    <m/>
    <m/>
    <m/>
    <m/>
    <m/>
    <m/>
    <n v="232"/>
    <n v="105"/>
    <m/>
    <m/>
    <m/>
    <m/>
    <m/>
    <n v="0"/>
    <n v="0"/>
    <n v="0"/>
    <n v="0"/>
    <n v="0"/>
    <n v="0"/>
    <n v="0"/>
    <n v="0"/>
    <n v="0"/>
    <n v="0"/>
    <n v="0"/>
    <n v="0"/>
    <n v="0"/>
    <n v="0"/>
    <x v="1"/>
    <n v="0"/>
    <n v="0"/>
    <n v="0"/>
    <s v="MMR001CMP176"/>
    <x v="0"/>
    <x v="0"/>
    <x v="4"/>
    <n v="0"/>
    <m/>
    <m/>
  </r>
  <r>
    <n v="30.633333333333333"/>
    <d v="2014-10-25T00:00:00"/>
    <x v="5"/>
    <s v="MRCS"/>
    <s v="Kachin"/>
    <s v="Hpakant"/>
    <s v="AG Church, Maw Wan"/>
    <m/>
    <m/>
    <m/>
    <m/>
    <m/>
    <m/>
    <m/>
    <m/>
    <m/>
    <m/>
    <n v="55"/>
    <n v="27"/>
    <m/>
    <m/>
    <m/>
    <m/>
    <m/>
    <n v="0"/>
    <n v="0"/>
    <n v="0"/>
    <n v="0"/>
    <n v="0"/>
    <n v="0"/>
    <n v="0"/>
    <n v="0"/>
    <n v="0"/>
    <n v="0"/>
    <n v="0"/>
    <n v="0"/>
    <n v="0"/>
    <n v="0"/>
    <x v="1"/>
    <n v="0"/>
    <n v="0"/>
    <n v="0"/>
    <s v="MMR001CMP190"/>
    <x v="0"/>
    <x v="0"/>
    <x v="4"/>
    <n v="0"/>
    <m/>
    <m/>
  </r>
  <r>
    <n v="30.633333333333333"/>
    <d v="2014-10-25T00:00:00"/>
    <x v="5"/>
    <s v="MRCS"/>
    <s v="Kachin"/>
    <s v="Hpakant"/>
    <s v="Baptist Church, Naung Hmee VT"/>
    <m/>
    <m/>
    <m/>
    <m/>
    <m/>
    <m/>
    <m/>
    <m/>
    <m/>
    <m/>
    <n v="48"/>
    <n v="30"/>
    <m/>
    <m/>
    <m/>
    <m/>
    <m/>
    <n v="0"/>
    <n v="0"/>
    <n v="0"/>
    <n v="0"/>
    <n v="0"/>
    <n v="0"/>
    <n v="0"/>
    <n v="0"/>
    <n v="0"/>
    <n v="0"/>
    <n v="0"/>
    <n v="0"/>
    <n v="0"/>
    <n v="0"/>
    <x v="1"/>
    <n v="0"/>
    <n v="0"/>
    <n v="0"/>
    <s v="MMR001CMP188"/>
    <x v="0"/>
    <x v="2"/>
    <x v="4"/>
    <s v=""/>
    <m/>
    <m/>
  </r>
  <r>
    <n v="30.633333333333333"/>
    <d v="2014-10-25T00:00:00"/>
    <x v="5"/>
    <s v="MRCS"/>
    <s v="Kachin"/>
    <s v="Hpakant"/>
    <s v="Baptist Church, Hmaw Si Sar(Lon Khin)"/>
    <m/>
    <m/>
    <m/>
    <m/>
    <m/>
    <m/>
    <m/>
    <m/>
    <m/>
    <m/>
    <n v="123"/>
    <n v="104"/>
    <m/>
    <m/>
    <m/>
    <m/>
    <m/>
    <n v="0"/>
    <n v="0"/>
    <n v="0"/>
    <n v="0"/>
    <n v="0"/>
    <n v="0"/>
    <n v="0"/>
    <n v="0"/>
    <n v="0"/>
    <n v="0"/>
    <n v="0"/>
    <n v="0"/>
    <n v="0"/>
    <n v="0"/>
    <x v="1"/>
    <n v="0"/>
    <n v="0"/>
    <n v="0"/>
    <s v="MMR001CMP169"/>
    <x v="0"/>
    <x v="0"/>
    <x v="4"/>
    <n v="0"/>
    <m/>
    <m/>
  </r>
  <r>
    <n v="30.633333333333333"/>
    <d v="2014-10-25T00:00:00"/>
    <x v="5"/>
    <s v="MRCS"/>
    <s v="Kachin"/>
    <s v="Hpakant"/>
    <s v="Chin Church, Seik Mu"/>
    <m/>
    <m/>
    <m/>
    <m/>
    <m/>
    <m/>
    <m/>
    <m/>
    <m/>
    <m/>
    <n v="15"/>
    <n v="10"/>
    <m/>
    <m/>
    <m/>
    <m/>
    <m/>
    <n v="0"/>
    <n v="0"/>
    <n v="0"/>
    <n v="0"/>
    <n v="0"/>
    <n v="0"/>
    <n v="0"/>
    <n v="0"/>
    <n v="0"/>
    <n v="0"/>
    <n v="0"/>
    <n v="0"/>
    <n v="0"/>
    <n v="0"/>
    <x v="1"/>
    <n v="0"/>
    <n v="0"/>
    <n v="0"/>
    <s v="MMR001CMP109"/>
    <x v="0"/>
    <x v="0"/>
    <x v="4"/>
    <n v="0"/>
    <m/>
    <m/>
  </r>
  <r>
    <n v="30.633333333333333"/>
    <d v="2014-10-25T00:00:00"/>
    <x v="5"/>
    <s v="MRCS"/>
    <s v="Kachin"/>
    <s v="Hpakant"/>
    <s v="Dhama Rakhita, Nyein Chan Tar Yar Ward(Lon Khin)"/>
    <m/>
    <m/>
    <m/>
    <m/>
    <m/>
    <m/>
    <m/>
    <m/>
    <m/>
    <m/>
    <n v="214"/>
    <n v="112"/>
    <m/>
    <m/>
    <m/>
    <m/>
    <m/>
    <n v="0"/>
    <n v="0"/>
    <n v="0"/>
    <n v="0"/>
    <n v="0"/>
    <n v="0"/>
    <n v="0"/>
    <n v="0"/>
    <n v="0"/>
    <n v="0"/>
    <n v="0"/>
    <n v="0"/>
    <n v="0"/>
    <n v="0"/>
    <x v="1"/>
    <n v="0"/>
    <n v="0"/>
    <n v="0"/>
    <s v="MMR001CMP174"/>
    <x v="0"/>
    <x v="0"/>
    <x v="4"/>
    <n v="0"/>
    <m/>
    <m/>
  </r>
  <r>
    <n v="30.633333333333333"/>
    <d v="2014-10-25T00:00:00"/>
    <x v="5"/>
    <s v="MRCS"/>
    <s v="Kachin"/>
    <s v="Hpakant"/>
    <s v="Hlaing Naung Baptist"/>
    <m/>
    <m/>
    <m/>
    <m/>
    <m/>
    <m/>
    <m/>
    <m/>
    <m/>
    <m/>
    <n v="37"/>
    <n v="24"/>
    <m/>
    <m/>
    <m/>
    <m/>
    <m/>
    <n v="0"/>
    <n v="0"/>
    <n v="0"/>
    <n v="0"/>
    <n v="0"/>
    <n v="0"/>
    <n v="0"/>
    <n v="0"/>
    <n v="0"/>
    <n v="0"/>
    <n v="0"/>
    <n v="0"/>
    <n v="0"/>
    <n v="0"/>
    <x v="1"/>
    <n v="0"/>
    <n v="0"/>
    <n v="0"/>
    <s v="MMR001CMP148"/>
    <x v="0"/>
    <x v="0"/>
    <x v="4"/>
    <n v="0"/>
    <m/>
    <m/>
  </r>
  <r>
    <n v="30.633333333333333"/>
    <d v="2014-10-25T00:00:00"/>
    <x v="5"/>
    <s v="MRCS"/>
    <s v="Kachin"/>
    <s v="Hpakant"/>
    <s v="Hmaw Wan, Anglican"/>
    <m/>
    <m/>
    <m/>
    <m/>
    <m/>
    <m/>
    <m/>
    <m/>
    <m/>
    <m/>
    <n v="33"/>
    <n v="24"/>
    <m/>
    <m/>
    <m/>
    <m/>
    <m/>
    <n v="0"/>
    <n v="0"/>
    <n v="0"/>
    <n v="0"/>
    <n v="0"/>
    <n v="0"/>
    <n v="0"/>
    <n v="0"/>
    <n v="0"/>
    <n v="0"/>
    <n v="0"/>
    <n v="0"/>
    <n v="0"/>
    <n v="0"/>
    <x v="1"/>
    <n v="0"/>
    <n v="0"/>
    <n v="0"/>
    <s v="MMR001CMP191"/>
    <x v="0"/>
    <x v="0"/>
    <x v="4"/>
    <n v="0"/>
    <m/>
    <m/>
  </r>
  <r>
    <n v="30.633333333333333"/>
    <d v="2014-10-25T00:00:00"/>
    <x v="5"/>
    <s v="MRCS"/>
    <s v="Kachin"/>
    <s v="Hpakant"/>
    <s v="Hpakant Baptist Church, Nam Ma Hpit"/>
    <m/>
    <m/>
    <m/>
    <m/>
    <m/>
    <m/>
    <m/>
    <m/>
    <m/>
    <m/>
    <n v="186"/>
    <n v="125"/>
    <m/>
    <m/>
    <m/>
    <m/>
    <m/>
    <n v="0"/>
    <n v="0"/>
    <n v="0"/>
    <n v="0"/>
    <n v="0"/>
    <n v="0"/>
    <n v="0"/>
    <n v="0"/>
    <n v="0"/>
    <n v="0"/>
    <n v="0"/>
    <n v="0"/>
    <n v="0"/>
    <n v="0"/>
    <x v="1"/>
    <n v="0"/>
    <n v="0"/>
    <n v="0"/>
    <s v="MMR001CMP229"/>
    <x v="0"/>
    <x v="0"/>
    <x v="4"/>
    <n v="0"/>
    <m/>
    <m/>
  </r>
  <r>
    <n v="30.633333333333333"/>
    <d v="2014-10-25T00:00:00"/>
    <x v="5"/>
    <s v="MRCS"/>
    <s v="Kachin"/>
    <s v="Hpakant"/>
    <s v="Lisu Baptist Church, Maw Shan Vil,. Seik Mu"/>
    <m/>
    <m/>
    <m/>
    <m/>
    <m/>
    <m/>
    <m/>
    <m/>
    <m/>
    <m/>
    <n v="90"/>
    <n v="39"/>
    <m/>
    <m/>
    <m/>
    <m/>
    <m/>
    <n v="0"/>
    <n v="0"/>
    <n v="0"/>
    <n v="0"/>
    <n v="0"/>
    <n v="0"/>
    <n v="0"/>
    <n v="0"/>
    <n v="0"/>
    <n v="0"/>
    <n v="0"/>
    <n v="0"/>
    <n v="0"/>
    <n v="0"/>
    <x v="1"/>
    <n v="0"/>
    <n v="0"/>
    <n v="0"/>
    <s v="MMR001CMP181"/>
    <x v="0"/>
    <x v="0"/>
    <x v="4"/>
    <n v="0"/>
    <m/>
    <m/>
  </r>
  <r>
    <n v="30.633333333333333"/>
    <d v="2014-10-25T00:00:00"/>
    <x v="5"/>
    <s v="MRCS"/>
    <s v="Kachin"/>
    <s v="Hpakant"/>
    <s v="Lisu Baptist Church, Maw Wan Ward"/>
    <m/>
    <m/>
    <m/>
    <m/>
    <m/>
    <m/>
    <m/>
    <m/>
    <m/>
    <m/>
    <n v="48"/>
    <n v="23"/>
    <m/>
    <m/>
    <m/>
    <m/>
    <m/>
    <n v="0"/>
    <n v="0"/>
    <n v="0"/>
    <n v="0"/>
    <n v="0"/>
    <n v="0"/>
    <n v="0"/>
    <n v="0"/>
    <n v="0"/>
    <n v="0"/>
    <n v="0"/>
    <n v="0"/>
    <n v="0"/>
    <n v="0"/>
    <x v="1"/>
    <n v="0"/>
    <n v="0"/>
    <n v="0"/>
    <s v="MMR001CMP167"/>
    <x v="0"/>
    <x v="0"/>
    <x v="4"/>
    <n v="0"/>
    <m/>
    <m/>
  </r>
  <r>
    <n v="30.633333333333333"/>
    <d v="2014-10-25T00:00:00"/>
    <x v="5"/>
    <s v="MRCS"/>
    <s v="Kachin"/>
    <s v="Momauk"/>
    <s v="Loi Je Baptist Church"/>
    <m/>
    <m/>
    <m/>
    <m/>
    <m/>
    <m/>
    <m/>
    <m/>
    <m/>
    <m/>
    <n v="112"/>
    <n v="59"/>
    <m/>
    <n v="74"/>
    <m/>
    <m/>
    <m/>
    <n v="0"/>
    <n v="0"/>
    <n v="0"/>
    <n v="0"/>
    <n v="0"/>
    <n v="0"/>
    <n v="0"/>
    <n v="0"/>
    <n v="0"/>
    <n v="0"/>
    <n v="0"/>
    <n v="0"/>
    <n v="0"/>
    <n v="0"/>
    <x v="1"/>
    <n v="0"/>
    <n v="0"/>
    <n v="0"/>
    <s v="MMR001CMP071"/>
    <x v="0"/>
    <x v="0"/>
    <x v="0"/>
    <n v="0"/>
    <m/>
    <m/>
  </r>
  <r>
    <n v="30.633333333333333"/>
    <d v="2014-10-25T00:00:00"/>
    <x v="5"/>
    <s v="MRCS"/>
    <s v="Kachin"/>
    <s v="Momauk"/>
    <s v="Loi Je Catholic Church"/>
    <m/>
    <m/>
    <m/>
    <m/>
    <m/>
    <m/>
    <m/>
    <m/>
    <m/>
    <m/>
    <n v="203"/>
    <n v="102"/>
    <m/>
    <n v="138"/>
    <m/>
    <m/>
    <m/>
    <n v="0"/>
    <n v="0"/>
    <n v="0"/>
    <n v="0"/>
    <n v="0"/>
    <n v="0"/>
    <n v="0"/>
    <n v="0"/>
    <n v="0"/>
    <n v="0"/>
    <n v="0"/>
    <n v="0"/>
    <n v="0"/>
    <n v="0"/>
    <x v="1"/>
    <n v="0"/>
    <n v="0"/>
    <n v="0"/>
    <s v="MMR001CMP069"/>
    <x v="0"/>
    <x v="0"/>
    <x v="0"/>
    <n v="0"/>
    <m/>
    <m/>
  </r>
  <r>
    <n v="30.633333333333333"/>
    <d v="2014-10-25T00:00:00"/>
    <x v="5"/>
    <s v="MRCS"/>
    <s v="Kachin"/>
    <s v="Momauk"/>
    <s v="Loi Je Lisu Camp"/>
    <m/>
    <m/>
    <m/>
    <m/>
    <m/>
    <m/>
    <m/>
    <m/>
    <m/>
    <m/>
    <n v="591"/>
    <n v="347"/>
    <m/>
    <n v="311"/>
    <m/>
    <m/>
    <m/>
    <n v="0"/>
    <n v="0"/>
    <n v="0"/>
    <n v="0"/>
    <n v="0"/>
    <n v="0"/>
    <n v="0"/>
    <n v="0"/>
    <n v="0"/>
    <n v="0"/>
    <n v="0"/>
    <n v="0"/>
    <n v="0"/>
    <n v="0"/>
    <x v="1"/>
    <n v="0"/>
    <n v="0"/>
    <n v="0"/>
    <s v="MMR001CMP070"/>
    <x v="0"/>
    <x v="0"/>
    <x v="0"/>
    <n v="0"/>
    <m/>
    <m/>
  </r>
  <r>
    <n v="31.066666666666666"/>
    <d v="2014-10-12T00:00:00"/>
    <x v="1"/>
    <m/>
    <s v="Kachin"/>
    <s v="Momauk"/>
    <s v="Man Bung Catholic compound"/>
    <m/>
    <m/>
    <m/>
    <m/>
    <n v="25"/>
    <m/>
    <m/>
    <m/>
    <m/>
    <m/>
    <m/>
    <m/>
    <m/>
    <m/>
    <m/>
    <m/>
    <m/>
    <n v="0"/>
    <n v="0"/>
    <n v="0"/>
    <n v="0"/>
    <n v="0"/>
    <n v="0"/>
    <n v="0"/>
    <n v="0"/>
    <n v="0"/>
    <n v="0"/>
    <n v="0"/>
    <n v="0"/>
    <n v="0"/>
    <n v="0"/>
    <x v="0"/>
    <n v="0"/>
    <n v="0"/>
    <n v="0"/>
    <s v="MMR001CMP062"/>
    <x v="0"/>
    <x v="0"/>
    <x v="4"/>
    <n v="0"/>
    <m/>
    <m/>
  </r>
  <r>
    <n v="31.133333333333333"/>
    <d v="2014-10-10T00:00:00"/>
    <x v="1"/>
    <m/>
    <s v="Kachin"/>
    <s v="Momauk"/>
    <s v="Loi Je Baptist Church"/>
    <m/>
    <m/>
    <m/>
    <m/>
    <n v="60"/>
    <m/>
    <m/>
    <m/>
    <m/>
    <m/>
    <m/>
    <m/>
    <m/>
    <m/>
    <m/>
    <m/>
    <m/>
    <n v="0"/>
    <n v="0"/>
    <n v="0"/>
    <n v="0"/>
    <n v="0"/>
    <n v="0"/>
    <n v="0"/>
    <n v="0"/>
    <n v="0"/>
    <n v="0"/>
    <n v="0"/>
    <n v="0"/>
    <n v="0"/>
    <n v="0"/>
    <x v="0"/>
    <n v="0"/>
    <n v="0"/>
    <n v="0"/>
    <s v="MMR001CMP071"/>
    <x v="0"/>
    <x v="0"/>
    <x v="0"/>
    <n v="0"/>
    <m/>
    <m/>
  </r>
  <r>
    <n v="31.133333333333333"/>
    <d v="2014-10-10T00:00:00"/>
    <x v="1"/>
    <m/>
    <s v="Kachin"/>
    <s v="Momauk"/>
    <s v="Loi Je Lisu Camp"/>
    <m/>
    <m/>
    <m/>
    <m/>
    <n v="30"/>
    <m/>
    <m/>
    <m/>
    <m/>
    <m/>
    <m/>
    <m/>
    <m/>
    <m/>
    <m/>
    <m/>
    <m/>
    <n v="0"/>
    <n v="0"/>
    <n v="0"/>
    <n v="0"/>
    <n v="0"/>
    <n v="0"/>
    <n v="0"/>
    <n v="0"/>
    <n v="0"/>
    <n v="0"/>
    <n v="0"/>
    <n v="0"/>
    <n v="0"/>
    <n v="0"/>
    <x v="0"/>
    <n v="0"/>
    <n v="0"/>
    <n v="0"/>
    <s v="MMR001CMP070"/>
    <x v="0"/>
    <x v="0"/>
    <x v="0"/>
    <n v="0"/>
    <m/>
    <m/>
  </r>
  <r>
    <n v="31.133333333333333"/>
    <d v="2014-10-10T00:00:00"/>
    <x v="1"/>
    <m/>
    <s v="Kachin"/>
    <s v="Momauk"/>
    <s v="Nyaung Na Pin "/>
    <m/>
    <m/>
    <m/>
    <m/>
    <n v="60"/>
    <m/>
    <m/>
    <m/>
    <m/>
    <m/>
    <m/>
    <m/>
    <m/>
    <m/>
    <m/>
    <m/>
    <m/>
    <n v="0"/>
    <n v="0"/>
    <n v="0"/>
    <n v="0"/>
    <n v="0"/>
    <n v="0"/>
    <n v="0"/>
    <n v="0"/>
    <n v="0"/>
    <n v="0"/>
    <n v="0"/>
    <n v="0"/>
    <n v="0"/>
    <n v="0"/>
    <x v="0"/>
    <n v="0"/>
    <n v="0"/>
    <n v="0"/>
    <s v="MMR001CMP072"/>
    <x v="0"/>
    <x v="0"/>
    <x v="0"/>
    <n v="0"/>
    <m/>
    <m/>
  </r>
  <r>
    <n v="31.433333333333334"/>
    <d v="2014-10-01T00:00:00"/>
    <x v="1"/>
    <s v="KMSS"/>
    <s v="Kachin"/>
    <s v="Hpakant"/>
    <s v="5 Ward RC Church(lon Khin)"/>
    <m/>
    <m/>
    <m/>
    <n v="156"/>
    <m/>
    <m/>
    <m/>
    <m/>
    <m/>
    <m/>
    <m/>
    <m/>
    <m/>
    <m/>
    <m/>
    <m/>
    <m/>
    <n v="0"/>
    <n v="0"/>
    <n v="0"/>
    <n v="0"/>
    <n v="0"/>
    <n v="0"/>
    <n v="0"/>
    <n v="0"/>
    <n v="0"/>
    <n v="0"/>
    <n v="0"/>
    <n v="0"/>
    <n v="0"/>
    <n v="0"/>
    <x v="0"/>
    <n v="0"/>
    <n v="0"/>
    <n v="0"/>
    <s v="MMR001CMP168"/>
    <x v="0"/>
    <x v="0"/>
    <x v="4"/>
    <n v="0"/>
    <m/>
    <m/>
  </r>
  <r>
    <n v="31.433333333333334"/>
    <d v="2014-10-01T00:00:00"/>
    <x v="1"/>
    <s v="Shalom"/>
    <s v="Kachin"/>
    <s v="Hpakant"/>
    <s v="AG Church, Hmaw Si Sa"/>
    <m/>
    <m/>
    <m/>
    <n v="130"/>
    <m/>
    <m/>
    <m/>
    <m/>
    <m/>
    <m/>
    <m/>
    <m/>
    <m/>
    <m/>
    <m/>
    <m/>
    <m/>
    <n v="0"/>
    <n v="0"/>
    <n v="0"/>
    <n v="0"/>
    <n v="0"/>
    <n v="0"/>
    <n v="0"/>
    <n v="0"/>
    <n v="0"/>
    <n v="0"/>
    <n v="0"/>
    <n v="0"/>
    <n v="0"/>
    <n v="0"/>
    <x v="0"/>
    <n v="0"/>
    <n v="0"/>
    <n v="0"/>
    <s v="MMR001CMP176"/>
    <x v="0"/>
    <x v="0"/>
    <x v="4"/>
    <n v="0"/>
    <m/>
    <m/>
  </r>
  <r>
    <n v="31.433333333333334"/>
    <d v="2014-10-01T00:00:00"/>
    <x v="1"/>
    <s v="Shalom"/>
    <s v="Kachin"/>
    <s v="Hpakant"/>
    <s v="AG Church, Maw Wan"/>
    <m/>
    <m/>
    <m/>
    <n v="30"/>
    <m/>
    <m/>
    <m/>
    <m/>
    <m/>
    <m/>
    <m/>
    <m/>
    <m/>
    <m/>
    <m/>
    <m/>
    <m/>
    <n v="0"/>
    <n v="0"/>
    <n v="0"/>
    <n v="0"/>
    <n v="0"/>
    <n v="0"/>
    <n v="0"/>
    <n v="0"/>
    <n v="0"/>
    <n v="0"/>
    <n v="0"/>
    <n v="0"/>
    <n v="0"/>
    <n v="0"/>
    <x v="0"/>
    <n v="0"/>
    <n v="0"/>
    <n v="0"/>
    <s v="MMR001CMP190"/>
    <x v="0"/>
    <x v="0"/>
    <x v="4"/>
    <n v="0"/>
    <m/>
    <m/>
  </r>
  <r>
    <n v="31.433333333333334"/>
    <d v="2014-10-01T00:00:00"/>
    <x v="1"/>
    <s v="Shalom"/>
    <s v="Kachin"/>
    <s v="Hpakant"/>
    <s v="Baptist Church, Naung Hmee VT"/>
    <m/>
    <m/>
    <m/>
    <n v="30"/>
    <m/>
    <m/>
    <m/>
    <m/>
    <m/>
    <m/>
    <m/>
    <m/>
    <m/>
    <m/>
    <m/>
    <m/>
    <m/>
    <n v="0"/>
    <n v="0"/>
    <n v="0"/>
    <n v="0"/>
    <n v="0"/>
    <n v="0"/>
    <n v="0"/>
    <n v="0"/>
    <n v="0"/>
    <n v="0"/>
    <n v="0"/>
    <n v="0"/>
    <n v="0"/>
    <n v="0"/>
    <x v="0"/>
    <n v="0"/>
    <n v="0"/>
    <n v="0"/>
    <s v="MMR001CMP188"/>
    <x v="0"/>
    <x v="2"/>
    <x v="4"/>
    <s v=""/>
    <m/>
    <m/>
  </r>
  <r>
    <n v="31.433333333333334"/>
    <d v="2014-10-01T00:00:00"/>
    <x v="1"/>
    <s v="Shalom"/>
    <s v="Kachin"/>
    <s v="Myitkyina"/>
    <s v="Myay Myint Baptist Church"/>
    <m/>
    <m/>
    <m/>
    <n v="24"/>
    <m/>
    <m/>
    <m/>
    <m/>
    <m/>
    <m/>
    <m/>
    <m/>
    <m/>
    <m/>
    <m/>
    <m/>
    <m/>
    <n v="0"/>
    <n v="0"/>
    <n v="0"/>
    <n v="0"/>
    <n v="0"/>
    <n v="0"/>
    <n v="0"/>
    <n v="0"/>
    <n v="0"/>
    <n v="0"/>
    <n v="0"/>
    <n v="0"/>
    <n v="0"/>
    <n v="0"/>
    <x v="0"/>
    <n v="0"/>
    <n v="0"/>
    <n v="0"/>
    <s v="MMR001CMP017"/>
    <x v="0"/>
    <x v="2"/>
    <x v="4"/>
    <n v="0"/>
    <m/>
    <m/>
  </r>
  <r>
    <n v="31.433333333333334"/>
    <d v="2014-10-01T00:00:00"/>
    <x v="1"/>
    <s v="Shalom"/>
    <s v="Kachin"/>
    <s v="Hpakant"/>
    <s v="Chin Church, Seik Mu"/>
    <m/>
    <m/>
    <m/>
    <n v="8"/>
    <m/>
    <m/>
    <m/>
    <m/>
    <m/>
    <m/>
    <m/>
    <m/>
    <m/>
    <m/>
    <m/>
    <m/>
    <m/>
    <n v="0"/>
    <n v="0"/>
    <n v="0"/>
    <n v="0"/>
    <n v="0"/>
    <n v="0"/>
    <n v="0"/>
    <n v="0"/>
    <n v="0"/>
    <n v="0"/>
    <n v="0"/>
    <n v="0"/>
    <n v="0"/>
    <n v="0"/>
    <x v="0"/>
    <n v="0"/>
    <n v="0"/>
    <n v="0"/>
    <s v="MMR001CMP109"/>
    <x v="0"/>
    <x v="0"/>
    <x v="4"/>
    <n v="0"/>
    <m/>
    <m/>
  </r>
  <r>
    <n v="31.433333333333334"/>
    <d v="2014-10-01T00:00:00"/>
    <x v="1"/>
    <s v="Shalom"/>
    <s v="Kachin"/>
    <s v="Chipwi"/>
    <s v="Chipwi KBC camp"/>
    <m/>
    <m/>
    <m/>
    <n v="214"/>
    <m/>
    <m/>
    <m/>
    <m/>
    <m/>
    <m/>
    <m/>
    <m/>
    <m/>
    <n v="214"/>
    <m/>
    <m/>
    <m/>
    <n v="0"/>
    <n v="0"/>
    <n v="0"/>
    <n v="0"/>
    <n v="0"/>
    <n v="0"/>
    <n v="0"/>
    <n v="0"/>
    <n v="0"/>
    <n v="0"/>
    <n v="0"/>
    <n v="0"/>
    <n v="0"/>
    <n v="0"/>
    <x v="1"/>
    <n v="0"/>
    <n v="0"/>
    <n v="0"/>
    <s v="MMR001CMP042"/>
    <x v="0"/>
    <x v="0"/>
    <x v="3"/>
    <n v="0"/>
    <m/>
    <m/>
  </r>
  <r>
    <n v="31.433333333333334"/>
    <d v="2014-10-01T00:00:00"/>
    <x v="1"/>
    <s v="Shalom"/>
    <s v="Kachin"/>
    <s v="Hpakant"/>
    <s v="Dhama Rakhita, Nyein Chan Tar Yar Ward(Lon Khin)"/>
    <m/>
    <m/>
    <m/>
    <n v="130"/>
    <m/>
    <m/>
    <m/>
    <m/>
    <m/>
    <m/>
    <m/>
    <m/>
    <m/>
    <m/>
    <m/>
    <m/>
    <m/>
    <n v="0"/>
    <n v="0"/>
    <n v="0"/>
    <n v="0"/>
    <n v="0"/>
    <n v="0"/>
    <n v="0"/>
    <n v="0"/>
    <n v="0"/>
    <n v="0"/>
    <n v="0"/>
    <n v="0"/>
    <n v="0"/>
    <n v="0"/>
    <x v="0"/>
    <n v="0"/>
    <n v="0"/>
    <n v="0"/>
    <s v="MMR001CMP174"/>
    <x v="0"/>
    <x v="0"/>
    <x v="4"/>
    <n v="0"/>
    <m/>
    <m/>
  </r>
  <r>
    <n v="31.433333333333334"/>
    <d v="2014-10-01T00:00:00"/>
    <x v="1"/>
    <s v="KMSS"/>
    <s v="Kachin"/>
    <s v="Momauk"/>
    <s v="Dum Bung "/>
    <m/>
    <m/>
    <m/>
    <n v="238"/>
    <m/>
    <m/>
    <m/>
    <m/>
    <m/>
    <m/>
    <m/>
    <m/>
    <m/>
    <n v="238"/>
    <m/>
    <m/>
    <m/>
    <n v="0"/>
    <n v="0"/>
    <n v="0"/>
    <n v="0"/>
    <n v="0"/>
    <n v="0"/>
    <n v="0"/>
    <n v="0"/>
    <n v="0"/>
    <n v="0"/>
    <n v="0"/>
    <n v="0"/>
    <n v="0"/>
    <n v="0"/>
    <x v="1"/>
    <n v="0"/>
    <n v="0"/>
    <n v="0"/>
    <s v="MMR001CMP123"/>
    <x v="0"/>
    <x v="0"/>
    <x v="5"/>
    <n v="0"/>
    <m/>
    <m/>
  </r>
  <r>
    <n v="31.433333333333334"/>
    <d v="2014-10-01T00:00:00"/>
    <x v="1"/>
    <s v="Shalom"/>
    <s v="Kachin"/>
    <s v="Waingmaw"/>
    <s v="Hkat Cho "/>
    <m/>
    <m/>
    <m/>
    <n v="268"/>
    <m/>
    <m/>
    <m/>
    <m/>
    <m/>
    <m/>
    <m/>
    <m/>
    <m/>
    <m/>
    <m/>
    <m/>
    <m/>
    <n v="0"/>
    <n v="0"/>
    <n v="0"/>
    <n v="0"/>
    <n v="0"/>
    <n v="0"/>
    <n v="0"/>
    <n v="0"/>
    <n v="0"/>
    <n v="0"/>
    <n v="0"/>
    <n v="0"/>
    <n v="0"/>
    <n v="0"/>
    <x v="0"/>
    <n v="0"/>
    <n v="0"/>
    <n v="0"/>
    <s v="MMR001CMP028"/>
    <x v="0"/>
    <x v="0"/>
    <x v="4"/>
    <n v="0"/>
    <m/>
    <m/>
  </r>
  <r>
    <n v="31.433333333333334"/>
    <d v="2014-10-01T00:00:00"/>
    <x v="1"/>
    <s v="Shalom"/>
    <s v="Kachin"/>
    <s v="Hpakant"/>
    <s v="Hmaw Wan, Anglican"/>
    <m/>
    <m/>
    <m/>
    <n v="20"/>
    <m/>
    <m/>
    <m/>
    <m/>
    <m/>
    <m/>
    <m/>
    <m/>
    <m/>
    <m/>
    <m/>
    <m/>
    <m/>
    <n v="0"/>
    <n v="0"/>
    <n v="0"/>
    <n v="0"/>
    <n v="0"/>
    <n v="0"/>
    <n v="0"/>
    <n v="0"/>
    <n v="0"/>
    <n v="0"/>
    <n v="0"/>
    <n v="0"/>
    <n v="0"/>
    <n v="0"/>
    <x v="0"/>
    <n v="0"/>
    <n v="0"/>
    <n v="0"/>
    <s v="MMR001CMP191"/>
    <x v="0"/>
    <x v="0"/>
    <x v="4"/>
    <n v="0"/>
    <m/>
    <m/>
  </r>
  <r>
    <n v="31.433333333333334"/>
    <d v="2014-10-01T00:00:00"/>
    <x v="1"/>
    <s v="KMSS"/>
    <s v="Kachin"/>
    <s v="Myitkyina"/>
    <s v="Jan Mai Kawng Catholic Church"/>
    <m/>
    <m/>
    <m/>
    <n v="218"/>
    <m/>
    <m/>
    <m/>
    <m/>
    <m/>
    <m/>
    <m/>
    <m/>
    <m/>
    <m/>
    <m/>
    <m/>
    <m/>
    <n v="0"/>
    <n v="0"/>
    <n v="0"/>
    <n v="0"/>
    <n v="0"/>
    <n v="0"/>
    <n v="0"/>
    <n v="0"/>
    <n v="0"/>
    <n v="0"/>
    <n v="0"/>
    <n v="0"/>
    <n v="0"/>
    <n v="0"/>
    <x v="0"/>
    <n v="0"/>
    <n v="0"/>
    <n v="0"/>
    <s v="MMR001CMP019"/>
    <x v="0"/>
    <x v="0"/>
    <x v="4"/>
    <n v="0"/>
    <m/>
    <m/>
  </r>
  <r>
    <n v="31.433333333333334"/>
    <d v="2014-10-01T00:00:00"/>
    <x v="1"/>
    <s v="Shalom"/>
    <s v="Kachin"/>
    <s v="Chipwi"/>
    <s v="Lhaovao Baptist Church (LBC)"/>
    <m/>
    <m/>
    <m/>
    <n v="278"/>
    <m/>
    <m/>
    <m/>
    <m/>
    <m/>
    <m/>
    <m/>
    <m/>
    <m/>
    <n v="278"/>
    <m/>
    <m/>
    <m/>
    <n v="0"/>
    <n v="0"/>
    <n v="0"/>
    <n v="0"/>
    <n v="0"/>
    <n v="0"/>
    <n v="0"/>
    <n v="0"/>
    <n v="0"/>
    <n v="0"/>
    <n v="0"/>
    <n v="0"/>
    <n v="0"/>
    <n v="0"/>
    <x v="1"/>
    <n v="0"/>
    <n v="0"/>
    <n v="0"/>
    <s v="MMR001CMP195"/>
    <x v="0"/>
    <x v="0"/>
    <x v="3"/>
    <n v="0"/>
    <m/>
    <m/>
  </r>
  <r>
    <n v="31.433333333333334"/>
    <d v="2014-10-01T00:00:00"/>
    <x v="1"/>
    <s v="Shalom"/>
    <s v="Kachin"/>
    <s v="Hpakant"/>
    <s v="Lisu Baptist Church, Maw Shan Vil,. Seik Mu"/>
    <m/>
    <m/>
    <m/>
    <n v="40"/>
    <m/>
    <m/>
    <m/>
    <m/>
    <m/>
    <m/>
    <m/>
    <m/>
    <m/>
    <m/>
    <m/>
    <m/>
    <m/>
    <n v="0"/>
    <n v="0"/>
    <n v="0"/>
    <n v="0"/>
    <n v="0"/>
    <n v="0"/>
    <n v="0"/>
    <n v="0"/>
    <n v="0"/>
    <n v="0"/>
    <n v="0"/>
    <n v="0"/>
    <n v="0"/>
    <n v="0"/>
    <x v="0"/>
    <n v="0"/>
    <n v="0"/>
    <n v="0"/>
    <s v="MMR001CMP181"/>
    <x v="0"/>
    <x v="0"/>
    <x v="4"/>
    <n v="0"/>
    <m/>
    <m/>
  </r>
  <r>
    <n v="31.433333333333334"/>
    <d v="2014-10-01T00:00:00"/>
    <x v="1"/>
    <s v="Shalom"/>
    <s v="Kachin"/>
    <s v="Hpakant"/>
    <s v="Lisu Baptist Church, Maw Wan Ward"/>
    <m/>
    <m/>
    <m/>
    <n v="16"/>
    <m/>
    <m/>
    <m/>
    <m/>
    <m/>
    <m/>
    <m/>
    <m/>
    <m/>
    <m/>
    <m/>
    <m/>
    <m/>
    <n v="0"/>
    <n v="0"/>
    <n v="0"/>
    <n v="0"/>
    <n v="0"/>
    <n v="0"/>
    <n v="0"/>
    <n v="0"/>
    <n v="0"/>
    <n v="0"/>
    <n v="0"/>
    <n v="0"/>
    <n v="0"/>
    <n v="0"/>
    <x v="0"/>
    <n v="0"/>
    <n v="0"/>
    <n v="0"/>
    <s v="MMR001CMP167"/>
    <x v="0"/>
    <x v="0"/>
    <x v="4"/>
    <n v="0"/>
    <m/>
    <m/>
  </r>
  <r>
    <n v="31.433333333333334"/>
    <d v="2014-10-01T00:00:00"/>
    <x v="1"/>
    <s v="KMSS"/>
    <s v="Kachin"/>
    <s v="Waingmaw"/>
    <s v="Maga Yang "/>
    <m/>
    <m/>
    <m/>
    <n v="1248"/>
    <m/>
    <m/>
    <m/>
    <m/>
    <m/>
    <m/>
    <m/>
    <m/>
    <m/>
    <n v="1248"/>
    <m/>
    <m/>
    <m/>
    <n v="0"/>
    <n v="0"/>
    <n v="0"/>
    <n v="0"/>
    <n v="0"/>
    <n v="0"/>
    <n v="0"/>
    <n v="0"/>
    <n v="0"/>
    <n v="0"/>
    <n v="0"/>
    <n v="0"/>
    <n v="0"/>
    <n v="0"/>
    <x v="1"/>
    <n v="0"/>
    <n v="0"/>
    <n v="0"/>
    <s v="MMR001CMP119"/>
    <x v="0"/>
    <x v="0"/>
    <x v="5"/>
    <n v="0"/>
    <m/>
    <m/>
  </r>
  <r>
    <n v="31.433333333333334"/>
    <d v="2014-10-01T00:00:00"/>
    <x v="1"/>
    <s v="Shalom"/>
    <s v="Kachin"/>
    <s v="Waingmaw"/>
    <s v="Maina AG Church"/>
    <m/>
    <m/>
    <m/>
    <n v="286"/>
    <m/>
    <m/>
    <m/>
    <m/>
    <m/>
    <m/>
    <m/>
    <m/>
    <m/>
    <m/>
    <m/>
    <m/>
    <m/>
    <n v="0"/>
    <n v="0"/>
    <n v="0"/>
    <n v="0"/>
    <n v="0"/>
    <n v="0"/>
    <n v="0"/>
    <n v="0"/>
    <n v="0"/>
    <n v="0"/>
    <n v="0"/>
    <n v="0"/>
    <n v="0"/>
    <n v="0"/>
    <x v="0"/>
    <n v="0"/>
    <n v="0"/>
    <n v="0"/>
    <s v="MMR001CMP031"/>
    <x v="0"/>
    <x v="0"/>
    <x v="4"/>
    <n v="0"/>
    <m/>
    <m/>
  </r>
  <r>
    <n v="31.433333333333334"/>
    <d v="2014-10-01T00:00:00"/>
    <x v="1"/>
    <s v="KMSS"/>
    <s v="Kachin"/>
    <s v="Waingmaw"/>
    <s v="Maina Catholic Church (St. Joseph)"/>
    <m/>
    <m/>
    <m/>
    <n v="462"/>
    <m/>
    <m/>
    <m/>
    <m/>
    <m/>
    <m/>
    <m/>
    <m/>
    <m/>
    <m/>
    <m/>
    <m/>
    <m/>
    <n v="0"/>
    <n v="0"/>
    <n v="0"/>
    <n v="0"/>
    <n v="0"/>
    <n v="0"/>
    <n v="0"/>
    <n v="0"/>
    <n v="0"/>
    <n v="0"/>
    <n v="0"/>
    <n v="0"/>
    <n v="0"/>
    <n v="0"/>
    <x v="0"/>
    <n v="0"/>
    <n v="0"/>
    <n v="0"/>
    <s v="MMR001CMP029"/>
    <x v="0"/>
    <x v="0"/>
    <x v="4"/>
    <n v="0"/>
    <m/>
    <m/>
  </r>
  <r>
    <n v="31.433333333333334"/>
    <d v="2014-10-01T00:00:00"/>
    <x v="1"/>
    <s v="Shalom"/>
    <s v="Kachin"/>
    <s v="Myitkyina"/>
    <s v="Maw Hpawng Hka Nan Baptist Church"/>
    <m/>
    <m/>
    <m/>
    <n v="52"/>
    <m/>
    <m/>
    <m/>
    <m/>
    <m/>
    <m/>
    <m/>
    <m/>
    <m/>
    <m/>
    <m/>
    <m/>
    <m/>
    <n v="0"/>
    <n v="0"/>
    <n v="0"/>
    <n v="0"/>
    <n v="0"/>
    <n v="0"/>
    <n v="0"/>
    <n v="0"/>
    <n v="0"/>
    <n v="0"/>
    <n v="0"/>
    <n v="0"/>
    <n v="0"/>
    <n v="0"/>
    <x v="0"/>
    <n v="0"/>
    <n v="0"/>
    <n v="0"/>
    <s v="MMR001CMP020"/>
    <x v="0"/>
    <x v="0"/>
    <x v="4"/>
    <n v="0"/>
    <m/>
    <m/>
  </r>
  <r>
    <n v="31.433333333333334"/>
    <d v="2014-10-01T00:00:00"/>
    <x v="1"/>
    <s v="Shalom"/>
    <s v="Kachin"/>
    <s v="Myitkyina"/>
    <s v="Maw Hpawng Lhaovo Baptist Church"/>
    <m/>
    <m/>
    <m/>
    <n v="42"/>
    <m/>
    <m/>
    <m/>
    <m/>
    <m/>
    <m/>
    <m/>
    <m/>
    <m/>
    <m/>
    <m/>
    <m/>
    <m/>
    <n v="0"/>
    <n v="0"/>
    <n v="0"/>
    <n v="0"/>
    <n v="0"/>
    <n v="0"/>
    <n v="0"/>
    <n v="0"/>
    <n v="0"/>
    <n v="0"/>
    <n v="0"/>
    <n v="0"/>
    <n v="0"/>
    <n v="0"/>
    <x v="0"/>
    <n v="0"/>
    <n v="0"/>
    <n v="0"/>
    <s v="MMR001CMP021"/>
    <x v="0"/>
    <x v="0"/>
    <x v="4"/>
    <n v="0"/>
    <m/>
    <m/>
  </r>
  <r>
    <n v="31.433333333333334"/>
    <d v="2014-10-01T00:00:00"/>
    <x v="1"/>
    <s v="Shalom"/>
    <s v="Kachin"/>
    <s v="Hpakant"/>
    <s v="Maw Wan, Mu-yin Baptist Church"/>
    <m/>
    <m/>
    <m/>
    <n v="10"/>
    <m/>
    <m/>
    <m/>
    <m/>
    <m/>
    <m/>
    <m/>
    <m/>
    <m/>
    <m/>
    <m/>
    <m/>
    <m/>
    <n v="0"/>
    <n v="0"/>
    <n v="0"/>
    <n v="0"/>
    <n v="0"/>
    <n v="0"/>
    <n v="0"/>
    <n v="0"/>
    <n v="0"/>
    <n v="0"/>
    <n v="0"/>
    <n v="0"/>
    <n v="0"/>
    <n v="0"/>
    <x v="0"/>
    <n v="0"/>
    <n v="0"/>
    <n v="0"/>
    <s v="MMR001CMP091"/>
    <x v="0"/>
    <x v="0"/>
    <x v="4"/>
    <n v="0"/>
    <m/>
    <m/>
  </r>
  <r>
    <n v="31.433333333333334"/>
    <d v="2014-10-01T00:00:00"/>
    <x v="1"/>
    <s v="Shalom"/>
    <s v="Kachin"/>
    <s v="Hpakant"/>
    <s v="Nam Ma Phyit, COC"/>
    <m/>
    <m/>
    <m/>
    <n v="36"/>
    <m/>
    <m/>
    <m/>
    <m/>
    <m/>
    <m/>
    <m/>
    <m/>
    <m/>
    <m/>
    <m/>
    <m/>
    <m/>
    <n v="0"/>
    <n v="0"/>
    <n v="0"/>
    <n v="0"/>
    <n v="0"/>
    <n v="0"/>
    <n v="0"/>
    <n v="0"/>
    <n v="0"/>
    <n v="0"/>
    <n v="0"/>
    <n v="0"/>
    <n v="0"/>
    <n v="0"/>
    <x v="0"/>
    <n v="0"/>
    <n v="0"/>
    <n v="0"/>
    <s v="MMR001CMP192"/>
    <x v="0"/>
    <x v="0"/>
    <x v="4"/>
    <n v="0"/>
    <m/>
    <m/>
  </r>
  <r>
    <n v="31.433333333333334"/>
    <d v="2014-10-01T00:00:00"/>
    <x v="1"/>
    <s v="KMSS"/>
    <s v="Kachin"/>
    <s v="Myitkyina"/>
    <s v="Nan Kway St. John Catholic Church"/>
    <m/>
    <m/>
    <m/>
    <n v="144"/>
    <m/>
    <m/>
    <m/>
    <m/>
    <m/>
    <m/>
    <m/>
    <m/>
    <m/>
    <m/>
    <m/>
    <m/>
    <m/>
    <n v="0"/>
    <n v="0"/>
    <n v="0"/>
    <n v="0"/>
    <n v="0"/>
    <n v="0"/>
    <n v="0"/>
    <n v="0"/>
    <n v="0"/>
    <n v="0"/>
    <n v="0"/>
    <n v="0"/>
    <n v="0"/>
    <n v="0"/>
    <x v="0"/>
    <n v="0"/>
    <n v="0"/>
    <n v="0"/>
    <s v="MMR001CMP024"/>
    <x v="0"/>
    <x v="0"/>
    <x v="4"/>
    <n v="0"/>
    <m/>
    <m/>
  </r>
  <r>
    <n v="31.433333333333334"/>
    <d v="2014-10-01T00:00:00"/>
    <x v="1"/>
    <s v="KMSS"/>
    <s v="Kachin"/>
    <s v="Hpakant"/>
    <s v="Nant Ma Hpit Catholic Church"/>
    <m/>
    <m/>
    <m/>
    <n v="80"/>
    <m/>
    <m/>
    <m/>
    <m/>
    <m/>
    <m/>
    <m/>
    <m/>
    <m/>
    <m/>
    <m/>
    <m/>
    <m/>
    <n v="0"/>
    <n v="0"/>
    <n v="0"/>
    <n v="0"/>
    <n v="0"/>
    <n v="0"/>
    <n v="0"/>
    <n v="0"/>
    <n v="0"/>
    <n v="0"/>
    <n v="0"/>
    <n v="0"/>
    <n v="0"/>
    <n v="0"/>
    <x v="0"/>
    <n v="0"/>
    <n v="0"/>
    <n v="0"/>
    <s v="MMR001CMP103"/>
    <x v="0"/>
    <x v="0"/>
    <x v="4"/>
    <n v="0"/>
    <m/>
    <m/>
  </r>
  <r>
    <n v="31.433333333333334"/>
    <d v="2014-10-01T00:00:00"/>
    <x v="1"/>
    <s v="Shalom"/>
    <s v="Kachin"/>
    <s v="Waingmaw"/>
    <s v="Nawng Hee Village"/>
    <m/>
    <m/>
    <m/>
    <n v="36"/>
    <m/>
    <m/>
    <m/>
    <m/>
    <m/>
    <m/>
    <m/>
    <m/>
    <m/>
    <m/>
    <m/>
    <m/>
    <m/>
    <n v="0"/>
    <n v="0"/>
    <n v="0"/>
    <n v="0"/>
    <n v="0"/>
    <n v="0"/>
    <n v="0"/>
    <n v="0"/>
    <n v="0"/>
    <n v="0"/>
    <n v="0"/>
    <n v="0"/>
    <n v="0"/>
    <n v="0"/>
    <x v="0"/>
    <n v="0"/>
    <n v="0"/>
    <n v="0"/>
    <s v="MMR001CMP033"/>
    <x v="0"/>
    <x v="0"/>
    <x v="4"/>
    <n v="0"/>
    <m/>
    <m/>
  </r>
  <r>
    <n v="31.433333333333334"/>
    <d v="2014-10-01T00:00:00"/>
    <x v="1"/>
    <s v="KMSS"/>
    <s v="Kachin"/>
    <s v="Myitkyina"/>
    <s v="Pa Dauk Myaing(Pa La Na)"/>
    <m/>
    <m/>
    <m/>
    <n v="62"/>
    <m/>
    <m/>
    <m/>
    <m/>
    <m/>
    <m/>
    <m/>
    <m/>
    <m/>
    <m/>
    <m/>
    <m/>
    <m/>
    <n v="0"/>
    <n v="0"/>
    <n v="0"/>
    <n v="0"/>
    <n v="0"/>
    <n v="0"/>
    <n v="0"/>
    <n v="0"/>
    <n v="0"/>
    <n v="0"/>
    <n v="0"/>
    <n v="0"/>
    <n v="0"/>
    <n v="0"/>
    <x v="0"/>
    <n v="0"/>
    <n v="0"/>
    <n v="0"/>
    <s v="MMR001CMP162"/>
    <x v="0"/>
    <x v="0"/>
    <x v="4"/>
    <n v="0"/>
    <m/>
    <m/>
  </r>
  <r>
    <n v="31.433333333333334"/>
    <d v="2014-10-01T00:00:00"/>
    <x v="1"/>
    <s v="KMSS"/>
    <s v="Kachin"/>
    <s v="Chipwi"/>
    <s v="Pan Wa"/>
    <m/>
    <m/>
    <m/>
    <n v="130"/>
    <m/>
    <m/>
    <m/>
    <m/>
    <m/>
    <m/>
    <m/>
    <m/>
    <m/>
    <n v="130"/>
    <m/>
    <m/>
    <m/>
    <n v="0"/>
    <n v="0"/>
    <n v="0"/>
    <n v="0"/>
    <n v="0"/>
    <n v="0"/>
    <n v="0"/>
    <n v="0"/>
    <n v="0"/>
    <n v="0"/>
    <n v="0"/>
    <n v="0"/>
    <n v="0"/>
    <n v="0"/>
    <x v="1"/>
    <n v="0"/>
    <n v="0"/>
    <n v="0"/>
    <s v="MMR001CMP210"/>
    <x v="0"/>
    <x v="0"/>
    <x v="3"/>
    <n v="0"/>
    <m/>
    <m/>
  </r>
  <r>
    <n v="31.433333333333334"/>
    <d v="2014-10-01T00:00:00"/>
    <x v="1"/>
    <s v="Shalom"/>
    <s v="Kachin"/>
    <s v="Waingmaw"/>
    <s v="Qtr. 2 Lhaovo Baptist Church"/>
    <m/>
    <m/>
    <m/>
    <n v="240"/>
    <m/>
    <m/>
    <m/>
    <m/>
    <m/>
    <m/>
    <m/>
    <m/>
    <m/>
    <m/>
    <m/>
    <m/>
    <m/>
    <n v="0"/>
    <n v="0"/>
    <n v="0"/>
    <n v="0"/>
    <n v="0"/>
    <n v="0"/>
    <n v="0"/>
    <n v="0"/>
    <n v="0"/>
    <n v="0"/>
    <n v="0"/>
    <n v="0"/>
    <n v="0"/>
    <n v="0"/>
    <x v="0"/>
    <n v="0"/>
    <n v="0"/>
    <n v="0"/>
    <s v="MMR001CMP032"/>
    <x v="0"/>
    <x v="0"/>
    <x v="4"/>
    <n v="0"/>
    <m/>
    <m/>
  </r>
  <r>
    <n v="31.433333333333334"/>
    <d v="2014-10-01T00:00:00"/>
    <x v="1"/>
    <s v="Shalom"/>
    <s v="Kachin"/>
    <s v="Waingmaw"/>
    <s v="Qtr. 3 Mu-yin  Baptist Church"/>
    <m/>
    <m/>
    <m/>
    <n v="46"/>
    <m/>
    <m/>
    <m/>
    <m/>
    <m/>
    <m/>
    <m/>
    <m/>
    <m/>
    <m/>
    <m/>
    <m/>
    <m/>
    <n v="0"/>
    <n v="0"/>
    <n v="0"/>
    <n v="0"/>
    <n v="0"/>
    <n v="0"/>
    <n v="0"/>
    <n v="0"/>
    <n v="0"/>
    <n v="0"/>
    <n v="0"/>
    <n v="0"/>
    <n v="0"/>
    <n v="0"/>
    <x v="0"/>
    <n v="0"/>
    <n v="0"/>
    <n v="0"/>
    <s v="MMR001CMP030"/>
    <x v="0"/>
    <x v="0"/>
    <x v="4"/>
    <n v="0"/>
    <m/>
    <m/>
  </r>
  <r>
    <n v="31.433333333333334"/>
    <d v="2014-10-01T00:00:00"/>
    <x v="1"/>
    <s v="Shalom"/>
    <s v="Kachin"/>
    <s v="Waingmaw"/>
    <s v="Qtr. 4 Monestry (Thargaya Thayett Taw)"/>
    <m/>
    <m/>
    <m/>
    <n v="204"/>
    <m/>
    <m/>
    <m/>
    <m/>
    <m/>
    <m/>
    <m/>
    <m/>
    <m/>
    <m/>
    <m/>
    <m/>
    <m/>
    <n v="0"/>
    <n v="0"/>
    <n v="0"/>
    <n v="0"/>
    <n v="0"/>
    <n v="0"/>
    <n v="0"/>
    <n v="0"/>
    <n v="0"/>
    <n v="0"/>
    <n v="0"/>
    <n v="0"/>
    <n v="0"/>
    <n v="0"/>
    <x v="0"/>
    <n v="0"/>
    <n v="0"/>
    <n v="0"/>
    <s v="MMR001CMP026"/>
    <x v="0"/>
    <x v="0"/>
    <x v="4"/>
    <n v="0"/>
    <m/>
    <m/>
  </r>
  <r>
    <n v="31.433333333333334"/>
    <d v="2014-10-01T00:00:00"/>
    <x v="1"/>
    <s v="Shalom"/>
    <s v="Kachin"/>
    <s v="Hpakant"/>
    <s v="Rawan Baptist Church, Maw Shan Vil., Seik Mu"/>
    <m/>
    <m/>
    <m/>
    <n v="24"/>
    <m/>
    <m/>
    <m/>
    <m/>
    <m/>
    <m/>
    <m/>
    <m/>
    <m/>
    <m/>
    <m/>
    <m/>
    <m/>
    <n v="0"/>
    <n v="0"/>
    <n v="0"/>
    <n v="0"/>
    <n v="0"/>
    <n v="0"/>
    <n v="0"/>
    <n v="0"/>
    <n v="0"/>
    <n v="0"/>
    <n v="0"/>
    <n v="0"/>
    <n v="0"/>
    <n v="0"/>
    <x v="0"/>
    <n v="0"/>
    <n v="0"/>
    <n v="0"/>
    <s v="MMR001CMP182"/>
    <x v="0"/>
    <x v="0"/>
    <x v="4"/>
    <n v="0"/>
    <m/>
    <m/>
  </r>
  <r>
    <n v="31.433333333333334"/>
    <d v="2014-10-01T00:00:00"/>
    <x v="1"/>
    <s v="KMSS"/>
    <s v="Kachin"/>
    <s v="Chipwi"/>
    <s v="Saw Zam"/>
    <m/>
    <m/>
    <m/>
    <n v="56"/>
    <m/>
    <m/>
    <m/>
    <m/>
    <m/>
    <m/>
    <m/>
    <m/>
    <m/>
    <n v="56"/>
    <m/>
    <m/>
    <m/>
    <n v="0"/>
    <n v="0"/>
    <n v="0"/>
    <n v="0"/>
    <n v="0"/>
    <n v="0"/>
    <n v="0"/>
    <n v="0"/>
    <n v="0"/>
    <n v="0"/>
    <n v="0"/>
    <n v="0"/>
    <n v="0"/>
    <n v="0"/>
    <x v="1"/>
    <n v="0"/>
    <n v="0"/>
    <n v="0"/>
    <s v="MMR001CMP225"/>
    <x v="0"/>
    <x v="0"/>
    <x v="3"/>
    <n v="0"/>
    <m/>
    <m/>
  </r>
  <r>
    <n v="31.433333333333334"/>
    <d v="2014-10-01T00:00:00"/>
    <x v="1"/>
    <s v="Shalom"/>
    <s v="Kachin"/>
    <s v="Myitkyina"/>
    <s v="Shatapru Thida Aye Baptist Church"/>
    <m/>
    <m/>
    <m/>
    <n v="30"/>
    <m/>
    <m/>
    <m/>
    <m/>
    <m/>
    <m/>
    <m/>
    <m/>
    <m/>
    <m/>
    <m/>
    <m/>
    <m/>
    <n v="0"/>
    <n v="0"/>
    <n v="0"/>
    <n v="0"/>
    <n v="0"/>
    <n v="0"/>
    <n v="0"/>
    <n v="0"/>
    <n v="0"/>
    <n v="0"/>
    <n v="0"/>
    <n v="0"/>
    <n v="0"/>
    <n v="0"/>
    <x v="0"/>
    <n v="0"/>
    <n v="0"/>
    <n v="0"/>
    <s v="MMR001CMP007"/>
    <x v="0"/>
    <x v="0"/>
    <x v="4"/>
    <n v="0"/>
    <m/>
    <m/>
  </r>
  <r>
    <n v="31.433333333333334"/>
    <d v="2014-10-01T00:00:00"/>
    <x v="1"/>
    <s v="KMSS"/>
    <s v="Kachin"/>
    <s v="Mohnyin"/>
    <s v="St. Patrick Catholic Church "/>
    <m/>
    <m/>
    <m/>
    <n v="24"/>
    <m/>
    <m/>
    <m/>
    <m/>
    <m/>
    <m/>
    <m/>
    <m/>
    <m/>
    <m/>
    <m/>
    <m/>
    <m/>
    <n v="0"/>
    <n v="0"/>
    <n v="0"/>
    <n v="0"/>
    <n v="0"/>
    <n v="0"/>
    <n v="0"/>
    <n v="0"/>
    <n v="0"/>
    <n v="0"/>
    <n v="0"/>
    <n v="0"/>
    <n v="0"/>
    <n v="0"/>
    <x v="0"/>
    <n v="0"/>
    <n v="0"/>
    <n v="0"/>
    <s v="MMR001CMP080"/>
    <x v="0"/>
    <x v="0"/>
    <x v="4"/>
    <n v="0"/>
    <m/>
    <m/>
  </r>
  <r>
    <n v="31.433333333333334"/>
    <d v="2014-10-01T00:00:00"/>
    <x v="1"/>
    <s v="Shalom"/>
    <s v="Kachin"/>
    <s v="Myitkyina"/>
    <s v="Tat Kone Emanuel Church"/>
    <m/>
    <m/>
    <m/>
    <n v="26"/>
    <m/>
    <m/>
    <m/>
    <m/>
    <m/>
    <m/>
    <m/>
    <m/>
    <m/>
    <m/>
    <m/>
    <m/>
    <m/>
    <n v="0"/>
    <n v="0"/>
    <n v="0"/>
    <n v="0"/>
    <n v="0"/>
    <n v="0"/>
    <n v="0"/>
    <n v="0"/>
    <n v="0"/>
    <n v="0"/>
    <n v="0"/>
    <n v="0"/>
    <n v="0"/>
    <n v="0"/>
    <x v="0"/>
    <n v="0"/>
    <n v="0"/>
    <n v="0"/>
    <s v="MMR001CMP004"/>
    <x v="0"/>
    <x v="0"/>
    <x v="4"/>
    <n v="0"/>
    <m/>
    <m/>
  </r>
  <r>
    <n v="31.433333333333334"/>
    <d v="2014-10-01T00:00:00"/>
    <x v="1"/>
    <s v="Shalom"/>
    <s v="Kachin"/>
    <s v="Waingmaw"/>
    <s v="Thargaya Lisu Baptist Church"/>
    <m/>
    <m/>
    <m/>
    <n v="144"/>
    <m/>
    <m/>
    <m/>
    <m/>
    <m/>
    <m/>
    <m/>
    <m/>
    <m/>
    <m/>
    <m/>
    <m/>
    <m/>
    <n v="0"/>
    <n v="0"/>
    <n v="0"/>
    <n v="0"/>
    <n v="0"/>
    <n v="0"/>
    <n v="0"/>
    <n v="0"/>
    <n v="0"/>
    <n v="0"/>
    <n v="0"/>
    <n v="0"/>
    <n v="0"/>
    <n v="0"/>
    <x v="0"/>
    <n v="0"/>
    <n v="0"/>
    <n v="0"/>
    <s v="MMR001CMP037"/>
    <x v="0"/>
    <x v="0"/>
    <x v="4"/>
    <n v="0"/>
    <m/>
    <m/>
  </r>
  <r>
    <n v="31.433333333333334"/>
    <d v="2014-10-01T00:00:00"/>
    <x v="1"/>
    <s v="Shalom"/>
    <s v="Kachin"/>
    <s v="Waingmaw"/>
    <s v="Waingmaw AG Church"/>
    <m/>
    <m/>
    <m/>
    <n v="150"/>
    <m/>
    <m/>
    <m/>
    <m/>
    <m/>
    <m/>
    <m/>
    <m/>
    <m/>
    <m/>
    <m/>
    <m/>
    <m/>
    <n v="0"/>
    <n v="0"/>
    <n v="0"/>
    <n v="0"/>
    <n v="0"/>
    <n v="0"/>
    <n v="0"/>
    <n v="0"/>
    <n v="0"/>
    <n v="0"/>
    <n v="0"/>
    <n v="0"/>
    <n v="0"/>
    <n v="0"/>
    <x v="0"/>
    <n v="0"/>
    <n v="0"/>
    <n v="0"/>
    <s v="MMR001CMP038"/>
    <x v="0"/>
    <x v="0"/>
    <x v="4"/>
    <n v="0"/>
    <m/>
    <m/>
  </r>
  <r>
    <n v="31.433333333333334"/>
    <d v="2014-10-01T00:00:00"/>
    <x v="1"/>
    <s v="Shalom"/>
    <s v="Kachin"/>
    <s v="Myitkyina"/>
    <s v="Wun Tho Buddhist Monastery"/>
    <m/>
    <m/>
    <m/>
    <n v="12"/>
    <m/>
    <m/>
    <m/>
    <m/>
    <m/>
    <m/>
    <m/>
    <m/>
    <m/>
    <m/>
    <m/>
    <m/>
    <m/>
    <n v="0"/>
    <n v="0"/>
    <n v="0"/>
    <n v="0"/>
    <n v="0"/>
    <n v="0"/>
    <n v="0"/>
    <n v="0"/>
    <n v="0"/>
    <n v="0"/>
    <n v="0"/>
    <n v="0"/>
    <n v="0"/>
    <n v="0"/>
    <x v="0"/>
    <n v="0"/>
    <n v="0"/>
    <n v="0"/>
    <s v="MMR001CMP022"/>
    <x v="0"/>
    <x v="0"/>
    <x v="4"/>
    <n v="0"/>
    <m/>
    <m/>
  </r>
  <r>
    <n v="31.766666666666666"/>
    <d v="2014-09-21T00:00:00"/>
    <x v="1"/>
    <m/>
    <s v="Kachin"/>
    <s v="Momauk"/>
    <s v="Nhkawng Pa "/>
    <m/>
    <m/>
    <m/>
    <n v="604"/>
    <m/>
    <m/>
    <m/>
    <m/>
    <m/>
    <m/>
    <m/>
    <m/>
    <m/>
    <n v="784"/>
    <m/>
    <m/>
    <m/>
    <n v="0"/>
    <n v="0"/>
    <n v="0"/>
    <n v="0"/>
    <n v="0"/>
    <n v="0"/>
    <n v="0"/>
    <n v="0"/>
    <n v="0"/>
    <n v="0"/>
    <n v="0"/>
    <n v="0"/>
    <n v="0"/>
    <n v="0"/>
    <x v="1"/>
    <n v="0"/>
    <n v="0"/>
    <n v="0"/>
    <s v="MMR001CMP131"/>
    <x v="0"/>
    <x v="0"/>
    <x v="3"/>
    <n v="0"/>
    <m/>
    <m/>
  </r>
  <r>
    <n v="31.8"/>
    <d v="2014-09-20T00:00:00"/>
    <x v="1"/>
    <m/>
    <s v="Kachin"/>
    <s v="Momauk"/>
    <s v="Pa Kahtawng "/>
    <m/>
    <m/>
    <m/>
    <n v="1238"/>
    <m/>
    <m/>
    <m/>
    <m/>
    <m/>
    <m/>
    <m/>
    <m/>
    <m/>
    <n v="1761"/>
    <m/>
    <m/>
    <m/>
    <n v="0"/>
    <n v="0"/>
    <n v="0"/>
    <n v="0"/>
    <n v="0"/>
    <n v="0"/>
    <n v="0"/>
    <n v="0"/>
    <n v="0"/>
    <n v="0"/>
    <n v="0"/>
    <n v="0"/>
    <n v="0"/>
    <n v="0"/>
    <x v="1"/>
    <n v="0"/>
    <n v="0"/>
    <n v="0"/>
    <s v="MMR001CMP126"/>
    <x v="0"/>
    <x v="0"/>
    <x v="5"/>
    <n v="0"/>
    <m/>
    <m/>
  </r>
  <r>
    <n v="32.43333333333333"/>
    <d v="2014-09-01T00:00:00"/>
    <x v="6"/>
    <m/>
    <s v="Kachin"/>
    <s v="Waingmaw"/>
    <s v="Hkau Shau (BP 12)"/>
    <m/>
    <m/>
    <m/>
    <m/>
    <m/>
    <m/>
    <m/>
    <m/>
    <m/>
    <m/>
    <m/>
    <n v="407"/>
    <m/>
    <m/>
    <m/>
    <m/>
    <m/>
    <n v="0"/>
    <n v="0"/>
    <n v="0"/>
    <n v="0"/>
    <n v="0"/>
    <n v="0"/>
    <n v="0"/>
    <n v="0"/>
    <n v="0"/>
    <n v="0"/>
    <n v="0"/>
    <n v="0"/>
    <n v="0"/>
    <n v="0"/>
    <x v="1"/>
    <n v="0"/>
    <n v="0"/>
    <n v="0"/>
    <s v="MMR001CMP115"/>
    <x v="0"/>
    <x v="0"/>
    <x v="3"/>
    <n v="0"/>
    <m/>
    <m/>
  </r>
  <r>
    <n v="32.43333333333333"/>
    <d v="2014-09-01T00:00:00"/>
    <x v="6"/>
    <m/>
    <s v="Kachin"/>
    <s v="Chipwi"/>
    <s v="Hpare Hkyer - BP6"/>
    <m/>
    <m/>
    <m/>
    <m/>
    <m/>
    <m/>
    <m/>
    <m/>
    <m/>
    <m/>
    <m/>
    <n v="347"/>
    <m/>
    <m/>
    <m/>
    <m/>
    <m/>
    <n v="0"/>
    <n v="0"/>
    <n v="0"/>
    <n v="0"/>
    <n v="0"/>
    <n v="0"/>
    <n v="0"/>
    <n v="0"/>
    <n v="0"/>
    <n v="0"/>
    <n v="0"/>
    <n v="0"/>
    <n v="0"/>
    <n v="0"/>
    <x v="1"/>
    <n v="0"/>
    <n v="0"/>
    <n v="0"/>
    <s v="MMR001CMP043"/>
    <x v="0"/>
    <x v="0"/>
    <x v="3"/>
    <n v="0"/>
    <m/>
    <m/>
  </r>
  <r>
    <n v="32.43333333333333"/>
    <d v="2014-09-01T00:00:00"/>
    <x v="6"/>
    <m/>
    <s v="Kachin"/>
    <s v="Waingmaw"/>
    <s v="Maga Yang "/>
    <m/>
    <m/>
    <m/>
    <m/>
    <m/>
    <m/>
    <m/>
    <m/>
    <m/>
    <m/>
    <m/>
    <n v="917"/>
    <m/>
    <m/>
    <m/>
    <m/>
    <m/>
    <n v="0"/>
    <n v="0"/>
    <n v="0"/>
    <n v="0"/>
    <n v="0"/>
    <n v="0"/>
    <n v="0"/>
    <n v="0"/>
    <n v="0"/>
    <n v="0"/>
    <n v="0"/>
    <n v="0"/>
    <n v="0"/>
    <n v="0"/>
    <x v="1"/>
    <n v="0"/>
    <n v="0"/>
    <n v="0"/>
    <s v="MMR001CMP119"/>
    <x v="0"/>
    <x v="0"/>
    <x v="5"/>
    <n v="0"/>
    <m/>
    <m/>
  </r>
  <r>
    <n v="32.43333333333333"/>
    <d v="2014-09-01T00:00:00"/>
    <x v="6"/>
    <m/>
    <s v="Kachin"/>
    <s v="Waingmaw"/>
    <s v="Pajau - Jan Mai"/>
    <m/>
    <m/>
    <m/>
    <m/>
    <m/>
    <m/>
    <m/>
    <m/>
    <m/>
    <m/>
    <m/>
    <n v="291"/>
    <m/>
    <m/>
    <m/>
    <m/>
    <m/>
    <n v="0"/>
    <n v="0"/>
    <n v="0"/>
    <n v="0"/>
    <n v="0"/>
    <n v="0"/>
    <n v="0"/>
    <n v="0"/>
    <n v="0"/>
    <n v="0"/>
    <n v="0"/>
    <n v="0"/>
    <n v="0"/>
    <n v="0"/>
    <x v="1"/>
    <n v="0"/>
    <n v="0"/>
    <n v="0"/>
    <s v="MMR001CMP120"/>
    <x v="0"/>
    <x v="0"/>
    <x v="3"/>
    <n v="0"/>
    <m/>
    <m/>
  </r>
  <r>
    <n v="32.43333333333333"/>
    <d v="2014-09-01T00:00:00"/>
    <x v="6"/>
    <m/>
    <s v="Kachin"/>
    <s v="Waingmaw"/>
    <s v="Shing Jai"/>
    <m/>
    <m/>
    <m/>
    <m/>
    <m/>
    <m/>
    <m/>
    <m/>
    <m/>
    <m/>
    <m/>
    <n v="288"/>
    <m/>
    <m/>
    <m/>
    <m/>
    <m/>
    <n v="0"/>
    <n v="0"/>
    <n v="0"/>
    <n v="0"/>
    <n v="0"/>
    <n v="0"/>
    <n v="0"/>
    <n v="0"/>
    <n v="0"/>
    <n v="0"/>
    <n v="0"/>
    <n v="0"/>
    <n v="0"/>
    <n v="0"/>
    <x v="1"/>
    <n v="0"/>
    <n v="0"/>
    <n v="0"/>
    <s v="MMR001CMP041"/>
    <x v="0"/>
    <x v="0"/>
    <x v="3"/>
    <n v="0"/>
    <m/>
    <m/>
  </r>
  <r>
    <n v="32.43333333333333"/>
    <d v="2014-09-01T00:00:00"/>
    <x v="6"/>
    <m/>
    <s v="Kachin"/>
    <s v="Waingmaw"/>
    <s v="Zai Awng - Mung Ga Zup"/>
    <m/>
    <m/>
    <m/>
    <m/>
    <m/>
    <m/>
    <m/>
    <m/>
    <m/>
    <m/>
    <m/>
    <n v="905"/>
    <m/>
    <m/>
    <m/>
    <m/>
    <m/>
    <n v="0"/>
    <n v="0"/>
    <n v="0"/>
    <n v="0"/>
    <n v="0"/>
    <n v="0"/>
    <n v="0"/>
    <n v="0"/>
    <n v="0"/>
    <n v="0"/>
    <n v="0"/>
    <n v="0"/>
    <n v="0"/>
    <n v="0"/>
    <x v="1"/>
    <n v="0"/>
    <n v="0"/>
    <n v="0"/>
    <s v="MMR001CMP111"/>
    <x v="0"/>
    <x v="2"/>
    <x v="5"/>
    <n v="0"/>
    <m/>
    <m/>
  </r>
  <r>
    <n v="32.9"/>
    <d v="2014-08-18T00:00:00"/>
    <x v="1"/>
    <m/>
    <s v="Kachin"/>
    <s v="Mansi"/>
    <s v="Bum Tsit Pa Camp II"/>
    <m/>
    <m/>
    <m/>
    <m/>
    <n v="70"/>
    <m/>
    <m/>
    <m/>
    <m/>
    <m/>
    <m/>
    <m/>
    <m/>
    <m/>
    <m/>
    <m/>
    <m/>
    <n v="0"/>
    <n v="0"/>
    <n v="0"/>
    <n v="0"/>
    <n v="0"/>
    <n v="0"/>
    <n v="0"/>
    <n v="0"/>
    <n v="0"/>
    <n v="0"/>
    <n v="0"/>
    <n v="0"/>
    <n v="0"/>
    <n v="0"/>
    <x v="0"/>
    <n v="0"/>
    <n v="0"/>
    <n v="0"/>
    <s v="MMR001CMP226"/>
    <x v="0"/>
    <x v="2"/>
    <x v="5"/>
    <n v="0"/>
    <m/>
    <m/>
  </r>
  <r>
    <n v="33.166666666666664"/>
    <d v="2014-08-10T00:00:00"/>
    <x v="1"/>
    <m/>
    <s v="Kachin"/>
    <s v="Momauk"/>
    <s v="Pa Kahtawng "/>
    <m/>
    <m/>
    <m/>
    <n v="100"/>
    <n v="52"/>
    <n v="156"/>
    <n v="40"/>
    <m/>
    <n v="52"/>
    <n v="210"/>
    <m/>
    <m/>
    <m/>
    <m/>
    <m/>
    <m/>
    <m/>
    <n v="0"/>
    <n v="0"/>
    <n v="0"/>
    <n v="0"/>
    <n v="0"/>
    <n v="0"/>
    <n v="0"/>
    <n v="0"/>
    <n v="0"/>
    <n v="0"/>
    <n v="0"/>
    <n v="0"/>
    <n v="0"/>
    <n v="0"/>
    <x v="0"/>
    <n v="0"/>
    <n v="0"/>
    <n v="0"/>
    <s v="MMR001CMP126"/>
    <x v="0"/>
    <x v="0"/>
    <x v="5"/>
    <n v="9.7560975609756097E-4"/>
    <m/>
    <m/>
  </r>
  <r>
    <n v="33.266666666666666"/>
    <d v="2014-08-07T00:00:00"/>
    <x v="1"/>
    <s v="Shalom"/>
    <s v="Kachin"/>
    <s v="Chipwi"/>
    <s v="Lhaovao Baptist Church (LBC)"/>
    <m/>
    <m/>
    <n v="50"/>
    <n v="25"/>
    <n v="50"/>
    <n v="25"/>
    <m/>
    <n v="25"/>
    <n v="125"/>
    <m/>
    <m/>
    <m/>
    <m/>
    <m/>
    <m/>
    <m/>
    <m/>
    <n v="0"/>
    <n v="0"/>
    <n v="0"/>
    <n v="0"/>
    <n v="0"/>
    <n v="0"/>
    <n v="0"/>
    <n v="0"/>
    <n v="0"/>
    <n v="0"/>
    <n v="0"/>
    <n v="0"/>
    <n v="0"/>
    <n v="0"/>
    <x v="0"/>
    <n v="0"/>
    <n v="0"/>
    <n v="0"/>
    <s v="MMR001CMP195"/>
    <x v="0"/>
    <x v="0"/>
    <x v="3"/>
    <n v="0"/>
    <m/>
    <m/>
  </r>
  <r>
    <n v="33.266666666666666"/>
    <d v="2014-08-07T00:00:00"/>
    <x v="1"/>
    <s v="Shalom"/>
    <s v="Kachin"/>
    <s v="Waingmaw"/>
    <s v="Qtr. 2 Lhaovo Baptist Church"/>
    <m/>
    <m/>
    <n v="24"/>
    <n v="12"/>
    <n v="24"/>
    <n v="12"/>
    <m/>
    <n v="12"/>
    <n v="60"/>
    <m/>
    <m/>
    <m/>
    <m/>
    <m/>
    <m/>
    <m/>
    <m/>
    <n v="0"/>
    <n v="0"/>
    <n v="0"/>
    <n v="0"/>
    <n v="0"/>
    <n v="0"/>
    <n v="0"/>
    <n v="0"/>
    <n v="0"/>
    <n v="0"/>
    <n v="0"/>
    <n v="0"/>
    <n v="0"/>
    <n v="0"/>
    <x v="0"/>
    <n v="0"/>
    <n v="0"/>
    <n v="0"/>
    <s v="MMR001CMP032"/>
    <x v="0"/>
    <x v="0"/>
    <x v="4"/>
    <n v="0"/>
    <m/>
    <m/>
  </r>
  <r>
    <n v="33.366666666666667"/>
    <d v="2014-08-04T00:00:00"/>
    <x v="1"/>
    <m/>
    <s v="Kachin"/>
    <s v="Momauk"/>
    <s v="Loi Je Catholic Church"/>
    <m/>
    <m/>
    <m/>
    <m/>
    <n v="116"/>
    <m/>
    <m/>
    <m/>
    <m/>
    <m/>
    <m/>
    <m/>
    <m/>
    <m/>
    <m/>
    <m/>
    <m/>
    <n v="0"/>
    <n v="0"/>
    <n v="0"/>
    <n v="0"/>
    <n v="0"/>
    <n v="0"/>
    <n v="0"/>
    <n v="0"/>
    <n v="0"/>
    <n v="0"/>
    <n v="0"/>
    <n v="0"/>
    <n v="0"/>
    <n v="0"/>
    <x v="0"/>
    <n v="0"/>
    <n v="0"/>
    <n v="0"/>
    <s v="MMR001CMP069"/>
    <x v="0"/>
    <x v="0"/>
    <x v="0"/>
    <n v="0"/>
    <m/>
    <m/>
  </r>
  <r>
    <n v="33.366666666666667"/>
    <d v="2014-08-04T00:00:00"/>
    <x v="1"/>
    <m/>
    <s v="Kachin"/>
    <s v="Momauk"/>
    <s v="Loi Je Lisu Camp"/>
    <m/>
    <m/>
    <m/>
    <n v="84"/>
    <n v="36"/>
    <n v="84"/>
    <n v="36"/>
    <m/>
    <n v="36"/>
    <n v="180"/>
    <m/>
    <m/>
    <m/>
    <m/>
    <m/>
    <m/>
    <m/>
    <n v="0"/>
    <n v="0"/>
    <n v="0"/>
    <n v="0"/>
    <n v="0"/>
    <n v="0"/>
    <n v="0"/>
    <n v="0"/>
    <n v="0"/>
    <n v="0"/>
    <n v="0"/>
    <n v="0"/>
    <n v="0"/>
    <n v="0"/>
    <x v="0"/>
    <n v="0"/>
    <n v="0"/>
    <n v="0"/>
    <s v="MMR001CMP070"/>
    <x v="0"/>
    <x v="0"/>
    <x v="0"/>
    <n v="8.780487804878049E-4"/>
    <m/>
    <m/>
  </r>
  <r>
    <n v="33.366666666666667"/>
    <d v="2014-08-04T00:00:00"/>
    <x v="1"/>
    <m/>
    <s v="Kachin"/>
    <s v="Mansi"/>
    <s v="Maing Khaung Catholic Church"/>
    <m/>
    <m/>
    <m/>
    <m/>
    <m/>
    <m/>
    <m/>
    <m/>
    <n v="2"/>
    <m/>
    <m/>
    <m/>
    <m/>
    <m/>
    <m/>
    <m/>
    <m/>
    <n v="0"/>
    <n v="0"/>
    <n v="0"/>
    <n v="0"/>
    <n v="0"/>
    <n v="0"/>
    <n v="0"/>
    <n v="0"/>
    <n v="0"/>
    <n v="0"/>
    <n v="0"/>
    <n v="0"/>
    <n v="0"/>
    <n v="0"/>
    <x v="0"/>
    <n v="0"/>
    <n v="0"/>
    <n v="0"/>
    <s v="MMR001CMP223"/>
    <x v="0"/>
    <x v="0"/>
    <x v="4"/>
    <n v="0"/>
    <m/>
    <m/>
  </r>
  <r>
    <n v="33.366666666666667"/>
    <d v="2014-08-04T00:00:00"/>
    <x v="1"/>
    <m/>
    <s v="Kachin"/>
    <s v="Bhamo"/>
    <m/>
    <m/>
    <m/>
    <m/>
    <m/>
    <n v="5"/>
    <m/>
    <m/>
    <m/>
    <m/>
    <m/>
    <m/>
    <m/>
    <m/>
    <m/>
    <m/>
    <m/>
    <m/>
    <n v="0"/>
    <n v="0"/>
    <n v="0"/>
    <n v="0"/>
    <n v="0"/>
    <n v="0"/>
    <n v="0"/>
    <n v="0"/>
    <n v="0"/>
    <n v="0"/>
    <n v="0"/>
    <n v="0"/>
    <n v="0"/>
    <n v="0"/>
    <x v="0"/>
    <n v="0"/>
    <n v="0"/>
    <n v="0"/>
    <s v=""/>
    <x v="2"/>
    <x v="1"/>
    <x v="2"/>
    <s v=""/>
    <m/>
    <m/>
  </r>
  <r>
    <n v="33.56666666666667"/>
    <d v="2014-07-29T00:00:00"/>
    <x v="1"/>
    <m/>
    <s v="Kachin"/>
    <s v="Momauk"/>
    <s v="Je Yang Hka "/>
    <m/>
    <m/>
    <m/>
    <n v="254"/>
    <n v="204"/>
    <n v="254"/>
    <n v="134"/>
    <m/>
    <n v="134"/>
    <n v="608"/>
    <m/>
    <m/>
    <m/>
    <m/>
    <m/>
    <m/>
    <m/>
    <n v="0"/>
    <n v="0"/>
    <n v="0"/>
    <n v="0"/>
    <n v="0"/>
    <n v="0"/>
    <n v="0"/>
    <n v="0"/>
    <n v="0"/>
    <n v="0"/>
    <n v="0"/>
    <n v="0"/>
    <n v="0"/>
    <n v="0"/>
    <x v="0"/>
    <n v="0"/>
    <n v="0"/>
    <n v="0"/>
    <s v="MMR001CMP121"/>
    <x v="0"/>
    <x v="0"/>
    <x v="5"/>
    <n v="3.2634373249555539E-3"/>
    <m/>
    <m/>
  </r>
  <r>
    <n v="33.56666666666667"/>
    <d v="2014-07-29T00:00:00"/>
    <x v="1"/>
    <m/>
    <s v="Kachin"/>
    <s v="Waingmaw"/>
    <s v="Woi Chyai "/>
    <m/>
    <m/>
    <m/>
    <n v="46"/>
    <n v="46"/>
    <n v="46"/>
    <n v="16"/>
    <m/>
    <n v="16"/>
    <n v="142"/>
    <m/>
    <m/>
    <m/>
    <m/>
    <m/>
    <m/>
    <m/>
    <n v="0"/>
    <n v="0"/>
    <n v="0"/>
    <n v="0"/>
    <n v="0"/>
    <n v="0"/>
    <n v="0"/>
    <n v="0"/>
    <n v="0"/>
    <n v="0"/>
    <n v="0"/>
    <n v="0"/>
    <n v="0"/>
    <n v="0"/>
    <x v="0"/>
    <n v="0"/>
    <n v="0"/>
    <n v="0"/>
    <s v="MMR001CMP116"/>
    <x v="0"/>
    <x v="0"/>
    <x v="4"/>
    <n v="3.9316869394274479E-4"/>
    <m/>
    <m/>
  </r>
  <r>
    <n v="33.700000000000003"/>
    <d v="2014-07-25T00:00:00"/>
    <x v="1"/>
    <m/>
    <s v="Kachin"/>
    <s v="Bhamo"/>
    <s v="Lisu Boarding-House"/>
    <m/>
    <m/>
    <m/>
    <m/>
    <n v="7"/>
    <n v="3"/>
    <m/>
    <m/>
    <n v="4"/>
    <n v="9"/>
    <m/>
    <m/>
    <m/>
    <m/>
    <m/>
    <m/>
    <m/>
    <n v="0"/>
    <n v="0"/>
    <n v="0"/>
    <n v="0"/>
    <n v="0"/>
    <n v="0"/>
    <n v="0"/>
    <n v="0"/>
    <n v="0"/>
    <n v="0"/>
    <n v="0"/>
    <n v="0"/>
    <n v="0"/>
    <n v="0"/>
    <x v="0"/>
    <n v="0"/>
    <n v="0"/>
    <n v="0"/>
    <s v="MMR001CMP049"/>
    <x v="0"/>
    <x v="0"/>
    <x v="4"/>
    <n v="0"/>
    <m/>
    <m/>
  </r>
  <r>
    <n v="33.833333333333336"/>
    <d v="2014-07-21T00:00:00"/>
    <x v="1"/>
    <m/>
    <s v="Kachin"/>
    <s v="Bhamo"/>
    <s v="Lisu Boarding-House"/>
    <m/>
    <m/>
    <m/>
    <n v="10"/>
    <n v="36"/>
    <n v="10"/>
    <n v="5"/>
    <m/>
    <n v="33"/>
    <n v="117"/>
    <m/>
    <m/>
    <m/>
    <m/>
    <m/>
    <m/>
    <m/>
    <n v="0"/>
    <n v="0"/>
    <n v="0"/>
    <n v="0"/>
    <n v="0"/>
    <n v="0"/>
    <n v="0"/>
    <n v="0"/>
    <n v="0"/>
    <n v="0"/>
    <n v="0"/>
    <n v="0"/>
    <n v="0"/>
    <n v="0"/>
    <x v="0"/>
    <n v="0"/>
    <n v="0"/>
    <n v="0"/>
    <s v="MMR001CMP049"/>
    <x v="0"/>
    <x v="0"/>
    <x v="4"/>
    <n v="1.2286521685710776E-4"/>
    <m/>
    <m/>
  </r>
  <r>
    <n v="33.833333333333336"/>
    <d v="2014-07-21T00:00:00"/>
    <x v="1"/>
    <m/>
    <s v="Kachin"/>
    <s v="Momauk"/>
    <s v="Momauk Baptist Church"/>
    <m/>
    <m/>
    <m/>
    <m/>
    <n v="75"/>
    <m/>
    <m/>
    <m/>
    <m/>
    <m/>
    <m/>
    <m/>
    <m/>
    <m/>
    <m/>
    <m/>
    <m/>
    <n v="0"/>
    <n v="0"/>
    <n v="0"/>
    <n v="0"/>
    <n v="0"/>
    <n v="0"/>
    <n v="0"/>
    <n v="0"/>
    <n v="0"/>
    <n v="0"/>
    <n v="0"/>
    <n v="0"/>
    <n v="0"/>
    <n v="0"/>
    <x v="0"/>
    <n v="0"/>
    <n v="0"/>
    <n v="0"/>
    <s v="MMR001CMP056"/>
    <x v="0"/>
    <x v="0"/>
    <x v="4"/>
    <n v="0"/>
    <m/>
    <m/>
  </r>
  <r>
    <n v="34.233333333333334"/>
    <d v="2014-07-09T00:00:00"/>
    <x v="1"/>
    <m/>
    <s v="Kachin"/>
    <s v="Mansi"/>
    <s v="Maing Khaung"/>
    <m/>
    <m/>
    <m/>
    <m/>
    <m/>
    <n v="10"/>
    <m/>
    <m/>
    <m/>
    <m/>
    <m/>
    <m/>
    <m/>
    <m/>
    <m/>
    <m/>
    <m/>
    <n v="0"/>
    <n v="0"/>
    <n v="0"/>
    <n v="0"/>
    <n v="0"/>
    <n v="0"/>
    <n v="0"/>
    <n v="0"/>
    <n v="0"/>
    <n v="0"/>
    <n v="0"/>
    <n v="0"/>
    <n v="0"/>
    <n v="0"/>
    <x v="0"/>
    <n v="0"/>
    <n v="0"/>
    <n v="0"/>
    <s v="MMR001CMP218"/>
    <x v="0"/>
    <x v="0"/>
    <x v="4"/>
    <n v="0"/>
    <m/>
    <m/>
  </r>
  <r>
    <n v="34.233333333333334"/>
    <d v="2014-07-09T00:00:00"/>
    <x v="1"/>
    <m/>
    <s v="Kachin"/>
    <s v="Mansi"/>
    <s v="Maing Khaung Catholic Church"/>
    <m/>
    <m/>
    <m/>
    <n v="35"/>
    <n v="13"/>
    <n v="70"/>
    <n v="13"/>
    <m/>
    <n v="13"/>
    <n v="25"/>
    <m/>
    <m/>
    <m/>
    <m/>
    <m/>
    <m/>
    <m/>
    <n v="0"/>
    <n v="0"/>
    <n v="0"/>
    <n v="0"/>
    <n v="0"/>
    <n v="0"/>
    <n v="0"/>
    <n v="0"/>
    <n v="0"/>
    <n v="0"/>
    <n v="0"/>
    <n v="0"/>
    <n v="0"/>
    <n v="0"/>
    <x v="0"/>
    <n v="0"/>
    <n v="0"/>
    <n v="0"/>
    <s v="MMR001CMP223"/>
    <x v="0"/>
    <x v="0"/>
    <x v="4"/>
    <n v="3.1289111389236547E-4"/>
    <m/>
    <m/>
  </r>
  <r>
    <n v="34.366666666666667"/>
    <d v="2014-07-05T00:00:00"/>
    <x v="7"/>
    <s v="MRCS"/>
    <s v="Kachin"/>
    <s v="Waingmaw"/>
    <s v="Waingmaw AG Church"/>
    <m/>
    <m/>
    <m/>
    <m/>
    <m/>
    <m/>
    <m/>
    <m/>
    <m/>
    <m/>
    <m/>
    <m/>
    <m/>
    <n v="124"/>
    <m/>
    <m/>
    <m/>
    <n v="0"/>
    <n v="0"/>
    <n v="0"/>
    <n v="0"/>
    <n v="0"/>
    <n v="0"/>
    <n v="0"/>
    <n v="0"/>
    <n v="0"/>
    <n v="0"/>
    <n v="0"/>
    <n v="0"/>
    <n v="0"/>
    <n v="0"/>
    <x v="1"/>
    <n v="0"/>
    <n v="0"/>
    <n v="0"/>
    <s v="MMR001CMP038"/>
    <x v="0"/>
    <x v="0"/>
    <x v="4"/>
    <n v="0"/>
    <m/>
    <m/>
  </r>
  <r>
    <n v="34.43333333333333"/>
    <d v="2014-07-03T00:00:00"/>
    <x v="1"/>
    <m/>
    <s v="Kachin"/>
    <s v="Mansi"/>
    <s v="Maing Khaung"/>
    <m/>
    <m/>
    <m/>
    <m/>
    <m/>
    <n v="9"/>
    <m/>
    <m/>
    <n v="19"/>
    <n v="1"/>
    <m/>
    <m/>
    <m/>
    <m/>
    <m/>
    <m/>
    <m/>
    <n v="0"/>
    <n v="0"/>
    <n v="0"/>
    <n v="0"/>
    <n v="0"/>
    <n v="0"/>
    <n v="0"/>
    <n v="0"/>
    <n v="0"/>
    <n v="0"/>
    <n v="0"/>
    <n v="0"/>
    <n v="0"/>
    <n v="0"/>
    <x v="0"/>
    <n v="0"/>
    <n v="0"/>
    <n v="0"/>
    <s v="MMR001CMP218"/>
    <x v="0"/>
    <x v="0"/>
    <x v="4"/>
    <n v="0"/>
    <m/>
    <m/>
  </r>
  <r>
    <n v="34.43333333333333"/>
    <d v="2014-07-03T00:00:00"/>
    <x v="1"/>
    <m/>
    <s v="Kachin"/>
    <s v="Mansi"/>
    <s v="Maing Khaung Catholic Church"/>
    <m/>
    <m/>
    <m/>
    <n v="50"/>
    <n v="15"/>
    <m/>
    <n v="15"/>
    <m/>
    <n v="15"/>
    <n v="60"/>
    <m/>
    <m/>
    <m/>
    <m/>
    <m/>
    <m/>
    <m/>
    <n v="0"/>
    <n v="0"/>
    <n v="0"/>
    <n v="0"/>
    <n v="0"/>
    <n v="0"/>
    <n v="0"/>
    <n v="0"/>
    <n v="0"/>
    <n v="0"/>
    <n v="0"/>
    <n v="0"/>
    <n v="0"/>
    <n v="0"/>
    <x v="0"/>
    <n v="0"/>
    <n v="0"/>
    <n v="0"/>
    <s v="MMR001CMP223"/>
    <x v="0"/>
    <x v="0"/>
    <x v="4"/>
    <n v="3.6102820833734477E-4"/>
    <m/>
    <m/>
  </r>
  <r>
    <n v="34.5"/>
    <d v="2014-07-01T00:00:00"/>
    <x v="1"/>
    <m/>
    <s v="Kachin"/>
    <s v="Mansi"/>
    <s v="Maing Khaung"/>
    <m/>
    <m/>
    <m/>
    <m/>
    <n v="19"/>
    <m/>
    <n v="19"/>
    <m/>
    <m/>
    <n v="100"/>
    <m/>
    <m/>
    <m/>
    <m/>
    <m/>
    <m/>
    <m/>
    <n v="0"/>
    <n v="0"/>
    <n v="0"/>
    <n v="0"/>
    <n v="0"/>
    <n v="0"/>
    <n v="0"/>
    <n v="0"/>
    <n v="0"/>
    <n v="0"/>
    <n v="0"/>
    <n v="0"/>
    <n v="0"/>
    <n v="0"/>
    <x v="0"/>
    <n v="0"/>
    <n v="0"/>
    <n v="0"/>
    <s v="MMR001CMP218"/>
    <x v="0"/>
    <x v="0"/>
    <x v="4"/>
    <n v="4.5730239722730338E-4"/>
    <m/>
    <m/>
  </r>
  <r>
    <n v="34.700000000000003"/>
    <d v="2014-06-25T00:00:00"/>
    <x v="7"/>
    <s v="MRCS"/>
    <s v="Kachin"/>
    <s v="Momauk"/>
    <s v="Momauk Baptist Church"/>
    <m/>
    <m/>
    <m/>
    <m/>
    <m/>
    <m/>
    <m/>
    <m/>
    <m/>
    <m/>
    <m/>
    <m/>
    <m/>
    <n v="832"/>
    <m/>
    <m/>
    <m/>
    <n v="0"/>
    <n v="0"/>
    <n v="0"/>
    <n v="0"/>
    <n v="0"/>
    <n v="0"/>
    <n v="0"/>
    <n v="0"/>
    <n v="0"/>
    <n v="0"/>
    <n v="0"/>
    <n v="0"/>
    <n v="0"/>
    <n v="0"/>
    <x v="1"/>
    <n v="0"/>
    <n v="0"/>
    <n v="0"/>
    <s v="MMR001CMP056"/>
    <x v="0"/>
    <x v="0"/>
    <x v="4"/>
    <n v="0"/>
    <m/>
    <m/>
  </r>
  <r>
    <n v="34.733333333333334"/>
    <d v="2014-06-24T00:00:00"/>
    <x v="7"/>
    <s v="MRCS"/>
    <s v="Kachin"/>
    <s v="Myitkyina"/>
    <s v="Maw Hpawng Hka Nan Baptist Church"/>
    <m/>
    <m/>
    <m/>
    <m/>
    <m/>
    <m/>
    <m/>
    <m/>
    <m/>
    <m/>
    <m/>
    <m/>
    <m/>
    <n v="44"/>
    <m/>
    <m/>
    <m/>
    <n v="0"/>
    <n v="0"/>
    <n v="0"/>
    <n v="0"/>
    <n v="0"/>
    <n v="0"/>
    <n v="0"/>
    <n v="0"/>
    <n v="0"/>
    <n v="0"/>
    <n v="0"/>
    <n v="0"/>
    <n v="0"/>
    <n v="0"/>
    <x v="1"/>
    <n v="0"/>
    <n v="0"/>
    <n v="0"/>
    <s v="MMR001CMP020"/>
    <x v="0"/>
    <x v="0"/>
    <x v="4"/>
    <n v="0"/>
    <m/>
    <m/>
  </r>
  <r>
    <n v="34.733333333333334"/>
    <d v="2014-06-24T00:00:00"/>
    <x v="7"/>
    <s v="MRCS"/>
    <s v="Kachin"/>
    <s v="Myitkyina"/>
    <s v="Maw Hpawng Lhaovo Baptist Church"/>
    <m/>
    <m/>
    <m/>
    <m/>
    <m/>
    <m/>
    <m/>
    <m/>
    <m/>
    <m/>
    <m/>
    <m/>
    <m/>
    <n v="28"/>
    <m/>
    <m/>
    <m/>
    <n v="0"/>
    <n v="0"/>
    <n v="0"/>
    <n v="0"/>
    <n v="0"/>
    <n v="0"/>
    <n v="0"/>
    <n v="0"/>
    <n v="0"/>
    <n v="0"/>
    <n v="0"/>
    <n v="0"/>
    <n v="0"/>
    <n v="0"/>
    <x v="1"/>
    <n v="0"/>
    <n v="0"/>
    <n v="0"/>
    <s v="MMR001CMP021"/>
    <x v="0"/>
    <x v="0"/>
    <x v="4"/>
    <n v="0"/>
    <m/>
    <m/>
  </r>
  <r>
    <n v="34.766666666666666"/>
    <d v="2014-06-23T00:00:00"/>
    <x v="7"/>
    <s v="MRCS"/>
    <s v="Kachin"/>
    <s v="Myitkyina"/>
    <s v="Tat Kone San Pya Baptist Church"/>
    <m/>
    <m/>
    <m/>
    <m/>
    <m/>
    <m/>
    <m/>
    <m/>
    <m/>
    <m/>
    <m/>
    <m/>
    <m/>
    <n v="88"/>
    <m/>
    <m/>
    <m/>
    <n v="0"/>
    <n v="0"/>
    <n v="0"/>
    <n v="0"/>
    <n v="0"/>
    <n v="0"/>
    <n v="0"/>
    <n v="0"/>
    <n v="0"/>
    <n v="0"/>
    <n v="0"/>
    <n v="0"/>
    <n v="0"/>
    <n v="0"/>
    <x v="1"/>
    <n v="0"/>
    <n v="0"/>
    <n v="0"/>
    <s v="MMR001CMP005"/>
    <x v="0"/>
    <x v="0"/>
    <x v="4"/>
    <n v="0"/>
    <m/>
    <m/>
  </r>
  <r>
    <n v="34.799999999999997"/>
    <d v="2014-06-22T00:00:00"/>
    <x v="7"/>
    <s v="MRCS"/>
    <s v="Kachin"/>
    <s v="Momauk"/>
    <s v="Momauk Catholic Church (St. Patrick)"/>
    <m/>
    <m/>
    <m/>
    <m/>
    <m/>
    <m/>
    <m/>
    <m/>
    <m/>
    <m/>
    <m/>
    <m/>
    <m/>
    <n v="462"/>
    <m/>
    <m/>
    <m/>
    <n v="0"/>
    <n v="0"/>
    <n v="0"/>
    <n v="0"/>
    <n v="0"/>
    <n v="0"/>
    <n v="0"/>
    <n v="0"/>
    <n v="0"/>
    <n v="0"/>
    <n v="0"/>
    <n v="0"/>
    <n v="0"/>
    <n v="0"/>
    <x v="1"/>
    <n v="0"/>
    <n v="0"/>
    <n v="0"/>
    <s v="MMR001CMP057"/>
    <x v="0"/>
    <x v="2"/>
    <x v="4"/>
    <n v="0"/>
    <m/>
    <m/>
  </r>
  <r>
    <n v="34.833333333333336"/>
    <d v="2014-06-21T00:00:00"/>
    <x v="7"/>
    <s v="MRCS"/>
    <s v="Kachin"/>
    <s v="Myitkyina"/>
    <s v="Du Kahtawng Qtr. 14"/>
    <m/>
    <m/>
    <m/>
    <m/>
    <m/>
    <m/>
    <m/>
    <m/>
    <m/>
    <m/>
    <m/>
    <m/>
    <m/>
    <n v="12"/>
    <m/>
    <m/>
    <m/>
    <n v="0"/>
    <n v="0"/>
    <n v="0"/>
    <n v="0"/>
    <n v="0"/>
    <n v="0"/>
    <n v="0"/>
    <n v="0"/>
    <n v="0"/>
    <n v="0"/>
    <n v="0"/>
    <n v="0"/>
    <n v="0"/>
    <n v="0"/>
    <x v="1"/>
    <n v="0"/>
    <n v="0"/>
    <n v="0"/>
    <s v="MMR001CMP012"/>
    <x v="0"/>
    <x v="0"/>
    <x v="4"/>
    <n v="0"/>
    <m/>
    <m/>
  </r>
  <r>
    <n v="34.833333333333336"/>
    <d v="2014-06-21T00:00:00"/>
    <x v="7"/>
    <s v="MRCS"/>
    <s v="Kachin"/>
    <s v="Myitkyina"/>
    <s v="Du Kahtawng Qtr. 4"/>
    <m/>
    <m/>
    <m/>
    <m/>
    <m/>
    <m/>
    <m/>
    <m/>
    <m/>
    <m/>
    <m/>
    <m/>
    <m/>
    <n v="12"/>
    <m/>
    <m/>
    <m/>
    <n v="0"/>
    <n v="0"/>
    <n v="0"/>
    <n v="0"/>
    <n v="0"/>
    <n v="0"/>
    <n v="0"/>
    <n v="0"/>
    <n v="0"/>
    <n v="0"/>
    <n v="0"/>
    <n v="0"/>
    <n v="0"/>
    <n v="0"/>
    <x v="1"/>
    <n v="0"/>
    <n v="0"/>
    <n v="0"/>
    <s v="MMR001CMP010"/>
    <x v="0"/>
    <x v="0"/>
    <x v="4"/>
    <n v="0"/>
    <m/>
    <m/>
  </r>
  <r>
    <n v="34.833333333333336"/>
    <d v="2014-06-21T00:00:00"/>
    <x v="7"/>
    <s v="MRCS"/>
    <s v="Kachin"/>
    <s v="Myitkyina"/>
    <s v="Du Kahtawng Qtr. 5"/>
    <m/>
    <m/>
    <m/>
    <m/>
    <m/>
    <m/>
    <m/>
    <m/>
    <m/>
    <m/>
    <m/>
    <m/>
    <m/>
    <n v="16"/>
    <m/>
    <m/>
    <m/>
    <n v="0"/>
    <n v="0"/>
    <n v="0"/>
    <n v="0"/>
    <n v="0"/>
    <n v="0"/>
    <n v="0"/>
    <n v="0"/>
    <n v="0"/>
    <n v="0"/>
    <n v="0"/>
    <n v="0"/>
    <n v="0"/>
    <n v="0"/>
    <x v="1"/>
    <n v="0"/>
    <n v="0"/>
    <n v="0"/>
    <s v="MMR001CMP011"/>
    <x v="0"/>
    <x v="0"/>
    <x v="4"/>
    <n v="0"/>
    <m/>
    <m/>
  </r>
  <r>
    <n v="34.866666666666667"/>
    <d v="2014-06-20T00:00:00"/>
    <x v="7"/>
    <s v="MRCS"/>
    <s v="Kachin"/>
    <s v="Myitkyina"/>
    <s v="Tat Kone Emanuel Church"/>
    <m/>
    <m/>
    <m/>
    <m/>
    <m/>
    <m/>
    <m/>
    <m/>
    <m/>
    <m/>
    <m/>
    <m/>
    <m/>
    <n v="16"/>
    <m/>
    <m/>
    <m/>
    <n v="0"/>
    <n v="0"/>
    <n v="0"/>
    <n v="0"/>
    <n v="0"/>
    <n v="0"/>
    <n v="0"/>
    <n v="0"/>
    <n v="0"/>
    <n v="0"/>
    <n v="0"/>
    <n v="0"/>
    <n v="0"/>
    <n v="0"/>
    <x v="1"/>
    <n v="0"/>
    <n v="0"/>
    <n v="0"/>
    <s v="MMR001CMP004"/>
    <x v="0"/>
    <x v="0"/>
    <x v="4"/>
    <n v="0"/>
    <m/>
    <m/>
  </r>
  <r>
    <n v="34.966666666666669"/>
    <d v="2014-06-17T00:00:00"/>
    <x v="1"/>
    <m/>
    <s v="Kachin"/>
    <s v="Mansi"/>
    <s v="Maing Khaung"/>
    <m/>
    <m/>
    <m/>
    <n v="10"/>
    <n v="3"/>
    <n v="10"/>
    <n v="3"/>
    <m/>
    <n v="3"/>
    <n v="10"/>
    <m/>
    <m/>
    <m/>
    <m/>
    <m/>
    <m/>
    <m/>
    <n v="0"/>
    <n v="0"/>
    <n v="0"/>
    <n v="0"/>
    <n v="0"/>
    <n v="0"/>
    <n v="0"/>
    <n v="0"/>
    <n v="0"/>
    <n v="0"/>
    <n v="0"/>
    <n v="0"/>
    <n v="0"/>
    <n v="0"/>
    <x v="0"/>
    <n v="0"/>
    <n v="0"/>
    <n v="0"/>
    <s v="MMR001CMP218"/>
    <x v="0"/>
    <x v="0"/>
    <x v="4"/>
    <n v="7.2205641667468946E-5"/>
    <m/>
    <m/>
  </r>
  <r>
    <n v="35.033333333333331"/>
    <d v="2014-06-15T00:00:00"/>
    <x v="7"/>
    <s v="MRCS"/>
    <s v="Kachin"/>
    <s v="Shwegu"/>
    <s v="Shwe Gu Baptist Church"/>
    <m/>
    <m/>
    <m/>
    <m/>
    <m/>
    <m/>
    <m/>
    <m/>
    <m/>
    <m/>
    <m/>
    <m/>
    <m/>
    <n v="158"/>
    <m/>
    <m/>
    <m/>
    <n v="0"/>
    <n v="0"/>
    <n v="0"/>
    <n v="0"/>
    <n v="0"/>
    <n v="0"/>
    <n v="0"/>
    <n v="0"/>
    <n v="0"/>
    <n v="0"/>
    <n v="0"/>
    <n v="0"/>
    <n v="0"/>
    <n v="0"/>
    <x v="1"/>
    <n v="0"/>
    <n v="0"/>
    <n v="0"/>
    <s v="MMR001CMP067"/>
    <x v="0"/>
    <x v="0"/>
    <x v="4"/>
    <n v="0"/>
    <m/>
    <m/>
  </r>
  <r>
    <n v="35.033333333333331"/>
    <d v="2014-06-15T00:00:00"/>
    <x v="7"/>
    <s v="MRCS"/>
    <s v="Kachin"/>
    <s v="Shwegu"/>
    <s v="Shwe Gu Catholic Church"/>
    <m/>
    <m/>
    <m/>
    <m/>
    <m/>
    <m/>
    <m/>
    <m/>
    <m/>
    <m/>
    <m/>
    <m/>
    <m/>
    <n v="112"/>
    <m/>
    <m/>
    <m/>
    <n v="0"/>
    <n v="0"/>
    <n v="0"/>
    <n v="0"/>
    <n v="0"/>
    <n v="0"/>
    <n v="0"/>
    <n v="0"/>
    <n v="0"/>
    <n v="0"/>
    <n v="0"/>
    <n v="0"/>
    <n v="0"/>
    <n v="0"/>
    <x v="1"/>
    <n v="0"/>
    <n v="0"/>
    <n v="0"/>
    <s v="MMR001CMP068"/>
    <x v="0"/>
    <x v="0"/>
    <x v="4"/>
    <n v="0"/>
    <m/>
    <m/>
  </r>
  <r>
    <n v="35.06666666666667"/>
    <d v="2014-06-14T00:00:00"/>
    <x v="7"/>
    <s v="MRCS"/>
    <s v="Kachin"/>
    <s v="Myitkyina"/>
    <s v="Jan Mai Kawng Baptist Church"/>
    <m/>
    <m/>
    <m/>
    <m/>
    <m/>
    <m/>
    <m/>
    <m/>
    <m/>
    <m/>
    <m/>
    <m/>
    <m/>
    <n v="406"/>
    <m/>
    <m/>
    <m/>
    <n v="0"/>
    <n v="0"/>
    <n v="0"/>
    <n v="0"/>
    <n v="0"/>
    <n v="0"/>
    <n v="0"/>
    <n v="0"/>
    <n v="0"/>
    <n v="0"/>
    <n v="0"/>
    <n v="0"/>
    <n v="0"/>
    <n v="0"/>
    <x v="1"/>
    <n v="0"/>
    <n v="0"/>
    <n v="0"/>
    <s v="MMR001CMP018"/>
    <x v="0"/>
    <x v="0"/>
    <x v="4"/>
    <n v="0"/>
    <m/>
    <m/>
  </r>
  <r>
    <n v="35.06666666666667"/>
    <d v="2014-06-14T00:00:00"/>
    <x v="7"/>
    <s v="MRCS"/>
    <s v="Kachin"/>
    <s v="Myitkyina"/>
    <s v="Jan Mai Kawng Catholic Church"/>
    <m/>
    <m/>
    <m/>
    <m/>
    <m/>
    <m/>
    <m/>
    <m/>
    <m/>
    <m/>
    <m/>
    <m/>
    <m/>
    <n v="216"/>
    <m/>
    <m/>
    <m/>
    <n v="0"/>
    <n v="0"/>
    <n v="0"/>
    <n v="0"/>
    <n v="0"/>
    <n v="0"/>
    <n v="0"/>
    <n v="0"/>
    <n v="0"/>
    <n v="0"/>
    <n v="0"/>
    <n v="0"/>
    <n v="0"/>
    <n v="0"/>
    <x v="1"/>
    <n v="0"/>
    <n v="0"/>
    <n v="0"/>
    <s v="MMR001CMP019"/>
    <x v="0"/>
    <x v="0"/>
    <x v="4"/>
    <n v="0"/>
    <m/>
    <m/>
  </r>
  <r>
    <n v="35.1"/>
    <d v="2014-06-13T00:00:00"/>
    <x v="1"/>
    <m/>
    <s v="Kachin"/>
    <s v="Mansi"/>
    <s v="Maing Khaung"/>
    <m/>
    <m/>
    <m/>
    <n v="54"/>
    <n v="18"/>
    <n v="45"/>
    <n v="18"/>
    <m/>
    <n v="18"/>
    <n v="50"/>
    <m/>
    <m/>
    <m/>
    <m/>
    <m/>
    <m/>
    <m/>
    <n v="0"/>
    <n v="0"/>
    <n v="0"/>
    <n v="0"/>
    <n v="0"/>
    <n v="0"/>
    <n v="0"/>
    <n v="0"/>
    <n v="0"/>
    <n v="0"/>
    <n v="0"/>
    <n v="0"/>
    <n v="0"/>
    <n v="0"/>
    <x v="0"/>
    <n v="0"/>
    <n v="0"/>
    <n v="0"/>
    <s v="MMR001CMP218"/>
    <x v="0"/>
    <x v="0"/>
    <x v="4"/>
    <n v="4.332338500048137E-4"/>
    <m/>
    <m/>
  </r>
  <r>
    <n v="35.299999999999997"/>
    <d v="2014-06-07T00:00:00"/>
    <x v="7"/>
    <s v="MRCS"/>
    <s v="Kachin"/>
    <s v="Mohnyin"/>
    <s v="Nawng Ing (Indawgyi) Baptist Church  "/>
    <m/>
    <m/>
    <m/>
    <m/>
    <m/>
    <m/>
    <m/>
    <m/>
    <m/>
    <m/>
    <m/>
    <m/>
    <m/>
    <n v="40"/>
    <m/>
    <m/>
    <m/>
    <n v="0"/>
    <n v="0"/>
    <n v="0"/>
    <n v="0"/>
    <n v="0"/>
    <n v="0"/>
    <n v="0"/>
    <n v="0"/>
    <n v="0"/>
    <n v="0"/>
    <n v="0"/>
    <n v="0"/>
    <n v="0"/>
    <n v="0"/>
    <x v="1"/>
    <n v="0"/>
    <n v="0"/>
    <n v="0"/>
    <s v="MMR001CMP152"/>
    <x v="0"/>
    <x v="0"/>
    <x v="4"/>
    <n v="0"/>
    <m/>
    <m/>
  </r>
  <r>
    <n v="35.333333333333336"/>
    <d v="2014-06-06T00:00:00"/>
    <x v="7"/>
    <s v="MRCS"/>
    <s v="Kachin"/>
    <s v="Mohnyin"/>
    <s v="St. Patrick Catholic Church "/>
    <m/>
    <m/>
    <m/>
    <m/>
    <m/>
    <m/>
    <m/>
    <m/>
    <m/>
    <m/>
    <m/>
    <m/>
    <m/>
    <n v="24"/>
    <m/>
    <m/>
    <m/>
    <n v="0"/>
    <n v="0"/>
    <n v="0"/>
    <n v="0"/>
    <n v="0"/>
    <n v="0"/>
    <n v="0"/>
    <n v="0"/>
    <n v="0"/>
    <n v="0"/>
    <n v="0"/>
    <n v="0"/>
    <n v="0"/>
    <n v="0"/>
    <x v="1"/>
    <n v="0"/>
    <n v="0"/>
    <n v="0"/>
    <s v="MMR001CMP080"/>
    <x v="0"/>
    <x v="0"/>
    <x v="4"/>
    <n v="0"/>
    <m/>
    <m/>
  </r>
  <r>
    <n v="35.4"/>
    <d v="2014-06-04T00:00:00"/>
    <x v="1"/>
    <s v="KBC"/>
    <s v="Kachin"/>
    <s v="Momauk"/>
    <s v="Momauk Baptist Church"/>
    <m/>
    <m/>
    <m/>
    <m/>
    <n v="80"/>
    <m/>
    <m/>
    <m/>
    <m/>
    <m/>
    <m/>
    <m/>
    <m/>
    <m/>
    <m/>
    <m/>
    <m/>
    <n v="0"/>
    <n v="0"/>
    <n v="0"/>
    <n v="0"/>
    <n v="0"/>
    <n v="0"/>
    <n v="0"/>
    <n v="0"/>
    <n v="0"/>
    <n v="0"/>
    <n v="0"/>
    <n v="0"/>
    <n v="0"/>
    <n v="0"/>
    <x v="0"/>
    <n v="0"/>
    <n v="0"/>
    <n v="0"/>
    <s v="MMR001CMP056"/>
    <x v="0"/>
    <x v="0"/>
    <x v="4"/>
    <n v="0"/>
    <s v="No"/>
    <m/>
  </r>
  <r>
    <n v="35.56666666666667"/>
    <d v="2014-05-30T00:00:00"/>
    <x v="7"/>
    <s v="MRCS"/>
    <s v="Kachin"/>
    <s v="Myitkyina"/>
    <s v="Wun Tho Buddhist Monastery"/>
    <m/>
    <m/>
    <m/>
    <m/>
    <m/>
    <m/>
    <m/>
    <m/>
    <m/>
    <m/>
    <m/>
    <m/>
    <m/>
    <n v="12"/>
    <m/>
    <m/>
    <m/>
    <n v="0"/>
    <n v="0"/>
    <n v="0"/>
    <n v="0"/>
    <n v="0"/>
    <n v="0"/>
    <n v="0"/>
    <n v="0"/>
    <n v="0"/>
    <n v="0"/>
    <n v="0"/>
    <n v="0"/>
    <n v="0"/>
    <n v="0"/>
    <x v="1"/>
    <n v="0"/>
    <n v="0"/>
    <n v="0"/>
    <s v="MMR001CMP022"/>
    <x v="0"/>
    <x v="0"/>
    <x v="4"/>
    <n v="0"/>
    <m/>
    <m/>
  </r>
  <r>
    <n v="35.633333333333333"/>
    <d v="2014-05-28T00:00:00"/>
    <x v="7"/>
    <s v="MRCS"/>
    <s v="Kachin"/>
    <s v="Myitkyina"/>
    <s v="Tat Kone Baptist Church"/>
    <m/>
    <m/>
    <m/>
    <m/>
    <m/>
    <m/>
    <m/>
    <m/>
    <m/>
    <m/>
    <m/>
    <m/>
    <m/>
    <n v="120"/>
    <m/>
    <m/>
    <m/>
    <n v="0"/>
    <n v="0"/>
    <n v="0"/>
    <n v="0"/>
    <n v="0"/>
    <n v="0"/>
    <n v="0"/>
    <n v="0"/>
    <n v="0"/>
    <n v="0"/>
    <n v="0"/>
    <n v="0"/>
    <n v="0"/>
    <n v="0"/>
    <x v="1"/>
    <n v="0"/>
    <n v="0"/>
    <n v="0"/>
    <s v="MMR001CMP001"/>
    <x v="0"/>
    <x v="0"/>
    <x v="4"/>
    <n v="0"/>
    <m/>
    <m/>
  </r>
  <r>
    <n v="35.633333333333333"/>
    <d v="2014-05-28T00:00:00"/>
    <x v="7"/>
    <s v="MRCS"/>
    <s v="Kachin"/>
    <s v="Myitkyina"/>
    <s v="Tat Kone COC Baptist - Tat Kone Htoi San"/>
    <m/>
    <m/>
    <m/>
    <m/>
    <m/>
    <m/>
    <m/>
    <m/>
    <m/>
    <m/>
    <m/>
    <m/>
    <m/>
    <n v="138"/>
    <m/>
    <m/>
    <m/>
    <n v="0"/>
    <n v="0"/>
    <n v="0"/>
    <n v="0"/>
    <n v="0"/>
    <n v="0"/>
    <n v="0"/>
    <n v="0"/>
    <n v="0"/>
    <n v="0"/>
    <n v="0"/>
    <n v="0"/>
    <n v="0"/>
    <n v="0"/>
    <x v="1"/>
    <n v="0"/>
    <n v="0"/>
    <n v="0"/>
    <s v="MMR001CMP023"/>
    <x v="0"/>
    <x v="0"/>
    <x v="4"/>
    <n v="0"/>
    <m/>
    <m/>
  </r>
  <r>
    <n v="35.633333333333333"/>
    <d v="2014-05-28T00:00:00"/>
    <x v="7"/>
    <s v="MRCS"/>
    <s v="Kachin"/>
    <s v="Myitkyina"/>
    <s v="Tat Kone Galile Baptist Church"/>
    <m/>
    <m/>
    <m/>
    <m/>
    <m/>
    <m/>
    <m/>
    <m/>
    <m/>
    <m/>
    <m/>
    <m/>
    <m/>
    <n v="58"/>
    <m/>
    <m/>
    <m/>
    <n v="0"/>
    <n v="0"/>
    <n v="0"/>
    <n v="0"/>
    <n v="0"/>
    <n v="0"/>
    <n v="0"/>
    <n v="0"/>
    <n v="0"/>
    <n v="0"/>
    <n v="0"/>
    <n v="0"/>
    <n v="0"/>
    <n v="0"/>
    <x v="1"/>
    <n v="0"/>
    <n v="0"/>
    <n v="0"/>
    <s v="MMR001CMP003"/>
    <x v="0"/>
    <x v="0"/>
    <x v="4"/>
    <n v="0"/>
    <m/>
    <m/>
  </r>
  <r>
    <n v="35.666666666666664"/>
    <d v="2014-05-27T00:00:00"/>
    <x v="1"/>
    <s v="Shalom"/>
    <s v="Kachin"/>
    <s v="Chipwi"/>
    <s v="Chipwi KBC camp"/>
    <m/>
    <m/>
    <n v="36"/>
    <n v="18"/>
    <n v="36"/>
    <n v="18"/>
    <m/>
    <n v="18"/>
    <n v="90"/>
    <m/>
    <m/>
    <m/>
    <m/>
    <m/>
    <m/>
    <m/>
    <m/>
    <n v="0"/>
    <n v="0"/>
    <n v="0"/>
    <n v="0"/>
    <n v="0"/>
    <n v="0"/>
    <n v="0"/>
    <n v="0"/>
    <n v="0"/>
    <n v="0"/>
    <n v="0"/>
    <n v="0"/>
    <n v="0"/>
    <n v="0"/>
    <x v="0"/>
    <n v="0"/>
    <n v="0"/>
    <n v="0"/>
    <s v="MMR001CMP042"/>
    <x v="0"/>
    <x v="0"/>
    <x v="3"/>
    <n v="0"/>
    <m/>
    <m/>
  </r>
  <r>
    <n v="35.666666666666664"/>
    <d v="2014-05-27T00:00:00"/>
    <x v="1"/>
    <s v="Shalom"/>
    <s v="Kachin"/>
    <s v="Waingmaw"/>
    <s v="Hkat Cho "/>
    <m/>
    <m/>
    <n v="2"/>
    <n v="1"/>
    <n v="2"/>
    <n v="1"/>
    <m/>
    <n v="1"/>
    <n v="5"/>
    <m/>
    <m/>
    <m/>
    <m/>
    <m/>
    <m/>
    <m/>
    <m/>
    <n v="0"/>
    <n v="0"/>
    <n v="0"/>
    <n v="0"/>
    <n v="0"/>
    <n v="0"/>
    <n v="0"/>
    <n v="0"/>
    <n v="0"/>
    <n v="0"/>
    <n v="0"/>
    <n v="0"/>
    <n v="0"/>
    <n v="0"/>
    <x v="0"/>
    <n v="0"/>
    <n v="0"/>
    <n v="0"/>
    <s v="MMR001CMP028"/>
    <x v="0"/>
    <x v="0"/>
    <x v="4"/>
    <n v="0"/>
    <m/>
    <m/>
  </r>
  <r>
    <n v="35.666666666666664"/>
    <d v="2014-05-27T00:00:00"/>
    <x v="1"/>
    <s v="Shalom"/>
    <s v="Kachin"/>
    <s v="Waingmaw"/>
    <s v="Maina AG Church"/>
    <m/>
    <m/>
    <n v="50"/>
    <n v="25"/>
    <n v="50"/>
    <n v="25"/>
    <m/>
    <n v="25"/>
    <n v="125"/>
    <m/>
    <m/>
    <m/>
    <m/>
    <m/>
    <m/>
    <m/>
    <m/>
    <n v="0"/>
    <n v="0"/>
    <n v="0"/>
    <n v="0"/>
    <n v="0"/>
    <n v="0"/>
    <n v="0"/>
    <n v="0"/>
    <n v="0"/>
    <n v="0"/>
    <n v="0"/>
    <n v="0"/>
    <n v="0"/>
    <n v="0"/>
    <x v="0"/>
    <n v="0"/>
    <n v="0"/>
    <n v="0"/>
    <s v="MMR001CMP031"/>
    <x v="0"/>
    <x v="0"/>
    <x v="4"/>
    <n v="0"/>
    <m/>
    <m/>
  </r>
  <r>
    <n v="35.666666666666664"/>
    <d v="2014-05-27T00:00:00"/>
    <x v="1"/>
    <s v="Shalom"/>
    <s v="Kachin"/>
    <s v="Myitkyina"/>
    <s v="Maw Hpawng Hka Nan Baptist Church"/>
    <m/>
    <m/>
    <n v="12"/>
    <n v="6"/>
    <n v="12"/>
    <n v="6"/>
    <m/>
    <n v="6"/>
    <n v="30"/>
    <m/>
    <m/>
    <m/>
    <m/>
    <m/>
    <m/>
    <m/>
    <m/>
    <n v="0"/>
    <n v="0"/>
    <n v="0"/>
    <n v="0"/>
    <n v="0"/>
    <n v="0"/>
    <n v="0"/>
    <n v="0"/>
    <n v="0"/>
    <n v="0"/>
    <n v="0"/>
    <n v="0"/>
    <n v="0"/>
    <n v="0"/>
    <x v="0"/>
    <n v="0"/>
    <n v="0"/>
    <n v="0"/>
    <s v="MMR001CMP020"/>
    <x v="0"/>
    <x v="0"/>
    <x v="4"/>
    <n v="0"/>
    <m/>
    <m/>
  </r>
  <r>
    <n v="35.666666666666664"/>
    <d v="2014-05-27T00:00:00"/>
    <x v="1"/>
    <s v="Shalom"/>
    <s v="Kachin"/>
    <s v="Waingmaw"/>
    <s v="Qtr. 4 Monestry (Thargaya Thayett Taw)"/>
    <m/>
    <m/>
    <n v="3"/>
    <n v="3"/>
    <n v="6"/>
    <n v="3"/>
    <m/>
    <n v="3"/>
    <n v="15"/>
    <m/>
    <m/>
    <m/>
    <m/>
    <m/>
    <m/>
    <m/>
    <m/>
    <n v="0"/>
    <n v="0"/>
    <n v="0"/>
    <n v="0"/>
    <n v="0"/>
    <n v="0"/>
    <n v="0"/>
    <n v="0"/>
    <n v="0"/>
    <n v="0"/>
    <n v="0"/>
    <n v="0"/>
    <n v="0"/>
    <n v="0"/>
    <x v="0"/>
    <n v="0"/>
    <n v="0"/>
    <n v="0"/>
    <s v="MMR001CMP026"/>
    <x v="0"/>
    <x v="0"/>
    <x v="4"/>
    <n v="0"/>
    <m/>
    <m/>
  </r>
  <r>
    <n v="35.666666666666664"/>
    <d v="2014-05-27T00:00:00"/>
    <x v="1"/>
    <s v="Shalom"/>
    <s v="Kachin"/>
    <s v="Waingmaw"/>
    <s v="Thargaya Lisu Baptist Church"/>
    <m/>
    <m/>
    <n v="18"/>
    <n v="9"/>
    <n v="18"/>
    <n v="9"/>
    <m/>
    <n v="9"/>
    <n v="45"/>
    <m/>
    <m/>
    <m/>
    <m/>
    <m/>
    <m/>
    <m/>
    <m/>
    <n v="0"/>
    <n v="0"/>
    <n v="0"/>
    <n v="0"/>
    <n v="0"/>
    <n v="0"/>
    <n v="0"/>
    <n v="0"/>
    <n v="0"/>
    <n v="0"/>
    <n v="0"/>
    <n v="0"/>
    <n v="0"/>
    <n v="0"/>
    <x v="0"/>
    <n v="0"/>
    <n v="0"/>
    <n v="0"/>
    <s v="MMR001CMP037"/>
    <x v="0"/>
    <x v="0"/>
    <x v="4"/>
    <n v="0"/>
    <m/>
    <m/>
  </r>
  <r>
    <n v="35.700000000000003"/>
    <d v="2014-05-26T00:00:00"/>
    <x v="7"/>
    <s v="MRCS"/>
    <s v="Kachin"/>
    <s v="Waingmaw"/>
    <s v="Nawng Hee Village"/>
    <m/>
    <m/>
    <m/>
    <m/>
    <m/>
    <m/>
    <m/>
    <m/>
    <m/>
    <m/>
    <m/>
    <m/>
    <m/>
    <n v="36"/>
    <m/>
    <m/>
    <m/>
    <n v="0"/>
    <n v="0"/>
    <n v="0"/>
    <n v="0"/>
    <n v="0"/>
    <n v="0"/>
    <n v="0"/>
    <n v="0"/>
    <n v="0"/>
    <n v="0"/>
    <n v="0"/>
    <n v="0"/>
    <n v="0"/>
    <n v="0"/>
    <x v="1"/>
    <n v="0"/>
    <n v="0"/>
    <n v="0"/>
    <s v="MMR001CMP033"/>
    <x v="0"/>
    <x v="0"/>
    <x v="4"/>
    <n v="0"/>
    <m/>
    <m/>
  </r>
  <r>
    <n v="35.733333333333334"/>
    <d v="2014-05-25T00:00:00"/>
    <x v="7"/>
    <s v="MRCS"/>
    <s v="Kachin"/>
    <s v="Waingmaw"/>
    <s v="Hkat Cho "/>
    <m/>
    <m/>
    <m/>
    <m/>
    <m/>
    <m/>
    <m/>
    <m/>
    <m/>
    <m/>
    <m/>
    <m/>
    <m/>
    <n v="224"/>
    <m/>
    <m/>
    <m/>
    <n v="0"/>
    <n v="0"/>
    <n v="0"/>
    <n v="0"/>
    <n v="0"/>
    <n v="0"/>
    <n v="0"/>
    <n v="0"/>
    <n v="0"/>
    <n v="0"/>
    <n v="0"/>
    <n v="0"/>
    <n v="0"/>
    <n v="0"/>
    <x v="1"/>
    <n v="0"/>
    <n v="0"/>
    <n v="0"/>
    <s v="MMR001CMP028"/>
    <x v="0"/>
    <x v="0"/>
    <x v="4"/>
    <n v="0"/>
    <m/>
    <m/>
  </r>
  <r>
    <n v="35.733333333333334"/>
    <d v="2014-05-25T00:00:00"/>
    <x v="7"/>
    <s v="MRCS"/>
    <s v="Kachin"/>
    <s v="Waingmaw"/>
    <s v="Qtr. 4 Monestry (Thargaya Thayett Taw)"/>
    <m/>
    <m/>
    <m/>
    <m/>
    <m/>
    <m/>
    <m/>
    <m/>
    <m/>
    <m/>
    <m/>
    <m/>
    <m/>
    <n v="182"/>
    <m/>
    <m/>
    <m/>
    <n v="0"/>
    <n v="0"/>
    <n v="0"/>
    <n v="0"/>
    <n v="0"/>
    <n v="0"/>
    <n v="0"/>
    <n v="0"/>
    <n v="0"/>
    <n v="0"/>
    <n v="0"/>
    <n v="0"/>
    <n v="0"/>
    <n v="0"/>
    <x v="1"/>
    <n v="0"/>
    <n v="0"/>
    <n v="0"/>
    <s v="MMR001CMP026"/>
    <x v="0"/>
    <x v="0"/>
    <x v="4"/>
    <n v="0"/>
    <m/>
    <m/>
  </r>
  <r>
    <n v="35.833333333333336"/>
    <d v="2014-05-22T00:00:00"/>
    <x v="7"/>
    <s v="MRCS"/>
    <s v="Kachin"/>
    <s v="Waingmaw"/>
    <s v="Mading Baptist Church"/>
    <m/>
    <m/>
    <m/>
    <m/>
    <m/>
    <m/>
    <m/>
    <m/>
    <m/>
    <m/>
    <m/>
    <m/>
    <m/>
    <n v="46"/>
    <m/>
    <m/>
    <m/>
    <n v="0"/>
    <n v="0"/>
    <n v="0"/>
    <n v="0"/>
    <n v="0"/>
    <n v="0"/>
    <n v="0"/>
    <n v="0"/>
    <n v="0"/>
    <n v="0"/>
    <n v="0"/>
    <n v="0"/>
    <n v="0"/>
    <n v="0"/>
    <x v="1"/>
    <n v="0"/>
    <n v="0"/>
    <n v="0"/>
    <s v="MMR001CMP027"/>
    <x v="0"/>
    <x v="0"/>
    <x v="4"/>
    <n v="0"/>
    <m/>
    <m/>
  </r>
  <r>
    <n v="35.833333333333336"/>
    <d v="2014-05-22T00:00:00"/>
    <x v="7"/>
    <s v="MRCS"/>
    <s v="Kachin"/>
    <s v="Waingmaw"/>
    <s v="Qtr. 2 Lhaovo Baptist Church"/>
    <m/>
    <m/>
    <m/>
    <m/>
    <m/>
    <m/>
    <m/>
    <m/>
    <m/>
    <m/>
    <m/>
    <m/>
    <m/>
    <n v="88"/>
    <m/>
    <m/>
    <m/>
    <n v="0"/>
    <n v="0"/>
    <n v="0"/>
    <n v="0"/>
    <n v="0"/>
    <n v="0"/>
    <n v="0"/>
    <n v="0"/>
    <n v="0"/>
    <n v="0"/>
    <n v="0"/>
    <n v="0"/>
    <n v="0"/>
    <n v="0"/>
    <x v="1"/>
    <n v="0"/>
    <n v="0"/>
    <n v="0"/>
    <s v="MMR001CMP032"/>
    <x v="0"/>
    <x v="0"/>
    <x v="4"/>
    <n v="0"/>
    <m/>
    <m/>
  </r>
  <r>
    <n v="35.833333333333336"/>
    <d v="2014-05-22T00:00:00"/>
    <x v="7"/>
    <s v="MRCS"/>
    <s v="Kachin"/>
    <s v="Waingmaw"/>
    <s v="Qtr. 2 Myoma Baptist Church"/>
    <m/>
    <m/>
    <m/>
    <m/>
    <m/>
    <m/>
    <m/>
    <m/>
    <m/>
    <m/>
    <m/>
    <m/>
    <m/>
    <n v="140"/>
    <m/>
    <m/>
    <m/>
    <n v="0"/>
    <n v="0"/>
    <n v="0"/>
    <n v="0"/>
    <n v="0"/>
    <n v="0"/>
    <n v="0"/>
    <n v="0"/>
    <n v="0"/>
    <n v="0"/>
    <n v="0"/>
    <n v="0"/>
    <n v="0"/>
    <n v="0"/>
    <x v="1"/>
    <n v="0"/>
    <n v="0"/>
    <n v="0"/>
    <s v="MMR001CMP025"/>
    <x v="0"/>
    <x v="0"/>
    <x v="4"/>
    <n v="0"/>
    <m/>
    <m/>
  </r>
  <r>
    <n v="35.866666666666667"/>
    <d v="2014-05-21T00:00:00"/>
    <x v="7"/>
    <s v="MRCS"/>
    <s v="Kachin"/>
    <s v="Myitkyina"/>
    <s v="Shatapru Thida Aye Baptist Church"/>
    <m/>
    <m/>
    <m/>
    <m/>
    <m/>
    <m/>
    <m/>
    <m/>
    <m/>
    <m/>
    <m/>
    <m/>
    <m/>
    <n v="30"/>
    <m/>
    <m/>
    <m/>
    <n v="0"/>
    <n v="0"/>
    <n v="0"/>
    <n v="0"/>
    <n v="0"/>
    <n v="0"/>
    <n v="0"/>
    <n v="0"/>
    <n v="0"/>
    <n v="0"/>
    <n v="0"/>
    <n v="0"/>
    <n v="0"/>
    <n v="0"/>
    <x v="1"/>
    <n v="0"/>
    <n v="0"/>
    <n v="0"/>
    <s v="MMR001CMP007"/>
    <x v="0"/>
    <x v="0"/>
    <x v="4"/>
    <n v="0"/>
    <m/>
    <m/>
  </r>
  <r>
    <n v="35.866666666666667"/>
    <d v="2014-05-21T00:00:00"/>
    <x v="7"/>
    <s v="MRCS"/>
    <s v="Kachin"/>
    <s v="Waingmaw"/>
    <s v="Thargaya Lisu Baptist Church"/>
    <m/>
    <m/>
    <m/>
    <m/>
    <m/>
    <m/>
    <m/>
    <m/>
    <m/>
    <m/>
    <m/>
    <m/>
    <m/>
    <n v="136"/>
    <m/>
    <m/>
    <m/>
    <n v="0"/>
    <n v="0"/>
    <n v="0"/>
    <n v="0"/>
    <n v="0"/>
    <n v="0"/>
    <n v="0"/>
    <n v="0"/>
    <n v="0"/>
    <n v="0"/>
    <n v="0"/>
    <n v="0"/>
    <n v="0"/>
    <n v="0"/>
    <x v="1"/>
    <n v="0"/>
    <n v="0"/>
    <n v="0"/>
    <s v="MMR001CMP037"/>
    <x v="0"/>
    <x v="0"/>
    <x v="4"/>
    <n v="0"/>
    <m/>
    <m/>
  </r>
  <r>
    <n v="35.866666666666667"/>
    <d v="2014-05-21T00:00:00"/>
    <x v="7"/>
    <s v="MRCS"/>
    <s v="Kachin"/>
    <s v="Myitkyina"/>
    <s v="Myay Myint Baptist Church"/>
    <m/>
    <m/>
    <m/>
    <m/>
    <m/>
    <m/>
    <m/>
    <m/>
    <m/>
    <m/>
    <m/>
    <m/>
    <m/>
    <n v="24"/>
    <m/>
    <m/>
    <m/>
    <n v="0"/>
    <n v="0"/>
    <n v="0"/>
    <n v="0"/>
    <n v="0"/>
    <n v="0"/>
    <n v="0"/>
    <n v="0"/>
    <n v="0"/>
    <n v="0"/>
    <n v="0"/>
    <n v="0"/>
    <n v="0"/>
    <n v="0"/>
    <x v="1"/>
    <n v="0"/>
    <n v="0"/>
    <n v="0"/>
    <s v="MMR001CMP017"/>
    <x v="0"/>
    <x v="2"/>
    <x v="4"/>
    <n v="0"/>
    <m/>
    <m/>
  </r>
  <r>
    <n v="35.9"/>
    <d v="2014-05-20T00:00:00"/>
    <x v="7"/>
    <s v="MRCS"/>
    <s v="Kachin"/>
    <s v="Myitkyina"/>
    <s v="Kyun Pin Thar Baptist Church"/>
    <m/>
    <m/>
    <m/>
    <m/>
    <m/>
    <m/>
    <m/>
    <m/>
    <m/>
    <m/>
    <m/>
    <m/>
    <m/>
    <n v="88"/>
    <m/>
    <m/>
    <m/>
    <n v="0"/>
    <n v="0"/>
    <n v="0"/>
    <n v="0"/>
    <n v="0"/>
    <n v="0"/>
    <n v="0"/>
    <n v="0"/>
    <n v="0"/>
    <n v="0"/>
    <n v="0"/>
    <n v="0"/>
    <n v="0"/>
    <n v="0"/>
    <x v="1"/>
    <n v="0"/>
    <n v="0"/>
    <n v="0"/>
    <s v="MMR001CMP013"/>
    <x v="0"/>
    <x v="0"/>
    <x v="4"/>
    <n v="0"/>
    <m/>
    <m/>
  </r>
  <r>
    <n v="35.9"/>
    <d v="2014-05-20T00:00:00"/>
    <x v="7"/>
    <s v="MRCS"/>
    <s v="Kachin"/>
    <s v="Myitkyina"/>
    <s v="Le Kone Bethlehem Church"/>
    <m/>
    <m/>
    <m/>
    <m/>
    <m/>
    <m/>
    <m/>
    <m/>
    <m/>
    <m/>
    <m/>
    <m/>
    <m/>
    <n v="188"/>
    <m/>
    <m/>
    <m/>
    <n v="0"/>
    <n v="0"/>
    <n v="0"/>
    <n v="0"/>
    <n v="0"/>
    <n v="0"/>
    <n v="0"/>
    <n v="0"/>
    <n v="0"/>
    <n v="0"/>
    <n v="0"/>
    <n v="0"/>
    <n v="0"/>
    <n v="0"/>
    <x v="1"/>
    <n v="0"/>
    <n v="0"/>
    <n v="0"/>
    <s v="MMR001CMP015"/>
    <x v="0"/>
    <x v="0"/>
    <x v="4"/>
    <n v="0"/>
    <m/>
    <m/>
  </r>
  <r>
    <n v="35.9"/>
    <d v="2014-05-20T00:00:00"/>
    <x v="7"/>
    <s v="MRCS"/>
    <s v="Kachin"/>
    <s v="Myitkyina"/>
    <s v="Le Kone Ziun Baptist Church "/>
    <m/>
    <m/>
    <m/>
    <m/>
    <m/>
    <m/>
    <m/>
    <m/>
    <m/>
    <m/>
    <m/>
    <m/>
    <m/>
    <n v="278"/>
    <m/>
    <m/>
    <m/>
    <n v="0"/>
    <n v="0"/>
    <n v="0"/>
    <n v="0"/>
    <n v="0"/>
    <n v="0"/>
    <n v="0"/>
    <n v="0"/>
    <n v="0"/>
    <n v="0"/>
    <n v="0"/>
    <n v="0"/>
    <n v="0"/>
    <n v="0"/>
    <x v="1"/>
    <n v="0"/>
    <n v="0"/>
    <n v="0"/>
    <s v="MMR001CMP014"/>
    <x v="0"/>
    <x v="0"/>
    <x v="4"/>
    <n v="0"/>
    <m/>
    <m/>
  </r>
  <r>
    <n v="35.9"/>
    <d v="2014-05-20T00:00:00"/>
    <x v="7"/>
    <s v="MRCS"/>
    <s v="Kachin"/>
    <s v="Waingmaw"/>
    <s v="Maina KBC (Bawng Ring)"/>
    <m/>
    <m/>
    <m/>
    <m/>
    <m/>
    <m/>
    <m/>
    <m/>
    <m/>
    <m/>
    <m/>
    <m/>
    <m/>
    <n v="824"/>
    <m/>
    <m/>
    <m/>
    <n v="0"/>
    <n v="0"/>
    <n v="0"/>
    <n v="0"/>
    <n v="0"/>
    <n v="0"/>
    <n v="0"/>
    <n v="0"/>
    <n v="0"/>
    <n v="0"/>
    <n v="0"/>
    <n v="0"/>
    <n v="0"/>
    <n v="0"/>
    <x v="1"/>
    <n v="0"/>
    <n v="0"/>
    <n v="0"/>
    <s v="MMR001CMP040"/>
    <x v="0"/>
    <x v="0"/>
    <x v="4"/>
    <n v="0"/>
    <m/>
    <m/>
  </r>
  <r>
    <n v="35.9"/>
    <d v="2014-05-20T00:00:00"/>
    <x v="7"/>
    <s v="MRCS"/>
    <s v="Kachin"/>
    <s v="Myitkyina"/>
    <s v="Maliyang Baptist Church"/>
    <m/>
    <m/>
    <m/>
    <m/>
    <m/>
    <m/>
    <m/>
    <m/>
    <m/>
    <m/>
    <m/>
    <m/>
    <m/>
    <n v="142"/>
    <m/>
    <m/>
    <m/>
    <n v="0"/>
    <n v="0"/>
    <n v="0"/>
    <n v="0"/>
    <n v="0"/>
    <n v="0"/>
    <n v="0"/>
    <n v="0"/>
    <n v="0"/>
    <n v="0"/>
    <n v="0"/>
    <n v="0"/>
    <n v="0"/>
    <n v="0"/>
    <x v="1"/>
    <n v="0"/>
    <n v="0"/>
    <n v="0"/>
    <s v="MMR001CMP016"/>
    <x v="0"/>
    <x v="0"/>
    <x v="4"/>
    <n v="0"/>
    <m/>
    <m/>
  </r>
  <r>
    <n v="35.93333333333333"/>
    <d v="2014-05-19T00:00:00"/>
    <x v="7"/>
    <s v="MRCS"/>
    <s v="Kachin"/>
    <s v="Waingmaw"/>
    <s v="Maina AG Church"/>
    <m/>
    <m/>
    <m/>
    <m/>
    <m/>
    <m/>
    <m/>
    <m/>
    <m/>
    <m/>
    <m/>
    <m/>
    <m/>
    <n v="224"/>
    <m/>
    <m/>
    <m/>
    <n v="0"/>
    <n v="0"/>
    <n v="0"/>
    <n v="0"/>
    <n v="0"/>
    <n v="0"/>
    <n v="0"/>
    <n v="0"/>
    <n v="0"/>
    <n v="0"/>
    <n v="0"/>
    <n v="0"/>
    <n v="0"/>
    <n v="0"/>
    <x v="1"/>
    <n v="0"/>
    <n v="0"/>
    <n v="0"/>
    <s v="MMR001CMP031"/>
    <x v="0"/>
    <x v="0"/>
    <x v="4"/>
    <n v="0"/>
    <m/>
    <m/>
  </r>
  <r>
    <n v="35.93333333333333"/>
    <d v="2014-05-19T00:00:00"/>
    <x v="7"/>
    <s v="MRCS"/>
    <s v="Kachin"/>
    <s v="Waingmaw"/>
    <s v="Maina Lawang Baptist Church"/>
    <m/>
    <m/>
    <m/>
    <m/>
    <m/>
    <m/>
    <m/>
    <m/>
    <m/>
    <m/>
    <m/>
    <m/>
    <m/>
    <n v="230"/>
    <m/>
    <m/>
    <m/>
    <n v="0"/>
    <n v="0"/>
    <n v="0"/>
    <n v="0"/>
    <n v="0"/>
    <n v="0"/>
    <n v="0"/>
    <n v="0"/>
    <n v="0"/>
    <n v="0"/>
    <n v="0"/>
    <n v="0"/>
    <n v="0"/>
    <n v="0"/>
    <x v="1"/>
    <n v="0"/>
    <n v="0"/>
    <n v="0"/>
    <s v="MMR001CMP039"/>
    <x v="0"/>
    <x v="0"/>
    <x v="4"/>
    <n v="0"/>
    <m/>
    <m/>
  </r>
  <r>
    <n v="35.93333333333333"/>
    <d v="2014-05-19T00:00:00"/>
    <x v="7"/>
    <s v="MRCS"/>
    <s v="Kachin"/>
    <s v="Waingmaw"/>
    <s v="Qtr. 3 Mu-yin  Baptist Church"/>
    <m/>
    <m/>
    <m/>
    <m/>
    <m/>
    <m/>
    <m/>
    <m/>
    <m/>
    <m/>
    <m/>
    <m/>
    <m/>
    <n v="60"/>
    <m/>
    <m/>
    <m/>
    <n v="0"/>
    <n v="0"/>
    <n v="0"/>
    <n v="0"/>
    <n v="0"/>
    <n v="0"/>
    <n v="0"/>
    <n v="0"/>
    <n v="0"/>
    <n v="0"/>
    <n v="0"/>
    <n v="0"/>
    <n v="0"/>
    <n v="0"/>
    <x v="1"/>
    <n v="0"/>
    <n v="0"/>
    <n v="0"/>
    <s v="MMR001CMP030"/>
    <x v="0"/>
    <x v="0"/>
    <x v="4"/>
    <n v="0"/>
    <m/>
    <m/>
  </r>
  <r>
    <n v="36.033333333333331"/>
    <d v="2014-05-16T00:00:00"/>
    <x v="7"/>
    <s v="MRCS"/>
    <s v="Kachin"/>
    <s v="Waingmaw"/>
    <s v="Maina Catholic Church (St. Joseph)"/>
    <m/>
    <m/>
    <m/>
    <m/>
    <m/>
    <m/>
    <m/>
    <m/>
    <m/>
    <m/>
    <m/>
    <m/>
    <m/>
    <n v="470"/>
    <m/>
    <m/>
    <m/>
    <n v="0"/>
    <n v="0"/>
    <n v="0"/>
    <n v="0"/>
    <n v="0"/>
    <n v="0"/>
    <n v="0"/>
    <n v="0"/>
    <n v="0"/>
    <n v="0"/>
    <n v="0"/>
    <n v="0"/>
    <n v="0"/>
    <n v="0"/>
    <x v="1"/>
    <n v="0"/>
    <n v="0"/>
    <n v="0"/>
    <s v="MMR001CMP029"/>
    <x v="0"/>
    <x v="0"/>
    <x v="4"/>
    <n v="0"/>
    <m/>
    <m/>
  </r>
  <r>
    <n v="36.033333333333331"/>
    <d v="2014-05-16T00:00:00"/>
    <x v="1"/>
    <s v="UNHCR"/>
    <s v="Kachin"/>
    <s v="Bhamo"/>
    <s v="Mu-yin Baptist Church"/>
    <m/>
    <m/>
    <m/>
    <n v="10"/>
    <n v="4"/>
    <n v="10"/>
    <n v="4"/>
    <n v="4"/>
    <n v="4"/>
    <n v="18"/>
    <m/>
    <m/>
    <m/>
    <m/>
    <m/>
    <m/>
    <m/>
    <n v="0"/>
    <n v="0"/>
    <n v="0"/>
    <n v="0"/>
    <n v="0"/>
    <n v="0"/>
    <n v="0"/>
    <n v="0"/>
    <n v="0"/>
    <n v="0"/>
    <n v="0"/>
    <n v="0"/>
    <n v="0"/>
    <n v="0"/>
    <x v="0"/>
    <n v="0"/>
    <n v="0"/>
    <n v="0"/>
    <s v="MMR001CMP051"/>
    <x v="0"/>
    <x v="0"/>
    <x v="4"/>
    <n v="9.7127455503484453E-5"/>
    <s v="No"/>
    <m/>
  </r>
  <r>
    <n v="36.033333333333331"/>
    <d v="2014-05-16T00:00:00"/>
    <x v="7"/>
    <s v="MRCS"/>
    <s v="Kachin"/>
    <s v="Myitkyina"/>
    <s v="Nan Kway St. John Catholic Church"/>
    <m/>
    <m/>
    <m/>
    <m/>
    <m/>
    <m/>
    <m/>
    <m/>
    <m/>
    <m/>
    <m/>
    <m/>
    <m/>
    <n v="142"/>
    <m/>
    <m/>
    <m/>
    <n v="0"/>
    <n v="0"/>
    <n v="0"/>
    <n v="0"/>
    <n v="0"/>
    <n v="0"/>
    <n v="0"/>
    <n v="0"/>
    <n v="0"/>
    <n v="0"/>
    <n v="0"/>
    <n v="0"/>
    <n v="0"/>
    <n v="0"/>
    <x v="1"/>
    <n v="0"/>
    <n v="0"/>
    <n v="0"/>
    <s v="MMR001CMP024"/>
    <x v="0"/>
    <x v="0"/>
    <x v="4"/>
    <n v="0"/>
    <m/>
    <m/>
  </r>
  <r>
    <n v="36.033333333333331"/>
    <d v="2014-05-16T00:00:00"/>
    <x v="1"/>
    <s v="UNHCR"/>
    <s v="Kachin"/>
    <s v="Bhamo"/>
    <s v="Ta Gun Taing Monastery (Shwe Kyi Na)"/>
    <m/>
    <m/>
    <m/>
    <n v="24"/>
    <n v="13"/>
    <n v="24"/>
    <n v="13"/>
    <n v="13"/>
    <n v="13"/>
    <n v="33"/>
    <m/>
    <m/>
    <m/>
    <m/>
    <m/>
    <m/>
    <m/>
    <n v="0"/>
    <n v="0"/>
    <n v="0"/>
    <n v="0"/>
    <n v="0"/>
    <n v="0"/>
    <n v="0"/>
    <n v="0"/>
    <n v="0"/>
    <n v="0"/>
    <n v="0"/>
    <n v="0"/>
    <n v="0"/>
    <n v="0"/>
    <x v="0"/>
    <n v="0"/>
    <n v="0"/>
    <n v="0"/>
    <s v="MMR001CMP055"/>
    <x v="0"/>
    <x v="0"/>
    <x v="4"/>
    <n v="3.1684133560809166E-4"/>
    <s v="No"/>
    <m/>
  </r>
  <r>
    <n v="36.06666666666667"/>
    <d v="2014-05-15T00:00:00"/>
    <x v="1"/>
    <s v="UNHCR"/>
    <s v="Kachin"/>
    <s v="Bhamo"/>
    <s v="AD-2000 Tharthana Compound"/>
    <m/>
    <m/>
    <m/>
    <n v="10"/>
    <n v="4"/>
    <n v="12"/>
    <n v="4"/>
    <n v="4"/>
    <n v="4"/>
    <n v="12"/>
    <m/>
    <m/>
    <m/>
    <m/>
    <m/>
    <m/>
    <m/>
    <n v="0"/>
    <n v="0"/>
    <n v="0"/>
    <n v="0"/>
    <n v="0"/>
    <n v="0"/>
    <n v="0"/>
    <n v="0"/>
    <n v="0"/>
    <n v="0"/>
    <n v="0"/>
    <n v="0"/>
    <n v="0"/>
    <n v="0"/>
    <x v="0"/>
    <n v="0"/>
    <n v="0"/>
    <n v="0"/>
    <s v="MMR001CMP050"/>
    <x v="0"/>
    <x v="0"/>
    <x v="4"/>
    <n v="9.7924010967489225E-5"/>
    <s v="No"/>
    <m/>
  </r>
  <r>
    <n v="36.06666666666667"/>
    <d v="2014-05-15T00:00:00"/>
    <x v="1"/>
    <s v="UNHCR"/>
    <s v="Kachin"/>
    <s v="Mansi"/>
    <s v="Maing Khaung"/>
    <m/>
    <m/>
    <n v="10"/>
    <n v="10"/>
    <n v="5"/>
    <n v="15"/>
    <n v="5"/>
    <n v="5"/>
    <n v="5"/>
    <n v="20"/>
    <m/>
    <m/>
    <m/>
    <m/>
    <m/>
    <m/>
    <m/>
    <n v="0"/>
    <n v="0"/>
    <n v="0"/>
    <n v="0"/>
    <n v="0"/>
    <n v="0"/>
    <n v="0"/>
    <n v="0"/>
    <n v="0"/>
    <n v="0"/>
    <n v="0"/>
    <n v="0"/>
    <n v="0"/>
    <n v="0"/>
    <x v="0"/>
    <n v="0"/>
    <n v="0"/>
    <n v="0"/>
    <s v="MMR001CMP218"/>
    <x v="0"/>
    <x v="0"/>
    <x v="4"/>
    <n v="1.2034273611244825E-4"/>
    <s v="No"/>
    <m/>
  </r>
  <r>
    <n v="36.1"/>
    <d v="2014-05-14T00:00:00"/>
    <x v="1"/>
    <s v="UNHCR"/>
    <s v="Kachin"/>
    <s v="Bhamo"/>
    <s v="AD-2000 Tharthana Compound"/>
    <m/>
    <m/>
    <n v="11"/>
    <n v="12"/>
    <n v="4"/>
    <n v="12"/>
    <n v="4"/>
    <n v="4"/>
    <n v="4"/>
    <n v="15"/>
    <m/>
    <m/>
    <m/>
    <m/>
    <m/>
    <m/>
    <m/>
    <n v="0"/>
    <n v="0"/>
    <n v="0"/>
    <n v="0"/>
    <n v="0"/>
    <n v="0"/>
    <n v="0"/>
    <n v="0"/>
    <n v="0"/>
    <n v="0"/>
    <n v="0"/>
    <n v="0"/>
    <n v="0"/>
    <n v="0"/>
    <x v="0"/>
    <n v="0"/>
    <n v="0"/>
    <n v="0"/>
    <s v="MMR001CMP050"/>
    <x v="0"/>
    <x v="0"/>
    <x v="4"/>
    <n v="9.7924010967489225E-5"/>
    <s v="No"/>
    <m/>
  </r>
  <r>
    <n v="36.1"/>
    <d v="2014-05-14T00:00:00"/>
    <x v="1"/>
    <s v="UNHCR"/>
    <s v="Kachin"/>
    <s v="Momauk"/>
    <s v="Momauk Baptist Church"/>
    <m/>
    <m/>
    <n v="5"/>
    <n v="6"/>
    <n v="32"/>
    <n v="6"/>
    <n v="2"/>
    <n v="2"/>
    <n v="2"/>
    <n v="10"/>
    <m/>
    <m/>
    <m/>
    <m/>
    <m/>
    <m/>
    <m/>
    <n v="0"/>
    <n v="0"/>
    <n v="0"/>
    <n v="0"/>
    <n v="0"/>
    <n v="0"/>
    <n v="0"/>
    <n v="0"/>
    <n v="0"/>
    <n v="0"/>
    <n v="0"/>
    <n v="0"/>
    <n v="0"/>
    <n v="0"/>
    <x v="0"/>
    <n v="0"/>
    <n v="0"/>
    <n v="0"/>
    <s v="MMR001CMP056"/>
    <x v="0"/>
    <x v="0"/>
    <x v="4"/>
    <n v="4.9146086742843099E-5"/>
    <s v="No"/>
    <m/>
  </r>
  <r>
    <n v="36.1"/>
    <d v="2014-05-14T00:00:00"/>
    <x v="1"/>
    <s v="UNHCR"/>
    <s v="Kachin"/>
    <s v="Bhamo"/>
    <s v="Ta Gun Taing Monastery (Shwe Kyi Na)"/>
    <m/>
    <m/>
    <n v="17"/>
    <n v="108"/>
    <n v="36"/>
    <n v="108"/>
    <n v="36"/>
    <n v="36"/>
    <n v="36"/>
    <n v="142"/>
    <m/>
    <m/>
    <m/>
    <m/>
    <m/>
    <m/>
    <m/>
    <n v="0"/>
    <n v="0"/>
    <n v="0"/>
    <n v="0"/>
    <n v="0"/>
    <n v="0"/>
    <n v="0"/>
    <n v="0"/>
    <n v="0"/>
    <n v="0"/>
    <n v="0"/>
    <n v="0"/>
    <n v="0"/>
    <n v="0"/>
    <x v="0"/>
    <n v="0"/>
    <n v="0"/>
    <n v="0"/>
    <s v="MMR001CMP055"/>
    <x v="0"/>
    <x v="0"/>
    <x v="4"/>
    <n v="8.7740677553009995E-4"/>
    <s v="No"/>
    <m/>
  </r>
  <r>
    <n v="36.133333333333333"/>
    <d v="2014-05-13T00:00:00"/>
    <x v="7"/>
    <s v="MRCS"/>
    <s v="Kachin"/>
    <s v="Myitkyina"/>
    <s v="Njang Dung Baptist Church "/>
    <m/>
    <m/>
    <m/>
    <m/>
    <m/>
    <m/>
    <m/>
    <m/>
    <m/>
    <m/>
    <m/>
    <m/>
    <m/>
    <n v="112"/>
    <m/>
    <m/>
    <m/>
    <n v="0"/>
    <n v="0"/>
    <n v="0"/>
    <n v="0"/>
    <n v="0"/>
    <n v="0"/>
    <n v="0"/>
    <n v="0"/>
    <n v="0"/>
    <n v="0"/>
    <n v="0"/>
    <n v="0"/>
    <n v="0"/>
    <n v="0"/>
    <x v="1"/>
    <n v="0"/>
    <n v="0"/>
    <n v="0"/>
    <s v="MMR001CMP002"/>
    <x v="0"/>
    <x v="0"/>
    <x v="4"/>
    <n v="0"/>
    <m/>
    <m/>
  </r>
  <r>
    <n v="36.166666666666664"/>
    <d v="2014-05-12T00:00:00"/>
    <x v="7"/>
    <s v="MRCS"/>
    <s v="Kachin"/>
    <s v="Myitkyina"/>
    <s v="Man Hkring Baptist Church"/>
    <m/>
    <m/>
    <m/>
    <m/>
    <m/>
    <m/>
    <m/>
    <m/>
    <m/>
    <m/>
    <m/>
    <m/>
    <m/>
    <n v="184"/>
    <m/>
    <m/>
    <m/>
    <n v="0"/>
    <n v="0"/>
    <n v="0"/>
    <n v="0"/>
    <n v="0"/>
    <n v="0"/>
    <n v="0"/>
    <n v="0"/>
    <n v="0"/>
    <n v="0"/>
    <n v="0"/>
    <n v="0"/>
    <n v="0"/>
    <n v="0"/>
    <x v="1"/>
    <n v="0"/>
    <n v="0"/>
    <n v="0"/>
    <s v="MMR001CMP008"/>
    <x v="0"/>
    <x v="0"/>
    <x v="4"/>
    <n v="0"/>
    <m/>
    <m/>
  </r>
  <r>
    <n v="36.166666666666664"/>
    <d v="2014-05-12T00:00:00"/>
    <x v="1"/>
    <m/>
    <s v="Shan_North"/>
    <s v="Muse"/>
    <s v="Muse Catholic Church"/>
    <m/>
    <m/>
    <m/>
    <n v="68"/>
    <n v="9"/>
    <n v="118"/>
    <n v="9"/>
    <n v="0"/>
    <n v="9"/>
    <n v="45"/>
    <m/>
    <m/>
    <m/>
    <m/>
    <m/>
    <m/>
    <m/>
    <n v="0"/>
    <n v="0"/>
    <n v="0"/>
    <n v="0"/>
    <n v="0"/>
    <n v="0"/>
    <n v="0"/>
    <n v="0"/>
    <n v="0"/>
    <n v="0"/>
    <n v="0"/>
    <n v="0"/>
    <n v="0"/>
    <n v="0"/>
    <x v="0"/>
    <n v="0"/>
    <n v="0"/>
    <n v="0"/>
    <s v="MMR015CMP216"/>
    <x v="1"/>
    <x v="0"/>
    <x v="4"/>
    <n v="2.156515071644223E-4"/>
    <m/>
    <s v="Items distributed to other affected people"/>
  </r>
  <r>
    <n v="36.166666666666664"/>
    <d v="2014-05-12T00:00:00"/>
    <x v="1"/>
    <m/>
    <s v="Shan_North"/>
    <s v="Muse"/>
    <s v="Muse Catholic Church"/>
    <m/>
    <m/>
    <m/>
    <n v="82"/>
    <n v="41"/>
    <n v="82"/>
    <n v="41"/>
    <m/>
    <n v="41"/>
    <n v="205"/>
    <m/>
    <m/>
    <m/>
    <m/>
    <m/>
    <m/>
    <m/>
    <n v="0"/>
    <n v="0"/>
    <n v="0"/>
    <n v="0"/>
    <n v="0"/>
    <n v="0"/>
    <n v="0"/>
    <n v="0"/>
    <n v="0"/>
    <n v="0"/>
    <n v="0"/>
    <n v="0"/>
    <n v="0"/>
    <n v="0"/>
    <x v="0"/>
    <n v="0"/>
    <n v="0"/>
    <n v="0"/>
    <s v="MMR015CMP216"/>
    <x v="1"/>
    <x v="0"/>
    <x v="4"/>
    <n v="9.8241242152681259E-4"/>
    <m/>
    <m/>
  </r>
  <r>
    <n v="36.166666666666664"/>
    <d v="2014-05-12T00:00:00"/>
    <x v="7"/>
    <s v="MRCS"/>
    <s v="Kachin"/>
    <s v="Myitkyina"/>
    <s v="Shwe Zet Baptist Church"/>
    <m/>
    <m/>
    <m/>
    <m/>
    <m/>
    <m/>
    <m/>
    <m/>
    <m/>
    <m/>
    <m/>
    <m/>
    <m/>
    <n v="168"/>
    <m/>
    <m/>
    <m/>
    <n v="0"/>
    <n v="0"/>
    <n v="0"/>
    <n v="0"/>
    <n v="0"/>
    <n v="0"/>
    <n v="0"/>
    <n v="0"/>
    <n v="0"/>
    <n v="0"/>
    <n v="0"/>
    <n v="0"/>
    <n v="0"/>
    <n v="0"/>
    <x v="1"/>
    <n v="0"/>
    <n v="0"/>
    <n v="0"/>
    <s v="MMR001CMP009"/>
    <x v="0"/>
    <x v="0"/>
    <x v="4"/>
    <n v="0"/>
    <m/>
    <m/>
  </r>
  <r>
    <n v="36.200000000000003"/>
    <d v="2014-05-11T00:00:00"/>
    <x v="1"/>
    <m/>
    <s v="Shan_North"/>
    <s v="Muse"/>
    <s v="Muse Baptist Church"/>
    <m/>
    <m/>
    <m/>
    <n v="138"/>
    <n v="19"/>
    <n v="238"/>
    <n v="19"/>
    <n v="0"/>
    <n v="19"/>
    <n v="95"/>
    <m/>
    <m/>
    <m/>
    <m/>
    <m/>
    <m/>
    <m/>
    <n v="0"/>
    <n v="0"/>
    <n v="0"/>
    <n v="0"/>
    <n v="0"/>
    <n v="0"/>
    <n v="0"/>
    <n v="0"/>
    <n v="0"/>
    <n v="0"/>
    <n v="0"/>
    <n v="0"/>
    <n v="0"/>
    <n v="0"/>
    <x v="0"/>
    <n v="0"/>
    <n v="0"/>
    <n v="0"/>
    <s v="MMR015CMP213"/>
    <x v="1"/>
    <x v="0"/>
    <x v="4"/>
    <n v="4.5560271443301442E-4"/>
    <m/>
    <s v="Items distributed to other affected people"/>
  </r>
  <r>
    <n v="36.200000000000003"/>
    <d v="2014-05-11T00:00:00"/>
    <x v="1"/>
    <m/>
    <s v="Shan_North"/>
    <s v="Muse"/>
    <s v="Muse Baptist Church"/>
    <m/>
    <m/>
    <m/>
    <n v="162"/>
    <n v="81"/>
    <n v="162"/>
    <n v="81"/>
    <m/>
    <n v="81"/>
    <n v="405"/>
    <m/>
    <m/>
    <m/>
    <m/>
    <m/>
    <m/>
    <m/>
    <n v="0"/>
    <n v="0"/>
    <n v="0"/>
    <n v="0"/>
    <n v="0"/>
    <n v="0"/>
    <n v="0"/>
    <n v="0"/>
    <n v="0"/>
    <n v="0"/>
    <n v="0"/>
    <n v="0"/>
    <n v="0"/>
    <n v="0"/>
    <x v="0"/>
    <n v="0"/>
    <n v="0"/>
    <n v="0"/>
    <s v="MMR015CMP213"/>
    <x v="1"/>
    <x v="0"/>
    <x v="4"/>
    <n v="1.9423063088986404E-3"/>
    <m/>
    <m/>
  </r>
  <r>
    <n v="36.266666666666666"/>
    <d v="2014-05-09T00:00:00"/>
    <x v="7"/>
    <s v="MRCS"/>
    <s v="Kachin"/>
    <s v="Myitkyina"/>
    <s v="Pa Dauk Myaing(Pa La Na)"/>
    <m/>
    <m/>
    <m/>
    <m/>
    <m/>
    <m/>
    <m/>
    <m/>
    <m/>
    <m/>
    <m/>
    <m/>
    <m/>
    <n v="58"/>
    <m/>
    <m/>
    <m/>
    <n v="0"/>
    <n v="0"/>
    <n v="0"/>
    <n v="0"/>
    <n v="0"/>
    <n v="0"/>
    <n v="0"/>
    <n v="0"/>
    <n v="0"/>
    <n v="0"/>
    <n v="0"/>
    <n v="0"/>
    <n v="0"/>
    <n v="0"/>
    <x v="1"/>
    <n v="0"/>
    <n v="0"/>
    <n v="0"/>
    <s v="MMR001CMP162"/>
    <x v="0"/>
    <x v="0"/>
    <x v="4"/>
    <n v="0"/>
    <m/>
    <m/>
  </r>
  <r>
    <n v="36.266666666666666"/>
    <d v="2014-05-09T00:00:00"/>
    <x v="7"/>
    <s v="MRCS"/>
    <s v="Kachin"/>
    <s v="Myitkyina"/>
    <s v="Shatapru Sut Ngai Tawng"/>
    <m/>
    <m/>
    <m/>
    <m/>
    <m/>
    <m/>
    <m/>
    <m/>
    <m/>
    <m/>
    <m/>
    <m/>
    <m/>
    <n v="208"/>
    <m/>
    <m/>
    <m/>
    <n v="0"/>
    <n v="0"/>
    <n v="0"/>
    <n v="0"/>
    <n v="0"/>
    <n v="0"/>
    <n v="0"/>
    <n v="0"/>
    <n v="0"/>
    <n v="0"/>
    <n v="0"/>
    <n v="0"/>
    <n v="0"/>
    <n v="0"/>
    <x v="1"/>
    <n v="0"/>
    <n v="0"/>
    <n v="0"/>
    <s v="MMR001CMP006"/>
    <x v="0"/>
    <x v="0"/>
    <x v="4"/>
    <n v="0"/>
    <m/>
    <m/>
  </r>
  <r>
    <n v="36.866666666666667"/>
    <d v="2014-04-21T00:00:00"/>
    <x v="1"/>
    <s v="UNHCR"/>
    <s v="Kachin"/>
    <s v="Bhamo"/>
    <s v="AD-2000 Tharthana Compound"/>
    <m/>
    <m/>
    <n v="5"/>
    <n v="6"/>
    <n v="2"/>
    <n v="6"/>
    <n v="2"/>
    <n v="2"/>
    <n v="2"/>
    <n v="6"/>
    <m/>
    <m/>
    <m/>
    <m/>
    <m/>
    <m/>
    <m/>
    <n v="0"/>
    <n v="0"/>
    <n v="0"/>
    <n v="0"/>
    <n v="0"/>
    <n v="0"/>
    <n v="0"/>
    <n v="0"/>
    <n v="0"/>
    <n v="0"/>
    <n v="0"/>
    <n v="0"/>
    <n v="0"/>
    <n v="0"/>
    <x v="0"/>
    <n v="0"/>
    <n v="0"/>
    <n v="0"/>
    <s v="MMR001CMP050"/>
    <x v="0"/>
    <x v="0"/>
    <x v="4"/>
    <n v="4.8962005483744613E-5"/>
    <s v="No"/>
    <m/>
  </r>
  <r>
    <n v="36.866666666666667"/>
    <d v="2014-04-21T00:00:00"/>
    <x v="1"/>
    <s v="UNHCR"/>
    <s v="Kachin"/>
    <s v="Mansi"/>
    <s v="Mansi Baptist Church"/>
    <m/>
    <m/>
    <n v="20"/>
    <n v="30"/>
    <n v="13"/>
    <n v="40"/>
    <n v="13"/>
    <n v="13"/>
    <n v="13"/>
    <n v="25"/>
    <m/>
    <m/>
    <m/>
    <m/>
    <m/>
    <m/>
    <m/>
    <n v="0"/>
    <n v="0"/>
    <n v="0"/>
    <n v="0"/>
    <n v="0"/>
    <n v="0"/>
    <n v="0"/>
    <n v="0"/>
    <n v="0"/>
    <n v="0"/>
    <n v="0"/>
    <n v="0"/>
    <n v="0"/>
    <n v="0"/>
    <x v="0"/>
    <n v="0"/>
    <n v="0"/>
    <n v="0"/>
    <s v="MMR001CMP066"/>
    <x v="0"/>
    <x v="0"/>
    <x v="4"/>
    <n v="3.1265783207869358E-4"/>
    <s v="No"/>
    <m/>
  </r>
  <r>
    <n v="36.866666666666667"/>
    <d v="2014-04-21T00:00:00"/>
    <x v="1"/>
    <m/>
    <s v="Kachin"/>
    <s v="Mansi"/>
    <s v="Bum Tsit Pa Camp II"/>
    <m/>
    <m/>
    <m/>
    <n v="800"/>
    <n v="400"/>
    <m/>
    <n v="100"/>
    <m/>
    <n v="400"/>
    <n v="2000"/>
    <m/>
    <m/>
    <m/>
    <m/>
    <m/>
    <m/>
    <m/>
    <n v="0"/>
    <n v="0"/>
    <n v="0"/>
    <n v="0"/>
    <n v="0"/>
    <n v="0"/>
    <n v="0"/>
    <n v="0"/>
    <n v="0"/>
    <n v="0"/>
    <n v="0"/>
    <n v="0"/>
    <n v="0"/>
    <n v="0"/>
    <x v="0"/>
    <n v="0"/>
    <n v="0"/>
    <n v="0"/>
    <s v="MMR001CMP226"/>
    <x v="0"/>
    <x v="2"/>
    <x v="5"/>
    <n v="2.4499595756670013E-3"/>
    <m/>
    <m/>
  </r>
  <r>
    <n v="36.866666666666667"/>
    <d v="2014-04-21T00:00:00"/>
    <x v="1"/>
    <s v="UNHCR"/>
    <s v="Kachin"/>
    <s v="Momauk"/>
    <s v="Momauk Baptist Church"/>
    <m/>
    <m/>
    <n v="15"/>
    <n v="16"/>
    <n v="50"/>
    <n v="16"/>
    <n v="7"/>
    <n v="7"/>
    <n v="7"/>
    <n v="13"/>
    <m/>
    <m/>
    <m/>
    <m/>
    <m/>
    <m/>
    <m/>
    <n v="0"/>
    <n v="0"/>
    <n v="0"/>
    <n v="0"/>
    <n v="0"/>
    <n v="0"/>
    <n v="0"/>
    <n v="0"/>
    <n v="0"/>
    <n v="0"/>
    <n v="0"/>
    <n v="0"/>
    <n v="0"/>
    <n v="0"/>
    <x v="0"/>
    <n v="0"/>
    <n v="0"/>
    <n v="0"/>
    <s v="MMR001CMP056"/>
    <x v="0"/>
    <x v="0"/>
    <x v="4"/>
    <n v="1.7201130359995086E-4"/>
    <s v="No"/>
    <m/>
  </r>
  <r>
    <n v="36.866666666666667"/>
    <d v="2014-04-21T00:00:00"/>
    <x v="1"/>
    <m/>
    <s v="Shan_North"/>
    <s v="Namhkan"/>
    <s v="Nam Hkam (KBC Jaw Wang) II"/>
    <m/>
    <m/>
    <m/>
    <n v="0"/>
    <n v="1"/>
    <n v="167"/>
    <n v="1"/>
    <n v="0"/>
    <n v="1"/>
    <n v="0"/>
    <m/>
    <m/>
    <m/>
    <m/>
    <m/>
    <m/>
    <m/>
    <n v="0"/>
    <n v="0"/>
    <n v="0"/>
    <n v="0"/>
    <n v="0"/>
    <n v="0"/>
    <n v="0"/>
    <n v="0"/>
    <n v="0"/>
    <n v="0"/>
    <n v="0"/>
    <n v="0"/>
    <n v="0"/>
    <n v="0"/>
    <x v="0"/>
    <n v="0"/>
    <n v="0"/>
    <n v="0"/>
    <s v="MMR015CMP214"/>
    <x v="1"/>
    <x v="0"/>
    <x v="4"/>
    <n v="2.3839607123274607E-5"/>
    <m/>
    <s v="Items distributed to other affected people"/>
  </r>
  <r>
    <n v="36.866666666666667"/>
    <d v="2014-04-21T00:00:00"/>
    <x v="1"/>
    <m/>
    <s v="Shan_North"/>
    <s v="Namhkan"/>
    <s v="Nam Hkam (KBC Jaw Wang) II"/>
    <m/>
    <m/>
    <m/>
    <n v="90"/>
    <n v="49"/>
    <n v="98"/>
    <n v="49"/>
    <m/>
    <n v="49"/>
    <n v="225"/>
    <m/>
    <m/>
    <m/>
    <m/>
    <m/>
    <m/>
    <m/>
    <n v="0"/>
    <n v="0"/>
    <n v="0"/>
    <n v="0"/>
    <n v="0"/>
    <n v="0"/>
    <n v="0"/>
    <n v="0"/>
    <n v="0"/>
    <n v="0"/>
    <n v="0"/>
    <n v="0"/>
    <n v="0"/>
    <n v="0"/>
    <x v="0"/>
    <n v="0"/>
    <n v="0"/>
    <n v="0"/>
    <s v="MMR015CMP214"/>
    <x v="1"/>
    <x v="0"/>
    <x v="4"/>
    <n v="1.1681407490404558E-3"/>
    <m/>
    <m/>
  </r>
  <r>
    <n v="36.9"/>
    <d v="2014-04-20T00:00:00"/>
    <x v="1"/>
    <m/>
    <s v="Kachin"/>
    <s v="Mansi"/>
    <s v="Man Wing Baptist Church"/>
    <m/>
    <m/>
    <m/>
    <n v="220"/>
    <n v="110"/>
    <n v="1000"/>
    <n v="110"/>
    <m/>
    <n v="110"/>
    <n v="550"/>
    <m/>
    <m/>
    <m/>
    <m/>
    <m/>
    <m/>
    <m/>
    <n v="0"/>
    <n v="0"/>
    <n v="0"/>
    <n v="0"/>
    <n v="0"/>
    <n v="0"/>
    <n v="0"/>
    <n v="0"/>
    <n v="0"/>
    <n v="0"/>
    <n v="0"/>
    <n v="0"/>
    <n v="0"/>
    <n v="0"/>
    <x v="0"/>
    <n v="0"/>
    <n v="0"/>
    <n v="0"/>
    <s v="MMR001CMP133"/>
    <x v="0"/>
    <x v="0"/>
    <x v="4"/>
    <n v="2.6868588177821201E-3"/>
    <m/>
    <m/>
  </r>
  <r>
    <n v="36.93333333333333"/>
    <d v="2014-04-19T00:00:00"/>
    <x v="1"/>
    <m/>
    <s v="Kachin"/>
    <s v="Mansi"/>
    <s v="Man Wing Catholic Church"/>
    <m/>
    <m/>
    <m/>
    <n v="400"/>
    <n v="190"/>
    <n v="870"/>
    <n v="190"/>
    <m/>
    <n v="190"/>
    <n v="1000"/>
    <m/>
    <m/>
    <m/>
    <m/>
    <m/>
    <m/>
    <m/>
    <n v="0"/>
    <n v="0"/>
    <n v="0"/>
    <n v="0"/>
    <n v="0"/>
    <n v="0"/>
    <n v="0"/>
    <n v="0"/>
    <n v="0"/>
    <n v="0"/>
    <n v="0"/>
    <n v="0"/>
    <n v="0"/>
    <n v="0"/>
    <x v="0"/>
    <n v="0"/>
    <n v="0"/>
    <n v="0"/>
    <s v="MMR001CMP132"/>
    <x v="0"/>
    <x v="0"/>
    <x v="4"/>
    <n v="4.6513905209557387E-3"/>
    <m/>
    <m/>
  </r>
  <r>
    <n v="37"/>
    <d v="2014-04-17T00:00:00"/>
    <x v="1"/>
    <s v="UNHCR"/>
    <s v="Kachin"/>
    <s v="Momauk"/>
    <s v="Momauk Baptist Church"/>
    <m/>
    <m/>
    <m/>
    <n v="8"/>
    <n v="4"/>
    <n v="12"/>
    <n v="4"/>
    <n v="4"/>
    <n v="4"/>
    <n v="41"/>
    <m/>
    <m/>
    <m/>
    <m/>
    <m/>
    <m/>
    <m/>
    <n v="0"/>
    <n v="0"/>
    <n v="0"/>
    <n v="0"/>
    <n v="0"/>
    <n v="0"/>
    <n v="0"/>
    <n v="0"/>
    <n v="0"/>
    <n v="0"/>
    <n v="0"/>
    <n v="0"/>
    <n v="0"/>
    <n v="0"/>
    <x v="0"/>
    <n v="0"/>
    <n v="0"/>
    <n v="0"/>
    <s v="MMR001CMP056"/>
    <x v="0"/>
    <x v="0"/>
    <x v="4"/>
    <n v="9.8292173485686198E-5"/>
    <s v="No"/>
    <m/>
  </r>
  <r>
    <n v="37.1"/>
    <d v="2014-04-14T00:00:00"/>
    <x v="1"/>
    <s v="UNHCR"/>
    <s v="Kachin"/>
    <s v="Momauk"/>
    <s v="Momauk Baptist Church"/>
    <m/>
    <m/>
    <m/>
    <n v="10"/>
    <n v="5"/>
    <n v="15"/>
    <n v="5"/>
    <n v="5"/>
    <n v="5"/>
    <m/>
    <m/>
    <m/>
    <m/>
    <m/>
    <m/>
    <m/>
    <m/>
    <n v="0"/>
    <n v="0"/>
    <n v="0"/>
    <n v="0"/>
    <n v="0"/>
    <n v="0"/>
    <n v="0"/>
    <n v="0"/>
    <n v="0"/>
    <n v="0"/>
    <n v="0"/>
    <n v="0"/>
    <n v="0"/>
    <n v="0"/>
    <x v="0"/>
    <n v="0"/>
    <n v="0"/>
    <n v="0"/>
    <s v="MMR001CMP056"/>
    <x v="0"/>
    <x v="0"/>
    <x v="4"/>
    <n v="1.2286521685710776E-4"/>
    <s v="No"/>
    <m/>
  </r>
  <r>
    <n v="37.266666666666666"/>
    <d v="2014-04-09T00:00:00"/>
    <x v="7"/>
    <s v="MRCS"/>
    <s v="Kachin"/>
    <s v="Bhamo"/>
    <s v="Ta Gun Taing Monastery (Shwe Kyi Na)"/>
    <m/>
    <m/>
    <m/>
    <m/>
    <m/>
    <m/>
    <m/>
    <m/>
    <m/>
    <m/>
    <m/>
    <m/>
    <m/>
    <n v="122"/>
    <m/>
    <m/>
    <m/>
    <n v="0"/>
    <n v="0"/>
    <n v="0"/>
    <n v="0"/>
    <n v="0"/>
    <n v="0"/>
    <n v="0"/>
    <n v="0"/>
    <n v="0"/>
    <n v="0"/>
    <n v="0"/>
    <n v="0"/>
    <n v="0"/>
    <n v="0"/>
    <x v="1"/>
    <n v="0"/>
    <n v="0"/>
    <n v="0"/>
    <s v="MMR001CMP055"/>
    <x v="0"/>
    <x v="0"/>
    <x v="4"/>
    <n v="0"/>
    <m/>
    <m/>
  </r>
  <r>
    <n v="37.266666666666666"/>
    <d v="2014-04-09T00:00:00"/>
    <x v="7"/>
    <s v="MRCS"/>
    <s v="Kachin"/>
    <s v="Bhamo"/>
    <s v="Yoe Kyi Monastery"/>
    <m/>
    <m/>
    <m/>
    <m/>
    <m/>
    <m/>
    <m/>
    <m/>
    <m/>
    <m/>
    <m/>
    <m/>
    <m/>
    <n v="42"/>
    <m/>
    <m/>
    <m/>
    <n v="0"/>
    <n v="0"/>
    <n v="0"/>
    <n v="0"/>
    <n v="0"/>
    <n v="0"/>
    <n v="0"/>
    <n v="0"/>
    <n v="0"/>
    <n v="0"/>
    <n v="0"/>
    <n v="0"/>
    <n v="0"/>
    <n v="0"/>
    <x v="1"/>
    <n v="0"/>
    <n v="0"/>
    <n v="0"/>
    <s v="MMR001CMP053"/>
    <x v="0"/>
    <x v="0"/>
    <x v="4"/>
    <n v="0"/>
    <m/>
    <m/>
  </r>
  <r>
    <n v="37.299999999999997"/>
    <d v="2014-04-08T00:00:00"/>
    <x v="7"/>
    <s v="MRCS"/>
    <s v="Kachin"/>
    <s v="Bhamo"/>
    <s v="Htoi San Church"/>
    <m/>
    <m/>
    <m/>
    <m/>
    <m/>
    <m/>
    <m/>
    <m/>
    <m/>
    <m/>
    <m/>
    <m/>
    <m/>
    <n v="90"/>
    <m/>
    <m/>
    <m/>
    <n v="0"/>
    <n v="0"/>
    <n v="0"/>
    <n v="0"/>
    <n v="0"/>
    <n v="0"/>
    <n v="0"/>
    <n v="0"/>
    <n v="0"/>
    <n v="0"/>
    <n v="0"/>
    <n v="0"/>
    <n v="0"/>
    <n v="0"/>
    <x v="1"/>
    <n v="0"/>
    <n v="0"/>
    <n v="0"/>
    <s v="MMR001CMP052"/>
    <x v="0"/>
    <x v="0"/>
    <x v="4"/>
    <n v="0"/>
    <m/>
    <m/>
  </r>
  <r>
    <n v="37.299999999999997"/>
    <d v="2014-04-08T00:00:00"/>
    <x v="7"/>
    <s v="MRCS"/>
    <s v="Kachin"/>
    <s v="Bhamo"/>
    <s v="Phan Khar Kone"/>
    <m/>
    <m/>
    <m/>
    <m/>
    <m/>
    <m/>
    <m/>
    <m/>
    <m/>
    <m/>
    <m/>
    <m/>
    <m/>
    <n v="372"/>
    <m/>
    <m/>
    <m/>
    <n v="0"/>
    <n v="0"/>
    <n v="0"/>
    <n v="0"/>
    <n v="0"/>
    <n v="0"/>
    <n v="0"/>
    <n v="0"/>
    <n v="0"/>
    <n v="0"/>
    <n v="0"/>
    <n v="0"/>
    <n v="0"/>
    <n v="0"/>
    <x v="1"/>
    <n v="0"/>
    <n v="0"/>
    <n v="0"/>
    <s v="MMR001CMP193"/>
    <x v="0"/>
    <x v="0"/>
    <x v="4"/>
    <n v="0"/>
    <m/>
    <m/>
  </r>
  <r>
    <n v="37.299999999999997"/>
    <d v="2014-04-08T00:00:00"/>
    <x v="7"/>
    <s v="MRCS"/>
    <s v="Kachin"/>
    <s v="Momauk"/>
    <s v="Mandalay Monestry"/>
    <m/>
    <m/>
    <m/>
    <m/>
    <m/>
    <m/>
    <m/>
    <m/>
    <m/>
    <m/>
    <m/>
    <m/>
    <m/>
    <n v="10"/>
    <m/>
    <m/>
    <m/>
    <n v="0"/>
    <n v="0"/>
    <n v="0"/>
    <n v="0"/>
    <n v="0"/>
    <n v="0"/>
    <n v="0"/>
    <n v="0"/>
    <n v="0"/>
    <n v="0"/>
    <n v="0"/>
    <n v="0"/>
    <n v="0"/>
    <n v="0"/>
    <x v="1"/>
    <n v="0"/>
    <n v="0"/>
    <n v="0"/>
    <s v="MMR001CMP058"/>
    <x v="0"/>
    <x v="2"/>
    <x v="4"/>
    <n v="0"/>
    <m/>
    <m/>
  </r>
  <r>
    <n v="37.299999999999997"/>
    <d v="2014-04-08T00:00:00"/>
    <x v="7"/>
    <s v="MRCS"/>
    <s v="Kachin"/>
    <s v="Momauk"/>
    <s v="Ni Thaw Ka Monestry"/>
    <m/>
    <m/>
    <m/>
    <m/>
    <m/>
    <m/>
    <m/>
    <m/>
    <m/>
    <m/>
    <m/>
    <m/>
    <m/>
    <n v="46"/>
    <m/>
    <m/>
    <m/>
    <n v="0"/>
    <n v="0"/>
    <n v="0"/>
    <n v="0"/>
    <n v="0"/>
    <n v="0"/>
    <n v="0"/>
    <n v="0"/>
    <n v="0"/>
    <n v="0"/>
    <n v="0"/>
    <n v="0"/>
    <n v="0"/>
    <n v="0"/>
    <x v="1"/>
    <n v="0"/>
    <n v="0"/>
    <n v="0"/>
    <s v="MMR001CMP059"/>
    <x v="0"/>
    <x v="2"/>
    <x v="4"/>
    <n v="0"/>
    <m/>
    <m/>
  </r>
  <r>
    <n v="37.333333333333336"/>
    <d v="2014-04-07T00:00:00"/>
    <x v="7"/>
    <s v="MRCS"/>
    <s v="Kachin"/>
    <s v="Mansi"/>
    <s v="Host Families"/>
    <m/>
    <m/>
    <m/>
    <m/>
    <m/>
    <m/>
    <m/>
    <m/>
    <m/>
    <m/>
    <m/>
    <m/>
    <m/>
    <n v="558"/>
    <m/>
    <m/>
    <m/>
    <n v="0"/>
    <n v="0"/>
    <n v="0"/>
    <n v="0"/>
    <n v="0"/>
    <n v="0"/>
    <n v="0"/>
    <n v="0"/>
    <n v="0"/>
    <n v="0"/>
    <n v="0"/>
    <n v="0"/>
    <n v="0"/>
    <n v="0"/>
    <x v="1"/>
    <n v="0"/>
    <n v="0"/>
    <n v="0"/>
    <s v="MMR001CMP163"/>
    <x v="0"/>
    <x v="0"/>
    <x v="4"/>
    <s v=""/>
    <m/>
    <m/>
  </r>
  <r>
    <n v="37.333333333333336"/>
    <d v="2014-04-07T00:00:00"/>
    <x v="7"/>
    <s v="MRCS"/>
    <s v="Kachin"/>
    <s v="Mansi"/>
    <s v="Maing Khaung"/>
    <m/>
    <m/>
    <m/>
    <m/>
    <m/>
    <m/>
    <m/>
    <m/>
    <m/>
    <m/>
    <m/>
    <m/>
    <m/>
    <n v="478"/>
    <m/>
    <m/>
    <m/>
    <n v="0"/>
    <n v="0"/>
    <n v="0"/>
    <n v="0"/>
    <n v="0"/>
    <n v="0"/>
    <n v="0"/>
    <n v="0"/>
    <n v="0"/>
    <n v="0"/>
    <n v="0"/>
    <n v="0"/>
    <n v="0"/>
    <n v="0"/>
    <x v="1"/>
    <n v="0"/>
    <n v="0"/>
    <n v="0"/>
    <s v="MMR001CMP218"/>
    <x v="0"/>
    <x v="0"/>
    <x v="4"/>
    <n v="0"/>
    <m/>
    <m/>
  </r>
  <r>
    <n v="37.333333333333336"/>
    <d v="2014-04-07T00:00:00"/>
    <x v="7"/>
    <s v="MRCS"/>
    <s v="Kachin"/>
    <s v="Mansi"/>
    <s v="Maing Khaung Catholic Church"/>
    <m/>
    <m/>
    <m/>
    <m/>
    <m/>
    <m/>
    <m/>
    <m/>
    <m/>
    <m/>
    <m/>
    <m/>
    <m/>
    <n v="158"/>
    <m/>
    <m/>
    <m/>
    <n v="0"/>
    <n v="0"/>
    <n v="0"/>
    <n v="0"/>
    <n v="0"/>
    <n v="0"/>
    <n v="0"/>
    <n v="0"/>
    <n v="0"/>
    <n v="0"/>
    <n v="0"/>
    <n v="0"/>
    <n v="0"/>
    <n v="0"/>
    <x v="1"/>
    <n v="0"/>
    <n v="0"/>
    <n v="0"/>
    <s v="MMR001CMP223"/>
    <x v="0"/>
    <x v="0"/>
    <x v="4"/>
    <n v="0"/>
    <m/>
    <m/>
  </r>
  <r>
    <n v="37.333333333333336"/>
    <d v="2014-04-07T00:00:00"/>
    <x v="7"/>
    <s v="MRCS"/>
    <s v="Kachin"/>
    <s v="Mansi"/>
    <s v="Mansi Baptist Church"/>
    <m/>
    <m/>
    <m/>
    <m/>
    <m/>
    <m/>
    <m/>
    <m/>
    <m/>
    <m/>
    <m/>
    <m/>
    <m/>
    <n v="262"/>
    <m/>
    <m/>
    <m/>
    <n v="0"/>
    <n v="0"/>
    <n v="0"/>
    <n v="0"/>
    <n v="0"/>
    <n v="0"/>
    <n v="0"/>
    <n v="0"/>
    <n v="0"/>
    <n v="0"/>
    <n v="0"/>
    <n v="0"/>
    <n v="0"/>
    <n v="0"/>
    <x v="1"/>
    <n v="0"/>
    <n v="0"/>
    <n v="0"/>
    <s v="MMR001CMP066"/>
    <x v="0"/>
    <x v="0"/>
    <x v="4"/>
    <n v="0"/>
    <m/>
    <m/>
  </r>
  <r>
    <n v="37.366666666666667"/>
    <d v="2014-04-06T00:00:00"/>
    <x v="7"/>
    <s v="MRCS"/>
    <s v="Kachin"/>
    <s v="Hpakant"/>
    <s v="Baptist Church, Naung Hmee VT"/>
    <m/>
    <m/>
    <m/>
    <m/>
    <m/>
    <m/>
    <m/>
    <m/>
    <m/>
    <m/>
    <m/>
    <m/>
    <m/>
    <n v="30"/>
    <m/>
    <m/>
    <m/>
    <n v="0"/>
    <n v="0"/>
    <n v="0"/>
    <n v="0"/>
    <n v="0"/>
    <n v="0"/>
    <n v="0"/>
    <n v="0"/>
    <n v="0"/>
    <n v="0"/>
    <n v="0"/>
    <n v="0"/>
    <n v="0"/>
    <n v="0"/>
    <x v="1"/>
    <n v="0"/>
    <n v="0"/>
    <n v="0"/>
    <s v="MMR001CMP188"/>
    <x v="0"/>
    <x v="2"/>
    <x v="4"/>
    <s v=""/>
    <m/>
    <m/>
  </r>
  <r>
    <n v="37.4"/>
    <d v="2014-04-05T00:00:00"/>
    <x v="7"/>
    <s v="MRCS"/>
    <s v="Kachin"/>
    <s v="Hpakant"/>
    <s v="Hlaing Naung Baptist"/>
    <m/>
    <m/>
    <m/>
    <m/>
    <m/>
    <m/>
    <m/>
    <m/>
    <m/>
    <m/>
    <m/>
    <m/>
    <m/>
    <n v="44"/>
    <m/>
    <m/>
    <m/>
    <n v="0"/>
    <n v="0"/>
    <n v="0"/>
    <n v="0"/>
    <n v="0"/>
    <n v="0"/>
    <n v="0"/>
    <n v="0"/>
    <n v="0"/>
    <n v="0"/>
    <n v="0"/>
    <n v="0"/>
    <n v="0"/>
    <n v="0"/>
    <x v="1"/>
    <n v="0"/>
    <n v="0"/>
    <n v="0"/>
    <s v="MMR001CMP148"/>
    <x v="0"/>
    <x v="0"/>
    <x v="4"/>
    <n v="0"/>
    <m/>
    <m/>
  </r>
  <r>
    <n v="37.5"/>
    <d v="2014-04-02T00:00:00"/>
    <x v="1"/>
    <s v="UNHCR"/>
    <s v="Kachin"/>
    <s v="Bhamo"/>
    <s v="Mu-yin Baptist Church"/>
    <m/>
    <m/>
    <m/>
    <m/>
    <n v="1"/>
    <n v="3"/>
    <n v="2"/>
    <m/>
    <n v="3"/>
    <m/>
    <m/>
    <m/>
    <m/>
    <m/>
    <m/>
    <m/>
    <m/>
    <n v="0"/>
    <n v="0"/>
    <n v="0"/>
    <n v="0"/>
    <n v="0"/>
    <n v="0"/>
    <n v="0"/>
    <n v="0"/>
    <n v="0"/>
    <n v="0"/>
    <n v="0"/>
    <n v="0"/>
    <n v="0"/>
    <n v="0"/>
    <x v="0"/>
    <n v="0"/>
    <n v="0"/>
    <n v="0"/>
    <s v="MMR001CMP051"/>
    <x v="0"/>
    <x v="0"/>
    <x v="4"/>
    <n v="4.8563727751742226E-5"/>
    <s v="No"/>
    <m/>
  </r>
  <r>
    <n v="38.700000000000003"/>
    <d v="2014-02-25T00:00:00"/>
    <x v="7"/>
    <s v="MRCS"/>
    <s v="Kachin"/>
    <s v="Mogaung"/>
    <s v="Kyun Taw Baptist Church "/>
    <m/>
    <m/>
    <m/>
    <m/>
    <m/>
    <m/>
    <m/>
    <m/>
    <m/>
    <m/>
    <m/>
    <m/>
    <m/>
    <n v="26"/>
    <m/>
    <m/>
    <m/>
    <n v="0"/>
    <n v="0"/>
    <n v="0"/>
    <n v="0"/>
    <n v="0"/>
    <n v="0"/>
    <n v="0"/>
    <n v="0"/>
    <n v="0"/>
    <n v="0"/>
    <n v="0"/>
    <n v="0"/>
    <n v="0"/>
    <n v="0"/>
    <x v="1"/>
    <n v="0"/>
    <n v="0"/>
    <n v="0"/>
    <s v="MMR001CMP078"/>
    <x v="0"/>
    <x v="0"/>
    <x v="4"/>
    <n v="0"/>
    <m/>
    <m/>
  </r>
  <r>
    <n v="38.700000000000003"/>
    <d v="2014-02-25T00:00:00"/>
    <x v="7"/>
    <s v="MRCS"/>
    <s v="Kachin"/>
    <s v="Mogaung"/>
    <s v="Mang Hawng Baptist Church"/>
    <m/>
    <m/>
    <m/>
    <m/>
    <m/>
    <m/>
    <m/>
    <m/>
    <m/>
    <m/>
    <m/>
    <m/>
    <m/>
    <n v="26"/>
    <m/>
    <m/>
    <m/>
    <n v="0"/>
    <n v="0"/>
    <n v="0"/>
    <n v="0"/>
    <n v="0"/>
    <n v="0"/>
    <n v="0"/>
    <n v="0"/>
    <n v="0"/>
    <n v="0"/>
    <n v="0"/>
    <n v="0"/>
    <n v="0"/>
    <n v="0"/>
    <x v="1"/>
    <n v="0"/>
    <n v="0"/>
    <n v="0"/>
    <s v="MMR001CMP077"/>
    <x v="0"/>
    <x v="0"/>
    <x v="4"/>
    <n v="0"/>
    <m/>
    <m/>
  </r>
  <r>
    <n v="38.700000000000003"/>
    <d v="2014-02-25T00:00:00"/>
    <x v="7"/>
    <s v="MRCS"/>
    <s v="Kachin"/>
    <s v="Mogaung"/>
    <s v="Nat Gyi Kone Baptist Church "/>
    <m/>
    <m/>
    <m/>
    <m/>
    <m/>
    <m/>
    <m/>
    <m/>
    <m/>
    <m/>
    <m/>
    <m/>
    <m/>
    <n v="28"/>
    <m/>
    <m/>
    <m/>
    <n v="0"/>
    <n v="0"/>
    <n v="0"/>
    <n v="0"/>
    <n v="0"/>
    <n v="0"/>
    <n v="0"/>
    <n v="0"/>
    <n v="0"/>
    <n v="0"/>
    <n v="0"/>
    <n v="0"/>
    <n v="0"/>
    <n v="0"/>
    <x v="1"/>
    <n v="0"/>
    <n v="0"/>
    <n v="0"/>
    <s v="MMR001CMP079"/>
    <x v="0"/>
    <x v="0"/>
    <x v="4"/>
    <n v="0"/>
    <m/>
    <m/>
  </r>
  <r>
    <n v="38.766666666666666"/>
    <d v="2014-02-23T00:00:00"/>
    <x v="7"/>
    <s v="MRCS"/>
    <s v="Kachin"/>
    <s v="Chipwi"/>
    <s v="Chipwi KBC camp"/>
    <m/>
    <m/>
    <m/>
    <m/>
    <m/>
    <m/>
    <m/>
    <m/>
    <m/>
    <m/>
    <m/>
    <m/>
    <m/>
    <n v="222"/>
    <m/>
    <m/>
    <m/>
    <n v="0"/>
    <n v="0"/>
    <n v="0"/>
    <n v="0"/>
    <n v="0"/>
    <n v="0"/>
    <n v="0"/>
    <n v="0"/>
    <n v="0"/>
    <n v="0"/>
    <n v="0"/>
    <n v="0"/>
    <n v="0"/>
    <n v="0"/>
    <x v="1"/>
    <n v="0"/>
    <n v="0"/>
    <n v="0"/>
    <s v="MMR001CMP042"/>
    <x v="0"/>
    <x v="0"/>
    <x v="3"/>
    <n v="0"/>
    <m/>
    <m/>
  </r>
  <r>
    <n v="38.766666666666666"/>
    <d v="2014-02-23T00:00:00"/>
    <x v="7"/>
    <s v="MRCS"/>
    <s v="Kachin"/>
    <s v="Chipwi"/>
    <s v="Lhaovao Baptist Church (LBC)"/>
    <m/>
    <m/>
    <m/>
    <m/>
    <m/>
    <m/>
    <m/>
    <m/>
    <m/>
    <m/>
    <m/>
    <m/>
    <m/>
    <n v="278"/>
    <m/>
    <m/>
    <m/>
    <n v="0"/>
    <n v="0"/>
    <n v="0"/>
    <n v="0"/>
    <n v="0"/>
    <n v="0"/>
    <n v="0"/>
    <n v="0"/>
    <n v="0"/>
    <n v="0"/>
    <n v="0"/>
    <n v="0"/>
    <n v="0"/>
    <n v="0"/>
    <x v="1"/>
    <n v="0"/>
    <n v="0"/>
    <n v="0"/>
    <s v="MMR001CMP195"/>
    <x v="0"/>
    <x v="0"/>
    <x v="3"/>
    <n v="0"/>
    <m/>
    <m/>
  </r>
  <r>
    <n v="38.766666666666666"/>
    <d v="2014-02-23T00:00:00"/>
    <x v="7"/>
    <s v="MRCS"/>
    <s v="Kachin"/>
    <s v="Momauk"/>
    <s v="Seng Ja "/>
    <m/>
    <m/>
    <m/>
    <m/>
    <m/>
    <m/>
    <m/>
    <m/>
    <m/>
    <m/>
    <m/>
    <m/>
    <m/>
    <n v="376"/>
    <m/>
    <m/>
    <m/>
    <n v="0"/>
    <n v="0"/>
    <n v="0"/>
    <n v="0"/>
    <n v="0"/>
    <n v="0"/>
    <n v="0"/>
    <n v="0"/>
    <n v="0"/>
    <n v="0"/>
    <n v="0"/>
    <n v="0"/>
    <n v="0"/>
    <n v="0"/>
    <x v="1"/>
    <n v="0"/>
    <n v="0"/>
    <n v="0"/>
    <s v="MMR001CMP073"/>
    <x v="0"/>
    <x v="0"/>
    <x v="0"/>
    <n v="0"/>
    <m/>
    <m/>
  </r>
  <r>
    <n v="38.799999999999997"/>
    <d v="2014-02-22T00:00:00"/>
    <x v="7"/>
    <s v="MRCS"/>
    <s v="Kachin"/>
    <s v="Chipwi"/>
    <s v="Pan Wa"/>
    <m/>
    <m/>
    <m/>
    <m/>
    <m/>
    <m/>
    <m/>
    <m/>
    <m/>
    <m/>
    <m/>
    <m/>
    <m/>
    <n v="126"/>
    <m/>
    <m/>
    <m/>
    <n v="0"/>
    <n v="0"/>
    <n v="0"/>
    <n v="0"/>
    <n v="0"/>
    <n v="0"/>
    <n v="0"/>
    <n v="0"/>
    <n v="0"/>
    <n v="0"/>
    <n v="0"/>
    <n v="0"/>
    <n v="0"/>
    <n v="0"/>
    <x v="1"/>
    <n v="0"/>
    <n v="0"/>
    <n v="0"/>
    <s v="MMR001CMP210"/>
    <x v="0"/>
    <x v="0"/>
    <x v="3"/>
    <n v="0"/>
    <m/>
    <m/>
  </r>
  <r>
    <n v="38.799999999999997"/>
    <d v="2014-02-22T00:00:00"/>
    <x v="7"/>
    <s v="MRCS"/>
    <s v="Kachin"/>
    <s v="Chipwi"/>
    <s v="Saw Zam"/>
    <m/>
    <m/>
    <m/>
    <m/>
    <m/>
    <m/>
    <m/>
    <m/>
    <m/>
    <m/>
    <m/>
    <m/>
    <m/>
    <n v="58"/>
    <m/>
    <m/>
    <m/>
    <n v="0"/>
    <n v="0"/>
    <n v="0"/>
    <n v="0"/>
    <n v="0"/>
    <n v="0"/>
    <n v="0"/>
    <n v="0"/>
    <n v="0"/>
    <n v="0"/>
    <n v="0"/>
    <n v="0"/>
    <n v="0"/>
    <n v="0"/>
    <x v="1"/>
    <n v="0"/>
    <n v="0"/>
    <n v="0"/>
    <s v="MMR001CMP225"/>
    <x v="0"/>
    <x v="0"/>
    <x v="3"/>
    <n v="0"/>
    <m/>
    <m/>
  </r>
  <r>
    <n v="38.799999999999997"/>
    <d v="2014-02-22T00:00:00"/>
    <x v="7"/>
    <s v="MRCS"/>
    <s v="Kachin"/>
    <s v="Sumprabum"/>
    <s v="Sumprabum"/>
    <m/>
    <m/>
    <m/>
    <m/>
    <m/>
    <m/>
    <m/>
    <m/>
    <m/>
    <m/>
    <m/>
    <m/>
    <m/>
    <n v="16"/>
    <m/>
    <m/>
    <m/>
    <n v="0"/>
    <n v="0"/>
    <n v="0"/>
    <n v="0"/>
    <n v="0"/>
    <n v="0"/>
    <n v="0"/>
    <n v="0"/>
    <n v="0"/>
    <n v="0"/>
    <n v="0"/>
    <n v="0"/>
    <n v="0"/>
    <n v="0"/>
    <x v="1"/>
    <n v="0"/>
    <n v="0"/>
    <n v="0"/>
    <s v="MMR001CMP206"/>
    <x v="0"/>
    <x v="0"/>
    <x v="4"/>
    <s v=""/>
    <m/>
    <m/>
  </r>
  <r>
    <n v="39.6"/>
    <d v="2014-01-29T00:00:00"/>
    <x v="1"/>
    <s v="UNHCR"/>
    <s v="Kachin"/>
    <s v="Mansi"/>
    <s v="Maing Khaung"/>
    <m/>
    <m/>
    <m/>
    <n v="100"/>
    <n v="58"/>
    <n v="100"/>
    <n v="58"/>
    <m/>
    <n v="58"/>
    <n v="290"/>
    <m/>
    <m/>
    <m/>
    <m/>
    <m/>
    <m/>
    <m/>
    <n v="0"/>
    <n v="0"/>
    <n v="0"/>
    <n v="0"/>
    <n v="0"/>
    <n v="0"/>
    <n v="0"/>
    <n v="0"/>
    <n v="0"/>
    <n v="0"/>
    <n v="0"/>
    <n v="0"/>
    <n v="0"/>
    <n v="0"/>
    <x v="0"/>
    <n v="0"/>
    <n v="0"/>
    <n v="0"/>
    <s v="MMR001CMP218"/>
    <x v="0"/>
    <x v="0"/>
    <x v="4"/>
    <n v="1.3959757389043997E-3"/>
    <s v="No"/>
    <m/>
  </r>
  <r>
    <n v="39.633333333333333"/>
    <d v="2014-01-28T00:00:00"/>
    <x v="1"/>
    <m/>
    <s v="Kachin"/>
    <s v="Mansi"/>
    <s v="Maing Khaung Catholic Church"/>
    <m/>
    <m/>
    <m/>
    <n v="18"/>
    <n v="10"/>
    <n v="18"/>
    <n v="40"/>
    <m/>
    <n v="10"/>
    <n v="50"/>
    <m/>
    <m/>
    <m/>
    <m/>
    <m/>
    <m/>
    <m/>
    <n v="0"/>
    <n v="0"/>
    <n v="0"/>
    <n v="0"/>
    <n v="0"/>
    <n v="0"/>
    <n v="0"/>
    <n v="0"/>
    <n v="0"/>
    <n v="0"/>
    <n v="0"/>
    <n v="0"/>
    <n v="0"/>
    <n v="0"/>
    <x v="0"/>
    <n v="0"/>
    <n v="0"/>
    <n v="0"/>
    <s v="MMR001CMP223"/>
    <x v="0"/>
    <x v="0"/>
    <x v="4"/>
    <n v="9.6274188889958602E-4"/>
    <m/>
    <m/>
  </r>
  <r>
    <n v="39.666666666666664"/>
    <d v="2014-01-27T00:00:00"/>
    <x v="6"/>
    <s v="KBC"/>
    <s v="Kachin"/>
    <s v="Waingmaw"/>
    <s v="Hkau Shau (BP 12)"/>
    <m/>
    <m/>
    <m/>
    <m/>
    <m/>
    <n v="181"/>
    <n v="181"/>
    <n v="181"/>
    <m/>
    <n v="181"/>
    <m/>
    <m/>
    <m/>
    <m/>
    <m/>
    <m/>
    <m/>
    <n v="0"/>
    <n v="0"/>
    <n v="0"/>
    <n v="0"/>
    <n v="0"/>
    <n v="0"/>
    <n v="0"/>
    <n v="0"/>
    <n v="0"/>
    <n v="0"/>
    <n v="0"/>
    <n v="0"/>
    <n v="0"/>
    <n v="0"/>
    <x v="0"/>
    <n v="0"/>
    <n v="0"/>
    <n v="0"/>
    <s v="MMR001CMP115"/>
    <x v="0"/>
    <x v="0"/>
    <x v="3"/>
    <n v="4.4278095797250358E-3"/>
    <s v="No"/>
    <m/>
  </r>
  <r>
    <n v="39.666666666666664"/>
    <d v="2014-01-27T00:00:00"/>
    <x v="6"/>
    <s v="KBC"/>
    <s v="Kachin"/>
    <s v="Chipwi"/>
    <s v="Hpare Hkyer - BP6"/>
    <m/>
    <m/>
    <m/>
    <m/>
    <m/>
    <n v="155"/>
    <n v="155"/>
    <n v="155"/>
    <m/>
    <n v="155"/>
    <m/>
    <m/>
    <m/>
    <m/>
    <m/>
    <m/>
    <m/>
    <n v="0"/>
    <n v="0"/>
    <n v="0"/>
    <n v="0"/>
    <n v="0"/>
    <n v="0"/>
    <n v="0"/>
    <n v="0"/>
    <n v="0"/>
    <n v="0"/>
    <n v="0"/>
    <n v="0"/>
    <n v="0"/>
    <n v="0"/>
    <x v="0"/>
    <n v="0"/>
    <n v="0"/>
    <n v="0"/>
    <s v="MMR001CMP043"/>
    <x v="0"/>
    <x v="0"/>
    <x v="3"/>
    <n v="3.777723616865708E-3"/>
    <s v="No"/>
    <m/>
  </r>
  <r>
    <n v="39.733333333333334"/>
    <d v="2014-01-25T00:00:00"/>
    <x v="1"/>
    <s v="UNHCR"/>
    <s v="Kachin"/>
    <s v="Momauk"/>
    <s v="Dum Bung "/>
    <m/>
    <m/>
    <m/>
    <n v="62"/>
    <n v="31"/>
    <n v="62"/>
    <n v="31"/>
    <m/>
    <n v="31"/>
    <n v="155"/>
    <m/>
    <m/>
    <m/>
    <m/>
    <m/>
    <m/>
    <m/>
    <n v="0"/>
    <n v="0"/>
    <n v="0"/>
    <n v="0"/>
    <n v="0"/>
    <n v="0"/>
    <n v="0"/>
    <n v="0"/>
    <n v="0"/>
    <n v="0"/>
    <n v="0"/>
    <n v="0"/>
    <n v="0"/>
    <n v="0"/>
    <x v="0"/>
    <n v="0"/>
    <n v="0"/>
    <n v="0"/>
    <s v="MMR001CMP123"/>
    <x v="0"/>
    <x v="0"/>
    <x v="5"/>
    <n v="7.6062420257140052E-4"/>
    <s v="No"/>
    <m/>
  </r>
  <r>
    <n v="39.733333333333334"/>
    <d v="2014-01-25T00:00:00"/>
    <x v="6"/>
    <s v="KBC"/>
    <s v="Kachin"/>
    <s v="Waingmaw"/>
    <s v="Pajau - Jan Mai"/>
    <m/>
    <m/>
    <m/>
    <m/>
    <m/>
    <n v="191"/>
    <n v="191"/>
    <n v="191"/>
    <m/>
    <n v="191"/>
    <m/>
    <m/>
    <m/>
    <m/>
    <m/>
    <m/>
    <m/>
    <n v="0"/>
    <n v="0"/>
    <n v="0"/>
    <n v="0"/>
    <n v="0"/>
    <n v="0"/>
    <n v="0"/>
    <n v="0"/>
    <n v="0"/>
    <n v="0"/>
    <n v="0"/>
    <n v="0"/>
    <n v="0"/>
    <n v="0"/>
    <x v="0"/>
    <n v="0"/>
    <n v="0"/>
    <n v="0"/>
    <s v="MMR001CMP120"/>
    <x v="0"/>
    <x v="0"/>
    <x v="3"/>
    <n v="4.6899938612645796E-3"/>
    <s v="No"/>
    <m/>
  </r>
  <r>
    <n v="39.733333333333334"/>
    <d v="2014-01-25T00:00:00"/>
    <x v="6"/>
    <s v="KBC"/>
    <s v="Kachin"/>
    <s v="Waingmaw"/>
    <s v="Shing Jai"/>
    <m/>
    <m/>
    <m/>
    <m/>
    <m/>
    <n v="198"/>
    <n v="198"/>
    <n v="198"/>
    <m/>
    <n v="198"/>
    <m/>
    <m/>
    <m/>
    <m/>
    <m/>
    <m/>
    <m/>
    <n v="0"/>
    <n v="0"/>
    <n v="0"/>
    <n v="0"/>
    <n v="0"/>
    <n v="0"/>
    <n v="0"/>
    <n v="0"/>
    <n v="0"/>
    <n v="0"/>
    <n v="0"/>
    <n v="0"/>
    <n v="0"/>
    <n v="0"/>
    <x v="0"/>
    <n v="0"/>
    <n v="0"/>
    <n v="0"/>
    <s v="MMR001CMP041"/>
    <x v="0"/>
    <x v="0"/>
    <x v="3"/>
    <n v="4.847238542890717E-3"/>
    <s v="No"/>
    <m/>
  </r>
  <r>
    <n v="39.733333333333334"/>
    <d v="2014-01-25T00:00:00"/>
    <x v="6"/>
    <s v="KBC"/>
    <s v="Kachin"/>
    <s v="Waingmaw"/>
    <s v="Zai Awng - Mung Ga Zup"/>
    <m/>
    <m/>
    <m/>
    <m/>
    <m/>
    <n v="646"/>
    <n v="646"/>
    <n v="646"/>
    <m/>
    <n v="646"/>
    <m/>
    <m/>
    <m/>
    <m/>
    <m/>
    <m/>
    <m/>
    <n v="0"/>
    <n v="0"/>
    <n v="0"/>
    <n v="0"/>
    <n v="0"/>
    <n v="0"/>
    <n v="0"/>
    <n v="0"/>
    <n v="0"/>
    <n v="0"/>
    <n v="0"/>
    <n v="0"/>
    <n v="0"/>
    <n v="0"/>
    <x v="0"/>
    <n v="0"/>
    <n v="0"/>
    <n v="0"/>
    <s v="MMR001CMP111"/>
    <x v="0"/>
    <x v="2"/>
    <x v="5"/>
    <n v="1.5814727771249509E-2"/>
    <s v="No"/>
    <m/>
  </r>
  <r>
    <n v="39.766666666666666"/>
    <d v="2014-01-24T00:00:00"/>
    <x v="8"/>
    <m/>
    <s v="Kachin"/>
    <s v="Mansi"/>
    <s v="Bum Tsit Pa "/>
    <m/>
    <m/>
    <m/>
    <m/>
    <m/>
    <m/>
    <m/>
    <m/>
    <m/>
    <m/>
    <m/>
    <n v="838"/>
    <m/>
    <m/>
    <m/>
    <m/>
    <m/>
    <n v="0"/>
    <n v="0"/>
    <n v="0"/>
    <n v="0"/>
    <n v="0"/>
    <n v="0"/>
    <n v="0"/>
    <n v="0"/>
    <n v="0"/>
    <n v="0"/>
    <n v="0"/>
    <n v="0"/>
    <n v="0"/>
    <n v="0"/>
    <x v="1"/>
    <n v="0"/>
    <n v="0"/>
    <n v="0"/>
    <s v="MMR001CMP129"/>
    <x v="0"/>
    <x v="0"/>
    <x v="5"/>
    <n v="0"/>
    <s v="No"/>
    <m/>
  </r>
  <r>
    <n v="39.766666666666666"/>
    <d v="2014-01-24T00:00:00"/>
    <x v="1"/>
    <s v="UNHCR"/>
    <s v="Kachin"/>
    <s v="Momauk"/>
    <s v="Pa Kahtawng "/>
    <m/>
    <m/>
    <m/>
    <n v="60"/>
    <n v="30"/>
    <n v="60"/>
    <n v="30"/>
    <m/>
    <n v="30"/>
    <n v="150"/>
    <m/>
    <m/>
    <m/>
    <m/>
    <m/>
    <m/>
    <m/>
    <n v="0"/>
    <n v="0"/>
    <n v="0"/>
    <n v="0"/>
    <n v="0"/>
    <n v="0"/>
    <n v="0"/>
    <n v="0"/>
    <n v="0"/>
    <n v="0"/>
    <n v="0"/>
    <n v="0"/>
    <n v="0"/>
    <n v="0"/>
    <x v="0"/>
    <n v="0"/>
    <n v="0"/>
    <n v="0"/>
    <s v="MMR001CMP126"/>
    <x v="0"/>
    <x v="0"/>
    <x v="5"/>
    <n v="7.3170731707317073E-4"/>
    <s v="No"/>
    <m/>
  </r>
  <r>
    <n v="39.9"/>
    <d v="2014-01-20T00:00:00"/>
    <x v="8"/>
    <s v="KMSS"/>
    <s v="Kachin"/>
    <s v="Waingmaw"/>
    <s v="Maga Yang "/>
    <m/>
    <m/>
    <m/>
    <m/>
    <m/>
    <m/>
    <m/>
    <m/>
    <m/>
    <m/>
    <n v="1497"/>
    <n v="925"/>
    <m/>
    <m/>
    <m/>
    <m/>
    <m/>
    <n v="0"/>
    <n v="0"/>
    <n v="0"/>
    <n v="0"/>
    <n v="0"/>
    <n v="0"/>
    <n v="0"/>
    <n v="0"/>
    <n v="0"/>
    <n v="0"/>
    <n v="0"/>
    <n v="0"/>
    <n v="0"/>
    <n v="0"/>
    <x v="1"/>
    <n v="0"/>
    <n v="0"/>
    <n v="0"/>
    <s v="MMR001CMP119"/>
    <x v="0"/>
    <x v="0"/>
    <x v="5"/>
    <n v="0"/>
    <s v="No"/>
    <m/>
  </r>
  <r>
    <n v="39.9"/>
    <d v="2014-01-20T00:00:00"/>
    <x v="8"/>
    <s v="KMSS"/>
    <s v="Kachin"/>
    <s v="Waingmaw"/>
    <s v="Post 6 Camp"/>
    <m/>
    <m/>
    <m/>
    <m/>
    <m/>
    <m/>
    <m/>
    <n v="127"/>
    <m/>
    <m/>
    <m/>
    <m/>
    <m/>
    <m/>
    <m/>
    <m/>
    <m/>
    <n v="0"/>
    <n v="0"/>
    <n v="0"/>
    <n v="0"/>
    <n v="0"/>
    <n v="0"/>
    <n v="0"/>
    <n v="0"/>
    <n v="0"/>
    <n v="0"/>
    <n v="0"/>
    <n v="0"/>
    <n v="0"/>
    <n v="0"/>
    <x v="0"/>
    <n v="0"/>
    <n v="0"/>
    <n v="0"/>
    <s v="MMR001CMP160"/>
    <x v="0"/>
    <x v="0"/>
    <x v="3"/>
    <n v="0"/>
    <s v="No"/>
    <m/>
  </r>
  <r>
    <n v="39.9"/>
    <d v="2014-01-20T00:00:00"/>
    <x v="5"/>
    <s v="MRCS"/>
    <s v="Kachin"/>
    <s v="Machanbaw"/>
    <s v="Machanbaw - KBC"/>
    <m/>
    <m/>
    <m/>
    <n v="8"/>
    <n v="16"/>
    <n v="16"/>
    <n v="8"/>
    <m/>
    <m/>
    <m/>
    <n v="19"/>
    <n v="9"/>
    <m/>
    <m/>
    <m/>
    <m/>
    <m/>
    <n v="0"/>
    <n v="0"/>
    <n v="0"/>
    <n v="0"/>
    <n v="0"/>
    <n v="0"/>
    <n v="0"/>
    <n v="0"/>
    <n v="0"/>
    <n v="0"/>
    <n v="0"/>
    <n v="0"/>
    <n v="0"/>
    <n v="0"/>
    <x v="1"/>
    <n v="0"/>
    <n v="0"/>
    <n v="0"/>
    <s v="MMR001CMP221"/>
    <x v="0"/>
    <x v="2"/>
    <x v="0"/>
    <n v="1.9268750903222699E-4"/>
    <m/>
    <m/>
  </r>
  <r>
    <n v="39.9"/>
    <d v="2014-01-20T00:00:00"/>
    <x v="5"/>
    <s v="MRCS"/>
    <s v="Kachin"/>
    <s v="Puta-O"/>
    <s v="Naung Khaing"/>
    <m/>
    <m/>
    <m/>
    <n v="17"/>
    <n v="34"/>
    <n v="34"/>
    <n v="17"/>
    <m/>
    <m/>
    <m/>
    <n v="31"/>
    <n v="28"/>
    <m/>
    <m/>
    <m/>
    <m/>
    <m/>
    <n v="0"/>
    <n v="0"/>
    <n v="0"/>
    <n v="0"/>
    <n v="0"/>
    <n v="0"/>
    <n v="0"/>
    <n v="0"/>
    <n v="0"/>
    <n v="0"/>
    <n v="0"/>
    <n v="0"/>
    <n v="0"/>
    <n v="0"/>
    <x v="1"/>
    <n v="0"/>
    <n v="0"/>
    <n v="0"/>
    <s v="MMR001CMP220"/>
    <x v="0"/>
    <x v="2"/>
    <x v="0"/>
    <n v="4.0976691493720927E-4"/>
    <m/>
    <m/>
  </r>
  <r>
    <n v="39.9"/>
    <d v="2014-01-20T00:00:00"/>
    <x v="8"/>
    <s v="KMSS"/>
    <s v="Kachin"/>
    <s v="Waingmaw"/>
    <s v="Post 6 Camp"/>
    <m/>
    <m/>
    <m/>
    <m/>
    <m/>
    <m/>
    <m/>
    <m/>
    <m/>
    <m/>
    <n v="443"/>
    <n v="218"/>
    <m/>
    <m/>
    <m/>
    <m/>
    <m/>
    <n v="0"/>
    <n v="0"/>
    <n v="0"/>
    <n v="0"/>
    <n v="0"/>
    <n v="0"/>
    <n v="0"/>
    <n v="0"/>
    <n v="0"/>
    <n v="0"/>
    <n v="0"/>
    <n v="0"/>
    <n v="0"/>
    <n v="0"/>
    <x v="1"/>
    <n v="0"/>
    <n v="0"/>
    <n v="0"/>
    <s v="MMR001CMP160"/>
    <x v="0"/>
    <x v="0"/>
    <x v="3"/>
    <n v="0"/>
    <s v="No"/>
    <m/>
  </r>
  <r>
    <n v="39.9"/>
    <d v="2014-01-20T00:00:00"/>
    <x v="5"/>
    <s v="MRCS"/>
    <s v="Kachin"/>
    <s v="Puta-O"/>
    <s v="Tote Tan Ward"/>
    <m/>
    <m/>
    <m/>
    <n v="18"/>
    <n v="36"/>
    <n v="36"/>
    <n v="18"/>
    <m/>
    <m/>
    <m/>
    <n v="53"/>
    <n v="42"/>
    <m/>
    <m/>
    <m/>
    <m/>
    <m/>
    <n v="0"/>
    <n v="0"/>
    <n v="0"/>
    <n v="0"/>
    <n v="0"/>
    <n v="0"/>
    <n v="0"/>
    <n v="0"/>
    <n v="0"/>
    <n v="0"/>
    <n v="0"/>
    <n v="0"/>
    <n v="0"/>
    <n v="0"/>
    <x v="1"/>
    <n v="0"/>
    <n v="0"/>
    <n v="0"/>
    <s v="MMR001CMP075"/>
    <x v="0"/>
    <x v="0"/>
    <x v="0"/>
    <s v=""/>
    <m/>
    <m/>
  </r>
  <r>
    <n v="40.033333333333331"/>
    <d v="2014-01-16T00:00:00"/>
    <x v="1"/>
    <s v="UNHCR"/>
    <s v="Kachin"/>
    <s v="Mansi"/>
    <s v="Bum Tsit Pa "/>
    <m/>
    <m/>
    <m/>
    <n v="45"/>
    <n v="30"/>
    <n v="45"/>
    <n v="30"/>
    <m/>
    <n v="30"/>
    <n v="150"/>
    <m/>
    <m/>
    <m/>
    <m/>
    <m/>
    <m/>
    <m/>
    <n v="0"/>
    <n v="0"/>
    <n v="0"/>
    <n v="0"/>
    <n v="0"/>
    <n v="0"/>
    <n v="0"/>
    <n v="0"/>
    <n v="0"/>
    <n v="0"/>
    <n v="0"/>
    <n v="0"/>
    <n v="0"/>
    <n v="0"/>
    <x v="0"/>
    <n v="0"/>
    <n v="0"/>
    <n v="0"/>
    <s v="MMR001CMP129"/>
    <x v="0"/>
    <x v="0"/>
    <x v="5"/>
    <n v="7.3498787270010043E-4"/>
    <s v="No"/>
    <m/>
  </r>
  <r>
    <n v="40.033333333333331"/>
    <d v="2014-01-16T00:00:00"/>
    <x v="8"/>
    <s v="KMSS"/>
    <s v="Kachin"/>
    <s v="Waingmaw"/>
    <s v="Maga Yang "/>
    <m/>
    <m/>
    <m/>
    <m/>
    <m/>
    <m/>
    <m/>
    <n v="600"/>
    <m/>
    <m/>
    <m/>
    <m/>
    <m/>
    <m/>
    <m/>
    <m/>
    <m/>
    <n v="0"/>
    <n v="0"/>
    <n v="0"/>
    <n v="0"/>
    <n v="0"/>
    <n v="0"/>
    <n v="0"/>
    <n v="0"/>
    <n v="0"/>
    <n v="0"/>
    <n v="0"/>
    <n v="0"/>
    <n v="0"/>
    <n v="0"/>
    <x v="0"/>
    <n v="0"/>
    <n v="0"/>
    <n v="0"/>
    <s v="MMR001CMP119"/>
    <x v="0"/>
    <x v="0"/>
    <x v="5"/>
    <n v="0"/>
    <s v="No"/>
    <m/>
  </r>
  <r>
    <n v="40.1"/>
    <d v="2014-01-14T00:00:00"/>
    <x v="8"/>
    <s v="KMSS"/>
    <s v="Kachin"/>
    <s v="Waingmaw"/>
    <s v="Border Post 8"/>
    <m/>
    <m/>
    <m/>
    <m/>
    <m/>
    <m/>
    <m/>
    <n v="180"/>
    <m/>
    <m/>
    <m/>
    <m/>
    <m/>
    <m/>
    <m/>
    <m/>
    <m/>
    <n v="0"/>
    <n v="0"/>
    <n v="0"/>
    <n v="0"/>
    <n v="0"/>
    <n v="0"/>
    <n v="0"/>
    <n v="0"/>
    <n v="0"/>
    <n v="0"/>
    <n v="0"/>
    <n v="0"/>
    <n v="0"/>
    <n v="0"/>
    <x v="0"/>
    <n v="0"/>
    <n v="0"/>
    <n v="0"/>
    <s v="MMR001CMP113"/>
    <x v="0"/>
    <x v="0"/>
    <x v="3"/>
    <n v="0"/>
    <s v="No"/>
    <m/>
  </r>
  <r>
    <n v="40.1"/>
    <d v="2014-01-14T00:00:00"/>
    <x v="8"/>
    <s v="KMSS"/>
    <s v="Kachin"/>
    <s v="Waingmaw"/>
    <s v="Border Post 8"/>
    <m/>
    <m/>
    <m/>
    <m/>
    <m/>
    <m/>
    <m/>
    <m/>
    <m/>
    <m/>
    <n v="501"/>
    <n v="335"/>
    <m/>
    <m/>
    <m/>
    <m/>
    <m/>
    <n v="0"/>
    <n v="0"/>
    <n v="0"/>
    <n v="0"/>
    <n v="0"/>
    <n v="0"/>
    <n v="0"/>
    <n v="0"/>
    <n v="0"/>
    <n v="0"/>
    <n v="0"/>
    <n v="0"/>
    <n v="0"/>
    <n v="0"/>
    <x v="1"/>
    <n v="0"/>
    <n v="0"/>
    <n v="0"/>
    <s v="MMR001CMP113"/>
    <x v="0"/>
    <x v="0"/>
    <x v="3"/>
    <n v="0"/>
    <s v="No"/>
    <m/>
  </r>
  <r>
    <n v="40.1"/>
    <d v="2014-01-14T00:00:00"/>
    <x v="1"/>
    <s v="UNHCR"/>
    <s v="Kachin"/>
    <s v="Mansi"/>
    <s v="Lana Zup Ja "/>
    <m/>
    <m/>
    <m/>
    <n v="140"/>
    <n v="70"/>
    <n v="140"/>
    <n v="70"/>
    <m/>
    <n v="70"/>
    <n v="350"/>
    <m/>
    <m/>
    <m/>
    <m/>
    <m/>
    <m/>
    <m/>
    <n v="0"/>
    <n v="0"/>
    <n v="0"/>
    <n v="0"/>
    <n v="0"/>
    <n v="0"/>
    <n v="0"/>
    <n v="0"/>
    <n v="0"/>
    <n v="0"/>
    <n v="0"/>
    <n v="0"/>
    <n v="0"/>
    <n v="0"/>
    <x v="0"/>
    <n v="0"/>
    <n v="0"/>
    <n v="0"/>
    <s v="MMR001CMP128"/>
    <x v="0"/>
    <x v="0"/>
    <x v="5"/>
    <n v="1.7149717029669011E-3"/>
    <s v="No"/>
    <m/>
  </r>
  <r>
    <n v="40.166666666666664"/>
    <d v="2014-01-12T00:00:00"/>
    <x v="8"/>
    <s v="KMSS"/>
    <s v="Kachin"/>
    <s v="Momauk"/>
    <s v="Dum Bung "/>
    <m/>
    <m/>
    <m/>
    <m/>
    <m/>
    <m/>
    <m/>
    <n v="125"/>
    <m/>
    <m/>
    <m/>
    <m/>
    <m/>
    <m/>
    <m/>
    <m/>
    <m/>
    <n v="0"/>
    <n v="0"/>
    <n v="0"/>
    <n v="0"/>
    <n v="0"/>
    <n v="0"/>
    <n v="0"/>
    <n v="0"/>
    <n v="0"/>
    <n v="0"/>
    <n v="0"/>
    <n v="0"/>
    <n v="0"/>
    <n v="0"/>
    <x v="0"/>
    <n v="0"/>
    <n v="0"/>
    <n v="0"/>
    <s v="MMR001CMP123"/>
    <x v="0"/>
    <x v="0"/>
    <x v="5"/>
    <n v="0"/>
    <s v="No"/>
    <m/>
  </r>
  <r>
    <n v="40.166666666666664"/>
    <d v="2014-01-12T00:00:00"/>
    <x v="8"/>
    <s v="KMSS"/>
    <s v="Kachin"/>
    <s v="Momauk"/>
    <s v="Dum Bung "/>
    <m/>
    <m/>
    <m/>
    <m/>
    <m/>
    <m/>
    <m/>
    <m/>
    <m/>
    <m/>
    <n v="393"/>
    <n v="232"/>
    <m/>
    <m/>
    <m/>
    <m/>
    <m/>
    <n v="0"/>
    <n v="0"/>
    <n v="0"/>
    <n v="0"/>
    <n v="0"/>
    <n v="0"/>
    <n v="0"/>
    <n v="0"/>
    <n v="0"/>
    <n v="0"/>
    <n v="0"/>
    <n v="0"/>
    <n v="0"/>
    <n v="0"/>
    <x v="1"/>
    <n v="0"/>
    <n v="0"/>
    <n v="0"/>
    <s v="MMR001CMP123"/>
    <x v="0"/>
    <x v="0"/>
    <x v="5"/>
    <n v="0"/>
    <s v="No"/>
    <m/>
  </r>
  <r>
    <n v="40.200000000000003"/>
    <d v="2014-01-11T00:00:00"/>
    <x v="1"/>
    <m/>
    <s v="Kachin"/>
    <s v="Bhamo"/>
    <s v="Phan Khar Kone"/>
    <m/>
    <m/>
    <m/>
    <m/>
    <n v="10"/>
    <m/>
    <m/>
    <m/>
    <m/>
    <m/>
    <m/>
    <m/>
    <m/>
    <m/>
    <m/>
    <m/>
    <m/>
    <n v="0"/>
    <n v="0"/>
    <n v="0"/>
    <n v="0"/>
    <n v="0"/>
    <n v="0"/>
    <n v="0"/>
    <n v="0"/>
    <n v="0"/>
    <n v="0"/>
    <n v="0"/>
    <n v="0"/>
    <n v="0"/>
    <n v="0"/>
    <x v="0"/>
    <n v="0"/>
    <n v="0"/>
    <n v="0"/>
    <s v="MMR001CMP193"/>
    <x v="0"/>
    <x v="0"/>
    <x v="4"/>
    <n v="0"/>
    <m/>
    <m/>
  </r>
  <r>
    <n v="40.266666666666666"/>
    <d v="2014-01-09T00:00:00"/>
    <x v="2"/>
    <s v="KBC"/>
    <s v="Kachin"/>
    <s v="Mansi"/>
    <s v="IDPs scattered in South Mansi"/>
    <m/>
    <m/>
    <m/>
    <m/>
    <m/>
    <m/>
    <m/>
    <m/>
    <m/>
    <m/>
    <n v="142"/>
    <n v="284"/>
    <n v="852"/>
    <n v="426"/>
    <m/>
    <m/>
    <m/>
    <n v="0"/>
    <n v="0"/>
    <n v="0"/>
    <n v="0"/>
    <n v="0"/>
    <n v="0"/>
    <n v="0"/>
    <n v="0"/>
    <n v="0"/>
    <n v="0"/>
    <n v="0"/>
    <n v="0"/>
    <n v="0"/>
    <n v="0"/>
    <x v="1"/>
    <n v="0"/>
    <n v="0"/>
    <n v="0"/>
    <s v="MMR001CMP217"/>
    <x v="0"/>
    <x v="2"/>
    <x v="2"/>
    <s v=""/>
    <m/>
    <m/>
  </r>
  <r>
    <n v="40.333333333333336"/>
    <d v="2014-01-07T00:00:00"/>
    <x v="1"/>
    <s v="UNHCR"/>
    <s v="Kachin"/>
    <s v="Bhamo"/>
    <s v="Robert Church"/>
    <m/>
    <m/>
    <m/>
    <n v="44"/>
    <n v="30"/>
    <n v="44"/>
    <n v="20"/>
    <n v="20"/>
    <m/>
    <m/>
    <m/>
    <m/>
    <m/>
    <m/>
    <m/>
    <m/>
    <m/>
    <n v="0"/>
    <n v="0"/>
    <n v="0"/>
    <n v="0"/>
    <n v="0"/>
    <n v="0"/>
    <n v="0"/>
    <n v="0"/>
    <n v="0"/>
    <n v="0"/>
    <n v="0"/>
    <n v="0"/>
    <n v="0"/>
    <n v="0"/>
    <x v="0"/>
    <n v="0"/>
    <n v="0"/>
    <n v="0"/>
    <s v="MMR001CMP047"/>
    <x v="0"/>
    <x v="0"/>
    <x v="4"/>
    <n v="4.9109883364027013E-4"/>
    <s v="No"/>
    <m/>
  </r>
  <r>
    <n v="40.533333333333331"/>
    <d v="2014-01-01T00:00:00"/>
    <x v="9"/>
    <s v="MRCS"/>
    <s v="Kachin"/>
    <s v="Mogaung"/>
    <s v="Mang Hawng Baptist Church"/>
    <m/>
    <m/>
    <m/>
    <m/>
    <m/>
    <m/>
    <n v="14"/>
    <m/>
    <m/>
    <m/>
    <m/>
    <m/>
    <m/>
    <m/>
    <m/>
    <m/>
    <m/>
    <n v="0"/>
    <n v="0"/>
    <n v="0"/>
    <n v="0"/>
    <n v="0"/>
    <n v="0"/>
    <n v="0"/>
    <n v="0"/>
    <n v="0"/>
    <n v="0"/>
    <n v="0"/>
    <n v="0"/>
    <n v="0"/>
    <n v="0"/>
    <x v="0"/>
    <n v="0"/>
    <n v="0"/>
    <n v="0"/>
    <s v="MMR001CMP077"/>
    <x v="0"/>
    <x v="0"/>
    <x v="4"/>
    <n v="3.4121374603948332E-4"/>
    <s v="No"/>
    <m/>
  </r>
  <r>
    <n v="40.533333333333331"/>
    <d v="2014-01-01T00:00:00"/>
    <x v="9"/>
    <s v="MRCS"/>
    <s v="Kachin"/>
    <s v="Mogaung"/>
    <s v="Nat Gyi Kone Baptist Church "/>
    <m/>
    <m/>
    <m/>
    <m/>
    <m/>
    <m/>
    <n v="13"/>
    <m/>
    <m/>
    <m/>
    <m/>
    <m/>
    <m/>
    <m/>
    <m/>
    <m/>
    <m/>
    <n v="0"/>
    <n v="0"/>
    <n v="0"/>
    <n v="0"/>
    <n v="0"/>
    <n v="0"/>
    <n v="0"/>
    <n v="0"/>
    <n v="0"/>
    <n v="0"/>
    <n v="0"/>
    <n v="0"/>
    <n v="0"/>
    <n v="0"/>
    <x v="0"/>
    <n v="0"/>
    <n v="0"/>
    <n v="0"/>
    <s v="MMR001CMP079"/>
    <x v="0"/>
    <x v="0"/>
    <x v="4"/>
    <n v="3.1731309038541335E-4"/>
    <s v="No"/>
    <m/>
  </r>
  <r>
    <n v="40.533333333333331"/>
    <d v="2014-01-01T00:00:00"/>
    <x v="9"/>
    <s v="MRCS"/>
    <s v="Kachin"/>
    <s v="Mohnyin"/>
    <s v="Nant Mun"/>
    <m/>
    <m/>
    <m/>
    <m/>
    <m/>
    <m/>
    <n v="12"/>
    <m/>
    <m/>
    <m/>
    <m/>
    <m/>
    <m/>
    <m/>
    <m/>
    <m/>
    <m/>
    <n v="0"/>
    <n v="0"/>
    <n v="0"/>
    <n v="0"/>
    <n v="0"/>
    <n v="0"/>
    <n v="0"/>
    <n v="0"/>
    <n v="0"/>
    <n v="0"/>
    <n v="0"/>
    <n v="0"/>
    <n v="0"/>
    <n v="0"/>
    <x v="0"/>
    <n v="0"/>
    <n v="0"/>
    <n v="0"/>
    <s v="MMR001CMP081"/>
    <x v="0"/>
    <x v="2"/>
    <x v="4"/>
    <n v="2.9290439112499695E-4"/>
    <s v="No"/>
    <m/>
  </r>
  <r>
    <n v="40.533333333333331"/>
    <d v="2014-01-01T00:00:00"/>
    <x v="9"/>
    <s v="MRCS"/>
    <s v="Kachin"/>
    <s v="Chipwi"/>
    <s v="Pan Wa"/>
    <m/>
    <m/>
    <m/>
    <m/>
    <m/>
    <m/>
    <n v="92"/>
    <m/>
    <m/>
    <m/>
    <m/>
    <m/>
    <m/>
    <m/>
    <m/>
    <m/>
    <m/>
    <n v="0"/>
    <n v="0"/>
    <n v="0"/>
    <n v="0"/>
    <n v="0"/>
    <n v="0"/>
    <n v="0"/>
    <n v="0"/>
    <n v="0"/>
    <n v="0"/>
    <n v="0"/>
    <n v="0"/>
    <n v="0"/>
    <n v="0"/>
    <x v="0"/>
    <n v="0"/>
    <n v="0"/>
    <n v="0"/>
    <s v="MMR001CMP210"/>
    <x v="0"/>
    <x v="0"/>
    <x v="3"/>
    <n v="2.2389330997055318E-3"/>
    <s v="No"/>
    <m/>
  </r>
  <r>
    <n v="40.833333333333336"/>
    <d v="2013-12-23T00:00:00"/>
    <x v="1"/>
    <s v="UNHCR"/>
    <s v="Kachin"/>
    <s v="Bhamo"/>
    <s v="AD-2000 Tharthana Compound"/>
    <m/>
    <m/>
    <n v="10"/>
    <n v="10"/>
    <n v="7"/>
    <n v="10"/>
    <n v="7"/>
    <n v="7"/>
    <m/>
    <m/>
    <m/>
    <m/>
    <m/>
    <m/>
    <m/>
    <m/>
    <m/>
    <n v="0"/>
    <n v="0"/>
    <n v="0"/>
    <n v="0"/>
    <n v="0"/>
    <n v="0"/>
    <n v="0"/>
    <n v="0"/>
    <n v="0"/>
    <n v="0"/>
    <n v="0"/>
    <n v="0"/>
    <n v="0"/>
    <n v="0"/>
    <x v="0"/>
    <n v="0"/>
    <n v="0"/>
    <n v="0"/>
    <s v="MMR001CMP050"/>
    <x v="0"/>
    <x v="0"/>
    <x v="4"/>
    <n v="1.7136701919310616E-4"/>
    <s v="No"/>
    <m/>
  </r>
  <r>
    <n v="40.833333333333336"/>
    <d v="2013-12-23T00:00:00"/>
    <x v="2"/>
    <s v="KBC"/>
    <s v="Kachin"/>
    <s v="Waingmaw"/>
    <s v="IDP Boarding School, A Len Bum"/>
    <m/>
    <m/>
    <m/>
    <m/>
    <m/>
    <m/>
    <m/>
    <m/>
    <m/>
    <m/>
    <n v="2"/>
    <n v="111"/>
    <n v="226"/>
    <n v="113"/>
    <m/>
    <m/>
    <m/>
    <n v="0"/>
    <n v="0"/>
    <n v="0"/>
    <n v="0"/>
    <n v="0"/>
    <n v="0"/>
    <n v="0"/>
    <n v="0"/>
    <n v="0"/>
    <n v="0"/>
    <n v="0"/>
    <n v="0"/>
    <n v="0"/>
    <n v="0"/>
    <x v="1"/>
    <n v="0"/>
    <n v="0"/>
    <n v="0"/>
    <s v="MMR001CMP208"/>
    <x v="0"/>
    <x v="0"/>
    <x v="5"/>
    <s v=""/>
    <m/>
    <m/>
  </r>
  <r>
    <n v="40.833333333333336"/>
    <d v="2013-12-23T00:00:00"/>
    <x v="2"/>
    <s v="KBC"/>
    <s v="Kachin"/>
    <s v="Waingmaw"/>
    <s v="Qtr. 2 Lhaovo Baptist Church"/>
    <m/>
    <m/>
    <m/>
    <m/>
    <m/>
    <m/>
    <m/>
    <m/>
    <m/>
    <m/>
    <n v="59"/>
    <n v="196"/>
    <n v="510"/>
    <n v="255"/>
    <m/>
    <m/>
    <m/>
    <n v="0"/>
    <n v="0"/>
    <n v="0"/>
    <n v="0"/>
    <n v="0"/>
    <n v="0"/>
    <n v="0"/>
    <n v="0"/>
    <n v="0"/>
    <n v="0"/>
    <n v="0"/>
    <n v="0"/>
    <n v="0"/>
    <n v="0"/>
    <x v="1"/>
    <n v="0"/>
    <n v="0"/>
    <n v="0"/>
    <s v="MMR001CMP032"/>
    <x v="0"/>
    <x v="0"/>
    <x v="4"/>
    <n v="0"/>
    <m/>
    <m/>
  </r>
  <r>
    <n v="40.9"/>
    <d v="2013-12-21T00:00:00"/>
    <x v="2"/>
    <s v="KBC"/>
    <s v="Kachin"/>
    <s v="Waingmaw"/>
    <s v="Thargaya Lisu Baptist Church"/>
    <m/>
    <m/>
    <m/>
    <m/>
    <m/>
    <m/>
    <m/>
    <m/>
    <m/>
    <m/>
    <n v="75"/>
    <n v="139"/>
    <n v="428"/>
    <n v="214"/>
    <m/>
    <m/>
    <m/>
    <n v="0"/>
    <n v="0"/>
    <n v="0"/>
    <n v="0"/>
    <n v="0"/>
    <n v="0"/>
    <n v="0"/>
    <n v="0"/>
    <n v="0"/>
    <n v="0"/>
    <n v="0"/>
    <n v="0"/>
    <n v="0"/>
    <n v="0"/>
    <x v="1"/>
    <n v="0"/>
    <n v="0"/>
    <n v="0"/>
    <s v="MMR001CMP037"/>
    <x v="0"/>
    <x v="0"/>
    <x v="4"/>
    <n v="0"/>
    <m/>
    <m/>
  </r>
  <r>
    <n v="40.93333333333333"/>
    <d v="2013-12-20T00:00:00"/>
    <x v="2"/>
    <s v="KBC"/>
    <s v="Kachin"/>
    <s v="Waingmaw"/>
    <s v="Maina AG Church"/>
    <m/>
    <m/>
    <m/>
    <m/>
    <m/>
    <m/>
    <m/>
    <m/>
    <m/>
    <m/>
    <n v="141"/>
    <n v="265"/>
    <n v="812"/>
    <n v="406"/>
    <m/>
    <m/>
    <m/>
    <n v="0"/>
    <n v="0"/>
    <n v="0"/>
    <n v="0"/>
    <n v="0"/>
    <n v="0"/>
    <n v="0"/>
    <n v="0"/>
    <n v="0"/>
    <n v="0"/>
    <n v="0"/>
    <n v="0"/>
    <n v="0"/>
    <n v="0"/>
    <x v="1"/>
    <n v="0"/>
    <n v="0"/>
    <n v="0"/>
    <s v="MMR001CMP031"/>
    <x v="0"/>
    <x v="0"/>
    <x v="4"/>
    <n v="0"/>
    <m/>
    <m/>
  </r>
  <r>
    <n v="40.93333333333333"/>
    <d v="2013-12-20T00:00:00"/>
    <x v="2"/>
    <s v="KBC"/>
    <s v="Kachin"/>
    <s v="Waingmaw"/>
    <s v="Maina Lawang Baptist Church"/>
    <m/>
    <m/>
    <m/>
    <m/>
    <m/>
    <m/>
    <m/>
    <m/>
    <m/>
    <m/>
    <n v="47"/>
    <n v="85"/>
    <n v="264"/>
    <n v="132"/>
    <m/>
    <m/>
    <m/>
    <n v="0"/>
    <n v="0"/>
    <n v="0"/>
    <n v="0"/>
    <n v="0"/>
    <n v="0"/>
    <n v="0"/>
    <n v="0"/>
    <n v="0"/>
    <n v="0"/>
    <n v="0"/>
    <n v="0"/>
    <n v="0"/>
    <n v="0"/>
    <x v="1"/>
    <n v="0"/>
    <n v="0"/>
    <n v="0"/>
    <s v="MMR001CMP039"/>
    <x v="0"/>
    <x v="0"/>
    <x v="4"/>
    <n v="0"/>
    <m/>
    <m/>
  </r>
  <r>
    <n v="40.93333333333333"/>
    <d v="2013-12-20T00:00:00"/>
    <x v="2"/>
    <s v="KBC"/>
    <s v="Kachin"/>
    <s v="Waingmaw"/>
    <s v="Qtr. 4 Monestry (Thargaya Thayett Taw)"/>
    <m/>
    <m/>
    <m/>
    <m/>
    <m/>
    <m/>
    <m/>
    <m/>
    <m/>
    <m/>
    <n v="102"/>
    <n v="188"/>
    <n v="580"/>
    <n v="290"/>
    <m/>
    <m/>
    <m/>
    <n v="0"/>
    <n v="0"/>
    <n v="0"/>
    <n v="0"/>
    <n v="0"/>
    <n v="0"/>
    <n v="0"/>
    <n v="0"/>
    <n v="0"/>
    <n v="0"/>
    <n v="0"/>
    <n v="0"/>
    <n v="0"/>
    <n v="0"/>
    <x v="1"/>
    <n v="0"/>
    <n v="0"/>
    <n v="0"/>
    <s v="MMR001CMP026"/>
    <x v="0"/>
    <x v="0"/>
    <x v="4"/>
    <n v="0"/>
    <m/>
    <m/>
  </r>
  <r>
    <n v="40.966666666666669"/>
    <d v="2013-12-19T00:00:00"/>
    <x v="2"/>
    <s v="KBC"/>
    <s v="Kachin"/>
    <s v="Waingmaw"/>
    <s v="Maina KBC (Bawng Ring)"/>
    <m/>
    <m/>
    <m/>
    <m/>
    <m/>
    <m/>
    <m/>
    <m/>
    <m/>
    <m/>
    <n v="414"/>
    <n v="764"/>
    <n v="2356"/>
    <n v="1178"/>
    <m/>
    <m/>
    <m/>
    <n v="0"/>
    <n v="0"/>
    <n v="0"/>
    <n v="0"/>
    <n v="0"/>
    <n v="0"/>
    <n v="0"/>
    <n v="0"/>
    <n v="0"/>
    <n v="0"/>
    <n v="0"/>
    <n v="0"/>
    <n v="0"/>
    <n v="0"/>
    <x v="1"/>
    <n v="0"/>
    <n v="0"/>
    <n v="0"/>
    <s v="MMR001CMP040"/>
    <x v="0"/>
    <x v="0"/>
    <x v="4"/>
    <n v="0"/>
    <m/>
    <m/>
  </r>
  <r>
    <n v="41"/>
    <d v="2013-12-18T00:00:00"/>
    <x v="2"/>
    <s v="KBC"/>
    <s v="Kachin"/>
    <s v="Waingmaw"/>
    <s v="Hkat Cho "/>
    <m/>
    <m/>
    <m/>
    <m/>
    <m/>
    <m/>
    <m/>
    <m/>
    <m/>
    <m/>
    <n v="134"/>
    <n v="238"/>
    <n v="744"/>
    <n v="372"/>
    <m/>
    <m/>
    <m/>
    <n v="0"/>
    <n v="0"/>
    <n v="0"/>
    <n v="0"/>
    <n v="0"/>
    <n v="0"/>
    <n v="0"/>
    <n v="0"/>
    <n v="0"/>
    <n v="0"/>
    <n v="0"/>
    <n v="0"/>
    <n v="0"/>
    <n v="0"/>
    <x v="1"/>
    <n v="0"/>
    <n v="0"/>
    <n v="0"/>
    <s v="MMR001CMP028"/>
    <x v="0"/>
    <x v="0"/>
    <x v="4"/>
    <n v="0"/>
    <m/>
    <m/>
  </r>
  <r>
    <n v="41"/>
    <d v="2013-12-18T00:00:00"/>
    <x v="1"/>
    <s v="UNHCR"/>
    <s v="Kachin"/>
    <s v="Bhamo"/>
    <s v="Host Families"/>
    <m/>
    <m/>
    <m/>
    <m/>
    <n v="4"/>
    <m/>
    <m/>
    <m/>
    <m/>
    <m/>
    <m/>
    <m/>
    <m/>
    <m/>
    <m/>
    <m/>
    <m/>
    <n v="0"/>
    <n v="0"/>
    <n v="0"/>
    <n v="0"/>
    <n v="0"/>
    <n v="0"/>
    <n v="0"/>
    <n v="0"/>
    <n v="0"/>
    <n v="0"/>
    <n v="0"/>
    <n v="0"/>
    <n v="0"/>
    <n v="0"/>
    <x v="0"/>
    <n v="0"/>
    <n v="0"/>
    <n v="0"/>
    <s v="MMR001CMP163"/>
    <x v="0"/>
    <x v="0"/>
    <x v="4"/>
    <s v=""/>
    <s v="No"/>
    <m/>
  </r>
  <r>
    <n v="41"/>
    <d v="2013-12-18T00:00:00"/>
    <x v="2"/>
    <s v="KBC"/>
    <s v="Kachin"/>
    <s v="Waingmaw"/>
    <s v="Mading Baptist Church"/>
    <m/>
    <m/>
    <m/>
    <m/>
    <m/>
    <m/>
    <m/>
    <m/>
    <m/>
    <m/>
    <n v="23"/>
    <n v="45"/>
    <n v="136"/>
    <n v="68"/>
    <m/>
    <m/>
    <m/>
    <n v="0"/>
    <n v="0"/>
    <n v="0"/>
    <n v="0"/>
    <n v="0"/>
    <n v="0"/>
    <n v="0"/>
    <n v="0"/>
    <n v="0"/>
    <n v="0"/>
    <n v="0"/>
    <n v="0"/>
    <n v="0"/>
    <n v="0"/>
    <x v="1"/>
    <n v="0"/>
    <n v="0"/>
    <n v="0"/>
    <s v="MMR001CMP027"/>
    <x v="0"/>
    <x v="0"/>
    <x v="4"/>
    <n v="0"/>
    <m/>
    <m/>
  </r>
  <r>
    <n v="41"/>
    <d v="2013-12-18T00:00:00"/>
    <x v="2"/>
    <s v="KBC"/>
    <s v="Kachin"/>
    <s v="Waingmaw"/>
    <s v="Qtr. 3 Mu-yin  Baptist Church"/>
    <m/>
    <m/>
    <m/>
    <m/>
    <m/>
    <m/>
    <m/>
    <m/>
    <m/>
    <m/>
    <n v="30"/>
    <n v="57"/>
    <n v="174"/>
    <n v="87"/>
    <m/>
    <m/>
    <m/>
    <n v="0"/>
    <n v="0"/>
    <n v="0"/>
    <n v="0"/>
    <n v="0"/>
    <n v="0"/>
    <n v="0"/>
    <n v="0"/>
    <n v="0"/>
    <n v="0"/>
    <n v="0"/>
    <n v="0"/>
    <n v="0"/>
    <n v="0"/>
    <x v="1"/>
    <n v="0"/>
    <n v="0"/>
    <n v="0"/>
    <s v="MMR001CMP030"/>
    <x v="0"/>
    <x v="0"/>
    <x v="4"/>
    <n v="0"/>
    <m/>
    <m/>
  </r>
  <r>
    <n v="41.033333333333331"/>
    <d v="2013-12-17T00:00:00"/>
    <x v="2"/>
    <s v="KBC"/>
    <s v="Kachin"/>
    <s v="Waingmaw"/>
    <s v="Qtr. 2 Myoma Baptist Church"/>
    <m/>
    <m/>
    <m/>
    <m/>
    <m/>
    <m/>
    <m/>
    <m/>
    <m/>
    <m/>
    <n v="73"/>
    <n v="146"/>
    <n v="438"/>
    <n v="219"/>
    <m/>
    <m/>
    <m/>
    <n v="0"/>
    <n v="0"/>
    <n v="0"/>
    <n v="0"/>
    <n v="0"/>
    <n v="0"/>
    <n v="0"/>
    <n v="0"/>
    <n v="0"/>
    <n v="0"/>
    <n v="0"/>
    <n v="0"/>
    <n v="0"/>
    <n v="0"/>
    <x v="1"/>
    <n v="0"/>
    <n v="0"/>
    <n v="0"/>
    <s v="MMR001CMP025"/>
    <x v="0"/>
    <x v="0"/>
    <x v="4"/>
    <n v="0"/>
    <m/>
    <m/>
  </r>
  <r>
    <n v="41.033333333333331"/>
    <d v="2013-12-17T00:00:00"/>
    <x v="2"/>
    <s v="KBC"/>
    <s v="Kachin"/>
    <s v="Waingmaw"/>
    <s v="Shing Jai"/>
    <m/>
    <m/>
    <m/>
    <m/>
    <m/>
    <m/>
    <m/>
    <m/>
    <m/>
    <m/>
    <n v="188"/>
    <n v="343"/>
    <n v="1062"/>
    <n v="531"/>
    <m/>
    <m/>
    <m/>
    <n v="0"/>
    <n v="0"/>
    <n v="0"/>
    <n v="0"/>
    <n v="0"/>
    <n v="0"/>
    <n v="0"/>
    <n v="0"/>
    <n v="0"/>
    <n v="0"/>
    <n v="0"/>
    <n v="0"/>
    <n v="0"/>
    <n v="0"/>
    <x v="1"/>
    <n v="0"/>
    <n v="0"/>
    <n v="0"/>
    <s v="MMR001CMP041"/>
    <x v="0"/>
    <x v="0"/>
    <x v="3"/>
    <n v="0"/>
    <m/>
    <m/>
  </r>
  <r>
    <n v="41.06666666666667"/>
    <d v="2013-12-16T00:00:00"/>
    <x v="2"/>
    <s v="KBC"/>
    <s v="Kachin"/>
    <s v="Waingmaw"/>
    <s v="Waingmaw AG Church"/>
    <m/>
    <m/>
    <m/>
    <m/>
    <m/>
    <m/>
    <m/>
    <m/>
    <m/>
    <m/>
    <n v="77"/>
    <n v="153"/>
    <n v="460"/>
    <n v="230"/>
    <m/>
    <m/>
    <m/>
    <n v="0"/>
    <n v="0"/>
    <n v="0"/>
    <n v="0"/>
    <n v="0"/>
    <n v="0"/>
    <n v="0"/>
    <n v="0"/>
    <n v="0"/>
    <n v="0"/>
    <n v="0"/>
    <n v="0"/>
    <n v="0"/>
    <n v="0"/>
    <x v="1"/>
    <n v="0"/>
    <n v="0"/>
    <n v="0"/>
    <s v="MMR001CMP038"/>
    <x v="0"/>
    <x v="0"/>
    <x v="4"/>
    <n v="0"/>
    <m/>
    <m/>
  </r>
  <r>
    <n v="41.166666666666664"/>
    <d v="2013-12-13T00:00:00"/>
    <x v="2"/>
    <s v="Solidarities"/>
    <s v="Kachin"/>
    <s v="Mansi"/>
    <s v="Mansi Baptist Church"/>
    <m/>
    <m/>
    <m/>
    <m/>
    <m/>
    <m/>
    <m/>
    <m/>
    <m/>
    <m/>
    <n v="13"/>
    <n v="53"/>
    <n v="132"/>
    <n v="66"/>
    <m/>
    <m/>
    <m/>
    <n v="0"/>
    <n v="0"/>
    <n v="0"/>
    <n v="0"/>
    <n v="0"/>
    <n v="0"/>
    <n v="0"/>
    <n v="0"/>
    <n v="0"/>
    <n v="0"/>
    <n v="0"/>
    <n v="0"/>
    <n v="0"/>
    <n v="0"/>
    <x v="1"/>
    <n v="0"/>
    <n v="0"/>
    <n v="0"/>
    <s v="MMR001CMP066"/>
    <x v="0"/>
    <x v="0"/>
    <x v="4"/>
    <n v="0"/>
    <m/>
    <m/>
  </r>
  <r>
    <n v="41.233333333333334"/>
    <d v="2013-12-11T00:00:00"/>
    <x v="10"/>
    <s v="WPN"/>
    <s v="Kachin"/>
    <s v="Mansi"/>
    <s v="Bum Tsit Pa "/>
    <m/>
    <m/>
    <m/>
    <m/>
    <m/>
    <n v="278"/>
    <m/>
    <m/>
    <m/>
    <m/>
    <m/>
    <m/>
    <m/>
    <m/>
    <m/>
    <m/>
    <m/>
    <n v="0"/>
    <n v="0"/>
    <n v="0"/>
    <n v="0"/>
    <n v="0"/>
    <n v="0"/>
    <n v="0"/>
    <n v="0"/>
    <n v="0"/>
    <n v="0"/>
    <n v="0"/>
    <n v="0"/>
    <n v="0"/>
    <n v="0"/>
    <x v="0"/>
    <n v="0"/>
    <n v="0"/>
    <n v="0"/>
    <s v="MMR001CMP129"/>
    <x v="0"/>
    <x v="0"/>
    <x v="5"/>
    <n v="0"/>
    <s v="No"/>
    <m/>
  </r>
  <r>
    <n v="41.233333333333334"/>
    <d v="2013-12-11T00:00:00"/>
    <x v="10"/>
    <s v="WPN"/>
    <s v="Kachin"/>
    <s v="Mansi"/>
    <s v="Bum Tsit Pa "/>
    <m/>
    <m/>
    <m/>
    <m/>
    <m/>
    <n v="174"/>
    <m/>
    <m/>
    <m/>
    <m/>
    <m/>
    <m/>
    <m/>
    <m/>
    <m/>
    <m/>
    <m/>
    <n v="0"/>
    <n v="0"/>
    <n v="0"/>
    <n v="0"/>
    <n v="0"/>
    <n v="0"/>
    <n v="0"/>
    <n v="0"/>
    <n v="0"/>
    <n v="0"/>
    <n v="0"/>
    <n v="0"/>
    <n v="0"/>
    <n v="0"/>
    <x v="0"/>
    <n v="0"/>
    <n v="0"/>
    <n v="0"/>
    <s v="MMR001CMP129"/>
    <x v="0"/>
    <x v="0"/>
    <x v="5"/>
    <n v="0"/>
    <s v="No"/>
    <m/>
  </r>
  <r>
    <n v="41.233333333333334"/>
    <d v="2013-12-11T00:00:00"/>
    <x v="10"/>
    <s v="WPN"/>
    <s v="Kachin"/>
    <s v="Mansi"/>
    <s v="Lung Kawk  ( Hka Hkye Zup)"/>
    <m/>
    <m/>
    <m/>
    <m/>
    <m/>
    <n v="38"/>
    <m/>
    <m/>
    <m/>
    <m/>
    <m/>
    <m/>
    <m/>
    <m/>
    <m/>
    <m/>
    <m/>
    <n v="0"/>
    <n v="0"/>
    <n v="0"/>
    <n v="0"/>
    <n v="0"/>
    <n v="0"/>
    <n v="0"/>
    <n v="0"/>
    <n v="0"/>
    <n v="0"/>
    <n v="0"/>
    <n v="0"/>
    <n v="0"/>
    <n v="0"/>
    <x v="0"/>
    <n v="0"/>
    <n v="0"/>
    <n v="0"/>
    <s v="MMR001CMP135"/>
    <x v="0"/>
    <x v="2"/>
    <x v="5"/>
    <n v="0"/>
    <s v="No"/>
    <m/>
  </r>
  <r>
    <n v="41.233333333333334"/>
    <d v="2013-12-11T00:00:00"/>
    <x v="10"/>
    <s v="WPN"/>
    <s v="Kachin"/>
    <s v="Mansi"/>
    <s v="Lana Zup Ja "/>
    <m/>
    <m/>
    <m/>
    <m/>
    <m/>
    <n v="543"/>
    <m/>
    <m/>
    <m/>
    <m/>
    <m/>
    <m/>
    <m/>
    <m/>
    <m/>
    <m/>
    <m/>
    <n v="0"/>
    <n v="0"/>
    <n v="0"/>
    <n v="0"/>
    <n v="0"/>
    <n v="0"/>
    <n v="0"/>
    <n v="0"/>
    <n v="0"/>
    <n v="0"/>
    <n v="0"/>
    <n v="0"/>
    <n v="0"/>
    <n v="0"/>
    <x v="0"/>
    <n v="0"/>
    <n v="0"/>
    <n v="0"/>
    <s v="MMR001CMP128"/>
    <x v="0"/>
    <x v="0"/>
    <x v="5"/>
    <n v="0"/>
    <s v="No"/>
    <m/>
  </r>
  <r>
    <n v="41.233333333333334"/>
    <d v="2013-12-11T00:00:00"/>
    <x v="10"/>
    <s v="WPN"/>
    <s v="Kachin"/>
    <s v="Momauk"/>
    <s v="Nhkawng Pa "/>
    <m/>
    <m/>
    <m/>
    <m/>
    <m/>
    <n v="350"/>
    <m/>
    <m/>
    <m/>
    <m/>
    <m/>
    <m/>
    <m/>
    <m/>
    <m/>
    <m/>
    <m/>
    <n v="0"/>
    <n v="0"/>
    <n v="0"/>
    <n v="0"/>
    <n v="0"/>
    <n v="0"/>
    <n v="0"/>
    <n v="0"/>
    <n v="0"/>
    <n v="0"/>
    <n v="0"/>
    <n v="0"/>
    <n v="0"/>
    <n v="0"/>
    <x v="0"/>
    <n v="0"/>
    <n v="0"/>
    <n v="0"/>
    <s v="MMR001CMP131"/>
    <x v="0"/>
    <x v="0"/>
    <x v="3"/>
    <n v="0"/>
    <s v="No"/>
    <m/>
  </r>
  <r>
    <n v="41.233333333333334"/>
    <d v="2013-12-11T00:00:00"/>
    <x v="10"/>
    <s v="WPN"/>
    <s v="Kachin"/>
    <s v="Momauk"/>
    <s v="Pa Kahtawng "/>
    <m/>
    <m/>
    <m/>
    <m/>
    <m/>
    <n v="417"/>
    <m/>
    <m/>
    <m/>
    <m/>
    <m/>
    <m/>
    <m/>
    <m/>
    <m/>
    <m/>
    <m/>
    <n v="0"/>
    <n v="0"/>
    <n v="0"/>
    <n v="0"/>
    <n v="0"/>
    <n v="0"/>
    <n v="0"/>
    <n v="0"/>
    <n v="0"/>
    <n v="0"/>
    <n v="0"/>
    <n v="0"/>
    <n v="0"/>
    <n v="0"/>
    <x v="0"/>
    <n v="0"/>
    <n v="0"/>
    <n v="0"/>
    <s v="MMR001CMP126"/>
    <x v="0"/>
    <x v="0"/>
    <x v="5"/>
    <n v="0"/>
    <s v="No"/>
    <m/>
  </r>
  <r>
    <n v="41.266666666666666"/>
    <d v="2013-12-10T00:00:00"/>
    <x v="8"/>
    <m/>
    <s v="Kachin"/>
    <s v="Mansi"/>
    <s v="Man Wing Catholic Church"/>
    <m/>
    <m/>
    <m/>
    <m/>
    <m/>
    <m/>
    <m/>
    <m/>
    <m/>
    <m/>
    <m/>
    <n v="256"/>
    <m/>
    <m/>
    <m/>
    <m/>
    <m/>
    <n v="0"/>
    <n v="0"/>
    <n v="0"/>
    <n v="0"/>
    <n v="0"/>
    <n v="0"/>
    <n v="0"/>
    <n v="0"/>
    <n v="0"/>
    <n v="0"/>
    <n v="0"/>
    <n v="0"/>
    <n v="0"/>
    <n v="0"/>
    <x v="1"/>
    <n v="0"/>
    <n v="0"/>
    <n v="0"/>
    <s v="MMR001CMP132"/>
    <x v="0"/>
    <x v="0"/>
    <x v="4"/>
    <n v="0"/>
    <s v="No"/>
    <m/>
  </r>
  <r>
    <n v="41.43333333333333"/>
    <d v="2013-12-05T00:00:00"/>
    <x v="2"/>
    <s v="KBC"/>
    <s v="Kachin"/>
    <s v="Momauk"/>
    <s v="Dum Bung "/>
    <m/>
    <m/>
    <m/>
    <m/>
    <m/>
    <m/>
    <m/>
    <m/>
    <m/>
    <m/>
    <n v="120"/>
    <n v="240"/>
    <n v="720"/>
    <n v="360"/>
    <m/>
    <m/>
    <m/>
    <n v="0"/>
    <n v="0"/>
    <n v="0"/>
    <n v="0"/>
    <n v="0"/>
    <n v="0"/>
    <n v="0"/>
    <n v="0"/>
    <n v="0"/>
    <n v="0"/>
    <n v="0"/>
    <n v="0"/>
    <n v="0"/>
    <n v="0"/>
    <x v="1"/>
    <n v="0"/>
    <n v="0"/>
    <n v="0"/>
    <s v="MMR001CMP123"/>
    <x v="0"/>
    <x v="0"/>
    <x v="5"/>
    <n v="0"/>
    <m/>
    <m/>
  </r>
  <r>
    <n v="41.466666666666669"/>
    <d v="2013-12-04T00:00:00"/>
    <x v="1"/>
    <s v="UNHCR"/>
    <s v="Kachin"/>
    <s v="Bhamo"/>
    <s v="Aung Thar Church"/>
    <m/>
    <m/>
    <m/>
    <m/>
    <m/>
    <n v="10"/>
    <n v="5"/>
    <n v="5"/>
    <m/>
    <m/>
    <m/>
    <m/>
    <m/>
    <m/>
    <m/>
    <m/>
    <m/>
    <n v="0"/>
    <n v="0"/>
    <n v="0"/>
    <n v="0"/>
    <n v="0"/>
    <n v="0"/>
    <n v="0"/>
    <n v="0"/>
    <n v="0"/>
    <n v="0"/>
    <n v="0"/>
    <n v="0"/>
    <n v="0"/>
    <n v="0"/>
    <x v="0"/>
    <n v="0"/>
    <n v="0"/>
    <n v="0"/>
    <s v="MMR001CMP194"/>
    <x v="0"/>
    <x v="0"/>
    <x v="4"/>
    <n v="1.2258807953514599E-4"/>
    <s v="No"/>
    <m/>
  </r>
  <r>
    <n v="41.466666666666669"/>
    <d v="2013-12-04T00:00:00"/>
    <x v="1"/>
    <s v="UNHCR"/>
    <s v="Kachin"/>
    <s v="Bhamo"/>
    <s v="Robert Church"/>
    <m/>
    <m/>
    <m/>
    <m/>
    <m/>
    <n v="120"/>
    <m/>
    <m/>
    <m/>
    <m/>
    <m/>
    <m/>
    <m/>
    <m/>
    <m/>
    <m/>
    <m/>
    <n v="0"/>
    <n v="0"/>
    <n v="0"/>
    <n v="0"/>
    <n v="0"/>
    <n v="0"/>
    <n v="0"/>
    <n v="0"/>
    <n v="0"/>
    <n v="0"/>
    <n v="0"/>
    <n v="0"/>
    <n v="0"/>
    <n v="0"/>
    <x v="0"/>
    <n v="0"/>
    <n v="0"/>
    <n v="0"/>
    <s v="MMR001CMP047"/>
    <x v="0"/>
    <x v="0"/>
    <x v="4"/>
    <n v="0"/>
    <s v="No"/>
    <m/>
  </r>
  <r>
    <n v="41.466666666666669"/>
    <d v="2013-12-04T00:00:00"/>
    <x v="1"/>
    <s v="UNHCR"/>
    <s v="Kachin"/>
    <s v="Bhamo"/>
    <s v="Robert Church"/>
    <m/>
    <m/>
    <m/>
    <m/>
    <n v="5"/>
    <m/>
    <m/>
    <m/>
    <m/>
    <m/>
    <m/>
    <m/>
    <m/>
    <m/>
    <m/>
    <m/>
    <m/>
    <n v="0"/>
    <n v="0"/>
    <n v="0"/>
    <n v="0"/>
    <n v="0"/>
    <n v="0"/>
    <n v="0"/>
    <n v="0"/>
    <n v="0"/>
    <n v="0"/>
    <n v="0"/>
    <n v="0"/>
    <n v="0"/>
    <n v="0"/>
    <x v="0"/>
    <n v="0"/>
    <n v="0"/>
    <n v="0"/>
    <s v="MMR001CMP047"/>
    <x v="0"/>
    <x v="0"/>
    <x v="4"/>
    <n v="0"/>
    <s v="No"/>
    <m/>
  </r>
  <r>
    <n v="41.5"/>
    <d v="2013-12-03T00:00:00"/>
    <x v="2"/>
    <s v="KBC"/>
    <s v="Kachin"/>
    <s v="Waingmaw"/>
    <s v="Border Post 8"/>
    <m/>
    <m/>
    <m/>
    <m/>
    <m/>
    <m/>
    <m/>
    <m/>
    <m/>
    <m/>
    <n v="181"/>
    <n v="362"/>
    <n v="1086"/>
    <n v="543"/>
    <m/>
    <m/>
    <m/>
    <n v="0"/>
    <n v="0"/>
    <n v="0"/>
    <n v="0"/>
    <n v="0"/>
    <n v="0"/>
    <n v="0"/>
    <n v="0"/>
    <n v="0"/>
    <n v="0"/>
    <n v="0"/>
    <n v="0"/>
    <n v="0"/>
    <n v="0"/>
    <x v="1"/>
    <n v="0"/>
    <n v="0"/>
    <n v="0"/>
    <s v="MMR001CMP113"/>
    <x v="0"/>
    <x v="0"/>
    <x v="3"/>
    <n v="0"/>
    <m/>
    <m/>
  </r>
  <r>
    <n v="41.5"/>
    <d v="2013-12-03T00:00:00"/>
    <x v="1"/>
    <s v="UNHCR"/>
    <s v="Kachin"/>
    <s v="Momauk"/>
    <s v="Momauk Baptist Church"/>
    <m/>
    <m/>
    <m/>
    <n v="25"/>
    <n v="13"/>
    <n v="25"/>
    <n v="13"/>
    <n v="13"/>
    <m/>
    <m/>
    <m/>
    <m/>
    <m/>
    <m/>
    <m/>
    <m/>
    <m/>
    <n v="0"/>
    <n v="0"/>
    <n v="0"/>
    <n v="0"/>
    <n v="0"/>
    <n v="0"/>
    <n v="0"/>
    <n v="0"/>
    <n v="0"/>
    <n v="0"/>
    <n v="0"/>
    <n v="0"/>
    <n v="0"/>
    <n v="0"/>
    <x v="0"/>
    <n v="0"/>
    <n v="0"/>
    <n v="0"/>
    <s v="MMR001CMP056"/>
    <x v="0"/>
    <x v="0"/>
    <x v="4"/>
    <n v="3.1944956382848013E-4"/>
    <s v="No"/>
    <m/>
  </r>
  <r>
    <n v="41.533333333333331"/>
    <d v="2013-12-02T00:00:00"/>
    <x v="2"/>
    <s v="KBC"/>
    <s v="Kachin"/>
    <s v="Waingmaw"/>
    <s v="Post 6 Camp"/>
    <m/>
    <m/>
    <m/>
    <m/>
    <m/>
    <m/>
    <m/>
    <m/>
    <m/>
    <m/>
    <n v="124"/>
    <n v="248"/>
    <n v="744"/>
    <n v="372"/>
    <m/>
    <m/>
    <m/>
    <n v="0"/>
    <n v="0"/>
    <n v="0"/>
    <n v="0"/>
    <n v="0"/>
    <n v="0"/>
    <n v="0"/>
    <n v="0"/>
    <n v="0"/>
    <n v="0"/>
    <n v="0"/>
    <n v="0"/>
    <n v="0"/>
    <n v="0"/>
    <x v="1"/>
    <n v="0"/>
    <n v="0"/>
    <n v="0"/>
    <s v="MMR001CMP160"/>
    <x v="0"/>
    <x v="0"/>
    <x v="3"/>
    <n v="0"/>
    <m/>
    <m/>
  </r>
  <r>
    <n v="41.56666666666667"/>
    <d v="2013-12-01T00:00:00"/>
    <x v="1"/>
    <s v="UNHCR"/>
    <s v="Kachin"/>
    <s v="Bhamo"/>
    <s v="Robert Church"/>
    <m/>
    <m/>
    <m/>
    <m/>
    <m/>
    <n v="30"/>
    <m/>
    <m/>
    <m/>
    <m/>
    <m/>
    <m/>
    <m/>
    <m/>
    <m/>
    <m/>
    <m/>
    <n v="0"/>
    <n v="0"/>
    <n v="0"/>
    <n v="0"/>
    <n v="0"/>
    <n v="0"/>
    <n v="0"/>
    <n v="0"/>
    <n v="0"/>
    <n v="0"/>
    <n v="0"/>
    <n v="0"/>
    <n v="0"/>
    <n v="0"/>
    <x v="0"/>
    <n v="0"/>
    <n v="0"/>
    <n v="0"/>
    <s v="MMR001CMP047"/>
    <x v="0"/>
    <x v="0"/>
    <x v="4"/>
    <n v="0"/>
    <s v="No"/>
    <m/>
  </r>
  <r>
    <n v="41.6"/>
    <d v="2013-11-30T00:00:00"/>
    <x v="11"/>
    <s v="MDCG"/>
    <s v="Kachin"/>
    <s v="Bhamo"/>
    <s v="AD-2000 Tharthana Compound"/>
    <m/>
    <m/>
    <m/>
    <m/>
    <m/>
    <n v="104"/>
    <m/>
    <m/>
    <m/>
    <m/>
    <n v="146"/>
    <n v="39"/>
    <n v="0"/>
    <m/>
    <m/>
    <m/>
    <m/>
    <n v="0"/>
    <n v="0"/>
    <n v="0"/>
    <n v="0"/>
    <n v="0"/>
    <n v="0"/>
    <n v="0"/>
    <n v="0"/>
    <n v="0"/>
    <n v="0"/>
    <n v="0"/>
    <n v="0"/>
    <n v="0"/>
    <n v="0"/>
    <x v="1"/>
    <n v="0"/>
    <n v="0"/>
    <n v="0"/>
    <s v="MMR001CMP050"/>
    <x v="0"/>
    <x v="0"/>
    <x v="4"/>
    <n v="0"/>
    <s v="No"/>
    <m/>
  </r>
  <r>
    <n v="41.6"/>
    <d v="2013-11-30T00:00:00"/>
    <x v="2"/>
    <m/>
    <s v="Kachin"/>
    <s v="Bhamo"/>
    <s v="Aung Thar Church"/>
    <m/>
    <m/>
    <m/>
    <m/>
    <m/>
    <m/>
    <m/>
    <m/>
    <m/>
    <m/>
    <m/>
    <m/>
    <m/>
    <m/>
    <m/>
    <m/>
    <m/>
    <n v="0"/>
    <n v="0"/>
    <n v="0"/>
    <n v="0"/>
    <n v="0"/>
    <n v="0"/>
    <n v="0"/>
    <n v="0"/>
    <n v="0"/>
    <n v="0"/>
    <n v="0"/>
    <n v="0"/>
    <n v="0"/>
    <n v="0"/>
    <x v="0"/>
    <n v="0"/>
    <n v="0"/>
    <n v="0"/>
    <s v="MMR001CMP194"/>
    <x v="0"/>
    <x v="2"/>
    <x v="4"/>
    <n v="0"/>
    <s v="No"/>
    <m/>
  </r>
  <r>
    <n v="41.6"/>
    <d v="2013-11-30T00:00:00"/>
    <x v="2"/>
    <m/>
    <s v="Kachin"/>
    <s v="Bhamo"/>
    <s v="AD-2000 Tharthana Compound"/>
    <m/>
    <m/>
    <m/>
    <m/>
    <m/>
    <m/>
    <m/>
    <m/>
    <m/>
    <n v="660"/>
    <m/>
    <m/>
    <m/>
    <m/>
    <m/>
    <m/>
    <m/>
    <n v="0"/>
    <n v="0"/>
    <n v="0"/>
    <n v="0"/>
    <n v="0"/>
    <n v="0"/>
    <n v="0"/>
    <n v="0"/>
    <n v="0"/>
    <n v="0"/>
    <n v="0"/>
    <n v="0"/>
    <n v="0"/>
    <n v="0"/>
    <x v="0"/>
    <n v="0"/>
    <n v="0"/>
    <n v="0"/>
    <s v="MMR001CMP050"/>
    <x v="0"/>
    <x v="0"/>
    <x v="4"/>
    <n v="0"/>
    <s v="No"/>
    <m/>
  </r>
  <r>
    <n v="41.6"/>
    <d v="2013-11-30T00:00:00"/>
    <x v="1"/>
    <s v="UNHCR"/>
    <s v="Kachin"/>
    <s v="Bhamo"/>
    <s v="AD-2000 Tharthana Compound"/>
    <m/>
    <m/>
    <m/>
    <n v="6"/>
    <n v="6"/>
    <n v="6"/>
    <n v="6"/>
    <n v="6"/>
    <m/>
    <m/>
    <m/>
    <m/>
    <m/>
    <m/>
    <m/>
    <m/>
    <m/>
    <n v="0"/>
    <n v="0"/>
    <n v="0"/>
    <n v="0"/>
    <n v="0"/>
    <n v="0"/>
    <n v="0"/>
    <n v="0"/>
    <n v="0"/>
    <n v="0"/>
    <n v="0"/>
    <n v="0"/>
    <n v="0"/>
    <n v="0"/>
    <x v="0"/>
    <n v="0"/>
    <n v="0"/>
    <n v="0"/>
    <s v="MMR001CMP050"/>
    <x v="0"/>
    <x v="0"/>
    <x v="4"/>
    <n v="1.4688601645123384E-4"/>
    <s v="No"/>
    <m/>
  </r>
  <r>
    <n v="41.6"/>
    <d v="2013-11-30T00:00:00"/>
    <x v="2"/>
    <s v="KBC"/>
    <s v="Kachin"/>
    <s v="Waingmaw"/>
    <s v="Border Post 8"/>
    <m/>
    <m/>
    <m/>
    <m/>
    <m/>
    <m/>
    <m/>
    <m/>
    <m/>
    <m/>
    <m/>
    <m/>
    <m/>
    <m/>
    <m/>
    <m/>
    <m/>
    <n v="0"/>
    <n v="0"/>
    <n v="0"/>
    <n v="0"/>
    <n v="0"/>
    <n v="0"/>
    <n v="0"/>
    <n v="0"/>
    <n v="0"/>
    <n v="0"/>
    <n v="0"/>
    <n v="0"/>
    <n v="0"/>
    <n v="0"/>
    <x v="0"/>
    <n v="0"/>
    <n v="0"/>
    <n v="0"/>
    <s v="MMR001CMP113"/>
    <x v="0"/>
    <x v="0"/>
    <x v="3"/>
    <n v="0"/>
    <s v="No"/>
    <m/>
  </r>
  <r>
    <n v="41.6"/>
    <d v="2013-11-30T00:00:00"/>
    <x v="11"/>
    <s v="MDCG"/>
    <s v="Kachin"/>
    <s v="Mansi"/>
    <s v="Bum Tsit Pa "/>
    <m/>
    <m/>
    <m/>
    <m/>
    <m/>
    <n v="819"/>
    <m/>
    <m/>
    <m/>
    <m/>
    <n v="966"/>
    <n v="484"/>
    <n v="0"/>
    <m/>
    <m/>
    <m/>
    <m/>
    <n v="0"/>
    <n v="0"/>
    <n v="0"/>
    <n v="0"/>
    <n v="0"/>
    <n v="0"/>
    <n v="0"/>
    <n v="0"/>
    <n v="0"/>
    <n v="0"/>
    <n v="0"/>
    <n v="0"/>
    <n v="0"/>
    <n v="0"/>
    <x v="1"/>
    <n v="0"/>
    <n v="0"/>
    <n v="0"/>
    <s v="MMR001CMP129"/>
    <x v="0"/>
    <x v="0"/>
    <x v="5"/>
    <n v="0"/>
    <s v="No"/>
    <m/>
  </r>
  <r>
    <n v="41.6"/>
    <d v="2013-11-30T00:00:00"/>
    <x v="2"/>
    <s v="KBC"/>
    <s v="Kachin"/>
    <s v="Mansi"/>
    <s v="Bum Tsit Pa "/>
    <m/>
    <m/>
    <m/>
    <m/>
    <m/>
    <m/>
    <m/>
    <m/>
    <m/>
    <n v="321"/>
    <m/>
    <m/>
    <m/>
    <m/>
    <m/>
    <m/>
    <m/>
    <n v="0"/>
    <n v="0"/>
    <n v="0"/>
    <n v="0"/>
    <n v="0"/>
    <n v="0"/>
    <n v="0"/>
    <n v="0"/>
    <n v="0"/>
    <n v="0"/>
    <n v="0"/>
    <n v="0"/>
    <n v="0"/>
    <n v="0"/>
    <x v="0"/>
    <n v="0"/>
    <n v="0"/>
    <n v="0"/>
    <s v="MMR001CMP129"/>
    <x v="0"/>
    <x v="0"/>
    <x v="5"/>
    <n v="0"/>
    <s v="No"/>
    <m/>
  </r>
  <r>
    <n v="41.6"/>
    <d v="2013-11-30T00:00:00"/>
    <x v="1"/>
    <s v="UNHCR"/>
    <s v="Kachin"/>
    <s v="Mansi"/>
    <s v="Bum Tsit Pa "/>
    <m/>
    <m/>
    <m/>
    <m/>
    <m/>
    <m/>
    <m/>
    <m/>
    <m/>
    <m/>
    <m/>
    <m/>
    <m/>
    <m/>
    <m/>
    <m/>
    <m/>
    <n v="0"/>
    <n v="0"/>
    <n v="0"/>
    <n v="0"/>
    <n v="0"/>
    <n v="0"/>
    <n v="0"/>
    <n v="0"/>
    <n v="0"/>
    <n v="0"/>
    <n v="0"/>
    <n v="0"/>
    <n v="0"/>
    <n v="0"/>
    <x v="0"/>
    <n v="0"/>
    <n v="0"/>
    <n v="0"/>
    <s v="MMR001CMP129"/>
    <x v="0"/>
    <x v="0"/>
    <x v="5"/>
    <n v="0"/>
    <s v="No"/>
    <m/>
  </r>
  <r>
    <n v="41.6"/>
    <d v="2013-11-30T00:00:00"/>
    <x v="2"/>
    <s v="KBC"/>
    <s v="Kachin"/>
    <s v="Momauk"/>
    <s v="Dum Bung "/>
    <m/>
    <m/>
    <m/>
    <m/>
    <m/>
    <m/>
    <m/>
    <m/>
    <m/>
    <m/>
    <m/>
    <m/>
    <m/>
    <m/>
    <m/>
    <m/>
    <m/>
    <n v="0"/>
    <n v="0"/>
    <n v="0"/>
    <n v="0"/>
    <n v="0"/>
    <n v="0"/>
    <n v="0"/>
    <n v="0"/>
    <n v="0"/>
    <n v="0"/>
    <n v="0"/>
    <n v="0"/>
    <n v="0"/>
    <n v="0"/>
    <x v="0"/>
    <n v="0"/>
    <n v="0"/>
    <n v="0"/>
    <s v="MMR001CMP123"/>
    <x v="0"/>
    <x v="0"/>
    <x v="5"/>
    <n v="0"/>
    <s v="No"/>
    <m/>
  </r>
  <r>
    <n v="41.6"/>
    <d v="2013-11-30T00:00:00"/>
    <x v="1"/>
    <s v="UNHCR"/>
    <s v="Kachin"/>
    <s v="Momauk"/>
    <s v="Dum Bung "/>
    <m/>
    <m/>
    <m/>
    <m/>
    <m/>
    <m/>
    <m/>
    <m/>
    <m/>
    <m/>
    <m/>
    <m/>
    <m/>
    <m/>
    <m/>
    <m/>
    <m/>
    <n v="0"/>
    <n v="0"/>
    <n v="0"/>
    <n v="0"/>
    <n v="0"/>
    <n v="0"/>
    <n v="0"/>
    <n v="0"/>
    <n v="0"/>
    <n v="0"/>
    <n v="0"/>
    <n v="0"/>
    <n v="0"/>
    <n v="0"/>
    <x v="0"/>
    <n v="0"/>
    <n v="0"/>
    <n v="0"/>
    <s v="MMR001CMP123"/>
    <x v="0"/>
    <x v="0"/>
    <x v="5"/>
    <n v="0"/>
    <s v="No"/>
    <m/>
  </r>
  <r>
    <n v="41.6"/>
    <d v="2013-11-30T00:00:00"/>
    <x v="2"/>
    <s v="KBC"/>
    <s v="Kachin"/>
    <s v="Waingmaw"/>
    <s v="Hkat Cho "/>
    <m/>
    <m/>
    <m/>
    <m/>
    <m/>
    <m/>
    <m/>
    <m/>
    <m/>
    <m/>
    <m/>
    <m/>
    <m/>
    <m/>
    <m/>
    <m/>
    <m/>
    <n v="0"/>
    <n v="0"/>
    <n v="0"/>
    <n v="0"/>
    <n v="0"/>
    <n v="0"/>
    <n v="0"/>
    <n v="0"/>
    <n v="0"/>
    <n v="0"/>
    <n v="0"/>
    <n v="0"/>
    <n v="0"/>
    <n v="0"/>
    <x v="0"/>
    <n v="0"/>
    <n v="0"/>
    <n v="0"/>
    <s v="MMR001CMP028"/>
    <x v="0"/>
    <x v="0"/>
    <x v="4"/>
    <n v="0"/>
    <s v="No"/>
    <m/>
  </r>
  <r>
    <n v="41.6"/>
    <d v="2013-11-30T00:00:00"/>
    <x v="2"/>
    <s v="KBC"/>
    <s v="Kachin"/>
    <s v="Waingmaw"/>
    <s v="Hkau Shau (BP 12)"/>
    <m/>
    <m/>
    <m/>
    <m/>
    <m/>
    <m/>
    <m/>
    <m/>
    <m/>
    <m/>
    <m/>
    <m/>
    <m/>
    <m/>
    <m/>
    <m/>
    <m/>
    <n v="0"/>
    <n v="0"/>
    <n v="0"/>
    <n v="0"/>
    <n v="0"/>
    <n v="0"/>
    <n v="0"/>
    <n v="0"/>
    <n v="0"/>
    <n v="0"/>
    <n v="0"/>
    <n v="0"/>
    <n v="0"/>
    <n v="0"/>
    <x v="0"/>
    <n v="0"/>
    <n v="0"/>
    <n v="0"/>
    <s v="MMR001CMP115"/>
    <x v="0"/>
    <x v="0"/>
    <x v="3"/>
    <n v="0"/>
    <s v="No"/>
    <m/>
  </r>
  <r>
    <n v="41.6"/>
    <d v="2013-11-30T00:00:00"/>
    <x v="2"/>
    <s v="KBC"/>
    <s v="Kachin"/>
    <s v="Momauk"/>
    <s v="Hpun Lum Yang "/>
    <m/>
    <m/>
    <m/>
    <m/>
    <m/>
    <m/>
    <m/>
    <m/>
    <m/>
    <n v="978"/>
    <m/>
    <m/>
    <m/>
    <m/>
    <m/>
    <m/>
    <m/>
    <n v="0"/>
    <n v="0"/>
    <n v="0"/>
    <n v="0"/>
    <n v="0"/>
    <n v="0"/>
    <n v="0"/>
    <n v="0"/>
    <n v="0"/>
    <n v="0"/>
    <n v="0"/>
    <n v="0"/>
    <n v="0"/>
    <n v="0"/>
    <x v="0"/>
    <n v="0"/>
    <n v="0"/>
    <n v="0"/>
    <s v="MMR001CMP122"/>
    <x v="0"/>
    <x v="0"/>
    <x v="5"/>
    <n v="0"/>
    <s v="No"/>
    <m/>
  </r>
  <r>
    <n v="41.6"/>
    <d v="2013-11-30T00:00:00"/>
    <x v="11"/>
    <s v="MDCG"/>
    <s v="Kachin"/>
    <s v="Mansi"/>
    <s v="Lagatyan "/>
    <m/>
    <m/>
    <m/>
    <m/>
    <m/>
    <n v="447"/>
    <m/>
    <m/>
    <m/>
    <m/>
    <n v="398"/>
    <n v="390"/>
    <n v="0"/>
    <m/>
    <m/>
    <m/>
    <m/>
    <n v="0"/>
    <n v="0"/>
    <n v="0"/>
    <n v="0"/>
    <n v="0"/>
    <n v="0"/>
    <n v="0"/>
    <n v="0"/>
    <n v="0"/>
    <n v="0"/>
    <n v="0"/>
    <n v="0"/>
    <n v="0"/>
    <n v="0"/>
    <x v="1"/>
    <n v="0"/>
    <n v="0"/>
    <n v="0"/>
    <s v="MMR001CMP202"/>
    <x v="0"/>
    <x v="2"/>
    <x v="4"/>
    <n v="0"/>
    <s v="No"/>
    <m/>
  </r>
  <r>
    <n v="41.6"/>
    <d v="2013-11-30T00:00:00"/>
    <x v="2"/>
    <m/>
    <s v="Kachin"/>
    <s v="Mansi"/>
    <s v="Lagatyan "/>
    <m/>
    <m/>
    <m/>
    <m/>
    <m/>
    <m/>
    <m/>
    <m/>
    <m/>
    <m/>
    <m/>
    <m/>
    <m/>
    <m/>
    <m/>
    <m/>
    <m/>
    <n v="0"/>
    <n v="0"/>
    <n v="0"/>
    <n v="0"/>
    <n v="0"/>
    <n v="0"/>
    <n v="0"/>
    <n v="0"/>
    <n v="0"/>
    <n v="0"/>
    <n v="0"/>
    <n v="0"/>
    <n v="0"/>
    <n v="0"/>
    <x v="0"/>
    <n v="0"/>
    <n v="0"/>
    <n v="0"/>
    <s v="MMR001CMP202"/>
    <x v="0"/>
    <x v="2"/>
    <x v="4"/>
    <n v="0"/>
    <s v="No"/>
    <m/>
  </r>
  <r>
    <n v="41.6"/>
    <d v="2013-11-30T00:00:00"/>
    <x v="2"/>
    <s v="KBC"/>
    <s v="Kachin"/>
    <s v="Waingmaw"/>
    <s v="Laiza Market 3 - Laiza Gat"/>
    <m/>
    <m/>
    <m/>
    <m/>
    <m/>
    <m/>
    <m/>
    <m/>
    <m/>
    <n v="729"/>
    <m/>
    <m/>
    <m/>
    <m/>
    <m/>
    <m/>
    <m/>
    <n v="0"/>
    <n v="0"/>
    <n v="0"/>
    <n v="0"/>
    <n v="0"/>
    <n v="0"/>
    <n v="0"/>
    <n v="0"/>
    <n v="0"/>
    <n v="0"/>
    <n v="0"/>
    <n v="0"/>
    <n v="0"/>
    <n v="0"/>
    <x v="0"/>
    <n v="0"/>
    <n v="0"/>
    <n v="0"/>
    <s v="MMR001CMP117"/>
    <x v="0"/>
    <x v="2"/>
    <x v="5"/>
    <n v="0"/>
    <s v="No"/>
    <m/>
  </r>
  <r>
    <n v="41.6"/>
    <d v="2013-11-30T00:00:00"/>
    <x v="11"/>
    <s v="MDCG"/>
    <s v="Kachin"/>
    <s v="Bhamo"/>
    <s v="Htoi San Church"/>
    <m/>
    <m/>
    <m/>
    <m/>
    <m/>
    <n v="105"/>
    <m/>
    <m/>
    <m/>
    <m/>
    <n v="154"/>
    <n v="26"/>
    <n v="0"/>
    <m/>
    <m/>
    <m/>
    <m/>
    <n v="0"/>
    <n v="0"/>
    <n v="0"/>
    <n v="0"/>
    <n v="0"/>
    <n v="0"/>
    <n v="0"/>
    <n v="0"/>
    <n v="0"/>
    <n v="0"/>
    <n v="0"/>
    <n v="0"/>
    <n v="0"/>
    <n v="0"/>
    <x v="1"/>
    <n v="0"/>
    <n v="0"/>
    <n v="0"/>
    <s v="MMR001CMP052"/>
    <x v="0"/>
    <x v="0"/>
    <x v="4"/>
    <n v="0"/>
    <s v="No"/>
    <m/>
  </r>
  <r>
    <n v="41.6"/>
    <d v="2013-11-30T00:00:00"/>
    <x v="2"/>
    <m/>
    <s v="Kachin"/>
    <s v="Bhamo"/>
    <s v="Htoi San Church"/>
    <m/>
    <m/>
    <m/>
    <m/>
    <m/>
    <m/>
    <m/>
    <m/>
    <m/>
    <n v="138"/>
    <m/>
    <m/>
    <m/>
    <m/>
    <m/>
    <m/>
    <m/>
    <n v="0"/>
    <n v="0"/>
    <n v="0"/>
    <n v="0"/>
    <n v="0"/>
    <n v="0"/>
    <n v="0"/>
    <n v="0"/>
    <n v="0"/>
    <n v="0"/>
    <n v="0"/>
    <n v="0"/>
    <n v="0"/>
    <n v="0"/>
    <x v="0"/>
    <n v="0"/>
    <n v="0"/>
    <n v="0"/>
    <s v="MMR001CMP052"/>
    <x v="0"/>
    <x v="0"/>
    <x v="4"/>
    <n v="0"/>
    <s v="No"/>
    <m/>
  </r>
  <r>
    <n v="41.6"/>
    <d v="2013-11-30T00:00:00"/>
    <x v="2"/>
    <s v="KBC"/>
    <s v="Kachin"/>
    <s v="Momauk"/>
    <s v="Je Yang Hka "/>
    <m/>
    <m/>
    <m/>
    <m/>
    <m/>
    <m/>
    <m/>
    <m/>
    <m/>
    <n v="5268"/>
    <m/>
    <m/>
    <m/>
    <m/>
    <m/>
    <m/>
    <m/>
    <n v="0"/>
    <n v="0"/>
    <n v="0"/>
    <n v="0"/>
    <n v="0"/>
    <n v="0"/>
    <n v="0"/>
    <n v="0"/>
    <n v="0"/>
    <n v="0"/>
    <n v="0"/>
    <n v="0"/>
    <n v="0"/>
    <n v="0"/>
    <x v="0"/>
    <n v="0"/>
    <n v="0"/>
    <n v="0"/>
    <s v="MMR001CMP121"/>
    <x v="0"/>
    <x v="0"/>
    <x v="5"/>
    <n v="0"/>
    <s v="No"/>
    <m/>
  </r>
  <r>
    <n v="41.6"/>
    <d v="2013-11-30T00:00:00"/>
    <x v="2"/>
    <s v="LDO"/>
    <s v="Kachin"/>
    <s v="Mansi"/>
    <s v="Lana Zup Ja "/>
    <m/>
    <m/>
    <m/>
    <m/>
    <m/>
    <m/>
    <m/>
    <m/>
    <m/>
    <m/>
    <m/>
    <m/>
    <m/>
    <m/>
    <m/>
    <m/>
    <m/>
    <n v="0"/>
    <n v="0"/>
    <n v="0"/>
    <n v="0"/>
    <n v="0"/>
    <n v="0"/>
    <n v="0"/>
    <n v="0"/>
    <n v="0"/>
    <n v="0"/>
    <n v="0"/>
    <n v="0"/>
    <n v="0"/>
    <n v="0"/>
    <x v="0"/>
    <n v="0"/>
    <n v="0"/>
    <n v="0"/>
    <s v="MMR001CMP128"/>
    <x v="0"/>
    <x v="0"/>
    <x v="5"/>
    <n v="0"/>
    <s v="No"/>
    <m/>
  </r>
  <r>
    <n v="41.6"/>
    <d v="2013-11-30T00:00:00"/>
    <x v="1"/>
    <s v="UNHCR"/>
    <s v="Kachin"/>
    <s v="Mansi"/>
    <s v="Lana Zup Ja "/>
    <m/>
    <m/>
    <m/>
    <m/>
    <m/>
    <m/>
    <m/>
    <m/>
    <m/>
    <m/>
    <m/>
    <m/>
    <m/>
    <m/>
    <m/>
    <m/>
    <m/>
    <n v="0"/>
    <n v="0"/>
    <n v="0"/>
    <n v="0"/>
    <n v="0"/>
    <n v="0"/>
    <n v="0"/>
    <n v="0"/>
    <n v="0"/>
    <n v="0"/>
    <n v="0"/>
    <n v="0"/>
    <n v="0"/>
    <n v="0"/>
    <x v="0"/>
    <n v="0"/>
    <n v="0"/>
    <n v="0"/>
    <s v="MMR001CMP128"/>
    <x v="0"/>
    <x v="0"/>
    <x v="5"/>
    <n v="0"/>
    <s v="No"/>
    <m/>
  </r>
  <r>
    <n v="41.6"/>
    <d v="2013-11-30T00:00:00"/>
    <x v="2"/>
    <s v="KBC"/>
    <s v="Kachin"/>
    <s v="Chipwi"/>
    <s v="Lhaovao Baptist Church (LBC)"/>
    <m/>
    <m/>
    <m/>
    <m/>
    <m/>
    <m/>
    <m/>
    <m/>
    <m/>
    <m/>
    <m/>
    <m/>
    <m/>
    <m/>
    <m/>
    <m/>
    <m/>
    <n v="0"/>
    <n v="0"/>
    <n v="0"/>
    <n v="0"/>
    <n v="0"/>
    <n v="0"/>
    <n v="0"/>
    <n v="0"/>
    <n v="0"/>
    <n v="0"/>
    <n v="0"/>
    <n v="0"/>
    <n v="0"/>
    <n v="0"/>
    <x v="0"/>
    <n v="0"/>
    <n v="0"/>
    <n v="0"/>
    <s v="MMR001CMP195"/>
    <x v="0"/>
    <x v="0"/>
    <x v="3"/>
    <n v="0"/>
    <s v="No"/>
    <m/>
  </r>
  <r>
    <n v="41.6"/>
    <d v="2013-11-30T00:00:00"/>
    <x v="11"/>
    <s v="MDCG"/>
    <s v="Kachin"/>
    <s v="Bhamo"/>
    <s v="Lisu Boarding-House"/>
    <m/>
    <m/>
    <m/>
    <m/>
    <m/>
    <n v="206"/>
    <m/>
    <m/>
    <m/>
    <m/>
    <n v="242"/>
    <n v="156"/>
    <n v="0"/>
    <m/>
    <m/>
    <m/>
    <m/>
    <n v="0"/>
    <n v="0"/>
    <n v="0"/>
    <n v="0"/>
    <n v="0"/>
    <n v="0"/>
    <n v="0"/>
    <n v="0"/>
    <n v="0"/>
    <n v="0"/>
    <n v="0"/>
    <n v="0"/>
    <n v="0"/>
    <n v="0"/>
    <x v="1"/>
    <n v="0"/>
    <n v="0"/>
    <n v="0"/>
    <s v="MMR001CMP049"/>
    <x v="0"/>
    <x v="0"/>
    <x v="4"/>
    <n v="0"/>
    <s v="No"/>
    <m/>
  </r>
  <r>
    <n v="41.6"/>
    <d v="2013-11-30T00:00:00"/>
    <x v="2"/>
    <m/>
    <s v="Kachin"/>
    <s v="Bhamo"/>
    <s v="Lisu Boarding-House"/>
    <m/>
    <m/>
    <m/>
    <m/>
    <m/>
    <m/>
    <m/>
    <m/>
    <m/>
    <n v="120"/>
    <m/>
    <m/>
    <m/>
    <m/>
    <m/>
    <m/>
    <m/>
    <n v="0"/>
    <n v="0"/>
    <n v="0"/>
    <n v="0"/>
    <n v="0"/>
    <n v="0"/>
    <n v="0"/>
    <n v="0"/>
    <n v="0"/>
    <n v="0"/>
    <n v="0"/>
    <n v="0"/>
    <n v="0"/>
    <n v="0"/>
    <x v="0"/>
    <n v="0"/>
    <n v="0"/>
    <n v="0"/>
    <s v="MMR001CMP049"/>
    <x v="0"/>
    <x v="0"/>
    <x v="4"/>
    <n v="0"/>
    <s v="No"/>
    <m/>
  </r>
  <r>
    <n v="41.6"/>
    <d v="2013-11-30T00:00:00"/>
    <x v="2"/>
    <m/>
    <s v="Kachin"/>
    <s v="Momauk"/>
    <s v="Loi Je Baptist Church"/>
    <m/>
    <m/>
    <m/>
    <m/>
    <m/>
    <m/>
    <m/>
    <m/>
    <m/>
    <n v="105"/>
    <m/>
    <m/>
    <m/>
    <m/>
    <m/>
    <m/>
    <m/>
    <n v="0"/>
    <n v="0"/>
    <n v="0"/>
    <n v="0"/>
    <n v="0"/>
    <n v="0"/>
    <n v="0"/>
    <n v="0"/>
    <n v="0"/>
    <n v="0"/>
    <n v="0"/>
    <n v="0"/>
    <n v="0"/>
    <n v="0"/>
    <x v="0"/>
    <n v="0"/>
    <n v="0"/>
    <n v="0"/>
    <s v="MMR001CMP071"/>
    <x v="0"/>
    <x v="0"/>
    <x v="0"/>
    <n v="0"/>
    <s v="No"/>
    <m/>
  </r>
  <r>
    <n v="41.6"/>
    <d v="2013-11-30T00:00:00"/>
    <x v="2"/>
    <s v="LDO"/>
    <s v="Kachin"/>
    <s v="Mansi"/>
    <s v="Lung Kawk  ( Hka Hkye Zup)"/>
    <m/>
    <m/>
    <m/>
    <m/>
    <m/>
    <m/>
    <m/>
    <m/>
    <m/>
    <m/>
    <m/>
    <m/>
    <m/>
    <m/>
    <m/>
    <m/>
    <m/>
    <n v="0"/>
    <n v="0"/>
    <n v="0"/>
    <n v="0"/>
    <n v="0"/>
    <n v="0"/>
    <n v="0"/>
    <n v="0"/>
    <n v="0"/>
    <n v="0"/>
    <n v="0"/>
    <n v="0"/>
    <n v="0"/>
    <n v="0"/>
    <x v="0"/>
    <n v="0"/>
    <n v="0"/>
    <n v="0"/>
    <s v="MMR001CMP135"/>
    <x v="0"/>
    <x v="2"/>
    <x v="5"/>
    <n v="0"/>
    <s v="No"/>
    <m/>
  </r>
  <r>
    <n v="41.6"/>
    <d v="2013-11-30T00:00:00"/>
    <x v="2"/>
    <m/>
    <s v="Kachin"/>
    <s v="Momauk"/>
    <s v="Loi Je Catholic Church"/>
    <m/>
    <m/>
    <m/>
    <m/>
    <m/>
    <m/>
    <m/>
    <m/>
    <m/>
    <n v="246"/>
    <m/>
    <m/>
    <m/>
    <m/>
    <m/>
    <m/>
    <m/>
    <n v="0"/>
    <n v="0"/>
    <n v="0"/>
    <n v="0"/>
    <n v="0"/>
    <n v="0"/>
    <n v="0"/>
    <n v="0"/>
    <n v="0"/>
    <n v="0"/>
    <n v="0"/>
    <n v="0"/>
    <n v="0"/>
    <n v="0"/>
    <x v="0"/>
    <n v="0"/>
    <n v="0"/>
    <n v="0"/>
    <s v="MMR001CMP069"/>
    <x v="0"/>
    <x v="0"/>
    <x v="0"/>
    <n v="0"/>
    <s v="No"/>
    <m/>
  </r>
  <r>
    <n v="41.6"/>
    <d v="2013-11-30T00:00:00"/>
    <x v="2"/>
    <m/>
    <s v="Kachin"/>
    <s v="Momauk"/>
    <s v="Loi Je Lisu Camp"/>
    <m/>
    <m/>
    <m/>
    <m/>
    <m/>
    <m/>
    <m/>
    <m/>
    <m/>
    <n v="369"/>
    <m/>
    <m/>
    <m/>
    <m/>
    <m/>
    <m/>
    <m/>
    <n v="0"/>
    <n v="0"/>
    <n v="0"/>
    <n v="0"/>
    <n v="0"/>
    <n v="0"/>
    <n v="0"/>
    <n v="0"/>
    <n v="0"/>
    <n v="0"/>
    <n v="0"/>
    <n v="0"/>
    <n v="0"/>
    <n v="0"/>
    <x v="0"/>
    <n v="0"/>
    <n v="0"/>
    <n v="0"/>
    <s v="MMR001CMP070"/>
    <x v="0"/>
    <x v="0"/>
    <x v="0"/>
    <n v="0"/>
    <s v="No"/>
    <m/>
  </r>
  <r>
    <n v="41.6"/>
    <d v="2013-11-30T00:00:00"/>
    <x v="2"/>
    <s v="KBC"/>
    <s v="Kachin"/>
    <s v="Waingmaw"/>
    <s v="Mading Baptist Church"/>
    <m/>
    <m/>
    <m/>
    <m/>
    <m/>
    <m/>
    <m/>
    <m/>
    <m/>
    <m/>
    <m/>
    <m/>
    <m/>
    <m/>
    <m/>
    <m/>
    <m/>
    <n v="0"/>
    <n v="0"/>
    <n v="0"/>
    <n v="0"/>
    <n v="0"/>
    <n v="0"/>
    <n v="0"/>
    <n v="0"/>
    <n v="0"/>
    <n v="0"/>
    <n v="0"/>
    <n v="0"/>
    <n v="0"/>
    <n v="0"/>
    <x v="0"/>
    <n v="0"/>
    <n v="0"/>
    <n v="0"/>
    <s v="MMR001CMP027"/>
    <x v="0"/>
    <x v="0"/>
    <x v="4"/>
    <n v="0"/>
    <s v="No"/>
    <m/>
  </r>
  <r>
    <n v="41.6"/>
    <d v="2013-11-30T00:00:00"/>
    <x v="2"/>
    <s v="KBC"/>
    <s v="Kachin"/>
    <s v="Waingmaw"/>
    <s v="Maga Yang "/>
    <m/>
    <m/>
    <m/>
    <m/>
    <m/>
    <m/>
    <m/>
    <m/>
    <m/>
    <m/>
    <m/>
    <m/>
    <m/>
    <m/>
    <m/>
    <m/>
    <m/>
    <n v="0"/>
    <n v="0"/>
    <n v="0"/>
    <n v="0"/>
    <n v="0"/>
    <n v="0"/>
    <n v="0"/>
    <n v="0"/>
    <n v="0"/>
    <n v="0"/>
    <n v="0"/>
    <n v="0"/>
    <n v="0"/>
    <n v="0"/>
    <x v="0"/>
    <n v="0"/>
    <n v="0"/>
    <n v="0"/>
    <s v="MMR001CMP119"/>
    <x v="0"/>
    <x v="0"/>
    <x v="5"/>
    <n v="0"/>
    <s v="No"/>
    <m/>
  </r>
  <r>
    <n v="41.6"/>
    <d v="2013-11-30T00:00:00"/>
    <x v="2"/>
    <s v="KBC"/>
    <s v="Kachin"/>
    <s v="Waingmaw"/>
    <s v="Maina AG Church"/>
    <m/>
    <m/>
    <m/>
    <m/>
    <m/>
    <m/>
    <m/>
    <m/>
    <m/>
    <m/>
    <m/>
    <m/>
    <m/>
    <m/>
    <m/>
    <m/>
    <m/>
    <n v="0"/>
    <n v="0"/>
    <n v="0"/>
    <n v="0"/>
    <n v="0"/>
    <n v="0"/>
    <n v="0"/>
    <n v="0"/>
    <n v="0"/>
    <n v="0"/>
    <n v="0"/>
    <n v="0"/>
    <n v="0"/>
    <n v="0"/>
    <x v="0"/>
    <n v="0"/>
    <n v="0"/>
    <n v="0"/>
    <s v="MMR001CMP031"/>
    <x v="0"/>
    <x v="0"/>
    <x v="4"/>
    <n v="0"/>
    <s v="No"/>
    <m/>
  </r>
  <r>
    <n v="41.6"/>
    <d v="2013-11-30T00:00:00"/>
    <x v="2"/>
    <s v="KBC"/>
    <s v="Kachin"/>
    <s v="Waingmaw"/>
    <s v="Maina KBC (Bawng Ring)"/>
    <m/>
    <m/>
    <m/>
    <m/>
    <m/>
    <m/>
    <m/>
    <m/>
    <m/>
    <m/>
    <m/>
    <m/>
    <m/>
    <m/>
    <m/>
    <m/>
    <m/>
    <n v="0"/>
    <n v="0"/>
    <n v="0"/>
    <n v="0"/>
    <n v="0"/>
    <n v="0"/>
    <n v="0"/>
    <n v="0"/>
    <n v="0"/>
    <n v="0"/>
    <n v="0"/>
    <n v="0"/>
    <n v="0"/>
    <n v="0"/>
    <x v="0"/>
    <n v="0"/>
    <n v="0"/>
    <n v="0"/>
    <s v="MMR001CMP040"/>
    <x v="0"/>
    <x v="0"/>
    <x v="4"/>
    <n v="0"/>
    <s v="No"/>
    <m/>
  </r>
  <r>
    <n v="41.6"/>
    <d v="2013-11-30T00:00:00"/>
    <x v="2"/>
    <s v="KBC"/>
    <s v="Kachin"/>
    <s v="Waingmaw"/>
    <s v="Maina Lawang Baptist Church"/>
    <m/>
    <m/>
    <m/>
    <m/>
    <m/>
    <m/>
    <m/>
    <m/>
    <m/>
    <m/>
    <m/>
    <m/>
    <m/>
    <m/>
    <m/>
    <m/>
    <m/>
    <n v="0"/>
    <n v="0"/>
    <n v="0"/>
    <n v="0"/>
    <n v="0"/>
    <n v="0"/>
    <n v="0"/>
    <n v="0"/>
    <n v="0"/>
    <n v="0"/>
    <n v="0"/>
    <n v="0"/>
    <n v="0"/>
    <n v="0"/>
    <x v="0"/>
    <n v="0"/>
    <n v="0"/>
    <n v="0"/>
    <s v="MMR001CMP039"/>
    <x v="0"/>
    <x v="0"/>
    <x v="4"/>
    <n v="0"/>
    <s v="No"/>
    <m/>
  </r>
  <r>
    <n v="41.6"/>
    <d v="2013-11-30T00:00:00"/>
    <x v="2"/>
    <m/>
    <s v="Kachin"/>
    <s v="Momauk"/>
    <s v="Man Bung Catholic compound"/>
    <m/>
    <m/>
    <m/>
    <m/>
    <m/>
    <m/>
    <m/>
    <m/>
    <m/>
    <n v="141"/>
    <m/>
    <m/>
    <m/>
    <m/>
    <m/>
    <m/>
    <m/>
    <n v="0"/>
    <n v="0"/>
    <n v="0"/>
    <n v="0"/>
    <n v="0"/>
    <n v="0"/>
    <n v="0"/>
    <n v="0"/>
    <n v="0"/>
    <n v="0"/>
    <n v="0"/>
    <n v="0"/>
    <n v="0"/>
    <n v="0"/>
    <x v="0"/>
    <n v="0"/>
    <n v="0"/>
    <n v="0"/>
    <s v="MMR001CMP062"/>
    <x v="0"/>
    <x v="0"/>
    <x v="4"/>
    <n v="0"/>
    <s v="No"/>
    <m/>
  </r>
  <r>
    <n v="41.6"/>
    <d v="2013-11-30T00:00:00"/>
    <x v="11"/>
    <s v="MDCG"/>
    <s v="Kachin"/>
    <s v="Mansi"/>
    <s v="Man Wing Baptist Church"/>
    <m/>
    <m/>
    <m/>
    <m/>
    <m/>
    <n v="347"/>
    <m/>
    <m/>
    <m/>
    <m/>
    <n v="386"/>
    <n v="234"/>
    <n v="0"/>
    <m/>
    <m/>
    <m/>
    <m/>
    <n v="0"/>
    <n v="0"/>
    <n v="0"/>
    <n v="0"/>
    <n v="0"/>
    <n v="0"/>
    <n v="0"/>
    <n v="0"/>
    <n v="0"/>
    <n v="0"/>
    <n v="0"/>
    <n v="0"/>
    <n v="0"/>
    <n v="0"/>
    <x v="1"/>
    <n v="0"/>
    <n v="0"/>
    <n v="0"/>
    <s v="MMR001CMP133"/>
    <x v="0"/>
    <x v="0"/>
    <x v="4"/>
    <n v="0"/>
    <s v="No"/>
    <m/>
  </r>
  <r>
    <n v="41.6"/>
    <d v="2013-11-30T00:00:00"/>
    <x v="2"/>
    <m/>
    <s v="Kachin"/>
    <s v="Mansi"/>
    <s v="Man Wing Baptist Church"/>
    <m/>
    <m/>
    <m/>
    <m/>
    <m/>
    <m/>
    <m/>
    <m/>
    <m/>
    <n v="444"/>
    <m/>
    <m/>
    <m/>
    <m/>
    <m/>
    <m/>
    <m/>
    <n v="0"/>
    <n v="0"/>
    <n v="0"/>
    <n v="0"/>
    <n v="0"/>
    <n v="0"/>
    <n v="0"/>
    <n v="0"/>
    <n v="0"/>
    <n v="0"/>
    <n v="0"/>
    <n v="0"/>
    <n v="0"/>
    <n v="0"/>
    <x v="0"/>
    <n v="0"/>
    <n v="0"/>
    <n v="0"/>
    <s v="MMR001CMP133"/>
    <x v="0"/>
    <x v="0"/>
    <x v="4"/>
    <n v="0"/>
    <s v="No"/>
    <m/>
  </r>
  <r>
    <n v="41.6"/>
    <d v="2013-11-30T00:00:00"/>
    <x v="11"/>
    <s v="MDCG"/>
    <s v="Kachin"/>
    <s v="Mansi"/>
    <s v="Man Wing Catholic Church"/>
    <m/>
    <m/>
    <m/>
    <m/>
    <m/>
    <n v="770"/>
    <m/>
    <m/>
    <m/>
    <m/>
    <n v="889"/>
    <n v="492"/>
    <n v="0"/>
    <m/>
    <m/>
    <m/>
    <m/>
    <n v="0"/>
    <n v="0"/>
    <n v="0"/>
    <n v="0"/>
    <n v="0"/>
    <n v="0"/>
    <n v="0"/>
    <n v="0"/>
    <n v="0"/>
    <n v="0"/>
    <n v="0"/>
    <n v="0"/>
    <n v="0"/>
    <n v="0"/>
    <x v="1"/>
    <n v="0"/>
    <n v="0"/>
    <n v="0"/>
    <s v="MMR001CMP132"/>
    <x v="0"/>
    <x v="0"/>
    <x v="4"/>
    <n v="0"/>
    <s v="No"/>
    <m/>
  </r>
  <r>
    <n v="41.6"/>
    <d v="2013-11-30T00:00:00"/>
    <x v="2"/>
    <m/>
    <s v="Kachin"/>
    <s v="Mansi"/>
    <s v="Man Wing Catholic Church"/>
    <m/>
    <m/>
    <m/>
    <m/>
    <m/>
    <m/>
    <m/>
    <m/>
    <m/>
    <n v="1080"/>
    <m/>
    <m/>
    <m/>
    <m/>
    <m/>
    <m/>
    <m/>
    <n v="0"/>
    <n v="0"/>
    <n v="0"/>
    <n v="0"/>
    <n v="0"/>
    <n v="0"/>
    <n v="0"/>
    <n v="0"/>
    <n v="0"/>
    <n v="0"/>
    <n v="0"/>
    <n v="0"/>
    <n v="0"/>
    <n v="0"/>
    <x v="0"/>
    <n v="0"/>
    <n v="0"/>
    <n v="0"/>
    <s v="MMR001CMP132"/>
    <x v="0"/>
    <x v="0"/>
    <x v="4"/>
    <n v="0"/>
    <s v="No"/>
    <m/>
  </r>
  <r>
    <n v="41.6"/>
    <d v="2013-11-30T00:00:00"/>
    <x v="2"/>
    <m/>
    <s v="Kachin"/>
    <s v="Mansi"/>
    <s v="Mansi Baptist Church"/>
    <m/>
    <m/>
    <m/>
    <m/>
    <m/>
    <m/>
    <m/>
    <m/>
    <m/>
    <n v="225"/>
    <m/>
    <m/>
    <m/>
    <m/>
    <m/>
    <m/>
    <m/>
    <n v="0"/>
    <n v="0"/>
    <n v="0"/>
    <n v="0"/>
    <n v="0"/>
    <n v="0"/>
    <n v="0"/>
    <n v="0"/>
    <n v="0"/>
    <n v="0"/>
    <n v="0"/>
    <n v="0"/>
    <n v="0"/>
    <n v="0"/>
    <x v="0"/>
    <n v="0"/>
    <n v="0"/>
    <n v="0"/>
    <s v="MMR001CMP066"/>
    <x v="0"/>
    <x v="0"/>
    <x v="4"/>
    <n v="0"/>
    <s v="No"/>
    <m/>
  </r>
  <r>
    <n v="41.6"/>
    <d v="2013-11-30T00:00:00"/>
    <x v="2"/>
    <m/>
    <s v="Kachin"/>
    <s v="Momauk"/>
    <s v="Momauk Catholic Church (St. Patrick)"/>
    <m/>
    <m/>
    <m/>
    <m/>
    <m/>
    <m/>
    <m/>
    <m/>
    <m/>
    <n v="543"/>
    <m/>
    <m/>
    <m/>
    <m/>
    <m/>
    <m/>
    <m/>
    <n v="0"/>
    <n v="0"/>
    <n v="0"/>
    <n v="0"/>
    <n v="0"/>
    <n v="0"/>
    <n v="0"/>
    <n v="0"/>
    <n v="0"/>
    <n v="0"/>
    <n v="0"/>
    <n v="0"/>
    <n v="0"/>
    <n v="0"/>
    <x v="0"/>
    <n v="0"/>
    <n v="0"/>
    <n v="0"/>
    <s v="MMR001CMP057"/>
    <x v="0"/>
    <x v="2"/>
    <x v="4"/>
    <n v="0"/>
    <s v="No"/>
    <m/>
  </r>
  <r>
    <n v="41.6"/>
    <d v="2013-11-30T00:00:00"/>
    <x v="2"/>
    <s v="KBC"/>
    <s v="Kachin"/>
    <s v="Mansi"/>
    <s v="Nam Lim Pa - Scattered IDPs in forest"/>
    <m/>
    <m/>
    <m/>
    <m/>
    <m/>
    <m/>
    <m/>
    <m/>
    <m/>
    <m/>
    <m/>
    <m/>
    <m/>
    <m/>
    <m/>
    <m/>
    <m/>
    <n v="0"/>
    <n v="0"/>
    <n v="0"/>
    <n v="0"/>
    <n v="0"/>
    <n v="0"/>
    <n v="0"/>
    <n v="0"/>
    <n v="0"/>
    <n v="0"/>
    <n v="0"/>
    <n v="0"/>
    <n v="0"/>
    <n v="0"/>
    <x v="0"/>
    <n v="0"/>
    <n v="0"/>
    <n v="0"/>
    <s v="MMR001CMP137"/>
    <x v="0"/>
    <x v="2"/>
    <x v="2"/>
    <s v=""/>
    <s v="No"/>
    <m/>
  </r>
  <r>
    <n v="41.6"/>
    <d v="2013-11-30T00:00:00"/>
    <x v="11"/>
    <s v="MDCG"/>
    <s v="Shan_North"/>
    <s v="Kutkai"/>
    <s v="Mine Yu Lay village"/>
    <m/>
    <m/>
    <m/>
    <m/>
    <m/>
    <n v="258"/>
    <m/>
    <m/>
    <m/>
    <m/>
    <n v="349"/>
    <n v="175"/>
    <n v="0"/>
    <m/>
    <m/>
    <m/>
    <m/>
    <n v="0"/>
    <n v="0"/>
    <n v="0"/>
    <n v="0"/>
    <n v="0"/>
    <n v="0"/>
    <n v="0"/>
    <n v="0"/>
    <n v="0"/>
    <n v="0"/>
    <n v="0"/>
    <n v="0"/>
    <n v="0"/>
    <n v="0"/>
    <x v="1"/>
    <n v="0"/>
    <n v="0"/>
    <n v="0"/>
    <s v="MMR015CMP018"/>
    <x v="0"/>
    <x v="0"/>
    <x v="0"/>
    <n v="0"/>
    <s v="No"/>
    <m/>
  </r>
  <r>
    <n v="41.6"/>
    <d v="2013-11-30T00:00:00"/>
    <x v="2"/>
    <m/>
    <s v="Kachin"/>
    <s v="Momauk"/>
    <s v="Momauk Baptist Church"/>
    <m/>
    <m/>
    <m/>
    <m/>
    <m/>
    <m/>
    <m/>
    <m/>
    <m/>
    <n v="906"/>
    <m/>
    <m/>
    <m/>
    <m/>
    <m/>
    <m/>
    <m/>
    <n v="0"/>
    <n v="0"/>
    <n v="0"/>
    <n v="0"/>
    <n v="0"/>
    <n v="0"/>
    <n v="0"/>
    <n v="0"/>
    <n v="0"/>
    <n v="0"/>
    <n v="0"/>
    <n v="0"/>
    <n v="0"/>
    <n v="0"/>
    <x v="0"/>
    <n v="0"/>
    <n v="0"/>
    <n v="0"/>
    <s v="MMR001CMP056"/>
    <x v="0"/>
    <x v="0"/>
    <x v="4"/>
    <n v="0"/>
    <s v="No"/>
    <m/>
  </r>
  <r>
    <n v="41.6"/>
    <d v="2013-11-30T00:00:00"/>
    <x v="2"/>
    <m/>
    <s v="Kachin"/>
    <s v="Bhamo"/>
    <s v="Nant Hlaing Church"/>
    <m/>
    <m/>
    <m/>
    <m/>
    <m/>
    <m/>
    <m/>
    <m/>
    <m/>
    <n v="57"/>
    <m/>
    <m/>
    <m/>
    <m/>
    <m/>
    <m/>
    <m/>
    <n v="0"/>
    <n v="0"/>
    <n v="0"/>
    <n v="0"/>
    <n v="0"/>
    <n v="0"/>
    <n v="0"/>
    <n v="0"/>
    <n v="0"/>
    <n v="0"/>
    <n v="0"/>
    <n v="0"/>
    <n v="0"/>
    <n v="0"/>
    <x v="0"/>
    <n v="0"/>
    <n v="0"/>
    <n v="0"/>
    <s v="MMR001CMP054"/>
    <x v="0"/>
    <x v="0"/>
    <x v="4"/>
    <n v="0"/>
    <s v="No"/>
    <m/>
  </r>
  <r>
    <n v="41.6"/>
    <d v="2013-11-30T00:00:00"/>
    <x v="2"/>
    <m/>
    <s v="Kachin"/>
    <s v="Momauk"/>
    <s v="Ni Thaw Ka Monestry"/>
    <m/>
    <m/>
    <m/>
    <m/>
    <m/>
    <m/>
    <m/>
    <m/>
    <m/>
    <n v="60"/>
    <m/>
    <m/>
    <m/>
    <m/>
    <m/>
    <m/>
    <m/>
    <n v="0"/>
    <n v="0"/>
    <n v="0"/>
    <n v="0"/>
    <n v="0"/>
    <n v="0"/>
    <n v="0"/>
    <n v="0"/>
    <n v="0"/>
    <n v="0"/>
    <n v="0"/>
    <n v="0"/>
    <n v="0"/>
    <n v="0"/>
    <x v="0"/>
    <n v="0"/>
    <n v="0"/>
    <n v="0"/>
    <s v="MMR001CMP059"/>
    <x v="0"/>
    <x v="2"/>
    <x v="4"/>
    <n v="0"/>
    <s v="No"/>
    <m/>
  </r>
  <r>
    <n v="41.6"/>
    <d v="2013-11-30T00:00:00"/>
    <x v="11"/>
    <s v="MDCG"/>
    <s v="Shan_North"/>
    <s v="Hseni"/>
    <s v="Narte"/>
    <m/>
    <m/>
    <m/>
    <m/>
    <m/>
    <n v="201"/>
    <m/>
    <m/>
    <m/>
    <m/>
    <n v="266"/>
    <n v="126"/>
    <n v="0"/>
    <m/>
    <m/>
    <m/>
    <m/>
    <n v="0"/>
    <n v="0"/>
    <n v="0"/>
    <n v="0"/>
    <n v="0"/>
    <n v="0"/>
    <n v="0"/>
    <n v="0"/>
    <n v="0"/>
    <n v="0"/>
    <n v="0"/>
    <n v="0"/>
    <n v="0"/>
    <n v="0"/>
    <x v="1"/>
    <n v="0"/>
    <n v="0"/>
    <n v="0"/>
    <s v="MMR015CMP207"/>
    <x v="0"/>
    <x v="0"/>
    <x v="4"/>
    <n v="0"/>
    <s v="No"/>
    <m/>
  </r>
  <r>
    <n v="41.6"/>
    <d v="2013-11-30T00:00:00"/>
    <x v="2"/>
    <s v="LDO"/>
    <s v="Kachin"/>
    <s v="Momauk"/>
    <s v="Nhkawng Pa "/>
    <m/>
    <m/>
    <m/>
    <m/>
    <m/>
    <m/>
    <m/>
    <m/>
    <m/>
    <m/>
    <m/>
    <m/>
    <m/>
    <m/>
    <m/>
    <m/>
    <m/>
    <n v="0"/>
    <n v="0"/>
    <n v="0"/>
    <n v="0"/>
    <n v="0"/>
    <n v="0"/>
    <n v="0"/>
    <n v="0"/>
    <n v="0"/>
    <n v="0"/>
    <n v="0"/>
    <n v="0"/>
    <n v="0"/>
    <n v="0"/>
    <x v="0"/>
    <n v="0"/>
    <n v="0"/>
    <n v="0"/>
    <s v="MMR001CMP131"/>
    <x v="0"/>
    <x v="0"/>
    <x v="3"/>
    <n v="0"/>
    <s v="No"/>
    <m/>
  </r>
  <r>
    <n v="41.6"/>
    <d v="2013-11-30T00:00:00"/>
    <x v="2"/>
    <m/>
    <s v="Kachin"/>
    <s v="Momauk"/>
    <s v="Nyaung Na Pin "/>
    <m/>
    <m/>
    <m/>
    <m/>
    <m/>
    <m/>
    <m/>
    <m/>
    <m/>
    <n v="135"/>
    <m/>
    <m/>
    <m/>
    <m/>
    <m/>
    <m/>
    <m/>
    <n v="0"/>
    <n v="0"/>
    <n v="0"/>
    <n v="0"/>
    <n v="0"/>
    <n v="0"/>
    <n v="0"/>
    <n v="0"/>
    <n v="0"/>
    <n v="0"/>
    <n v="0"/>
    <n v="0"/>
    <n v="0"/>
    <n v="0"/>
    <x v="0"/>
    <n v="0"/>
    <n v="0"/>
    <n v="0"/>
    <s v="MMR001CMP072"/>
    <x v="0"/>
    <x v="0"/>
    <x v="0"/>
    <n v="0"/>
    <s v="No"/>
    <m/>
  </r>
  <r>
    <n v="41.6"/>
    <d v="2013-11-30T00:00:00"/>
    <x v="2"/>
    <s v="LDO"/>
    <s v="Kachin"/>
    <s v="Momauk"/>
    <s v="Pa Kahtawng "/>
    <m/>
    <m/>
    <m/>
    <m/>
    <m/>
    <m/>
    <m/>
    <m/>
    <m/>
    <m/>
    <m/>
    <m/>
    <m/>
    <m/>
    <m/>
    <m/>
    <m/>
    <n v="0"/>
    <n v="0"/>
    <n v="0"/>
    <n v="0"/>
    <n v="0"/>
    <n v="0"/>
    <n v="0"/>
    <n v="0"/>
    <n v="0"/>
    <n v="0"/>
    <n v="0"/>
    <n v="0"/>
    <n v="0"/>
    <n v="0"/>
    <x v="0"/>
    <n v="0"/>
    <n v="0"/>
    <n v="0"/>
    <s v="MMR001CMP126"/>
    <x v="0"/>
    <x v="0"/>
    <x v="5"/>
    <n v="0"/>
    <s v="No"/>
    <m/>
  </r>
  <r>
    <n v="41.6"/>
    <d v="2013-11-30T00:00:00"/>
    <x v="1"/>
    <s v="UNHCR"/>
    <s v="Kachin"/>
    <s v="Momauk"/>
    <s v="Pa Kahtawng "/>
    <m/>
    <m/>
    <m/>
    <m/>
    <m/>
    <m/>
    <m/>
    <m/>
    <m/>
    <m/>
    <m/>
    <m/>
    <m/>
    <m/>
    <m/>
    <m/>
    <m/>
    <n v="0"/>
    <n v="0"/>
    <n v="0"/>
    <n v="0"/>
    <n v="0"/>
    <n v="0"/>
    <n v="0"/>
    <n v="0"/>
    <n v="0"/>
    <n v="0"/>
    <n v="0"/>
    <n v="0"/>
    <n v="0"/>
    <n v="0"/>
    <x v="0"/>
    <n v="0"/>
    <n v="0"/>
    <n v="0"/>
    <s v="MMR001CMP126"/>
    <x v="0"/>
    <x v="0"/>
    <x v="5"/>
    <n v="0"/>
    <s v="No"/>
    <m/>
  </r>
  <r>
    <n v="41.6"/>
    <d v="2013-11-30T00:00:00"/>
    <x v="2"/>
    <s v="KBC"/>
    <s v="Kachin"/>
    <s v="Waingmaw"/>
    <s v="Pajau - Jan Mai"/>
    <m/>
    <m/>
    <m/>
    <m/>
    <m/>
    <m/>
    <m/>
    <m/>
    <m/>
    <m/>
    <m/>
    <m/>
    <m/>
    <m/>
    <m/>
    <m/>
    <m/>
    <n v="0"/>
    <n v="0"/>
    <n v="0"/>
    <n v="0"/>
    <n v="0"/>
    <n v="0"/>
    <n v="0"/>
    <n v="0"/>
    <n v="0"/>
    <n v="0"/>
    <n v="0"/>
    <n v="0"/>
    <n v="0"/>
    <n v="0"/>
    <x v="0"/>
    <n v="0"/>
    <n v="0"/>
    <n v="0"/>
    <s v="MMR001CMP120"/>
    <x v="0"/>
    <x v="0"/>
    <x v="3"/>
    <n v="0"/>
    <s v="No"/>
    <m/>
  </r>
  <r>
    <n v="41.6"/>
    <d v="2013-11-30T00:00:00"/>
    <x v="11"/>
    <s v="MDCG"/>
    <s v="Kachin"/>
    <s v="Bhamo"/>
    <s v="Phan Khar Kone"/>
    <m/>
    <m/>
    <m/>
    <m/>
    <m/>
    <n v="320"/>
    <m/>
    <m/>
    <m/>
    <m/>
    <n v="234"/>
    <n v="336"/>
    <n v="0"/>
    <m/>
    <m/>
    <m/>
    <m/>
    <n v="0"/>
    <n v="0"/>
    <n v="0"/>
    <n v="0"/>
    <n v="0"/>
    <n v="0"/>
    <n v="0"/>
    <n v="0"/>
    <n v="0"/>
    <n v="0"/>
    <n v="0"/>
    <n v="0"/>
    <n v="0"/>
    <n v="0"/>
    <x v="1"/>
    <n v="0"/>
    <n v="0"/>
    <n v="0"/>
    <s v="MMR001CMP193"/>
    <x v="0"/>
    <x v="0"/>
    <x v="4"/>
    <n v="0"/>
    <s v="No"/>
    <m/>
  </r>
  <r>
    <n v="41.6"/>
    <d v="2013-11-30T00:00:00"/>
    <x v="2"/>
    <m/>
    <s v="Kachin"/>
    <s v="Bhamo"/>
    <s v="Phan Khar Kone"/>
    <m/>
    <m/>
    <m/>
    <m/>
    <m/>
    <m/>
    <m/>
    <m/>
    <m/>
    <m/>
    <m/>
    <m/>
    <m/>
    <m/>
    <m/>
    <m/>
    <m/>
    <n v="0"/>
    <n v="0"/>
    <n v="0"/>
    <n v="0"/>
    <n v="0"/>
    <n v="0"/>
    <n v="0"/>
    <n v="0"/>
    <n v="0"/>
    <n v="0"/>
    <n v="0"/>
    <n v="0"/>
    <n v="0"/>
    <n v="0"/>
    <x v="0"/>
    <n v="0"/>
    <n v="0"/>
    <n v="0"/>
    <s v="MMR001CMP193"/>
    <x v="0"/>
    <x v="0"/>
    <x v="4"/>
    <n v="0"/>
    <s v="No"/>
    <m/>
  </r>
  <r>
    <n v="41.6"/>
    <d v="2013-11-30T00:00:00"/>
    <x v="2"/>
    <s v="KBC"/>
    <s v="Kachin"/>
    <s v="Waingmaw"/>
    <s v="Post 6 Camp"/>
    <m/>
    <m/>
    <m/>
    <m/>
    <m/>
    <m/>
    <m/>
    <m/>
    <m/>
    <m/>
    <m/>
    <m/>
    <m/>
    <m/>
    <m/>
    <m/>
    <m/>
    <n v="0"/>
    <n v="0"/>
    <n v="0"/>
    <n v="0"/>
    <n v="0"/>
    <n v="0"/>
    <n v="0"/>
    <n v="0"/>
    <n v="0"/>
    <n v="0"/>
    <n v="0"/>
    <n v="0"/>
    <n v="0"/>
    <n v="0"/>
    <x v="0"/>
    <n v="0"/>
    <n v="0"/>
    <n v="0"/>
    <s v="MMR001CMP160"/>
    <x v="0"/>
    <x v="0"/>
    <x v="3"/>
    <n v="0"/>
    <s v="No"/>
    <m/>
  </r>
  <r>
    <n v="41.6"/>
    <d v="2013-11-30T00:00:00"/>
    <x v="2"/>
    <s v="KBC"/>
    <s v="Kachin"/>
    <s v="Waingmaw"/>
    <s v="Qtr. 2 Myoma Baptist Church"/>
    <m/>
    <m/>
    <m/>
    <m/>
    <m/>
    <m/>
    <m/>
    <m/>
    <m/>
    <m/>
    <m/>
    <m/>
    <m/>
    <m/>
    <m/>
    <m/>
    <m/>
    <n v="0"/>
    <n v="0"/>
    <n v="0"/>
    <n v="0"/>
    <n v="0"/>
    <n v="0"/>
    <n v="0"/>
    <n v="0"/>
    <n v="0"/>
    <n v="0"/>
    <n v="0"/>
    <n v="0"/>
    <n v="0"/>
    <n v="0"/>
    <x v="0"/>
    <n v="0"/>
    <n v="0"/>
    <n v="0"/>
    <s v="MMR001CMP025"/>
    <x v="0"/>
    <x v="0"/>
    <x v="4"/>
    <n v="0"/>
    <s v="No"/>
    <m/>
  </r>
  <r>
    <n v="41.6"/>
    <d v="2013-11-30T00:00:00"/>
    <x v="2"/>
    <s v="KBC"/>
    <s v="Kachin"/>
    <s v="Waingmaw"/>
    <s v="Qtr. 3 Mu-yin  Baptist Church"/>
    <m/>
    <m/>
    <m/>
    <m/>
    <m/>
    <m/>
    <m/>
    <m/>
    <m/>
    <m/>
    <m/>
    <m/>
    <m/>
    <m/>
    <m/>
    <m/>
    <m/>
    <n v="0"/>
    <n v="0"/>
    <n v="0"/>
    <n v="0"/>
    <n v="0"/>
    <n v="0"/>
    <n v="0"/>
    <n v="0"/>
    <n v="0"/>
    <n v="0"/>
    <n v="0"/>
    <n v="0"/>
    <n v="0"/>
    <n v="0"/>
    <x v="0"/>
    <n v="0"/>
    <n v="0"/>
    <n v="0"/>
    <s v="MMR001CMP030"/>
    <x v="0"/>
    <x v="0"/>
    <x v="4"/>
    <n v="0"/>
    <s v="No"/>
    <m/>
  </r>
  <r>
    <n v="41.6"/>
    <d v="2013-11-30T00:00:00"/>
    <x v="2"/>
    <s v="KBC"/>
    <s v="Kachin"/>
    <s v="Waingmaw"/>
    <s v="Qtr. 4 Monestry (Thargaya Thayett Taw)"/>
    <m/>
    <m/>
    <m/>
    <m/>
    <m/>
    <m/>
    <m/>
    <m/>
    <m/>
    <m/>
    <m/>
    <m/>
    <m/>
    <m/>
    <m/>
    <m/>
    <m/>
    <n v="0"/>
    <n v="0"/>
    <n v="0"/>
    <n v="0"/>
    <n v="0"/>
    <n v="0"/>
    <n v="0"/>
    <n v="0"/>
    <n v="0"/>
    <n v="0"/>
    <n v="0"/>
    <n v="0"/>
    <n v="0"/>
    <n v="0"/>
    <x v="0"/>
    <n v="0"/>
    <n v="0"/>
    <n v="0"/>
    <s v="MMR001CMP026"/>
    <x v="0"/>
    <x v="0"/>
    <x v="4"/>
    <n v="0"/>
    <s v="No"/>
    <m/>
  </r>
  <r>
    <n v="41.6"/>
    <d v="2013-11-30T00:00:00"/>
    <x v="2"/>
    <m/>
    <s v="Kachin"/>
    <s v="Bhamo"/>
    <s v="Robert Church"/>
    <m/>
    <m/>
    <m/>
    <m/>
    <m/>
    <m/>
    <m/>
    <m/>
    <m/>
    <n v="1164"/>
    <m/>
    <m/>
    <m/>
    <m/>
    <m/>
    <m/>
    <m/>
    <n v="0"/>
    <n v="0"/>
    <n v="0"/>
    <n v="0"/>
    <n v="0"/>
    <n v="0"/>
    <n v="0"/>
    <n v="0"/>
    <n v="0"/>
    <n v="0"/>
    <n v="0"/>
    <n v="0"/>
    <n v="0"/>
    <n v="0"/>
    <x v="0"/>
    <n v="0"/>
    <n v="0"/>
    <n v="0"/>
    <s v="MMR001CMP047"/>
    <x v="0"/>
    <x v="0"/>
    <x v="4"/>
    <n v="0"/>
    <s v="No"/>
    <m/>
  </r>
  <r>
    <n v="41.6"/>
    <d v="2013-11-30T00:00:00"/>
    <x v="1"/>
    <s v="UNHCR"/>
    <s v="Kachin"/>
    <s v="Bhamo"/>
    <s v="Robert Church"/>
    <m/>
    <m/>
    <m/>
    <n v="75"/>
    <n v="36"/>
    <n v="75"/>
    <n v="36"/>
    <n v="36"/>
    <m/>
    <m/>
    <m/>
    <m/>
    <m/>
    <m/>
    <m/>
    <m/>
    <m/>
    <n v="0"/>
    <n v="0"/>
    <n v="0"/>
    <n v="0"/>
    <n v="0"/>
    <n v="0"/>
    <n v="0"/>
    <n v="0"/>
    <n v="0"/>
    <n v="0"/>
    <n v="0"/>
    <n v="0"/>
    <n v="0"/>
    <n v="0"/>
    <x v="0"/>
    <n v="0"/>
    <n v="0"/>
    <n v="0"/>
    <s v="MMR001CMP047"/>
    <x v="0"/>
    <x v="0"/>
    <x v="4"/>
    <n v="8.8397790055248619E-4"/>
    <s v="No"/>
    <m/>
  </r>
  <r>
    <n v="41.6"/>
    <d v="2013-11-30T00:00:00"/>
    <x v="2"/>
    <m/>
    <s v="Kachin"/>
    <s v="Momauk"/>
    <s v="Seng Ja "/>
    <m/>
    <m/>
    <m/>
    <m/>
    <m/>
    <m/>
    <m/>
    <m/>
    <m/>
    <n v="99"/>
    <m/>
    <m/>
    <m/>
    <m/>
    <m/>
    <m/>
    <m/>
    <n v="0"/>
    <n v="0"/>
    <n v="0"/>
    <n v="0"/>
    <n v="0"/>
    <n v="0"/>
    <n v="0"/>
    <n v="0"/>
    <n v="0"/>
    <n v="0"/>
    <n v="0"/>
    <n v="0"/>
    <n v="0"/>
    <n v="0"/>
    <x v="0"/>
    <n v="0"/>
    <n v="0"/>
    <n v="0"/>
    <s v="MMR001CMP073"/>
    <x v="0"/>
    <x v="0"/>
    <x v="0"/>
    <n v="0"/>
    <s v="No"/>
    <m/>
  </r>
  <r>
    <n v="41.6"/>
    <d v="2013-11-30T00:00:00"/>
    <x v="2"/>
    <s v="KBC"/>
    <s v="Kachin"/>
    <s v="Waingmaw"/>
    <s v="Shing Jai"/>
    <m/>
    <m/>
    <m/>
    <m/>
    <m/>
    <m/>
    <m/>
    <m/>
    <m/>
    <m/>
    <m/>
    <m/>
    <m/>
    <m/>
    <m/>
    <m/>
    <m/>
    <n v="0"/>
    <n v="0"/>
    <n v="0"/>
    <n v="0"/>
    <n v="0"/>
    <n v="0"/>
    <n v="0"/>
    <n v="0"/>
    <n v="0"/>
    <n v="0"/>
    <n v="0"/>
    <n v="0"/>
    <n v="0"/>
    <n v="0"/>
    <x v="0"/>
    <n v="0"/>
    <n v="0"/>
    <n v="0"/>
    <s v="MMR001CMP041"/>
    <x v="0"/>
    <x v="0"/>
    <x v="3"/>
    <n v="0"/>
    <s v="No"/>
    <m/>
  </r>
  <r>
    <n v="41.6"/>
    <d v="2013-11-30T00:00:00"/>
    <x v="11"/>
    <s v="MDCG"/>
    <s v="Kachin"/>
    <s v="Shwegu"/>
    <s v="Shwe Gu Baptist Church"/>
    <m/>
    <m/>
    <m/>
    <m/>
    <m/>
    <n v="197"/>
    <m/>
    <m/>
    <m/>
    <m/>
    <n v="226"/>
    <n v="68"/>
    <n v="0"/>
    <m/>
    <m/>
    <m/>
    <m/>
    <n v="0"/>
    <n v="0"/>
    <n v="0"/>
    <n v="0"/>
    <n v="0"/>
    <n v="0"/>
    <n v="0"/>
    <n v="0"/>
    <n v="0"/>
    <n v="0"/>
    <n v="0"/>
    <n v="0"/>
    <n v="0"/>
    <n v="0"/>
    <x v="1"/>
    <n v="0"/>
    <n v="0"/>
    <n v="0"/>
    <s v="MMR001CMP067"/>
    <x v="0"/>
    <x v="0"/>
    <x v="4"/>
    <n v="0"/>
    <s v="No"/>
    <m/>
  </r>
  <r>
    <n v="41.6"/>
    <d v="2013-11-30T00:00:00"/>
    <x v="2"/>
    <m/>
    <s v="Kachin"/>
    <s v="Shwegu"/>
    <s v="Shwe Gu Baptist Church"/>
    <m/>
    <m/>
    <m/>
    <m/>
    <m/>
    <m/>
    <m/>
    <m/>
    <m/>
    <n v="204"/>
    <m/>
    <m/>
    <m/>
    <m/>
    <m/>
    <m/>
    <m/>
    <n v="0"/>
    <n v="0"/>
    <n v="0"/>
    <n v="0"/>
    <n v="0"/>
    <n v="0"/>
    <n v="0"/>
    <n v="0"/>
    <n v="0"/>
    <n v="0"/>
    <n v="0"/>
    <n v="0"/>
    <n v="0"/>
    <n v="0"/>
    <x v="0"/>
    <n v="0"/>
    <n v="0"/>
    <n v="0"/>
    <s v="MMR001CMP067"/>
    <x v="0"/>
    <x v="0"/>
    <x v="4"/>
    <n v="0"/>
    <s v="No"/>
    <m/>
  </r>
  <r>
    <n v="41.6"/>
    <d v="2013-11-30T00:00:00"/>
    <x v="11"/>
    <s v="MDCG"/>
    <s v="Kachin"/>
    <s v="Shwegu"/>
    <s v="Shwe Gu Catholic Church"/>
    <m/>
    <m/>
    <m/>
    <m/>
    <m/>
    <n v="142"/>
    <m/>
    <m/>
    <m/>
    <m/>
    <n v="182"/>
    <n v="60"/>
    <n v="0"/>
    <m/>
    <m/>
    <m/>
    <m/>
    <n v="0"/>
    <n v="0"/>
    <n v="0"/>
    <n v="0"/>
    <n v="0"/>
    <n v="0"/>
    <n v="0"/>
    <n v="0"/>
    <n v="0"/>
    <n v="0"/>
    <n v="0"/>
    <n v="0"/>
    <n v="0"/>
    <n v="0"/>
    <x v="1"/>
    <n v="0"/>
    <n v="0"/>
    <n v="0"/>
    <s v="MMR001CMP068"/>
    <x v="0"/>
    <x v="0"/>
    <x v="4"/>
    <n v="0"/>
    <s v="No"/>
    <m/>
  </r>
  <r>
    <n v="41.6"/>
    <d v="2013-11-30T00:00:00"/>
    <x v="2"/>
    <m/>
    <s v="Kachin"/>
    <s v="Shwegu"/>
    <s v="Shwe Gu Catholic Church"/>
    <m/>
    <m/>
    <m/>
    <m/>
    <m/>
    <m/>
    <m/>
    <m/>
    <m/>
    <n v="126"/>
    <m/>
    <m/>
    <m/>
    <m/>
    <m/>
    <m/>
    <m/>
    <n v="0"/>
    <n v="0"/>
    <n v="0"/>
    <n v="0"/>
    <n v="0"/>
    <n v="0"/>
    <n v="0"/>
    <n v="0"/>
    <n v="0"/>
    <n v="0"/>
    <n v="0"/>
    <n v="0"/>
    <n v="0"/>
    <n v="0"/>
    <x v="0"/>
    <n v="0"/>
    <n v="0"/>
    <n v="0"/>
    <s v="MMR001CMP068"/>
    <x v="0"/>
    <x v="0"/>
    <x v="4"/>
    <n v="0"/>
    <s v="No"/>
    <m/>
  </r>
  <r>
    <n v="41.6"/>
    <d v="2013-11-30T00:00:00"/>
    <x v="11"/>
    <s v="MDCG"/>
    <s v="Kachin"/>
    <s v="Bhamo"/>
    <s v="Ta Gun Taing Monastery (Shwe Kyi Na)"/>
    <m/>
    <m/>
    <m/>
    <m/>
    <m/>
    <n v="135"/>
    <m/>
    <m/>
    <m/>
    <m/>
    <n v="68"/>
    <n v="61"/>
    <n v="0"/>
    <m/>
    <m/>
    <m/>
    <m/>
    <n v="0"/>
    <n v="0"/>
    <n v="0"/>
    <n v="0"/>
    <n v="0"/>
    <n v="0"/>
    <n v="0"/>
    <n v="0"/>
    <n v="0"/>
    <n v="0"/>
    <n v="0"/>
    <n v="0"/>
    <n v="0"/>
    <n v="0"/>
    <x v="1"/>
    <n v="0"/>
    <n v="0"/>
    <n v="0"/>
    <s v="MMR001CMP055"/>
    <x v="0"/>
    <x v="0"/>
    <x v="4"/>
    <n v="0"/>
    <s v="No"/>
    <m/>
  </r>
  <r>
    <n v="41.6"/>
    <d v="2013-11-30T00:00:00"/>
    <x v="2"/>
    <m/>
    <s v="Kachin"/>
    <s v="Bhamo"/>
    <s v="Ta Gun Taing Monastery (Shwe Kyi Na)"/>
    <m/>
    <m/>
    <m/>
    <m/>
    <m/>
    <m/>
    <m/>
    <m/>
    <m/>
    <m/>
    <m/>
    <m/>
    <m/>
    <m/>
    <m/>
    <m/>
    <m/>
    <n v="0"/>
    <n v="0"/>
    <n v="0"/>
    <n v="0"/>
    <n v="0"/>
    <n v="0"/>
    <n v="0"/>
    <n v="0"/>
    <n v="0"/>
    <n v="0"/>
    <n v="0"/>
    <n v="0"/>
    <n v="0"/>
    <n v="0"/>
    <x v="0"/>
    <n v="0"/>
    <n v="0"/>
    <n v="0"/>
    <s v="MMR001CMP055"/>
    <x v="0"/>
    <x v="0"/>
    <x v="4"/>
    <n v="0"/>
    <s v="No"/>
    <m/>
  </r>
  <r>
    <n v="41.6"/>
    <d v="2013-11-30T00:00:00"/>
    <x v="2"/>
    <s v="KBC"/>
    <s v="Kachin"/>
    <s v="Waingmaw"/>
    <s v="Thargaya Lisu Baptist Church"/>
    <m/>
    <m/>
    <m/>
    <m/>
    <m/>
    <m/>
    <m/>
    <m/>
    <m/>
    <m/>
    <m/>
    <m/>
    <m/>
    <m/>
    <m/>
    <m/>
    <m/>
    <n v="0"/>
    <n v="0"/>
    <n v="0"/>
    <n v="0"/>
    <n v="0"/>
    <n v="0"/>
    <n v="0"/>
    <n v="0"/>
    <n v="0"/>
    <n v="0"/>
    <n v="0"/>
    <n v="0"/>
    <n v="0"/>
    <n v="0"/>
    <x v="0"/>
    <n v="0"/>
    <n v="0"/>
    <n v="0"/>
    <s v="MMR001CMP037"/>
    <x v="0"/>
    <x v="0"/>
    <x v="4"/>
    <n v="0"/>
    <s v="No"/>
    <m/>
  </r>
  <r>
    <n v="41.6"/>
    <d v="2013-11-30T00:00:00"/>
    <x v="2"/>
    <s v="KBC"/>
    <s v="Kachin"/>
    <s v="Waingmaw"/>
    <s v="Waingmaw AG Church"/>
    <m/>
    <m/>
    <m/>
    <m/>
    <m/>
    <m/>
    <m/>
    <m/>
    <m/>
    <m/>
    <m/>
    <m/>
    <m/>
    <m/>
    <m/>
    <m/>
    <m/>
    <n v="0"/>
    <n v="0"/>
    <n v="0"/>
    <n v="0"/>
    <n v="0"/>
    <n v="0"/>
    <n v="0"/>
    <n v="0"/>
    <n v="0"/>
    <n v="0"/>
    <n v="0"/>
    <n v="0"/>
    <n v="0"/>
    <n v="0"/>
    <x v="0"/>
    <n v="0"/>
    <n v="0"/>
    <n v="0"/>
    <s v="MMR001CMP038"/>
    <x v="0"/>
    <x v="0"/>
    <x v="4"/>
    <n v="0"/>
    <s v="No"/>
    <m/>
  </r>
  <r>
    <n v="41.6"/>
    <d v="2013-11-30T00:00:00"/>
    <x v="2"/>
    <s v="KBC"/>
    <s v="Kachin"/>
    <s v="Waingmaw"/>
    <s v="Woi Chyai "/>
    <m/>
    <m/>
    <m/>
    <m/>
    <m/>
    <m/>
    <m/>
    <m/>
    <m/>
    <n v="1851"/>
    <m/>
    <m/>
    <m/>
    <m/>
    <m/>
    <m/>
    <m/>
    <n v="0"/>
    <n v="0"/>
    <n v="0"/>
    <n v="0"/>
    <n v="0"/>
    <n v="0"/>
    <n v="0"/>
    <n v="0"/>
    <n v="0"/>
    <n v="0"/>
    <n v="0"/>
    <n v="0"/>
    <n v="0"/>
    <n v="0"/>
    <x v="0"/>
    <n v="0"/>
    <n v="0"/>
    <n v="0"/>
    <s v="MMR001CMP116"/>
    <x v="0"/>
    <x v="0"/>
    <x v="4"/>
    <n v="0"/>
    <s v="No"/>
    <m/>
  </r>
  <r>
    <n v="41.6"/>
    <d v="2013-11-30T00:00:00"/>
    <x v="11"/>
    <s v="MDCG"/>
    <s v="Kachin"/>
    <s v="Bhamo"/>
    <s v="Yoe Kyi Monastery"/>
    <m/>
    <m/>
    <m/>
    <m/>
    <m/>
    <n v="64"/>
    <m/>
    <m/>
    <m/>
    <m/>
    <n v="58"/>
    <n v="52"/>
    <n v="0"/>
    <m/>
    <m/>
    <m/>
    <m/>
    <n v="0"/>
    <n v="0"/>
    <n v="0"/>
    <n v="0"/>
    <n v="0"/>
    <n v="0"/>
    <n v="0"/>
    <n v="0"/>
    <n v="0"/>
    <n v="0"/>
    <n v="0"/>
    <n v="0"/>
    <n v="0"/>
    <n v="0"/>
    <x v="1"/>
    <n v="0"/>
    <n v="0"/>
    <n v="0"/>
    <s v="MMR001CMP053"/>
    <x v="0"/>
    <x v="0"/>
    <x v="4"/>
    <n v="0"/>
    <s v="No"/>
    <m/>
  </r>
  <r>
    <n v="41.6"/>
    <d v="2013-11-30T00:00:00"/>
    <x v="2"/>
    <m/>
    <s v="Kachin"/>
    <s v="Bhamo"/>
    <s v="Yoe Kyi Monastery"/>
    <m/>
    <m/>
    <m/>
    <m/>
    <m/>
    <m/>
    <m/>
    <m/>
    <m/>
    <n v="99"/>
    <m/>
    <m/>
    <m/>
    <m/>
    <m/>
    <m/>
    <m/>
    <n v="0"/>
    <n v="0"/>
    <n v="0"/>
    <n v="0"/>
    <n v="0"/>
    <n v="0"/>
    <n v="0"/>
    <n v="0"/>
    <n v="0"/>
    <n v="0"/>
    <n v="0"/>
    <n v="0"/>
    <n v="0"/>
    <n v="0"/>
    <x v="0"/>
    <n v="0"/>
    <n v="0"/>
    <n v="0"/>
    <s v="MMR001CMP053"/>
    <x v="0"/>
    <x v="0"/>
    <x v="4"/>
    <n v="0"/>
    <s v="No"/>
    <m/>
  </r>
  <r>
    <n v="41.6"/>
    <d v="2013-11-30T00:00:00"/>
    <x v="2"/>
    <s v="KBC"/>
    <s v="Kachin"/>
    <s v="Waingmaw"/>
    <s v="Zai Awng - Mung Ga Zup"/>
    <m/>
    <m/>
    <m/>
    <m/>
    <m/>
    <m/>
    <m/>
    <m/>
    <m/>
    <m/>
    <m/>
    <m/>
    <m/>
    <m/>
    <m/>
    <m/>
    <m/>
    <n v="0"/>
    <n v="0"/>
    <n v="0"/>
    <n v="0"/>
    <n v="0"/>
    <n v="0"/>
    <n v="0"/>
    <n v="0"/>
    <n v="0"/>
    <n v="0"/>
    <n v="0"/>
    <n v="0"/>
    <n v="0"/>
    <n v="0"/>
    <x v="0"/>
    <n v="0"/>
    <n v="0"/>
    <n v="0"/>
    <s v="MMR001CMP111"/>
    <x v="0"/>
    <x v="2"/>
    <x v="5"/>
    <n v="0"/>
    <s v="No"/>
    <m/>
  </r>
  <r>
    <n v="41.633333333333333"/>
    <d v="2013-11-29T00:00:00"/>
    <x v="2"/>
    <s v="KBC"/>
    <s v="Kachin"/>
    <s v="Waingmaw"/>
    <s v="Hkau Shau (BP 12)"/>
    <m/>
    <m/>
    <m/>
    <m/>
    <m/>
    <m/>
    <m/>
    <m/>
    <m/>
    <m/>
    <n v="177"/>
    <n v="354"/>
    <n v="1062"/>
    <n v="531"/>
    <m/>
    <m/>
    <m/>
    <n v="0"/>
    <n v="0"/>
    <n v="0"/>
    <n v="0"/>
    <n v="0"/>
    <n v="0"/>
    <n v="0"/>
    <n v="0"/>
    <n v="0"/>
    <n v="0"/>
    <n v="0"/>
    <n v="0"/>
    <n v="0"/>
    <n v="0"/>
    <x v="1"/>
    <n v="0"/>
    <n v="0"/>
    <n v="0"/>
    <s v="MMR001CMP115"/>
    <x v="0"/>
    <x v="0"/>
    <x v="3"/>
    <n v="0"/>
    <m/>
    <m/>
  </r>
  <r>
    <n v="41.666666666666664"/>
    <d v="2013-11-28T00:00:00"/>
    <x v="1"/>
    <s v="UNHCR"/>
    <s v="Kachin"/>
    <s v="Mansi"/>
    <s v="Mansi Baptist Church"/>
    <m/>
    <m/>
    <m/>
    <n v="20"/>
    <n v="7"/>
    <n v="22"/>
    <n v="7"/>
    <n v="7"/>
    <m/>
    <m/>
    <m/>
    <m/>
    <m/>
    <m/>
    <m/>
    <m/>
    <m/>
    <n v="0"/>
    <n v="0"/>
    <n v="0"/>
    <n v="0"/>
    <n v="0"/>
    <n v="0"/>
    <n v="0"/>
    <n v="0"/>
    <n v="0"/>
    <n v="0"/>
    <n v="0"/>
    <n v="0"/>
    <n v="0"/>
    <n v="0"/>
    <x v="0"/>
    <n v="0"/>
    <n v="0"/>
    <n v="0"/>
    <s v="MMR001CMP066"/>
    <x v="0"/>
    <x v="0"/>
    <x v="4"/>
    <n v="1.6835421727314268E-4"/>
    <s v="No"/>
    <m/>
  </r>
  <r>
    <n v="41.666666666666664"/>
    <d v="2013-11-28T00:00:00"/>
    <x v="2"/>
    <s v="KBC"/>
    <s v="Kachin"/>
    <s v="Waingmaw"/>
    <s v="Zai Awng - Mung Ga Zup"/>
    <m/>
    <m/>
    <m/>
    <m/>
    <m/>
    <m/>
    <m/>
    <m/>
    <m/>
    <m/>
    <n v="636"/>
    <n v="1272"/>
    <n v="3816"/>
    <n v="1908"/>
    <m/>
    <m/>
    <m/>
    <n v="0"/>
    <n v="0"/>
    <n v="0"/>
    <n v="0"/>
    <n v="0"/>
    <n v="0"/>
    <n v="0"/>
    <n v="0"/>
    <n v="0"/>
    <n v="0"/>
    <n v="0"/>
    <n v="0"/>
    <n v="0"/>
    <n v="0"/>
    <x v="1"/>
    <n v="0"/>
    <n v="0"/>
    <n v="0"/>
    <s v="MMR001CMP111"/>
    <x v="0"/>
    <x v="2"/>
    <x v="5"/>
    <n v="0"/>
    <m/>
    <m/>
  </r>
  <r>
    <n v="41.733333333333334"/>
    <d v="2013-11-26T00:00:00"/>
    <x v="1"/>
    <s v="UNHCR"/>
    <s v="Kachin"/>
    <s v="Bhamo"/>
    <s v="Aung Thar Church"/>
    <m/>
    <m/>
    <m/>
    <n v="11"/>
    <n v="5"/>
    <n v="11"/>
    <n v="5"/>
    <n v="5"/>
    <m/>
    <m/>
    <m/>
    <m/>
    <m/>
    <m/>
    <m/>
    <m/>
    <m/>
    <n v="0"/>
    <n v="0"/>
    <n v="0"/>
    <n v="0"/>
    <n v="0"/>
    <n v="0"/>
    <n v="0"/>
    <n v="0"/>
    <n v="0"/>
    <n v="0"/>
    <n v="0"/>
    <n v="0"/>
    <n v="0"/>
    <n v="0"/>
    <x v="0"/>
    <n v="0"/>
    <n v="0"/>
    <n v="0"/>
    <s v="MMR001CMP194"/>
    <x v="0"/>
    <x v="0"/>
    <x v="4"/>
    <n v="1.2258807953514599E-4"/>
    <s v="No"/>
    <m/>
  </r>
  <r>
    <n v="41.733333333333334"/>
    <d v="2013-11-26T00:00:00"/>
    <x v="1"/>
    <s v="UNHCR"/>
    <s v="Kachin"/>
    <s v="Bhamo"/>
    <s v="Host Families"/>
    <m/>
    <m/>
    <m/>
    <n v="25"/>
    <n v="13"/>
    <n v="25"/>
    <n v="13"/>
    <n v="13"/>
    <m/>
    <m/>
    <m/>
    <m/>
    <m/>
    <m/>
    <m/>
    <m/>
    <m/>
    <n v="0"/>
    <n v="0"/>
    <n v="0"/>
    <n v="0"/>
    <n v="0"/>
    <n v="0"/>
    <n v="0"/>
    <n v="0"/>
    <n v="0"/>
    <n v="0"/>
    <n v="0"/>
    <n v="0"/>
    <n v="0"/>
    <n v="0"/>
    <x v="0"/>
    <n v="0"/>
    <n v="0"/>
    <n v="0"/>
    <s v="MMR001CMP163"/>
    <x v="0"/>
    <x v="0"/>
    <x v="4"/>
    <s v=""/>
    <s v="No"/>
    <m/>
  </r>
  <r>
    <n v="41.733333333333334"/>
    <d v="2013-11-26T00:00:00"/>
    <x v="1"/>
    <s v="UNHCR"/>
    <s v="Kachin"/>
    <s v="Bhamo"/>
    <s v="Lisu Boarding-House"/>
    <m/>
    <m/>
    <m/>
    <n v="31"/>
    <n v="13"/>
    <n v="31"/>
    <n v="13"/>
    <n v="13"/>
    <m/>
    <m/>
    <m/>
    <m/>
    <m/>
    <m/>
    <m/>
    <m/>
    <m/>
    <n v="0"/>
    <n v="0"/>
    <n v="0"/>
    <n v="0"/>
    <n v="0"/>
    <n v="0"/>
    <n v="0"/>
    <n v="0"/>
    <n v="0"/>
    <n v="0"/>
    <n v="0"/>
    <n v="0"/>
    <n v="0"/>
    <n v="0"/>
    <x v="0"/>
    <n v="0"/>
    <n v="0"/>
    <n v="0"/>
    <s v="MMR001CMP049"/>
    <x v="0"/>
    <x v="0"/>
    <x v="4"/>
    <n v="3.1944956382848013E-4"/>
    <s v="No"/>
    <m/>
  </r>
  <r>
    <n v="41.733333333333334"/>
    <d v="2013-11-26T00:00:00"/>
    <x v="1"/>
    <s v="UNHCR"/>
    <s v="Kachin"/>
    <s v="Bhamo"/>
    <s v="Mu-yin Baptist Church"/>
    <m/>
    <m/>
    <m/>
    <n v="22"/>
    <n v="11"/>
    <n v="22"/>
    <n v="11"/>
    <n v="11"/>
    <m/>
    <m/>
    <m/>
    <m/>
    <m/>
    <m/>
    <m/>
    <m/>
    <m/>
    <n v="0"/>
    <n v="0"/>
    <n v="0"/>
    <n v="0"/>
    <n v="0"/>
    <n v="0"/>
    <n v="0"/>
    <n v="0"/>
    <n v="0"/>
    <n v="0"/>
    <n v="0"/>
    <n v="0"/>
    <n v="0"/>
    <n v="0"/>
    <x v="0"/>
    <n v="0"/>
    <n v="0"/>
    <n v="0"/>
    <s v="MMR001CMP051"/>
    <x v="0"/>
    <x v="0"/>
    <x v="4"/>
    <n v="2.6710050263458222E-4"/>
    <s v="No"/>
    <m/>
  </r>
  <r>
    <n v="41.733333333333334"/>
    <d v="2013-11-26T00:00:00"/>
    <x v="2"/>
    <s v="KBC"/>
    <s v="Kachin"/>
    <s v="Waingmaw"/>
    <s v="Pajau - Jan Mai"/>
    <m/>
    <m/>
    <m/>
    <m/>
    <m/>
    <m/>
    <m/>
    <m/>
    <m/>
    <m/>
    <n v="98"/>
    <n v="196"/>
    <n v="588"/>
    <n v="294"/>
    <m/>
    <m/>
    <m/>
    <n v="0"/>
    <n v="0"/>
    <n v="0"/>
    <n v="0"/>
    <n v="0"/>
    <n v="0"/>
    <n v="0"/>
    <n v="0"/>
    <n v="0"/>
    <n v="0"/>
    <n v="0"/>
    <n v="0"/>
    <n v="0"/>
    <n v="0"/>
    <x v="1"/>
    <n v="0"/>
    <n v="0"/>
    <n v="0"/>
    <s v="MMR001CMP120"/>
    <x v="0"/>
    <x v="0"/>
    <x v="3"/>
    <n v="0"/>
    <m/>
    <m/>
  </r>
  <r>
    <n v="41.733333333333334"/>
    <d v="2013-11-26T00:00:00"/>
    <x v="2"/>
    <s v="Solidarities"/>
    <s v="Kachin"/>
    <s v="Mansi"/>
    <s v="Lagatyan "/>
    <m/>
    <m/>
    <m/>
    <m/>
    <m/>
    <m/>
    <m/>
    <m/>
    <m/>
    <m/>
    <n v="80"/>
    <n v="160"/>
    <n v="480"/>
    <n v="240"/>
    <m/>
    <m/>
    <m/>
    <n v="0"/>
    <n v="0"/>
    <n v="0"/>
    <n v="0"/>
    <n v="0"/>
    <n v="0"/>
    <n v="0"/>
    <n v="0"/>
    <n v="0"/>
    <n v="0"/>
    <n v="0"/>
    <n v="0"/>
    <n v="0"/>
    <n v="0"/>
    <x v="1"/>
    <n v="0"/>
    <n v="0"/>
    <n v="0"/>
    <s v="MMR001CMP202"/>
    <x v="0"/>
    <x v="2"/>
    <x v="4"/>
    <n v="0"/>
    <m/>
    <m/>
  </r>
  <r>
    <n v="41.766666666666666"/>
    <d v="2013-11-25T00:00:00"/>
    <x v="2"/>
    <s v="Solidarities"/>
    <s v="Kachin"/>
    <s v="Mansi"/>
    <s v="Man Wing Baptist Church"/>
    <m/>
    <m/>
    <m/>
    <m/>
    <m/>
    <m/>
    <m/>
    <m/>
    <m/>
    <m/>
    <m/>
    <m/>
    <m/>
    <m/>
    <m/>
    <m/>
    <m/>
    <n v="0"/>
    <n v="0"/>
    <n v="0"/>
    <n v="0"/>
    <n v="0"/>
    <n v="0"/>
    <n v="0"/>
    <n v="0"/>
    <n v="0"/>
    <n v="0"/>
    <n v="0"/>
    <n v="0"/>
    <n v="0"/>
    <n v="0"/>
    <x v="0"/>
    <n v="0"/>
    <n v="0"/>
    <n v="0"/>
    <s v="MMR001CMP133"/>
    <x v="0"/>
    <x v="0"/>
    <x v="4"/>
    <n v="0"/>
    <m/>
    <m/>
  </r>
  <r>
    <n v="41.766666666666666"/>
    <d v="2013-11-25T00:00:00"/>
    <x v="2"/>
    <s v="Solidarities"/>
    <s v="Kachin"/>
    <s v="Mansi"/>
    <s v="Man Wing Baptist Church"/>
    <m/>
    <m/>
    <m/>
    <m/>
    <m/>
    <m/>
    <m/>
    <m/>
    <m/>
    <m/>
    <n v="19"/>
    <n v="38"/>
    <n v="114"/>
    <n v="57"/>
    <m/>
    <m/>
    <m/>
    <n v="0"/>
    <n v="0"/>
    <n v="0"/>
    <n v="0"/>
    <n v="0"/>
    <n v="0"/>
    <n v="0"/>
    <n v="0"/>
    <n v="0"/>
    <n v="0"/>
    <n v="0"/>
    <n v="0"/>
    <n v="0"/>
    <n v="0"/>
    <x v="1"/>
    <n v="0"/>
    <n v="0"/>
    <n v="0"/>
    <s v="MMR001CMP133"/>
    <x v="0"/>
    <x v="0"/>
    <x v="4"/>
    <n v="0"/>
    <m/>
    <m/>
  </r>
  <r>
    <n v="41.766666666666666"/>
    <d v="2013-11-25T00:00:00"/>
    <x v="2"/>
    <s v="Solidarities"/>
    <s v="Kachin"/>
    <s v="Mansi"/>
    <s v="Man Wing Catholic Church"/>
    <m/>
    <m/>
    <m/>
    <m/>
    <m/>
    <m/>
    <m/>
    <m/>
    <m/>
    <m/>
    <n v="60"/>
    <n v="120"/>
    <n v="360"/>
    <n v="180"/>
    <m/>
    <m/>
    <m/>
    <n v="0"/>
    <n v="0"/>
    <n v="0"/>
    <n v="0"/>
    <n v="0"/>
    <n v="0"/>
    <n v="0"/>
    <n v="0"/>
    <n v="0"/>
    <n v="0"/>
    <n v="0"/>
    <n v="0"/>
    <n v="0"/>
    <n v="0"/>
    <x v="1"/>
    <n v="0"/>
    <n v="0"/>
    <n v="0"/>
    <s v="MMR001CMP132"/>
    <x v="0"/>
    <x v="0"/>
    <x v="4"/>
    <n v="0"/>
    <m/>
    <m/>
  </r>
  <r>
    <n v="41.8"/>
    <d v="2013-11-24T00:00:00"/>
    <x v="2"/>
    <s v="Solidarities"/>
    <s v="Kachin"/>
    <s v="Shwegu"/>
    <s v="Lawk Awng Mare D. (Sinbo Area)"/>
    <m/>
    <m/>
    <m/>
    <m/>
    <m/>
    <m/>
    <m/>
    <m/>
    <m/>
    <m/>
    <n v="45"/>
    <n v="90"/>
    <n v="270"/>
    <n v="135"/>
    <m/>
    <m/>
    <m/>
    <n v="0"/>
    <n v="0"/>
    <n v="0"/>
    <n v="0"/>
    <n v="0"/>
    <n v="0"/>
    <n v="0"/>
    <n v="0"/>
    <n v="0"/>
    <n v="0"/>
    <n v="0"/>
    <n v="0"/>
    <n v="0"/>
    <n v="0"/>
    <x v="1"/>
    <n v="0"/>
    <n v="0"/>
    <n v="0"/>
    <s v="MMR001CMP147"/>
    <x v="1"/>
    <x v="0"/>
    <x v="4"/>
    <n v="0"/>
    <m/>
    <m/>
  </r>
  <r>
    <n v="41.8"/>
    <d v="2013-11-24T00:00:00"/>
    <x v="2"/>
    <s v="Solidarities"/>
    <s v="Kachin"/>
    <s v="Mansi"/>
    <s v="Ban Hkung (School)"/>
    <m/>
    <m/>
    <m/>
    <m/>
    <m/>
    <m/>
    <m/>
    <m/>
    <m/>
    <m/>
    <n v="24"/>
    <n v="48"/>
    <n v="144"/>
    <n v="72"/>
    <m/>
    <m/>
    <m/>
    <n v="0"/>
    <n v="0"/>
    <n v="0"/>
    <n v="0"/>
    <n v="0"/>
    <n v="0"/>
    <n v="0"/>
    <n v="0"/>
    <n v="0"/>
    <n v="0"/>
    <n v="0"/>
    <n v="0"/>
    <n v="0"/>
    <n v="0"/>
    <x v="1"/>
    <n v="0"/>
    <n v="0"/>
    <n v="0"/>
    <s v="MMR001CMP215"/>
    <x v="0"/>
    <x v="2"/>
    <x v="2"/>
    <s v=""/>
    <m/>
    <m/>
  </r>
  <r>
    <n v="41.8"/>
    <d v="2013-11-24T00:00:00"/>
    <x v="2"/>
    <s v="Solidarities"/>
    <s v="Kachin"/>
    <s v="Mansi"/>
    <s v="Ban Hkung Yang (Boarding School)"/>
    <m/>
    <m/>
    <m/>
    <m/>
    <m/>
    <m/>
    <m/>
    <m/>
    <m/>
    <m/>
    <n v="135"/>
    <n v="270"/>
    <n v="810"/>
    <n v="405"/>
    <m/>
    <m/>
    <m/>
    <n v="0"/>
    <n v="0"/>
    <n v="0"/>
    <n v="0"/>
    <n v="0"/>
    <n v="0"/>
    <n v="0"/>
    <n v="0"/>
    <n v="0"/>
    <n v="0"/>
    <n v="0"/>
    <n v="0"/>
    <n v="0"/>
    <n v="0"/>
    <x v="1"/>
    <n v="0"/>
    <n v="0"/>
    <n v="0"/>
    <s v="MMR001CMP214"/>
    <x v="0"/>
    <x v="2"/>
    <x v="2"/>
    <s v=""/>
    <m/>
    <m/>
  </r>
  <r>
    <n v="41.833333333333336"/>
    <d v="2013-11-23T00:00:00"/>
    <x v="8"/>
    <m/>
    <s v="Kachin"/>
    <s v="Waingmaw"/>
    <s v="Border Post 8"/>
    <m/>
    <m/>
    <m/>
    <m/>
    <m/>
    <n v="358"/>
    <m/>
    <m/>
    <m/>
    <m/>
    <m/>
    <m/>
    <m/>
    <m/>
    <m/>
    <m/>
    <m/>
    <n v="0"/>
    <n v="0"/>
    <n v="0"/>
    <n v="0"/>
    <n v="0"/>
    <n v="0"/>
    <n v="0"/>
    <n v="0"/>
    <n v="0"/>
    <n v="0"/>
    <n v="0"/>
    <n v="0"/>
    <n v="0"/>
    <n v="0"/>
    <x v="0"/>
    <n v="0"/>
    <n v="0"/>
    <n v="0"/>
    <s v="MMR001CMP113"/>
    <x v="0"/>
    <x v="0"/>
    <x v="3"/>
    <n v="0"/>
    <s v="No"/>
    <m/>
  </r>
  <r>
    <n v="41.9"/>
    <d v="2013-11-21T00:00:00"/>
    <x v="1"/>
    <s v="UNHCR"/>
    <s v="Kachin"/>
    <s v="Bhamo"/>
    <s v="Aung Thar Church"/>
    <m/>
    <m/>
    <m/>
    <n v="34"/>
    <n v="18"/>
    <n v="34"/>
    <n v="18"/>
    <n v="18"/>
    <m/>
    <m/>
    <m/>
    <m/>
    <m/>
    <m/>
    <m/>
    <m/>
    <m/>
    <n v="0"/>
    <n v="0"/>
    <n v="0"/>
    <n v="0"/>
    <n v="0"/>
    <n v="0"/>
    <n v="0"/>
    <n v="0"/>
    <n v="0"/>
    <n v="0"/>
    <n v="0"/>
    <n v="0"/>
    <n v="0"/>
    <n v="0"/>
    <x v="0"/>
    <n v="0"/>
    <n v="0"/>
    <n v="0"/>
    <s v="MMR001CMP194"/>
    <x v="0"/>
    <x v="0"/>
    <x v="4"/>
    <n v="4.4131708632652562E-4"/>
    <s v="No"/>
    <m/>
  </r>
  <r>
    <n v="41.9"/>
    <d v="2013-11-21T00:00:00"/>
    <x v="1"/>
    <s v="UNHCR"/>
    <s v="Kachin"/>
    <s v="Bhamo"/>
    <s v="Phan Khar Kone"/>
    <m/>
    <m/>
    <m/>
    <n v="15"/>
    <n v="9"/>
    <n v="15"/>
    <n v="9"/>
    <n v="9"/>
    <m/>
    <m/>
    <m/>
    <m/>
    <m/>
    <m/>
    <m/>
    <m/>
    <m/>
    <n v="0"/>
    <n v="0"/>
    <n v="0"/>
    <n v="0"/>
    <n v="0"/>
    <n v="0"/>
    <n v="0"/>
    <n v="0"/>
    <n v="0"/>
    <n v="0"/>
    <n v="0"/>
    <n v="0"/>
    <n v="0"/>
    <n v="0"/>
    <x v="0"/>
    <n v="0"/>
    <n v="0"/>
    <n v="0"/>
    <s v="MMR001CMP193"/>
    <x v="0"/>
    <x v="0"/>
    <x v="4"/>
    <n v="2.1804966686856452E-4"/>
    <s v="No"/>
    <m/>
  </r>
  <r>
    <n v="41.9"/>
    <d v="2013-11-21T00:00:00"/>
    <x v="1"/>
    <s v="UNHCR "/>
    <s v="Kachin"/>
    <s v="Mansi"/>
    <s v="Man Kawng Baptist Church"/>
    <m/>
    <m/>
    <m/>
    <n v="400"/>
    <n v="210"/>
    <n v="400"/>
    <n v="210"/>
    <m/>
    <m/>
    <n v="210"/>
    <m/>
    <m/>
    <m/>
    <m/>
    <m/>
    <m/>
    <m/>
    <n v="0"/>
    <n v="0"/>
    <n v="0"/>
    <n v="0"/>
    <n v="0"/>
    <n v="0"/>
    <n v="0"/>
    <n v="0"/>
    <n v="0"/>
    <n v="0"/>
    <n v="0"/>
    <n v="0"/>
    <n v="0"/>
    <n v="0"/>
    <x v="0"/>
    <n v="0"/>
    <n v="0"/>
    <n v="0"/>
    <s v="MMR001CMP212"/>
    <x v="0"/>
    <x v="2"/>
    <x v="2"/>
    <s v=""/>
    <s v="No"/>
    <m/>
  </r>
  <r>
    <n v="41.93333333333333"/>
    <d v="2013-11-20T00:00:00"/>
    <x v="2"/>
    <s v="Solidarities"/>
    <s v="Kachin"/>
    <s v="Bhamo"/>
    <s v="Robert Church"/>
    <m/>
    <m/>
    <m/>
    <m/>
    <m/>
    <m/>
    <m/>
    <m/>
    <m/>
    <m/>
    <m/>
    <n v="19"/>
    <n v="38"/>
    <n v="19"/>
    <m/>
    <m/>
    <m/>
    <n v="0"/>
    <n v="0"/>
    <n v="0"/>
    <n v="0"/>
    <n v="0"/>
    <n v="0"/>
    <n v="0"/>
    <n v="0"/>
    <n v="0"/>
    <n v="0"/>
    <n v="0"/>
    <n v="0"/>
    <n v="0"/>
    <n v="0"/>
    <x v="1"/>
    <n v="0"/>
    <n v="0"/>
    <n v="0"/>
    <s v="MMR001CMP047"/>
    <x v="0"/>
    <x v="0"/>
    <x v="4"/>
    <n v="0"/>
    <m/>
    <m/>
  </r>
  <r>
    <n v="41.966666666666669"/>
    <d v="2013-11-19T00:00:00"/>
    <x v="1"/>
    <s v="UNHCR"/>
    <s v="Kachin"/>
    <s v="Bhamo"/>
    <s v="Host Families"/>
    <m/>
    <m/>
    <m/>
    <n v="57"/>
    <n v="33"/>
    <n v="57"/>
    <n v="33"/>
    <n v="33"/>
    <m/>
    <m/>
    <m/>
    <m/>
    <m/>
    <m/>
    <m/>
    <m/>
    <m/>
    <n v="0"/>
    <n v="0"/>
    <n v="0"/>
    <n v="0"/>
    <n v="0"/>
    <n v="0"/>
    <n v="0"/>
    <n v="0"/>
    <n v="0"/>
    <n v="0"/>
    <n v="0"/>
    <n v="0"/>
    <n v="0"/>
    <n v="0"/>
    <x v="0"/>
    <n v="0"/>
    <n v="0"/>
    <n v="0"/>
    <s v="MMR001CMP163"/>
    <x v="0"/>
    <x v="0"/>
    <x v="4"/>
    <s v=""/>
    <s v="No"/>
    <m/>
  </r>
  <r>
    <n v="41.966666666666669"/>
    <d v="2013-11-19T00:00:00"/>
    <x v="2"/>
    <s v="KBC"/>
    <s v="Kachin"/>
    <s v="Waingmaw"/>
    <s v="Maga Yang "/>
    <m/>
    <m/>
    <m/>
    <m/>
    <m/>
    <m/>
    <m/>
    <m/>
    <m/>
    <m/>
    <n v="613"/>
    <n v="1226"/>
    <n v="3678"/>
    <n v="1839"/>
    <m/>
    <m/>
    <m/>
    <n v="0"/>
    <n v="0"/>
    <n v="0"/>
    <n v="0"/>
    <n v="0"/>
    <n v="0"/>
    <n v="0"/>
    <n v="0"/>
    <n v="0"/>
    <n v="0"/>
    <n v="0"/>
    <n v="0"/>
    <n v="0"/>
    <n v="0"/>
    <x v="1"/>
    <n v="0"/>
    <n v="0"/>
    <n v="0"/>
    <s v="MMR001CMP119"/>
    <x v="0"/>
    <x v="0"/>
    <x v="5"/>
    <n v="0"/>
    <m/>
    <m/>
  </r>
  <r>
    <n v="41.966666666666669"/>
    <d v="2013-11-19T00:00:00"/>
    <x v="1"/>
    <s v="UNHCR"/>
    <s v="Kachin"/>
    <s v="Bhamo"/>
    <s v="Robert Church"/>
    <m/>
    <m/>
    <n v="40"/>
    <n v="38"/>
    <n v="20"/>
    <n v="38"/>
    <n v="20"/>
    <n v="20"/>
    <m/>
    <m/>
    <m/>
    <m/>
    <m/>
    <m/>
    <m/>
    <m/>
    <m/>
    <n v="0"/>
    <n v="0"/>
    <n v="0"/>
    <n v="0"/>
    <n v="0"/>
    <n v="0"/>
    <n v="0"/>
    <n v="0"/>
    <n v="0"/>
    <n v="0"/>
    <n v="0"/>
    <n v="0"/>
    <n v="0"/>
    <n v="0"/>
    <x v="0"/>
    <n v="0"/>
    <n v="0"/>
    <n v="0"/>
    <s v="MMR001CMP047"/>
    <x v="0"/>
    <x v="0"/>
    <x v="4"/>
    <n v="4.9109883364027013E-4"/>
    <s v="No"/>
    <m/>
  </r>
  <r>
    <n v="41.966666666666669"/>
    <d v="2013-11-19T00:00:00"/>
    <x v="1"/>
    <s v="UNHCR"/>
    <s v="Kachin"/>
    <s v="Bhamo"/>
    <s v="Thu Kha Waddy"/>
    <m/>
    <m/>
    <m/>
    <n v="13"/>
    <n v="9"/>
    <n v="13"/>
    <n v="9"/>
    <n v="9"/>
    <m/>
    <m/>
    <m/>
    <m/>
    <m/>
    <m/>
    <m/>
    <m/>
    <m/>
    <n v="0"/>
    <n v="0"/>
    <n v="0"/>
    <n v="0"/>
    <n v="0"/>
    <n v="0"/>
    <n v="0"/>
    <n v="0"/>
    <n v="0"/>
    <n v="0"/>
    <n v="0"/>
    <n v="0"/>
    <n v="0"/>
    <n v="0"/>
    <x v="0"/>
    <n v="0"/>
    <n v="0"/>
    <n v="0"/>
    <s v="MMR001CMP211"/>
    <x v="0"/>
    <x v="2"/>
    <x v="2"/>
    <s v=""/>
    <s v="No"/>
    <m/>
  </r>
  <r>
    <n v="42"/>
    <d v="2013-11-18T00:00:00"/>
    <x v="8"/>
    <m/>
    <s v="Kachin"/>
    <s v="Momauk"/>
    <s v="Loi Je Lisu Camp"/>
    <m/>
    <m/>
    <m/>
    <m/>
    <m/>
    <n v="395"/>
    <m/>
    <m/>
    <m/>
    <m/>
    <m/>
    <m/>
    <m/>
    <m/>
    <m/>
    <m/>
    <m/>
    <n v="0"/>
    <n v="0"/>
    <n v="0"/>
    <n v="0"/>
    <n v="0"/>
    <n v="0"/>
    <n v="0"/>
    <n v="0"/>
    <n v="0"/>
    <n v="0"/>
    <n v="0"/>
    <n v="0"/>
    <n v="0"/>
    <n v="0"/>
    <x v="0"/>
    <n v="0"/>
    <n v="0"/>
    <n v="0"/>
    <s v="MMR001CMP070"/>
    <x v="0"/>
    <x v="0"/>
    <x v="0"/>
    <n v="0"/>
    <s v="No"/>
    <m/>
  </r>
  <r>
    <n v="42.033333333333331"/>
    <d v="2013-11-17T00:00:00"/>
    <x v="8"/>
    <m/>
    <s v="Kachin"/>
    <s v="Momauk"/>
    <s v="Loi Je Catholic Church"/>
    <m/>
    <m/>
    <m/>
    <m/>
    <m/>
    <n v="141"/>
    <m/>
    <m/>
    <m/>
    <m/>
    <m/>
    <m/>
    <m/>
    <m/>
    <m/>
    <m/>
    <m/>
    <n v="0"/>
    <n v="0"/>
    <n v="0"/>
    <n v="0"/>
    <n v="0"/>
    <n v="0"/>
    <n v="0"/>
    <n v="0"/>
    <n v="0"/>
    <n v="0"/>
    <n v="0"/>
    <n v="0"/>
    <n v="0"/>
    <n v="0"/>
    <x v="0"/>
    <n v="0"/>
    <n v="0"/>
    <n v="0"/>
    <s v="MMR001CMP069"/>
    <x v="0"/>
    <x v="0"/>
    <x v="0"/>
    <n v="0"/>
    <s v="No"/>
    <m/>
  </r>
  <r>
    <n v="42.033333333333331"/>
    <d v="2013-11-17T00:00:00"/>
    <x v="1"/>
    <s v="UNHCR "/>
    <s v="Kachin"/>
    <s v="Mansi"/>
    <s v="Man Wing Catholic Church"/>
    <m/>
    <m/>
    <m/>
    <n v="700"/>
    <n v="350"/>
    <n v="700"/>
    <n v="350"/>
    <n v="350"/>
    <m/>
    <m/>
    <m/>
    <m/>
    <m/>
    <m/>
    <m/>
    <m/>
    <m/>
    <n v="0"/>
    <n v="0"/>
    <n v="0"/>
    <n v="0"/>
    <n v="0"/>
    <n v="0"/>
    <n v="0"/>
    <n v="0"/>
    <n v="0"/>
    <n v="0"/>
    <n v="0"/>
    <n v="0"/>
    <n v="0"/>
    <n v="0"/>
    <x v="0"/>
    <n v="0"/>
    <n v="0"/>
    <n v="0"/>
    <s v="MMR001CMP132"/>
    <x v="0"/>
    <x v="0"/>
    <x v="4"/>
    <n v="8.5683509596553072E-3"/>
    <s v="No"/>
    <m/>
  </r>
  <r>
    <n v="42.033333333333331"/>
    <d v="2013-11-17T00:00:00"/>
    <x v="8"/>
    <m/>
    <s v="Kachin"/>
    <s v="Momauk"/>
    <s v="Nyaung Na Pin "/>
    <m/>
    <m/>
    <m/>
    <m/>
    <m/>
    <n v="145"/>
    <m/>
    <m/>
    <m/>
    <m/>
    <m/>
    <m/>
    <m/>
    <m/>
    <m/>
    <m/>
    <m/>
    <n v="0"/>
    <n v="0"/>
    <n v="0"/>
    <n v="0"/>
    <n v="0"/>
    <n v="0"/>
    <n v="0"/>
    <n v="0"/>
    <n v="0"/>
    <n v="0"/>
    <n v="0"/>
    <n v="0"/>
    <n v="0"/>
    <n v="0"/>
    <x v="0"/>
    <n v="0"/>
    <n v="0"/>
    <n v="0"/>
    <s v="MMR001CMP072"/>
    <x v="0"/>
    <x v="0"/>
    <x v="0"/>
    <n v="0"/>
    <s v="No"/>
    <m/>
  </r>
  <r>
    <n v="42.06666666666667"/>
    <d v="2013-11-16T00:00:00"/>
    <x v="1"/>
    <s v="UNHCR "/>
    <s v="Kachin"/>
    <s v="Bhamo"/>
    <s v="Phan Khar Kone"/>
    <m/>
    <m/>
    <m/>
    <m/>
    <n v="11"/>
    <m/>
    <m/>
    <m/>
    <m/>
    <m/>
    <m/>
    <m/>
    <m/>
    <m/>
    <m/>
    <m/>
    <m/>
    <n v="0"/>
    <n v="0"/>
    <n v="0"/>
    <n v="0"/>
    <n v="0"/>
    <n v="0"/>
    <n v="0"/>
    <n v="0"/>
    <n v="0"/>
    <n v="0"/>
    <n v="0"/>
    <n v="0"/>
    <n v="0"/>
    <n v="0"/>
    <x v="0"/>
    <n v="0"/>
    <n v="0"/>
    <n v="0"/>
    <s v="MMR001CMP193"/>
    <x v="0"/>
    <x v="0"/>
    <x v="4"/>
    <n v="0"/>
    <s v="No"/>
    <m/>
  </r>
  <r>
    <n v="42.06666666666667"/>
    <d v="2013-11-16T00:00:00"/>
    <x v="1"/>
    <s v="UNHCR"/>
    <s v="Kachin"/>
    <s v="Bhamo"/>
    <s v="Robert Church"/>
    <m/>
    <m/>
    <m/>
    <m/>
    <n v="10"/>
    <m/>
    <m/>
    <m/>
    <m/>
    <m/>
    <m/>
    <m/>
    <m/>
    <m/>
    <m/>
    <m/>
    <m/>
    <n v="0"/>
    <n v="0"/>
    <n v="0"/>
    <n v="0"/>
    <n v="0"/>
    <n v="0"/>
    <n v="0"/>
    <n v="0"/>
    <n v="0"/>
    <n v="0"/>
    <n v="0"/>
    <n v="0"/>
    <n v="0"/>
    <n v="0"/>
    <x v="0"/>
    <n v="0"/>
    <n v="0"/>
    <n v="0"/>
    <s v="MMR001CMP047"/>
    <x v="0"/>
    <x v="0"/>
    <x v="4"/>
    <n v="0"/>
    <s v="No"/>
    <m/>
  </r>
  <r>
    <n v="42.1"/>
    <d v="2013-11-15T00:00:00"/>
    <x v="2"/>
    <s v="LDO"/>
    <s v="Kachin"/>
    <s v="Momauk"/>
    <s v="Nhkawng Pa "/>
    <m/>
    <m/>
    <m/>
    <m/>
    <m/>
    <m/>
    <m/>
    <m/>
    <m/>
    <m/>
    <n v="387"/>
    <n v="760"/>
    <n v="2294"/>
    <n v="1147"/>
    <m/>
    <m/>
    <m/>
    <n v="0"/>
    <n v="0"/>
    <n v="0"/>
    <n v="0"/>
    <n v="0"/>
    <n v="0"/>
    <n v="0"/>
    <n v="0"/>
    <n v="0"/>
    <n v="0"/>
    <n v="0"/>
    <n v="0"/>
    <n v="0"/>
    <n v="0"/>
    <x v="1"/>
    <n v="0"/>
    <n v="0"/>
    <n v="0"/>
    <s v="MMR001CMP131"/>
    <x v="0"/>
    <x v="0"/>
    <x v="3"/>
    <n v="0"/>
    <m/>
    <m/>
  </r>
  <r>
    <n v="42.1"/>
    <d v="2013-11-15T00:00:00"/>
    <x v="2"/>
    <s v="LDO"/>
    <s v="Kachin"/>
    <s v="Mansi"/>
    <s v="Lung Kawk  ( Hka Hkye Zup)"/>
    <m/>
    <m/>
    <m/>
    <m/>
    <m/>
    <m/>
    <m/>
    <m/>
    <m/>
    <m/>
    <n v="54"/>
    <n v="106"/>
    <n v="320"/>
    <n v="160"/>
    <m/>
    <m/>
    <m/>
    <n v="0"/>
    <n v="0"/>
    <n v="0"/>
    <n v="0"/>
    <n v="0"/>
    <n v="0"/>
    <n v="0"/>
    <n v="0"/>
    <n v="0"/>
    <n v="0"/>
    <n v="0"/>
    <n v="0"/>
    <n v="0"/>
    <n v="0"/>
    <x v="1"/>
    <n v="0"/>
    <n v="0"/>
    <n v="0"/>
    <s v="MMR001CMP135"/>
    <x v="0"/>
    <x v="2"/>
    <x v="5"/>
    <n v="0"/>
    <m/>
    <m/>
  </r>
  <r>
    <n v="42.1"/>
    <d v="2013-11-15T00:00:00"/>
    <x v="1"/>
    <s v="UNHCR "/>
    <s v="Kachin"/>
    <s v="Bhamo"/>
    <m/>
    <m/>
    <m/>
    <m/>
    <m/>
    <n v="12"/>
    <m/>
    <m/>
    <m/>
    <m/>
    <m/>
    <m/>
    <m/>
    <m/>
    <m/>
    <m/>
    <m/>
    <m/>
    <n v="0"/>
    <n v="0"/>
    <n v="0"/>
    <n v="0"/>
    <n v="0"/>
    <n v="0"/>
    <n v="0"/>
    <n v="0"/>
    <n v="0"/>
    <n v="0"/>
    <n v="0"/>
    <n v="0"/>
    <n v="0"/>
    <n v="0"/>
    <x v="0"/>
    <n v="0"/>
    <n v="0"/>
    <n v="0"/>
    <s v=""/>
    <x v="2"/>
    <x v="1"/>
    <x v="2"/>
    <s v=""/>
    <s v="No"/>
    <m/>
  </r>
  <r>
    <n v="42.133333333333333"/>
    <d v="2013-11-14T00:00:00"/>
    <x v="1"/>
    <s v="UNHCR "/>
    <s v="Kachin"/>
    <s v="Bhamo"/>
    <s v="Aung Thar Church"/>
    <m/>
    <m/>
    <m/>
    <n v="12"/>
    <n v="9"/>
    <n v="12"/>
    <n v="9"/>
    <n v="9"/>
    <m/>
    <m/>
    <m/>
    <m/>
    <m/>
    <m/>
    <m/>
    <m/>
    <m/>
    <n v="0"/>
    <n v="0"/>
    <n v="0"/>
    <n v="0"/>
    <n v="0"/>
    <n v="0"/>
    <n v="0"/>
    <n v="0"/>
    <n v="0"/>
    <n v="0"/>
    <n v="0"/>
    <n v="0"/>
    <n v="0"/>
    <n v="0"/>
    <x v="0"/>
    <n v="0"/>
    <n v="0"/>
    <n v="0"/>
    <s v="MMR001CMP194"/>
    <x v="0"/>
    <x v="0"/>
    <x v="4"/>
    <n v="2.2065854316326281E-4"/>
    <s v="No"/>
    <m/>
  </r>
  <r>
    <n v="42.133333333333333"/>
    <d v="2013-11-14T00:00:00"/>
    <x v="2"/>
    <s v="LDO"/>
    <s v="Kachin"/>
    <s v="Mansi"/>
    <s v="Lana Zup Ja "/>
    <m/>
    <m/>
    <m/>
    <m/>
    <m/>
    <m/>
    <m/>
    <m/>
    <m/>
    <m/>
    <n v="550"/>
    <n v="1101"/>
    <n v="3302"/>
    <n v="1651"/>
    <m/>
    <m/>
    <m/>
    <n v="0"/>
    <n v="0"/>
    <n v="0"/>
    <n v="0"/>
    <n v="0"/>
    <n v="0"/>
    <n v="0"/>
    <n v="0"/>
    <n v="0"/>
    <n v="0"/>
    <n v="0"/>
    <n v="0"/>
    <n v="0"/>
    <n v="0"/>
    <x v="1"/>
    <n v="0"/>
    <n v="0"/>
    <n v="0"/>
    <s v="MMR001CMP128"/>
    <x v="0"/>
    <x v="0"/>
    <x v="5"/>
    <n v="0"/>
    <m/>
    <m/>
  </r>
  <r>
    <n v="42.133333333333333"/>
    <d v="2013-11-14T00:00:00"/>
    <x v="8"/>
    <m/>
    <s v="Kachin"/>
    <s v="Momauk"/>
    <s v="Loi Je Baptist Church"/>
    <m/>
    <m/>
    <m/>
    <m/>
    <m/>
    <n v="75"/>
    <m/>
    <m/>
    <m/>
    <m/>
    <m/>
    <m/>
    <m/>
    <m/>
    <m/>
    <m/>
    <m/>
    <n v="0"/>
    <n v="0"/>
    <n v="0"/>
    <n v="0"/>
    <n v="0"/>
    <n v="0"/>
    <n v="0"/>
    <n v="0"/>
    <n v="0"/>
    <n v="0"/>
    <n v="0"/>
    <n v="0"/>
    <n v="0"/>
    <n v="0"/>
    <x v="0"/>
    <n v="0"/>
    <n v="0"/>
    <n v="0"/>
    <s v="MMR001CMP071"/>
    <x v="0"/>
    <x v="0"/>
    <x v="0"/>
    <n v="0"/>
    <s v="No"/>
    <m/>
  </r>
  <r>
    <n v="42.133333333333333"/>
    <d v="2013-11-14T00:00:00"/>
    <x v="8"/>
    <m/>
    <s v="Kachin"/>
    <s v="Mansi"/>
    <s v="Man Wing Baptist Church"/>
    <m/>
    <m/>
    <m/>
    <m/>
    <m/>
    <m/>
    <m/>
    <m/>
    <m/>
    <m/>
    <m/>
    <n v="32"/>
    <m/>
    <m/>
    <m/>
    <m/>
    <m/>
    <n v="0"/>
    <n v="0"/>
    <n v="0"/>
    <n v="0"/>
    <n v="0"/>
    <n v="0"/>
    <n v="0"/>
    <n v="0"/>
    <n v="0"/>
    <n v="0"/>
    <n v="0"/>
    <n v="0"/>
    <n v="0"/>
    <n v="0"/>
    <x v="1"/>
    <n v="0"/>
    <n v="0"/>
    <n v="0"/>
    <s v="MMR001CMP133"/>
    <x v="0"/>
    <x v="0"/>
    <x v="4"/>
    <n v="0"/>
    <s v="No"/>
    <m/>
  </r>
  <r>
    <n v="42.133333333333333"/>
    <d v="2013-11-14T00:00:00"/>
    <x v="2"/>
    <s v="Solidarities"/>
    <s v="Kachin"/>
    <s v="Mansi"/>
    <s v="Man Wing Catholic Church"/>
    <m/>
    <m/>
    <m/>
    <m/>
    <m/>
    <m/>
    <m/>
    <m/>
    <m/>
    <m/>
    <m/>
    <n v="176"/>
    <n v="352"/>
    <n v="176"/>
    <m/>
    <m/>
    <m/>
    <n v="0"/>
    <n v="0"/>
    <n v="0"/>
    <n v="0"/>
    <n v="0"/>
    <n v="0"/>
    <n v="0"/>
    <n v="0"/>
    <n v="0"/>
    <n v="0"/>
    <n v="0"/>
    <n v="0"/>
    <n v="0"/>
    <n v="0"/>
    <x v="1"/>
    <n v="0"/>
    <n v="0"/>
    <n v="0"/>
    <s v="MMR001CMP132"/>
    <x v="0"/>
    <x v="0"/>
    <x v="4"/>
    <n v="0"/>
    <m/>
    <m/>
  </r>
  <r>
    <n v="42.133333333333333"/>
    <d v="2013-11-14T00:00:00"/>
    <x v="1"/>
    <s v="UNHCR"/>
    <s v="Kachin"/>
    <s v="Mansi"/>
    <s v="Mansi Baptist Church"/>
    <m/>
    <m/>
    <n v="18"/>
    <n v="31"/>
    <n v="18"/>
    <n v="31"/>
    <n v="18"/>
    <n v="18"/>
    <m/>
    <m/>
    <m/>
    <m/>
    <m/>
    <m/>
    <m/>
    <m/>
    <m/>
    <n v="0"/>
    <n v="0"/>
    <n v="0"/>
    <n v="0"/>
    <n v="0"/>
    <n v="0"/>
    <n v="0"/>
    <n v="0"/>
    <n v="0"/>
    <n v="0"/>
    <n v="0"/>
    <n v="0"/>
    <n v="0"/>
    <n v="0"/>
    <x v="0"/>
    <n v="0"/>
    <n v="0"/>
    <n v="0"/>
    <s v="MMR001CMP066"/>
    <x v="0"/>
    <x v="0"/>
    <x v="4"/>
    <n v="4.3291084441665265E-4"/>
    <s v="No"/>
    <m/>
  </r>
  <r>
    <n v="42.133333333333333"/>
    <d v="2013-11-14T00:00:00"/>
    <x v="8"/>
    <m/>
    <s v="Kachin"/>
    <s v="Momauk"/>
    <s v="Seng Ja "/>
    <m/>
    <m/>
    <m/>
    <m/>
    <m/>
    <n v="110"/>
    <m/>
    <m/>
    <m/>
    <m/>
    <m/>
    <m/>
    <m/>
    <m/>
    <m/>
    <m/>
    <m/>
    <n v="0"/>
    <n v="0"/>
    <n v="0"/>
    <n v="0"/>
    <n v="0"/>
    <n v="0"/>
    <n v="0"/>
    <n v="0"/>
    <n v="0"/>
    <n v="0"/>
    <n v="0"/>
    <n v="0"/>
    <n v="0"/>
    <n v="0"/>
    <x v="0"/>
    <n v="0"/>
    <n v="0"/>
    <n v="0"/>
    <s v="MMR001CMP073"/>
    <x v="0"/>
    <x v="0"/>
    <x v="0"/>
    <n v="0"/>
    <s v="No"/>
    <m/>
  </r>
  <r>
    <n v="42.133333333333333"/>
    <d v="2013-11-14T00:00:00"/>
    <x v="2"/>
    <s v="Solidarities"/>
    <s v="Kachin"/>
    <s v="Mansi"/>
    <s v="Lagatyan "/>
    <m/>
    <m/>
    <m/>
    <m/>
    <m/>
    <m/>
    <m/>
    <m/>
    <m/>
    <m/>
    <n v="120"/>
    <n v="207"/>
    <n v="654"/>
    <n v="327"/>
    <m/>
    <m/>
    <m/>
    <n v="0"/>
    <n v="0"/>
    <n v="0"/>
    <n v="0"/>
    <n v="0"/>
    <n v="0"/>
    <n v="0"/>
    <n v="0"/>
    <n v="0"/>
    <n v="0"/>
    <n v="0"/>
    <n v="0"/>
    <n v="0"/>
    <n v="0"/>
    <x v="1"/>
    <n v="0"/>
    <n v="0"/>
    <n v="0"/>
    <s v="MMR001CMP202"/>
    <x v="0"/>
    <x v="2"/>
    <x v="4"/>
    <n v="0"/>
    <m/>
    <m/>
  </r>
  <r>
    <n v="42.166666666666664"/>
    <d v="2013-11-13T00:00:00"/>
    <x v="2"/>
    <s v="Solidarities"/>
    <s v="Kachin"/>
    <s v="Mansi"/>
    <s v="Man Wing Baptist Church"/>
    <m/>
    <m/>
    <m/>
    <m/>
    <m/>
    <m/>
    <m/>
    <m/>
    <m/>
    <m/>
    <m/>
    <n v="160"/>
    <n v="320"/>
    <n v="160"/>
    <m/>
    <m/>
    <m/>
    <n v="0"/>
    <n v="0"/>
    <n v="0"/>
    <n v="0"/>
    <n v="0"/>
    <n v="0"/>
    <n v="0"/>
    <n v="0"/>
    <n v="0"/>
    <n v="0"/>
    <n v="0"/>
    <n v="0"/>
    <n v="0"/>
    <n v="0"/>
    <x v="1"/>
    <n v="0"/>
    <n v="0"/>
    <n v="0"/>
    <s v="MMR001CMP133"/>
    <x v="0"/>
    <x v="0"/>
    <x v="4"/>
    <n v="0"/>
    <m/>
    <m/>
  </r>
  <r>
    <n v="42.166666666666664"/>
    <d v="2013-11-13T00:00:00"/>
    <x v="2"/>
    <s v="LDO"/>
    <s v="Kachin"/>
    <s v="Momauk"/>
    <s v="Pa Kahtawng "/>
    <m/>
    <m/>
    <m/>
    <m/>
    <m/>
    <m/>
    <m/>
    <m/>
    <m/>
    <m/>
    <n v="514"/>
    <n v="1016"/>
    <n v="3060"/>
    <n v="1530"/>
    <m/>
    <m/>
    <m/>
    <n v="0"/>
    <n v="0"/>
    <n v="0"/>
    <n v="0"/>
    <n v="0"/>
    <n v="0"/>
    <n v="0"/>
    <n v="0"/>
    <n v="0"/>
    <n v="0"/>
    <n v="0"/>
    <n v="0"/>
    <n v="0"/>
    <n v="0"/>
    <x v="1"/>
    <n v="0"/>
    <n v="0"/>
    <n v="0"/>
    <s v="MMR001CMP126"/>
    <x v="0"/>
    <x v="0"/>
    <x v="5"/>
    <n v="0"/>
    <m/>
    <m/>
  </r>
  <r>
    <n v="42.233333333333334"/>
    <d v="2013-11-11T00:00:00"/>
    <x v="1"/>
    <s v="UNHCR "/>
    <s v="Kachin"/>
    <s v="Momauk"/>
    <s v="Nhkawng Pa "/>
    <m/>
    <m/>
    <n v="36"/>
    <n v="200"/>
    <n v="100"/>
    <m/>
    <n v="100"/>
    <n v="100"/>
    <m/>
    <m/>
    <m/>
    <m/>
    <m/>
    <m/>
    <m/>
    <m/>
    <m/>
    <n v="0"/>
    <n v="0"/>
    <n v="0"/>
    <n v="0"/>
    <n v="0"/>
    <n v="0"/>
    <n v="0"/>
    <n v="0"/>
    <n v="0"/>
    <n v="0"/>
    <n v="0"/>
    <n v="0"/>
    <n v="0"/>
    <n v="0"/>
    <x v="0"/>
    <n v="0"/>
    <n v="0"/>
    <n v="0"/>
    <s v="MMR001CMP131"/>
    <x v="0"/>
    <x v="0"/>
    <x v="3"/>
    <n v="2.4390243902439024E-3"/>
    <s v="No"/>
    <m/>
  </r>
  <r>
    <n v="42.366666666666667"/>
    <d v="2013-11-07T00:00:00"/>
    <x v="2"/>
    <s v="Solidarities"/>
    <s v="Kachin"/>
    <s v="Bhamo"/>
    <s v="Phan Khar Kone"/>
    <m/>
    <m/>
    <m/>
    <m/>
    <m/>
    <m/>
    <m/>
    <m/>
    <m/>
    <m/>
    <n v="23"/>
    <n v="41"/>
    <n v="128"/>
    <n v="64"/>
    <m/>
    <m/>
    <m/>
    <n v="0"/>
    <n v="0"/>
    <n v="0"/>
    <n v="0"/>
    <n v="0"/>
    <n v="0"/>
    <n v="0"/>
    <n v="0"/>
    <n v="0"/>
    <n v="0"/>
    <n v="0"/>
    <n v="0"/>
    <n v="0"/>
    <n v="0"/>
    <x v="1"/>
    <n v="0"/>
    <n v="0"/>
    <n v="0"/>
    <s v="MMR001CMP193"/>
    <x v="0"/>
    <x v="0"/>
    <x v="4"/>
    <n v="0"/>
    <m/>
    <m/>
  </r>
  <r>
    <n v="42.366666666666667"/>
    <d v="2013-11-07T00:00:00"/>
    <x v="1"/>
    <s v="UNHCR"/>
    <s v="Kachin"/>
    <s v="Bhamo"/>
    <s v="Phan Khar Kone"/>
    <m/>
    <m/>
    <n v="58"/>
    <n v="46"/>
    <n v="29"/>
    <n v="46"/>
    <n v="29"/>
    <n v="29"/>
    <m/>
    <m/>
    <m/>
    <m/>
    <m/>
    <m/>
    <m/>
    <m/>
    <m/>
    <n v="0"/>
    <n v="0"/>
    <n v="0"/>
    <n v="0"/>
    <n v="0"/>
    <n v="0"/>
    <n v="0"/>
    <n v="0"/>
    <n v="0"/>
    <n v="0"/>
    <n v="0"/>
    <n v="0"/>
    <n v="0"/>
    <n v="0"/>
    <x v="0"/>
    <n v="0"/>
    <n v="0"/>
    <n v="0"/>
    <s v="MMR001CMP193"/>
    <x v="0"/>
    <x v="0"/>
    <x v="4"/>
    <n v="7.0260448213204122E-4"/>
    <s v="No"/>
    <m/>
  </r>
  <r>
    <n v="42.366666666666667"/>
    <d v="2013-11-07T00:00:00"/>
    <x v="2"/>
    <s v="Solidarities"/>
    <s v="Kachin"/>
    <s v="Bhamo"/>
    <s v="Ta Gun Taing Monastery (Shwe Kyi Na)"/>
    <m/>
    <m/>
    <m/>
    <m/>
    <m/>
    <m/>
    <m/>
    <m/>
    <m/>
    <m/>
    <n v="64"/>
    <n v="118"/>
    <n v="364"/>
    <n v="182"/>
    <m/>
    <m/>
    <m/>
    <n v="0"/>
    <n v="0"/>
    <n v="0"/>
    <n v="0"/>
    <n v="0"/>
    <n v="0"/>
    <n v="0"/>
    <n v="0"/>
    <n v="0"/>
    <n v="0"/>
    <n v="0"/>
    <n v="0"/>
    <n v="0"/>
    <n v="0"/>
    <x v="1"/>
    <n v="0"/>
    <n v="0"/>
    <n v="0"/>
    <s v="MMR001CMP055"/>
    <x v="0"/>
    <x v="0"/>
    <x v="4"/>
    <n v="0"/>
    <m/>
    <m/>
  </r>
  <r>
    <n v="42.366666666666667"/>
    <d v="2013-11-07T00:00:00"/>
    <x v="2"/>
    <s v="Solidarities"/>
    <s v="Kachin"/>
    <s v="Bhamo"/>
    <s v="Aung Thar Church"/>
    <m/>
    <m/>
    <m/>
    <m/>
    <m/>
    <m/>
    <m/>
    <m/>
    <m/>
    <m/>
    <n v="25"/>
    <n v="73"/>
    <n v="196"/>
    <n v="98"/>
    <m/>
    <m/>
    <m/>
    <n v="0"/>
    <n v="0"/>
    <n v="0"/>
    <n v="0"/>
    <n v="0"/>
    <n v="0"/>
    <n v="0"/>
    <n v="0"/>
    <n v="0"/>
    <n v="0"/>
    <n v="0"/>
    <n v="0"/>
    <n v="0"/>
    <n v="0"/>
    <x v="1"/>
    <n v="0"/>
    <n v="0"/>
    <n v="0"/>
    <s v="MMR001CMP194"/>
    <x v="0"/>
    <x v="2"/>
    <x v="4"/>
    <n v="0"/>
    <m/>
    <m/>
  </r>
  <r>
    <n v="42.366666666666667"/>
    <d v="2013-11-07T00:00:00"/>
    <x v="1"/>
    <s v="UNHCR"/>
    <s v="Kachin"/>
    <s v="Hpakant"/>
    <s v="Baptist Church, Naung Hmee VT"/>
    <m/>
    <m/>
    <n v="13"/>
    <n v="32"/>
    <n v="15"/>
    <n v="32"/>
    <n v="15"/>
    <m/>
    <n v="15"/>
    <n v="32"/>
    <m/>
    <m/>
    <m/>
    <m/>
    <m/>
    <m/>
    <m/>
    <n v="0"/>
    <n v="0"/>
    <n v="0"/>
    <n v="0"/>
    <n v="0"/>
    <n v="0"/>
    <n v="0"/>
    <n v="0"/>
    <n v="0"/>
    <n v="0"/>
    <n v="0"/>
    <n v="0"/>
    <n v="0"/>
    <n v="0"/>
    <x v="0"/>
    <n v="0"/>
    <n v="0"/>
    <n v="0"/>
    <s v="MMR001CMP188"/>
    <x v="0"/>
    <x v="2"/>
    <x v="4"/>
    <s v=""/>
    <s v="No"/>
    <m/>
  </r>
  <r>
    <n v="42.43333333333333"/>
    <d v="2013-11-05T00:00:00"/>
    <x v="1"/>
    <s v="UNHCR"/>
    <s v="Kachin"/>
    <s v="Mansi"/>
    <s v="Mansi Baptist Church"/>
    <m/>
    <m/>
    <n v="60"/>
    <n v="54"/>
    <n v="30"/>
    <n v="54"/>
    <n v="30"/>
    <n v="30"/>
    <m/>
    <m/>
    <m/>
    <m/>
    <m/>
    <m/>
    <m/>
    <m/>
    <m/>
    <n v="0"/>
    <n v="0"/>
    <n v="0"/>
    <n v="0"/>
    <n v="0"/>
    <n v="0"/>
    <n v="0"/>
    <n v="0"/>
    <n v="0"/>
    <n v="0"/>
    <n v="0"/>
    <n v="0"/>
    <n v="0"/>
    <n v="0"/>
    <x v="0"/>
    <n v="0"/>
    <n v="0"/>
    <n v="0"/>
    <s v="MMR001CMP066"/>
    <x v="0"/>
    <x v="0"/>
    <x v="4"/>
    <n v="7.215180740277544E-4"/>
    <s v="No"/>
    <m/>
  </r>
  <r>
    <n v="42.5"/>
    <d v="2013-11-03T00:00:00"/>
    <x v="12"/>
    <s v="MRCS"/>
    <s v="Kachin"/>
    <s v="Bhamo"/>
    <s v="AD-2000 Tharthana Compound"/>
    <m/>
    <m/>
    <n v="21"/>
    <m/>
    <m/>
    <m/>
    <n v="21"/>
    <m/>
    <m/>
    <m/>
    <m/>
    <m/>
    <m/>
    <m/>
    <m/>
    <m/>
    <m/>
    <n v="0"/>
    <n v="0"/>
    <n v="0"/>
    <n v="0"/>
    <n v="0"/>
    <n v="0"/>
    <n v="0"/>
    <n v="0"/>
    <n v="0"/>
    <n v="0"/>
    <n v="0"/>
    <n v="0"/>
    <n v="0"/>
    <n v="0"/>
    <x v="0"/>
    <n v="0"/>
    <n v="0"/>
    <n v="0"/>
    <s v="MMR001CMP050"/>
    <x v="0"/>
    <x v="0"/>
    <x v="4"/>
    <n v="5.1410105757931847E-4"/>
    <s v="No"/>
    <m/>
  </r>
  <r>
    <n v="42.5"/>
    <d v="2013-11-03T00:00:00"/>
    <x v="1"/>
    <s v="UNHCR "/>
    <s v="Kachin"/>
    <s v="Mansi"/>
    <s v="Bum Tsit Pa "/>
    <m/>
    <m/>
    <n v="130"/>
    <n v="130"/>
    <n v="65"/>
    <n v="65"/>
    <n v="65"/>
    <n v="65"/>
    <m/>
    <m/>
    <m/>
    <m/>
    <m/>
    <m/>
    <m/>
    <m/>
    <m/>
    <n v="0"/>
    <n v="0"/>
    <n v="0"/>
    <n v="0"/>
    <n v="0"/>
    <n v="0"/>
    <n v="0"/>
    <n v="0"/>
    <n v="0"/>
    <n v="0"/>
    <n v="0"/>
    <n v="0"/>
    <n v="0"/>
    <n v="0"/>
    <x v="0"/>
    <n v="0"/>
    <n v="0"/>
    <n v="0"/>
    <s v="MMR001CMP129"/>
    <x v="0"/>
    <x v="0"/>
    <x v="5"/>
    <n v="1.5924737241835509E-3"/>
    <s v="No"/>
    <m/>
  </r>
  <r>
    <n v="42.5"/>
    <d v="2013-11-03T00:00:00"/>
    <x v="12"/>
    <s v="MRCS"/>
    <s v="Kachin"/>
    <s v="Bhamo"/>
    <s v="Htoi San Church"/>
    <m/>
    <m/>
    <n v="41"/>
    <m/>
    <m/>
    <m/>
    <n v="41"/>
    <m/>
    <m/>
    <m/>
    <m/>
    <m/>
    <m/>
    <m/>
    <m/>
    <m/>
    <m/>
    <n v="0"/>
    <n v="0"/>
    <n v="0"/>
    <n v="0"/>
    <n v="0"/>
    <n v="0"/>
    <n v="0"/>
    <n v="0"/>
    <n v="0"/>
    <n v="0"/>
    <n v="0"/>
    <n v="0"/>
    <n v="0"/>
    <n v="0"/>
    <x v="0"/>
    <n v="0"/>
    <n v="0"/>
    <n v="0"/>
    <s v="MMR001CMP052"/>
    <x v="0"/>
    <x v="0"/>
    <x v="4"/>
    <n v="1.0029844904349528E-3"/>
    <s v="No"/>
    <m/>
  </r>
  <r>
    <n v="42.5"/>
    <d v="2013-11-03T00:00:00"/>
    <x v="1"/>
    <s v="UNHCR "/>
    <s v="Kachin"/>
    <s v="Mansi"/>
    <s v="Lana Zup Ja "/>
    <m/>
    <m/>
    <n v="592"/>
    <n v="592"/>
    <n v="296"/>
    <n v="296"/>
    <n v="296"/>
    <n v="296"/>
    <m/>
    <m/>
    <m/>
    <m/>
    <m/>
    <m/>
    <m/>
    <m/>
    <m/>
    <n v="0"/>
    <n v="0"/>
    <n v="0"/>
    <n v="0"/>
    <n v="0"/>
    <n v="0"/>
    <n v="0"/>
    <n v="0"/>
    <n v="0"/>
    <n v="0"/>
    <n v="0"/>
    <n v="0"/>
    <n v="0"/>
    <n v="0"/>
    <x v="0"/>
    <n v="0"/>
    <n v="0"/>
    <n v="0"/>
    <s v="MMR001CMP128"/>
    <x v="0"/>
    <x v="0"/>
    <x v="5"/>
    <n v="7.2518803439743243E-3"/>
    <s v="No"/>
    <m/>
  </r>
  <r>
    <n v="42.5"/>
    <d v="2013-11-03T00:00:00"/>
    <x v="1"/>
    <s v="UNHCR "/>
    <s v="Kachin"/>
    <s v="Momauk"/>
    <s v="Loi Je Lisu Camp"/>
    <m/>
    <m/>
    <n v="24"/>
    <n v="24"/>
    <n v="12"/>
    <n v="12"/>
    <n v="12"/>
    <n v="12"/>
    <m/>
    <m/>
    <m/>
    <m/>
    <m/>
    <m/>
    <m/>
    <m/>
    <m/>
    <n v="0"/>
    <n v="0"/>
    <n v="0"/>
    <n v="0"/>
    <n v="0"/>
    <n v="0"/>
    <n v="0"/>
    <n v="0"/>
    <n v="0"/>
    <n v="0"/>
    <n v="0"/>
    <n v="0"/>
    <n v="0"/>
    <n v="0"/>
    <x v="0"/>
    <n v="0"/>
    <n v="0"/>
    <n v="0"/>
    <s v="MMR001CMP070"/>
    <x v="0"/>
    <x v="0"/>
    <x v="0"/>
    <n v="2.9268292682926828E-4"/>
    <s v="No"/>
    <m/>
  </r>
  <r>
    <n v="42.5"/>
    <d v="2013-11-03T00:00:00"/>
    <x v="12"/>
    <s v="MRCS"/>
    <s v="Kachin"/>
    <s v="Mansi"/>
    <s v="Mansi Baptist Church"/>
    <m/>
    <m/>
    <n v="29"/>
    <m/>
    <m/>
    <m/>
    <n v="29"/>
    <m/>
    <m/>
    <m/>
    <m/>
    <m/>
    <m/>
    <m/>
    <m/>
    <m/>
    <m/>
    <n v="0"/>
    <n v="0"/>
    <n v="0"/>
    <n v="0"/>
    <n v="0"/>
    <n v="0"/>
    <n v="0"/>
    <n v="0"/>
    <n v="0"/>
    <n v="0"/>
    <n v="0"/>
    <n v="0"/>
    <n v="0"/>
    <n v="0"/>
    <x v="0"/>
    <n v="0"/>
    <n v="0"/>
    <n v="0"/>
    <s v="MMR001CMP066"/>
    <x v="0"/>
    <x v="0"/>
    <x v="4"/>
    <n v="6.9746747156016256E-4"/>
    <s v="No"/>
    <m/>
  </r>
  <r>
    <n v="42.5"/>
    <d v="2013-11-03T00:00:00"/>
    <x v="12"/>
    <s v="MRCS"/>
    <s v="Kachin"/>
    <s v="Bhamo"/>
    <s v="Phan Khar Kone"/>
    <m/>
    <m/>
    <n v="49"/>
    <m/>
    <m/>
    <m/>
    <n v="49"/>
    <m/>
    <m/>
    <m/>
    <m/>
    <m/>
    <m/>
    <m/>
    <m/>
    <m/>
    <m/>
    <n v="0"/>
    <n v="0"/>
    <n v="0"/>
    <n v="0"/>
    <n v="0"/>
    <n v="0"/>
    <n v="0"/>
    <n v="0"/>
    <n v="0"/>
    <n v="0"/>
    <n v="0"/>
    <n v="0"/>
    <n v="0"/>
    <n v="0"/>
    <x v="0"/>
    <n v="0"/>
    <n v="0"/>
    <n v="0"/>
    <s v="MMR001CMP193"/>
    <x v="0"/>
    <x v="0"/>
    <x v="4"/>
    <n v="1.1871592973955178E-3"/>
    <s v="No"/>
    <m/>
  </r>
  <r>
    <n v="42.56666666666667"/>
    <d v="2013-11-01T00:00:00"/>
    <x v="1"/>
    <s v="UNHCR"/>
    <s v="Kachin"/>
    <s v="Bhamo"/>
    <s v="Aung Thar Church"/>
    <m/>
    <m/>
    <n v="8"/>
    <n v="6"/>
    <n v="4"/>
    <n v="6"/>
    <n v="4"/>
    <n v="4"/>
    <m/>
    <m/>
    <m/>
    <m/>
    <m/>
    <m/>
    <m/>
    <m/>
    <m/>
    <n v="0"/>
    <n v="0"/>
    <n v="0"/>
    <n v="0"/>
    <n v="0"/>
    <n v="0"/>
    <n v="0"/>
    <n v="0"/>
    <n v="0"/>
    <n v="0"/>
    <n v="0"/>
    <n v="0"/>
    <n v="0"/>
    <n v="0"/>
    <x v="0"/>
    <n v="0"/>
    <n v="0"/>
    <n v="0"/>
    <s v="MMR001CMP194"/>
    <x v="0"/>
    <x v="0"/>
    <x v="4"/>
    <n v="9.8070463628116802E-5"/>
    <s v="No"/>
    <m/>
  </r>
  <r>
    <n v="42.56666666666667"/>
    <d v="2013-11-01T00:00:00"/>
    <x v="1"/>
    <s v="UNHCR"/>
    <s v="Kachin"/>
    <s v="Bhamo"/>
    <s v="Htoi San Church"/>
    <m/>
    <m/>
    <n v="12"/>
    <n v="9"/>
    <n v="6"/>
    <n v="9"/>
    <n v="6"/>
    <n v="6"/>
    <n v="6"/>
    <m/>
    <m/>
    <m/>
    <m/>
    <m/>
    <m/>
    <m/>
    <m/>
    <n v="0"/>
    <n v="0"/>
    <n v="0"/>
    <n v="0"/>
    <n v="0"/>
    <n v="0"/>
    <n v="0"/>
    <n v="0"/>
    <n v="0"/>
    <n v="0"/>
    <n v="0"/>
    <n v="0"/>
    <n v="0"/>
    <n v="0"/>
    <x v="0"/>
    <n v="0"/>
    <n v="0"/>
    <n v="0"/>
    <s v="MMR001CMP052"/>
    <x v="0"/>
    <x v="0"/>
    <x v="4"/>
    <n v="1.4677821811243211E-4"/>
    <s v="No"/>
    <m/>
  </r>
  <r>
    <n v="42.56666666666667"/>
    <d v="2013-11-01T00:00:00"/>
    <x v="1"/>
    <s v="UNHCR"/>
    <s v="Kachin"/>
    <s v="Bhamo"/>
    <s v="Robert Church"/>
    <m/>
    <m/>
    <n v="40"/>
    <n v="48"/>
    <n v="20"/>
    <n v="48"/>
    <n v="20"/>
    <n v="20"/>
    <n v="500"/>
    <n v="500"/>
    <m/>
    <m/>
    <m/>
    <m/>
    <m/>
    <m/>
    <m/>
    <n v="0"/>
    <n v="0"/>
    <n v="0"/>
    <n v="0"/>
    <n v="0"/>
    <n v="0"/>
    <n v="0"/>
    <n v="0"/>
    <n v="0"/>
    <n v="0"/>
    <n v="0"/>
    <n v="0"/>
    <n v="0"/>
    <n v="0"/>
    <x v="0"/>
    <n v="0"/>
    <n v="0"/>
    <n v="0"/>
    <s v="MMR001CMP047"/>
    <x v="0"/>
    <x v="0"/>
    <x v="4"/>
    <n v="4.9109883364027013E-4"/>
    <s v="No"/>
    <m/>
  </r>
  <r>
    <n v="42.633333333333333"/>
    <d v="2013-10-30T00:00:00"/>
    <x v="1"/>
    <s v="UNHCR"/>
    <s v="Kachin"/>
    <s v="Bhamo"/>
    <s v="AD-2000 Tharthana Compound"/>
    <m/>
    <m/>
    <n v="22"/>
    <n v="40"/>
    <n v="21"/>
    <n v="40"/>
    <n v="21"/>
    <n v="21"/>
    <n v="21"/>
    <n v="21"/>
    <m/>
    <m/>
    <m/>
    <m/>
    <m/>
    <m/>
    <m/>
    <n v="0"/>
    <n v="0"/>
    <n v="0"/>
    <n v="0"/>
    <n v="0"/>
    <n v="0"/>
    <n v="0"/>
    <n v="0"/>
    <n v="0"/>
    <n v="0"/>
    <n v="0"/>
    <n v="0"/>
    <n v="0"/>
    <n v="0"/>
    <x v="0"/>
    <n v="0"/>
    <n v="0"/>
    <n v="0"/>
    <s v="MMR001CMP050"/>
    <x v="0"/>
    <x v="0"/>
    <x v="4"/>
    <n v="5.1410105757931847E-4"/>
    <s v="No"/>
    <m/>
  </r>
  <r>
    <n v="42.633333333333333"/>
    <d v="2013-10-30T00:00:00"/>
    <x v="1"/>
    <s v="UNHCR"/>
    <s v="Kachin"/>
    <s v="Bhamo"/>
    <s v="Htoi San Church"/>
    <m/>
    <m/>
    <n v="72"/>
    <n v="61"/>
    <n v="36"/>
    <n v="61"/>
    <n v="36"/>
    <n v="36"/>
    <n v="36"/>
    <n v="36"/>
    <m/>
    <m/>
    <m/>
    <m/>
    <m/>
    <m/>
    <m/>
    <n v="0"/>
    <n v="0"/>
    <n v="0"/>
    <n v="0"/>
    <n v="0"/>
    <n v="0"/>
    <n v="0"/>
    <n v="0"/>
    <n v="0"/>
    <n v="0"/>
    <n v="0"/>
    <n v="0"/>
    <n v="0"/>
    <n v="0"/>
    <x v="0"/>
    <n v="0"/>
    <n v="0"/>
    <n v="0"/>
    <s v="MMR001CMP052"/>
    <x v="0"/>
    <x v="0"/>
    <x v="4"/>
    <n v="8.8066930867459266E-4"/>
    <s v="No"/>
    <m/>
  </r>
  <r>
    <n v="42.633333333333333"/>
    <d v="2013-10-30T00:00:00"/>
    <x v="1"/>
    <s v="UNHCR"/>
    <s v="Kachin"/>
    <s v="Bhamo"/>
    <s v="Phan Khar Kone"/>
    <m/>
    <m/>
    <n v="81"/>
    <n v="94"/>
    <n v="50"/>
    <n v="94"/>
    <n v="50"/>
    <n v="50"/>
    <n v="50"/>
    <n v="50"/>
    <m/>
    <m/>
    <m/>
    <m/>
    <m/>
    <m/>
    <m/>
    <n v="0"/>
    <n v="0"/>
    <n v="0"/>
    <n v="0"/>
    <n v="0"/>
    <n v="0"/>
    <n v="0"/>
    <n v="0"/>
    <n v="0"/>
    <n v="0"/>
    <n v="0"/>
    <n v="0"/>
    <n v="0"/>
    <n v="0"/>
    <x v="0"/>
    <n v="0"/>
    <n v="0"/>
    <n v="0"/>
    <s v="MMR001CMP193"/>
    <x v="0"/>
    <x v="0"/>
    <x v="4"/>
    <n v="1.2113870381586917E-3"/>
    <s v="No"/>
    <m/>
  </r>
  <r>
    <n v="43.766666666666666"/>
    <d v="2013-09-26T00:00:00"/>
    <x v="1"/>
    <s v="UNHCR"/>
    <s v="Kachin"/>
    <s v="Momauk"/>
    <s v="Hpun Lum Yang "/>
    <m/>
    <m/>
    <n v="882"/>
    <n v="882"/>
    <n v="441"/>
    <n v="882"/>
    <n v="441"/>
    <m/>
    <n v="441"/>
    <n v="882"/>
    <m/>
    <m/>
    <m/>
    <m/>
    <m/>
    <m/>
    <m/>
    <n v="0"/>
    <n v="0"/>
    <n v="0"/>
    <n v="0"/>
    <n v="0"/>
    <n v="0"/>
    <n v="0"/>
    <n v="0"/>
    <n v="0"/>
    <n v="0"/>
    <n v="0"/>
    <n v="0"/>
    <n v="0"/>
    <n v="0"/>
    <x v="0"/>
    <n v="0"/>
    <n v="0"/>
    <n v="0"/>
    <s v="MMR001CMP122"/>
    <x v="0"/>
    <x v="0"/>
    <x v="5"/>
    <n v="1.0836712126796905E-2"/>
    <s v="No"/>
    <m/>
  </r>
  <r>
    <n v="43.766666666666666"/>
    <d v="2013-09-26T00:00:00"/>
    <x v="1"/>
    <s v="UNHCR"/>
    <s v="Kachin"/>
    <s v="Momauk"/>
    <s v="Je Yang Hka "/>
    <m/>
    <m/>
    <n v="1628"/>
    <n v="3256"/>
    <n v="1628"/>
    <n v="3256"/>
    <n v="1628"/>
    <m/>
    <n v="1628"/>
    <n v="3256"/>
    <m/>
    <m/>
    <m/>
    <m/>
    <m/>
    <m/>
    <m/>
    <n v="0"/>
    <n v="0"/>
    <n v="0"/>
    <n v="0"/>
    <n v="0"/>
    <n v="0"/>
    <n v="0"/>
    <n v="0"/>
    <n v="0"/>
    <n v="0"/>
    <n v="0"/>
    <n v="0"/>
    <n v="0"/>
    <n v="0"/>
    <x v="0"/>
    <n v="0"/>
    <n v="0"/>
    <n v="0"/>
    <s v="MMR001CMP121"/>
    <x v="0"/>
    <x v="0"/>
    <x v="5"/>
    <n v="3.9648328097221207E-2"/>
    <s v="No"/>
    <m/>
  </r>
  <r>
    <n v="43.766666666666666"/>
    <d v="2013-09-26T00:00:00"/>
    <x v="1"/>
    <s v="UNHCR"/>
    <s v="Kachin"/>
    <s v="Waingmaw"/>
    <s v="Laiza Market 3 - Laiza Gat"/>
    <m/>
    <m/>
    <n v="437"/>
    <n v="874"/>
    <n v="437"/>
    <n v="874"/>
    <n v="437"/>
    <n v="54"/>
    <n v="383"/>
    <n v="766"/>
    <m/>
    <m/>
    <m/>
    <m/>
    <m/>
    <m/>
    <m/>
    <n v="0"/>
    <n v="0"/>
    <n v="0"/>
    <n v="0"/>
    <n v="0"/>
    <n v="0"/>
    <n v="0"/>
    <n v="0"/>
    <n v="0"/>
    <n v="0"/>
    <n v="0"/>
    <n v="0"/>
    <n v="0"/>
    <n v="0"/>
    <x v="0"/>
    <n v="0"/>
    <n v="0"/>
    <n v="0"/>
    <s v="MMR001CMP117"/>
    <x v="0"/>
    <x v="2"/>
    <x v="5"/>
    <n v="1.0738419953311217E-2"/>
    <s v="No"/>
    <m/>
  </r>
  <r>
    <n v="44.033333333333331"/>
    <d v="2013-09-18T00:00:00"/>
    <x v="1"/>
    <s v="UNHCR"/>
    <s v="Kachin"/>
    <s v="Waingmaw"/>
    <s v="Woi Chyai "/>
    <m/>
    <m/>
    <n v="1520"/>
    <n v="1520"/>
    <n v="760"/>
    <n v="1520"/>
    <n v="760"/>
    <n v="760"/>
    <m/>
    <m/>
    <m/>
    <m/>
    <m/>
    <m/>
    <m/>
    <m/>
    <m/>
    <n v="0"/>
    <n v="0"/>
    <n v="0"/>
    <n v="0"/>
    <n v="0"/>
    <n v="0"/>
    <n v="0"/>
    <n v="0"/>
    <n v="0"/>
    <n v="0"/>
    <n v="0"/>
    <n v="0"/>
    <n v="0"/>
    <n v="0"/>
    <x v="0"/>
    <n v="0"/>
    <n v="0"/>
    <n v="0"/>
    <s v="MMR001CMP116"/>
    <x v="0"/>
    <x v="0"/>
    <x v="4"/>
    <n v="1.8675512962280379E-2"/>
    <s v="No"/>
    <m/>
  </r>
  <r>
    <n v="44.233333333333334"/>
    <d v="2013-09-12T00:00:00"/>
    <x v="1"/>
    <s v="UNHCR"/>
    <s v="Kachin"/>
    <s v="Momauk"/>
    <s v="Nhkawng Pa "/>
    <m/>
    <m/>
    <n v="640"/>
    <n v="640"/>
    <n v="320"/>
    <n v="320"/>
    <n v="320"/>
    <n v="320"/>
    <n v="640"/>
    <n v="320"/>
    <m/>
    <m/>
    <m/>
    <m/>
    <m/>
    <m/>
    <m/>
    <n v="0"/>
    <n v="0"/>
    <n v="0"/>
    <n v="0"/>
    <n v="0"/>
    <n v="0"/>
    <n v="0"/>
    <n v="0"/>
    <n v="0"/>
    <n v="0"/>
    <n v="0"/>
    <n v="0"/>
    <n v="0"/>
    <n v="0"/>
    <x v="0"/>
    <n v="0"/>
    <n v="0"/>
    <n v="0"/>
    <s v="MMR001CMP131"/>
    <x v="0"/>
    <x v="0"/>
    <x v="3"/>
    <n v="7.8048780487804878E-3"/>
    <s v="No"/>
    <m/>
  </r>
  <r>
    <n v="45.233333333333334"/>
    <d v="2013-08-13T00:00:00"/>
    <x v="1"/>
    <s v="KMSS"/>
    <s v="Shan_North"/>
    <s v="Manton"/>
    <s v="Host Families"/>
    <m/>
    <m/>
    <n v="49"/>
    <n v="90"/>
    <n v="30"/>
    <n v="90"/>
    <n v="30"/>
    <n v="30"/>
    <n v="30"/>
    <n v="30"/>
    <m/>
    <m/>
    <m/>
    <m/>
    <m/>
    <m/>
    <m/>
    <n v="0"/>
    <n v="0"/>
    <n v="0"/>
    <n v="0"/>
    <n v="0"/>
    <n v="0"/>
    <n v="0"/>
    <n v="0"/>
    <n v="0"/>
    <n v="0"/>
    <n v="0"/>
    <n v="0"/>
    <n v="0"/>
    <n v="0"/>
    <x v="0"/>
    <n v="0"/>
    <n v="0"/>
    <n v="0"/>
    <s v="MMR001CMP163"/>
    <x v="0"/>
    <x v="0"/>
    <x v="4"/>
    <s v=""/>
    <s v="No"/>
    <m/>
  </r>
  <r>
    <n v="45.233333333333334"/>
    <d v="2013-08-13T00:00:00"/>
    <x v="1"/>
    <s v="KBC"/>
    <s v="Shan_North"/>
    <s v="Kutkai"/>
    <s v="Kone Khem Camp"/>
    <m/>
    <m/>
    <n v="70"/>
    <n v="120"/>
    <n v="48"/>
    <n v="120"/>
    <n v="48"/>
    <n v="48"/>
    <n v="48"/>
    <n v="48"/>
    <m/>
    <m/>
    <m/>
    <m/>
    <m/>
    <m/>
    <m/>
    <n v="0"/>
    <n v="0"/>
    <n v="0"/>
    <n v="0"/>
    <n v="0"/>
    <n v="0"/>
    <n v="0"/>
    <n v="0"/>
    <n v="0"/>
    <n v="0"/>
    <n v="0"/>
    <n v="0"/>
    <n v="0"/>
    <n v="0"/>
    <x v="0"/>
    <n v="0"/>
    <n v="0"/>
    <n v="0"/>
    <s v="MMR015CMP015"/>
    <x v="0"/>
    <x v="2"/>
    <x v="0"/>
    <n v="1.162931556632344E-3"/>
    <s v="No"/>
    <m/>
  </r>
  <r>
    <n v="45.233333333333334"/>
    <d v="2013-08-13T00:00:00"/>
    <x v="1"/>
    <s v="KMSS"/>
    <s v="Shan_North"/>
    <s v="Kutkai"/>
    <s v="Kutkai downtown (RC Church)"/>
    <m/>
    <m/>
    <n v="47"/>
    <n v="103"/>
    <n v="41"/>
    <n v="103"/>
    <n v="41"/>
    <n v="41"/>
    <n v="41"/>
    <n v="41"/>
    <m/>
    <m/>
    <m/>
    <m/>
    <m/>
    <m/>
    <m/>
    <n v="0"/>
    <n v="0"/>
    <n v="0"/>
    <n v="0"/>
    <n v="0"/>
    <n v="0"/>
    <n v="0"/>
    <n v="0"/>
    <n v="0"/>
    <n v="0"/>
    <n v="0"/>
    <n v="0"/>
    <n v="0"/>
    <n v="0"/>
    <x v="0"/>
    <n v="0"/>
    <n v="0"/>
    <n v="0"/>
    <s v="MMR015CMP017"/>
    <x v="0"/>
    <x v="0"/>
    <x v="0"/>
    <n v="9.9408398797400837E-4"/>
    <s v="No"/>
    <m/>
  </r>
  <r>
    <n v="45.233333333333334"/>
    <d v="2013-08-13T00:00:00"/>
    <x v="1"/>
    <s v="KBC"/>
    <s v="Shan_North"/>
    <s v="Manton"/>
    <s v="Mandung - Jinghpaw"/>
    <m/>
    <m/>
    <n v="36"/>
    <n v="84"/>
    <n v="42"/>
    <n v="84"/>
    <n v="42"/>
    <n v="42"/>
    <n v="42"/>
    <n v="42"/>
    <m/>
    <m/>
    <m/>
    <m/>
    <m/>
    <m/>
    <m/>
    <n v="0"/>
    <n v="0"/>
    <n v="0"/>
    <n v="0"/>
    <n v="0"/>
    <n v="0"/>
    <n v="0"/>
    <n v="0"/>
    <n v="0"/>
    <n v="0"/>
    <n v="0"/>
    <n v="0"/>
    <n v="0"/>
    <n v="0"/>
    <x v="0"/>
    <n v="0"/>
    <n v="0"/>
    <n v="0"/>
    <s v="MMR015CMP009"/>
    <x v="0"/>
    <x v="0"/>
    <x v="5"/>
    <n v="1.0243902439024391E-3"/>
    <s v="No"/>
    <m/>
  </r>
  <r>
    <n v="45.233333333333334"/>
    <d v="2013-08-13T00:00:00"/>
    <x v="1"/>
    <s v="KBC"/>
    <s v="Shan_North"/>
    <s v="Kutkai"/>
    <s v="Mine Yu Lay village"/>
    <m/>
    <m/>
    <n v="113"/>
    <n v="160"/>
    <n v="32"/>
    <n v="160"/>
    <n v="32"/>
    <n v="32"/>
    <n v="32"/>
    <n v="32"/>
    <m/>
    <m/>
    <m/>
    <m/>
    <m/>
    <m/>
    <m/>
    <n v="0"/>
    <n v="0"/>
    <n v="0"/>
    <n v="0"/>
    <n v="0"/>
    <n v="0"/>
    <n v="0"/>
    <n v="0"/>
    <n v="0"/>
    <n v="0"/>
    <n v="0"/>
    <n v="0"/>
    <n v="0"/>
    <n v="0"/>
    <x v="0"/>
    <n v="0"/>
    <n v="0"/>
    <n v="0"/>
    <s v="MMR015CMP018"/>
    <x v="0"/>
    <x v="0"/>
    <x v="0"/>
    <n v="7.7528770442156269E-4"/>
    <s v="No"/>
    <m/>
  </r>
  <r>
    <n v="45.233333333333334"/>
    <d v="2013-08-13T00:00:00"/>
    <x v="1"/>
    <s v="KMSS"/>
    <s v="Shan_North"/>
    <s v="Kutkai"/>
    <s v="Mungji Pa Dabang (Baptist Church)         "/>
    <m/>
    <m/>
    <n v="30"/>
    <n v="56"/>
    <n v="23"/>
    <n v="56"/>
    <n v="23"/>
    <n v="23"/>
    <n v="23"/>
    <n v="23"/>
    <m/>
    <m/>
    <m/>
    <m/>
    <m/>
    <m/>
    <m/>
    <n v="0"/>
    <n v="0"/>
    <n v="0"/>
    <n v="0"/>
    <n v="0"/>
    <n v="0"/>
    <n v="0"/>
    <n v="0"/>
    <n v="0"/>
    <n v="0"/>
    <n v="0"/>
    <n v="0"/>
    <n v="0"/>
    <n v="0"/>
    <x v="0"/>
    <n v="0"/>
    <n v="0"/>
    <n v="0"/>
    <s v="MMR015CMP006"/>
    <x v="0"/>
    <x v="0"/>
    <x v="3"/>
    <n v="5.6390516586167158E-4"/>
    <s v="No"/>
    <m/>
  </r>
  <r>
    <n v="45.233333333333334"/>
    <d v="2013-08-13T00:00:00"/>
    <x v="1"/>
    <s v="KBC"/>
    <s v="Shan_North"/>
    <s v="Namhkan"/>
    <s v="Nam Hkam - Nay Win Ni (Palawng)"/>
    <m/>
    <m/>
    <n v="125"/>
    <n v="233"/>
    <n v="93"/>
    <n v="233"/>
    <n v="93"/>
    <n v="93"/>
    <n v="93"/>
    <n v="93"/>
    <m/>
    <m/>
    <m/>
    <m/>
    <m/>
    <m/>
    <m/>
    <n v="0"/>
    <n v="0"/>
    <n v="0"/>
    <n v="0"/>
    <n v="0"/>
    <n v="0"/>
    <n v="0"/>
    <n v="0"/>
    <n v="0"/>
    <n v="0"/>
    <n v="0"/>
    <n v="0"/>
    <n v="0"/>
    <n v="0"/>
    <x v="0"/>
    <n v="0"/>
    <n v="0"/>
    <n v="0"/>
    <s v="MMR015CMP004"/>
    <x v="0"/>
    <x v="0"/>
    <x v="0"/>
    <n v="2.2350933692230047E-3"/>
    <s v="No"/>
    <m/>
  </r>
  <r>
    <n v="45.233333333333334"/>
    <d v="2013-08-13T00:00:00"/>
    <x v="1"/>
    <s v="KMSS"/>
    <s v="Shan_North"/>
    <s v="Namhkan"/>
    <s v="Nam Hkam (KBC Jaw Wang)"/>
    <m/>
    <m/>
    <n v="100"/>
    <n v="188"/>
    <n v="75"/>
    <n v="188"/>
    <n v="75"/>
    <n v="75"/>
    <n v="75"/>
    <n v="75"/>
    <m/>
    <m/>
    <m/>
    <m/>
    <m/>
    <m/>
    <m/>
    <n v="0"/>
    <n v="0"/>
    <n v="0"/>
    <n v="0"/>
    <n v="0"/>
    <n v="0"/>
    <n v="0"/>
    <n v="0"/>
    <n v="0"/>
    <n v="0"/>
    <n v="0"/>
    <n v="0"/>
    <n v="0"/>
    <n v="0"/>
    <x v="0"/>
    <n v="0"/>
    <n v="0"/>
    <n v="0"/>
    <s v="MMR015CMP001"/>
    <x v="0"/>
    <x v="0"/>
    <x v="0"/>
    <n v="1.8347277264054015E-3"/>
    <s v="No"/>
    <m/>
  </r>
  <r>
    <n v="45.233333333333334"/>
    <d v="2013-08-13T00:00:00"/>
    <x v="1"/>
    <s v="KMSS"/>
    <s v="Shan_North"/>
    <s v="Namhkan"/>
    <s v="Nam Hkam Catholic Church ( St. Thomas I)"/>
    <m/>
    <m/>
    <n v="36"/>
    <n v="72"/>
    <n v="33"/>
    <n v="72"/>
    <n v="33"/>
    <n v="33"/>
    <n v="33"/>
    <n v="33"/>
    <m/>
    <m/>
    <m/>
    <m/>
    <m/>
    <m/>
    <m/>
    <n v="0"/>
    <n v="0"/>
    <n v="0"/>
    <n v="0"/>
    <n v="0"/>
    <n v="0"/>
    <n v="0"/>
    <n v="0"/>
    <n v="0"/>
    <n v="0"/>
    <n v="0"/>
    <n v="0"/>
    <n v="0"/>
    <n v="0"/>
    <x v="0"/>
    <n v="0"/>
    <n v="0"/>
    <n v="0"/>
    <s v="MMR015CMP003"/>
    <x v="0"/>
    <x v="0"/>
    <x v="0"/>
    <n v="8.0728019961837658E-4"/>
    <s v="No"/>
    <m/>
  </r>
  <r>
    <n v="45.233333333333334"/>
    <d v="2013-08-13T00:00:00"/>
    <x v="1"/>
    <s v="KMSS"/>
    <s v="Shan_North"/>
    <s v="Namtu"/>
    <s v="Nam Tu RC"/>
    <m/>
    <m/>
    <n v="130"/>
    <n v="288"/>
    <n v="115"/>
    <n v="288"/>
    <n v="115"/>
    <n v="115"/>
    <n v="115"/>
    <n v="115"/>
    <m/>
    <m/>
    <m/>
    <m/>
    <m/>
    <m/>
    <m/>
    <n v="0"/>
    <n v="0"/>
    <n v="0"/>
    <n v="0"/>
    <n v="0"/>
    <n v="0"/>
    <n v="0"/>
    <n v="0"/>
    <n v="0"/>
    <n v="0"/>
    <n v="0"/>
    <n v="0"/>
    <n v="0"/>
    <n v="0"/>
    <x v="0"/>
    <n v="0"/>
    <n v="0"/>
    <n v="0"/>
    <s v="MMR015CMP210"/>
    <x v="0"/>
    <x v="0"/>
    <x v="0"/>
    <s v=""/>
    <s v="No"/>
    <m/>
  </r>
  <r>
    <n v="45.233333333333334"/>
    <d v="2013-08-13T00:00:00"/>
    <x v="1"/>
    <s v="KBC"/>
    <s v="Shan_North"/>
    <s v="Hseni"/>
    <s v="Narte"/>
    <m/>
    <m/>
    <n v="27"/>
    <n v="43"/>
    <n v="17"/>
    <n v="43"/>
    <n v="17"/>
    <n v="17"/>
    <n v="17"/>
    <n v="17"/>
    <m/>
    <m/>
    <m/>
    <m/>
    <m/>
    <m/>
    <m/>
    <n v="0"/>
    <n v="0"/>
    <n v="0"/>
    <n v="0"/>
    <n v="0"/>
    <n v="0"/>
    <n v="0"/>
    <n v="0"/>
    <n v="0"/>
    <n v="0"/>
    <n v="0"/>
    <n v="0"/>
    <n v="0"/>
    <n v="0"/>
    <x v="0"/>
    <n v="0"/>
    <n v="0"/>
    <n v="0"/>
    <s v="MMR015CMP207"/>
    <x v="0"/>
    <x v="0"/>
    <x v="4"/>
    <n v="4.1097546234739513E-4"/>
    <s v="No"/>
    <m/>
  </r>
  <r>
    <n v="45.233333333333334"/>
    <d v="2013-08-13T00:00:00"/>
    <x v="1"/>
    <s v="KMSS"/>
    <s v="Shan_North"/>
    <s v="Kutkai"/>
    <s v="Mungji Pa Dabang (RC Church)         "/>
    <m/>
    <m/>
    <n v="70"/>
    <n v="130"/>
    <n v="52"/>
    <n v="130"/>
    <n v="52"/>
    <n v="52"/>
    <n v="52"/>
    <n v="52"/>
    <m/>
    <m/>
    <m/>
    <m/>
    <m/>
    <m/>
    <m/>
    <n v="0"/>
    <n v="0"/>
    <n v="0"/>
    <n v="0"/>
    <n v="0"/>
    <n v="0"/>
    <n v="0"/>
    <n v="0"/>
    <n v="0"/>
    <n v="0"/>
    <n v="0"/>
    <n v="0"/>
    <n v="0"/>
    <n v="0"/>
    <x v="0"/>
    <n v="0"/>
    <n v="0"/>
    <n v="0"/>
    <s v="MMR015CMP019"/>
    <x v="0"/>
    <x v="2"/>
    <x v="2"/>
    <n v="1.2749160271655184E-3"/>
    <s v="No"/>
    <m/>
  </r>
  <r>
    <n v="45.233333333333334"/>
    <d v="2013-08-13T00:00:00"/>
    <x v="1"/>
    <s v="KBC"/>
    <s v="Shan_North"/>
    <s v="Hseni"/>
    <s v="Na Ti (Koe Kant Traditional school)"/>
    <m/>
    <m/>
    <n v="67"/>
    <n v="90"/>
    <n v="30"/>
    <n v="90"/>
    <n v="30"/>
    <n v="30"/>
    <n v="30"/>
    <n v="30"/>
    <m/>
    <m/>
    <m/>
    <m/>
    <m/>
    <m/>
    <m/>
    <n v="0"/>
    <n v="0"/>
    <n v="0"/>
    <n v="0"/>
    <n v="0"/>
    <n v="0"/>
    <n v="0"/>
    <n v="0"/>
    <n v="0"/>
    <n v="0"/>
    <n v="0"/>
    <n v="0"/>
    <n v="0"/>
    <n v="0"/>
    <x v="0"/>
    <n v="0"/>
    <n v="0"/>
    <n v="0"/>
    <s v=""/>
    <x v="2"/>
    <x v="1"/>
    <x v="2"/>
    <s v=""/>
    <s v="No"/>
    <m/>
  </r>
  <r>
    <n v="45.233333333333334"/>
    <d v="2013-08-13T00:00:00"/>
    <x v="1"/>
    <s v="KMSS"/>
    <s v="Shan_North"/>
    <s v="Namhkan"/>
    <s v="Nam Hkam Catholic Church ( St. Thomas II)"/>
    <m/>
    <m/>
    <n v="40"/>
    <n v="83"/>
    <n v="33"/>
    <n v="83"/>
    <n v="33"/>
    <n v="33"/>
    <n v="33"/>
    <n v="33"/>
    <m/>
    <m/>
    <m/>
    <m/>
    <m/>
    <m/>
    <m/>
    <n v="0"/>
    <n v="0"/>
    <n v="0"/>
    <n v="0"/>
    <n v="0"/>
    <n v="0"/>
    <n v="0"/>
    <n v="0"/>
    <n v="0"/>
    <n v="0"/>
    <n v="0"/>
    <n v="0"/>
    <n v="0"/>
    <n v="0"/>
    <x v="0"/>
    <n v="0"/>
    <n v="0"/>
    <n v="0"/>
    <s v="MMR015CMP024"/>
    <x v="0"/>
    <x v="2"/>
    <x v="2"/>
    <s v=""/>
    <s v="No"/>
    <m/>
  </r>
  <r>
    <n v="45.43333333333333"/>
    <d v="2013-08-07T00:00:00"/>
    <x v="1"/>
    <s v="UNHCR"/>
    <s v="Kachin"/>
    <s v="Waingmaw"/>
    <s v="Mading Baptist Church"/>
    <m/>
    <m/>
    <n v="15"/>
    <n v="57"/>
    <n v="24"/>
    <n v="57"/>
    <n v="24"/>
    <n v="24"/>
    <n v="24"/>
    <n v="24"/>
    <m/>
    <m/>
    <m/>
    <m/>
    <m/>
    <m/>
    <m/>
    <n v="0"/>
    <n v="0"/>
    <n v="0"/>
    <n v="0"/>
    <n v="0"/>
    <n v="0"/>
    <n v="0"/>
    <n v="0"/>
    <n v="0"/>
    <n v="0"/>
    <n v="0"/>
    <n v="0"/>
    <n v="0"/>
    <n v="0"/>
    <x v="0"/>
    <n v="0"/>
    <n v="0"/>
    <n v="0"/>
    <s v="MMR001CMP027"/>
    <x v="0"/>
    <x v="0"/>
    <x v="4"/>
    <n v="5.849378503534E-4"/>
    <s v="No"/>
    <m/>
  </r>
  <r>
    <n v="45.43333333333333"/>
    <d v="2013-08-07T00:00:00"/>
    <x v="1"/>
    <s v="UNHCR"/>
    <s v="Kachin"/>
    <s v="Waingmaw"/>
    <s v="Maina AG Church"/>
    <m/>
    <m/>
    <n v="20"/>
    <n v="40"/>
    <n v="17"/>
    <n v="40"/>
    <n v="17"/>
    <n v="17"/>
    <n v="17"/>
    <n v="17"/>
    <m/>
    <m/>
    <m/>
    <m/>
    <m/>
    <m/>
    <m/>
    <n v="0"/>
    <n v="0"/>
    <n v="0"/>
    <n v="0"/>
    <n v="0"/>
    <n v="0"/>
    <n v="0"/>
    <n v="0"/>
    <n v="0"/>
    <n v="0"/>
    <n v="0"/>
    <n v="0"/>
    <n v="0"/>
    <n v="0"/>
    <x v="0"/>
    <n v="0"/>
    <n v="0"/>
    <n v="0"/>
    <s v="MMR001CMP031"/>
    <x v="0"/>
    <x v="0"/>
    <x v="4"/>
    <n v="4.1007333076032419E-4"/>
    <s v="No"/>
    <m/>
  </r>
  <r>
    <n v="45.43333333333333"/>
    <d v="2013-08-07T00:00:00"/>
    <x v="1"/>
    <s v="UNHCR"/>
    <s v="Kachin"/>
    <s v="Myitkyina"/>
    <s v="Maliyang Baptist Church"/>
    <m/>
    <m/>
    <n v="15"/>
    <n v="25"/>
    <n v="11"/>
    <n v="25"/>
    <n v="11"/>
    <n v="11"/>
    <n v="11"/>
    <n v="11"/>
    <m/>
    <m/>
    <m/>
    <m/>
    <m/>
    <m/>
    <m/>
    <n v="0"/>
    <n v="0"/>
    <n v="0"/>
    <n v="0"/>
    <n v="0"/>
    <n v="0"/>
    <n v="0"/>
    <n v="0"/>
    <n v="0"/>
    <n v="0"/>
    <n v="0"/>
    <n v="0"/>
    <n v="0"/>
    <n v="0"/>
    <x v="0"/>
    <n v="0"/>
    <n v="0"/>
    <n v="0"/>
    <s v="MMR001CMP016"/>
    <x v="0"/>
    <x v="0"/>
    <x v="4"/>
    <n v="2.6989891058985181E-4"/>
    <s v="No"/>
    <m/>
  </r>
  <r>
    <n v="45.9"/>
    <d v="2013-07-24T00:00:00"/>
    <x v="1"/>
    <s v="KBC"/>
    <s v="Kachin"/>
    <s v="Myitkyina"/>
    <s v="Le Kone Bethlehem Church"/>
    <m/>
    <m/>
    <n v="66"/>
    <n v="98"/>
    <n v="45"/>
    <n v="98"/>
    <n v="45"/>
    <n v="45"/>
    <n v="45"/>
    <n v="45"/>
    <m/>
    <m/>
    <m/>
    <m/>
    <m/>
    <m/>
    <m/>
    <n v="0"/>
    <n v="0"/>
    <n v="0"/>
    <n v="0"/>
    <n v="0"/>
    <n v="0"/>
    <n v="0"/>
    <n v="0"/>
    <n v="0"/>
    <n v="0"/>
    <n v="0"/>
    <n v="0"/>
    <n v="0"/>
    <n v="0"/>
    <x v="0"/>
    <n v="0"/>
    <n v="0"/>
    <n v="0"/>
    <s v="MMR001CMP015"/>
    <x v="0"/>
    <x v="0"/>
    <x v="4"/>
    <n v="1.1082924907026574E-3"/>
    <s v="No"/>
    <m/>
  </r>
  <r>
    <n v="45.9"/>
    <d v="2013-07-24T00:00:00"/>
    <x v="1"/>
    <s v="KBC"/>
    <s v="Kachin"/>
    <s v="Myitkyina"/>
    <s v="Le Kone Ziun Baptist Church "/>
    <m/>
    <m/>
    <n v="100"/>
    <n v="158"/>
    <n v="65"/>
    <n v="158"/>
    <n v="65"/>
    <n v="65"/>
    <n v="65"/>
    <n v="65"/>
    <m/>
    <m/>
    <m/>
    <m/>
    <m/>
    <m/>
    <m/>
    <n v="0"/>
    <n v="0"/>
    <n v="0"/>
    <n v="0"/>
    <n v="0"/>
    <n v="0"/>
    <n v="0"/>
    <n v="0"/>
    <n v="0"/>
    <n v="0"/>
    <n v="0"/>
    <n v="0"/>
    <n v="0"/>
    <n v="0"/>
    <x v="0"/>
    <n v="0"/>
    <n v="0"/>
    <n v="0"/>
    <s v="MMR001CMP014"/>
    <x v="0"/>
    <x v="0"/>
    <x v="4"/>
    <n v="1.5972478191424008E-3"/>
    <s v="No"/>
    <m/>
  </r>
  <r>
    <n v="45.9"/>
    <d v="2013-07-24T00:00:00"/>
    <x v="1"/>
    <s v="Shalom"/>
    <s v="Kachin"/>
    <s v="Waingmaw"/>
    <s v="Maina AG Church"/>
    <m/>
    <m/>
    <n v="10"/>
    <n v="14"/>
    <n v="7"/>
    <n v="14"/>
    <n v="7"/>
    <n v="7"/>
    <n v="7"/>
    <n v="7"/>
    <m/>
    <m/>
    <m/>
    <m/>
    <m/>
    <m/>
    <m/>
    <n v="0"/>
    <n v="0"/>
    <n v="0"/>
    <n v="0"/>
    <n v="0"/>
    <n v="0"/>
    <n v="0"/>
    <n v="0"/>
    <n v="0"/>
    <n v="0"/>
    <n v="0"/>
    <n v="0"/>
    <n v="0"/>
    <n v="0"/>
    <x v="0"/>
    <n v="0"/>
    <n v="0"/>
    <n v="0"/>
    <s v="MMR001CMP031"/>
    <x v="0"/>
    <x v="0"/>
    <x v="4"/>
    <n v="1.6885372443072174E-4"/>
    <s v="No"/>
    <m/>
  </r>
  <r>
    <n v="45.9"/>
    <d v="2013-07-24T00:00:00"/>
    <x v="1"/>
    <s v="KMSS"/>
    <s v="Kachin"/>
    <s v="Waingmaw"/>
    <s v="Maina Catholic Church (St. Joseph)"/>
    <m/>
    <m/>
    <n v="40"/>
    <n v="49"/>
    <n v="23"/>
    <n v="49"/>
    <n v="23"/>
    <n v="23"/>
    <n v="23"/>
    <n v="23"/>
    <m/>
    <m/>
    <m/>
    <m/>
    <m/>
    <m/>
    <m/>
    <n v="0"/>
    <n v="0"/>
    <n v="0"/>
    <n v="0"/>
    <n v="0"/>
    <n v="0"/>
    <n v="0"/>
    <n v="0"/>
    <n v="0"/>
    <n v="0"/>
    <n v="0"/>
    <n v="0"/>
    <n v="0"/>
    <n v="0"/>
    <x v="0"/>
    <n v="0"/>
    <n v="0"/>
    <n v="0"/>
    <s v="MMR001CMP029"/>
    <x v="0"/>
    <x v="0"/>
    <x v="4"/>
    <n v="5.5520687490947715E-4"/>
    <s v="No"/>
    <m/>
  </r>
  <r>
    <n v="45.9"/>
    <d v="2013-07-24T00:00:00"/>
    <x v="1"/>
    <s v="KMSS"/>
    <s v="Kachin"/>
    <s v="Myitkyina"/>
    <s v="Nan Kway St. John Catholic Church"/>
    <m/>
    <m/>
    <n v="21"/>
    <n v="30"/>
    <n v="15"/>
    <n v="30"/>
    <n v="15"/>
    <n v="15"/>
    <n v="15"/>
    <n v="15"/>
    <m/>
    <m/>
    <m/>
    <m/>
    <m/>
    <m/>
    <m/>
    <n v="0"/>
    <n v="0"/>
    <n v="0"/>
    <n v="0"/>
    <n v="0"/>
    <n v="0"/>
    <n v="0"/>
    <n v="0"/>
    <n v="0"/>
    <n v="0"/>
    <n v="0"/>
    <n v="0"/>
    <n v="0"/>
    <n v="0"/>
    <x v="0"/>
    <n v="0"/>
    <n v="0"/>
    <n v="0"/>
    <s v="MMR001CMP024"/>
    <x v="0"/>
    <x v="0"/>
    <x v="4"/>
    <n v="3.6666748148329219E-4"/>
    <s v="No"/>
    <m/>
  </r>
  <r>
    <n v="45.9"/>
    <d v="2013-07-24T00:00:00"/>
    <x v="1"/>
    <s v="KMSS"/>
    <s v="Kachin"/>
    <s v="Hpakant"/>
    <s v="Nant Ma Hpit Catholic Church"/>
    <m/>
    <m/>
    <n v="15"/>
    <n v="25"/>
    <n v="10"/>
    <n v="25"/>
    <n v="10"/>
    <n v="10"/>
    <n v="10"/>
    <n v="10"/>
    <m/>
    <m/>
    <m/>
    <m/>
    <m/>
    <m/>
    <m/>
    <n v="0"/>
    <n v="0"/>
    <n v="0"/>
    <n v="0"/>
    <n v="0"/>
    <n v="0"/>
    <n v="0"/>
    <n v="0"/>
    <n v="0"/>
    <n v="0"/>
    <n v="0"/>
    <n v="0"/>
    <n v="0"/>
    <n v="0"/>
    <x v="0"/>
    <n v="0"/>
    <n v="0"/>
    <n v="0"/>
    <s v="MMR001CMP103"/>
    <x v="0"/>
    <x v="0"/>
    <x v="4"/>
    <n v="2.4103936172777015E-4"/>
    <s v="No"/>
    <m/>
  </r>
  <r>
    <n v="45.9"/>
    <d v="2013-07-24T00:00:00"/>
    <x v="1"/>
    <s v="KMSS"/>
    <s v="Kachin"/>
    <s v="Myitkyina"/>
    <s v="Pa Dauk Myaing(Pa La Na)"/>
    <m/>
    <m/>
    <n v="31"/>
    <n v="41"/>
    <n v="17"/>
    <n v="41"/>
    <n v="17"/>
    <n v="17"/>
    <n v="17"/>
    <n v="17"/>
    <m/>
    <m/>
    <m/>
    <m/>
    <m/>
    <m/>
    <m/>
    <n v="0"/>
    <n v="0"/>
    <n v="0"/>
    <n v="0"/>
    <n v="0"/>
    <n v="0"/>
    <n v="0"/>
    <n v="0"/>
    <n v="0"/>
    <n v="0"/>
    <n v="0"/>
    <n v="0"/>
    <n v="0"/>
    <n v="0"/>
    <x v="0"/>
    <n v="0"/>
    <n v="0"/>
    <n v="0"/>
    <s v="MMR001CMP162"/>
    <x v="0"/>
    <x v="0"/>
    <x v="4"/>
    <n v="4.1218116574532053E-4"/>
    <s v="No"/>
    <m/>
  </r>
  <r>
    <n v="45.9"/>
    <d v="2013-07-24T00:00:00"/>
    <x v="1"/>
    <s v="KBC"/>
    <s v="Kachin"/>
    <s v="Waingmaw"/>
    <s v="Qtr. 2 Myoma Baptist Church"/>
    <m/>
    <m/>
    <n v="31"/>
    <n v="44"/>
    <n v="18"/>
    <n v="44"/>
    <n v="18"/>
    <n v="18"/>
    <n v="18"/>
    <n v="18"/>
    <m/>
    <m/>
    <m/>
    <m/>
    <m/>
    <m/>
    <m/>
    <n v="0"/>
    <n v="0"/>
    <n v="0"/>
    <n v="0"/>
    <n v="0"/>
    <n v="0"/>
    <n v="0"/>
    <n v="0"/>
    <n v="0"/>
    <n v="0"/>
    <n v="0"/>
    <n v="0"/>
    <n v="0"/>
    <n v="0"/>
    <x v="0"/>
    <n v="0"/>
    <n v="0"/>
    <n v="0"/>
    <s v="MMR001CMP025"/>
    <x v="0"/>
    <x v="0"/>
    <x v="4"/>
    <n v="4.4231478068558792E-4"/>
    <s v="No"/>
    <m/>
  </r>
  <r>
    <n v="45.9"/>
    <d v="2013-07-24T00:00:00"/>
    <x v="1"/>
    <s v="Shalom"/>
    <s v="Kachin"/>
    <s v="Waingmaw"/>
    <s v="Qtr. 4 Monestry (Thargaya Thayett Taw)"/>
    <m/>
    <m/>
    <n v="41"/>
    <n v="73"/>
    <n v="31"/>
    <n v="73"/>
    <n v="31"/>
    <n v="31"/>
    <n v="31"/>
    <n v="31"/>
    <m/>
    <m/>
    <m/>
    <m/>
    <m/>
    <m/>
    <m/>
    <n v="0"/>
    <n v="0"/>
    <n v="0"/>
    <n v="0"/>
    <n v="0"/>
    <n v="0"/>
    <n v="0"/>
    <n v="0"/>
    <n v="0"/>
    <n v="0"/>
    <n v="0"/>
    <n v="0"/>
    <n v="0"/>
    <n v="0"/>
    <x v="0"/>
    <n v="0"/>
    <n v="0"/>
    <n v="0"/>
    <s v="MMR001CMP026"/>
    <x v="0"/>
    <x v="0"/>
    <x v="4"/>
    <n v="7.572056668295066E-4"/>
    <s v="No"/>
    <m/>
  </r>
  <r>
    <n v="45.9"/>
    <d v="2013-07-24T00:00:00"/>
    <x v="1"/>
    <s v="KBC"/>
    <s v="Kachin"/>
    <s v="Myitkyina"/>
    <s v="Shatapru Sut Ngai Tawng"/>
    <m/>
    <m/>
    <n v="21"/>
    <n v="36"/>
    <n v="16"/>
    <n v="36"/>
    <n v="16"/>
    <n v="16"/>
    <n v="16"/>
    <n v="16"/>
    <m/>
    <m/>
    <m/>
    <m/>
    <m/>
    <m/>
    <m/>
    <n v="0"/>
    <n v="0"/>
    <n v="0"/>
    <n v="0"/>
    <n v="0"/>
    <n v="0"/>
    <n v="0"/>
    <n v="0"/>
    <n v="0"/>
    <n v="0"/>
    <n v="0"/>
    <n v="0"/>
    <n v="0"/>
    <n v="0"/>
    <x v="0"/>
    <n v="0"/>
    <n v="0"/>
    <n v="0"/>
    <s v="MMR001CMP006"/>
    <x v="0"/>
    <x v="0"/>
    <x v="4"/>
    <n v="3.92580233585239E-4"/>
    <s v="No"/>
    <m/>
  </r>
  <r>
    <n v="45.9"/>
    <d v="2013-07-24T00:00:00"/>
    <x v="1"/>
    <s v="KBC"/>
    <s v="Kachin"/>
    <s v="Myitkyina"/>
    <s v="Tat Kone COC Baptist - Tat Kone Htoi San"/>
    <m/>
    <m/>
    <n v="34"/>
    <n v="46"/>
    <n v="22"/>
    <n v="46"/>
    <n v="22"/>
    <n v="22"/>
    <n v="22"/>
    <n v="22"/>
    <m/>
    <m/>
    <m/>
    <m/>
    <m/>
    <m/>
    <m/>
    <n v="0"/>
    <n v="0"/>
    <n v="0"/>
    <n v="0"/>
    <n v="0"/>
    <n v="0"/>
    <n v="0"/>
    <n v="0"/>
    <n v="0"/>
    <n v="0"/>
    <n v="0"/>
    <n v="0"/>
    <n v="0"/>
    <n v="0"/>
    <x v="0"/>
    <n v="0"/>
    <n v="0"/>
    <n v="0"/>
    <s v="MMR001CMP023"/>
    <x v="0"/>
    <x v="0"/>
    <x v="4"/>
    <n v="5.3658536585365858E-4"/>
    <s v="No"/>
    <m/>
  </r>
  <r>
    <n v="45.9"/>
    <d v="2013-07-24T00:00:00"/>
    <x v="1"/>
    <s v="Shalom"/>
    <s v="Kachin"/>
    <s v="Waingmaw"/>
    <s v="Waingmaw AG Church"/>
    <m/>
    <m/>
    <n v="22"/>
    <n v="32"/>
    <n v="15"/>
    <n v="32"/>
    <n v="15"/>
    <n v="15"/>
    <n v="15"/>
    <n v="15"/>
    <m/>
    <m/>
    <m/>
    <m/>
    <m/>
    <m/>
    <m/>
    <n v="0"/>
    <n v="0"/>
    <n v="0"/>
    <n v="0"/>
    <n v="0"/>
    <n v="0"/>
    <n v="0"/>
    <n v="0"/>
    <n v="0"/>
    <n v="0"/>
    <n v="0"/>
    <n v="0"/>
    <n v="0"/>
    <n v="0"/>
    <x v="0"/>
    <n v="0"/>
    <n v="0"/>
    <n v="0"/>
    <s v="MMR001CMP038"/>
    <x v="0"/>
    <x v="0"/>
    <x v="4"/>
    <n v="3.6721504112808461E-4"/>
    <s v="No"/>
    <m/>
  </r>
  <r>
    <n v="46.166666666666664"/>
    <d v="2013-07-16T00:00:00"/>
    <x v="1"/>
    <s v="Shalom"/>
    <s v="Kachin"/>
    <s v="Myitkyina"/>
    <s v="Tat Kone COC Baptist - Tat Kone Htoi San"/>
    <m/>
    <m/>
    <n v="55"/>
    <n v="74"/>
    <n v="31"/>
    <n v="74"/>
    <n v="31"/>
    <n v="31"/>
    <n v="31"/>
    <n v="31"/>
    <m/>
    <m/>
    <m/>
    <m/>
    <m/>
    <m/>
    <m/>
    <n v="0"/>
    <n v="0"/>
    <n v="0"/>
    <n v="0"/>
    <n v="0"/>
    <n v="0"/>
    <n v="0"/>
    <n v="0"/>
    <n v="0"/>
    <n v="0"/>
    <n v="0"/>
    <n v="0"/>
    <n v="0"/>
    <n v="0"/>
    <x v="0"/>
    <n v="0"/>
    <n v="0"/>
    <n v="0"/>
    <s v="MMR001CMP023"/>
    <x v="0"/>
    <x v="0"/>
    <x v="4"/>
    <n v="7.5609756097560978E-4"/>
    <s v="No"/>
    <m/>
  </r>
  <r>
    <n v="46.7"/>
    <d v="2013-06-30T00:00:00"/>
    <x v="1"/>
    <m/>
    <s v="Kachin"/>
    <s v="Mansi"/>
    <s v="Maing Khaung"/>
    <m/>
    <m/>
    <m/>
    <m/>
    <m/>
    <n v="9"/>
    <m/>
    <m/>
    <n v="19"/>
    <n v="1"/>
    <m/>
    <m/>
    <m/>
    <m/>
    <m/>
    <m/>
    <m/>
    <n v="0"/>
    <n v="0"/>
    <n v="0"/>
    <n v="0"/>
    <n v="0"/>
    <n v="0"/>
    <n v="0"/>
    <n v="0"/>
    <n v="0"/>
    <n v="0"/>
    <n v="0"/>
    <n v="0"/>
    <n v="0"/>
    <n v="0"/>
    <x v="0"/>
    <n v="0"/>
    <n v="0"/>
    <n v="0"/>
    <s v="MMR001CMP218"/>
    <x v="0"/>
    <x v="0"/>
    <x v="4"/>
    <n v="0"/>
    <m/>
    <m/>
  </r>
  <r>
    <n v="46.7"/>
    <d v="2013-06-30T00:00:00"/>
    <x v="1"/>
    <m/>
    <s v="Kachin"/>
    <s v="Mansi"/>
    <s v="Maing Khaung Catholic Church"/>
    <m/>
    <m/>
    <m/>
    <n v="50"/>
    <n v="15"/>
    <m/>
    <n v="15"/>
    <m/>
    <n v="15"/>
    <n v="60"/>
    <m/>
    <m/>
    <m/>
    <m/>
    <m/>
    <m/>
    <m/>
    <n v="0"/>
    <n v="0"/>
    <n v="0"/>
    <n v="0"/>
    <n v="0"/>
    <n v="0"/>
    <n v="0"/>
    <n v="0"/>
    <n v="0"/>
    <n v="0"/>
    <n v="0"/>
    <n v="0"/>
    <n v="0"/>
    <n v="0"/>
    <x v="0"/>
    <n v="0"/>
    <n v="0"/>
    <n v="0"/>
    <s v="MMR001CMP223"/>
    <x v="0"/>
    <x v="0"/>
    <x v="4"/>
    <n v="3.6102820833734477E-4"/>
    <m/>
    <m/>
  </r>
  <r>
    <n v="46.733333333333334"/>
    <d v="2013-06-29T00:00:00"/>
    <x v="1"/>
    <m/>
    <s v="Kachin"/>
    <s v="Mansi"/>
    <s v="Maing Khaung"/>
    <m/>
    <m/>
    <m/>
    <m/>
    <n v="19"/>
    <m/>
    <n v="19"/>
    <m/>
    <m/>
    <n v="100"/>
    <m/>
    <m/>
    <m/>
    <m/>
    <m/>
    <m/>
    <m/>
    <n v="0"/>
    <n v="0"/>
    <n v="0"/>
    <n v="0"/>
    <n v="0"/>
    <n v="0"/>
    <n v="0"/>
    <n v="0"/>
    <n v="0"/>
    <n v="0"/>
    <n v="0"/>
    <n v="0"/>
    <n v="0"/>
    <n v="0"/>
    <x v="0"/>
    <n v="0"/>
    <n v="0"/>
    <n v="0"/>
    <s v="MMR001CMP218"/>
    <x v="0"/>
    <x v="0"/>
    <x v="4"/>
    <n v="4.5730239722730338E-4"/>
    <m/>
    <m/>
  </r>
  <r>
    <n v="46.766666666666666"/>
    <d v="2013-06-28T00:00:00"/>
    <x v="1"/>
    <m/>
    <s v="Kachin"/>
    <s v="Mansi"/>
    <s v="Maing Khaung"/>
    <m/>
    <m/>
    <m/>
    <n v="10"/>
    <n v="3"/>
    <n v="10"/>
    <n v="3"/>
    <m/>
    <n v="3"/>
    <n v="10"/>
    <m/>
    <m/>
    <m/>
    <m/>
    <m/>
    <m/>
    <m/>
    <n v="0"/>
    <n v="0"/>
    <n v="0"/>
    <n v="0"/>
    <n v="0"/>
    <n v="0"/>
    <n v="0"/>
    <n v="0"/>
    <n v="0"/>
    <n v="0"/>
    <n v="0"/>
    <n v="0"/>
    <n v="0"/>
    <n v="0"/>
    <x v="0"/>
    <n v="0"/>
    <n v="0"/>
    <n v="0"/>
    <s v="MMR001CMP218"/>
    <x v="0"/>
    <x v="0"/>
    <x v="4"/>
    <n v="7.2205641667468946E-5"/>
    <m/>
    <m/>
  </r>
  <r>
    <n v="46.8"/>
    <d v="2013-06-27T00:00:00"/>
    <x v="1"/>
    <m/>
    <s v="Kachin"/>
    <s v="Mansi"/>
    <s v="Maing Khaung"/>
    <m/>
    <m/>
    <m/>
    <n v="54"/>
    <n v="18"/>
    <n v="45"/>
    <n v="18"/>
    <m/>
    <n v="18"/>
    <n v="50"/>
    <m/>
    <m/>
    <m/>
    <m/>
    <m/>
    <m/>
    <m/>
    <n v="0"/>
    <n v="0"/>
    <n v="0"/>
    <n v="0"/>
    <n v="0"/>
    <n v="0"/>
    <n v="0"/>
    <n v="0"/>
    <n v="0"/>
    <n v="0"/>
    <n v="0"/>
    <n v="0"/>
    <n v="0"/>
    <n v="0"/>
    <x v="0"/>
    <n v="0"/>
    <n v="0"/>
    <n v="0"/>
    <s v="MMR001CMP218"/>
    <x v="0"/>
    <x v="0"/>
    <x v="4"/>
    <n v="4.332338500048137E-4"/>
    <m/>
    <m/>
  </r>
  <r>
    <n v="47.233333333333334"/>
    <d v="2013-06-14T00:00:00"/>
    <x v="1"/>
    <s v="UNHCR"/>
    <s v="Kachin"/>
    <s v="Momauk"/>
    <s v="Pa Kahtawng "/>
    <m/>
    <m/>
    <n v="42"/>
    <n v="42"/>
    <n v="21"/>
    <n v="42"/>
    <n v="21"/>
    <n v="21"/>
    <n v="21"/>
    <n v="21"/>
    <m/>
    <m/>
    <m/>
    <m/>
    <m/>
    <m/>
    <m/>
    <n v="0"/>
    <n v="0"/>
    <n v="0"/>
    <n v="0"/>
    <n v="0"/>
    <n v="0"/>
    <n v="0"/>
    <n v="0"/>
    <n v="0"/>
    <n v="0"/>
    <n v="0"/>
    <n v="0"/>
    <n v="0"/>
    <n v="0"/>
    <x v="0"/>
    <n v="0"/>
    <n v="0"/>
    <n v="0"/>
    <s v="MMR001CMP126"/>
    <x v="0"/>
    <x v="0"/>
    <x v="5"/>
    <n v="5.1219512195121953E-4"/>
    <s v="No"/>
    <m/>
  </r>
  <r>
    <n v="47.266666666666666"/>
    <d v="2013-06-13T00:00:00"/>
    <x v="1"/>
    <s v="UNHCR"/>
    <s v="Kachin"/>
    <s v="Momauk"/>
    <s v="Loi Je Baptist Church"/>
    <m/>
    <m/>
    <n v="152"/>
    <n v="11"/>
    <n v="4"/>
    <n v="11"/>
    <n v="4"/>
    <n v="4"/>
    <n v="4"/>
    <n v="4"/>
    <m/>
    <m/>
    <m/>
    <m/>
    <m/>
    <m/>
    <m/>
    <n v="0"/>
    <n v="0"/>
    <n v="0"/>
    <n v="0"/>
    <n v="0"/>
    <n v="0"/>
    <n v="0"/>
    <n v="0"/>
    <n v="0"/>
    <n v="0"/>
    <n v="0"/>
    <n v="0"/>
    <n v="0"/>
    <n v="0"/>
    <x v="0"/>
    <n v="0"/>
    <n v="0"/>
    <n v="0"/>
    <s v="MMR001CMP071"/>
    <x v="0"/>
    <x v="0"/>
    <x v="0"/>
    <n v="9.7489641725566662E-5"/>
    <s v="No"/>
    <m/>
  </r>
  <r>
    <n v="47.266666666666666"/>
    <d v="2013-06-13T00:00:00"/>
    <x v="1"/>
    <s v="UNHCR"/>
    <s v="Kachin"/>
    <s v="Momauk"/>
    <s v="Loi Je Catholic Church"/>
    <m/>
    <m/>
    <n v="425"/>
    <n v="30"/>
    <n v="11"/>
    <n v="30"/>
    <n v="11"/>
    <n v="11"/>
    <n v="11"/>
    <n v="11"/>
    <m/>
    <m/>
    <m/>
    <m/>
    <m/>
    <m/>
    <m/>
    <n v="0"/>
    <n v="0"/>
    <n v="0"/>
    <n v="0"/>
    <n v="0"/>
    <n v="0"/>
    <n v="0"/>
    <n v="0"/>
    <n v="0"/>
    <n v="0"/>
    <n v="0"/>
    <n v="0"/>
    <n v="0"/>
    <n v="0"/>
    <x v="0"/>
    <n v="0"/>
    <n v="0"/>
    <n v="0"/>
    <s v="MMR001CMP069"/>
    <x v="0"/>
    <x v="0"/>
    <x v="0"/>
    <n v="2.6929103016059538E-4"/>
    <s v="No"/>
    <m/>
  </r>
  <r>
    <n v="47.266666666666666"/>
    <d v="2013-06-13T00:00:00"/>
    <x v="1"/>
    <s v="UNHCR"/>
    <s v="Kachin"/>
    <s v="Momauk"/>
    <s v="Loi Je Lisu Camp"/>
    <m/>
    <m/>
    <n v="941"/>
    <n v="67"/>
    <n v="24"/>
    <n v="67"/>
    <n v="24"/>
    <n v="24"/>
    <n v="24"/>
    <n v="24"/>
    <m/>
    <m/>
    <m/>
    <m/>
    <m/>
    <m/>
    <m/>
    <n v="0"/>
    <n v="0"/>
    <n v="0"/>
    <n v="0"/>
    <n v="0"/>
    <n v="0"/>
    <n v="0"/>
    <n v="0"/>
    <n v="0"/>
    <n v="0"/>
    <n v="0"/>
    <n v="0"/>
    <n v="0"/>
    <n v="0"/>
    <x v="0"/>
    <n v="0"/>
    <n v="0"/>
    <n v="0"/>
    <s v="MMR001CMP070"/>
    <x v="0"/>
    <x v="0"/>
    <x v="0"/>
    <n v="5.8536585365853656E-4"/>
    <s v="No"/>
    <m/>
  </r>
  <r>
    <n v="48"/>
    <d v="2013-05-22T00:00:00"/>
    <x v="13"/>
    <s v="KMSS"/>
    <s v="Kachin"/>
    <s v="Chipwi"/>
    <s v="Chipwi KBC camp"/>
    <n v="510"/>
    <m/>
    <m/>
    <m/>
    <m/>
    <m/>
    <m/>
    <m/>
    <m/>
    <m/>
    <m/>
    <m/>
    <m/>
    <m/>
    <m/>
    <m/>
    <m/>
    <n v="0"/>
    <n v="0"/>
    <n v="0"/>
    <n v="0"/>
    <n v="0"/>
    <n v="0"/>
    <n v="0"/>
    <n v="0"/>
    <n v="0"/>
    <n v="0"/>
    <n v="0"/>
    <n v="0"/>
    <n v="0"/>
    <n v="0"/>
    <x v="0"/>
    <n v="0"/>
    <n v="0"/>
    <n v="0"/>
    <s v="MMR001CMP042"/>
    <x v="0"/>
    <x v="0"/>
    <x v="3"/>
    <n v="0"/>
    <s v="No"/>
    <m/>
  </r>
  <r>
    <n v="48"/>
    <d v="2013-05-22T00:00:00"/>
    <x v="1"/>
    <s v="UNHCR"/>
    <s v="Kachin"/>
    <s v="Chipwi"/>
    <s v="Chipwi KBC camp"/>
    <m/>
    <m/>
    <n v="80"/>
    <n v="84"/>
    <n v="41"/>
    <n v="84"/>
    <n v="41"/>
    <n v="41"/>
    <n v="41"/>
    <n v="41"/>
    <m/>
    <m/>
    <m/>
    <m/>
    <m/>
    <m/>
    <m/>
    <n v="0"/>
    <n v="0"/>
    <n v="0"/>
    <n v="0"/>
    <n v="0"/>
    <n v="0"/>
    <n v="0"/>
    <n v="0"/>
    <n v="0"/>
    <n v="0"/>
    <n v="0"/>
    <n v="0"/>
    <n v="0"/>
    <n v="0"/>
    <x v="0"/>
    <n v="0"/>
    <n v="0"/>
    <n v="0"/>
    <s v="MMR001CMP042"/>
    <x v="0"/>
    <x v="0"/>
    <x v="3"/>
    <n v="9.9408398797400837E-4"/>
    <s v="No"/>
    <m/>
  </r>
  <r>
    <n v="48"/>
    <d v="2013-05-22T00:00:00"/>
    <x v="13"/>
    <s v="KMSS"/>
    <s v="Kachin"/>
    <s v="Chipwi"/>
    <s v="Lhaovao Baptist Church (LBC)"/>
    <n v="35"/>
    <m/>
    <m/>
    <m/>
    <m/>
    <m/>
    <m/>
    <m/>
    <m/>
    <m/>
    <m/>
    <m/>
    <m/>
    <m/>
    <m/>
    <m/>
    <m/>
    <n v="0"/>
    <n v="0"/>
    <n v="0"/>
    <n v="0"/>
    <n v="0"/>
    <n v="0"/>
    <n v="0"/>
    <n v="0"/>
    <n v="0"/>
    <n v="0"/>
    <n v="0"/>
    <n v="0"/>
    <n v="0"/>
    <n v="0"/>
    <x v="0"/>
    <n v="0"/>
    <n v="0"/>
    <n v="0"/>
    <s v="MMR001CMP195"/>
    <x v="0"/>
    <x v="0"/>
    <x v="3"/>
    <n v="0"/>
    <s v="No"/>
    <m/>
  </r>
  <r>
    <n v="48"/>
    <d v="2013-05-22T00:00:00"/>
    <x v="1"/>
    <s v="UNHCR"/>
    <s v="Kachin"/>
    <s v="Hpakant"/>
    <s v="Nam Ma Phyit, COC"/>
    <m/>
    <m/>
    <n v="34"/>
    <n v="61"/>
    <n v="30"/>
    <n v="61"/>
    <n v="30"/>
    <n v="30"/>
    <n v="30"/>
    <n v="30"/>
    <m/>
    <m/>
    <m/>
    <m/>
    <m/>
    <m/>
    <m/>
    <n v="0"/>
    <n v="0"/>
    <n v="0"/>
    <n v="0"/>
    <n v="0"/>
    <n v="0"/>
    <n v="0"/>
    <n v="0"/>
    <n v="0"/>
    <n v="0"/>
    <n v="0"/>
    <n v="0"/>
    <n v="0"/>
    <n v="0"/>
    <x v="0"/>
    <n v="0"/>
    <n v="0"/>
    <n v="0"/>
    <s v="MMR001CMP192"/>
    <x v="0"/>
    <x v="0"/>
    <x v="4"/>
    <n v="7.2683222289521504E-4"/>
    <s v="No"/>
    <m/>
  </r>
  <r>
    <n v="48"/>
    <d v="2013-05-22T00:00:00"/>
    <x v="1"/>
    <s v="UNHCR"/>
    <s v="Kachin"/>
    <s v="Waingmaw"/>
    <s v="Qtr. 2 Lhaovo Baptist Church"/>
    <m/>
    <m/>
    <n v="18"/>
    <n v="20"/>
    <n v="14"/>
    <n v="20"/>
    <n v="10"/>
    <n v="10"/>
    <n v="10"/>
    <n v="10"/>
    <m/>
    <m/>
    <m/>
    <m/>
    <m/>
    <m/>
    <m/>
    <n v="0"/>
    <n v="0"/>
    <n v="0"/>
    <n v="0"/>
    <n v="0"/>
    <n v="0"/>
    <n v="0"/>
    <n v="0"/>
    <n v="0"/>
    <n v="0"/>
    <n v="0"/>
    <n v="0"/>
    <n v="0"/>
    <n v="0"/>
    <x v="0"/>
    <n v="0"/>
    <n v="0"/>
    <n v="0"/>
    <s v="MMR001CMP032"/>
    <x v="0"/>
    <x v="0"/>
    <x v="4"/>
    <n v="2.4554941682013506E-4"/>
    <s v="No"/>
    <m/>
  </r>
  <r>
    <n v="48"/>
    <d v="2013-05-22T00:00:00"/>
    <x v="1"/>
    <s v="UNHCR"/>
    <s v="Kachin"/>
    <s v="Hpakant"/>
    <s v="Yumar Baptist Church"/>
    <m/>
    <m/>
    <n v="42"/>
    <n v="66"/>
    <n v="28"/>
    <n v="66"/>
    <n v="28"/>
    <n v="28"/>
    <n v="28"/>
    <n v="28"/>
    <m/>
    <m/>
    <m/>
    <m/>
    <m/>
    <m/>
    <m/>
    <n v="0"/>
    <n v="0"/>
    <n v="0"/>
    <n v="0"/>
    <n v="0"/>
    <n v="0"/>
    <n v="0"/>
    <n v="0"/>
    <n v="0"/>
    <n v="0"/>
    <n v="0"/>
    <n v="0"/>
    <n v="0"/>
    <n v="0"/>
    <x v="0"/>
    <n v="0"/>
    <n v="0"/>
    <n v="0"/>
    <s v="MMR001CMP105"/>
    <x v="0"/>
    <x v="0"/>
    <x v="4"/>
    <n v="6.8090073440007777E-4"/>
    <s v="No"/>
    <m/>
  </r>
  <r>
    <n v="48"/>
    <d v="2013-05-22T00:00:00"/>
    <x v="1"/>
    <s v="UNHCR"/>
    <s v="Kachin"/>
    <s v="Hpakant"/>
    <s v="Mashi Kahtawng Baptist  Church"/>
    <m/>
    <m/>
    <n v="48"/>
    <n v="74"/>
    <n v="31"/>
    <n v="74"/>
    <n v="31"/>
    <n v="31"/>
    <n v="31"/>
    <n v="31"/>
    <m/>
    <m/>
    <m/>
    <m/>
    <m/>
    <m/>
    <m/>
    <n v="0"/>
    <n v="0"/>
    <n v="0"/>
    <n v="0"/>
    <n v="0"/>
    <n v="0"/>
    <n v="0"/>
    <n v="0"/>
    <n v="0"/>
    <n v="0"/>
    <n v="0"/>
    <n v="0"/>
    <n v="0"/>
    <n v="0"/>
    <x v="0"/>
    <n v="0"/>
    <n v="0"/>
    <n v="0"/>
    <s v="MMR001CMP094"/>
    <x v="0"/>
    <x v="2"/>
    <x v="2"/>
    <s v=""/>
    <s v="No"/>
    <m/>
  </r>
  <r>
    <n v="48"/>
    <d v="2013-05-22T00:00:00"/>
    <x v="1"/>
    <s v="UNHCR"/>
    <s v="Kachin"/>
    <s v="Hpakant"/>
    <s v="Nga Pyaw Taw Baptist Nursery School "/>
    <m/>
    <m/>
    <n v="273"/>
    <n v="339"/>
    <n v="151"/>
    <n v="339"/>
    <n v="151"/>
    <n v="151"/>
    <n v="151"/>
    <n v="151"/>
    <m/>
    <m/>
    <m/>
    <m/>
    <m/>
    <m/>
    <m/>
    <n v="0"/>
    <n v="0"/>
    <n v="0"/>
    <n v="0"/>
    <n v="0"/>
    <n v="0"/>
    <n v="0"/>
    <n v="0"/>
    <n v="0"/>
    <n v="0"/>
    <n v="0"/>
    <n v="0"/>
    <n v="0"/>
    <n v="0"/>
    <x v="0"/>
    <n v="0"/>
    <n v="0"/>
    <n v="0"/>
    <s v="MMR001CMP082"/>
    <x v="0"/>
    <x v="2"/>
    <x v="2"/>
    <n v="3.6720003890861339E-3"/>
    <s v="No"/>
    <m/>
  </r>
  <r>
    <n v="48.2"/>
    <d v="2013-05-16T00:00:00"/>
    <x v="13"/>
    <s v="KMSS"/>
    <s v="Kachin"/>
    <s v="Hpakant"/>
    <s v="Nant Ma Hpit Catholic Church"/>
    <n v="423"/>
    <m/>
    <m/>
    <m/>
    <m/>
    <m/>
    <m/>
    <m/>
    <m/>
    <m/>
    <m/>
    <m/>
    <m/>
    <m/>
    <m/>
    <m/>
    <m/>
    <n v="0"/>
    <n v="0"/>
    <n v="0"/>
    <n v="0"/>
    <n v="0"/>
    <n v="0"/>
    <n v="0"/>
    <n v="0"/>
    <n v="0"/>
    <n v="0"/>
    <n v="0"/>
    <n v="0"/>
    <n v="0"/>
    <n v="0"/>
    <x v="0"/>
    <n v="0"/>
    <n v="0"/>
    <n v="0"/>
    <s v="MMR001CMP103"/>
    <x v="0"/>
    <x v="0"/>
    <x v="4"/>
    <n v="0"/>
    <s v="No"/>
    <m/>
  </r>
  <r>
    <n v="48.2"/>
    <d v="2013-05-16T00:00:00"/>
    <x v="13"/>
    <s v="KMSS"/>
    <s v="Kachin"/>
    <s v="Hpakant"/>
    <s v="Lawng Hkang"/>
    <n v="394"/>
    <m/>
    <m/>
    <m/>
    <m/>
    <m/>
    <m/>
    <m/>
    <m/>
    <m/>
    <m/>
    <m/>
    <m/>
    <m/>
    <m/>
    <m/>
    <m/>
    <n v="0"/>
    <n v="0"/>
    <n v="0"/>
    <n v="0"/>
    <n v="0"/>
    <n v="0"/>
    <n v="0"/>
    <n v="0"/>
    <n v="0"/>
    <n v="0"/>
    <n v="0"/>
    <n v="0"/>
    <n v="0"/>
    <n v="0"/>
    <x v="0"/>
    <n v="0"/>
    <n v="0"/>
    <n v="0"/>
    <s v=""/>
    <x v="2"/>
    <x v="1"/>
    <x v="2"/>
    <s v=""/>
    <s v="No"/>
    <m/>
  </r>
  <r>
    <n v="48.2"/>
    <d v="2013-05-16T00:00:00"/>
    <x v="13"/>
    <s v="KMSS"/>
    <s v="Kachin"/>
    <s v="Hpakant"/>
    <s v="Ward 2 Cahotlic Church, Seik Mu"/>
    <n v="103"/>
    <m/>
    <m/>
    <m/>
    <m/>
    <m/>
    <m/>
    <m/>
    <m/>
    <m/>
    <m/>
    <m/>
    <m/>
    <m/>
    <m/>
    <m/>
    <m/>
    <n v="0"/>
    <n v="0"/>
    <n v="0"/>
    <n v="0"/>
    <n v="0"/>
    <n v="0"/>
    <n v="0"/>
    <n v="0"/>
    <n v="0"/>
    <n v="0"/>
    <n v="0"/>
    <n v="0"/>
    <n v="0"/>
    <n v="0"/>
    <x v="0"/>
    <n v="0"/>
    <n v="0"/>
    <n v="0"/>
    <s v="MMR001CMP185"/>
    <x v="0"/>
    <x v="2"/>
    <x v="2"/>
    <n v="0"/>
    <s v="No"/>
    <m/>
  </r>
  <r>
    <n v="48.266666666666666"/>
    <d v="2013-05-14T00:00:00"/>
    <x v="13"/>
    <s v="KMSS"/>
    <s v="Kachin"/>
    <s v="Waingmaw"/>
    <s v="Border Post 8"/>
    <n v="604"/>
    <m/>
    <m/>
    <m/>
    <m/>
    <m/>
    <m/>
    <m/>
    <m/>
    <m/>
    <m/>
    <m/>
    <m/>
    <m/>
    <m/>
    <m/>
    <m/>
    <n v="0"/>
    <n v="0"/>
    <n v="0"/>
    <n v="0"/>
    <n v="0"/>
    <n v="0"/>
    <n v="0"/>
    <n v="0"/>
    <n v="0"/>
    <n v="0"/>
    <n v="0"/>
    <n v="0"/>
    <n v="0"/>
    <n v="0"/>
    <x v="0"/>
    <n v="0"/>
    <n v="0"/>
    <n v="0"/>
    <s v="MMR001CMP113"/>
    <x v="0"/>
    <x v="0"/>
    <x v="3"/>
    <n v="0"/>
    <s v="No"/>
    <m/>
  </r>
  <r>
    <n v="48.366666666666667"/>
    <d v="2013-05-11T00:00:00"/>
    <x v="13"/>
    <s v="KMSS"/>
    <s v="Kachin"/>
    <s v="Waingmaw"/>
    <s v="Post 6 Camp"/>
    <n v="490"/>
    <m/>
    <m/>
    <m/>
    <m/>
    <m/>
    <m/>
    <m/>
    <m/>
    <m/>
    <m/>
    <m/>
    <m/>
    <m/>
    <m/>
    <m/>
    <m/>
    <n v="0"/>
    <n v="0"/>
    <n v="0"/>
    <n v="0"/>
    <n v="0"/>
    <n v="0"/>
    <n v="0"/>
    <n v="0"/>
    <n v="0"/>
    <n v="0"/>
    <n v="0"/>
    <n v="0"/>
    <n v="0"/>
    <n v="0"/>
    <x v="0"/>
    <n v="0"/>
    <n v="0"/>
    <n v="0"/>
    <s v="MMR001CMP160"/>
    <x v="0"/>
    <x v="0"/>
    <x v="3"/>
    <n v="0"/>
    <s v="No"/>
    <m/>
  </r>
  <r>
    <n v="48.43333333333333"/>
    <d v="2013-05-09T00:00:00"/>
    <x v="13"/>
    <s v="KMSS"/>
    <s v="Kachin"/>
    <s v="Myitkyina"/>
    <s v="Jan Mai Kawng Catholic Church"/>
    <n v="460"/>
    <m/>
    <m/>
    <m/>
    <m/>
    <m/>
    <m/>
    <m/>
    <m/>
    <m/>
    <m/>
    <m/>
    <m/>
    <m/>
    <m/>
    <m/>
    <m/>
    <n v="0"/>
    <n v="0"/>
    <n v="0"/>
    <n v="0"/>
    <n v="0"/>
    <n v="0"/>
    <n v="0"/>
    <n v="0"/>
    <n v="0"/>
    <n v="0"/>
    <n v="0"/>
    <n v="0"/>
    <n v="0"/>
    <n v="0"/>
    <x v="0"/>
    <n v="0"/>
    <n v="0"/>
    <n v="0"/>
    <s v="MMR001CMP019"/>
    <x v="0"/>
    <x v="0"/>
    <x v="4"/>
    <n v="0"/>
    <s v="No"/>
    <m/>
  </r>
  <r>
    <n v="48.43333333333333"/>
    <d v="2013-05-09T00:00:00"/>
    <x v="13"/>
    <s v="KMSS"/>
    <s v="Kachin"/>
    <s v="Myitkyina"/>
    <s v="Nan Kway St. John Catholic Church"/>
    <n v="324"/>
    <m/>
    <m/>
    <m/>
    <m/>
    <m/>
    <m/>
    <m/>
    <m/>
    <m/>
    <m/>
    <m/>
    <m/>
    <m/>
    <m/>
    <m/>
    <m/>
    <n v="0"/>
    <n v="0"/>
    <n v="0"/>
    <n v="0"/>
    <n v="0"/>
    <n v="0"/>
    <n v="0"/>
    <n v="0"/>
    <n v="0"/>
    <n v="0"/>
    <n v="0"/>
    <n v="0"/>
    <n v="0"/>
    <n v="0"/>
    <x v="0"/>
    <n v="0"/>
    <n v="0"/>
    <n v="0"/>
    <s v="MMR001CMP024"/>
    <x v="0"/>
    <x v="0"/>
    <x v="4"/>
    <n v="0"/>
    <s v="No"/>
    <m/>
  </r>
  <r>
    <n v="48.466666666666669"/>
    <d v="2013-05-08T00:00:00"/>
    <x v="13"/>
    <s v="KMSS"/>
    <s v="Kachin"/>
    <s v="Waingmaw"/>
    <s v="Maina Catholic Church (St. Joseph)"/>
    <n v="1062"/>
    <m/>
    <m/>
    <m/>
    <m/>
    <m/>
    <m/>
    <m/>
    <m/>
    <m/>
    <m/>
    <m/>
    <m/>
    <m/>
    <m/>
    <m/>
    <m/>
    <n v="0"/>
    <n v="0"/>
    <n v="0"/>
    <n v="0"/>
    <n v="0"/>
    <n v="0"/>
    <n v="0"/>
    <n v="0"/>
    <n v="0"/>
    <n v="0"/>
    <n v="0"/>
    <n v="0"/>
    <n v="0"/>
    <n v="0"/>
    <x v="0"/>
    <n v="0"/>
    <n v="0"/>
    <n v="0"/>
    <s v="MMR001CMP029"/>
    <x v="0"/>
    <x v="0"/>
    <x v="4"/>
    <n v="0"/>
    <s v="No"/>
    <m/>
  </r>
  <r>
    <n v="48.5"/>
    <d v="2013-05-07T00:00:00"/>
    <x v="13"/>
    <s v="KMSS"/>
    <s v="Kachin"/>
    <s v="Myitkyina"/>
    <s v="Pa Dauk Myaing(Pa La Na)"/>
    <n v="149"/>
    <m/>
    <m/>
    <m/>
    <m/>
    <m/>
    <m/>
    <m/>
    <m/>
    <m/>
    <m/>
    <m/>
    <m/>
    <m/>
    <m/>
    <m/>
    <m/>
    <n v="0"/>
    <n v="0"/>
    <n v="0"/>
    <n v="0"/>
    <n v="0"/>
    <n v="0"/>
    <n v="0"/>
    <n v="0"/>
    <n v="0"/>
    <n v="0"/>
    <n v="0"/>
    <n v="0"/>
    <n v="0"/>
    <n v="0"/>
    <x v="0"/>
    <n v="0"/>
    <n v="0"/>
    <n v="0"/>
    <s v="MMR001CMP162"/>
    <x v="0"/>
    <x v="0"/>
    <x v="4"/>
    <n v="0"/>
    <s v="No"/>
    <m/>
  </r>
  <r>
    <n v="49.633333333333333"/>
    <d v="2013-04-03T00:00:00"/>
    <x v="1"/>
    <s v="UNHCR"/>
    <s v="Kachin"/>
    <s v="Waingmaw"/>
    <s v="Maina AG Church"/>
    <m/>
    <m/>
    <n v="15"/>
    <n v="22"/>
    <n v="11"/>
    <n v="22"/>
    <n v="11"/>
    <n v="11"/>
    <n v="11"/>
    <n v="11"/>
    <m/>
    <m/>
    <m/>
    <m/>
    <m/>
    <m/>
    <m/>
    <n v="0"/>
    <n v="0"/>
    <n v="0"/>
    <n v="0"/>
    <n v="0"/>
    <n v="0"/>
    <n v="0"/>
    <n v="0"/>
    <n v="0"/>
    <n v="0"/>
    <n v="0"/>
    <n v="0"/>
    <n v="0"/>
    <n v="0"/>
    <x v="0"/>
    <n v="0"/>
    <n v="0"/>
    <n v="0"/>
    <s v="MMR001CMP031"/>
    <x v="0"/>
    <x v="0"/>
    <x v="4"/>
    <n v="2.6534156696256272E-4"/>
    <s v="No"/>
    <m/>
  </r>
  <r>
    <n v="49.633333333333333"/>
    <d v="2013-04-03T00:00:00"/>
    <x v="1"/>
    <s v="UNHCR"/>
    <s v="Kachin"/>
    <s v="Waingmaw"/>
    <s v="Waingmaw AG Church"/>
    <m/>
    <m/>
    <n v="4"/>
    <n v="7"/>
    <n v="3"/>
    <n v="7"/>
    <n v="3"/>
    <n v="3"/>
    <n v="3"/>
    <n v="3"/>
    <m/>
    <m/>
    <m/>
    <m/>
    <m/>
    <m/>
    <m/>
    <n v="0"/>
    <n v="0"/>
    <n v="0"/>
    <n v="0"/>
    <n v="0"/>
    <n v="0"/>
    <n v="0"/>
    <n v="0"/>
    <n v="0"/>
    <n v="0"/>
    <n v="0"/>
    <n v="0"/>
    <n v="0"/>
    <n v="0"/>
    <x v="0"/>
    <n v="0"/>
    <n v="0"/>
    <n v="0"/>
    <s v="MMR001CMP038"/>
    <x v="0"/>
    <x v="0"/>
    <x v="4"/>
    <n v="7.3443008225616919E-5"/>
    <s v="No"/>
    <m/>
  </r>
  <r>
    <n v="49.8"/>
    <d v="2013-03-29T00:00:00"/>
    <x v="12"/>
    <s v="MRCS"/>
    <s v="Kachin"/>
    <s v="Sumprabum"/>
    <s v="Sumprabum"/>
    <m/>
    <m/>
    <n v="6"/>
    <m/>
    <m/>
    <m/>
    <n v="6"/>
    <m/>
    <n v="0"/>
    <n v="0"/>
    <m/>
    <m/>
    <m/>
    <m/>
    <m/>
    <m/>
    <m/>
    <n v="0"/>
    <n v="0"/>
    <n v="0"/>
    <n v="0"/>
    <n v="0"/>
    <n v="0"/>
    <n v="0"/>
    <n v="0"/>
    <n v="0"/>
    <n v="0"/>
    <n v="0"/>
    <n v="0"/>
    <n v="0"/>
    <n v="0"/>
    <x v="0"/>
    <n v="0"/>
    <n v="0"/>
    <n v="0"/>
    <s v="MMR001CMP206"/>
    <x v="0"/>
    <x v="0"/>
    <x v="4"/>
    <s v=""/>
    <s v="No"/>
    <m/>
  </r>
  <r>
    <n v="50.06666666666667"/>
    <d v="2013-03-21T00:00:00"/>
    <x v="1"/>
    <s v="UNHCR"/>
    <s v="Kachin"/>
    <s v="Hpakant"/>
    <s v="Lisu Baptist Church, Maw Shan Vil,. Seik Mu"/>
    <m/>
    <m/>
    <n v="34"/>
    <n v="40"/>
    <n v="40"/>
    <n v="75"/>
    <n v="40"/>
    <n v="75"/>
    <n v="75"/>
    <n v="75"/>
    <m/>
    <m/>
    <m/>
    <m/>
    <m/>
    <m/>
    <m/>
    <n v="0"/>
    <n v="0"/>
    <n v="0"/>
    <n v="0"/>
    <n v="0"/>
    <n v="0"/>
    <n v="0"/>
    <n v="0"/>
    <n v="0"/>
    <n v="0"/>
    <n v="0"/>
    <n v="0"/>
    <n v="0"/>
    <n v="0"/>
    <x v="0"/>
    <n v="0"/>
    <n v="0"/>
    <n v="0"/>
    <s v="MMR001CMP181"/>
    <x v="0"/>
    <x v="0"/>
    <x v="4"/>
    <n v="9.6910963052695336E-4"/>
    <s v="No"/>
    <m/>
  </r>
  <r>
    <n v="50.06666666666667"/>
    <d v="2013-03-21T00:00:00"/>
    <x v="1"/>
    <s v="UNHCR"/>
    <s v="Kachin"/>
    <s v="Hpakant"/>
    <s v="Rawan Baptist Church, Maw Shan Vil., Seik Mu"/>
    <m/>
    <m/>
    <n v="15"/>
    <n v="8"/>
    <n v="8"/>
    <n v="17"/>
    <n v="8"/>
    <n v="17"/>
    <n v="17"/>
    <n v="17"/>
    <m/>
    <m/>
    <m/>
    <m/>
    <m/>
    <m/>
    <m/>
    <n v="0"/>
    <n v="0"/>
    <n v="0"/>
    <n v="0"/>
    <n v="0"/>
    <n v="0"/>
    <n v="0"/>
    <n v="0"/>
    <n v="0"/>
    <n v="0"/>
    <n v="0"/>
    <n v="0"/>
    <n v="0"/>
    <n v="0"/>
    <x v="0"/>
    <n v="0"/>
    <n v="0"/>
    <n v="0"/>
    <s v="MMR001CMP182"/>
    <x v="0"/>
    <x v="0"/>
    <x v="4"/>
    <n v="1.9382192610539067E-4"/>
    <s v="No"/>
    <m/>
  </r>
  <r>
    <n v="50.1"/>
    <d v="2013-03-20T00:00:00"/>
    <x v="1"/>
    <s v="UNHCR"/>
    <s v="Kachin"/>
    <s v="Hpakant"/>
    <s v="AG Church, Maw Wan"/>
    <m/>
    <m/>
    <n v="24"/>
    <n v="17"/>
    <n v="17"/>
    <n v="41"/>
    <n v="17"/>
    <n v="41"/>
    <n v="41"/>
    <n v="41"/>
    <m/>
    <m/>
    <m/>
    <m/>
    <m/>
    <m/>
    <m/>
    <n v="0"/>
    <n v="0"/>
    <n v="0"/>
    <n v="0"/>
    <n v="0"/>
    <n v="0"/>
    <n v="0"/>
    <n v="0"/>
    <n v="0"/>
    <n v="0"/>
    <n v="0"/>
    <n v="0"/>
    <n v="0"/>
    <n v="0"/>
    <x v="0"/>
    <n v="0"/>
    <n v="0"/>
    <n v="0"/>
    <s v="MMR001CMP190"/>
    <x v="0"/>
    <x v="0"/>
    <x v="4"/>
    <n v="4.1187159297395516E-4"/>
    <s v="No"/>
    <m/>
  </r>
  <r>
    <n v="50.1"/>
    <d v="2013-03-20T00:00:00"/>
    <x v="1"/>
    <s v="UNHCR"/>
    <s v="Kachin"/>
    <s v="Hpakant"/>
    <s v="Chin Church, Seik Mu"/>
    <m/>
    <m/>
    <n v="3"/>
    <n v="8"/>
    <n v="8"/>
    <n v="15"/>
    <n v="8"/>
    <n v="15"/>
    <n v="15"/>
    <n v="15"/>
    <m/>
    <m/>
    <m/>
    <m/>
    <m/>
    <m/>
    <m/>
    <n v="0"/>
    <n v="0"/>
    <n v="0"/>
    <n v="0"/>
    <n v="0"/>
    <n v="0"/>
    <n v="0"/>
    <n v="0"/>
    <n v="0"/>
    <n v="0"/>
    <n v="0"/>
    <n v="0"/>
    <n v="0"/>
    <n v="0"/>
    <x v="0"/>
    <n v="0"/>
    <n v="0"/>
    <n v="0"/>
    <s v="MMR001CMP109"/>
    <x v="0"/>
    <x v="0"/>
    <x v="4"/>
    <n v="1.9283148938221612E-4"/>
    <s v="No"/>
    <m/>
  </r>
  <r>
    <n v="50.1"/>
    <d v="2013-03-20T00:00:00"/>
    <x v="1"/>
    <s v="UNHCR"/>
    <s v="Kachin"/>
    <s v="Hpakant"/>
    <s v="Lisu Baptist Church, Maw Wan Ward"/>
    <m/>
    <m/>
    <n v="32"/>
    <n v="27"/>
    <n v="27"/>
    <n v="66"/>
    <n v="27"/>
    <n v="66"/>
    <n v="66"/>
    <n v="66"/>
    <m/>
    <m/>
    <m/>
    <m/>
    <m/>
    <m/>
    <m/>
    <n v="0"/>
    <n v="0"/>
    <n v="0"/>
    <n v="0"/>
    <n v="0"/>
    <n v="0"/>
    <n v="0"/>
    <n v="0"/>
    <n v="0"/>
    <n v="0"/>
    <n v="0"/>
    <n v="0"/>
    <n v="0"/>
    <n v="0"/>
    <x v="0"/>
    <n v="0"/>
    <n v="0"/>
    <n v="0"/>
    <s v="MMR001CMP167"/>
    <x v="0"/>
    <x v="0"/>
    <x v="4"/>
    <n v="6.5414900060569347E-4"/>
    <s v="No"/>
    <m/>
  </r>
  <r>
    <n v="50.1"/>
    <d v="2013-03-20T00:00:00"/>
    <x v="1"/>
    <s v="UNHCR"/>
    <s v="Kachin"/>
    <s v="Hpakant"/>
    <s v="Maw Wan, Mu-yin Baptist Church"/>
    <m/>
    <m/>
    <n v="17"/>
    <n v="17"/>
    <n v="17"/>
    <n v="41"/>
    <n v="17"/>
    <n v="41"/>
    <n v="41"/>
    <n v="41"/>
    <m/>
    <m/>
    <m/>
    <m/>
    <m/>
    <m/>
    <m/>
    <n v="0"/>
    <n v="0"/>
    <n v="0"/>
    <n v="0"/>
    <n v="0"/>
    <n v="0"/>
    <n v="0"/>
    <n v="0"/>
    <n v="0"/>
    <n v="0"/>
    <n v="0"/>
    <n v="0"/>
    <n v="0"/>
    <n v="0"/>
    <x v="0"/>
    <n v="0"/>
    <n v="0"/>
    <n v="0"/>
    <s v="MMR001CMP091"/>
    <x v="0"/>
    <x v="0"/>
    <x v="4"/>
    <n v="4.1340401731433294E-4"/>
    <s v="No"/>
    <m/>
  </r>
  <r>
    <n v="50.1"/>
    <d v="2013-03-20T00:00:00"/>
    <x v="1"/>
    <s v="UNHCR"/>
    <s v="Kachin"/>
    <s v="Hpakant"/>
    <s v="Ward 2 Sai Taung Baptist Church, Seik Mu "/>
    <m/>
    <m/>
    <n v="124"/>
    <n v="117"/>
    <n v="121"/>
    <n v="227"/>
    <n v="122"/>
    <n v="263"/>
    <n v="263"/>
    <n v="263"/>
    <m/>
    <m/>
    <m/>
    <m/>
    <m/>
    <m/>
    <m/>
    <n v="0"/>
    <n v="0"/>
    <n v="0"/>
    <n v="0"/>
    <n v="0"/>
    <n v="0"/>
    <n v="0"/>
    <n v="0"/>
    <n v="0"/>
    <n v="0"/>
    <n v="0"/>
    <n v="0"/>
    <n v="0"/>
    <n v="0"/>
    <x v="0"/>
    <n v="0"/>
    <n v="0"/>
    <n v="0"/>
    <s v="MMR001CMP184"/>
    <x v="0"/>
    <x v="0"/>
    <x v="4"/>
    <n v="2.9557843731072078E-3"/>
    <s v="No"/>
    <m/>
  </r>
  <r>
    <n v="50.1"/>
    <d v="2013-03-20T00:00:00"/>
    <x v="1"/>
    <s v="UNHCR"/>
    <s v="Kachin"/>
    <s v="Hpakant"/>
    <s v="Anglican Church, Hmaw Si Sar"/>
    <m/>
    <m/>
    <n v="38"/>
    <n v="11"/>
    <n v="11"/>
    <n v="87"/>
    <n v="11"/>
    <n v="26"/>
    <n v="26"/>
    <n v="26"/>
    <m/>
    <m/>
    <m/>
    <m/>
    <m/>
    <m/>
    <m/>
    <n v="0"/>
    <n v="0"/>
    <n v="0"/>
    <n v="0"/>
    <n v="0"/>
    <n v="0"/>
    <n v="0"/>
    <n v="0"/>
    <n v="0"/>
    <n v="0"/>
    <n v="0"/>
    <n v="0"/>
    <n v="0"/>
    <n v="0"/>
    <x v="0"/>
    <n v="0"/>
    <n v="0"/>
    <n v="0"/>
    <s v="MMR001CMP173"/>
    <x v="0"/>
    <x v="2"/>
    <x v="2"/>
    <s v=""/>
    <s v="No"/>
    <m/>
  </r>
  <r>
    <n v="50.1"/>
    <d v="2013-03-20T00:00:00"/>
    <x v="1"/>
    <s v="UNHCR"/>
    <s v="Kachin"/>
    <s v="Hpakant"/>
    <s v="Chin(Zomi) Baptist Church"/>
    <m/>
    <m/>
    <n v="9"/>
    <n v="6"/>
    <n v="6"/>
    <n v="15"/>
    <n v="6"/>
    <n v="15"/>
    <n v="15"/>
    <n v="15"/>
    <m/>
    <m/>
    <m/>
    <m/>
    <m/>
    <m/>
    <m/>
    <n v="0"/>
    <n v="0"/>
    <n v="0"/>
    <n v="0"/>
    <n v="0"/>
    <n v="0"/>
    <n v="0"/>
    <n v="0"/>
    <n v="0"/>
    <n v="0"/>
    <n v="0"/>
    <n v="0"/>
    <n v="0"/>
    <n v="0"/>
    <x v="0"/>
    <n v="0"/>
    <n v="0"/>
    <n v="0"/>
    <s v="MMR001CMP086"/>
    <x v="0"/>
    <x v="2"/>
    <x v="2"/>
    <s v=""/>
    <s v="No"/>
    <m/>
  </r>
  <r>
    <n v="50.1"/>
    <d v="2013-03-20T00:00:00"/>
    <x v="1"/>
    <s v="UNHCR"/>
    <s v="Kachin"/>
    <s v="Hpakant"/>
    <s v="Maw Wan, Kachin Baptist Church"/>
    <m/>
    <m/>
    <n v="18"/>
    <n v="17"/>
    <n v="17"/>
    <n v="42"/>
    <n v="17"/>
    <n v="42"/>
    <n v="42"/>
    <n v="42"/>
    <m/>
    <m/>
    <m/>
    <m/>
    <m/>
    <m/>
    <m/>
    <n v="0"/>
    <n v="0"/>
    <n v="0"/>
    <n v="0"/>
    <n v="0"/>
    <n v="0"/>
    <n v="0"/>
    <n v="0"/>
    <n v="0"/>
    <n v="0"/>
    <n v="0"/>
    <n v="0"/>
    <n v="0"/>
    <n v="0"/>
    <x v="0"/>
    <n v="0"/>
    <n v="0"/>
    <n v="0"/>
    <s v="MMR001CMP085"/>
    <x v="0"/>
    <x v="2"/>
    <x v="2"/>
    <s v=""/>
    <s v="No"/>
    <m/>
  </r>
  <r>
    <n v="50.1"/>
    <d v="2013-03-20T00:00:00"/>
    <x v="1"/>
    <s v="UNHCR"/>
    <s v="Kachin"/>
    <s v="Hpakant"/>
    <s v="Muring Baptist Church, Awng Ra, Wa Ra Zut VT"/>
    <m/>
    <m/>
    <n v="48"/>
    <n v="48"/>
    <n v="48"/>
    <n v="98"/>
    <n v="48"/>
    <n v="98"/>
    <n v="98"/>
    <n v="98"/>
    <m/>
    <m/>
    <m/>
    <m/>
    <m/>
    <m/>
    <m/>
    <n v="0"/>
    <n v="0"/>
    <n v="0"/>
    <n v="0"/>
    <n v="0"/>
    <n v="0"/>
    <n v="0"/>
    <n v="0"/>
    <n v="0"/>
    <n v="0"/>
    <n v="0"/>
    <n v="0"/>
    <n v="0"/>
    <n v="0"/>
    <x v="0"/>
    <n v="0"/>
    <n v="0"/>
    <n v="0"/>
    <s v="MMR001CMP177"/>
    <x v="0"/>
    <x v="2"/>
    <x v="2"/>
    <n v="1.162931556632344E-3"/>
    <s v="No"/>
    <m/>
  </r>
  <r>
    <n v="50.1"/>
    <d v="2013-03-20T00:00:00"/>
    <x v="1"/>
    <s v="UNHCR"/>
    <s v="Kachin"/>
    <s v="Hpakant"/>
    <s v="Wrad(5) Christian Association"/>
    <m/>
    <m/>
    <n v="34"/>
    <n v="26"/>
    <n v="26"/>
    <n v="60"/>
    <n v="26"/>
    <n v="60"/>
    <n v="60"/>
    <n v="60"/>
    <m/>
    <m/>
    <m/>
    <m/>
    <m/>
    <m/>
    <m/>
    <n v="0"/>
    <n v="0"/>
    <n v="0"/>
    <n v="0"/>
    <n v="0"/>
    <n v="0"/>
    <n v="0"/>
    <n v="0"/>
    <n v="0"/>
    <n v="0"/>
    <n v="0"/>
    <n v="0"/>
    <n v="0"/>
    <n v="0"/>
    <x v="0"/>
    <n v="0"/>
    <n v="0"/>
    <n v="0"/>
    <s v="MMR001CMP175"/>
    <x v="0"/>
    <x v="2"/>
    <x v="2"/>
    <s v=""/>
    <s v="No"/>
    <m/>
  </r>
  <r>
    <n v="50.1"/>
    <d v="2013-03-20T00:00:00"/>
    <x v="1"/>
    <s v="UNHCR"/>
    <s v="Kachin"/>
    <s v="Hpakant"/>
    <s v="Zomee Baptist Church camp, Hmaw Wan"/>
    <m/>
    <m/>
    <n v="6"/>
    <n v="0"/>
    <n v="0"/>
    <n v="11"/>
    <n v="0"/>
    <n v="0"/>
    <m/>
    <m/>
    <m/>
    <m/>
    <m/>
    <m/>
    <m/>
    <m/>
    <m/>
    <n v="0"/>
    <n v="0"/>
    <n v="0"/>
    <n v="0"/>
    <n v="0"/>
    <n v="0"/>
    <n v="0"/>
    <n v="0"/>
    <n v="0"/>
    <n v="0"/>
    <n v="0"/>
    <n v="0"/>
    <n v="0"/>
    <n v="0"/>
    <x v="0"/>
    <n v="0"/>
    <n v="0"/>
    <n v="0"/>
    <s v="MMR001CMP201"/>
    <x v="0"/>
    <x v="2"/>
    <x v="2"/>
    <s v=""/>
    <s v="No"/>
    <m/>
  </r>
  <r>
    <n v="50.56666666666667"/>
    <d v="2013-03-06T00:00:00"/>
    <x v="1"/>
    <s v="UNHCR"/>
    <s v="Kachin"/>
    <s v="Waingmaw"/>
    <s v="Maina KBC (Bawng Ring)"/>
    <m/>
    <m/>
    <n v="34"/>
    <n v="73"/>
    <n v="38"/>
    <n v="73"/>
    <n v="38"/>
    <n v="33"/>
    <n v="33"/>
    <n v="33"/>
    <m/>
    <m/>
    <m/>
    <m/>
    <m/>
    <m/>
    <m/>
    <n v="0"/>
    <n v="0"/>
    <n v="0"/>
    <n v="0"/>
    <n v="0"/>
    <n v="0"/>
    <n v="0"/>
    <n v="0"/>
    <n v="0"/>
    <n v="0"/>
    <n v="0"/>
    <n v="0"/>
    <n v="0"/>
    <n v="0"/>
    <x v="0"/>
    <n v="0"/>
    <n v="0"/>
    <n v="0"/>
    <s v="MMR001CMP040"/>
    <x v="0"/>
    <x v="0"/>
    <x v="4"/>
    <n v="9.2545237573366456E-4"/>
    <s v="No"/>
    <m/>
  </r>
  <r>
    <n v="50.56666666666667"/>
    <d v="2013-03-06T00:00:00"/>
    <x v="1"/>
    <s v="UNHCR"/>
    <s v="Kachin"/>
    <s v="Waingmaw"/>
    <s v="Qtr. 2 Lhaovo Baptist Church"/>
    <m/>
    <m/>
    <n v="6"/>
    <n v="11"/>
    <n v="5"/>
    <n v="11"/>
    <n v="5"/>
    <n v="5"/>
    <n v="5"/>
    <n v="5"/>
    <m/>
    <m/>
    <m/>
    <m/>
    <m/>
    <m/>
    <m/>
    <n v="0"/>
    <n v="0"/>
    <n v="0"/>
    <n v="0"/>
    <n v="0"/>
    <n v="0"/>
    <n v="0"/>
    <n v="0"/>
    <n v="0"/>
    <n v="0"/>
    <n v="0"/>
    <n v="0"/>
    <n v="0"/>
    <n v="0"/>
    <x v="0"/>
    <n v="0"/>
    <n v="0"/>
    <n v="0"/>
    <s v="MMR001CMP032"/>
    <x v="0"/>
    <x v="0"/>
    <x v="4"/>
    <n v="1.2277470841006753E-4"/>
    <s v="No"/>
    <m/>
  </r>
  <r>
    <n v="50.666666666666664"/>
    <d v="2013-03-03T00:00:00"/>
    <x v="2"/>
    <s v="Solidarities"/>
    <s v="Kachin"/>
    <s v="Momauk"/>
    <s v="Seng Ja "/>
    <n v="33"/>
    <m/>
    <m/>
    <m/>
    <m/>
    <m/>
    <m/>
    <m/>
    <n v="0"/>
    <n v="0"/>
    <m/>
    <m/>
    <m/>
    <m/>
    <m/>
    <m/>
    <m/>
    <n v="0"/>
    <n v="0"/>
    <n v="0"/>
    <n v="0"/>
    <n v="0"/>
    <n v="0"/>
    <n v="0"/>
    <n v="0"/>
    <n v="0"/>
    <n v="0"/>
    <n v="0"/>
    <n v="0"/>
    <n v="0"/>
    <n v="0"/>
    <x v="0"/>
    <n v="0"/>
    <n v="0"/>
    <n v="0"/>
    <s v="MMR001CMP073"/>
    <x v="0"/>
    <x v="0"/>
    <x v="0"/>
    <n v="0"/>
    <s v="No"/>
    <m/>
  </r>
  <r>
    <n v="50.7"/>
    <d v="2013-03-02T00:00:00"/>
    <x v="2"/>
    <s v="Solidarities"/>
    <s v="Kachin"/>
    <s v="Momauk"/>
    <s v="Loi Je Baptist Church"/>
    <n v="3"/>
    <m/>
    <m/>
    <m/>
    <m/>
    <m/>
    <m/>
    <m/>
    <n v="0"/>
    <n v="0"/>
    <m/>
    <m/>
    <m/>
    <m/>
    <m/>
    <m/>
    <m/>
    <n v="0"/>
    <n v="0"/>
    <n v="0"/>
    <n v="0"/>
    <n v="0"/>
    <n v="0"/>
    <n v="0"/>
    <n v="0"/>
    <n v="0"/>
    <n v="0"/>
    <n v="0"/>
    <n v="0"/>
    <n v="0"/>
    <n v="0"/>
    <x v="0"/>
    <n v="0"/>
    <n v="0"/>
    <n v="0"/>
    <s v="MMR001CMP071"/>
    <x v="0"/>
    <x v="0"/>
    <x v="0"/>
    <n v="0"/>
    <s v="No"/>
    <m/>
  </r>
  <r>
    <n v="50.7"/>
    <d v="2013-03-02T00:00:00"/>
    <x v="2"/>
    <s v="Solidarities"/>
    <s v="Kachin"/>
    <s v="Momauk"/>
    <s v="Loi Je Lisu Camp"/>
    <n v="368"/>
    <m/>
    <m/>
    <m/>
    <m/>
    <m/>
    <m/>
    <m/>
    <n v="0"/>
    <n v="0"/>
    <m/>
    <m/>
    <m/>
    <m/>
    <m/>
    <m/>
    <m/>
    <n v="0"/>
    <n v="0"/>
    <n v="0"/>
    <n v="0"/>
    <n v="0"/>
    <n v="0"/>
    <n v="0"/>
    <n v="0"/>
    <n v="0"/>
    <n v="0"/>
    <n v="0"/>
    <n v="0"/>
    <n v="0"/>
    <n v="0"/>
    <x v="0"/>
    <n v="0"/>
    <n v="0"/>
    <n v="0"/>
    <s v="MMR001CMP070"/>
    <x v="0"/>
    <x v="0"/>
    <x v="0"/>
    <n v="0"/>
    <s v="No"/>
    <m/>
  </r>
  <r>
    <n v="50.7"/>
    <d v="2013-03-02T00:00:00"/>
    <x v="2"/>
    <s v="Solidarities"/>
    <s v="Kachin"/>
    <s v="Mansi"/>
    <s v="Man Wing Catholic Church"/>
    <n v="1542"/>
    <m/>
    <m/>
    <m/>
    <m/>
    <m/>
    <m/>
    <m/>
    <n v="0"/>
    <n v="0"/>
    <m/>
    <m/>
    <m/>
    <m/>
    <m/>
    <m/>
    <m/>
    <n v="0"/>
    <n v="0"/>
    <n v="0"/>
    <n v="0"/>
    <n v="0"/>
    <n v="0"/>
    <n v="0"/>
    <n v="0"/>
    <n v="0"/>
    <n v="0"/>
    <n v="0"/>
    <n v="0"/>
    <n v="0"/>
    <n v="0"/>
    <x v="0"/>
    <n v="0"/>
    <n v="0"/>
    <n v="0"/>
    <s v="MMR001CMP132"/>
    <x v="0"/>
    <x v="0"/>
    <x v="4"/>
    <n v="0"/>
    <s v="No"/>
    <m/>
  </r>
  <r>
    <n v="50.8"/>
    <d v="2013-02-27T00:00:00"/>
    <x v="1"/>
    <s v="UNHCR"/>
    <s v="Kachin"/>
    <s v="Waingmaw"/>
    <s v="Maina AG Church"/>
    <m/>
    <m/>
    <n v="23"/>
    <n v="40"/>
    <n v="18"/>
    <n v="40"/>
    <n v="18"/>
    <n v="18"/>
    <n v="18"/>
    <n v="18"/>
    <m/>
    <m/>
    <m/>
    <m/>
    <m/>
    <m/>
    <m/>
    <n v="0"/>
    <n v="0"/>
    <n v="0"/>
    <n v="0"/>
    <n v="0"/>
    <n v="0"/>
    <n v="0"/>
    <n v="0"/>
    <n v="0"/>
    <n v="0"/>
    <n v="0"/>
    <n v="0"/>
    <n v="0"/>
    <n v="0"/>
    <x v="0"/>
    <n v="0"/>
    <n v="0"/>
    <n v="0"/>
    <s v="MMR001CMP031"/>
    <x v="0"/>
    <x v="0"/>
    <x v="4"/>
    <n v="4.3419529139328446E-4"/>
    <s v="No"/>
    <m/>
  </r>
  <r>
    <n v="50.8"/>
    <d v="2013-02-27T00:00:00"/>
    <x v="2"/>
    <s v="Solidarities"/>
    <s v="Kachin"/>
    <s v="Mansi"/>
    <s v="Man Wing Baptist Church"/>
    <n v="595"/>
    <m/>
    <m/>
    <m/>
    <m/>
    <m/>
    <m/>
    <m/>
    <n v="0"/>
    <n v="0"/>
    <m/>
    <m/>
    <m/>
    <m/>
    <m/>
    <m/>
    <m/>
    <n v="0"/>
    <n v="0"/>
    <n v="0"/>
    <n v="0"/>
    <n v="0"/>
    <n v="0"/>
    <n v="0"/>
    <n v="0"/>
    <n v="0"/>
    <n v="0"/>
    <n v="0"/>
    <n v="0"/>
    <n v="0"/>
    <n v="0"/>
    <x v="0"/>
    <n v="0"/>
    <n v="0"/>
    <n v="0"/>
    <s v="MMR001CMP133"/>
    <x v="0"/>
    <x v="0"/>
    <x v="4"/>
    <n v="0"/>
    <s v="No"/>
    <m/>
  </r>
  <r>
    <n v="50.833333333333336"/>
    <d v="2013-02-26T00:00:00"/>
    <x v="12"/>
    <s v="MRCS"/>
    <s v="Kachin"/>
    <s v="Waingmaw"/>
    <s v="Hkat Cho "/>
    <m/>
    <m/>
    <n v="136"/>
    <m/>
    <n v="66"/>
    <m/>
    <n v="70"/>
    <m/>
    <n v="0"/>
    <n v="0"/>
    <m/>
    <m/>
    <m/>
    <m/>
    <m/>
    <m/>
    <m/>
    <n v="0"/>
    <n v="0"/>
    <n v="0"/>
    <n v="0"/>
    <n v="0"/>
    <n v="0"/>
    <n v="0"/>
    <n v="0"/>
    <n v="0"/>
    <n v="0"/>
    <n v="0"/>
    <n v="0"/>
    <n v="0"/>
    <n v="0"/>
    <x v="0"/>
    <n v="0"/>
    <n v="0"/>
    <n v="0"/>
    <s v="MMR001CMP028"/>
    <x v="0"/>
    <x v="0"/>
    <x v="4"/>
    <n v="1.7201130359995086E-3"/>
    <s v="No"/>
    <m/>
  </r>
  <r>
    <n v="50.833333333333336"/>
    <d v="2013-02-26T00:00:00"/>
    <x v="12"/>
    <s v="MRCS"/>
    <s v="Kachin"/>
    <s v="Myitkyina"/>
    <s v="Jan Mai Kawng Catholic Church"/>
    <m/>
    <m/>
    <n v="99"/>
    <m/>
    <n v="99"/>
    <m/>
    <m/>
    <m/>
    <n v="0"/>
    <n v="0"/>
    <m/>
    <m/>
    <m/>
    <m/>
    <m/>
    <m/>
    <m/>
    <n v="0"/>
    <n v="0"/>
    <n v="0"/>
    <n v="0"/>
    <n v="0"/>
    <n v="0"/>
    <n v="0"/>
    <n v="0"/>
    <n v="0"/>
    <n v="0"/>
    <n v="0"/>
    <n v="0"/>
    <n v="0"/>
    <n v="0"/>
    <x v="0"/>
    <n v="0"/>
    <n v="0"/>
    <n v="0"/>
    <s v="MMR001CMP019"/>
    <x v="0"/>
    <x v="0"/>
    <x v="4"/>
    <n v="0"/>
    <s v="No"/>
    <m/>
  </r>
  <r>
    <n v="50.866666666666667"/>
    <d v="2013-02-25T00:00:00"/>
    <x v="1"/>
    <s v="Chipwe CM"/>
    <s v="Kachin"/>
    <s v="Chipwi"/>
    <s v="Chipwi KBC camp"/>
    <m/>
    <m/>
    <n v="11"/>
    <n v="17"/>
    <n v="7"/>
    <n v="17"/>
    <n v="7"/>
    <n v="7"/>
    <n v="7"/>
    <n v="7"/>
    <m/>
    <m/>
    <m/>
    <m/>
    <m/>
    <m/>
    <m/>
    <n v="0"/>
    <n v="0"/>
    <n v="0"/>
    <n v="0"/>
    <n v="0"/>
    <n v="0"/>
    <n v="0"/>
    <n v="0"/>
    <n v="0"/>
    <n v="0"/>
    <n v="0"/>
    <n v="0"/>
    <n v="0"/>
    <n v="0"/>
    <x v="0"/>
    <n v="0"/>
    <n v="0"/>
    <n v="0"/>
    <s v="MMR001CMP042"/>
    <x v="0"/>
    <x v="0"/>
    <x v="3"/>
    <n v="1.6972165648336727E-4"/>
    <s v="No"/>
    <m/>
  </r>
  <r>
    <n v="50.866666666666667"/>
    <d v="2013-02-25T00:00:00"/>
    <x v="12"/>
    <s v="MRCS"/>
    <s v="Kachin"/>
    <s v="Waingmaw"/>
    <s v="Hkat Cho "/>
    <m/>
    <m/>
    <m/>
    <m/>
    <n v="1"/>
    <m/>
    <m/>
    <m/>
    <n v="0"/>
    <n v="0"/>
    <m/>
    <m/>
    <m/>
    <m/>
    <m/>
    <m/>
    <m/>
    <n v="0"/>
    <n v="0"/>
    <n v="0"/>
    <n v="0"/>
    <n v="0"/>
    <n v="0"/>
    <n v="0"/>
    <n v="0"/>
    <n v="0"/>
    <n v="0"/>
    <n v="0"/>
    <n v="0"/>
    <n v="0"/>
    <n v="0"/>
    <x v="0"/>
    <n v="0"/>
    <n v="0"/>
    <n v="0"/>
    <s v="MMR001CMP028"/>
    <x v="0"/>
    <x v="0"/>
    <x v="4"/>
    <n v="0"/>
    <s v="No"/>
    <m/>
  </r>
  <r>
    <n v="50.866666666666667"/>
    <d v="2013-02-25T00:00:00"/>
    <x v="1"/>
    <s v="Chipwe CM"/>
    <s v="Kachin"/>
    <s v="Chipwi"/>
    <s v="Hpare Hkyer - BP6"/>
    <m/>
    <m/>
    <n v="11"/>
    <n v="17"/>
    <n v="7"/>
    <n v="17"/>
    <n v="7"/>
    <n v="7"/>
    <n v="7"/>
    <n v="7"/>
    <m/>
    <m/>
    <m/>
    <m/>
    <m/>
    <m/>
    <m/>
    <n v="0"/>
    <n v="0"/>
    <n v="0"/>
    <n v="0"/>
    <n v="0"/>
    <n v="0"/>
    <n v="0"/>
    <n v="0"/>
    <n v="0"/>
    <n v="0"/>
    <n v="0"/>
    <n v="0"/>
    <n v="0"/>
    <n v="0"/>
    <x v="0"/>
    <n v="0"/>
    <n v="0"/>
    <n v="0"/>
    <s v="MMR001CMP043"/>
    <x v="0"/>
    <x v="0"/>
    <x v="3"/>
    <n v="1.7060687301974166E-4"/>
    <s v="No"/>
    <m/>
  </r>
  <r>
    <n v="50.866666666666667"/>
    <d v="2013-02-25T00:00:00"/>
    <x v="1"/>
    <s v="Chipwe CM"/>
    <s v="Kachin"/>
    <s v="Chipwi"/>
    <s v="Lan Jaw "/>
    <m/>
    <m/>
    <n v="11"/>
    <n v="17"/>
    <n v="7"/>
    <n v="17"/>
    <n v="7"/>
    <n v="7"/>
    <n v="7"/>
    <n v="7"/>
    <m/>
    <m/>
    <m/>
    <m/>
    <m/>
    <m/>
    <m/>
    <n v="0"/>
    <n v="0"/>
    <n v="0"/>
    <n v="0"/>
    <n v="0"/>
    <n v="0"/>
    <n v="0"/>
    <n v="0"/>
    <n v="0"/>
    <n v="0"/>
    <n v="0"/>
    <n v="0"/>
    <n v="0"/>
    <n v="0"/>
    <x v="0"/>
    <n v="0"/>
    <n v="0"/>
    <n v="0"/>
    <s v="MMR001CMP045"/>
    <x v="0"/>
    <x v="2"/>
    <x v="3"/>
    <s v=""/>
    <s v="No"/>
    <m/>
  </r>
  <r>
    <n v="50.866666666666667"/>
    <d v="2013-02-25T00:00:00"/>
    <x v="1"/>
    <s v="Chipwe CM"/>
    <s v="Kachin"/>
    <s v="Chipwi"/>
    <s v="Lhaovao Baptist Church (LBC)"/>
    <m/>
    <m/>
    <n v="12"/>
    <n v="17"/>
    <n v="7"/>
    <n v="17"/>
    <n v="7"/>
    <n v="7"/>
    <n v="7"/>
    <n v="7"/>
    <m/>
    <m/>
    <m/>
    <m/>
    <m/>
    <m/>
    <m/>
    <n v="0"/>
    <n v="0"/>
    <n v="0"/>
    <n v="0"/>
    <n v="0"/>
    <n v="0"/>
    <n v="0"/>
    <n v="0"/>
    <n v="0"/>
    <n v="0"/>
    <n v="0"/>
    <n v="0"/>
    <n v="0"/>
    <n v="0"/>
    <x v="0"/>
    <n v="0"/>
    <n v="0"/>
    <n v="0"/>
    <s v="MMR001CMP195"/>
    <x v="0"/>
    <x v="0"/>
    <x v="3"/>
    <n v="1.7098192476795311E-4"/>
    <s v="No"/>
    <m/>
  </r>
  <r>
    <n v="50.866666666666667"/>
    <d v="2013-02-25T00:00:00"/>
    <x v="12"/>
    <s v="MRCS"/>
    <s v="Kachin"/>
    <s v="Waingmaw"/>
    <s v="Maina KBC (Bawng Ring)"/>
    <m/>
    <m/>
    <n v="235"/>
    <m/>
    <n v="174"/>
    <m/>
    <n v="61"/>
    <m/>
    <n v="0"/>
    <n v="0"/>
    <m/>
    <m/>
    <m/>
    <m/>
    <m/>
    <m/>
    <m/>
    <n v="0"/>
    <n v="0"/>
    <n v="0"/>
    <n v="0"/>
    <n v="0"/>
    <n v="0"/>
    <n v="0"/>
    <n v="0"/>
    <n v="0"/>
    <n v="0"/>
    <n v="0"/>
    <n v="0"/>
    <n v="0"/>
    <n v="0"/>
    <x v="0"/>
    <n v="0"/>
    <n v="0"/>
    <n v="0"/>
    <s v="MMR001CMP040"/>
    <x v="0"/>
    <x v="0"/>
    <x v="4"/>
    <n v="1.4855946031514088E-3"/>
    <s v="No"/>
    <m/>
  </r>
  <r>
    <n v="50.866666666666667"/>
    <d v="2013-02-25T00:00:00"/>
    <x v="1"/>
    <s v="Chipwe CM"/>
    <s v="Kachin"/>
    <s v="Chipwi"/>
    <s v="Gant Gwin"/>
    <m/>
    <m/>
    <n v="11"/>
    <n v="17"/>
    <n v="7"/>
    <n v="17"/>
    <n v="7"/>
    <n v="7"/>
    <n v="7"/>
    <n v="7"/>
    <m/>
    <m/>
    <m/>
    <m/>
    <m/>
    <m/>
    <m/>
    <n v="0"/>
    <n v="0"/>
    <n v="0"/>
    <n v="0"/>
    <n v="0"/>
    <n v="0"/>
    <n v="0"/>
    <n v="0"/>
    <n v="0"/>
    <n v="0"/>
    <n v="0"/>
    <n v="0"/>
    <n v="0"/>
    <n v="0"/>
    <x v="0"/>
    <n v="0"/>
    <n v="0"/>
    <n v="0"/>
    <s v="MMR001CMP046"/>
    <x v="0"/>
    <x v="2"/>
    <x v="3"/>
    <s v=""/>
    <s v="No"/>
    <m/>
  </r>
  <r>
    <n v="50.866666666666667"/>
    <d v="2013-02-25T00:00:00"/>
    <x v="1"/>
    <s v="Chipwe CM"/>
    <s v="Kachin"/>
    <s v="Chipwi"/>
    <s v="Women's Affairs Association Building"/>
    <m/>
    <m/>
    <n v="12"/>
    <n v="18"/>
    <n v="8"/>
    <n v="18"/>
    <n v="8"/>
    <n v="8"/>
    <n v="8"/>
    <n v="8"/>
    <m/>
    <m/>
    <m/>
    <m/>
    <m/>
    <m/>
    <m/>
    <n v="0"/>
    <n v="0"/>
    <n v="0"/>
    <n v="0"/>
    <n v="0"/>
    <n v="0"/>
    <n v="0"/>
    <n v="0"/>
    <n v="0"/>
    <n v="0"/>
    <n v="0"/>
    <n v="0"/>
    <n v="0"/>
    <n v="0"/>
    <x v="0"/>
    <n v="0"/>
    <n v="0"/>
    <n v="0"/>
    <s v="MMR001CMP044"/>
    <x v="0"/>
    <x v="2"/>
    <x v="2"/>
    <s v=""/>
    <s v="No"/>
    <m/>
  </r>
  <r>
    <n v="51.033333333333331"/>
    <d v="2013-02-20T00:00:00"/>
    <x v="1"/>
    <s v="UNHCR"/>
    <s v="Kachin"/>
    <s v="Hpakant"/>
    <s v="AG Church, Maw Wan"/>
    <m/>
    <m/>
    <m/>
    <n v="59"/>
    <n v="28"/>
    <n v="0"/>
    <n v="28"/>
    <n v="28"/>
    <n v="28"/>
    <n v="28"/>
    <m/>
    <m/>
    <m/>
    <m/>
    <m/>
    <m/>
    <m/>
    <n v="0"/>
    <n v="0"/>
    <n v="0"/>
    <n v="0"/>
    <n v="0"/>
    <n v="0"/>
    <n v="0"/>
    <n v="0"/>
    <n v="0"/>
    <n v="0"/>
    <n v="0"/>
    <n v="0"/>
    <n v="0"/>
    <n v="0"/>
    <x v="0"/>
    <n v="0"/>
    <n v="0"/>
    <n v="0"/>
    <s v="MMR001CMP190"/>
    <x v="0"/>
    <x v="0"/>
    <x v="4"/>
    <n v="6.783767413688674E-4"/>
    <s v="No"/>
    <m/>
  </r>
  <r>
    <n v="51.033333333333331"/>
    <d v="2013-02-20T00:00:00"/>
    <x v="1"/>
    <s v="UNHCR"/>
    <s v="Kachin"/>
    <s v="Hpakant"/>
    <s v="Lisu Baptist Church, Maw Wan Ward"/>
    <m/>
    <m/>
    <n v="12"/>
    <n v="20"/>
    <n v="8"/>
    <n v="20"/>
    <n v="8"/>
    <n v="8"/>
    <n v="8"/>
    <n v="8"/>
    <m/>
    <m/>
    <m/>
    <m/>
    <m/>
    <m/>
    <m/>
    <n v="0"/>
    <n v="0"/>
    <n v="0"/>
    <n v="0"/>
    <n v="0"/>
    <n v="0"/>
    <n v="0"/>
    <n v="0"/>
    <n v="0"/>
    <n v="0"/>
    <n v="0"/>
    <n v="0"/>
    <n v="0"/>
    <n v="0"/>
    <x v="0"/>
    <n v="0"/>
    <n v="0"/>
    <n v="0"/>
    <s v="MMR001CMP167"/>
    <x v="0"/>
    <x v="0"/>
    <x v="4"/>
    <n v="1.9382192610539067E-4"/>
    <s v="No"/>
    <m/>
  </r>
  <r>
    <n v="51.033333333333331"/>
    <d v="2013-02-20T00:00:00"/>
    <x v="1"/>
    <s v="UNHCR"/>
    <s v="Kachin"/>
    <s v="Hpakant"/>
    <s v="Nant Ma Hpit Catholic Church"/>
    <m/>
    <m/>
    <n v="35"/>
    <n v="0"/>
    <n v="0"/>
    <n v="0"/>
    <n v="0"/>
    <n v="0"/>
    <m/>
    <m/>
    <m/>
    <m/>
    <m/>
    <m/>
    <m/>
    <m/>
    <m/>
    <n v="0"/>
    <n v="0"/>
    <n v="0"/>
    <n v="0"/>
    <n v="0"/>
    <n v="0"/>
    <n v="0"/>
    <n v="0"/>
    <n v="0"/>
    <n v="0"/>
    <n v="0"/>
    <n v="0"/>
    <n v="0"/>
    <n v="0"/>
    <x v="0"/>
    <n v="0"/>
    <n v="0"/>
    <n v="0"/>
    <s v="MMR001CMP103"/>
    <x v="0"/>
    <x v="0"/>
    <x v="4"/>
    <n v="0"/>
    <s v="No"/>
    <m/>
  </r>
  <r>
    <n v="51.033333333333331"/>
    <d v="2013-02-20T00:00:00"/>
    <x v="1"/>
    <s v="UNHCR"/>
    <s v="Kachin"/>
    <s v="Hpakant"/>
    <s v="Nant Ma Hpit Catholic Church"/>
    <m/>
    <m/>
    <n v="32"/>
    <n v="64"/>
    <n v="33"/>
    <n v="64"/>
    <n v="33"/>
    <n v="33"/>
    <n v="33"/>
    <n v="33"/>
    <m/>
    <m/>
    <m/>
    <m/>
    <m/>
    <m/>
    <m/>
    <n v="0"/>
    <n v="0"/>
    <n v="0"/>
    <n v="0"/>
    <n v="0"/>
    <n v="0"/>
    <n v="0"/>
    <n v="0"/>
    <n v="0"/>
    <n v="0"/>
    <n v="0"/>
    <n v="0"/>
    <n v="0"/>
    <n v="0"/>
    <x v="0"/>
    <n v="0"/>
    <n v="0"/>
    <n v="0"/>
    <s v="MMR001CMP103"/>
    <x v="0"/>
    <x v="0"/>
    <x v="4"/>
    <n v="7.954298937016415E-4"/>
    <s v="No"/>
    <m/>
  </r>
  <r>
    <n v="51.033333333333331"/>
    <d v="2013-02-20T00:00:00"/>
    <x v="1"/>
    <s v="UNHCR"/>
    <s v="Kachin"/>
    <s v="Hpakant"/>
    <s v="Yumar Baptist Church"/>
    <m/>
    <m/>
    <n v="46"/>
    <n v="0"/>
    <n v="0"/>
    <n v="0"/>
    <n v="0"/>
    <n v="0"/>
    <m/>
    <m/>
    <m/>
    <m/>
    <m/>
    <m/>
    <m/>
    <m/>
    <m/>
    <n v="0"/>
    <n v="0"/>
    <n v="0"/>
    <n v="0"/>
    <n v="0"/>
    <n v="0"/>
    <n v="0"/>
    <n v="0"/>
    <n v="0"/>
    <n v="0"/>
    <n v="0"/>
    <n v="0"/>
    <n v="0"/>
    <n v="0"/>
    <x v="0"/>
    <n v="0"/>
    <n v="0"/>
    <n v="0"/>
    <s v="MMR001CMP105"/>
    <x v="0"/>
    <x v="0"/>
    <x v="4"/>
    <n v="0"/>
    <s v="No"/>
    <m/>
  </r>
  <r>
    <n v="51.033333333333331"/>
    <d v="2013-02-20T00:00:00"/>
    <x v="1"/>
    <s v="UNHCR"/>
    <s v="Kachin"/>
    <s v="Hpakant"/>
    <s v="Aye Mya Tharyar Church of Christ "/>
    <m/>
    <m/>
    <n v="18"/>
    <n v="0"/>
    <n v="0"/>
    <n v="0"/>
    <n v="0"/>
    <n v="0"/>
    <m/>
    <m/>
    <m/>
    <m/>
    <m/>
    <m/>
    <m/>
    <m/>
    <m/>
    <n v="0"/>
    <n v="0"/>
    <n v="0"/>
    <n v="0"/>
    <n v="0"/>
    <n v="0"/>
    <n v="0"/>
    <n v="0"/>
    <n v="0"/>
    <n v="0"/>
    <n v="0"/>
    <n v="0"/>
    <n v="0"/>
    <n v="0"/>
    <x v="0"/>
    <n v="0"/>
    <n v="0"/>
    <n v="0"/>
    <s v="MMR001CMP092"/>
    <x v="0"/>
    <x v="2"/>
    <x v="2"/>
    <s v=""/>
    <s v="No"/>
    <m/>
  </r>
  <r>
    <n v="51.033333333333331"/>
    <d v="2013-02-20T00:00:00"/>
    <x v="1"/>
    <s v="UNHCR"/>
    <s v="Kachin"/>
    <s v="Hpakant"/>
    <s v="Chin(Zomi) Baptist Church"/>
    <m/>
    <m/>
    <n v="13"/>
    <n v="28"/>
    <n v="15"/>
    <n v="28"/>
    <n v="15"/>
    <n v="15"/>
    <n v="15"/>
    <n v="15"/>
    <m/>
    <m/>
    <m/>
    <m/>
    <m/>
    <m/>
    <m/>
    <n v="0"/>
    <n v="0"/>
    <n v="0"/>
    <n v="0"/>
    <n v="0"/>
    <n v="0"/>
    <n v="0"/>
    <n v="0"/>
    <n v="0"/>
    <n v="0"/>
    <n v="0"/>
    <n v="0"/>
    <n v="0"/>
    <n v="0"/>
    <x v="0"/>
    <n v="0"/>
    <n v="0"/>
    <n v="0"/>
    <s v="MMR001CMP086"/>
    <x v="0"/>
    <x v="2"/>
    <x v="2"/>
    <s v=""/>
    <s v="No"/>
    <m/>
  </r>
  <r>
    <n v="51.033333333333331"/>
    <d v="2013-02-20T00:00:00"/>
    <x v="1"/>
    <s v="UNHCR"/>
    <s v="Kachin"/>
    <s v="Hpakant"/>
    <s v="Mashi Kahtawng Baptist  Church"/>
    <m/>
    <m/>
    <n v="74"/>
    <n v="0"/>
    <n v="0"/>
    <n v="0"/>
    <n v="0"/>
    <n v="0"/>
    <m/>
    <m/>
    <m/>
    <m/>
    <m/>
    <m/>
    <m/>
    <m/>
    <m/>
    <n v="0"/>
    <n v="0"/>
    <n v="0"/>
    <n v="0"/>
    <n v="0"/>
    <n v="0"/>
    <n v="0"/>
    <n v="0"/>
    <n v="0"/>
    <n v="0"/>
    <n v="0"/>
    <n v="0"/>
    <n v="0"/>
    <n v="0"/>
    <x v="0"/>
    <n v="0"/>
    <n v="0"/>
    <n v="0"/>
    <s v="MMR001CMP094"/>
    <x v="0"/>
    <x v="2"/>
    <x v="2"/>
    <s v=""/>
    <s v="No"/>
    <m/>
  </r>
  <r>
    <n v="51.033333333333331"/>
    <d v="2013-02-20T00:00:00"/>
    <x v="1"/>
    <s v="UNHCR"/>
    <s v="Kachin"/>
    <s v="Hpakant"/>
    <s v="Mashi Kahtawng Catholic Church"/>
    <m/>
    <m/>
    <n v="16"/>
    <n v="26"/>
    <n v="13"/>
    <n v="26"/>
    <n v="13"/>
    <n v="13"/>
    <n v="13"/>
    <n v="13"/>
    <m/>
    <m/>
    <m/>
    <m/>
    <m/>
    <m/>
    <m/>
    <n v="0"/>
    <n v="0"/>
    <n v="0"/>
    <n v="0"/>
    <n v="0"/>
    <n v="0"/>
    <n v="0"/>
    <n v="0"/>
    <n v="0"/>
    <n v="0"/>
    <n v="0"/>
    <n v="0"/>
    <n v="0"/>
    <n v="0"/>
    <x v="0"/>
    <n v="0"/>
    <n v="0"/>
    <n v="0"/>
    <s v="MMR001CMP093"/>
    <x v="0"/>
    <x v="2"/>
    <x v="2"/>
    <s v=""/>
    <s v="No"/>
    <m/>
  </r>
  <r>
    <n v="51.033333333333331"/>
    <d v="2013-02-20T00:00:00"/>
    <x v="1"/>
    <s v="UNHCR"/>
    <s v="Kachin"/>
    <s v="Hpakant"/>
    <s v="Maw Wan, Kachin Baptist Church"/>
    <m/>
    <m/>
    <n v="85"/>
    <n v="138"/>
    <n v="65"/>
    <n v="138"/>
    <n v="65"/>
    <n v="65"/>
    <n v="65"/>
    <n v="65"/>
    <m/>
    <m/>
    <m/>
    <m/>
    <m/>
    <m/>
    <m/>
    <n v="0"/>
    <n v="0"/>
    <n v="0"/>
    <n v="0"/>
    <n v="0"/>
    <n v="0"/>
    <n v="0"/>
    <n v="0"/>
    <n v="0"/>
    <n v="0"/>
    <n v="0"/>
    <n v="0"/>
    <n v="0"/>
    <n v="0"/>
    <x v="0"/>
    <n v="0"/>
    <n v="0"/>
    <n v="0"/>
    <s v="MMR001CMP085"/>
    <x v="0"/>
    <x v="2"/>
    <x v="2"/>
    <s v=""/>
    <s v="No"/>
    <m/>
  </r>
  <r>
    <n v="51.033333333333331"/>
    <d v="2013-02-20T00:00:00"/>
    <x v="1"/>
    <s v="UNHCR"/>
    <s v="Kachin"/>
    <s v="Hpakant"/>
    <s v="Nga Pyaw Taw Baptist Nursery School "/>
    <m/>
    <m/>
    <n v="175"/>
    <n v="0"/>
    <n v="0"/>
    <n v="0"/>
    <n v="0"/>
    <n v="0"/>
    <m/>
    <m/>
    <m/>
    <m/>
    <m/>
    <m/>
    <m/>
    <m/>
    <m/>
    <n v="0"/>
    <n v="0"/>
    <n v="0"/>
    <n v="0"/>
    <n v="0"/>
    <n v="0"/>
    <n v="0"/>
    <n v="0"/>
    <n v="0"/>
    <n v="0"/>
    <n v="0"/>
    <n v="0"/>
    <n v="0"/>
    <n v="0"/>
    <x v="0"/>
    <n v="0"/>
    <n v="0"/>
    <n v="0"/>
    <s v="MMR001CMP082"/>
    <x v="0"/>
    <x v="2"/>
    <x v="2"/>
    <n v="0"/>
    <s v="No"/>
    <m/>
  </r>
  <r>
    <n v="51.033333333333331"/>
    <d v="2013-02-20T00:00:00"/>
    <x v="1"/>
    <s v="UNHCR"/>
    <s v="Kachin"/>
    <s v="Hpakant"/>
    <s v="Nga Pyaw Taw Roman Catholic Church"/>
    <m/>
    <m/>
    <n v="38"/>
    <n v="89"/>
    <n v="44"/>
    <n v="89"/>
    <n v="44"/>
    <n v="44"/>
    <n v="44"/>
    <n v="44"/>
    <m/>
    <m/>
    <m/>
    <m/>
    <m/>
    <m/>
    <m/>
    <n v="0"/>
    <n v="0"/>
    <n v="0"/>
    <n v="0"/>
    <n v="0"/>
    <n v="0"/>
    <n v="0"/>
    <n v="0"/>
    <n v="0"/>
    <n v="0"/>
    <n v="0"/>
    <n v="0"/>
    <n v="0"/>
    <n v="0"/>
    <x v="0"/>
    <n v="0"/>
    <n v="0"/>
    <n v="0"/>
    <s v="MMR001CMP083"/>
    <x v="0"/>
    <x v="2"/>
    <x v="2"/>
    <s v=""/>
    <s v="No"/>
    <m/>
  </r>
  <r>
    <n v="51.033333333333331"/>
    <d v="2013-02-20T00:00:00"/>
    <x v="1"/>
    <s v="UNHCR"/>
    <s v="Kachin"/>
    <s v="Hpakant"/>
    <s v="Zomee Baptist Church camp, Hmaw Wan"/>
    <m/>
    <m/>
    <m/>
    <n v="11"/>
    <n v="6"/>
    <n v="0"/>
    <n v="6"/>
    <n v="6"/>
    <n v="6"/>
    <n v="6"/>
    <m/>
    <m/>
    <m/>
    <m/>
    <m/>
    <m/>
    <m/>
    <n v="0"/>
    <n v="0"/>
    <n v="0"/>
    <n v="0"/>
    <n v="0"/>
    <n v="0"/>
    <n v="0"/>
    <n v="0"/>
    <n v="0"/>
    <n v="0"/>
    <n v="0"/>
    <n v="0"/>
    <n v="0"/>
    <n v="0"/>
    <x v="0"/>
    <n v="0"/>
    <n v="0"/>
    <n v="0"/>
    <s v="MMR001CMP201"/>
    <x v="0"/>
    <x v="2"/>
    <x v="2"/>
    <s v=""/>
    <s v="No"/>
    <m/>
  </r>
  <r>
    <n v="51.06666666666667"/>
    <d v="2013-02-19T00:00:00"/>
    <x v="1"/>
    <s v="UNHCR"/>
    <s v="Kachin"/>
    <s v="Hpakant"/>
    <s v="5 Ward Baptist Church(lon Khin)"/>
    <m/>
    <m/>
    <n v="18"/>
    <n v="30"/>
    <n v="17"/>
    <n v="64"/>
    <n v="17"/>
    <n v="17"/>
    <n v="17"/>
    <n v="17"/>
    <m/>
    <m/>
    <m/>
    <m/>
    <m/>
    <m/>
    <m/>
    <n v="0"/>
    <n v="0"/>
    <n v="0"/>
    <n v="0"/>
    <n v="0"/>
    <n v="0"/>
    <n v="0"/>
    <n v="0"/>
    <n v="0"/>
    <n v="0"/>
    <n v="0"/>
    <n v="0"/>
    <n v="0"/>
    <n v="0"/>
    <x v="0"/>
    <n v="0"/>
    <n v="0"/>
    <n v="0"/>
    <s v="MMR001CMP179"/>
    <x v="0"/>
    <x v="2"/>
    <x v="4"/>
    <n v="4.1187159297395516E-4"/>
    <s v="No"/>
    <m/>
  </r>
  <r>
    <n v="51.06666666666667"/>
    <d v="2013-02-19T00:00:00"/>
    <x v="1"/>
    <s v="UNHCR"/>
    <s v="Kachin"/>
    <s v="Hpakant"/>
    <s v="Dhama Rakhita, Nyein Chan Tar Yar Ward(Lon Khin)"/>
    <m/>
    <m/>
    <n v="74"/>
    <n v="105"/>
    <n v="59"/>
    <n v="105"/>
    <n v="59"/>
    <n v="59"/>
    <n v="59"/>
    <n v="59"/>
    <m/>
    <m/>
    <m/>
    <m/>
    <m/>
    <m/>
    <m/>
    <n v="0"/>
    <n v="0"/>
    <n v="0"/>
    <n v="0"/>
    <n v="0"/>
    <n v="0"/>
    <n v="0"/>
    <n v="0"/>
    <n v="0"/>
    <n v="0"/>
    <n v="0"/>
    <n v="0"/>
    <n v="0"/>
    <n v="0"/>
    <x v="0"/>
    <n v="0"/>
    <n v="0"/>
    <n v="0"/>
    <s v="MMR001CMP174"/>
    <x v="0"/>
    <x v="0"/>
    <x v="4"/>
    <n v="1.4294367050272563E-3"/>
    <s v="No"/>
    <m/>
  </r>
  <r>
    <n v="51.06666666666667"/>
    <d v="2013-02-19T00:00:00"/>
    <x v="1"/>
    <s v="UNHCR"/>
    <s v="Kachin"/>
    <s v="Hpakant"/>
    <s v="Nam Ma Phyit, COC"/>
    <m/>
    <m/>
    <n v="19"/>
    <n v="30"/>
    <n v="18"/>
    <n v="68"/>
    <n v="18"/>
    <n v="18"/>
    <n v="18"/>
    <n v="18"/>
    <m/>
    <m/>
    <m/>
    <m/>
    <m/>
    <m/>
    <m/>
    <n v="0"/>
    <n v="0"/>
    <n v="0"/>
    <n v="0"/>
    <n v="0"/>
    <n v="0"/>
    <n v="0"/>
    <n v="0"/>
    <n v="0"/>
    <n v="0"/>
    <n v="0"/>
    <n v="0"/>
    <n v="0"/>
    <n v="0"/>
    <x v="0"/>
    <n v="0"/>
    <n v="0"/>
    <n v="0"/>
    <s v="MMR001CMP192"/>
    <x v="0"/>
    <x v="0"/>
    <x v="4"/>
    <n v="4.3609933373712904E-4"/>
    <s v="No"/>
    <m/>
  </r>
  <r>
    <n v="51.06666666666667"/>
    <d v="2013-02-19T00:00:00"/>
    <x v="1"/>
    <s v="UNHCR"/>
    <s v="Kachin"/>
    <s v="Hpakant"/>
    <s v="1 Ward, Sein Yadanar Company(Lon Khin)"/>
    <m/>
    <m/>
    <n v="3"/>
    <n v="7"/>
    <n v="4"/>
    <n v="7"/>
    <n v="4"/>
    <n v="4"/>
    <n v="4"/>
    <n v="4"/>
    <m/>
    <m/>
    <m/>
    <m/>
    <m/>
    <m/>
    <m/>
    <n v="0"/>
    <n v="0"/>
    <n v="0"/>
    <n v="0"/>
    <n v="0"/>
    <n v="0"/>
    <n v="0"/>
    <n v="0"/>
    <n v="0"/>
    <n v="0"/>
    <n v="0"/>
    <n v="0"/>
    <n v="0"/>
    <n v="0"/>
    <x v="0"/>
    <n v="0"/>
    <n v="0"/>
    <n v="0"/>
    <s v="MMR001CMP171"/>
    <x v="0"/>
    <x v="2"/>
    <x v="2"/>
    <s v=""/>
    <s v="No"/>
    <m/>
  </r>
  <r>
    <n v="51.06666666666667"/>
    <d v="2013-02-19T00:00:00"/>
    <x v="1"/>
    <s v="UNHCR"/>
    <s v="Kachin"/>
    <s v="Hpakant"/>
    <s v="Anglican Church, Hmaw Si Sar"/>
    <m/>
    <m/>
    <n v="1"/>
    <n v="6"/>
    <n v="3"/>
    <n v="15"/>
    <n v="4"/>
    <n v="4"/>
    <n v="4"/>
    <n v="4"/>
    <m/>
    <m/>
    <m/>
    <m/>
    <m/>
    <m/>
    <m/>
    <n v="0"/>
    <n v="0"/>
    <n v="0"/>
    <n v="0"/>
    <n v="0"/>
    <n v="0"/>
    <n v="0"/>
    <n v="0"/>
    <n v="0"/>
    <n v="0"/>
    <n v="0"/>
    <n v="0"/>
    <n v="0"/>
    <n v="0"/>
    <x v="0"/>
    <n v="0"/>
    <n v="0"/>
    <n v="0"/>
    <s v="MMR001CMP173"/>
    <x v="0"/>
    <x v="2"/>
    <x v="2"/>
    <s v=""/>
    <s v="No"/>
    <m/>
  </r>
  <r>
    <n v="51.06666666666667"/>
    <d v="2013-02-19T00:00:00"/>
    <x v="1"/>
    <s v="UNHCR"/>
    <s v="Kachin"/>
    <s v="Hpakant"/>
    <s v="Anglican Church, Hmaw Si Sar"/>
    <m/>
    <m/>
    <n v="92"/>
    <n v="130"/>
    <n v="67"/>
    <n v="130"/>
    <n v="67"/>
    <n v="67"/>
    <n v="67"/>
    <n v="67"/>
    <m/>
    <m/>
    <m/>
    <m/>
    <m/>
    <m/>
    <m/>
    <n v="0"/>
    <n v="0"/>
    <n v="0"/>
    <n v="0"/>
    <n v="0"/>
    <n v="0"/>
    <n v="0"/>
    <n v="0"/>
    <n v="0"/>
    <n v="0"/>
    <n v="0"/>
    <n v="0"/>
    <n v="0"/>
    <n v="0"/>
    <x v="0"/>
    <n v="0"/>
    <n v="0"/>
    <n v="0"/>
    <s v="MMR001CMP173"/>
    <x v="0"/>
    <x v="2"/>
    <x v="2"/>
    <s v=""/>
    <s v="No"/>
    <m/>
  </r>
  <r>
    <n v="51.06666666666667"/>
    <d v="2013-02-19T00:00:00"/>
    <x v="1"/>
    <s v="UNHCR"/>
    <s v="Kachin"/>
    <s v="Hpakant"/>
    <s v="Away Yar Rama Monastery, Ka Day village"/>
    <m/>
    <m/>
    <n v="8"/>
    <n v="16"/>
    <n v="8"/>
    <n v="16"/>
    <n v="8"/>
    <n v="8"/>
    <n v="8"/>
    <n v="8"/>
    <m/>
    <m/>
    <m/>
    <m/>
    <m/>
    <m/>
    <m/>
    <n v="0"/>
    <n v="0"/>
    <n v="0"/>
    <n v="0"/>
    <n v="0"/>
    <n v="0"/>
    <n v="0"/>
    <n v="0"/>
    <n v="0"/>
    <n v="0"/>
    <n v="0"/>
    <n v="0"/>
    <n v="0"/>
    <n v="0"/>
    <x v="0"/>
    <n v="0"/>
    <n v="0"/>
    <n v="0"/>
    <s v="MMR001CMP170"/>
    <x v="0"/>
    <x v="2"/>
    <x v="2"/>
    <s v=""/>
    <s v="No"/>
    <m/>
  </r>
  <r>
    <n v="51.06666666666667"/>
    <d v="2013-02-19T00:00:00"/>
    <x v="1"/>
    <s v="UNHCR"/>
    <s v="Kachin"/>
    <s v="Hpakant"/>
    <s v="May Di Ka Rama Monastery(Lon Khin)"/>
    <m/>
    <m/>
    <n v="9"/>
    <n v="21"/>
    <n v="9"/>
    <n v="21"/>
    <n v="9"/>
    <n v="9"/>
    <n v="9"/>
    <n v="9"/>
    <m/>
    <m/>
    <m/>
    <m/>
    <m/>
    <m/>
    <m/>
    <n v="0"/>
    <n v="0"/>
    <n v="0"/>
    <n v="0"/>
    <n v="0"/>
    <n v="0"/>
    <n v="0"/>
    <n v="0"/>
    <n v="0"/>
    <n v="0"/>
    <n v="0"/>
    <n v="0"/>
    <n v="0"/>
    <n v="0"/>
    <x v="0"/>
    <n v="0"/>
    <n v="0"/>
    <n v="0"/>
    <s v="MMR001CMP178"/>
    <x v="0"/>
    <x v="2"/>
    <x v="2"/>
    <s v=""/>
    <s v="No"/>
    <m/>
  </r>
  <r>
    <n v="51.06666666666667"/>
    <d v="2013-02-19T00:00:00"/>
    <x v="1"/>
    <s v="UNHCR"/>
    <s v="Kachin"/>
    <s v="Hpakant"/>
    <s v="Wrad(5) Christian Association"/>
    <m/>
    <m/>
    <n v="2"/>
    <n v="3"/>
    <n v="2"/>
    <n v="7"/>
    <n v="2"/>
    <n v="2"/>
    <n v="2"/>
    <n v="2"/>
    <m/>
    <m/>
    <m/>
    <m/>
    <m/>
    <m/>
    <m/>
    <n v="0"/>
    <n v="0"/>
    <n v="0"/>
    <n v="0"/>
    <n v="0"/>
    <n v="0"/>
    <n v="0"/>
    <n v="0"/>
    <n v="0"/>
    <n v="0"/>
    <n v="0"/>
    <n v="0"/>
    <n v="0"/>
    <n v="0"/>
    <x v="0"/>
    <n v="0"/>
    <n v="0"/>
    <n v="0"/>
    <s v="MMR001CMP175"/>
    <x v="0"/>
    <x v="2"/>
    <x v="2"/>
    <s v=""/>
    <s v="No"/>
    <m/>
  </r>
  <r>
    <n v="51.1"/>
    <d v="2013-02-18T00:00:00"/>
    <x v="1"/>
    <s v="UNHCR"/>
    <s v="Kachin"/>
    <s v="Hpakant"/>
    <s v="Hlaing Naung Baptist"/>
    <m/>
    <m/>
    <n v="30"/>
    <n v="0"/>
    <n v="0"/>
    <n v="0"/>
    <n v="0"/>
    <n v="0"/>
    <m/>
    <m/>
    <m/>
    <m/>
    <m/>
    <m/>
    <m/>
    <m/>
    <m/>
    <n v="0"/>
    <n v="0"/>
    <n v="0"/>
    <n v="0"/>
    <n v="0"/>
    <n v="0"/>
    <n v="0"/>
    <n v="0"/>
    <n v="0"/>
    <n v="0"/>
    <n v="0"/>
    <n v="0"/>
    <n v="0"/>
    <n v="0"/>
    <x v="0"/>
    <n v="0"/>
    <n v="0"/>
    <n v="0"/>
    <s v="MMR001CMP148"/>
    <x v="0"/>
    <x v="0"/>
    <x v="4"/>
    <n v="0"/>
    <s v="No"/>
    <m/>
  </r>
  <r>
    <n v="51.1"/>
    <d v="2013-02-18T00:00:00"/>
    <x v="1"/>
    <s v="KBC"/>
    <s v="Shan_North"/>
    <s v="Kutkai"/>
    <s v="Kutkai downtown (KBC Church)"/>
    <m/>
    <m/>
    <n v="120"/>
    <n v="120"/>
    <n v="60"/>
    <n v="120"/>
    <n v="60"/>
    <n v="60"/>
    <n v="60"/>
    <n v="60"/>
    <m/>
    <m/>
    <m/>
    <m/>
    <m/>
    <m/>
    <m/>
    <n v="0"/>
    <n v="0"/>
    <n v="0"/>
    <n v="0"/>
    <n v="0"/>
    <n v="0"/>
    <n v="0"/>
    <n v="0"/>
    <n v="0"/>
    <n v="0"/>
    <n v="0"/>
    <n v="0"/>
    <n v="0"/>
    <n v="0"/>
    <x v="0"/>
    <n v="0"/>
    <n v="0"/>
    <n v="0"/>
    <s v="MMR015CMP016"/>
    <x v="0"/>
    <x v="0"/>
    <x v="0"/>
    <n v="1.4547570555717194E-3"/>
    <s v="No"/>
    <m/>
  </r>
  <r>
    <n v="51.1"/>
    <d v="2013-02-18T00:00:00"/>
    <x v="1"/>
    <s v="KBC"/>
    <s v="Kachin"/>
    <s v="Mansi"/>
    <s v="Man Wing Baptist Church"/>
    <m/>
    <m/>
    <n v="221"/>
    <n v="221"/>
    <n v="110"/>
    <n v="221"/>
    <n v="110"/>
    <n v="110"/>
    <n v="110"/>
    <n v="110"/>
    <m/>
    <m/>
    <m/>
    <m/>
    <m/>
    <m/>
    <m/>
    <n v="0"/>
    <n v="0"/>
    <n v="0"/>
    <n v="0"/>
    <n v="0"/>
    <n v="0"/>
    <n v="0"/>
    <n v="0"/>
    <n v="0"/>
    <n v="0"/>
    <n v="0"/>
    <n v="0"/>
    <n v="0"/>
    <n v="0"/>
    <x v="0"/>
    <n v="0"/>
    <n v="0"/>
    <n v="0"/>
    <s v="MMR001CMP133"/>
    <x v="0"/>
    <x v="0"/>
    <x v="4"/>
    <n v="2.6868588177821201E-3"/>
    <s v="No"/>
    <m/>
  </r>
  <r>
    <n v="51.1"/>
    <d v="2013-02-18T00:00:00"/>
    <x v="1"/>
    <s v="KBC"/>
    <s v="Shan_North"/>
    <s v="Manton"/>
    <s v="Mandung - Jinghpaw"/>
    <m/>
    <m/>
    <n v="57"/>
    <n v="57"/>
    <n v="29"/>
    <n v="57"/>
    <n v="29"/>
    <n v="29"/>
    <n v="29"/>
    <n v="29"/>
    <m/>
    <m/>
    <m/>
    <m/>
    <m/>
    <m/>
    <m/>
    <n v="0"/>
    <n v="0"/>
    <n v="0"/>
    <n v="0"/>
    <n v="0"/>
    <n v="0"/>
    <n v="0"/>
    <n v="0"/>
    <n v="0"/>
    <n v="0"/>
    <n v="0"/>
    <n v="0"/>
    <n v="0"/>
    <n v="0"/>
    <x v="0"/>
    <n v="0"/>
    <n v="0"/>
    <n v="0"/>
    <s v="MMR015CMP009"/>
    <x v="0"/>
    <x v="0"/>
    <x v="5"/>
    <n v="7.0731707317073169E-4"/>
    <s v="No"/>
    <m/>
  </r>
  <r>
    <n v="51.1"/>
    <d v="2013-02-18T00:00:00"/>
    <x v="1"/>
    <s v="KBC"/>
    <s v="Shan_North"/>
    <s v="Kutkai"/>
    <s v="Mungji Pa Dabang (Baptist Church)         "/>
    <m/>
    <m/>
    <n v="93"/>
    <n v="93"/>
    <n v="46"/>
    <n v="93"/>
    <n v="46"/>
    <n v="46"/>
    <n v="46"/>
    <n v="46"/>
    <m/>
    <m/>
    <m/>
    <m/>
    <m/>
    <m/>
    <m/>
    <n v="0"/>
    <n v="0"/>
    <n v="0"/>
    <n v="0"/>
    <n v="0"/>
    <n v="0"/>
    <n v="0"/>
    <n v="0"/>
    <n v="0"/>
    <n v="0"/>
    <n v="0"/>
    <n v="0"/>
    <n v="0"/>
    <n v="0"/>
    <x v="0"/>
    <n v="0"/>
    <n v="0"/>
    <n v="0"/>
    <s v="MMR015CMP006"/>
    <x v="0"/>
    <x v="0"/>
    <x v="3"/>
    <n v="1.1278103317233432E-3"/>
    <s v="No"/>
    <m/>
  </r>
  <r>
    <n v="51.1"/>
    <d v="2013-02-18T00:00:00"/>
    <x v="1"/>
    <s v="KBC"/>
    <s v="Shan_North"/>
    <s v="Namhkan"/>
    <s v="Nam Hkam - Nay Win Ni (Palawng)"/>
    <m/>
    <m/>
    <n v="118"/>
    <n v="118"/>
    <n v="59"/>
    <n v="118"/>
    <n v="59"/>
    <n v="59"/>
    <n v="59"/>
    <n v="59"/>
    <m/>
    <m/>
    <m/>
    <m/>
    <m/>
    <m/>
    <m/>
    <n v="0"/>
    <n v="0"/>
    <n v="0"/>
    <n v="0"/>
    <n v="0"/>
    <n v="0"/>
    <n v="0"/>
    <n v="0"/>
    <n v="0"/>
    <n v="0"/>
    <n v="0"/>
    <n v="0"/>
    <n v="0"/>
    <n v="0"/>
    <x v="0"/>
    <n v="0"/>
    <n v="0"/>
    <n v="0"/>
    <s v="MMR015CMP004"/>
    <x v="0"/>
    <x v="0"/>
    <x v="0"/>
    <n v="1.4179624600447018E-3"/>
    <s v="No"/>
    <m/>
  </r>
  <r>
    <n v="51.1"/>
    <d v="2013-02-18T00:00:00"/>
    <x v="1"/>
    <s v="KBC"/>
    <s v="Shan_North"/>
    <s v="Namhkan"/>
    <s v="Nam Hkam (KBC Jaw Wang)"/>
    <m/>
    <m/>
    <n v="139"/>
    <n v="139"/>
    <n v="70"/>
    <n v="139"/>
    <n v="70"/>
    <n v="70"/>
    <n v="70"/>
    <n v="70"/>
    <m/>
    <m/>
    <m/>
    <m/>
    <m/>
    <m/>
    <m/>
    <n v="0"/>
    <n v="0"/>
    <n v="0"/>
    <n v="0"/>
    <n v="0"/>
    <n v="0"/>
    <n v="0"/>
    <n v="0"/>
    <n v="0"/>
    <n v="0"/>
    <n v="0"/>
    <n v="0"/>
    <n v="0"/>
    <n v="0"/>
    <x v="0"/>
    <n v="0"/>
    <n v="0"/>
    <n v="0"/>
    <s v="MMR015CMP001"/>
    <x v="0"/>
    <x v="0"/>
    <x v="0"/>
    <n v="1.7124125446450413E-3"/>
    <s v="No"/>
    <m/>
  </r>
  <r>
    <n v="51.1"/>
    <d v="2013-02-18T00:00:00"/>
    <x v="1"/>
    <s v="KBC"/>
    <s v="Shan_North"/>
    <s v="Kutkai"/>
    <s v="Nam Hpak Ka Mare "/>
    <m/>
    <m/>
    <n v="86"/>
    <n v="86"/>
    <n v="43"/>
    <n v="86"/>
    <n v="43"/>
    <n v="43"/>
    <n v="43"/>
    <n v="43"/>
    <m/>
    <m/>
    <m/>
    <m/>
    <m/>
    <m/>
    <m/>
    <n v="0"/>
    <n v="0"/>
    <n v="0"/>
    <n v="0"/>
    <n v="0"/>
    <n v="0"/>
    <n v="0"/>
    <n v="0"/>
    <n v="0"/>
    <n v="0"/>
    <n v="0"/>
    <n v="0"/>
    <n v="0"/>
    <n v="0"/>
    <x v="0"/>
    <n v="0"/>
    <n v="0"/>
    <n v="0"/>
    <s v="MMR015CMP007"/>
    <x v="0"/>
    <x v="0"/>
    <x v="0"/>
    <n v="1.0519105631390969E-3"/>
    <s v="No"/>
    <m/>
  </r>
  <r>
    <n v="51.1"/>
    <d v="2013-02-18T00:00:00"/>
    <x v="1"/>
    <s v="KBC"/>
    <s v="Shan_North"/>
    <s v="Namtu"/>
    <s v="Nam Tu RC"/>
    <m/>
    <m/>
    <n v="90"/>
    <n v="90"/>
    <n v="45"/>
    <n v="90"/>
    <n v="45"/>
    <n v="45"/>
    <n v="45"/>
    <n v="45"/>
    <m/>
    <m/>
    <m/>
    <m/>
    <m/>
    <m/>
    <m/>
    <n v="0"/>
    <n v="0"/>
    <n v="0"/>
    <n v="0"/>
    <n v="0"/>
    <n v="0"/>
    <n v="0"/>
    <n v="0"/>
    <n v="0"/>
    <n v="0"/>
    <n v="0"/>
    <n v="0"/>
    <n v="0"/>
    <n v="0"/>
    <x v="0"/>
    <n v="0"/>
    <n v="0"/>
    <n v="0"/>
    <s v="MMR015CMP210"/>
    <x v="0"/>
    <x v="0"/>
    <x v="0"/>
    <s v=""/>
    <s v="No"/>
    <m/>
  </r>
  <r>
    <n v="51.1"/>
    <d v="2013-02-18T00:00:00"/>
    <x v="1"/>
    <s v="KBC"/>
    <s v="Shan_North"/>
    <s v="Muse"/>
    <s v="Munekoe Pa (Giwang) - Hka San (Mung  Go  Pa ) "/>
    <m/>
    <m/>
    <n v="60"/>
    <n v="60"/>
    <n v="30"/>
    <n v="60"/>
    <n v="30"/>
    <n v="30"/>
    <n v="30"/>
    <n v="30"/>
    <m/>
    <m/>
    <m/>
    <m/>
    <m/>
    <m/>
    <m/>
    <n v="0"/>
    <n v="0"/>
    <n v="0"/>
    <n v="0"/>
    <n v="0"/>
    <n v="0"/>
    <n v="0"/>
    <n v="0"/>
    <n v="0"/>
    <n v="0"/>
    <n v="0"/>
    <n v="0"/>
    <n v="0"/>
    <n v="0"/>
    <x v="0"/>
    <n v="0"/>
    <n v="0"/>
    <n v="0"/>
    <s v="MMR015CMP012"/>
    <x v="0"/>
    <x v="2"/>
    <x v="3"/>
    <n v="7.3008688033876035E-4"/>
    <s v="No"/>
    <m/>
  </r>
  <r>
    <n v="51.1"/>
    <d v="2013-02-18T00:00:00"/>
    <x v="1"/>
    <s v="KBC"/>
    <s v="Shan_North"/>
    <s v="Namhkan"/>
    <s v="Nam Hkawng"/>
    <m/>
    <m/>
    <n v="16"/>
    <n v="16"/>
    <n v="8"/>
    <n v="16"/>
    <n v="8"/>
    <n v="8"/>
    <n v="8"/>
    <n v="8"/>
    <m/>
    <m/>
    <m/>
    <m/>
    <m/>
    <m/>
    <m/>
    <n v="0"/>
    <n v="0"/>
    <n v="0"/>
    <n v="0"/>
    <n v="0"/>
    <n v="0"/>
    <n v="0"/>
    <n v="0"/>
    <n v="0"/>
    <n v="0"/>
    <n v="0"/>
    <n v="0"/>
    <n v="0"/>
    <n v="0"/>
    <x v="0"/>
    <n v="0"/>
    <n v="0"/>
    <n v="0"/>
    <s v="MMR015CMP139"/>
    <x v="0"/>
    <x v="0"/>
    <x v="5"/>
    <n v="1.961409272562336E-4"/>
    <s v="No"/>
    <m/>
  </r>
  <r>
    <n v="51.366666666666667"/>
    <d v="2013-02-10T00:00:00"/>
    <x v="12"/>
    <s v="MRCS"/>
    <s v="Kachin"/>
    <s v="Mohnyin"/>
    <s v="St. Patrick Catholic Church "/>
    <m/>
    <m/>
    <m/>
    <m/>
    <n v="20"/>
    <m/>
    <n v="12"/>
    <m/>
    <n v="0"/>
    <n v="0"/>
    <m/>
    <m/>
    <m/>
    <m/>
    <m/>
    <m/>
    <m/>
    <n v="0"/>
    <n v="0"/>
    <n v="0"/>
    <n v="0"/>
    <n v="0"/>
    <n v="0"/>
    <n v="0"/>
    <n v="0"/>
    <n v="0"/>
    <n v="0"/>
    <n v="0"/>
    <n v="0"/>
    <n v="0"/>
    <n v="0"/>
    <x v="0"/>
    <n v="0"/>
    <n v="0"/>
    <n v="0"/>
    <s v="MMR001CMP080"/>
    <x v="0"/>
    <x v="0"/>
    <x v="4"/>
    <n v="2.9224811865273618E-4"/>
    <s v="No"/>
    <m/>
  </r>
  <r>
    <n v="51.366666666666667"/>
    <d v="2013-02-10T00:00:00"/>
    <x v="12"/>
    <s v="MRCS"/>
    <s v="Kachin"/>
    <s v="Mohnyin"/>
    <s v="Nant Mun"/>
    <m/>
    <m/>
    <m/>
    <m/>
    <n v="36"/>
    <m/>
    <n v="22"/>
    <m/>
    <n v="0"/>
    <n v="0"/>
    <m/>
    <m/>
    <m/>
    <m/>
    <m/>
    <m/>
    <m/>
    <n v="0"/>
    <n v="0"/>
    <n v="0"/>
    <n v="0"/>
    <n v="0"/>
    <n v="0"/>
    <n v="0"/>
    <n v="0"/>
    <n v="0"/>
    <n v="0"/>
    <n v="0"/>
    <n v="0"/>
    <n v="0"/>
    <n v="0"/>
    <x v="0"/>
    <n v="0"/>
    <n v="0"/>
    <n v="0"/>
    <s v="MMR001CMP081"/>
    <x v="0"/>
    <x v="2"/>
    <x v="4"/>
    <n v="5.3699138372916109E-4"/>
    <s v="No"/>
    <m/>
  </r>
  <r>
    <n v="51.4"/>
    <d v="2013-02-09T00:00:00"/>
    <x v="12"/>
    <s v="MRCS"/>
    <s v="Kachin"/>
    <s v="Myitkyina"/>
    <s v="Jan Mai Kawng Baptist Church"/>
    <m/>
    <m/>
    <m/>
    <m/>
    <n v="177"/>
    <n v="10"/>
    <n v="10"/>
    <m/>
    <n v="0"/>
    <n v="0"/>
    <m/>
    <m/>
    <m/>
    <m/>
    <m/>
    <m/>
    <m/>
    <n v="0"/>
    <n v="0"/>
    <n v="0"/>
    <n v="0"/>
    <n v="0"/>
    <n v="0"/>
    <n v="0"/>
    <n v="0"/>
    <n v="0"/>
    <n v="0"/>
    <n v="0"/>
    <n v="0"/>
    <n v="0"/>
    <n v="0"/>
    <x v="0"/>
    <n v="0"/>
    <n v="0"/>
    <n v="0"/>
    <s v="MMR001CMP018"/>
    <x v="0"/>
    <x v="0"/>
    <x v="4"/>
    <n v="2.4554941682013506E-4"/>
    <s v="No"/>
    <m/>
  </r>
  <r>
    <n v="51.4"/>
    <d v="2013-02-09T00:00:00"/>
    <x v="12"/>
    <s v="MRCS"/>
    <s v="Kachin"/>
    <s v="Myitkyina"/>
    <s v="Shatapru Sut Ngai Tawng"/>
    <m/>
    <m/>
    <m/>
    <m/>
    <n v="109"/>
    <n v="10"/>
    <n v="10"/>
    <m/>
    <n v="0"/>
    <n v="0"/>
    <m/>
    <m/>
    <m/>
    <m/>
    <m/>
    <m/>
    <m/>
    <n v="0"/>
    <n v="0"/>
    <n v="0"/>
    <n v="0"/>
    <n v="0"/>
    <n v="0"/>
    <n v="0"/>
    <n v="0"/>
    <n v="0"/>
    <n v="0"/>
    <n v="0"/>
    <n v="0"/>
    <n v="0"/>
    <n v="0"/>
    <x v="0"/>
    <n v="0"/>
    <n v="0"/>
    <n v="0"/>
    <s v="MMR001CMP006"/>
    <x v="0"/>
    <x v="0"/>
    <x v="4"/>
    <n v="2.4536264599077438E-4"/>
    <s v="No"/>
    <m/>
  </r>
  <r>
    <n v="51.5"/>
    <d v="2013-02-06T00:00:00"/>
    <x v="1"/>
    <s v="UNHCR"/>
    <s v="Kachin"/>
    <s v="Waingmaw"/>
    <s v="Qtr. 2 Lhaovo Baptist Church"/>
    <m/>
    <m/>
    <n v="17"/>
    <n v="20"/>
    <n v="15"/>
    <n v="20"/>
    <n v="14"/>
    <n v="11"/>
    <n v="11"/>
    <n v="11"/>
    <m/>
    <m/>
    <m/>
    <m/>
    <m/>
    <m/>
    <m/>
    <n v="0"/>
    <n v="0"/>
    <n v="0"/>
    <n v="0"/>
    <n v="0"/>
    <n v="0"/>
    <n v="0"/>
    <n v="0"/>
    <n v="0"/>
    <n v="0"/>
    <n v="0"/>
    <n v="0"/>
    <n v="0"/>
    <n v="0"/>
    <x v="0"/>
    <n v="0"/>
    <n v="0"/>
    <n v="0"/>
    <s v="MMR001CMP032"/>
    <x v="0"/>
    <x v="0"/>
    <x v="4"/>
    <n v="3.4376918354818908E-4"/>
    <s v="No"/>
    <m/>
  </r>
  <r>
    <n v="51.533333333333331"/>
    <d v="2013-02-05T00:00:00"/>
    <x v="12"/>
    <s v="MRCS"/>
    <s v="Kachin"/>
    <s v="Myitkyina"/>
    <s v="Jan Mai Kawng Baptist Church"/>
    <n v="22"/>
    <m/>
    <m/>
    <m/>
    <m/>
    <m/>
    <m/>
    <m/>
    <n v="0"/>
    <n v="0"/>
    <m/>
    <m/>
    <m/>
    <m/>
    <m/>
    <m/>
    <m/>
    <n v="0"/>
    <n v="0"/>
    <n v="0"/>
    <n v="0"/>
    <n v="0"/>
    <n v="0"/>
    <n v="0"/>
    <n v="0"/>
    <n v="0"/>
    <n v="0"/>
    <n v="0"/>
    <n v="0"/>
    <n v="0"/>
    <n v="0"/>
    <x v="0"/>
    <n v="0"/>
    <n v="0"/>
    <n v="0"/>
    <s v="MMR001CMP018"/>
    <x v="0"/>
    <x v="0"/>
    <x v="4"/>
    <n v="0"/>
    <s v="No"/>
    <m/>
  </r>
  <r>
    <n v="51.533333333333331"/>
    <d v="2013-02-05T00:00:00"/>
    <x v="1"/>
    <s v="UNHCR"/>
    <s v="Kachin"/>
    <s v="Waingmaw"/>
    <s v="Maina AG Church"/>
    <m/>
    <m/>
    <n v="37"/>
    <n v="70"/>
    <n v="34"/>
    <n v="70"/>
    <n v="34"/>
    <n v="34"/>
    <n v="34"/>
    <n v="34"/>
    <m/>
    <m/>
    <m/>
    <m/>
    <m/>
    <m/>
    <m/>
    <n v="0"/>
    <n v="0"/>
    <n v="0"/>
    <n v="0"/>
    <n v="0"/>
    <n v="0"/>
    <n v="0"/>
    <n v="0"/>
    <n v="0"/>
    <n v="0"/>
    <n v="0"/>
    <n v="0"/>
    <n v="0"/>
    <n v="0"/>
    <x v="0"/>
    <n v="0"/>
    <n v="0"/>
    <n v="0"/>
    <s v="MMR001CMP031"/>
    <x v="0"/>
    <x v="0"/>
    <x v="4"/>
    <n v="8.2014666152064838E-4"/>
    <s v="No"/>
    <m/>
  </r>
  <r>
    <n v="51.533333333333331"/>
    <d v="2013-02-05T00:00:00"/>
    <x v="12"/>
    <s v="MRCS"/>
    <s v="Kachin"/>
    <s v="Waingmaw"/>
    <s v="Maina Catholic Church (St. Joseph)"/>
    <n v="46"/>
    <m/>
    <m/>
    <m/>
    <m/>
    <m/>
    <m/>
    <m/>
    <n v="0"/>
    <n v="0"/>
    <m/>
    <m/>
    <m/>
    <m/>
    <m/>
    <m/>
    <m/>
    <n v="0"/>
    <n v="0"/>
    <n v="0"/>
    <n v="0"/>
    <n v="0"/>
    <n v="0"/>
    <n v="0"/>
    <n v="0"/>
    <n v="0"/>
    <n v="0"/>
    <n v="0"/>
    <n v="0"/>
    <n v="0"/>
    <n v="0"/>
    <x v="0"/>
    <n v="0"/>
    <n v="0"/>
    <n v="0"/>
    <s v="MMR001CMP029"/>
    <x v="0"/>
    <x v="0"/>
    <x v="4"/>
    <n v="0"/>
    <s v="No"/>
    <m/>
  </r>
  <r>
    <n v="51.533333333333331"/>
    <d v="2013-02-05T00:00:00"/>
    <x v="1"/>
    <s v="UNHCR"/>
    <s v="Kachin"/>
    <s v="Myitkyina"/>
    <s v="Maw Hpawng Lhaovo Baptist Church"/>
    <m/>
    <m/>
    <n v="10"/>
    <n v="16"/>
    <n v="7"/>
    <n v="16"/>
    <n v="7"/>
    <n v="7"/>
    <n v="7"/>
    <n v="7"/>
    <m/>
    <m/>
    <m/>
    <m/>
    <m/>
    <m/>
    <m/>
    <n v="0"/>
    <n v="0"/>
    <n v="0"/>
    <n v="0"/>
    <n v="0"/>
    <n v="0"/>
    <n v="0"/>
    <n v="0"/>
    <n v="0"/>
    <n v="0"/>
    <n v="0"/>
    <n v="0"/>
    <n v="0"/>
    <n v="0"/>
    <x v="0"/>
    <n v="0"/>
    <n v="0"/>
    <n v="0"/>
    <s v="MMR001CMP021"/>
    <x v="0"/>
    <x v="0"/>
    <x v="4"/>
    <n v="1.7149717029669011E-4"/>
    <s v="No"/>
    <m/>
  </r>
  <r>
    <n v="51.533333333333331"/>
    <d v="2013-02-05T00:00:00"/>
    <x v="12"/>
    <s v="MRCS"/>
    <s v="Kachin"/>
    <s v="Waingmaw"/>
    <s v="Qtr. 4 Monestry (Thargaya Thayett Taw)"/>
    <n v="20"/>
    <m/>
    <m/>
    <m/>
    <m/>
    <m/>
    <m/>
    <m/>
    <n v="0"/>
    <n v="0"/>
    <m/>
    <m/>
    <m/>
    <m/>
    <m/>
    <m/>
    <m/>
    <n v="0"/>
    <n v="0"/>
    <n v="0"/>
    <n v="0"/>
    <n v="0"/>
    <n v="0"/>
    <n v="0"/>
    <n v="0"/>
    <n v="0"/>
    <n v="0"/>
    <n v="0"/>
    <n v="0"/>
    <n v="0"/>
    <n v="0"/>
    <x v="0"/>
    <n v="0"/>
    <n v="0"/>
    <n v="0"/>
    <s v="MMR001CMP026"/>
    <x v="0"/>
    <x v="0"/>
    <x v="4"/>
    <n v="0"/>
    <s v="No"/>
    <m/>
  </r>
  <r>
    <n v="51.533333333333331"/>
    <d v="2013-02-05T00:00:00"/>
    <x v="12"/>
    <s v="MRCS"/>
    <s v="Kachin"/>
    <s v="Myitkyina"/>
    <s v="Shatapru Sut Ngai Tawng"/>
    <n v="36"/>
    <m/>
    <m/>
    <m/>
    <m/>
    <m/>
    <m/>
    <m/>
    <n v="0"/>
    <n v="0"/>
    <m/>
    <m/>
    <m/>
    <m/>
    <m/>
    <m/>
    <m/>
    <n v="0"/>
    <n v="0"/>
    <n v="0"/>
    <n v="0"/>
    <n v="0"/>
    <n v="0"/>
    <n v="0"/>
    <n v="0"/>
    <n v="0"/>
    <n v="0"/>
    <n v="0"/>
    <n v="0"/>
    <n v="0"/>
    <n v="0"/>
    <x v="0"/>
    <n v="0"/>
    <n v="0"/>
    <n v="0"/>
    <s v="MMR001CMP006"/>
    <x v="0"/>
    <x v="0"/>
    <x v="4"/>
    <n v="0"/>
    <s v="No"/>
    <m/>
  </r>
  <r>
    <n v="51.56666666666667"/>
    <d v="2013-02-04T00:00:00"/>
    <x v="12"/>
    <s v="MRCS"/>
    <s v="Kachin"/>
    <s v="Hpakant"/>
    <s v="5 Ward Baptist Church(lon Khin)"/>
    <m/>
    <m/>
    <m/>
    <m/>
    <m/>
    <m/>
    <n v="162"/>
    <m/>
    <n v="0"/>
    <n v="0"/>
    <m/>
    <m/>
    <m/>
    <m/>
    <m/>
    <m/>
    <m/>
    <n v="0"/>
    <n v="0"/>
    <n v="0"/>
    <n v="0"/>
    <n v="0"/>
    <n v="0"/>
    <n v="0"/>
    <n v="0"/>
    <n v="0"/>
    <n v="0"/>
    <n v="0"/>
    <n v="0"/>
    <n v="0"/>
    <n v="0"/>
    <x v="0"/>
    <n v="0"/>
    <n v="0"/>
    <n v="0"/>
    <s v="MMR001CMP179"/>
    <x v="0"/>
    <x v="2"/>
    <x v="4"/>
    <n v="3.9248940036341615E-3"/>
    <s v="No"/>
    <m/>
  </r>
  <r>
    <n v="51.56666666666667"/>
    <d v="2013-02-04T00:00:00"/>
    <x v="12"/>
    <s v="MRCS"/>
    <s v="Kachin"/>
    <s v="Hpakant"/>
    <s v="5 Ward RC Church(lon Khin)"/>
    <m/>
    <m/>
    <m/>
    <m/>
    <m/>
    <m/>
    <n v="117"/>
    <m/>
    <n v="0"/>
    <n v="0"/>
    <m/>
    <m/>
    <m/>
    <m/>
    <m/>
    <m/>
    <m/>
    <n v="0"/>
    <n v="0"/>
    <n v="0"/>
    <n v="0"/>
    <n v="0"/>
    <n v="0"/>
    <n v="0"/>
    <n v="0"/>
    <n v="0"/>
    <n v="0"/>
    <n v="0"/>
    <n v="0"/>
    <n v="0"/>
    <n v="0"/>
    <x v="0"/>
    <n v="0"/>
    <n v="0"/>
    <n v="0"/>
    <s v="MMR001CMP168"/>
    <x v="0"/>
    <x v="0"/>
    <x v="4"/>
    <n v="2.8346456692913387E-3"/>
    <s v="No"/>
    <m/>
  </r>
  <r>
    <n v="51.56666666666667"/>
    <d v="2013-02-04T00:00:00"/>
    <x v="12"/>
    <s v="MRCS"/>
    <s v="Kachin"/>
    <s v="Hpakant"/>
    <s v="Baptist Church, Hmaw Si Sar(Lon Khin)"/>
    <m/>
    <m/>
    <m/>
    <m/>
    <m/>
    <m/>
    <n v="106"/>
    <m/>
    <n v="0"/>
    <n v="0"/>
    <m/>
    <m/>
    <m/>
    <m/>
    <m/>
    <m/>
    <m/>
    <n v="0"/>
    <n v="0"/>
    <n v="0"/>
    <n v="0"/>
    <n v="0"/>
    <n v="0"/>
    <n v="0"/>
    <n v="0"/>
    <n v="0"/>
    <n v="0"/>
    <n v="0"/>
    <n v="0"/>
    <n v="0"/>
    <n v="0"/>
    <x v="0"/>
    <n v="0"/>
    <n v="0"/>
    <n v="0"/>
    <s v="MMR001CMP169"/>
    <x v="0"/>
    <x v="0"/>
    <x v="4"/>
    <n v="2.5681405208964263E-3"/>
    <s v="No"/>
    <m/>
  </r>
  <r>
    <n v="51.56666666666667"/>
    <d v="2013-02-04T00:00:00"/>
    <x v="12"/>
    <s v="MRCS"/>
    <s v="Kachin"/>
    <s v="Hpakant"/>
    <s v="Dhama Rakhita, Nyein Chan Tar Yar Ward(Lon Khin)"/>
    <m/>
    <m/>
    <m/>
    <m/>
    <m/>
    <m/>
    <n v="58"/>
    <m/>
    <n v="0"/>
    <n v="0"/>
    <m/>
    <m/>
    <m/>
    <m/>
    <m/>
    <m/>
    <m/>
    <n v="0"/>
    <n v="0"/>
    <n v="0"/>
    <n v="0"/>
    <n v="0"/>
    <n v="0"/>
    <n v="0"/>
    <n v="0"/>
    <n v="0"/>
    <n v="0"/>
    <n v="0"/>
    <n v="0"/>
    <n v="0"/>
    <n v="0"/>
    <x v="0"/>
    <n v="0"/>
    <n v="0"/>
    <n v="0"/>
    <s v="MMR001CMP174"/>
    <x v="0"/>
    <x v="0"/>
    <x v="4"/>
    <n v="1.4052089642640824E-3"/>
    <s v="No"/>
    <m/>
  </r>
  <r>
    <n v="51.56666666666667"/>
    <d v="2013-02-04T00:00:00"/>
    <x v="1"/>
    <s v="UNHCR"/>
    <s v="Kachin"/>
    <s v="Myitkyina"/>
    <s v="Pa Dauk Myaing(Pa La Na)"/>
    <m/>
    <m/>
    <n v="5"/>
    <n v="8"/>
    <n v="5"/>
    <n v="8"/>
    <n v="5"/>
    <n v="5"/>
    <n v="5"/>
    <n v="5"/>
    <m/>
    <m/>
    <m/>
    <m/>
    <m/>
    <m/>
    <m/>
    <n v="0"/>
    <n v="0"/>
    <n v="0"/>
    <n v="0"/>
    <n v="0"/>
    <n v="0"/>
    <n v="0"/>
    <n v="0"/>
    <n v="0"/>
    <n v="0"/>
    <n v="0"/>
    <n v="0"/>
    <n v="0"/>
    <n v="0"/>
    <x v="0"/>
    <n v="0"/>
    <n v="0"/>
    <n v="0"/>
    <s v="MMR001CMP162"/>
    <x v="0"/>
    <x v="0"/>
    <x v="4"/>
    <n v="1.2122975463097663E-4"/>
    <s v="No"/>
    <m/>
  </r>
  <r>
    <n v="51.7"/>
    <d v="2013-01-31T00:00:00"/>
    <x v="14"/>
    <s v="World Vision"/>
    <s v="Kachin"/>
    <s v="Waingmaw"/>
    <s v="Hkat Cho "/>
    <m/>
    <m/>
    <m/>
    <m/>
    <m/>
    <n v="256"/>
    <m/>
    <m/>
    <n v="0"/>
    <n v="0"/>
    <m/>
    <m/>
    <m/>
    <m/>
    <m/>
    <m/>
    <m/>
    <n v="0"/>
    <n v="0"/>
    <n v="0"/>
    <n v="0"/>
    <n v="0"/>
    <n v="0"/>
    <n v="0"/>
    <n v="0"/>
    <n v="0"/>
    <n v="0"/>
    <n v="0"/>
    <n v="0"/>
    <n v="0"/>
    <n v="0"/>
    <x v="0"/>
    <n v="0"/>
    <n v="0"/>
    <n v="0"/>
    <s v="MMR001CMP028"/>
    <x v="0"/>
    <x v="0"/>
    <x v="4"/>
    <n v="0"/>
    <s v="No"/>
    <m/>
  </r>
  <r>
    <n v="51.7"/>
    <d v="2013-01-31T00:00:00"/>
    <x v="14"/>
    <s v="World Vision"/>
    <s v="Kachin"/>
    <s v="Waingmaw"/>
    <s v="Mading Baptist Church"/>
    <m/>
    <m/>
    <m/>
    <m/>
    <m/>
    <n v="42"/>
    <m/>
    <m/>
    <n v="0"/>
    <n v="0"/>
    <m/>
    <m/>
    <m/>
    <m/>
    <m/>
    <m/>
    <m/>
    <n v="0"/>
    <n v="0"/>
    <n v="0"/>
    <n v="0"/>
    <n v="0"/>
    <n v="0"/>
    <n v="0"/>
    <n v="0"/>
    <n v="0"/>
    <n v="0"/>
    <n v="0"/>
    <n v="0"/>
    <n v="0"/>
    <n v="0"/>
    <x v="0"/>
    <n v="0"/>
    <n v="0"/>
    <n v="0"/>
    <s v="MMR001CMP027"/>
    <x v="0"/>
    <x v="0"/>
    <x v="4"/>
    <n v="0"/>
    <s v="No"/>
    <m/>
  </r>
  <r>
    <n v="51.7"/>
    <d v="2013-01-31T00:00:00"/>
    <x v="14"/>
    <s v="World Vision"/>
    <s v="Kachin"/>
    <s v="Waingmaw"/>
    <s v="Maina AG Church"/>
    <m/>
    <m/>
    <m/>
    <m/>
    <m/>
    <n v="128"/>
    <m/>
    <m/>
    <n v="0"/>
    <n v="0"/>
    <m/>
    <m/>
    <m/>
    <m/>
    <m/>
    <m/>
    <m/>
    <n v="0"/>
    <n v="0"/>
    <n v="0"/>
    <n v="0"/>
    <n v="0"/>
    <n v="0"/>
    <n v="0"/>
    <n v="0"/>
    <n v="0"/>
    <n v="0"/>
    <n v="0"/>
    <n v="0"/>
    <n v="0"/>
    <n v="0"/>
    <x v="0"/>
    <n v="0"/>
    <n v="0"/>
    <n v="0"/>
    <s v="MMR001CMP031"/>
    <x v="0"/>
    <x v="0"/>
    <x v="4"/>
    <n v="0"/>
    <s v="No"/>
    <m/>
  </r>
  <r>
    <n v="51.7"/>
    <d v="2013-01-31T00:00:00"/>
    <x v="14"/>
    <s v="World Vision"/>
    <s v="Kachin"/>
    <s v="Waingmaw"/>
    <s v="Maina Catholic Church (St. Joseph)"/>
    <m/>
    <m/>
    <m/>
    <m/>
    <m/>
    <n v="442"/>
    <m/>
    <m/>
    <n v="0"/>
    <n v="0"/>
    <m/>
    <m/>
    <m/>
    <m/>
    <m/>
    <m/>
    <m/>
    <n v="0"/>
    <n v="0"/>
    <n v="0"/>
    <n v="0"/>
    <n v="0"/>
    <n v="0"/>
    <n v="0"/>
    <n v="0"/>
    <n v="0"/>
    <n v="0"/>
    <n v="0"/>
    <n v="0"/>
    <n v="0"/>
    <n v="0"/>
    <x v="0"/>
    <n v="0"/>
    <n v="0"/>
    <n v="0"/>
    <s v="MMR001CMP029"/>
    <x v="0"/>
    <x v="0"/>
    <x v="4"/>
    <n v="0"/>
    <s v="No"/>
    <m/>
  </r>
  <r>
    <n v="51.7"/>
    <d v="2013-01-31T00:00:00"/>
    <x v="14"/>
    <s v="World Vision"/>
    <s v="Kachin"/>
    <s v="Waingmaw"/>
    <s v="Maina KBC (Bawng Ring)"/>
    <m/>
    <m/>
    <m/>
    <m/>
    <m/>
    <n v="324"/>
    <m/>
    <m/>
    <n v="0"/>
    <n v="0"/>
    <m/>
    <m/>
    <m/>
    <m/>
    <m/>
    <m/>
    <m/>
    <n v="0"/>
    <n v="0"/>
    <n v="0"/>
    <n v="0"/>
    <n v="0"/>
    <n v="0"/>
    <n v="0"/>
    <n v="0"/>
    <n v="0"/>
    <n v="0"/>
    <n v="0"/>
    <n v="0"/>
    <n v="0"/>
    <n v="0"/>
    <x v="0"/>
    <n v="0"/>
    <n v="0"/>
    <n v="0"/>
    <s v="MMR001CMP040"/>
    <x v="0"/>
    <x v="0"/>
    <x v="4"/>
    <n v="0"/>
    <s v="No"/>
    <m/>
  </r>
  <r>
    <n v="51.7"/>
    <d v="2013-01-31T00:00:00"/>
    <x v="14"/>
    <s v="World Vision"/>
    <s v="Kachin"/>
    <s v="Waingmaw"/>
    <s v="Maina Lawang Baptist Church"/>
    <m/>
    <m/>
    <m/>
    <m/>
    <m/>
    <n v="94"/>
    <m/>
    <m/>
    <n v="0"/>
    <n v="0"/>
    <m/>
    <m/>
    <m/>
    <m/>
    <m/>
    <m/>
    <m/>
    <n v="0"/>
    <n v="0"/>
    <n v="0"/>
    <n v="0"/>
    <n v="0"/>
    <n v="0"/>
    <n v="0"/>
    <n v="0"/>
    <n v="0"/>
    <n v="0"/>
    <n v="0"/>
    <n v="0"/>
    <n v="0"/>
    <n v="0"/>
    <x v="0"/>
    <n v="0"/>
    <n v="0"/>
    <n v="0"/>
    <s v="MMR001CMP039"/>
    <x v="0"/>
    <x v="0"/>
    <x v="4"/>
    <n v="0"/>
    <s v="No"/>
    <m/>
  </r>
  <r>
    <n v="51.7"/>
    <d v="2013-01-31T00:00:00"/>
    <x v="14"/>
    <s v="World Vision"/>
    <s v="Kachin"/>
    <s v="Waingmaw"/>
    <s v="Qtr. 2 Lhaovo Baptist Church"/>
    <m/>
    <m/>
    <m/>
    <m/>
    <m/>
    <n v="184"/>
    <m/>
    <m/>
    <n v="0"/>
    <n v="0"/>
    <m/>
    <m/>
    <m/>
    <m/>
    <m/>
    <m/>
    <m/>
    <n v="0"/>
    <n v="0"/>
    <n v="0"/>
    <n v="0"/>
    <n v="0"/>
    <n v="0"/>
    <n v="0"/>
    <n v="0"/>
    <n v="0"/>
    <n v="0"/>
    <n v="0"/>
    <n v="0"/>
    <n v="0"/>
    <n v="0"/>
    <x v="0"/>
    <n v="0"/>
    <n v="0"/>
    <n v="0"/>
    <s v="MMR001CMP032"/>
    <x v="0"/>
    <x v="0"/>
    <x v="4"/>
    <n v="0"/>
    <s v="No"/>
    <m/>
  </r>
  <r>
    <n v="51.7"/>
    <d v="2013-01-31T00:00:00"/>
    <x v="14"/>
    <s v="World Vision"/>
    <s v="Kachin"/>
    <s v="Waingmaw"/>
    <s v="Qtr. 2 Myoma Baptist Church"/>
    <m/>
    <m/>
    <m/>
    <m/>
    <m/>
    <n v="242"/>
    <m/>
    <m/>
    <n v="0"/>
    <n v="0"/>
    <m/>
    <m/>
    <m/>
    <m/>
    <m/>
    <m/>
    <m/>
    <n v="0"/>
    <n v="0"/>
    <n v="0"/>
    <n v="0"/>
    <n v="0"/>
    <n v="0"/>
    <n v="0"/>
    <n v="0"/>
    <n v="0"/>
    <n v="0"/>
    <n v="0"/>
    <n v="0"/>
    <n v="0"/>
    <n v="0"/>
    <x v="0"/>
    <n v="0"/>
    <n v="0"/>
    <n v="0"/>
    <s v="MMR001CMP025"/>
    <x v="0"/>
    <x v="0"/>
    <x v="4"/>
    <n v="0"/>
    <s v="No"/>
    <m/>
  </r>
  <r>
    <n v="51.7"/>
    <d v="2013-01-31T00:00:00"/>
    <x v="14"/>
    <s v="World Vision"/>
    <s v="Kachin"/>
    <s v="Waingmaw"/>
    <s v="Qtr. 3 Mu-yin  Baptist Church"/>
    <m/>
    <m/>
    <m/>
    <m/>
    <m/>
    <n v="54"/>
    <m/>
    <m/>
    <n v="0"/>
    <n v="0"/>
    <m/>
    <m/>
    <m/>
    <m/>
    <m/>
    <m/>
    <m/>
    <n v="0"/>
    <n v="0"/>
    <n v="0"/>
    <n v="0"/>
    <n v="0"/>
    <n v="0"/>
    <n v="0"/>
    <n v="0"/>
    <n v="0"/>
    <n v="0"/>
    <n v="0"/>
    <n v="0"/>
    <n v="0"/>
    <n v="0"/>
    <x v="0"/>
    <n v="0"/>
    <n v="0"/>
    <n v="0"/>
    <s v="MMR001CMP030"/>
    <x v="0"/>
    <x v="0"/>
    <x v="4"/>
    <n v="0"/>
    <s v="No"/>
    <m/>
  </r>
  <r>
    <n v="51.7"/>
    <d v="2013-01-31T00:00:00"/>
    <x v="14"/>
    <s v="World Vision"/>
    <s v="Kachin"/>
    <s v="Waingmaw"/>
    <s v="Qtr. 4 Monestry (Thargaya Thayett Taw)"/>
    <m/>
    <m/>
    <m/>
    <m/>
    <m/>
    <n v="188"/>
    <m/>
    <m/>
    <n v="0"/>
    <n v="0"/>
    <m/>
    <m/>
    <m/>
    <m/>
    <m/>
    <m/>
    <m/>
    <n v="0"/>
    <n v="0"/>
    <n v="0"/>
    <n v="0"/>
    <n v="0"/>
    <n v="0"/>
    <n v="0"/>
    <n v="0"/>
    <n v="0"/>
    <n v="0"/>
    <n v="0"/>
    <n v="0"/>
    <n v="0"/>
    <n v="0"/>
    <x v="0"/>
    <n v="0"/>
    <n v="0"/>
    <n v="0"/>
    <s v="MMR001CMP026"/>
    <x v="0"/>
    <x v="0"/>
    <x v="4"/>
    <n v="0"/>
    <s v="No"/>
    <m/>
  </r>
  <r>
    <n v="51.7"/>
    <d v="2013-01-31T00:00:00"/>
    <x v="14"/>
    <s v="World Vision"/>
    <s v="Kachin"/>
    <s v="Waingmaw"/>
    <s v="Shing Jai"/>
    <m/>
    <m/>
    <m/>
    <m/>
    <m/>
    <n v="358"/>
    <m/>
    <m/>
    <n v="0"/>
    <n v="0"/>
    <m/>
    <m/>
    <m/>
    <m/>
    <m/>
    <m/>
    <m/>
    <n v="0"/>
    <n v="0"/>
    <n v="0"/>
    <n v="0"/>
    <n v="0"/>
    <n v="0"/>
    <n v="0"/>
    <n v="0"/>
    <n v="0"/>
    <n v="0"/>
    <n v="0"/>
    <n v="0"/>
    <n v="0"/>
    <n v="0"/>
    <x v="0"/>
    <n v="0"/>
    <n v="0"/>
    <n v="0"/>
    <s v="MMR001CMP041"/>
    <x v="0"/>
    <x v="0"/>
    <x v="3"/>
    <n v="0"/>
    <s v="No"/>
    <m/>
  </r>
  <r>
    <n v="51.7"/>
    <d v="2013-01-31T00:00:00"/>
    <x v="14"/>
    <s v="World Vision"/>
    <s v="Kachin"/>
    <s v="Waingmaw"/>
    <s v="Thargaya Lisu Baptist Church"/>
    <m/>
    <m/>
    <m/>
    <m/>
    <m/>
    <n v="122"/>
    <m/>
    <m/>
    <n v="0"/>
    <n v="0"/>
    <m/>
    <m/>
    <m/>
    <m/>
    <m/>
    <m/>
    <m/>
    <n v="0"/>
    <n v="0"/>
    <n v="0"/>
    <n v="0"/>
    <n v="0"/>
    <n v="0"/>
    <n v="0"/>
    <n v="0"/>
    <n v="0"/>
    <n v="0"/>
    <n v="0"/>
    <n v="0"/>
    <n v="0"/>
    <n v="0"/>
    <x v="0"/>
    <n v="0"/>
    <n v="0"/>
    <n v="0"/>
    <s v="MMR001CMP037"/>
    <x v="0"/>
    <x v="0"/>
    <x v="4"/>
    <n v="0"/>
    <s v="No"/>
    <m/>
  </r>
  <r>
    <n v="51.7"/>
    <d v="2013-01-31T00:00:00"/>
    <x v="14"/>
    <s v="World Vision"/>
    <s v="Kachin"/>
    <s v="Waingmaw"/>
    <s v="Waingmaw AG Church"/>
    <m/>
    <m/>
    <m/>
    <m/>
    <m/>
    <n v="104"/>
    <m/>
    <m/>
    <n v="0"/>
    <n v="0"/>
    <m/>
    <m/>
    <m/>
    <m/>
    <m/>
    <m/>
    <m/>
    <n v="0"/>
    <n v="0"/>
    <n v="0"/>
    <n v="0"/>
    <n v="0"/>
    <n v="0"/>
    <n v="0"/>
    <n v="0"/>
    <n v="0"/>
    <n v="0"/>
    <n v="0"/>
    <n v="0"/>
    <n v="0"/>
    <n v="0"/>
    <x v="0"/>
    <n v="0"/>
    <n v="0"/>
    <n v="0"/>
    <s v="MMR001CMP038"/>
    <x v="0"/>
    <x v="0"/>
    <x v="4"/>
    <n v="0"/>
    <s v="No"/>
    <m/>
  </r>
  <r>
    <n v="51.7"/>
    <d v="2013-01-31T00:00:00"/>
    <x v="14"/>
    <s v="World Vision"/>
    <s v="Kachin"/>
    <s v="Hpakant"/>
    <s v="Baptist Church, Naung Hmee VT"/>
    <m/>
    <m/>
    <m/>
    <m/>
    <m/>
    <n v="26"/>
    <m/>
    <m/>
    <n v="0"/>
    <n v="0"/>
    <m/>
    <m/>
    <m/>
    <m/>
    <m/>
    <m/>
    <m/>
    <n v="0"/>
    <n v="0"/>
    <n v="0"/>
    <n v="0"/>
    <n v="0"/>
    <n v="0"/>
    <n v="0"/>
    <n v="0"/>
    <n v="0"/>
    <n v="0"/>
    <n v="0"/>
    <n v="0"/>
    <n v="0"/>
    <n v="0"/>
    <x v="0"/>
    <n v="0"/>
    <n v="0"/>
    <n v="0"/>
    <s v="MMR001CMP188"/>
    <x v="0"/>
    <x v="2"/>
    <x v="4"/>
    <s v=""/>
    <s v="No"/>
    <m/>
  </r>
  <r>
    <n v="51.7"/>
    <d v="2013-01-31T00:00:00"/>
    <x v="14"/>
    <s v="World Vision"/>
    <s v="Kachin"/>
    <s v="Waingmaw"/>
    <s v="Waingmaw Baptist Zonal Office"/>
    <m/>
    <m/>
    <m/>
    <m/>
    <m/>
    <n v="224"/>
    <m/>
    <m/>
    <n v="0"/>
    <n v="0"/>
    <m/>
    <m/>
    <m/>
    <m/>
    <m/>
    <m/>
    <m/>
    <n v="0"/>
    <n v="0"/>
    <n v="0"/>
    <n v="0"/>
    <n v="0"/>
    <n v="0"/>
    <n v="0"/>
    <n v="0"/>
    <n v="0"/>
    <n v="0"/>
    <n v="0"/>
    <n v="0"/>
    <n v="0"/>
    <n v="0"/>
    <x v="0"/>
    <n v="0"/>
    <n v="0"/>
    <n v="0"/>
    <s v="MMR001CMP036"/>
    <x v="0"/>
    <x v="2"/>
    <x v="4"/>
    <n v="0"/>
    <s v="No"/>
    <m/>
  </r>
  <r>
    <n v="51.733333333333334"/>
    <d v="2013-01-30T00:00:00"/>
    <x v="2"/>
    <s v="LDO"/>
    <s v="Kachin"/>
    <s v="Shwegu"/>
    <s v="Shwe Gu Baptist Church"/>
    <n v="272"/>
    <m/>
    <m/>
    <m/>
    <m/>
    <m/>
    <m/>
    <m/>
    <n v="0"/>
    <n v="0"/>
    <m/>
    <m/>
    <m/>
    <m/>
    <m/>
    <m/>
    <m/>
    <n v="0"/>
    <n v="0"/>
    <n v="0"/>
    <n v="0"/>
    <n v="0"/>
    <n v="0"/>
    <n v="0"/>
    <n v="0"/>
    <n v="0"/>
    <n v="0"/>
    <n v="0"/>
    <n v="0"/>
    <n v="0"/>
    <n v="0"/>
    <x v="0"/>
    <n v="0"/>
    <n v="0"/>
    <n v="0"/>
    <s v="MMR001CMP067"/>
    <x v="0"/>
    <x v="0"/>
    <x v="4"/>
    <n v="0"/>
    <s v="No"/>
    <m/>
  </r>
  <r>
    <n v="51.766666666666666"/>
    <d v="2013-01-29T00:00:00"/>
    <x v="2"/>
    <s v="LDO"/>
    <s v="Kachin"/>
    <s v="Shwegu"/>
    <s v="Shwe Gu Catholic Church"/>
    <n v="177"/>
    <m/>
    <m/>
    <m/>
    <m/>
    <m/>
    <m/>
    <m/>
    <n v="0"/>
    <n v="0"/>
    <m/>
    <m/>
    <m/>
    <m/>
    <m/>
    <m/>
    <m/>
    <n v="0"/>
    <n v="0"/>
    <n v="0"/>
    <n v="0"/>
    <n v="0"/>
    <n v="0"/>
    <n v="0"/>
    <n v="0"/>
    <n v="0"/>
    <n v="0"/>
    <n v="0"/>
    <n v="0"/>
    <n v="0"/>
    <n v="0"/>
    <x v="0"/>
    <n v="0"/>
    <n v="0"/>
    <n v="0"/>
    <s v="MMR001CMP068"/>
    <x v="0"/>
    <x v="0"/>
    <x v="4"/>
    <n v="0"/>
    <s v="No"/>
    <m/>
  </r>
  <r>
    <n v="51.9"/>
    <d v="2013-01-25T00:00:00"/>
    <x v="2"/>
    <s v="Solidarities"/>
    <s v="Kachin"/>
    <s v="Momauk"/>
    <s v="Ni Thaw Ka Monestry"/>
    <n v="75"/>
    <m/>
    <m/>
    <m/>
    <m/>
    <m/>
    <m/>
    <m/>
    <n v="0"/>
    <n v="0"/>
    <m/>
    <m/>
    <m/>
    <m/>
    <m/>
    <m/>
    <m/>
    <n v="0"/>
    <n v="0"/>
    <n v="0"/>
    <n v="0"/>
    <n v="0"/>
    <n v="0"/>
    <n v="0"/>
    <n v="0"/>
    <n v="0"/>
    <n v="0"/>
    <n v="0"/>
    <n v="0"/>
    <n v="0"/>
    <n v="0"/>
    <x v="0"/>
    <n v="0"/>
    <n v="0"/>
    <n v="0"/>
    <s v="MMR001CMP059"/>
    <x v="0"/>
    <x v="2"/>
    <x v="4"/>
    <n v="0"/>
    <s v="No"/>
    <m/>
  </r>
  <r>
    <n v="51.93333333333333"/>
    <d v="2013-01-24T00:00:00"/>
    <x v="2"/>
    <s v="Solidarities"/>
    <s v="Kachin"/>
    <s v="Momauk"/>
    <s v="Man Bung Catholic compound"/>
    <n v="200"/>
    <m/>
    <m/>
    <m/>
    <m/>
    <m/>
    <m/>
    <m/>
    <n v="0"/>
    <n v="0"/>
    <m/>
    <m/>
    <m/>
    <m/>
    <m/>
    <m/>
    <m/>
    <n v="0"/>
    <n v="0"/>
    <n v="0"/>
    <n v="0"/>
    <n v="0"/>
    <n v="0"/>
    <n v="0"/>
    <n v="0"/>
    <n v="0"/>
    <n v="0"/>
    <n v="0"/>
    <n v="0"/>
    <n v="0"/>
    <n v="0"/>
    <x v="0"/>
    <n v="0"/>
    <n v="0"/>
    <n v="0"/>
    <s v="MMR001CMP062"/>
    <x v="0"/>
    <x v="0"/>
    <x v="4"/>
    <n v="0"/>
    <s v="No"/>
    <m/>
  </r>
  <r>
    <n v="51.93333333333333"/>
    <d v="2013-01-24T00:00:00"/>
    <x v="2"/>
    <s v="Solidarities"/>
    <s v="Kachin"/>
    <s v="Momauk"/>
    <s v="Momauk Catholic Church (St. Patrick)"/>
    <n v="793"/>
    <m/>
    <m/>
    <m/>
    <m/>
    <m/>
    <m/>
    <m/>
    <n v="0"/>
    <n v="0"/>
    <m/>
    <m/>
    <m/>
    <m/>
    <m/>
    <m/>
    <m/>
    <n v="0"/>
    <n v="0"/>
    <n v="0"/>
    <n v="0"/>
    <n v="0"/>
    <n v="0"/>
    <n v="0"/>
    <n v="0"/>
    <n v="0"/>
    <n v="0"/>
    <n v="0"/>
    <n v="0"/>
    <n v="0"/>
    <n v="0"/>
    <x v="0"/>
    <n v="0"/>
    <n v="0"/>
    <n v="0"/>
    <s v="MMR001CMP057"/>
    <x v="0"/>
    <x v="2"/>
    <x v="4"/>
    <n v="0"/>
    <s v="No"/>
    <m/>
  </r>
  <r>
    <n v="52"/>
    <d v="2013-01-22T00:00:00"/>
    <x v="2"/>
    <s v="Solidarities"/>
    <s v="Kachin"/>
    <s v="Bhamo"/>
    <s v="Robert Church"/>
    <n v="1824"/>
    <m/>
    <m/>
    <m/>
    <m/>
    <m/>
    <m/>
    <m/>
    <n v="0"/>
    <n v="0"/>
    <m/>
    <m/>
    <m/>
    <m/>
    <m/>
    <m/>
    <m/>
    <n v="0"/>
    <n v="0"/>
    <n v="0"/>
    <n v="0"/>
    <n v="0"/>
    <n v="0"/>
    <n v="0"/>
    <n v="0"/>
    <n v="0"/>
    <n v="0"/>
    <n v="0"/>
    <n v="0"/>
    <n v="0"/>
    <n v="0"/>
    <x v="0"/>
    <n v="0"/>
    <n v="0"/>
    <n v="0"/>
    <s v="MMR001CMP047"/>
    <x v="0"/>
    <x v="0"/>
    <x v="4"/>
    <n v="0"/>
    <s v="No"/>
    <m/>
  </r>
  <r>
    <n v="52.033333333333331"/>
    <d v="2013-01-21T00:00:00"/>
    <x v="2"/>
    <s v="Solidarities"/>
    <s v="Kachin"/>
    <s v="Bhamo"/>
    <s v="Nant Hlaing Church"/>
    <n v="85"/>
    <m/>
    <m/>
    <m/>
    <m/>
    <m/>
    <m/>
    <m/>
    <n v="0"/>
    <n v="0"/>
    <m/>
    <m/>
    <m/>
    <m/>
    <m/>
    <m/>
    <m/>
    <n v="0"/>
    <n v="0"/>
    <n v="0"/>
    <n v="0"/>
    <n v="0"/>
    <n v="0"/>
    <n v="0"/>
    <n v="0"/>
    <n v="0"/>
    <n v="0"/>
    <n v="0"/>
    <n v="0"/>
    <n v="0"/>
    <n v="0"/>
    <x v="0"/>
    <n v="0"/>
    <n v="0"/>
    <n v="0"/>
    <s v="MMR001CMP054"/>
    <x v="0"/>
    <x v="0"/>
    <x v="4"/>
    <n v="0"/>
    <s v="No"/>
    <m/>
  </r>
  <r>
    <n v="52.2"/>
    <d v="2013-01-16T00:00:00"/>
    <x v="2"/>
    <s v="Solidarities"/>
    <s v="Kachin"/>
    <s v="Momauk"/>
    <s v="Momauk Baptist Church"/>
    <n v="1215"/>
    <m/>
    <m/>
    <m/>
    <m/>
    <m/>
    <m/>
    <m/>
    <n v="0"/>
    <n v="0"/>
    <m/>
    <m/>
    <m/>
    <m/>
    <m/>
    <m/>
    <m/>
    <n v="0"/>
    <n v="0"/>
    <n v="0"/>
    <n v="0"/>
    <n v="0"/>
    <n v="0"/>
    <n v="0"/>
    <n v="0"/>
    <n v="0"/>
    <n v="0"/>
    <n v="0"/>
    <n v="0"/>
    <n v="0"/>
    <n v="0"/>
    <x v="0"/>
    <n v="0"/>
    <n v="0"/>
    <n v="0"/>
    <s v="MMR001CMP056"/>
    <x v="0"/>
    <x v="0"/>
    <x v="4"/>
    <n v="0"/>
    <s v="No"/>
    <m/>
  </r>
  <r>
    <n v="52.266666666666666"/>
    <d v="2013-01-14T00:00:00"/>
    <x v="2"/>
    <s v="Solidarities"/>
    <s v="Kachin"/>
    <s v="Bhamo"/>
    <s v="AD-2000 Tharthana Compound"/>
    <n v="940"/>
    <m/>
    <m/>
    <m/>
    <m/>
    <m/>
    <m/>
    <m/>
    <n v="0"/>
    <n v="0"/>
    <m/>
    <m/>
    <m/>
    <m/>
    <m/>
    <m/>
    <m/>
    <n v="0"/>
    <n v="0"/>
    <n v="0"/>
    <n v="0"/>
    <n v="0"/>
    <n v="0"/>
    <n v="0"/>
    <n v="0"/>
    <n v="0"/>
    <n v="0"/>
    <n v="0"/>
    <n v="0"/>
    <n v="0"/>
    <n v="0"/>
    <x v="0"/>
    <n v="0"/>
    <n v="0"/>
    <n v="0"/>
    <s v="MMR001CMP050"/>
    <x v="0"/>
    <x v="0"/>
    <x v="4"/>
    <n v="0"/>
    <s v="No"/>
    <m/>
  </r>
  <r>
    <n v="52.4"/>
    <d v="2013-01-10T00:00:00"/>
    <x v="2"/>
    <s v="Solidarities"/>
    <s v="Kachin"/>
    <s v="Bhamo"/>
    <s v="Htoi San Church"/>
    <n v="212"/>
    <m/>
    <m/>
    <m/>
    <m/>
    <m/>
    <m/>
    <m/>
    <n v="0"/>
    <n v="0"/>
    <m/>
    <m/>
    <m/>
    <m/>
    <m/>
    <m/>
    <m/>
    <n v="0"/>
    <n v="0"/>
    <n v="0"/>
    <n v="0"/>
    <n v="0"/>
    <n v="0"/>
    <n v="0"/>
    <n v="0"/>
    <n v="0"/>
    <n v="0"/>
    <n v="0"/>
    <n v="0"/>
    <n v="0"/>
    <n v="0"/>
    <x v="0"/>
    <n v="0"/>
    <n v="0"/>
    <n v="0"/>
    <s v="MMR001CMP052"/>
    <x v="0"/>
    <x v="0"/>
    <x v="4"/>
    <n v="0"/>
    <s v="No"/>
    <m/>
  </r>
  <r>
    <n v="52.43333333333333"/>
    <d v="2013-01-09T00:00:00"/>
    <x v="2"/>
    <s v="Solidarities"/>
    <s v="Kachin"/>
    <s v="Bhamo"/>
    <s v="Lisu Boarding-House"/>
    <n v="205"/>
    <m/>
    <m/>
    <m/>
    <m/>
    <m/>
    <m/>
    <m/>
    <n v="0"/>
    <n v="0"/>
    <m/>
    <m/>
    <m/>
    <m/>
    <m/>
    <m/>
    <m/>
    <n v="0"/>
    <n v="0"/>
    <n v="0"/>
    <n v="0"/>
    <n v="0"/>
    <n v="0"/>
    <n v="0"/>
    <n v="0"/>
    <n v="0"/>
    <n v="0"/>
    <n v="0"/>
    <n v="0"/>
    <n v="0"/>
    <n v="0"/>
    <x v="0"/>
    <n v="0"/>
    <n v="0"/>
    <n v="0"/>
    <s v="MMR001CMP049"/>
    <x v="0"/>
    <x v="0"/>
    <x v="4"/>
    <n v="0"/>
    <s v="No"/>
    <m/>
  </r>
  <r>
    <n v="52.466666666666669"/>
    <d v="2013-01-08T00:00:00"/>
    <x v="2"/>
    <s v="Solidarities"/>
    <s v="Kachin"/>
    <s v="Momauk"/>
    <s v="Loi Je Catholic Church"/>
    <n v="353"/>
    <m/>
    <m/>
    <m/>
    <m/>
    <m/>
    <m/>
    <m/>
    <n v="0"/>
    <n v="0"/>
    <m/>
    <m/>
    <m/>
    <m/>
    <m/>
    <m/>
    <m/>
    <n v="0"/>
    <n v="0"/>
    <n v="0"/>
    <n v="0"/>
    <n v="0"/>
    <n v="0"/>
    <n v="0"/>
    <n v="0"/>
    <n v="0"/>
    <n v="0"/>
    <n v="0"/>
    <n v="0"/>
    <n v="0"/>
    <n v="0"/>
    <x v="0"/>
    <n v="0"/>
    <n v="0"/>
    <n v="0"/>
    <s v="MMR001CMP069"/>
    <x v="0"/>
    <x v="0"/>
    <x v="0"/>
    <n v="0"/>
    <s v="No"/>
    <m/>
  </r>
  <r>
    <n v="52.466666666666669"/>
    <d v="2013-01-08T00:00:00"/>
    <x v="2"/>
    <s v="Solidarities"/>
    <s v="Kachin"/>
    <s v="Bhamo"/>
    <s v="Yoe Kyi Monastery"/>
    <n v="132"/>
    <m/>
    <m/>
    <m/>
    <m/>
    <m/>
    <m/>
    <m/>
    <n v="0"/>
    <n v="0"/>
    <m/>
    <m/>
    <m/>
    <m/>
    <m/>
    <m/>
    <m/>
    <n v="0"/>
    <n v="0"/>
    <n v="0"/>
    <n v="0"/>
    <n v="0"/>
    <n v="0"/>
    <n v="0"/>
    <n v="0"/>
    <n v="0"/>
    <n v="0"/>
    <n v="0"/>
    <n v="0"/>
    <n v="0"/>
    <n v="0"/>
    <x v="0"/>
    <n v="0"/>
    <n v="0"/>
    <n v="0"/>
    <s v="MMR001CMP053"/>
    <x v="0"/>
    <x v="0"/>
    <x v="4"/>
    <n v="0"/>
    <s v="No"/>
    <m/>
  </r>
  <r>
    <n v="52.533333333333331"/>
    <d v="2013-01-06T00:00:00"/>
    <x v="2"/>
    <s v="Solidarities"/>
    <s v="Kachin"/>
    <s v="Mansi"/>
    <s v="Mansi Baptist Church"/>
    <n v="351"/>
    <m/>
    <m/>
    <m/>
    <m/>
    <m/>
    <m/>
    <m/>
    <n v="0"/>
    <n v="0"/>
    <m/>
    <m/>
    <m/>
    <m/>
    <m/>
    <m/>
    <m/>
    <n v="0"/>
    <n v="0"/>
    <n v="0"/>
    <n v="0"/>
    <n v="0"/>
    <n v="0"/>
    <n v="0"/>
    <n v="0"/>
    <n v="0"/>
    <n v="0"/>
    <n v="0"/>
    <n v="0"/>
    <n v="0"/>
    <n v="0"/>
    <x v="0"/>
    <n v="0"/>
    <n v="0"/>
    <n v="0"/>
    <s v="MMR001CMP066"/>
    <x v="0"/>
    <x v="0"/>
    <x v="4"/>
    <n v="0"/>
    <s v="No"/>
    <m/>
  </r>
  <r>
    <n v="52.733333333333334"/>
    <d v="2012-12-31T00:00:00"/>
    <x v="8"/>
    <s v="DRC"/>
    <s v="Kachin"/>
    <s v="Hpakant"/>
    <s v="5 Ward Baptist Church(lon Khin)"/>
    <n v="12"/>
    <m/>
    <m/>
    <m/>
    <m/>
    <m/>
    <m/>
    <m/>
    <n v="0"/>
    <n v="0"/>
    <m/>
    <m/>
    <m/>
    <m/>
    <m/>
    <m/>
    <m/>
    <n v="0"/>
    <n v="0"/>
    <n v="0"/>
    <n v="0"/>
    <n v="0"/>
    <n v="0"/>
    <n v="0"/>
    <n v="0"/>
    <n v="0"/>
    <n v="0"/>
    <n v="0"/>
    <n v="0"/>
    <n v="0"/>
    <n v="0"/>
    <x v="0"/>
    <n v="0"/>
    <n v="0"/>
    <n v="0"/>
    <s v="MMR001CMP179"/>
    <x v="0"/>
    <x v="2"/>
    <x v="4"/>
    <n v="0"/>
    <s v="No"/>
    <m/>
  </r>
  <r>
    <n v="52.733333333333334"/>
    <d v="2012-12-31T00:00:00"/>
    <x v="8"/>
    <s v="DRC"/>
    <s v="Kachin"/>
    <s v="Hpakant"/>
    <s v="5 Ward RC Church(lon Khin)"/>
    <n v="19"/>
    <m/>
    <m/>
    <m/>
    <m/>
    <m/>
    <m/>
    <m/>
    <n v="0"/>
    <n v="0"/>
    <m/>
    <m/>
    <m/>
    <m/>
    <m/>
    <m/>
    <m/>
    <n v="0"/>
    <n v="0"/>
    <n v="0"/>
    <n v="0"/>
    <n v="0"/>
    <n v="0"/>
    <n v="0"/>
    <n v="0"/>
    <n v="0"/>
    <n v="0"/>
    <n v="0"/>
    <n v="0"/>
    <n v="0"/>
    <n v="0"/>
    <x v="0"/>
    <n v="0"/>
    <n v="0"/>
    <n v="0"/>
    <s v="MMR001CMP168"/>
    <x v="0"/>
    <x v="0"/>
    <x v="4"/>
    <n v="0"/>
    <s v="No"/>
    <m/>
  </r>
  <r>
    <n v="52.733333333333334"/>
    <d v="2012-12-31T00:00:00"/>
    <x v="8"/>
    <s v="DRC"/>
    <s v="Kachin"/>
    <s v="Hpakant"/>
    <s v="AG Church, Hmaw Si Sa"/>
    <n v="7"/>
    <m/>
    <m/>
    <m/>
    <m/>
    <m/>
    <m/>
    <m/>
    <n v="0"/>
    <n v="0"/>
    <m/>
    <m/>
    <m/>
    <m/>
    <m/>
    <m/>
    <m/>
    <n v="0"/>
    <n v="0"/>
    <n v="0"/>
    <n v="0"/>
    <n v="0"/>
    <n v="0"/>
    <n v="0"/>
    <n v="0"/>
    <n v="0"/>
    <n v="0"/>
    <n v="0"/>
    <n v="0"/>
    <n v="0"/>
    <n v="0"/>
    <x v="0"/>
    <n v="0"/>
    <n v="0"/>
    <n v="0"/>
    <s v="MMR001CMP176"/>
    <x v="0"/>
    <x v="0"/>
    <x v="4"/>
    <n v="0"/>
    <s v="No"/>
    <m/>
  </r>
  <r>
    <n v="52.733333333333334"/>
    <d v="2012-12-31T00:00:00"/>
    <x v="8"/>
    <s v="DRC"/>
    <s v="Kachin"/>
    <s v="Hpakant"/>
    <s v="AG Church, Maw Wan"/>
    <n v="4"/>
    <m/>
    <m/>
    <m/>
    <m/>
    <m/>
    <m/>
    <m/>
    <n v="0"/>
    <n v="0"/>
    <m/>
    <m/>
    <m/>
    <m/>
    <m/>
    <m/>
    <m/>
    <n v="0"/>
    <n v="0"/>
    <n v="0"/>
    <n v="0"/>
    <n v="0"/>
    <n v="0"/>
    <n v="0"/>
    <n v="0"/>
    <n v="0"/>
    <n v="0"/>
    <n v="0"/>
    <n v="0"/>
    <n v="0"/>
    <n v="0"/>
    <x v="0"/>
    <n v="0"/>
    <n v="0"/>
    <n v="0"/>
    <s v="MMR001CMP190"/>
    <x v="0"/>
    <x v="0"/>
    <x v="4"/>
    <n v="0"/>
    <s v="No"/>
    <m/>
  </r>
  <r>
    <n v="52.733333333333334"/>
    <d v="2012-12-31T00:00:00"/>
    <x v="8"/>
    <s v="DRC"/>
    <s v="Kachin"/>
    <s v="Hpakant"/>
    <s v="Baptist Church, Hmaw Si Sar(Lon Khin)"/>
    <n v="20"/>
    <m/>
    <m/>
    <m/>
    <m/>
    <m/>
    <m/>
    <m/>
    <n v="0"/>
    <n v="0"/>
    <m/>
    <m/>
    <m/>
    <m/>
    <m/>
    <m/>
    <m/>
    <n v="0"/>
    <n v="0"/>
    <n v="0"/>
    <n v="0"/>
    <n v="0"/>
    <n v="0"/>
    <n v="0"/>
    <n v="0"/>
    <n v="0"/>
    <n v="0"/>
    <n v="0"/>
    <n v="0"/>
    <n v="0"/>
    <n v="0"/>
    <x v="0"/>
    <n v="0"/>
    <n v="0"/>
    <n v="0"/>
    <s v="MMR001CMP169"/>
    <x v="0"/>
    <x v="0"/>
    <x v="4"/>
    <n v="0"/>
    <s v="No"/>
    <m/>
  </r>
  <r>
    <n v="52.733333333333334"/>
    <d v="2012-12-31T00:00:00"/>
    <x v="8"/>
    <s v="DRC"/>
    <s v="Kachin"/>
    <s v="Hpakant"/>
    <s v="Dhama Rakhita, Nyein Chan Tar Yar Ward(Lon Khin)"/>
    <n v="6"/>
    <m/>
    <m/>
    <m/>
    <m/>
    <m/>
    <m/>
    <m/>
    <n v="0"/>
    <n v="0"/>
    <m/>
    <m/>
    <m/>
    <m/>
    <m/>
    <m/>
    <m/>
    <n v="0"/>
    <n v="0"/>
    <n v="0"/>
    <n v="0"/>
    <n v="0"/>
    <n v="0"/>
    <n v="0"/>
    <n v="0"/>
    <n v="0"/>
    <n v="0"/>
    <n v="0"/>
    <n v="0"/>
    <n v="0"/>
    <n v="0"/>
    <x v="0"/>
    <n v="0"/>
    <n v="0"/>
    <n v="0"/>
    <s v="MMR001CMP174"/>
    <x v="0"/>
    <x v="0"/>
    <x v="4"/>
    <n v="0"/>
    <s v="No"/>
    <m/>
  </r>
  <r>
    <n v="52.733333333333334"/>
    <d v="2012-12-31T00:00:00"/>
    <x v="8"/>
    <s v="DRC"/>
    <s v="Kachin"/>
    <s v="Waingmaw"/>
    <s v="Hkat Cho "/>
    <n v="136"/>
    <m/>
    <m/>
    <m/>
    <m/>
    <m/>
    <m/>
    <m/>
    <n v="0"/>
    <n v="0"/>
    <m/>
    <m/>
    <m/>
    <m/>
    <m/>
    <m/>
    <m/>
    <n v="0"/>
    <n v="0"/>
    <n v="0"/>
    <n v="0"/>
    <n v="0"/>
    <n v="0"/>
    <n v="0"/>
    <n v="0"/>
    <n v="0"/>
    <n v="0"/>
    <n v="0"/>
    <n v="0"/>
    <n v="0"/>
    <n v="0"/>
    <x v="0"/>
    <n v="0"/>
    <n v="0"/>
    <n v="0"/>
    <s v="MMR001CMP028"/>
    <x v="0"/>
    <x v="0"/>
    <x v="4"/>
    <n v="0"/>
    <s v="No"/>
    <m/>
  </r>
  <r>
    <n v="52.733333333333334"/>
    <d v="2012-12-31T00:00:00"/>
    <x v="8"/>
    <s v="DRC"/>
    <s v="Kachin"/>
    <s v="Hpakant"/>
    <s v="Hlaing Naung Baptist"/>
    <n v="4"/>
    <m/>
    <m/>
    <m/>
    <m/>
    <m/>
    <m/>
    <m/>
    <n v="0"/>
    <n v="0"/>
    <m/>
    <m/>
    <m/>
    <m/>
    <m/>
    <m/>
    <m/>
    <n v="0"/>
    <n v="0"/>
    <n v="0"/>
    <n v="0"/>
    <n v="0"/>
    <n v="0"/>
    <n v="0"/>
    <n v="0"/>
    <n v="0"/>
    <n v="0"/>
    <n v="0"/>
    <n v="0"/>
    <n v="0"/>
    <n v="0"/>
    <x v="0"/>
    <n v="0"/>
    <n v="0"/>
    <n v="0"/>
    <s v="MMR001CMP148"/>
    <x v="0"/>
    <x v="0"/>
    <x v="4"/>
    <n v="0"/>
    <s v="No"/>
    <m/>
  </r>
  <r>
    <n v="52.733333333333334"/>
    <d v="2012-12-31T00:00:00"/>
    <x v="8"/>
    <s v="DRC"/>
    <s v="Kachin"/>
    <s v="Hpakant"/>
    <s v="Hmaw Wan, Anglican"/>
    <n v="3"/>
    <m/>
    <m/>
    <m/>
    <m/>
    <m/>
    <m/>
    <m/>
    <n v="0"/>
    <n v="0"/>
    <m/>
    <m/>
    <m/>
    <m/>
    <m/>
    <m/>
    <m/>
    <n v="0"/>
    <n v="0"/>
    <n v="0"/>
    <n v="0"/>
    <n v="0"/>
    <n v="0"/>
    <n v="0"/>
    <n v="0"/>
    <n v="0"/>
    <n v="0"/>
    <n v="0"/>
    <n v="0"/>
    <n v="0"/>
    <n v="0"/>
    <x v="0"/>
    <n v="0"/>
    <n v="0"/>
    <n v="0"/>
    <s v="MMR001CMP191"/>
    <x v="0"/>
    <x v="0"/>
    <x v="4"/>
    <n v="0"/>
    <s v="No"/>
    <m/>
  </r>
  <r>
    <n v="52.733333333333334"/>
    <d v="2012-12-31T00:00:00"/>
    <x v="8"/>
    <s v="DRC"/>
    <s v="Kachin"/>
    <s v="Hpakant"/>
    <s v="Lisu Baptist Church, Maw Wan Ward"/>
    <n v="1"/>
    <m/>
    <m/>
    <m/>
    <m/>
    <m/>
    <m/>
    <m/>
    <n v="0"/>
    <n v="0"/>
    <m/>
    <m/>
    <m/>
    <m/>
    <m/>
    <m/>
    <m/>
    <n v="0"/>
    <n v="0"/>
    <n v="0"/>
    <n v="0"/>
    <n v="0"/>
    <n v="0"/>
    <n v="0"/>
    <n v="0"/>
    <n v="0"/>
    <n v="0"/>
    <n v="0"/>
    <n v="0"/>
    <n v="0"/>
    <n v="0"/>
    <x v="0"/>
    <n v="0"/>
    <n v="0"/>
    <n v="0"/>
    <s v="MMR001CMP167"/>
    <x v="0"/>
    <x v="0"/>
    <x v="4"/>
    <n v="0"/>
    <s v="No"/>
    <m/>
  </r>
  <r>
    <n v="52.733333333333334"/>
    <d v="2012-12-31T00:00:00"/>
    <x v="8"/>
    <s v="DRC"/>
    <s v="Kachin"/>
    <s v="Waingmaw"/>
    <s v="Mading Baptist Church"/>
    <n v="23"/>
    <m/>
    <m/>
    <m/>
    <m/>
    <m/>
    <m/>
    <m/>
    <n v="0"/>
    <n v="0"/>
    <m/>
    <m/>
    <m/>
    <m/>
    <m/>
    <m/>
    <m/>
    <n v="0"/>
    <n v="0"/>
    <n v="0"/>
    <n v="0"/>
    <n v="0"/>
    <n v="0"/>
    <n v="0"/>
    <n v="0"/>
    <n v="0"/>
    <n v="0"/>
    <n v="0"/>
    <n v="0"/>
    <n v="0"/>
    <n v="0"/>
    <x v="0"/>
    <n v="0"/>
    <n v="0"/>
    <n v="0"/>
    <s v="MMR001CMP027"/>
    <x v="0"/>
    <x v="0"/>
    <x v="4"/>
    <n v="0"/>
    <s v="No"/>
    <m/>
  </r>
  <r>
    <n v="52.733333333333334"/>
    <d v="2012-12-31T00:00:00"/>
    <x v="8"/>
    <s v="DRC"/>
    <s v="Kachin"/>
    <s v="Waingmaw"/>
    <s v="Maina AG Church"/>
    <n v="79"/>
    <m/>
    <m/>
    <m/>
    <m/>
    <m/>
    <m/>
    <m/>
    <n v="0"/>
    <n v="0"/>
    <m/>
    <m/>
    <m/>
    <m/>
    <m/>
    <m/>
    <m/>
    <n v="0"/>
    <n v="0"/>
    <n v="0"/>
    <n v="0"/>
    <n v="0"/>
    <n v="0"/>
    <n v="0"/>
    <n v="0"/>
    <n v="0"/>
    <n v="0"/>
    <n v="0"/>
    <n v="0"/>
    <n v="0"/>
    <n v="0"/>
    <x v="0"/>
    <n v="0"/>
    <n v="0"/>
    <n v="0"/>
    <s v="MMR001CMP031"/>
    <x v="0"/>
    <x v="0"/>
    <x v="4"/>
    <n v="0"/>
    <s v="No"/>
    <m/>
  </r>
  <r>
    <n v="52.733333333333334"/>
    <d v="2012-12-31T00:00:00"/>
    <x v="8"/>
    <s v="DRC"/>
    <s v="Kachin"/>
    <s v="Myitkyina"/>
    <s v="Maw Hpawng Hka Nan Baptist Church"/>
    <n v="14"/>
    <m/>
    <m/>
    <m/>
    <m/>
    <m/>
    <m/>
    <m/>
    <n v="0"/>
    <n v="0"/>
    <m/>
    <m/>
    <m/>
    <m/>
    <m/>
    <m/>
    <m/>
    <n v="0"/>
    <n v="0"/>
    <n v="0"/>
    <n v="0"/>
    <n v="0"/>
    <n v="0"/>
    <n v="0"/>
    <n v="0"/>
    <n v="0"/>
    <n v="0"/>
    <n v="0"/>
    <n v="0"/>
    <n v="0"/>
    <n v="0"/>
    <x v="0"/>
    <n v="0"/>
    <n v="0"/>
    <n v="0"/>
    <s v="MMR001CMP020"/>
    <x v="0"/>
    <x v="0"/>
    <x v="4"/>
    <n v="0"/>
    <s v="No"/>
    <m/>
  </r>
  <r>
    <n v="52.733333333333334"/>
    <d v="2012-12-31T00:00:00"/>
    <x v="8"/>
    <s v="DRC"/>
    <s v="Kachin"/>
    <s v="Myitkyina"/>
    <s v="Maw Hpawng Lhaovo Baptist Church"/>
    <n v="23"/>
    <m/>
    <m/>
    <m/>
    <m/>
    <m/>
    <m/>
    <m/>
    <n v="0"/>
    <n v="0"/>
    <m/>
    <m/>
    <m/>
    <m/>
    <m/>
    <m/>
    <m/>
    <n v="0"/>
    <n v="0"/>
    <n v="0"/>
    <n v="0"/>
    <n v="0"/>
    <n v="0"/>
    <n v="0"/>
    <n v="0"/>
    <n v="0"/>
    <n v="0"/>
    <n v="0"/>
    <n v="0"/>
    <n v="0"/>
    <n v="0"/>
    <x v="0"/>
    <n v="0"/>
    <n v="0"/>
    <n v="0"/>
    <s v="MMR001CMP021"/>
    <x v="0"/>
    <x v="0"/>
    <x v="4"/>
    <n v="0"/>
    <s v="No"/>
    <m/>
  </r>
  <r>
    <n v="52.733333333333334"/>
    <d v="2012-12-31T00:00:00"/>
    <x v="8"/>
    <s v="DRC"/>
    <s v="Kachin"/>
    <s v="Hpakant"/>
    <s v="Maw Wan, Mu-yin Baptist Church"/>
    <n v="2"/>
    <m/>
    <m/>
    <m/>
    <m/>
    <m/>
    <m/>
    <m/>
    <n v="0"/>
    <n v="0"/>
    <m/>
    <m/>
    <m/>
    <m/>
    <m/>
    <m/>
    <m/>
    <n v="0"/>
    <n v="0"/>
    <n v="0"/>
    <n v="0"/>
    <n v="0"/>
    <n v="0"/>
    <n v="0"/>
    <n v="0"/>
    <n v="0"/>
    <n v="0"/>
    <n v="0"/>
    <n v="0"/>
    <n v="0"/>
    <n v="0"/>
    <x v="0"/>
    <n v="0"/>
    <n v="0"/>
    <n v="0"/>
    <s v="MMR001CMP091"/>
    <x v="0"/>
    <x v="0"/>
    <x v="4"/>
    <n v="0"/>
    <s v="No"/>
    <m/>
  </r>
  <r>
    <n v="52.733333333333334"/>
    <d v="2012-12-31T00:00:00"/>
    <x v="8"/>
    <s v="DRC"/>
    <s v="Kachin"/>
    <s v="Hpakant"/>
    <s v="Nam Ma Phyit, COC"/>
    <n v="32"/>
    <m/>
    <m/>
    <m/>
    <m/>
    <m/>
    <m/>
    <m/>
    <n v="0"/>
    <n v="0"/>
    <m/>
    <m/>
    <m/>
    <m/>
    <m/>
    <m/>
    <m/>
    <n v="0"/>
    <n v="0"/>
    <n v="0"/>
    <n v="0"/>
    <n v="0"/>
    <n v="0"/>
    <n v="0"/>
    <n v="0"/>
    <n v="0"/>
    <n v="0"/>
    <n v="0"/>
    <n v="0"/>
    <n v="0"/>
    <n v="0"/>
    <x v="0"/>
    <n v="0"/>
    <n v="0"/>
    <n v="0"/>
    <s v="MMR001CMP192"/>
    <x v="0"/>
    <x v="0"/>
    <x v="4"/>
    <n v="0"/>
    <s v="No"/>
    <m/>
  </r>
  <r>
    <n v="52.733333333333334"/>
    <d v="2012-12-31T00:00:00"/>
    <x v="8"/>
    <s v="DRC"/>
    <s v="Kachin"/>
    <s v="Hpakant"/>
    <s v="Nant Ma Hpit Catholic Church"/>
    <n v="4"/>
    <m/>
    <m/>
    <m/>
    <m/>
    <m/>
    <m/>
    <m/>
    <n v="0"/>
    <n v="0"/>
    <m/>
    <m/>
    <m/>
    <m/>
    <m/>
    <m/>
    <m/>
    <n v="0"/>
    <n v="0"/>
    <n v="0"/>
    <n v="0"/>
    <n v="0"/>
    <n v="0"/>
    <n v="0"/>
    <n v="0"/>
    <n v="0"/>
    <n v="0"/>
    <n v="0"/>
    <n v="0"/>
    <n v="0"/>
    <n v="0"/>
    <x v="0"/>
    <n v="0"/>
    <n v="0"/>
    <n v="0"/>
    <s v="MMR001CMP103"/>
    <x v="0"/>
    <x v="0"/>
    <x v="4"/>
    <n v="0"/>
    <s v="No"/>
    <m/>
  </r>
  <r>
    <n v="52.733333333333334"/>
    <d v="2012-12-31T00:00:00"/>
    <x v="8"/>
    <s v="DRC"/>
    <s v="Kachin"/>
    <s v="Waingmaw"/>
    <s v="Qtr. 2 Lhaovo Baptist Church"/>
    <n v="92"/>
    <m/>
    <m/>
    <m/>
    <m/>
    <m/>
    <m/>
    <m/>
    <n v="0"/>
    <n v="0"/>
    <m/>
    <m/>
    <m/>
    <m/>
    <m/>
    <m/>
    <m/>
    <n v="0"/>
    <n v="0"/>
    <n v="0"/>
    <n v="0"/>
    <n v="0"/>
    <n v="0"/>
    <n v="0"/>
    <n v="0"/>
    <n v="0"/>
    <n v="0"/>
    <n v="0"/>
    <n v="0"/>
    <n v="0"/>
    <n v="0"/>
    <x v="0"/>
    <n v="0"/>
    <n v="0"/>
    <n v="0"/>
    <s v="MMR001CMP032"/>
    <x v="0"/>
    <x v="0"/>
    <x v="4"/>
    <n v="0"/>
    <s v="No"/>
    <m/>
  </r>
  <r>
    <n v="52.733333333333334"/>
    <d v="2012-12-31T00:00:00"/>
    <x v="8"/>
    <s v="DRC"/>
    <s v="Kachin"/>
    <s v="Waingmaw"/>
    <s v="Qtr. 3 Mu-yin  Baptist Church"/>
    <n v="27"/>
    <m/>
    <m/>
    <m/>
    <m/>
    <m/>
    <m/>
    <m/>
    <n v="0"/>
    <n v="0"/>
    <m/>
    <m/>
    <m/>
    <m/>
    <m/>
    <m/>
    <m/>
    <n v="0"/>
    <n v="0"/>
    <n v="0"/>
    <n v="0"/>
    <n v="0"/>
    <n v="0"/>
    <n v="0"/>
    <n v="0"/>
    <n v="0"/>
    <n v="0"/>
    <n v="0"/>
    <n v="0"/>
    <n v="0"/>
    <n v="0"/>
    <x v="0"/>
    <n v="0"/>
    <n v="0"/>
    <n v="0"/>
    <s v="MMR001CMP030"/>
    <x v="0"/>
    <x v="0"/>
    <x v="4"/>
    <n v="0"/>
    <s v="No"/>
    <m/>
  </r>
  <r>
    <n v="52.733333333333334"/>
    <d v="2012-12-31T00:00:00"/>
    <x v="8"/>
    <s v="DRC"/>
    <s v="Kachin"/>
    <s v="Waingmaw"/>
    <s v="Qtr. 4 Monestry (Thargaya Thayett Taw)"/>
    <n v="96"/>
    <m/>
    <m/>
    <m/>
    <m/>
    <m/>
    <m/>
    <m/>
    <n v="0"/>
    <n v="0"/>
    <m/>
    <m/>
    <m/>
    <m/>
    <m/>
    <m/>
    <m/>
    <n v="0"/>
    <n v="0"/>
    <n v="0"/>
    <n v="0"/>
    <n v="0"/>
    <n v="0"/>
    <n v="0"/>
    <n v="0"/>
    <n v="0"/>
    <n v="0"/>
    <n v="0"/>
    <n v="0"/>
    <n v="0"/>
    <n v="0"/>
    <x v="0"/>
    <n v="0"/>
    <n v="0"/>
    <n v="0"/>
    <s v="MMR001CMP026"/>
    <x v="0"/>
    <x v="0"/>
    <x v="4"/>
    <n v="0"/>
    <s v="No"/>
    <m/>
  </r>
  <r>
    <n v="52.733333333333334"/>
    <d v="2012-12-31T00:00:00"/>
    <x v="8"/>
    <s v="DRC"/>
    <s v="Kachin"/>
    <s v="Myitkyina"/>
    <s v="Shatapru Thida Aye Baptist Church"/>
    <n v="17"/>
    <m/>
    <m/>
    <m/>
    <m/>
    <m/>
    <m/>
    <m/>
    <n v="0"/>
    <n v="0"/>
    <m/>
    <m/>
    <m/>
    <m/>
    <m/>
    <m/>
    <m/>
    <n v="0"/>
    <n v="0"/>
    <n v="0"/>
    <n v="0"/>
    <n v="0"/>
    <n v="0"/>
    <n v="0"/>
    <n v="0"/>
    <n v="0"/>
    <n v="0"/>
    <n v="0"/>
    <n v="0"/>
    <n v="0"/>
    <n v="0"/>
    <x v="0"/>
    <n v="0"/>
    <n v="0"/>
    <n v="0"/>
    <s v="MMR001CMP007"/>
    <x v="0"/>
    <x v="0"/>
    <x v="4"/>
    <n v="0"/>
    <s v="No"/>
    <m/>
  </r>
  <r>
    <n v="52.733333333333334"/>
    <d v="2012-12-31T00:00:00"/>
    <x v="8"/>
    <s v="DRC"/>
    <s v="Kachin"/>
    <s v="Myitkyina"/>
    <s v="Tat Kone COC Baptist - Tat Kone Htoi San"/>
    <n v="34"/>
    <m/>
    <m/>
    <m/>
    <m/>
    <m/>
    <m/>
    <m/>
    <n v="0"/>
    <n v="0"/>
    <m/>
    <m/>
    <m/>
    <m/>
    <m/>
    <m/>
    <m/>
    <n v="0"/>
    <n v="0"/>
    <n v="0"/>
    <n v="0"/>
    <n v="0"/>
    <n v="0"/>
    <n v="0"/>
    <n v="0"/>
    <n v="0"/>
    <n v="0"/>
    <n v="0"/>
    <n v="0"/>
    <n v="0"/>
    <n v="0"/>
    <x v="0"/>
    <n v="0"/>
    <n v="0"/>
    <n v="0"/>
    <s v="MMR001CMP023"/>
    <x v="0"/>
    <x v="0"/>
    <x v="4"/>
    <n v="0"/>
    <s v="No"/>
    <m/>
  </r>
  <r>
    <n v="52.733333333333334"/>
    <d v="2012-12-31T00:00:00"/>
    <x v="8"/>
    <s v="DRC"/>
    <s v="Kachin"/>
    <s v="Myitkyina"/>
    <s v="Tat Kone Emanuel Church"/>
    <n v="14"/>
    <m/>
    <m/>
    <m/>
    <m/>
    <m/>
    <m/>
    <m/>
    <n v="0"/>
    <n v="0"/>
    <m/>
    <m/>
    <m/>
    <m/>
    <m/>
    <m/>
    <m/>
    <n v="0"/>
    <n v="0"/>
    <n v="0"/>
    <n v="0"/>
    <n v="0"/>
    <n v="0"/>
    <n v="0"/>
    <n v="0"/>
    <n v="0"/>
    <n v="0"/>
    <n v="0"/>
    <n v="0"/>
    <n v="0"/>
    <n v="0"/>
    <x v="0"/>
    <n v="0"/>
    <n v="0"/>
    <n v="0"/>
    <s v="MMR001CMP004"/>
    <x v="0"/>
    <x v="0"/>
    <x v="4"/>
    <n v="0"/>
    <s v="No"/>
    <m/>
  </r>
  <r>
    <n v="52.733333333333334"/>
    <d v="2012-12-31T00:00:00"/>
    <x v="8"/>
    <s v="DRC"/>
    <s v="Kachin"/>
    <s v="Waingmaw"/>
    <s v="Thargaya Lisu Baptist Church"/>
    <n v="68"/>
    <m/>
    <m/>
    <m/>
    <m/>
    <m/>
    <m/>
    <m/>
    <n v="0"/>
    <n v="0"/>
    <m/>
    <m/>
    <m/>
    <m/>
    <m/>
    <m/>
    <m/>
    <n v="0"/>
    <n v="0"/>
    <n v="0"/>
    <n v="0"/>
    <n v="0"/>
    <n v="0"/>
    <n v="0"/>
    <n v="0"/>
    <n v="0"/>
    <n v="0"/>
    <n v="0"/>
    <n v="0"/>
    <n v="0"/>
    <n v="0"/>
    <x v="0"/>
    <n v="0"/>
    <n v="0"/>
    <n v="0"/>
    <s v="MMR001CMP037"/>
    <x v="0"/>
    <x v="0"/>
    <x v="4"/>
    <n v="0"/>
    <s v="No"/>
    <m/>
  </r>
  <r>
    <n v="52.733333333333334"/>
    <d v="2012-12-31T00:00:00"/>
    <x v="8"/>
    <s v="DRC"/>
    <s v="Kachin"/>
    <s v="Waingmaw"/>
    <s v="Waingmaw AG Church"/>
    <n v="56"/>
    <m/>
    <m/>
    <m/>
    <m/>
    <m/>
    <m/>
    <m/>
    <n v="0"/>
    <n v="0"/>
    <m/>
    <m/>
    <m/>
    <m/>
    <m/>
    <m/>
    <m/>
    <n v="0"/>
    <n v="0"/>
    <n v="0"/>
    <n v="0"/>
    <n v="0"/>
    <n v="0"/>
    <n v="0"/>
    <n v="0"/>
    <n v="0"/>
    <n v="0"/>
    <n v="0"/>
    <n v="0"/>
    <n v="0"/>
    <n v="0"/>
    <x v="0"/>
    <n v="0"/>
    <n v="0"/>
    <n v="0"/>
    <s v="MMR001CMP038"/>
    <x v="0"/>
    <x v="0"/>
    <x v="4"/>
    <n v="0"/>
    <s v="No"/>
    <m/>
  </r>
  <r>
    <n v="52.733333333333334"/>
    <d v="2012-12-31T00:00:00"/>
    <x v="8"/>
    <s v="DRC"/>
    <s v="Kachin"/>
    <s v="Myitkyina"/>
    <s v="Wun Tho Buddhist Monastery"/>
    <n v="24"/>
    <m/>
    <m/>
    <m/>
    <m/>
    <m/>
    <m/>
    <m/>
    <n v="0"/>
    <n v="0"/>
    <m/>
    <m/>
    <m/>
    <m/>
    <m/>
    <m/>
    <m/>
    <n v="0"/>
    <n v="0"/>
    <n v="0"/>
    <n v="0"/>
    <n v="0"/>
    <n v="0"/>
    <n v="0"/>
    <n v="0"/>
    <n v="0"/>
    <n v="0"/>
    <n v="0"/>
    <n v="0"/>
    <n v="0"/>
    <n v="0"/>
    <x v="0"/>
    <n v="0"/>
    <n v="0"/>
    <n v="0"/>
    <s v="MMR001CMP022"/>
    <x v="0"/>
    <x v="0"/>
    <x v="4"/>
    <n v="0"/>
    <s v="No"/>
    <m/>
  </r>
  <r>
    <n v="52.733333333333334"/>
    <d v="2012-12-31T00:00:00"/>
    <x v="8"/>
    <s v="DRC"/>
    <s v="Kachin"/>
    <s v="Hpakant"/>
    <s v="Yumar Baptist Church"/>
    <n v="42"/>
    <m/>
    <m/>
    <m/>
    <m/>
    <m/>
    <m/>
    <m/>
    <n v="0"/>
    <n v="0"/>
    <m/>
    <m/>
    <m/>
    <m/>
    <m/>
    <m/>
    <m/>
    <n v="0"/>
    <n v="0"/>
    <n v="0"/>
    <n v="0"/>
    <n v="0"/>
    <n v="0"/>
    <n v="0"/>
    <n v="0"/>
    <n v="0"/>
    <n v="0"/>
    <n v="0"/>
    <n v="0"/>
    <n v="0"/>
    <n v="0"/>
    <x v="0"/>
    <n v="0"/>
    <n v="0"/>
    <n v="0"/>
    <s v="MMR001CMP105"/>
    <x v="0"/>
    <x v="0"/>
    <x v="4"/>
    <n v="0"/>
    <s v="No"/>
    <m/>
  </r>
  <r>
    <n v="52.733333333333334"/>
    <d v="2012-12-31T00:00:00"/>
    <x v="8"/>
    <s v="DRC"/>
    <s v="Kachin"/>
    <s v="Hpakant"/>
    <s v="Aye Mya Tharyar Church of Christ "/>
    <n v="16"/>
    <m/>
    <m/>
    <m/>
    <m/>
    <m/>
    <m/>
    <m/>
    <n v="0"/>
    <n v="0"/>
    <m/>
    <m/>
    <m/>
    <m/>
    <m/>
    <m/>
    <m/>
    <n v="0"/>
    <n v="0"/>
    <n v="0"/>
    <n v="0"/>
    <n v="0"/>
    <n v="0"/>
    <n v="0"/>
    <n v="0"/>
    <n v="0"/>
    <n v="0"/>
    <n v="0"/>
    <n v="0"/>
    <n v="0"/>
    <n v="0"/>
    <x v="0"/>
    <n v="0"/>
    <n v="0"/>
    <n v="0"/>
    <s v="MMR001CMP092"/>
    <x v="0"/>
    <x v="2"/>
    <x v="2"/>
    <s v=""/>
    <s v="No"/>
    <m/>
  </r>
  <r>
    <n v="52.733333333333334"/>
    <d v="2012-12-31T00:00:00"/>
    <x v="8"/>
    <s v="DRC"/>
    <s v="Kachin"/>
    <s v="Hpakant"/>
    <s v="Baptist Church, Sai Ra village"/>
    <n v="3"/>
    <m/>
    <m/>
    <m/>
    <m/>
    <m/>
    <m/>
    <m/>
    <n v="0"/>
    <n v="0"/>
    <m/>
    <m/>
    <m/>
    <m/>
    <m/>
    <m/>
    <m/>
    <n v="0"/>
    <n v="0"/>
    <n v="0"/>
    <n v="0"/>
    <n v="0"/>
    <n v="0"/>
    <n v="0"/>
    <n v="0"/>
    <n v="0"/>
    <n v="0"/>
    <n v="0"/>
    <n v="0"/>
    <n v="0"/>
    <n v="0"/>
    <x v="0"/>
    <n v="0"/>
    <n v="0"/>
    <n v="0"/>
    <s v="MMR001CMP172"/>
    <x v="0"/>
    <x v="2"/>
    <x v="2"/>
    <n v="0"/>
    <s v="No"/>
    <m/>
  </r>
  <r>
    <n v="52.733333333333334"/>
    <d v="2012-12-31T00:00:00"/>
    <x v="8"/>
    <s v="DRC"/>
    <s v="Kachin"/>
    <s v="Hpakant"/>
    <s v="Mashi Kahtawng Baptist  Church"/>
    <n v="57"/>
    <m/>
    <m/>
    <m/>
    <m/>
    <m/>
    <m/>
    <m/>
    <n v="0"/>
    <n v="0"/>
    <m/>
    <m/>
    <m/>
    <m/>
    <m/>
    <m/>
    <m/>
    <n v="0"/>
    <n v="0"/>
    <n v="0"/>
    <n v="0"/>
    <n v="0"/>
    <n v="0"/>
    <n v="0"/>
    <n v="0"/>
    <n v="0"/>
    <n v="0"/>
    <n v="0"/>
    <n v="0"/>
    <n v="0"/>
    <n v="0"/>
    <x v="0"/>
    <n v="0"/>
    <n v="0"/>
    <n v="0"/>
    <s v="MMR001CMP094"/>
    <x v="0"/>
    <x v="2"/>
    <x v="2"/>
    <s v=""/>
    <s v="No"/>
    <m/>
  </r>
  <r>
    <n v="52.733333333333334"/>
    <d v="2012-12-31T00:00:00"/>
    <x v="8"/>
    <s v="DRC"/>
    <s v="Kachin"/>
    <s v="Hpakant"/>
    <s v="Mashi Kahtawng Catholic Church"/>
    <n v="2"/>
    <m/>
    <m/>
    <m/>
    <m/>
    <m/>
    <m/>
    <m/>
    <n v="0"/>
    <n v="0"/>
    <m/>
    <m/>
    <m/>
    <m/>
    <m/>
    <m/>
    <m/>
    <n v="0"/>
    <n v="0"/>
    <n v="0"/>
    <n v="0"/>
    <n v="0"/>
    <n v="0"/>
    <n v="0"/>
    <n v="0"/>
    <n v="0"/>
    <n v="0"/>
    <n v="0"/>
    <n v="0"/>
    <n v="0"/>
    <n v="0"/>
    <x v="0"/>
    <n v="0"/>
    <n v="0"/>
    <n v="0"/>
    <s v="MMR001CMP093"/>
    <x v="0"/>
    <x v="2"/>
    <x v="2"/>
    <s v=""/>
    <s v="No"/>
    <m/>
  </r>
  <r>
    <n v="52.733333333333334"/>
    <d v="2012-12-31T00:00:00"/>
    <x v="8"/>
    <s v="DRC"/>
    <s v="Kachin"/>
    <s v="Hpakant"/>
    <s v="Maw Si Zar, Thiriyardanar Sein, Damma Compound, Lone Khin"/>
    <n v="3"/>
    <m/>
    <m/>
    <m/>
    <m/>
    <m/>
    <m/>
    <m/>
    <n v="0"/>
    <n v="0"/>
    <m/>
    <m/>
    <m/>
    <m/>
    <m/>
    <m/>
    <m/>
    <n v="0"/>
    <n v="0"/>
    <n v="0"/>
    <n v="0"/>
    <n v="0"/>
    <n v="0"/>
    <n v="0"/>
    <n v="0"/>
    <n v="0"/>
    <n v="0"/>
    <n v="0"/>
    <n v="0"/>
    <n v="0"/>
    <n v="0"/>
    <x v="0"/>
    <n v="0"/>
    <n v="0"/>
    <n v="0"/>
    <s v="MMR001CMP106"/>
    <x v="0"/>
    <x v="2"/>
    <x v="2"/>
    <s v=""/>
    <s v="No"/>
    <m/>
  </r>
  <r>
    <n v="52.733333333333334"/>
    <d v="2012-12-31T00:00:00"/>
    <x v="8"/>
    <s v="DRC"/>
    <s v="Kachin"/>
    <s v="Hpakant"/>
    <s v="Maw Wan, Kachin Baptist Church"/>
    <n v="10"/>
    <m/>
    <m/>
    <m/>
    <m/>
    <m/>
    <m/>
    <m/>
    <n v="0"/>
    <n v="0"/>
    <m/>
    <m/>
    <m/>
    <m/>
    <m/>
    <m/>
    <m/>
    <n v="0"/>
    <n v="0"/>
    <n v="0"/>
    <n v="0"/>
    <n v="0"/>
    <n v="0"/>
    <n v="0"/>
    <n v="0"/>
    <n v="0"/>
    <n v="0"/>
    <n v="0"/>
    <n v="0"/>
    <n v="0"/>
    <n v="0"/>
    <x v="0"/>
    <n v="0"/>
    <n v="0"/>
    <n v="0"/>
    <s v="MMR001CMP085"/>
    <x v="0"/>
    <x v="2"/>
    <x v="2"/>
    <s v=""/>
    <s v="No"/>
    <m/>
  </r>
  <r>
    <n v="52.733333333333334"/>
    <d v="2012-12-31T00:00:00"/>
    <x v="8"/>
    <s v="DRC"/>
    <s v="Kachin"/>
    <s v="Hpakant"/>
    <s v="May Di Ka Rama Monastery(Lon Khin)"/>
    <n v="5"/>
    <m/>
    <m/>
    <m/>
    <m/>
    <m/>
    <m/>
    <m/>
    <n v="0"/>
    <n v="0"/>
    <m/>
    <m/>
    <m/>
    <m/>
    <m/>
    <m/>
    <m/>
    <n v="0"/>
    <n v="0"/>
    <n v="0"/>
    <n v="0"/>
    <n v="0"/>
    <n v="0"/>
    <n v="0"/>
    <n v="0"/>
    <n v="0"/>
    <n v="0"/>
    <n v="0"/>
    <n v="0"/>
    <n v="0"/>
    <n v="0"/>
    <x v="0"/>
    <n v="0"/>
    <n v="0"/>
    <n v="0"/>
    <s v="MMR001CMP178"/>
    <x v="0"/>
    <x v="2"/>
    <x v="2"/>
    <s v=""/>
    <s v="No"/>
    <m/>
  </r>
  <r>
    <n v="52.733333333333334"/>
    <d v="2012-12-31T00:00:00"/>
    <x v="8"/>
    <s v="DRC"/>
    <s v="Kachin"/>
    <s v="Hpakant"/>
    <s v="Muring Baptist Church, Awng Ra, Wa Ra Zut VT"/>
    <n v="1"/>
    <m/>
    <m/>
    <m/>
    <m/>
    <m/>
    <m/>
    <m/>
    <n v="0"/>
    <n v="0"/>
    <m/>
    <m/>
    <m/>
    <m/>
    <m/>
    <m/>
    <m/>
    <n v="0"/>
    <n v="0"/>
    <n v="0"/>
    <n v="0"/>
    <n v="0"/>
    <n v="0"/>
    <n v="0"/>
    <n v="0"/>
    <n v="0"/>
    <n v="0"/>
    <n v="0"/>
    <n v="0"/>
    <n v="0"/>
    <n v="0"/>
    <x v="0"/>
    <n v="0"/>
    <n v="0"/>
    <n v="0"/>
    <s v="MMR001CMP177"/>
    <x v="0"/>
    <x v="2"/>
    <x v="2"/>
    <n v="0"/>
    <s v="No"/>
    <m/>
  </r>
  <r>
    <n v="52.733333333333334"/>
    <d v="2012-12-31T00:00:00"/>
    <x v="8"/>
    <s v="DRC"/>
    <s v="Kachin"/>
    <s v="Myitkyina"/>
    <s v="Myay Myint Baptist Church"/>
    <n v="12"/>
    <m/>
    <m/>
    <m/>
    <m/>
    <m/>
    <m/>
    <m/>
    <n v="0"/>
    <n v="0"/>
    <m/>
    <m/>
    <m/>
    <m/>
    <m/>
    <m/>
    <m/>
    <n v="0"/>
    <n v="0"/>
    <n v="0"/>
    <n v="0"/>
    <n v="0"/>
    <n v="0"/>
    <n v="0"/>
    <n v="0"/>
    <n v="0"/>
    <n v="0"/>
    <n v="0"/>
    <n v="0"/>
    <n v="0"/>
    <n v="0"/>
    <x v="0"/>
    <n v="0"/>
    <n v="0"/>
    <n v="0"/>
    <s v="MMR001CMP017"/>
    <x v="0"/>
    <x v="2"/>
    <x v="4"/>
    <n v="0"/>
    <s v="No"/>
    <m/>
  </r>
  <r>
    <n v="52.733333333333334"/>
    <d v="2012-12-31T00:00:00"/>
    <x v="8"/>
    <s v="DRC"/>
    <s v="Kachin"/>
    <s v="Hpakant"/>
    <s v="Nga Pyaw Taw Roman Catholic Church"/>
    <n v="3"/>
    <m/>
    <m/>
    <m/>
    <m/>
    <m/>
    <m/>
    <m/>
    <n v="0"/>
    <n v="0"/>
    <m/>
    <m/>
    <m/>
    <m/>
    <m/>
    <m/>
    <m/>
    <n v="0"/>
    <n v="0"/>
    <n v="0"/>
    <n v="0"/>
    <n v="0"/>
    <n v="0"/>
    <n v="0"/>
    <n v="0"/>
    <n v="0"/>
    <n v="0"/>
    <n v="0"/>
    <n v="0"/>
    <n v="0"/>
    <n v="0"/>
    <x v="0"/>
    <n v="0"/>
    <n v="0"/>
    <n v="0"/>
    <s v="MMR001CMP083"/>
    <x v="0"/>
    <x v="2"/>
    <x v="2"/>
    <s v=""/>
    <s v="No"/>
    <m/>
  </r>
  <r>
    <n v="52.733333333333334"/>
    <d v="2012-12-31T00:00:00"/>
    <x v="8"/>
    <s v="DRC"/>
    <s v="Kachin"/>
    <s v="Hpakant"/>
    <s v="Wrad(5) Christian Association"/>
    <n v="3"/>
    <m/>
    <m/>
    <m/>
    <m/>
    <m/>
    <m/>
    <m/>
    <n v="0"/>
    <n v="0"/>
    <m/>
    <m/>
    <m/>
    <m/>
    <m/>
    <m/>
    <m/>
    <n v="0"/>
    <n v="0"/>
    <n v="0"/>
    <n v="0"/>
    <n v="0"/>
    <n v="0"/>
    <n v="0"/>
    <n v="0"/>
    <n v="0"/>
    <n v="0"/>
    <n v="0"/>
    <n v="0"/>
    <n v="0"/>
    <n v="0"/>
    <x v="0"/>
    <n v="0"/>
    <n v="0"/>
    <n v="0"/>
    <s v="MMR001CMP175"/>
    <x v="0"/>
    <x v="2"/>
    <x v="2"/>
    <s v=""/>
    <s v="No"/>
    <m/>
  </r>
  <r>
    <n v="53.06666666666667"/>
    <d v="2012-12-21T00:00:00"/>
    <x v="1"/>
    <s v="UNHCR"/>
    <s v="Kachin"/>
    <s v="Bhamo"/>
    <s v="Lisu Boarding-House"/>
    <m/>
    <m/>
    <m/>
    <n v="0"/>
    <n v="12"/>
    <n v="0"/>
    <n v="12"/>
    <n v="12"/>
    <n v="12"/>
    <n v="12"/>
    <m/>
    <m/>
    <m/>
    <m/>
    <m/>
    <m/>
    <m/>
    <n v="0"/>
    <n v="0"/>
    <n v="0"/>
    <n v="0"/>
    <n v="0"/>
    <n v="0"/>
    <n v="0"/>
    <n v="0"/>
    <n v="0"/>
    <n v="0"/>
    <n v="0"/>
    <n v="0"/>
    <n v="0"/>
    <n v="0"/>
    <x v="0"/>
    <n v="0"/>
    <n v="0"/>
    <n v="0"/>
    <s v="MMR001CMP049"/>
    <x v="0"/>
    <x v="0"/>
    <x v="4"/>
    <n v="2.948765204570586E-4"/>
    <s v="No"/>
    <m/>
  </r>
  <r>
    <n v="53.06666666666667"/>
    <d v="2012-12-21T00:00:00"/>
    <x v="1"/>
    <s v="UNHCR"/>
    <s v="Kachin"/>
    <s v="Bhamo"/>
    <s v="Robert Church"/>
    <m/>
    <m/>
    <m/>
    <n v="0"/>
    <n v="0"/>
    <n v="73"/>
    <n v="0"/>
    <n v="0"/>
    <m/>
    <m/>
    <m/>
    <m/>
    <m/>
    <m/>
    <m/>
    <m/>
    <m/>
    <n v="0"/>
    <n v="0"/>
    <n v="0"/>
    <n v="0"/>
    <n v="0"/>
    <n v="0"/>
    <n v="0"/>
    <n v="0"/>
    <n v="0"/>
    <n v="0"/>
    <n v="0"/>
    <n v="0"/>
    <n v="0"/>
    <n v="0"/>
    <x v="0"/>
    <n v="0"/>
    <n v="0"/>
    <n v="0"/>
    <s v="MMR001CMP047"/>
    <x v="0"/>
    <x v="0"/>
    <x v="4"/>
    <n v="0"/>
    <s v="No"/>
    <m/>
  </r>
  <r>
    <n v="53.06666666666667"/>
    <d v="2012-12-21T00:00:00"/>
    <x v="1"/>
    <s v="UNHCR"/>
    <s v="Kachin"/>
    <s v="Bhamo"/>
    <s v="Robert Church"/>
    <m/>
    <m/>
    <m/>
    <n v="24"/>
    <n v="12"/>
    <n v="24"/>
    <n v="12"/>
    <n v="12"/>
    <n v="12"/>
    <n v="12"/>
    <m/>
    <m/>
    <m/>
    <m/>
    <m/>
    <m/>
    <m/>
    <n v="0"/>
    <n v="0"/>
    <n v="0"/>
    <n v="0"/>
    <n v="0"/>
    <n v="0"/>
    <n v="0"/>
    <n v="0"/>
    <n v="0"/>
    <n v="0"/>
    <n v="0"/>
    <n v="0"/>
    <n v="0"/>
    <n v="0"/>
    <x v="0"/>
    <n v="0"/>
    <n v="0"/>
    <n v="0"/>
    <s v="MMR001CMP047"/>
    <x v="0"/>
    <x v="0"/>
    <x v="4"/>
    <n v="2.9465930018416205E-4"/>
    <s v="No"/>
    <m/>
  </r>
  <r>
    <n v="53.06666666666667"/>
    <d v="2012-12-21T00:00:00"/>
    <x v="1"/>
    <s v="UNHCR"/>
    <s v="Kachin"/>
    <s v="Shwegu"/>
    <s v="Shwe Gu Baptist Church"/>
    <m/>
    <m/>
    <m/>
    <n v="0"/>
    <n v="0"/>
    <n v="83"/>
    <n v="0"/>
    <n v="0"/>
    <m/>
    <m/>
    <m/>
    <m/>
    <m/>
    <m/>
    <m/>
    <m/>
    <m/>
    <n v="0"/>
    <n v="0"/>
    <n v="0"/>
    <n v="0"/>
    <n v="0"/>
    <n v="0"/>
    <n v="0"/>
    <n v="0"/>
    <n v="0"/>
    <n v="0"/>
    <n v="0"/>
    <n v="0"/>
    <n v="0"/>
    <n v="0"/>
    <x v="0"/>
    <n v="0"/>
    <n v="0"/>
    <n v="0"/>
    <s v="MMR001CMP067"/>
    <x v="0"/>
    <x v="0"/>
    <x v="4"/>
    <n v="0"/>
    <s v="No"/>
    <m/>
  </r>
  <r>
    <n v="53.06666666666667"/>
    <d v="2012-12-21T00:00:00"/>
    <x v="2"/>
    <s v="Solidarities"/>
    <s v="Kachin"/>
    <s v="Bhamo"/>
    <s v="Yoe Kyi Monastery"/>
    <n v="178"/>
    <m/>
    <m/>
    <m/>
    <m/>
    <m/>
    <m/>
    <m/>
    <m/>
    <m/>
    <m/>
    <m/>
    <m/>
    <m/>
    <m/>
    <m/>
    <m/>
    <n v="0"/>
    <n v="0"/>
    <n v="0"/>
    <n v="0"/>
    <n v="0"/>
    <n v="0"/>
    <n v="0"/>
    <n v="0"/>
    <n v="0"/>
    <n v="0"/>
    <n v="0"/>
    <n v="0"/>
    <n v="0"/>
    <n v="0"/>
    <x v="0"/>
    <n v="0"/>
    <n v="0"/>
    <n v="0"/>
    <s v="MMR001CMP053"/>
    <x v="0"/>
    <x v="0"/>
    <x v="4"/>
    <n v="0"/>
    <m/>
    <m/>
  </r>
  <r>
    <n v="53.06666666666667"/>
    <d v="2012-12-21T00:00:00"/>
    <x v="1"/>
    <s v="UNHCR"/>
    <s v="Kachin"/>
    <s v="Bhamo"/>
    <s v="Yoe Kyi Monastery"/>
    <m/>
    <m/>
    <m/>
    <n v="0"/>
    <n v="3"/>
    <n v="0"/>
    <n v="3"/>
    <n v="3"/>
    <n v="3"/>
    <n v="3"/>
    <m/>
    <m/>
    <m/>
    <m/>
    <m/>
    <m/>
    <m/>
    <n v="0"/>
    <n v="0"/>
    <n v="0"/>
    <n v="0"/>
    <n v="0"/>
    <n v="0"/>
    <n v="0"/>
    <n v="0"/>
    <n v="0"/>
    <n v="0"/>
    <n v="0"/>
    <n v="0"/>
    <n v="0"/>
    <n v="0"/>
    <x v="0"/>
    <n v="0"/>
    <n v="0"/>
    <n v="0"/>
    <s v="MMR001CMP053"/>
    <x v="0"/>
    <x v="0"/>
    <x v="4"/>
    <n v="7.2953650114294054E-5"/>
    <s v="No"/>
    <m/>
  </r>
  <r>
    <n v="53.1"/>
    <d v="2012-12-20T00:00:00"/>
    <x v="1"/>
    <s v="KBC"/>
    <s v="Kachin"/>
    <s v="Hpakant"/>
    <s v="Hlaing Naung Baptist"/>
    <m/>
    <m/>
    <m/>
    <n v="12"/>
    <n v="0"/>
    <n v="12"/>
    <n v="0"/>
    <n v="0"/>
    <m/>
    <m/>
    <m/>
    <m/>
    <m/>
    <m/>
    <m/>
    <m/>
    <m/>
    <n v="0"/>
    <n v="0"/>
    <n v="0"/>
    <n v="0"/>
    <n v="0"/>
    <n v="0"/>
    <n v="0"/>
    <n v="0"/>
    <n v="0"/>
    <n v="0"/>
    <n v="0"/>
    <n v="0"/>
    <n v="0"/>
    <n v="0"/>
    <x v="0"/>
    <n v="0"/>
    <n v="0"/>
    <n v="0"/>
    <s v="MMR001CMP148"/>
    <x v="0"/>
    <x v="0"/>
    <x v="4"/>
    <n v="0"/>
    <s v="No"/>
    <m/>
  </r>
  <r>
    <n v="53.1"/>
    <d v="2012-12-20T00:00:00"/>
    <x v="1"/>
    <s v="UNHCR"/>
    <s v="Kachin"/>
    <s v="Myitkyina"/>
    <s v="Jan Mai Kawng Baptist Church"/>
    <m/>
    <m/>
    <m/>
    <n v="19"/>
    <n v="10"/>
    <n v="19"/>
    <n v="10"/>
    <n v="10"/>
    <n v="10"/>
    <n v="10"/>
    <m/>
    <m/>
    <m/>
    <m/>
    <m/>
    <m/>
    <m/>
    <n v="0"/>
    <n v="0"/>
    <n v="0"/>
    <n v="0"/>
    <n v="0"/>
    <n v="0"/>
    <n v="0"/>
    <n v="0"/>
    <n v="0"/>
    <n v="0"/>
    <n v="0"/>
    <n v="0"/>
    <n v="0"/>
    <n v="0"/>
    <x v="0"/>
    <n v="0"/>
    <n v="0"/>
    <n v="0"/>
    <s v="MMR001CMP018"/>
    <x v="0"/>
    <x v="0"/>
    <x v="4"/>
    <n v="2.4554941682013506E-4"/>
    <s v="No"/>
    <m/>
  </r>
  <r>
    <n v="53.133333333333333"/>
    <d v="2012-12-19T00:00:00"/>
    <x v="1"/>
    <s v="UNHCR"/>
    <s v="Kachin"/>
    <s v="Myitkyina"/>
    <s v="Pa Dauk Myaing(Pa La Na)"/>
    <m/>
    <m/>
    <m/>
    <n v="37"/>
    <n v="10"/>
    <n v="37"/>
    <n v="10"/>
    <n v="10"/>
    <n v="10"/>
    <n v="10"/>
    <m/>
    <m/>
    <m/>
    <m/>
    <m/>
    <m/>
    <m/>
    <n v="0"/>
    <n v="0"/>
    <n v="0"/>
    <n v="0"/>
    <n v="0"/>
    <n v="0"/>
    <n v="0"/>
    <n v="0"/>
    <n v="0"/>
    <n v="0"/>
    <n v="0"/>
    <n v="0"/>
    <n v="0"/>
    <n v="0"/>
    <x v="0"/>
    <n v="0"/>
    <n v="0"/>
    <n v="0"/>
    <s v="MMR001CMP162"/>
    <x v="0"/>
    <x v="0"/>
    <x v="4"/>
    <n v="2.4245950926195326E-4"/>
    <s v="No"/>
    <m/>
  </r>
  <r>
    <n v="53.166666666666664"/>
    <d v="2012-12-18T00:00:00"/>
    <x v="2"/>
    <s v="Solidarities"/>
    <s v="Kachin"/>
    <s v="Momauk"/>
    <s v="Loi Je Baptist Church"/>
    <m/>
    <m/>
    <n v="54"/>
    <m/>
    <m/>
    <m/>
    <m/>
    <m/>
    <m/>
    <m/>
    <m/>
    <m/>
    <m/>
    <m/>
    <m/>
    <m/>
    <m/>
    <n v="0"/>
    <n v="0"/>
    <n v="0"/>
    <n v="0"/>
    <n v="0"/>
    <n v="0"/>
    <n v="0"/>
    <n v="0"/>
    <n v="0"/>
    <n v="0"/>
    <n v="0"/>
    <n v="0"/>
    <n v="0"/>
    <n v="0"/>
    <x v="0"/>
    <n v="0"/>
    <n v="0"/>
    <n v="0"/>
    <s v="MMR001CMP071"/>
    <x v="0"/>
    <x v="0"/>
    <x v="0"/>
    <n v="0"/>
    <m/>
    <m/>
  </r>
  <r>
    <n v="53.166666666666664"/>
    <d v="2012-12-18T00:00:00"/>
    <x v="1"/>
    <s v="UNHCR"/>
    <s v="Kachin"/>
    <s v="Myitkyina"/>
    <s v="Shwe Zet Baptist Church"/>
    <m/>
    <m/>
    <m/>
    <n v="30"/>
    <n v="20"/>
    <n v="30"/>
    <n v="20"/>
    <n v="20"/>
    <n v="20"/>
    <n v="20"/>
    <m/>
    <m/>
    <m/>
    <m/>
    <m/>
    <m/>
    <m/>
    <n v="0"/>
    <n v="0"/>
    <n v="0"/>
    <n v="0"/>
    <n v="0"/>
    <n v="0"/>
    <n v="0"/>
    <n v="0"/>
    <n v="0"/>
    <n v="0"/>
    <n v="0"/>
    <n v="0"/>
    <n v="0"/>
    <n v="0"/>
    <x v="0"/>
    <n v="0"/>
    <n v="0"/>
    <n v="0"/>
    <s v="MMR001CMP009"/>
    <x v="0"/>
    <x v="0"/>
    <x v="4"/>
    <n v="4.9109883364027013E-4"/>
    <s v="No"/>
    <m/>
  </r>
  <r>
    <n v="53.266666666666666"/>
    <d v="2012-12-15T00:00:00"/>
    <x v="2"/>
    <s v="KBC"/>
    <s v="Kachin"/>
    <s v="Mansi"/>
    <s v="Bum Tsit Pa "/>
    <n v="587"/>
    <m/>
    <m/>
    <m/>
    <m/>
    <m/>
    <m/>
    <m/>
    <n v="0"/>
    <n v="0"/>
    <m/>
    <m/>
    <m/>
    <m/>
    <m/>
    <m/>
    <m/>
    <n v="0"/>
    <n v="0"/>
    <n v="0"/>
    <n v="0"/>
    <n v="0"/>
    <n v="0"/>
    <n v="0"/>
    <n v="0"/>
    <n v="0"/>
    <n v="0"/>
    <n v="0"/>
    <n v="0"/>
    <n v="0"/>
    <n v="0"/>
    <x v="0"/>
    <n v="0"/>
    <n v="0"/>
    <n v="0"/>
    <s v="MMR001CMP129"/>
    <x v="0"/>
    <x v="0"/>
    <x v="5"/>
    <n v="0"/>
    <s v="No"/>
    <m/>
  </r>
  <r>
    <n v="53.333333333333336"/>
    <d v="2012-12-13T00:00:00"/>
    <x v="1"/>
    <s v="UNHCR"/>
    <s v="Kachin"/>
    <s v="Myitkyina"/>
    <s v="Nan Kway St. John Catholic Church"/>
    <m/>
    <m/>
    <m/>
    <n v="16"/>
    <n v="7"/>
    <n v="16"/>
    <n v="7"/>
    <n v="7"/>
    <n v="7"/>
    <n v="7"/>
    <m/>
    <m/>
    <m/>
    <m/>
    <m/>
    <m/>
    <m/>
    <n v="0"/>
    <n v="0"/>
    <n v="0"/>
    <n v="0"/>
    <n v="0"/>
    <n v="0"/>
    <n v="0"/>
    <n v="0"/>
    <n v="0"/>
    <n v="0"/>
    <n v="0"/>
    <n v="0"/>
    <n v="0"/>
    <n v="0"/>
    <x v="0"/>
    <n v="0"/>
    <n v="0"/>
    <n v="0"/>
    <s v="MMR001CMP024"/>
    <x v="0"/>
    <x v="0"/>
    <x v="4"/>
    <n v="1.7111149135886968E-4"/>
    <s v="No"/>
    <m/>
  </r>
  <r>
    <n v="53.366666666666667"/>
    <d v="2012-12-12T00:00:00"/>
    <x v="2"/>
    <s v="Solidarities"/>
    <s v="Kachin"/>
    <s v="Momauk"/>
    <s v="Je Yang Hka "/>
    <n v="5228"/>
    <m/>
    <m/>
    <m/>
    <m/>
    <m/>
    <m/>
    <m/>
    <n v="0"/>
    <n v="0"/>
    <m/>
    <m/>
    <m/>
    <m/>
    <m/>
    <m/>
    <m/>
    <n v="0"/>
    <n v="0"/>
    <n v="0"/>
    <n v="0"/>
    <n v="0"/>
    <n v="0"/>
    <n v="0"/>
    <n v="0"/>
    <n v="0"/>
    <n v="0"/>
    <n v="0"/>
    <n v="0"/>
    <n v="0"/>
    <n v="0"/>
    <x v="0"/>
    <n v="0"/>
    <n v="0"/>
    <n v="0"/>
    <s v="MMR001CMP121"/>
    <x v="0"/>
    <x v="0"/>
    <x v="5"/>
    <n v="0"/>
    <s v="No"/>
    <m/>
  </r>
  <r>
    <n v="53.4"/>
    <d v="2012-12-11T00:00:00"/>
    <x v="2"/>
    <s v="Solidarities"/>
    <s v="Kachin"/>
    <s v="Momauk"/>
    <s v="Hpun Lum Yang "/>
    <n v="1658"/>
    <m/>
    <m/>
    <m/>
    <m/>
    <m/>
    <m/>
    <m/>
    <n v="0"/>
    <n v="0"/>
    <m/>
    <m/>
    <m/>
    <m/>
    <m/>
    <m/>
    <m/>
    <n v="0"/>
    <n v="0"/>
    <n v="0"/>
    <n v="0"/>
    <n v="0"/>
    <n v="0"/>
    <n v="0"/>
    <n v="0"/>
    <n v="0"/>
    <n v="0"/>
    <n v="0"/>
    <n v="0"/>
    <n v="0"/>
    <n v="0"/>
    <x v="0"/>
    <n v="0"/>
    <n v="0"/>
    <n v="0"/>
    <s v="MMR001CMP122"/>
    <x v="0"/>
    <x v="0"/>
    <x v="5"/>
    <n v="0"/>
    <s v="No"/>
    <m/>
  </r>
  <r>
    <n v="53.43333333333333"/>
    <d v="2012-12-10T00:00:00"/>
    <x v="2"/>
    <s v="KBC"/>
    <s v="Kachin"/>
    <s v="Waingmaw"/>
    <s v="Woi Chyai "/>
    <n v="4285"/>
    <m/>
    <m/>
    <m/>
    <m/>
    <m/>
    <m/>
    <m/>
    <n v="0"/>
    <n v="0"/>
    <m/>
    <m/>
    <m/>
    <m/>
    <m/>
    <m/>
    <m/>
    <n v="0"/>
    <n v="0"/>
    <n v="0"/>
    <n v="0"/>
    <n v="0"/>
    <n v="0"/>
    <n v="0"/>
    <n v="0"/>
    <n v="0"/>
    <n v="0"/>
    <n v="0"/>
    <n v="0"/>
    <n v="0"/>
    <n v="0"/>
    <x v="0"/>
    <n v="0"/>
    <n v="0"/>
    <n v="0"/>
    <s v="MMR001CMP116"/>
    <x v="0"/>
    <x v="0"/>
    <x v="4"/>
    <n v="0"/>
    <s v="No"/>
    <m/>
  </r>
  <r>
    <n v="53.5"/>
    <d v="2012-12-08T00:00:00"/>
    <x v="2"/>
    <s v="KBC"/>
    <s v="Kachin"/>
    <s v="Waingmaw"/>
    <s v="Laiza Market 3 - Laiza Gat"/>
    <n v="1690"/>
    <m/>
    <m/>
    <m/>
    <m/>
    <m/>
    <m/>
    <m/>
    <n v="0"/>
    <n v="0"/>
    <m/>
    <m/>
    <m/>
    <m/>
    <m/>
    <m/>
    <m/>
    <n v="0"/>
    <n v="0"/>
    <n v="0"/>
    <n v="0"/>
    <n v="0"/>
    <n v="0"/>
    <n v="0"/>
    <n v="0"/>
    <n v="0"/>
    <n v="0"/>
    <n v="0"/>
    <n v="0"/>
    <n v="0"/>
    <n v="0"/>
    <x v="0"/>
    <n v="0"/>
    <n v="0"/>
    <n v="0"/>
    <s v="MMR001CMP117"/>
    <x v="0"/>
    <x v="2"/>
    <x v="5"/>
    <n v="0"/>
    <s v="No"/>
    <m/>
  </r>
  <r>
    <n v="54.366666666666667"/>
    <d v="2012-11-12T00:00:00"/>
    <x v="1"/>
    <s v="UNHCR"/>
    <s v="Kachin"/>
    <s v="Waingmaw"/>
    <s v="Qtr. 2 Lhaovo Baptist Church"/>
    <m/>
    <m/>
    <m/>
    <n v="12"/>
    <n v="12"/>
    <n v="12"/>
    <n v="5"/>
    <n v="5"/>
    <n v="5"/>
    <n v="5"/>
    <m/>
    <m/>
    <m/>
    <m/>
    <m/>
    <m/>
    <m/>
    <n v="0"/>
    <n v="0"/>
    <n v="0"/>
    <n v="0"/>
    <n v="0"/>
    <n v="0"/>
    <n v="0"/>
    <n v="0"/>
    <n v="0"/>
    <n v="0"/>
    <n v="0"/>
    <n v="0"/>
    <n v="0"/>
    <n v="0"/>
    <x v="0"/>
    <n v="0"/>
    <n v="0"/>
    <n v="0"/>
    <s v="MMR001CMP032"/>
    <x v="0"/>
    <x v="0"/>
    <x v="4"/>
    <n v="1.2277470841006753E-4"/>
    <s v="No"/>
    <m/>
  </r>
  <r>
    <n v="54.43333333333333"/>
    <d v="2012-11-10T00:00:00"/>
    <x v="1"/>
    <s v="UNHCR"/>
    <s v="Kachin"/>
    <s v="Hpakant"/>
    <s v="Hlaing Naung Baptist"/>
    <m/>
    <m/>
    <m/>
    <n v="12"/>
    <n v="0"/>
    <n v="12"/>
    <n v="0"/>
    <n v="0"/>
    <m/>
    <m/>
    <m/>
    <m/>
    <m/>
    <m/>
    <m/>
    <m/>
    <m/>
    <n v="0"/>
    <n v="0"/>
    <n v="0"/>
    <n v="0"/>
    <n v="0"/>
    <n v="0"/>
    <n v="0"/>
    <n v="0"/>
    <n v="0"/>
    <n v="0"/>
    <n v="0"/>
    <n v="0"/>
    <n v="0"/>
    <n v="0"/>
    <x v="0"/>
    <n v="0"/>
    <n v="0"/>
    <n v="0"/>
    <s v="MMR001CMP148"/>
    <x v="0"/>
    <x v="0"/>
    <x v="4"/>
    <n v="0"/>
    <s v="No"/>
    <m/>
  </r>
  <r>
    <n v="54.6"/>
    <d v="2012-11-05T00:00:00"/>
    <x v="1"/>
    <s v="UNHCR"/>
    <s v="Kachin"/>
    <s v="Hpakant"/>
    <s v="Hlaing Naung Baptist"/>
    <m/>
    <m/>
    <m/>
    <n v="70"/>
    <n v="40"/>
    <n v="70"/>
    <n v="40"/>
    <n v="40"/>
    <n v="40"/>
    <n v="40"/>
    <m/>
    <m/>
    <m/>
    <m/>
    <m/>
    <m/>
    <m/>
    <n v="0"/>
    <n v="0"/>
    <n v="0"/>
    <n v="0"/>
    <n v="0"/>
    <n v="0"/>
    <n v="0"/>
    <n v="0"/>
    <n v="0"/>
    <n v="0"/>
    <n v="0"/>
    <n v="0"/>
    <n v="0"/>
    <n v="0"/>
    <x v="0"/>
    <n v="0"/>
    <n v="0"/>
    <n v="0"/>
    <s v="MMR001CMP148"/>
    <x v="0"/>
    <x v="0"/>
    <x v="4"/>
    <n v="9.7127455503484453E-4"/>
    <s v="No"/>
    <m/>
  </r>
  <r>
    <n v="54.966666666666669"/>
    <d v="2012-10-25T00:00:00"/>
    <x v="2"/>
    <s v="Solidarities"/>
    <s v="Kachin"/>
    <s v="Momauk"/>
    <s v="Khun Sint Village"/>
    <n v="23"/>
    <m/>
    <m/>
    <m/>
    <m/>
    <m/>
    <m/>
    <m/>
    <m/>
    <m/>
    <m/>
    <m/>
    <m/>
    <m/>
    <m/>
    <m/>
    <m/>
    <n v="0"/>
    <n v="0"/>
    <n v="0"/>
    <n v="0"/>
    <n v="0"/>
    <n v="0"/>
    <n v="0"/>
    <n v="0"/>
    <n v="0"/>
    <n v="0"/>
    <n v="0"/>
    <n v="0"/>
    <n v="0"/>
    <n v="0"/>
    <x v="0"/>
    <n v="0"/>
    <n v="0"/>
    <n v="0"/>
    <s v="MMR001CMP200"/>
    <x v="0"/>
    <x v="0"/>
    <x v="4"/>
    <s v=""/>
    <m/>
    <m/>
  </r>
  <r>
    <n v="55.166666666666664"/>
    <d v="2012-10-19T00:00:00"/>
    <x v="2"/>
    <s v="Solidarities"/>
    <s v="Kachin"/>
    <s v="Bhamo"/>
    <s v="Ta Gun Taing Monastery (Shwe Kyi Na)"/>
    <n v="47"/>
    <m/>
    <m/>
    <m/>
    <m/>
    <m/>
    <m/>
    <m/>
    <m/>
    <m/>
    <m/>
    <m/>
    <m/>
    <m/>
    <m/>
    <m/>
    <m/>
    <n v="0"/>
    <n v="0"/>
    <n v="0"/>
    <n v="0"/>
    <n v="0"/>
    <n v="0"/>
    <n v="0"/>
    <n v="0"/>
    <n v="0"/>
    <n v="0"/>
    <n v="0"/>
    <n v="0"/>
    <n v="0"/>
    <n v="0"/>
    <x v="0"/>
    <n v="0"/>
    <n v="0"/>
    <n v="0"/>
    <s v="MMR001CMP055"/>
    <x v="0"/>
    <x v="0"/>
    <x v="4"/>
    <n v="0"/>
    <m/>
    <m/>
  </r>
  <r>
    <n v="55.3"/>
    <d v="2012-10-15T00:00:00"/>
    <x v="2"/>
    <s v="LDO"/>
    <s v="Kachin"/>
    <s v="Shwegu"/>
    <s v="Thai Ra Yan"/>
    <n v="38"/>
    <m/>
    <m/>
    <m/>
    <m/>
    <m/>
    <m/>
    <m/>
    <m/>
    <m/>
    <m/>
    <m/>
    <m/>
    <m/>
    <m/>
    <m/>
    <m/>
    <n v="0"/>
    <n v="0"/>
    <n v="0"/>
    <n v="0"/>
    <n v="0"/>
    <n v="0"/>
    <n v="0"/>
    <n v="0"/>
    <n v="0"/>
    <n v="0"/>
    <n v="0"/>
    <n v="0"/>
    <n v="0"/>
    <n v="0"/>
    <x v="0"/>
    <n v="0"/>
    <n v="0"/>
    <n v="0"/>
    <s v=""/>
    <x v="2"/>
    <x v="1"/>
    <x v="2"/>
    <s v=""/>
    <m/>
    <m/>
  </r>
  <r>
    <n v="55.43333333333333"/>
    <d v="2012-10-11T00:00:00"/>
    <x v="1"/>
    <s v="UNHCR"/>
    <s v="Kachin"/>
    <s v="Momauk"/>
    <s v="Seng Ja "/>
    <m/>
    <m/>
    <m/>
    <n v="28"/>
    <n v="17"/>
    <n v="28"/>
    <n v="17"/>
    <n v="17"/>
    <n v="17"/>
    <n v="17"/>
    <m/>
    <m/>
    <m/>
    <m/>
    <m/>
    <m/>
    <m/>
    <n v="0"/>
    <n v="0"/>
    <n v="0"/>
    <n v="0"/>
    <n v="0"/>
    <n v="0"/>
    <n v="0"/>
    <n v="0"/>
    <n v="0"/>
    <n v="0"/>
    <n v="0"/>
    <n v="0"/>
    <n v="0"/>
    <n v="0"/>
    <x v="0"/>
    <n v="0"/>
    <n v="0"/>
    <n v="0"/>
    <s v="MMR001CMP073"/>
    <x v="0"/>
    <x v="0"/>
    <x v="0"/>
    <n v="4.1340401731433294E-4"/>
    <s v="No"/>
    <m/>
  </r>
  <r>
    <n v="55.8"/>
    <d v="2012-09-30T00:00:00"/>
    <x v="1"/>
    <s v="Chipwe CM"/>
    <s v="Kachin"/>
    <s v="Chipwi"/>
    <s v="Women's Affairs Association Building"/>
    <m/>
    <m/>
    <m/>
    <n v="34"/>
    <n v="12"/>
    <n v="34"/>
    <n v="12"/>
    <n v="12"/>
    <n v="12"/>
    <n v="12"/>
    <m/>
    <m/>
    <m/>
    <m/>
    <m/>
    <m/>
    <m/>
    <n v="0"/>
    <n v="0"/>
    <n v="0"/>
    <n v="0"/>
    <n v="0"/>
    <n v="0"/>
    <n v="0"/>
    <n v="0"/>
    <n v="0"/>
    <n v="0"/>
    <n v="0"/>
    <n v="0"/>
    <n v="0"/>
    <n v="0"/>
    <x v="0"/>
    <n v="0"/>
    <n v="0"/>
    <n v="0"/>
    <s v="MMR001CMP044"/>
    <x v="0"/>
    <x v="2"/>
    <x v="2"/>
    <s v=""/>
    <s v="No"/>
    <m/>
  </r>
  <r>
    <n v="55.833333333333336"/>
    <d v="2012-09-29T00:00:00"/>
    <x v="1"/>
    <s v="Chipwe CM"/>
    <s v="Kachin"/>
    <s v="Chipwi"/>
    <s v="Lhaovao Baptist Church (LBC)"/>
    <m/>
    <m/>
    <m/>
    <n v="34"/>
    <n v="12"/>
    <n v="34"/>
    <n v="12"/>
    <n v="12"/>
    <n v="12"/>
    <n v="12"/>
    <m/>
    <m/>
    <m/>
    <m/>
    <m/>
    <m/>
    <m/>
    <n v="0"/>
    <n v="0"/>
    <n v="0"/>
    <n v="0"/>
    <n v="0"/>
    <n v="0"/>
    <n v="0"/>
    <n v="0"/>
    <n v="0"/>
    <n v="0"/>
    <n v="0"/>
    <n v="0"/>
    <n v="0"/>
    <n v="0"/>
    <x v="0"/>
    <n v="0"/>
    <n v="0"/>
    <n v="0"/>
    <s v="MMR001CMP195"/>
    <x v="0"/>
    <x v="0"/>
    <x v="3"/>
    <n v="2.9311187103077673E-4"/>
    <s v="No"/>
    <m/>
  </r>
  <r>
    <n v="55.833333333333336"/>
    <d v="2012-09-29T00:00:00"/>
    <x v="1"/>
    <s v="UNHCR"/>
    <s v="Kachin"/>
    <s v="Momauk"/>
    <s v="Loi Je Lisu Camp"/>
    <m/>
    <m/>
    <m/>
    <n v="151"/>
    <n v="59"/>
    <n v="151"/>
    <n v="59"/>
    <n v="59"/>
    <n v="59"/>
    <n v="59"/>
    <m/>
    <m/>
    <m/>
    <m/>
    <m/>
    <m/>
    <m/>
    <n v="0"/>
    <n v="0"/>
    <n v="0"/>
    <n v="0"/>
    <n v="0"/>
    <n v="0"/>
    <n v="0"/>
    <n v="0"/>
    <n v="0"/>
    <n v="0"/>
    <n v="0"/>
    <n v="0"/>
    <n v="0"/>
    <n v="0"/>
    <x v="0"/>
    <n v="0"/>
    <n v="0"/>
    <n v="0"/>
    <s v="MMR001CMP070"/>
    <x v="0"/>
    <x v="0"/>
    <x v="0"/>
    <n v="1.4390243902439024E-3"/>
    <s v="No"/>
    <m/>
  </r>
  <r>
    <n v="55.866666666666667"/>
    <d v="2012-09-28T00:00:00"/>
    <x v="1"/>
    <s v="Chipwe CM"/>
    <s v="Kachin"/>
    <s v="Chipwi"/>
    <s v="Lan Jaw "/>
    <m/>
    <m/>
    <m/>
    <n v="33"/>
    <n v="11"/>
    <n v="33"/>
    <n v="11"/>
    <n v="11"/>
    <n v="11"/>
    <n v="11"/>
    <m/>
    <m/>
    <m/>
    <m/>
    <m/>
    <m/>
    <m/>
    <n v="0"/>
    <n v="0"/>
    <n v="0"/>
    <n v="0"/>
    <n v="0"/>
    <n v="0"/>
    <n v="0"/>
    <n v="0"/>
    <n v="0"/>
    <n v="0"/>
    <n v="0"/>
    <n v="0"/>
    <n v="0"/>
    <n v="0"/>
    <x v="0"/>
    <n v="0"/>
    <n v="0"/>
    <n v="0"/>
    <s v="MMR001CMP045"/>
    <x v="0"/>
    <x v="2"/>
    <x v="3"/>
    <s v=""/>
    <s v="No"/>
    <m/>
  </r>
  <r>
    <n v="55.9"/>
    <d v="2012-09-27T00:00:00"/>
    <x v="1"/>
    <s v="Chipwe CM"/>
    <s v="Kachin"/>
    <s v="Chipwi"/>
    <s v="Hpare Hkyer - BP6"/>
    <m/>
    <m/>
    <m/>
    <n v="33"/>
    <n v="11"/>
    <n v="33"/>
    <n v="11"/>
    <n v="11"/>
    <n v="11"/>
    <n v="11"/>
    <m/>
    <m/>
    <m/>
    <m/>
    <m/>
    <m/>
    <m/>
    <n v="0"/>
    <n v="0"/>
    <n v="0"/>
    <n v="0"/>
    <n v="0"/>
    <n v="0"/>
    <n v="0"/>
    <n v="0"/>
    <n v="0"/>
    <n v="0"/>
    <n v="0"/>
    <n v="0"/>
    <n v="0"/>
    <n v="0"/>
    <x v="0"/>
    <n v="0"/>
    <n v="0"/>
    <n v="0"/>
    <s v="MMR001CMP043"/>
    <x v="0"/>
    <x v="0"/>
    <x v="3"/>
    <n v="2.6809651474530834E-4"/>
    <s v="No"/>
    <m/>
  </r>
  <r>
    <n v="55.93333333333333"/>
    <d v="2012-09-26T00:00:00"/>
    <x v="1"/>
    <s v="Chipwe CM"/>
    <s v="Kachin"/>
    <s v="Chipwi"/>
    <s v="Gant Gwin"/>
    <m/>
    <m/>
    <m/>
    <n v="33"/>
    <n v="11"/>
    <n v="33"/>
    <n v="11"/>
    <n v="11"/>
    <n v="11"/>
    <n v="11"/>
    <m/>
    <m/>
    <m/>
    <m/>
    <m/>
    <m/>
    <m/>
    <n v="0"/>
    <n v="0"/>
    <n v="0"/>
    <n v="0"/>
    <n v="0"/>
    <n v="0"/>
    <n v="0"/>
    <n v="0"/>
    <n v="0"/>
    <n v="0"/>
    <n v="0"/>
    <n v="0"/>
    <n v="0"/>
    <n v="0"/>
    <x v="0"/>
    <n v="0"/>
    <n v="0"/>
    <n v="0"/>
    <s v="MMR001CMP046"/>
    <x v="0"/>
    <x v="2"/>
    <x v="3"/>
    <s v=""/>
    <s v="No"/>
    <m/>
  </r>
  <r>
    <n v="55.966666666666669"/>
    <d v="2012-09-25T00:00:00"/>
    <x v="1"/>
    <s v="Chipwe CM"/>
    <s v="Kachin"/>
    <s v="Chipwi"/>
    <s v="Chipwi KBC camp"/>
    <m/>
    <m/>
    <m/>
    <n v="33"/>
    <n v="11"/>
    <n v="33"/>
    <n v="11"/>
    <n v="11"/>
    <n v="11"/>
    <n v="11"/>
    <m/>
    <m/>
    <m/>
    <m/>
    <m/>
    <m/>
    <m/>
    <n v="0"/>
    <n v="0"/>
    <n v="0"/>
    <n v="0"/>
    <n v="0"/>
    <n v="0"/>
    <n v="0"/>
    <n v="0"/>
    <n v="0"/>
    <n v="0"/>
    <n v="0"/>
    <n v="0"/>
    <n v="0"/>
    <n v="0"/>
    <x v="0"/>
    <n v="0"/>
    <n v="0"/>
    <n v="0"/>
    <s v="MMR001CMP042"/>
    <x v="0"/>
    <x v="0"/>
    <x v="3"/>
    <n v="2.667054601881486E-4"/>
    <s v="No"/>
    <m/>
  </r>
  <r>
    <n v="56.133333333333333"/>
    <d v="2012-09-20T00:00:00"/>
    <x v="2"/>
    <s v="LDO"/>
    <s v="Kachin"/>
    <s v="Shwegu"/>
    <s v="Kapaung"/>
    <n v="92"/>
    <m/>
    <m/>
    <m/>
    <m/>
    <m/>
    <m/>
    <m/>
    <m/>
    <m/>
    <m/>
    <m/>
    <m/>
    <m/>
    <m/>
    <m/>
    <m/>
    <n v="0"/>
    <n v="0"/>
    <n v="0"/>
    <n v="0"/>
    <n v="0"/>
    <n v="0"/>
    <n v="0"/>
    <n v="0"/>
    <n v="0"/>
    <n v="0"/>
    <n v="0"/>
    <n v="0"/>
    <n v="0"/>
    <n v="0"/>
    <x v="0"/>
    <n v="0"/>
    <n v="0"/>
    <n v="0"/>
    <s v=""/>
    <x v="2"/>
    <x v="1"/>
    <x v="2"/>
    <s v=""/>
    <m/>
    <m/>
  </r>
  <r>
    <n v="56.2"/>
    <d v="2012-09-18T00:00:00"/>
    <x v="2"/>
    <s v="LDO"/>
    <s v="Kachin"/>
    <s v="Shwegu"/>
    <s v="Shwe Gu Baptist Church"/>
    <n v="98"/>
    <m/>
    <m/>
    <m/>
    <m/>
    <m/>
    <m/>
    <m/>
    <m/>
    <m/>
    <m/>
    <m/>
    <m/>
    <m/>
    <m/>
    <m/>
    <m/>
    <n v="0"/>
    <n v="0"/>
    <n v="0"/>
    <n v="0"/>
    <n v="0"/>
    <n v="0"/>
    <n v="0"/>
    <n v="0"/>
    <n v="0"/>
    <n v="0"/>
    <n v="0"/>
    <n v="0"/>
    <n v="0"/>
    <n v="0"/>
    <x v="0"/>
    <n v="0"/>
    <n v="0"/>
    <n v="0"/>
    <s v="MMR001CMP067"/>
    <x v="0"/>
    <x v="0"/>
    <x v="4"/>
    <n v="0"/>
    <m/>
    <m/>
  </r>
  <r>
    <n v="56.2"/>
    <d v="2012-09-18T00:00:00"/>
    <x v="2"/>
    <s v="LDO"/>
    <s v="Kachin"/>
    <s v="Shwegu"/>
    <s v="Shwe Gu Catholic Church"/>
    <n v="59"/>
    <m/>
    <m/>
    <m/>
    <m/>
    <m/>
    <m/>
    <m/>
    <m/>
    <m/>
    <m/>
    <m/>
    <m/>
    <m/>
    <m/>
    <m/>
    <m/>
    <n v="0"/>
    <n v="0"/>
    <n v="0"/>
    <n v="0"/>
    <n v="0"/>
    <n v="0"/>
    <n v="0"/>
    <n v="0"/>
    <n v="0"/>
    <n v="0"/>
    <n v="0"/>
    <n v="0"/>
    <n v="0"/>
    <n v="0"/>
    <x v="0"/>
    <n v="0"/>
    <n v="0"/>
    <n v="0"/>
    <s v="MMR001CMP068"/>
    <x v="0"/>
    <x v="0"/>
    <x v="4"/>
    <n v="0"/>
    <m/>
    <m/>
  </r>
  <r>
    <n v="56.2"/>
    <d v="2012-09-18T00:00:00"/>
    <x v="2"/>
    <s v="LDO"/>
    <s v="Kachin"/>
    <s v="Shwegu"/>
    <s v="Lot Aung"/>
    <n v="45"/>
    <m/>
    <m/>
    <m/>
    <m/>
    <m/>
    <m/>
    <m/>
    <m/>
    <m/>
    <m/>
    <m/>
    <m/>
    <m/>
    <m/>
    <m/>
    <m/>
    <n v="0"/>
    <n v="0"/>
    <n v="0"/>
    <n v="0"/>
    <n v="0"/>
    <n v="0"/>
    <n v="0"/>
    <n v="0"/>
    <n v="0"/>
    <n v="0"/>
    <n v="0"/>
    <n v="0"/>
    <n v="0"/>
    <n v="0"/>
    <x v="0"/>
    <n v="0"/>
    <n v="0"/>
    <n v="0"/>
    <s v=""/>
    <x v="2"/>
    <x v="1"/>
    <x v="2"/>
    <s v=""/>
    <m/>
    <m/>
  </r>
  <r>
    <n v="56.2"/>
    <d v="2012-09-18T00:00:00"/>
    <x v="2"/>
    <s v="LDO"/>
    <s v="Kachin"/>
    <s v="Shwegu"/>
    <s v="Pan Dang"/>
    <n v="22"/>
    <m/>
    <m/>
    <m/>
    <m/>
    <m/>
    <m/>
    <m/>
    <m/>
    <m/>
    <m/>
    <m/>
    <m/>
    <m/>
    <m/>
    <m/>
    <m/>
    <n v="0"/>
    <n v="0"/>
    <n v="0"/>
    <n v="0"/>
    <n v="0"/>
    <n v="0"/>
    <n v="0"/>
    <n v="0"/>
    <n v="0"/>
    <n v="0"/>
    <n v="0"/>
    <n v="0"/>
    <n v="0"/>
    <n v="0"/>
    <x v="0"/>
    <n v="0"/>
    <n v="0"/>
    <n v="0"/>
    <s v=""/>
    <x v="2"/>
    <x v="1"/>
    <x v="2"/>
    <s v=""/>
    <m/>
    <m/>
  </r>
  <r>
    <n v="56.2"/>
    <d v="2012-09-18T00:00:00"/>
    <x v="2"/>
    <s v="LDO"/>
    <s v="Kachin"/>
    <s v="Shwegu"/>
    <s v="Pan Hkawn"/>
    <n v="130"/>
    <m/>
    <m/>
    <m/>
    <m/>
    <m/>
    <m/>
    <m/>
    <m/>
    <m/>
    <m/>
    <m/>
    <m/>
    <m/>
    <m/>
    <m/>
    <m/>
    <n v="0"/>
    <n v="0"/>
    <n v="0"/>
    <n v="0"/>
    <n v="0"/>
    <n v="0"/>
    <n v="0"/>
    <n v="0"/>
    <n v="0"/>
    <n v="0"/>
    <n v="0"/>
    <n v="0"/>
    <n v="0"/>
    <n v="0"/>
    <x v="0"/>
    <n v="0"/>
    <n v="0"/>
    <n v="0"/>
    <s v=""/>
    <x v="2"/>
    <x v="1"/>
    <x v="2"/>
    <s v=""/>
    <m/>
    <m/>
  </r>
  <r>
    <n v="56.233333333333334"/>
    <d v="2012-09-17T00:00:00"/>
    <x v="1"/>
    <s v="UNHCR"/>
    <s v="Kachin"/>
    <s v="Momauk"/>
    <s v="Man Bung Catholic compound"/>
    <m/>
    <m/>
    <m/>
    <n v="86"/>
    <n v="43"/>
    <n v="86"/>
    <n v="43"/>
    <n v="43"/>
    <n v="43"/>
    <n v="43"/>
    <m/>
    <m/>
    <m/>
    <m/>
    <m/>
    <m/>
    <m/>
    <n v="0"/>
    <n v="0"/>
    <n v="0"/>
    <n v="0"/>
    <n v="0"/>
    <n v="0"/>
    <n v="0"/>
    <n v="0"/>
    <n v="0"/>
    <n v="0"/>
    <n v="0"/>
    <n v="0"/>
    <n v="0"/>
    <n v="0"/>
    <x v="0"/>
    <n v="0"/>
    <n v="0"/>
    <n v="0"/>
    <s v="MMR001CMP062"/>
    <x v="0"/>
    <x v="0"/>
    <x v="4"/>
    <n v="1.0480136485498416E-3"/>
    <s v="No"/>
    <m/>
  </r>
  <r>
    <n v="56.233333333333334"/>
    <d v="2012-09-17T00:00:00"/>
    <x v="1"/>
    <s v="UNHCR"/>
    <s v="Kachin"/>
    <s v="Momauk"/>
    <s v="Momauk Catholic Church (St. Patrick)"/>
    <m/>
    <m/>
    <m/>
    <n v="86"/>
    <n v="43"/>
    <n v="86"/>
    <n v="43"/>
    <n v="43"/>
    <n v="43"/>
    <n v="43"/>
    <m/>
    <m/>
    <m/>
    <m/>
    <m/>
    <m/>
    <m/>
    <n v="0"/>
    <n v="0"/>
    <n v="0"/>
    <n v="0"/>
    <n v="0"/>
    <n v="0"/>
    <n v="0"/>
    <n v="0"/>
    <n v="0"/>
    <n v="0"/>
    <n v="0"/>
    <n v="0"/>
    <n v="0"/>
    <n v="0"/>
    <x v="0"/>
    <n v="0"/>
    <n v="0"/>
    <n v="0"/>
    <s v="MMR001CMP057"/>
    <x v="0"/>
    <x v="2"/>
    <x v="4"/>
    <n v="1.0550593777603299E-3"/>
    <s v="No"/>
    <m/>
  </r>
  <r>
    <n v="56.333333333333336"/>
    <d v="2012-09-14T00:00:00"/>
    <x v="1"/>
    <s v="UNHCR"/>
    <s v="Kachin"/>
    <s v="Waingmaw"/>
    <s v="Maina Catholic Church (St. Joseph)"/>
    <m/>
    <m/>
    <m/>
    <n v="94"/>
    <n v="48"/>
    <n v="94"/>
    <n v="48"/>
    <n v="48"/>
    <n v="48"/>
    <n v="48"/>
    <m/>
    <m/>
    <m/>
    <m/>
    <m/>
    <m/>
    <m/>
    <n v="0"/>
    <n v="0"/>
    <n v="0"/>
    <n v="0"/>
    <n v="0"/>
    <n v="0"/>
    <n v="0"/>
    <n v="0"/>
    <n v="0"/>
    <n v="0"/>
    <n v="0"/>
    <n v="0"/>
    <n v="0"/>
    <n v="0"/>
    <x v="0"/>
    <n v="0"/>
    <n v="0"/>
    <n v="0"/>
    <s v="MMR001CMP029"/>
    <x v="0"/>
    <x v="0"/>
    <x v="4"/>
    <n v="1.1586926085067348E-3"/>
    <s v="No"/>
    <m/>
  </r>
  <r>
    <n v="56.333333333333336"/>
    <d v="2012-09-14T00:00:00"/>
    <x v="1"/>
    <s v="UNHCR"/>
    <s v="Kachin"/>
    <s v="Waingmaw"/>
    <s v="Waingmaw AG Church"/>
    <m/>
    <m/>
    <m/>
    <n v="14"/>
    <n v="8"/>
    <n v="14"/>
    <n v="8"/>
    <n v="8"/>
    <n v="8"/>
    <n v="8"/>
    <m/>
    <m/>
    <m/>
    <m/>
    <m/>
    <m/>
    <m/>
    <n v="0"/>
    <n v="0"/>
    <n v="0"/>
    <n v="0"/>
    <n v="0"/>
    <n v="0"/>
    <n v="0"/>
    <n v="0"/>
    <n v="0"/>
    <n v="0"/>
    <n v="0"/>
    <n v="0"/>
    <n v="0"/>
    <n v="0"/>
    <x v="0"/>
    <n v="0"/>
    <n v="0"/>
    <n v="0"/>
    <s v="MMR001CMP038"/>
    <x v="0"/>
    <x v="0"/>
    <x v="4"/>
    <n v="1.9584802193497845E-4"/>
    <s v="No"/>
    <m/>
  </r>
  <r>
    <n v="56.466666666666669"/>
    <d v="2012-09-10T00:00:00"/>
    <x v="1"/>
    <s v="UNHCR"/>
    <s v="Kachin"/>
    <s v="Myitkyina"/>
    <s v="Myay Myint Baptist Church"/>
    <m/>
    <m/>
    <m/>
    <n v="10"/>
    <n v="6"/>
    <n v="10"/>
    <n v="6"/>
    <n v="6"/>
    <n v="6"/>
    <n v="6"/>
    <m/>
    <m/>
    <m/>
    <m/>
    <m/>
    <m/>
    <m/>
    <n v="0"/>
    <n v="0"/>
    <n v="0"/>
    <n v="0"/>
    <n v="0"/>
    <n v="0"/>
    <n v="0"/>
    <n v="0"/>
    <n v="0"/>
    <n v="0"/>
    <n v="0"/>
    <n v="0"/>
    <n v="0"/>
    <n v="0"/>
    <x v="0"/>
    <n v="0"/>
    <n v="0"/>
    <n v="0"/>
    <s v="MMR001CMP017"/>
    <x v="0"/>
    <x v="2"/>
    <x v="4"/>
    <n v="1.4699757454002008E-4"/>
    <s v="No"/>
    <m/>
  </r>
  <r>
    <n v="56.633333333333333"/>
    <d v="2012-09-05T00:00:00"/>
    <x v="1"/>
    <s v="UNHCR"/>
    <s v="Kachin"/>
    <s v="Momauk"/>
    <s v="Loi Je Baptist Church"/>
    <m/>
    <m/>
    <m/>
    <n v="40"/>
    <n v="17"/>
    <n v="40"/>
    <n v="17"/>
    <n v="17"/>
    <n v="17"/>
    <n v="17"/>
    <m/>
    <m/>
    <m/>
    <m/>
    <m/>
    <m/>
    <m/>
    <n v="0"/>
    <n v="0"/>
    <n v="0"/>
    <n v="0"/>
    <n v="0"/>
    <n v="0"/>
    <n v="0"/>
    <n v="0"/>
    <n v="0"/>
    <n v="0"/>
    <n v="0"/>
    <n v="0"/>
    <n v="0"/>
    <n v="0"/>
    <x v="0"/>
    <n v="0"/>
    <n v="0"/>
    <n v="0"/>
    <s v="MMR001CMP071"/>
    <x v="0"/>
    <x v="0"/>
    <x v="0"/>
    <n v="4.1433097733365831E-4"/>
    <s v="No"/>
    <m/>
  </r>
  <r>
    <n v="56.633333333333333"/>
    <d v="2012-09-05T00:00:00"/>
    <x v="1"/>
    <s v="UNHCR"/>
    <s v="Kachin"/>
    <s v="Momauk"/>
    <s v="Loi Je Catholic Church"/>
    <m/>
    <m/>
    <m/>
    <n v="21"/>
    <n v="10"/>
    <n v="21"/>
    <n v="10"/>
    <n v="10"/>
    <n v="10"/>
    <n v="10"/>
    <m/>
    <m/>
    <m/>
    <m/>
    <m/>
    <m/>
    <m/>
    <n v="0"/>
    <n v="0"/>
    <n v="0"/>
    <n v="0"/>
    <n v="0"/>
    <n v="0"/>
    <n v="0"/>
    <n v="0"/>
    <n v="0"/>
    <n v="0"/>
    <n v="0"/>
    <n v="0"/>
    <n v="0"/>
    <n v="0"/>
    <x v="0"/>
    <n v="0"/>
    <n v="0"/>
    <n v="0"/>
    <s v="MMR001CMP069"/>
    <x v="0"/>
    <x v="0"/>
    <x v="0"/>
    <n v="2.4481002741872309E-4"/>
    <s v="No"/>
    <m/>
  </r>
  <r>
    <n v="56.633333333333333"/>
    <d v="2012-09-05T00:00:00"/>
    <x v="1"/>
    <s v="UNHCR"/>
    <s v="Kachin"/>
    <s v="Momauk"/>
    <s v="Loi Je Lisu Camp"/>
    <m/>
    <m/>
    <m/>
    <n v="133"/>
    <n v="62"/>
    <n v="133"/>
    <n v="62"/>
    <n v="62"/>
    <n v="62"/>
    <n v="62"/>
    <m/>
    <m/>
    <m/>
    <m/>
    <m/>
    <m/>
    <m/>
    <n v="0"/>
    <n v="0"/>
    <n v="0"/>
    <n v="0"/>
    <n v="0"/>
    <n v="0"/>
    <n v="0"/>
    <n v="0"/>
    <n v="0"/>
    <n v="0"/>
    <n v="0"/>
    <n v="0"/>
    <n v="0"/>
    <n v="0"/>
    <x v="0"/>
    <n v="0"/>
    <n v="0"/>
    <n v="0"/>
    <s v="MMR001CMP070"/>
    <x v="0"/>
    <x v="0"/>
    <x v="0"/>
    <n v="1.5121951219512196E-3"/>
    <s v="No"/>
    <m/>
  </r>
  <r>
    <n v="56.633333333333333"/>
    <d v="2012-09-05T00:00:00"/>
    <x v="1"/>
    <s v="UNHCR"/>
    <s v="Kachin"/>
    <s v="Momauk"/>
    <s v="Seng Ja "/>
    <m/>
    <m/>
    <m/>
    <n v="26"/>
    <n v="11"/>
    <n v="26"/>
    <n v="11"/>
    <n v="11"/>
    <n v="11"/>
    <n v="11"/>
    <m/>
    <m/>
    <m/>
    <m/>
    <m/>
    <m/>
    <m/>
    <n v="0"/>
    <n v="0"/>
    <n v="0"/>
    <n v="0"/>
    <n v="0"/>
    <n v="0"/>
    <n v="0"/>
    <n v="0"/>
    <n v="0"/>
    <n v="0"/>
    <n v="0"/>
    <n v="0"/>
    <n v="0"/>
    <n v="0"/>
    <x v="0"/>
    <n v="0"/>
    <n v="0"/>
    <n v="0"/>
    <s v="MMR001CMP073"/>
    <x v="0"/>
    <x v="0"/>
    <x v="0"/>
    <n v="2.6749671708574483E-4"/>
    <s v="No"/>
    <m/>
  </r>
  <r>
    <n v="56.866666666666667"/>
    <d v="2012-08-29T00:00:00"/>
    <x v="1"/>
    <s v="UNHCR"/>
    <s v="Kachin"/>
    <s v="Momauk"/>
    <s v="Nyaung Na Pin "/>
    <m/>
    <m/>
    <m/>
    <n v="112"/>
    <n v="41"/>
    <n v="112"/>
    <n v="41"/>
    <n v="41"/>
    <n v="41"/>
    <n v="41"/>
    <m/>
    <m/>
    <m/>
    <m/>
    <m/>
    <m/>
    <m/>
    <n v="0"/>
    <n v="0"/>
    <n v="0"/>
    <n v="0"/>
    <n v="0"/>
    <n v="0"/>
    <n v="0"/>
    <n v="0"/>
    <n v="0"/>
    <n v="0"/>
    <n v="0"/>
    <n v="0"/>
    <n v="0"/>
    <n v="0"/>
    <x v="0"/>
    <n v="0"/>
    <n v="0"/>
    <n v="0"/>
    <s v="MMR001CMP072"/>
    <x v="0"/>
    <x v="0"/>
    <x v="0"/>
    <n v="9.9703321822868537E-4"/>
    <s v="No"/>
    <m/>
  </r>
  <r>
    <n v="56.93333333333333"/>
    <d v="2012-08-27T00:00:00"/>
    <x v="1"/>
    <s v="UNHCR"/>
    <s v="Kachin"/>
    <s v="Myitkyina"/>
    <s v="Jan Mai Kawng Baptist Church"/>
    <m/>
    <m/>
    <m/>
    <n v="7"/>
    <n v="4"/>
    <n v="7"/>
    <n v="3"/>
    <n v="3"/>
    <n v="3"/>
    <n v="3"/>
    <m/>
    <m/>
    <m/>
    <m/>
    <m/>
    <m/>
    <m/>
    <n v="0"/>
    <n v="0"/>
    <n v="0"/>
    <n v="0"/>
    <n v="0"/>
    <n v="0"/>
    <n v="0"/>
    <n v="0"/>
    <n v="0"/>
    <n v="0"/>
    <n v="0"/>
    <n v="0"/>
    <n v="0"/>
    <n v="0"/>
    <x v="0"/>
    <n v="0"/>
    <n v="0"/>
    <n v="0"/>
    <s v="MMR001CMP018"/>
    <x v="0"/>
    <x v="0"/>
    <x v="4"/>
    <n v="7.3664825046040511E-5"/>
    <s v="No"/>
    <m/>
  </r>
  <r>
    <n v="56.93333333333333"/>
    <d v="2012-08-27T00:00:00"/>
    <x v="1"/>
    <s v="UNHCR"/>
    <s v="Kachin"/>
    <s v="Myitkyina"/>
    <s v="Maliyang Baptist Church"/>
    <m/>
    <m/>
    <m/>
    <n v="2"/>
    <n v="1"/>
    <n v="2"/>
    <n v="1"/>
    <n v="1"/>
    <n v="1"/>
    <n v="1"/>
    <m/>
    <m/>
    <m/>
    <m/>
    <m/>
    <m/>
    <m/>
    <n v="0"/>
    <n v="0"/>
    <n v="0"/>
    <n v="0"/>
    <n v="0"/>
    <n v="0"/>
    <n v="0"/>
    <n v="0"/>
    <n v="0"/>
    <n v="0"/>
    <n v="0"/>
    <n v="0"/>
    <n v="0"/>
    <n v="0"/>
    <x v="0"/>
    <n v="0"/>
    <n v="0"/>
    <n v="0"/>
    <s v="MMR001CMP016"/>
    <x v="0"/>
    <x v="0"/>
    <x v="4"/>
    <n v="2.4536264599077437E-5"/>
    <s v="No"/>
    <m/>
  </r>
  <r>
    <n v="56.93333333333333"/>
    <d v="2012-08-27T00:00:00"/>
    <x v="1"/>
    <s v="UNHCR"/>
    <s v="Kachin"/>
    <s v="Myitkyina"/>
    <s v="Maw Hpawng Hka Nan Baptist Church"/>
    <m/>
    <m/>
    <m/>
    <n v="2"/>
    <n v="1"/>
    <n v="2"/>
    <n v="1"/>
    <n v="1"/>
    <n v="1"/>
    <n v="1"/>
    <m/>
    <m/>
    <m/>
    <m/>
    <m/>
    <m/>
    <m/>
    <n v="0"/>
    <n v="0"/>
    <n v="0"/>
    <n v="0"/>
    <n v="0"/>
    <n v="0"/>
    <n v="0"/>
    <n v="0"/>
    <n v="0"/>
    <n v="0"/>
    <n v="0"/>
    <n v="0"/>
    <n v="0"/>
    <n v="0"/>
    <x v="0"/>
    <n v="0"/>
    <n v="0"/>
    <n v="0"/>
    <s v="MMR001CMP020"/>
    <x v="0"/>
    <x v="0"/>
    <x v="4"/>
    <n v="2.4499595756670014E-5"/>
    <s v="No"/>
    <m/>
  </r>
  <r>
    <n v="56.93333333333333"/>
    <d v="2012-08-27T00:00:00"/>
    <x v="1"/>
    <s v="UNHCR"/>
    <s v="Kachin"/>
    <s v="Myitkyina"/>
    <s v="Maw Hpawng Lhaovo Baptist Church"/>
    <m/>
    <m/>
    <m/>
    <n v="10"/>
    <n v="5"/>
    <n v="10"/>
    <n v="5"/>
    <n v="5"/>
    <n v="5"/>
    <n v="5"/>
    <m/>
    <m/>
    <m/>
    <m/>
    <m/>
    <m/>
    <m/>
    <n v="0"/>
    <n v="0"/>
    <n v="0"/>
    <n v="0"/>
    <n v="0"/>
    <n v="0"/>
    <n v="0"/>
    <n v="0"/>
    <n v="0"/>
    <n v="0"/>
    <n v="0"/>
    <n v="0"/>
    <n v="0"/>
    <n v="0"/>
    <x v="0"/>
    <n v="0"/>
    <n v="0"/>
    <n v="0"/>
    <s v="MMR001CMP021"/>
    <x v="0"/>
    <x v="0"/>
    <x v="4"/>
    <n v="1.2249797878335008E-4"/>
    <s v="No"/>
    <m/>
  </r>
  <r>
    <n v="56.93333333333333"/>
    <d v="2012-08-27T00:00:00"/>
    <x v="1"/>
    <s v="UNHCR"/>
    <s v="Kachin"/>
    <s v="Myitkyina"/>
    <s v="Wun Tho Buddhist Monastery"/>
    <m/>
    <m/>
    <m/>
    <n v="10"/>
    <n v="5"/>
    <n v="10"/>
    <n v="5"/>
    <n v="5"/>
    <n v="5"/>
    <n v="5"/>
    <m/>
    <m/>
    <m/>
    <m/>
    <m/>
    <m/>
    <m/>
    <n v="0"/>
    <n v="0"/>
    <n v="0"/>
    <n v="0"/>
    <n v="0"/>
    <n v="0"/>
    <n v="0"/>
    <n v="0"/>
    <n v="0"/>
    <n v="0"/>
    <n v="0"/>
    <n v="0"/>
    <n v="0"/>
    <n v="0"/>
    <x v="0"/>
    <n v="0"/>
    <n v="0"/>
    <n v="0"/>
    <s v="MMR001CMP022"/>
    <x v="0"/>
    <x v="0"/>
    <x v="4"/>
    <n v="1.2195121951219512E-4"/>
    <s v="No"/>
    <m/>
  </r>
  <r>
    <n v="57.333333333333336"/>
    <d v="2012-08-15T00:00:00"/>
    <x v="2"/>
    <s v="Solidarities"/>
    <s v="Kachin"/>
    <s v="Momauk"/>
    <s v="Loi Je Catholic Church"/>
    <n v="73"/>
    <m/>
    <m/>
    <m/>
    <m/>
    <m/>
    <m/>
    <m/>
    <m/>
    <m/>
    <m/>
    <m/>
    <m/>
    <m/>
    <m/>
    <m/>
    <m/>
    <n v="0"/>
    <n v="0"/>
    <n v="0"/>
    <n v="0"/>
    <n v="0"/>
    <n v="0"/>
    <n v="0"/>
    <n v="0"/>
    <n v="0"/>
    <n v="0"/>
    <n v="0"/>
    <n v="0"/>
    <n v="0"/>
    <n v="0"/>
    <x v="0"/>
    <n v="0"/>
    <n v="0"/>
    <n v="0"/>
    <s v="MMR001CMP069"/>
    <x v="0"/>
    <x v="0"/>
    <x v="0"/>
    <n v="0"/>
    <m/>
    <m/>
  </r>
  <r>
    <n v="57.4"/>
    <d v="2012-08-13T00:00:00"/>
    <x v="1"/>
    <s v="UNHCR "/>
    <s v="Kachin"/>
    <s v="Bhamo"/>
    <s v="Robert Church"/>
    <m/>
    <m/>
    <m/>
    <n v="310"/>
    <n v="151"/>
    <n v="310"/>
    <n v="151"/>
    <n v="151"/>
    <n v="151"/>
    <n v="151"/>
    <m/>
    <m/>
    <m/>
    <m/>
    <m/>
    <m/>
    <m/>
    <n v="0"/>
    <n v="0"/>
    <n v="0"/>
    <n v="0"/>
    <n v="0"/>
    <n v="0"/>
    <n v="0"/>
    <n v="0"/>
    <n v="0"/>
    <n v="0"/>
    <n v="0"/>
    <n v="0"/>
    <n v="0"/>
    <n v="0"/>
    <x v="0"/>
    <n v="0"/>
    <n v="0"/>
    <n v="0"/>
    <s v="MMR001CMP047"/>
    <x v="0"/>
    <x v="0"/>
    <x v="4"/>
    <n v="3.7077961939840391E-3"/>
    <s v="No"/>
    <m/>
  </r>
  <r>
    <n v="57.533333333333331"/>
    <d v="2012-08-09T00:00:00"/>
    <x v="1"/>
    <s v="UNHCR"/>
    <s v="Kachin"/>
    <s v="Myitkyina"/>
    <s v="Jan Mai Kawng Baptist Church"/>
    <m/>
    <m/>
    <m/>
    <n v="7"/>
    <n v="3"/>
    <n v="7"/>
    <n v="3"/>
    <n v="3"/>
    <n v="3"/>
    <n v="3"/>
    <m/>
    <m/>
    <m/>
    <m/>
    <m/>
    <m/>
    <m/>
    <n v="0"/>
    <n v="0"/>
    <n v="0"/>
    <n v="0"/>
    <n v="0"/>
    <n v="0"/>
    <n v="0"/>
    <n v="0"/>
    <n v="0"/>
    <n v="0"/>
    <n v="0"/>
    <n v="0"/>
    <n v="0"/>
    <n v="0"/>
    <x v="0"/>
    <n v="0"/>
    <n v="0"/>
    <n v="0"/>
    <s v="MMR001CMP018"/>
    <x v="0"/>
    <x v="0"/>
    <x v="4"/>
    <n v="7.3664825046040511E-5"/>
    <s v="No"/>
    <m/>
  </r>
  <r>
    <n v="57.533333333333331"/>
    <d v="2012-08-09T00:00:00"/>
    <x v="1"/>
    <s v="UNHCR"/>
    <s v="Kachin"/>
    <s v="Myitkyina"/>
    <s v="Maliyang Baptist Church"/>
    <m/>
    <m/>
    <m/>
    <n v="2"/>
    <n v="1"/>
    <n v="2"/>
    <n v="1"/>
    <n v="1"/>
    <n v="1"/>
    <n v="1"/>
    <m/>
    <m/>
    <m/>
    <m/>
    <m/>
    <m/>
    <m/>
    <n v="0"/>
    <n v="0"/>
    <n v="0"/>
    <n v="0"/>
    <n v="0"/>
    <n v="0"/>
    <n v="0"/>
    <n v="0"/>
    <n v="0"/>
    <n v="0"/>
    <n v="0"/>
    <n v="0"/>
    <n v="0"/>
    <n v="0"/>
    <x v="0"/>
    <n v="0"/>
    <n v="0"/>
    <n v="0"/>
    <s v="MMR001CMP016"/>
    <x v="0"/>
    <x v="0"/>
    <x v="4"/>
    <n v="2.4536264599077437E-5"/>
    <s v="No"/>
    <m/>
  </r>
  <r>
    <n v="57.533333333333331"/>
    <d v="2012-08-09T00:00:00"/>
    <x v="1"/>
    <s v="UNHCR"/>
    <s v="Kachin"/>
    <s v="Myitkyina"/>
    <s v="Maw Hpawng Hka Nan Baptist Church"/>
    <m/>
    <m/>
    <m/>
    <n v="2"/>
    <n v="1"/>
    <n v="2"/>
    <n v="1"/>
    <n v="1"/>
    <n v="1"/>
    <n v="1"/>
    <m/>
    <m/>
    <m/>
    <m/>
    <m/>
    <m/>
    <m/>
    <n v="0"/>
    <n v="0"/>
    <n v="0"/>
    <n v="0"/>
    <n v="0"/>
    <n v="0"/>
    <n v="0"/>
    <n v="0"/>
    <n v="0"/>
    <n v="0"/>
    <n v="0"/>
    <n v="0"/>
    <n v="0"/>
    <n v="0"/>
    <x v="0"/>
    <n v="0"/>
    <n v="0"/>
    <n v="0"/>
    <s v="MMR001CMP020"/>
    <x v="0"/>
    <x v="0"/>
    <x v="4"/>
    <n v="2.4499595756670014E-5"/>
    <s v="No"/>
    <m/>
  </r>
  <r>
    <n v="57.533333333333331"/>
    <d v="2012-08-09T00:00:00"/>
    <x v="1"/>
    <s v="UNHCR"/>
    <s v="Kachin"/>
    <s v="Myitkyina"/>
    <s v="Maw Hpawng Lhaovo Baptist Church"/>
    <m/>
    <m/>
    <m/>
    <n v="10"/>
    <n v="5"/>
    <n v="10"/>
    <n v="5"/>
    <n v="5"/>
    <n v="5"/>
    <n v="5"/>
    <m/>
    <m/>
    <m/>
    <m/>
    <m/>
    <m/>
    <m/>
    <n v="0"/>
    <n v="0"/>
    <n v="0"/>
    <n v="0"/>
    <n v="0"/>
    <n v="0"/>
    <n v="0"/>
    <n v="0"/>
    <n v="0"/>
    <n v="0"/>
    <n v="0"/>
    <n v="0"/>
    <n v="0"/>
    <n v="0"/>
    <x v="0"/>
    <n v="0"/>
    <n v="0"/>
    <n v="0"/>
    <s v="MMR001CMP021"/>
    <x v="0"/>
    <x v="0"/>
    <x v="4"/>
    <n v="1.2249797878335008E-4"/>
    <s v="No"/>
    <m/>
  </r>
  <r>
    <n v="57.533333333333331"/>
    <d v="2012-08-09T00:00:00"/>
    <x v="1"/>
    <s v="UNHCR"/>
    <s v="Kachin"/>
    <s v="Myitkyina"/>
    <s v="Nan Kway St. John Catholic Church"/>
    <m/>
    <m/>
    <m/>
    <n v="42"/>
    <n v="20"/>
    <n v="42"/>
    <n v="20"/>
    <n v="20"/>
    <n v="20"/>
    <n v="20"/>
    <m/>
    <m/>
    <m/>
    <m/>
    <m/>
    <m/>
    <m/>
    <n v="0"/>
    <n v="0"/>
    <n v="0"/>
    <n v="0"/>
    <n v="0"/>
    <n v="0"/>
    <n v="0"/>
    <n v="0"/>
    <n v="0"/>
    <n v="0"/>
    <n v="0"/>
    <n v="0"/>
    <n v="0"/>
    <n v="0"/>
    <x v="0"/>
    <n v="0"/>
    <n v="0"/>
    <n v="0"/>
    <s v="MMR001CMP024"/>
    <x v="0"/>
    <x v="0"/>
    <x v="4"/>
    <n v="4.8888997531105626E-4"/>
    <s v="No"/>
    <m/>
  </r>
  <r>
    <n v="57.533333333333331"/>
    <d v="2012-08-09T00:00:00"/>
    <x v="1"/>
    <s v="UNHCR"/>
    <s v="Kachin"/>
    <s v="Myitkyina"/>
    <s v="Wun Tho Buddhist Monastery"/>
    <m/>
    <m/>
    <m/>
    <n v="10"/>
    <n v="5"/>
    <n v="10"/>
    <n v="5"/>
    <n v="5"/>
    <n v="5"/>
    <n v="5"/>
    <m/>
    <m/>
    <m/>
    <m/>
    <m/>
    <m/>
    <m/>
    <n v="0"/>
    <n v="0"/>
    <n v="0"/>
    <n v="0"/>
    <n v="0"/>
    <n v="0"/>
    <n v="0"/>
    <n v="0"/>
    <n v="0"/>
    <n v="0"/>
    <n v="0"/>
    <n v="0"/>
    <n v="0"/>
    <n v="0"/>
    <x v="0"/>
    <n v="0"/>
    <n v="0"/>
    <n v="0"/>
    <s v="MMR001CMP022"/>
    <x v="0"/>
    <x v="0"/>
    <x v="4"/>
    <n v="1.2195121951219512E-4"/>
    <s v="No"/>
    <m/>
  </r>
  <r>
    <n v="57.6"/>
    <d v="2012-08-07T00:00:00"/>
    <x v="1"/>
    <s v="UNHCR "/>
    <s v="Kachin"/>
    <s v="Mansi"/>
    <s v="Mansi Baptist Church"/>
    <m/>
    <m/>
    <m/>
    <n v="0"/>
    <n v="73"/>
    <n v="0"/>
    <n v="73"/>
    <n v="73"/>
    <n v="73"/>
    <n v="73"/>
    <m/>
    <m/>
    <m/>
    <m/>
    <m/>
    <m/>
    <m/>
    <n v="0"/>
    <n v="0"/>
    <n v="0"/>
    <n v="0"/>
    <n v="0"/>
    <n v="0"/>
    <n v="0"/>
    <n v="0"/>
    <n v="0"/>
    <n v="0"/>
    <n v="0"/>
    <n v="0"/>
    <n v="0"/>
    <n v="0"/>
    <x v="0"/>
    <n v="0"/>
    <n v="0"/>
    <n v="0"/>
    <s v="MMR001CMP066"/>
    <x v="0"/>
    <x v="0"/>
    <x v="4"/>
    <n v="1.7556939801342023E-3"/>
    <s v="No"/>
    <m/>
  </r>
  <r>
    <n v="57.966666666666669"/>
    <d v="2012-07-27T00:00:00"/>
    <x v="1"/>
    <s v="UNHCR"/>
    <s v="Kachin"/>
    <s v="Mogaung"/>
    <s v="Kyun Taw Baptist Church "/>
    <m/>
    <m/>
    <m/>
    <n v="35"/>
    <n v="14"/>
    <n v="35"/>
    <n v="14"/>
    <n v="14"/>
    <n v="14"/>
    <n v="14"/>
    <m/>
    <m/>
    <m/>
    <m/>
    <m/>
    <m/>
    <m/>
    <n v="0"/>
    <n v="0"/>
    <n v="0"/>
    <n v="0"/>
    <n v="0"/>
    <n v="0"/>
    <n v="0"/>
    <n v="0"/>
    <n v="0"/>
    <n v="0"/>
    <n v="0"/>
    <n v="0"/>
    <n v="0"/>
    <n v="0"/>
    <x v="0"/>
    <n v="0"/>
    <n v="0"/>
    <n v="0"/>
    <s v="MMR001CMP078"/>
    <x v="0"/>
    <x v="0"/>
    <x v="4"/>
    <n v="3.4121374603948332E-4"/>
    <s v="No"/>
    <m/>
  </r>
  <r>
    <n v="57.966666666666669"/>
    <d v="2012-07-27T00:00:00"/>
    <x v="1"/>
    <s v="UNHCR"/>
    <s v="Kachin"/>
    <s v="Mohnyin"/>
    <s v="St. Patrick Catholic Church "/>
    <m/>
    <m/>
    <m/>
    <n v="0"/>
    <n v="8"/>
    <n v="0"/>
    <n v="8"/>
    <n v="8"/>
    <n v="8"/>
    <n v="8"/>
    <m/>
    <m/>
    <m/>
    <m/>
    <m/>
    <m/>
    <m/>
    <n v="0"/>
    <n v="0"/>
    <n v="0"/>
    <n v="0"/>
    <n v="0"/>
    <n v="0"/>
    <n v="0"/>
    <n v="0"/>
    <n v="0"/>
    <n v="0"/>
    <n v="0"/>
    <n v="0"/>
    <n v="0"/>
    <n v="0"/>
    <x v="0"/>
    <n v="0"/>
    <n v="0"/>
    <n v="0"/>
    <s v="MMR001CMP080"/>
    <x v="0"/>
    <x v="0"/>
    <x v="4"/>
    <n v="1.9483207910182411E-4"/>
    <s v="No"/>
    <m/>
  </r>
  <r>
    <n v="58"/>
    <d v="2012-07-26T00:00:00"/>
    <x v="1"/>
    <s v="UNHCR"/>
    <s v="Kachin"/>
    <s v="Mogaung"/>
    <s v="Mang Hawng Baptist Church"/>
    <m/>
    <m/>
    <m/>
    <n v="31"/>
    <n v="15"/>
    <n v="31"/>
    <n v="15"/>
    <n v="16"/>
    <n v="16"/>
    <n v="16"/>
    <m/>
    <m/>
    <m/>
    <m/>
    <m/>
    <m/>
    <m/>
    <n v="0"/>
    <n v="0"/>
    <n v="0"/>
    <n v="0"/>
    <n v="0"/>
    <n v="0"/>
    <n v="0"/>
    <n v="0"/>
    <n v="0"/>
    <n v="0"/>
    <n v="0"/>
    <n v="0"/>
    <n v="0"/>
    <n v="0"/>
    <x v="0"/>
    <n v="0"/>
    <n v="0"/>
    <n v="0"/>
    <s v="MMR001CMP077"/>
    <x v="0"/>
    <x v="0"/>
    <x v="4"/>
    <n v="3.6558615647087499E-4"/>
    <s v="No"/>
    <m/>
  </r>
  <r>
    <n v="58"/>
    <d v="2012-07-26T00:00:00"/>
    <x v="1"/>
    <s v="UNHCR"/>
    <s v="Kachin"/>
    <s v="Mogaung"/>
    <s v="Nat Gyi Kone Baptist Church "/>
    <m/>
    <m/>
    <m/>
    <n v="21"/>
    <n v="17"/>
    <n v="21"/>
    <n v="17"/>
    <n v="17"/>
    <n v="17"/>
    <n v="17"/>
    <m/>
    <m/>
    <m/>
    <m/>
    <m/>
    <m/>
    <m/>
    <n v="0"/>
    <n v="0"/>
    <n v="0"/>
    <n v="0"/>
    <n v="0"/>
    <n v="0"/>
    <n v="0"/>
    <n v="0"/>
    <n v="0"/>
    <n v="0"/>
    <n v="0"/>
    <n v="0"/>
    <n v="0"/>
    <n v="0"/>
    <x v="0"/>
    <n v="0"/>
    <n v="0"/>
    <n v="0"/>
    <s v="MMR001CMP079"/>
    <x v="0"/>
    <x v="0"/>
    <x v="4"/>
    <n v="4.1494788742707902E-4"/>
    <s v="No"/>
    <m/>
  </r>
  <r>
    <n v="58.1"/>
    <d v="2012-07-23T00:00:00"/>
    <x v="1"/>
    <s v="UNHCR"/>
    <s v="Kachin"/>
    <s v="Myitkyina"/>
    <s v="Jan Mai Kawng Catholic Church"/>
    <m/>
    <m/>
    <m/>
    <n v="19"/>
    <n v="10"/>
    <n v="19"/>
    <n v="10"/>
    <n v="11"/>
    <n v="11"/>
    <n v="11"/>
    <m/>
    <m/>
    <m/>
    <m/>
    <m/>
    <m/>
    <m/>
    <n v="0"/>
    <n v="0"/>
    <n v="0"/>
    <n v="0"/>
    <n v="0"/>
    <n v="0"/>
    <n v="0"/>
    <n v="0"/>
    <n v="0"/>
    <n v="0"/>
    <n v="0"/>
    <n v="0"/>
    <n v="0"/>
    <n v="0"/>
    <x v="0"/>
    <n v="0"/>
    <n v="0"/>
    <n v="0"/>
    <s v="MMR001CMP019"/>
    <x v="0"/>
    <x v="0"/>
    <x v="4"/>
    <n v="2.4554941682013506E-4"/>
    <s v="No"/>
    <m/>
  </r>
  <r>
    <n v="58.1"/>
    <d v="2012-07-23T00:00:00"/>
    <x v="1"/>
    <s v="UNHCR"/>
    <s v="Kachin"/>
    <s v="Myitkyina"/>
    <s v="Maliyang Baptist Church"/>
    <m/>
    <m/>
    <m/>
    <n v="72"/>
    <n v="39"/>
    <n v="72"/>
    <n v="39"/>
    <n v="39"/>
    <n v="39"/>
    <n v="39"/>
    <m/>
    <m/>
    <m/>
    <m/>
    <m/>
    <m/>
    <m/>
    <n v="0"/>
    <n v="0"/>
    <n v="0"/>
    <n v="0"/>
    <n v="0"/>
    <n v="0"/>
    <n v="0"/>
    <n v="0"/>
    <n v="0"/>
    <n v="0"/>
    <n v="0"/>
    <n v="0"/>
    <n v="0"/>
    <n v="0"/>
    <x v="0"/>
    <n v="0"/>
    <n v="0"/>
    <n v="0"/>
    <s v="MMR001CMP016"/>
    <x v="0"/>
    <x v="0"/>
    <x v="4"/>
    <n v="9.5691431936402005E-4"/>
    <s v="No"/>
    <m/>
  </r>
  <r>
    <n v="58.1"/>
    <d v="2012-07-23T00:00:00"/>
    <x v="1"/>
    <s v="UNHCR"/>
    <s v="Kachin"/>
    <s v="Myitkyina"/>
    <s v="Shatapru Thida Aye Baptist Church"/>
    <m/>
    <m/>
    <m/>
    <n v="30"/>
    <n v="12"/>
    <n v="30"/>
    <n v="12"/>
    <n v="14"/>
    <n v="14"/>
    <n v="14"/>
    <m/>
    <m/>
    <m/>
    <m/>
    <m/>
    <m/>
    <m/>
    <n v="0"/>
    <n v="0"/>
    <n v="0"/>
    <n v="0"/>
    <n v="0"/>
    <n v="0"/>
    <n v="0"/>
    <n v="0"/>
    <n v="0"/>
    <n v="0"/>
    <n v="0"/>
    <n v="0"/>
    <n v="0"/>
    <n v="0"/>
    <x v="0"/>
    <n v="0"/>
    <n v="0"/>
    <n v="0"/>
    <s v="MMR001CMP007"/>
    <x v="0"/>
    <x v="0"/>
    <x v="4"/>
    <n v="2.9333398518663372E-4"/>
    <s v="No"/>
    <m/>
  </r>
  <r>
    <n v="58.1"/>
    <d v="2012-07-23T00:00:00"/>
    <x v="1"/>
    <s v="UNHCR"/>
    <s v="Kachin"/>
    <s v="Myitkyina"/>
    <s v="Tat Kone San Pya Baptist Church"/>
    <m/>
    <m/>
    <m/>
    <n v="24"/>
    <n v="8"/>
    <n v="24"/>
    <n v="8"/>
    <n v="13"/>
    <n v="13"/>
    <n v="13"/>
    <m/>
    <m/>
    <m/>
    <m/>
    <m/>
    <m/>
    <m/>
    <n v="0"/>
    <n v="0"/>
    <n v="0"/>
    <n v="0"/>
    <n v="0"/>
    <n v="0"/>
    <n v="0"/>
    <n v="0"/>
    <n v="0"/>
    <n v="0"/>
    <n v="0"/>
    <n v="0"/>
    <n v="0"/>
    <n v="0"/>
    <x v="0"/>
    <n v="0"/>
    <n v="0"/>
    <n v="0"/>
    <s v="MMR001CMP005"/>
    <x v="0"/>
    <x v="0"/>
    <x v="4"/>
    <n v="1.9599676605336011E-4"/>
    <s v="No"/>
    <m/>
  </r>
  <r>
    <n v="58.233333333333334"/>
    <d v="2012-07-19T00:00:00"/>
    <x v="1"/>
    <s v="UNHCR"/>
    <s v="Kachin"/>
    <s v="Myitkyina"/>
    <s v="Kyun Pin Thar Baptist Church"/>
    <m/>
    <m/>
    <m/>
    <n v="6"/>
    <n v="4"/>
    <n v="6"/>
    <n v="4"/>
    <n v="4"/>
    <n v="4"/>
    <n v="4"/>
    <m/>
    <m/>
    <m/>
    <m/>
    <m/>
    <m/>
    <m/>
    <n v="0"/>
    <n v="0"/>
    <n v="0"/>
    <n v="0"/>
    <n v="0"/>
    <n v="0"/>
    <n v="0"/>
    <n v="0"/>
    <n v="0"/>
    <n v="0"/>
    <n v="0"/>
    <n v="0"/>
    <n v="0"/>
    <n v="0"/>
    <x v="0"/>
    <n v="0"/>
    <n v="0"/>
    <n v="0"/>
    <s v="MMR001CMP013"/>
    <x v="0"/>
    <x v="0"/>
    <x v="4"/>
    <n v="9.7777995062211254E-5"/>
    <s v="No"/>
    <m/>
  </r>
  <r>
    <n v="58.233333333333334"/>
    <d v="2012-07-19T00:00:00"/>
    <x v="1"/>
    <s v="UNHCR"/>
    <s v="Kachin"/>
    <s v="Myitkyina"/>
    <s v="Tat Kone COC Baptist - Tat Kone Htoi San"/>
    <m/>
    <m/>
    <m/>
    <n v="3"/>
    <n v="2"/>
    <n v="3"/>
    <n v="2"/>
    <n v="2"/>
    <n v="2"/>
    <n v="2"/>
    <m/>
    <m/>
    <m/>
    <m/>
    <m/>
    <m/>
    <m/>
    <n v="0"/>
    <n v="0"/>
    <n v="0"/>
    <n v="0"/>
    <n v="0"/>
    <n v="0"/>
    <n v="0"/>
    <n v="0"/>
    <n v="0"/>
    <n v="0"/>
    <n v="0"/>
    <n v="0"/>
    <n v="0"/>
    <n v="0"/>
    <x v="0"/>
    <n v="0"/>
    <n v="0"/>
    <n v="0"/>
    <s v="MMR001CMP023"/>
    <x v="0"/>
    <x v="0"/>
    <x v="4"/>
    <n v="4.8780487804878051E-5"/>
    <s v="No"/>
    <m/>
  </r>
  <r>
    <n v="58.233333333333334"/>
    <d v="2012-07-19T00:00:00"/>
    <x v="1"/>
    <s v="UNHCR"/>
    <s v="Kachin"/>
    <s v="Myitkyina"/>
    <s v="Wun Tho Buddhist Monastery"/>
    <m/>
    <m/>
    <m/>
    <n v="9"/>
    <n v="5"/>
    <n v="9"/>
    <n v="5"/>
    <n v="5"/>
    <n v="5"/>
    <n v="5"/>
    <m/>
    <m/>
    <m/>
    <m/>
    <m/>
    <m/>
    <m/>
    <n v="0"/>
    <n v="0"/>
    <n v="0"/>
    <n v="0"/>
    <n v="0"/>
    <n v="0"/>
    <n v="0"/>
    <n v="0"/>
    <n v="0"/>
    <n v="0"/>
    <n v="0"/>
    <n v="0"/>
    <n v="0"/>
    <n v="0"/>
    <x v="0"/>
    <n v="0"/>
    <n v="0"/>
    <n v="0"/>
    <s v="MMR001CMP022"/>
    <x v="0"/>
    <x v="0"/>
    <x v="4"/>
    <n v="1.2195121951219512E-4"/>
    <s v="No"/>
    <m/>
  </r>
  <r>
    <n v="58.266666666666666"/>
    <d v="2012-07-18T00:00:00"/>
    <x v="2"/>
    <s v="LDO"/>
    <s v="Kachin"/>
    <s v="Momauk"/>
    <s v="Dum Bung "/>
    <n v="33"/>
    <m/>
    <m/>
    <m/>
    <m/>
    <m/>
    <m/>
    <m/>
    <m/>
    <m/>
    <m/>
    <m/>
    <m/>
    <m/>
    <m/>
    <m/>
    <m/>
    <n v="0"/>
    <n v="0"/>
    <n v="0"/>
    <n v="0"/>
    <n v="0"/>
    <n v="0"/>
    <n v="0"/>
    <n v="0"/>
    <n v="0"/>
    <n v="0"/>
    <n v="0"/>
    <n v="0"/>
    <n v="0"/>
    <n v="0"/>
    <x v="0"/>
    <n v="0"/>
    <n v="0"/>
    <n v="0"/>
    <s v="MMR001CMP123"/>
    <x v="0"/>
    <x v="0"/>
    <x v="5"/>
    <n v="0"/>
    <m/>
    <m/>
  </r>
  <r>
    <n v="58.266666666666666"/>
    <d v="2012-07-18T00:00:00"/>
    <x v="1"/>
    <s v="UNHCR"/>
    <s v="Kachin"/>
    <s v="Mansi"/>
    <s v="Mung Ding Pa  (Boarder)"/>
    <m/>
    <m/>
    <m/>
    <n v="170"/>
    <n v="16"/>
    <n v="170"/>
    <n v="85"/>
    <n v="85"/>
    <n v="85"/>
    <n v="85"/>
    <m/>
    <m/>
    <m/>
    <m/>
    <m/>
    <m/>
    <m/>
    <n v="0"/>
    <n v="0"/>
    <n v="0"/>
    <n v="0"/>
    <n v="0"/>
    <n v="0"/>
    <n v="0"/>
    <n v="0"/>
    <n v="0"/>
    <n v="0"/>
    <n v="0"/>
    <n v="0"/>
    <n v="0"/>
    <n v="0"/>
    <x v="0"/>
    <n v="0"/>
    <n v="0"/>
    <n v="0"/>
    <s v="MMR001CMP203"/>
    <x v="0"/>
    <x v="2"/>
    <x v="2"/>
    <n v="2.0685794942931542E-3"/>
    <s v="No"/>
    <m/>
  </r>
  <r>
    <n v="58.266666666666666"/>
    <d v="2012-07-18T00:00:00"/>
    <x v="1"/>
    <s v="UNHCR"/>
    <s v="Kachin"/>
    <s v="Mansi"/>
    <s v="Nam Lim Pa - Scattered IDPs in forest"/>
    <m/>
    <m/>
    <m/>
    <n v="206"/>
    <n v="78"/>
    <n v="206"/>
    <n v="103"/>
    <n v="103"/>
    <n v="103"/>
    <n v="103"/>
    <m/>
    <m/>
    <m/>
    <m/>
    <m/>
    <m/>
    <m/>
    <n v="0"/>
    <n v="0"/>
    <n v="0"/>
    <n v="0"/>
    <n v="0"/>
    <n v="0"/>
    <n v="0"/>
    <n v="0"/>
    <n v="0"/>
    <n v="0"/>
    <n v="0"/>
    <n v="0"/>
    <n v="0"/>
    <n v="0"/>
    <x v="0"/>
    <n v="0"/>
    <n v="0"/>
    <n v="0"/>
    <s v="MMR001CMP137"/>
    <x v="0"/>
    <x v="2"/>
    <x v="2"/>
    <s v=""/>
    <s v="No"/>
    <m/>
  </r>
  <r>
    <n v="58.3"/>
    <d v="2012-07-17T00:00:00"/>
    <x v="1"/>
    <s v="UNHCR"/>
    <s v="Kachin"/>
    <s v="Waingmaw"/>
    <s v="Border Post 8"/>
    <m/>
    <m/>
    <m/>
    <n v="19"/>
    <n v="19"/>
    <n v="19"/>
    <n v="19"/>
    <n v="19"/>
    <n v="19"/>
    <n v="19"/>
    <m/>
    <m/>
    <m/>
    <m/>
    <m/>
    <m/>
    <m/>
    <n v="0"/>
    <n v="0"/>
    <n v="0"/>
    <n v="0"/>
    <n v="0"/>
    <n v="0"/>
    <n v="0"/>
    <n v="0"/>
    <n v="0"/>
    <n v="0"/>
    <n v="0"/>
    <n v="0"/>
    <n v="0"/>
    <n v="0"/>
    <x v="0"/>
    <n v="0"/>
    <n v="0"/>
    <n v="0"/>
    <s v="MMR001CMP113"/>
    <x v="0"/>
    <x v="0"/>
    <x v="3"/>
    <n v="4.6513905209557383E-4"/>
    <s v="No"/>
    <m/>
  </r>
  <r>
    <n v="58.3"/>
    <d v="2012-07-17T00:00:00"/>
    <x v="1"/>
    <s v="UNHCR"/>
    <s v="Kachin"/>
    <s v="Myitkyina"/>
    <s v="Du Kahtawng Qtr. 14"/>
    <m/>
    <m/>
    <m/>
    <n v="5"/>
    <n v="5"/>
    <n v="5"/>
    <n v="5"/>
    <n v="5"/>
    <n v="5"/>
    <n v="5"/>
    <m/>
    <m/>
    <m/>
    <m/>
    <m/>
    <m/>
    <m/>
    <n v="0"/>
    <n v="0"/>
    <n v="0"/>
    <n v="0"/>
    <n v="0"/>
    <n v="0"/>
    <n v="0"/>
    <n v="0"/>
    <n v="0"/>
    <n v="0"/>
    <n v="0"/>
    <n v="0"/>
    <n v="0"/>
    <n v="0"/>
    <x v="0"/>
    <n v="0"/>
    <n v="0"/>
    <n v="0"/>
    <s v="MMR001CMP012"/>
    <x v="0"/>
    <x v="0"/>
    <x v="4"/>
    <n v="1.2286521685710776E-4"/>
    <s v="No"/>
    <m/>
  </r>
  <r>
    <n v="58.3"/>
    <d v="2012-07-17T00:00:00"/>
    <x v="1"/>
    <s v="UNHCR"/>
    <s v="Kachin"/>
    <s v="Myitkyina"/>
    <s v="Du Kahtawng Qtr. 4"/>
    <m/>
    <m/>
    <m/>
    <n v="6"/>
    <n v="6"/>
    <n v="6"/>
    <n v="6"/>
    <n v="6"/>
    <n v="6"/>
    <n v="6"/>
    <m/>
    <m/>
    <m/>
    <m/>
    <m/>
    <m/>
    <m/>
    <n v="0"/>
    <n v="0"/>
    <n v="0"/>
    <n v="0"/>
    <n v="0"/>
    <n v="0"/>
    <n v="0"/>
    <n v="0"/>
    <n v="0"/>
    <n v="0"/>
    <n v="0"/>
    <n v="0"/>
    <n v="0"/>
    <n v="0"/>
    <x v="0"/>
    <n v="0"/>
    <n v="0"/>
    <n v="0"/>
    <s v="MMR001CMP010"/>
    <x v="0"/>
    <x v="0"/>
    <x v="4"/>
    <n v="1.474382602285293E-4"/>
    <s v="No"/>
    <m/>
  </r>
  <r>
    <n v="58.3"/>
    <d v="2012-07-17T00:00:00"/>
    <x v="1"/>
    <s v="UNHCR"/>
    <s v="Kachin"/>
    <s v="Myitkyina"/>
    <s v="Du Kahtawng Qtr. 5"/>
    <m/>
    <m/>
    <m/>
    <n v="6"/>
    <n v="6"/>
    <n v="6"/>
    <n v="6"/>
    <n v="6"/>
    <n v="6"/>
    <n v="6"/>
    <m/>
    <m/>
    <m/>
    <m/>
    <m/>
    <m/>
    <m/>
    <n v="0"/>
    <n v="0"/>
    <n v="0"/>
    <n v="0"/>
    <n v="0"/>
    <n v="0"/>
    <n v="0"/>
    <n v="0"/>
    <n v="0"/>
    <n v="0"/>
    <n v="0"/>
    <n v="0"/>
    <n v="0"/>
    <n v="0"/>
    <x v="0"/>
    <n v="0"/>
    <n v="0"/>
    <n v="0"/>
    <s v="MMR001CMP011"/>
    <x v="0"/>
    <x v="0"/>
    <x v="4"/>
    <n v="1.474382602285293E-4"/>
    <s v="No"/>
    <m/>
  </r>
  <r>
    <n v="58.3"/>
    <d v="2012-07-17T00:00:00"/>
    <x v="1"/>
    <s v="UNHCR"/>
    <s v="Kachin"/>
    <s v="Momauk"/>
    <s v="Dum Bung "/>
    <m/>
    <m/>
    <m/>
    <n v="380"/>
    <n v="156"/>
    <n v="380"/>
    <n v="156"/>
    <n v="156"/>
    <n v="156"/>
    <n v="156"/>
    <m/>
    <m/>
    <m/>
    <m/>
    <m/>
    <m/>
    <m/>
    <n v="0"/>
    <n v="0"/>
    <n v="0"/>
    <n v="0"/>
    <n v="0"/>
    <n v="0"/>
    <n v="0"/>
    <n v="0"/>
    <n v="0"/>
    <n v="0"/>
    <n v="0"/>
    <n v="0"/>
    <n v="0"/>
    <n v="0"/>
    <x v="0"/>
    <n v="0"/>
    <n v="0"/>
    <n v="0"/>
    <s v="MMR001CMP123"/>
    <x v="0"/>
    <x v="0"/>
    <x v="5"/>
    <n v="3.8276572774560802E-3"/>
    <s v="No"/>
    <m/>
  </r>
  <r>
    <n v="58.3"/>
    <d v="2012-07-17T00:00:00"/>
    <x v="1"/>
    <s v="UNHCR"/>
    <s v="Kachin"/>
    <s v="Momauk"/>
    <s v="Hpun Lum Yang "/>
    <m/>
    <m/>
    <m/>
    <n v="0"/>
    <n v="0"/>
    <n v="0"/>
    <n v="0"/>
    <n v="0"/>
    <m/>
    <m/>
    <m/>
    <m/>
    <m/>
    <m/>
    <m/>
    <m/>
    <m/>
    <n v="0"/>
    <n v="0"/>
    <n v="0"/>
    <n v="0"/>
    <n v="0"/>
    <n v="0"/>
    <n v="0"/>
    <n v="0"/>
    <n v="0"/>
    <n v="0"/>
    <n v="0"/>
    <n v="0"/>
    <n v="0"/>
    <n v="0"/>
    <x v="0"/>
    <n v="0"/>
    <n v="0"/>
    <n v="0"/>
    <s v="MMR001CMP122"/>
    <x v="0"/>
    <x v="0"/>
    <x v="5"/>
    <n v="0"/>
    <s v="No"/>
    <m/>
  </r>
  <r>
    <n v="58.3"/>
    <d v="2012-07-17T00:00:00"/>
    <x v="1"/>
    <s v="UNHCR"/>
    <s v="Kachin"/>
    <s v="Myitkyina"/>
    <s v="Jan Mai Kawng Baptist Church"/>
    <m/>
    <m/>
    <m/>
    <n v="21"/>
    <n v="21"/>
    <n v="21"/>
    <n v="21"/>
    <n v="21"/>
    <n v="21"/>
    <n v="21"/>
    <m/>
    <m/>
    <m/>
    <m/>
    <m/>
    <m/>
    <m/>
    <n v="0"/>
    <n v="0"/>
    <n v="0"/>
    <n v="0"/>
    <n v="0"/>
    <n v="0"/>
    <n v="0"/>
    <n v="0"/>
    <n v="0"/>
    <n v="0"/>
    <n v="0"/>
    <n v="0"/>
    <n v="0"/>
    <n v="0"/>
    <x v="0"/>
    <n v="0"/>
    <n v="0"/>
    <n v="0"/>
    <s v="MMR001CMP018"/>
    <x v="0"/>
    <x v="0"/>
    <x v="4"/>
    <n v="5.1565377532228362E-4"/>
    <s v="No"/>
    <m/>
  </r>
  <r>
    <n v="58.3"/>
    <d v="2012-07-17T00:00:00"/>
    <x v="1"/>
    <s v="UNHCR"/>
    <s v="Kachin"/>
    <s v="Momauk"/>
    <s v="Loi Je Lisu Camp"/>
    <m/>
    <m/>
    <m/>
    <n v="0"/>
    <n v="0"/>
    <n v="0"/>
    <n v="0"/>
    <n v="0"/>
    <m/>
    <m/>
    <m/>
    <m/>
    <m/>
    <m/>
    <m/>
    <m/>
    <m/>
    <n v="0"/>
    <n v="0"/>
    <n v="0"/>
    <n v="0"/>
    <n v="0"/>
    <n v="0"/>
    <n v="0"/>
    <n v="0"/>
    <n v="0"/>
    <n v="0"/>
    <n v="0"/>
    <n v="0"/>
    <n v="0"/>
    <n v="0"/>
    <x v="0"/>
    <n v="0"/>
    <n v="0"/>
    <n v="0"/>
    <s v="MMR001CMP070"/>
    <x v="0"/>
    <x v="0"/>
    <x v="0"/>
    <n v="0"/>
    <s v="No"/>
    <m/>
  </r>
  <r>
    <n v="58.3"/>
    <d v="2012-07-17T00:00:00"/>
    <x v="1"/>
    <s v="UNHCR"/>
    <s v="Kachin"/>
    <s v="Momauk"/>
    <s v="Mai Khat "/>
    <m/>
    <m/>
    <m/>
    <n v="0"/>
    <n v="0"/>
    <n v="0"/>
    <n v="0"/>
    <n v="0"/>
    <m/>
    <m/>
    <m/>
    <m/>
    <m/>
    <m/>
    <m/>
    <m/>
    <m/>
    <n v="0"/>
    <n v="0"/>
    <n v="0"/>
    <n v="0"/>
    <n v="0"/>
    <n v="0"/>
    <n v="0"/>
    <n v="0"/>
    <n v="0"/>
    <n v="0"/>
    <n v="0"/>
    <n v="0"/>
    <n v="0"/>
    <n v="0"/>
    <x v="0"/>
    <n v="0"/>
    <n v="0"/>
    <n v="0"/>
    <s v="MMR001CMP064"/>
    <x v="0"/>
    <x v="2"/>
    <x v="4"/>
    <s v=""/>
    <s v="No"/>
    <m/>
  </r>
  <r>
    <n v="58.3"/>
    <d v="2012-07-17T00:00:00"/>
    <x v="1"/>
    <s v="UNHCR"/>
    <s v="Kachin"/>
    <s v="Momauk"/>
    <s v="Mai Khat "/>
    <m/>
    <m/>
    <m/>
    <n v="0"/>
    <n v="0"/>
    <n v="0"/>
    <n v="0"/>
    <n v="0"/>
    <m/>
    <m/>
    <m/>
    <m/>
    <m/>
    <m/>
    <m/>
    <m/>
    <m/>
    <n v="0"/>
    <n v="0"/>
    <n v="0"/>
    <n v="0"/>
    <n v="0"/>
    <n v="0"/>
    <n v="0"/>
    <n v="0"/>
    <n v="0"/>
    <n v="0"/>
    <n v="0"/>
    <n v="0"/>
    <n v="0"/>
    <n v="0"/>
    <x v="0"/>
    <n v="0"/>
    <n v="0"/>
    <n v="0"/>
    <s v="MMR001CMP064"/>
    <x v="0"/>
    <x v="2"/>
    <x v="4"/>
    <s v=""/>
    <s v="No"/>
    <m/>
  </r>
  <r>
    <n v="58.3"/>
    <d v="2012-07-17T00:00:00"/>
    <x v="1"/>
    <s v="UNHCR"/>
    <s v="Kachin"/>
    <s v="Mansi"/>
    <s v="Man Wing Baptist Church"/>
    <m/>
    <m/>
    <m/>
    <n v="0"/>
    <n v="0"/>
    <n v="0"/>
    <n v="0"/>
    <n v="0"/>
    <m/>
    <m/>
    <m/>
    <m/>
    <m/>
    <m/>
    <m/>
    <m/>
    <m/>
    <n v="0"/>
    <n v="0"/>
    <n v="0"/>
    <n v="0"/>
    <n v="0"/>
    <n v="0"/>
    <n v="0"/>
    <n v="0"/>
    <n v="0"/>
    <n v="0"/>
    <n v="0"/>
    <n v="0"/>
    <n v="0"/>
    <n v="0"/>
    <x v="0"/>
    <n v="0"/>
    <n v="0"/>
    <n v="0"/>
    <s v="MMR001CMP133"/>
    <x v="0"/>
    <x v="0"/>
    <x v="4"/>
    <n v="0"/>
    <s v="No"/>
    <m/>
  </r>
  <r>
    <n v="58.3"/>
    <d v="2012-07-17T00:00:00"/>
    <x v="1"/>
    <s v="UNHCR"/>
    <s v="Kachin"/>
    <s v="Myitkyina"/>
    <s v="Maw Hpawng Hka Nan Baptist Church"/>
    <m/>
    <m/>
    <m/>
    <n v="0"/>
    <n v="0"/>
    <n v="0"/>
    <n v="0"/>
    <n v="0"/>
    <m/>
    <m/>
    <m/>
    <m/>
    <m/>
    <m/>
    <m/>
    <m/>
    <m/>
    <n v="0"/>
    <n v="0"/>
    <n v="0"/>
    <n v="0"/>
    <n v="0"/>
    <n v="0"/>
    <n v="0"/>
    <n v="0"/>
    <n v="0"/>
    <n v="0"/>
    <n v="0"/>
    <n v="0"/>
    <n v="0"/>
    <n v="0"/>
    <x v="0"/>
    <n v="0"/>
    <n v="0"/>
    <n v="0"/>
    <s v="MMR001CMP020"/>
    <x v="0"/>
    <x v="0"/>
    <x v="4"/>
    <n v="0"/>
    <s v="No"/>
    <m/>
  </r>
  <r>
    <n v="58.3"/>
    <d v="2012-07-17T00:00:00"/>
    <x v="1"/>
    <s v="UNHCR"/>
    <s v="Kachin"/>
    <s v="Myitkyina"/>
    <s v="Maw Hpawng Hka Nan Baptist Church"/>
    <m/>
    <m/>
    <m/>
    <n v="19"/>
    <n v="19"/>
    <n v="19"/>
    <n v="19"/>
    <n v="19"/>
    <n v="19"/>
    <n v="19"/>
    <m/>
    <m/>
    <m/>
    <m/>
    <m/>
    <m/>
    <m/>
    <n v="0"/>
    <n v="0"/>
    <n v="0"/>
    <n v="0"/>
    <n v="0"/>
    <n v="0"/>
    <n v="0"/>
    <n v="0"/>
    <n v="0"/>
    <n v="0"/>
    <n v="0"/>
    <n v="0"/>
    <n v="0"/>
    <n v="0"/>
    <x v="0"/>
    <n v="0"/>
    <n v="0"/>
    <n v="0"/>
    <s v="MMR001CMP020"/>
    <x v="0"/>
    <x v="0"/>
    <x v="4"/>
    <n v="4.6549231937673027E-4"/>
    <s v="No"/>
    <m/>
  </r>
  <r>
    <n v="58.3"/>
    <d v="2012-07-17T00:00:00"/>
    <x v="1"/>
    <s v="UNHCR"/>
    <s v="Kachin"/>
    <s v="Myitkyina"/>
    <s v="Nan Kway St. John Catholic Church"/>
    <m/>
    <m/>
    <m/>
    <n v="6"/>
    <n v="6"/>
    <n v="6"/>
    <n v="6"/>
    <n v="6"/>
    <n v="6"/>
    <n v="6"/>
    <m/>
    <m/>
    <m/>
    <m/>
    <m/>
    <m/>
    <m/>
    <n v="0"/>
    <n v="0"/>
    <n v="0"/>
    <n v="0"/>
    <n v="0"/>
    <n v="0"/>
    <n v="0"/>
    <n v="0"/>
    <n v="0"/>
    <n v="0"/>
    <n v="0"/>
    <n v="0"/>
    <n v="0"/>
    <n v="0"/>
    <x v="0"/>
    <n v="0"/>
    <n v="0"/>
    <n v="0"/>
    <s v="MMR001CMP024"/>
    <x v="0"/>
    <x v="0"/>
    <x v="4"/>
    <n v="1.4666699259331686E-4"/>
    <s v="No"/>
    <m/>
  </r>
  <r>
    <n v="58.3"/>
    <d v="2012-07-17T00:00:00"/>
    <x v="1"/>
    <s v="UNHCR"/>
    <s v="Kachin"/>
    <s v="Momauk"/>
    <s v="Pa Kahtawng "/>
    <m/>
    <m/>
    <m/>
    <n v="0"/>
    <n v="0"/>
    <n v="0"/>
    <n v="0"/>
    <n v="0"/>
    <m/>
    <m/>
    <m/>
    <m/>
    <m/>
    <m/>
    <m/>
    <m/>
    <m/>
    <n v="0"/>
    <n v="0"/>
    <n v="0"/>
    <n v="0"/>
    <n v="0"/>
    <n v="0"/>
    <n v="0"/>
    <n v="0"/>
    <n v="0"/>
    <n v="0"/>
    <n v="0"/>
    <n v="0"/>
    <n v="0"/>
    <n v="0"/>
    <x v="0"/>
    <n v="0"/>
    <n v="0"/>
    <n v="0"/>
    <s v="MMR001CMP126"/>
    <x v="0"/>
    <x v="0"/>
    <x v="5"/>
    <n v="0"/>
    <s v="No"/>
    <m/>
  </r>
  <r>
    <n v="58.3"/>
    <d v="2012-07-17T00:00:00"/>
    <x v="1"/>
    <s v="UNHCR"/>
    <s v="Kachin"/>
    <s v="Momauk"/>
    <s v="Pa Kahtawng "/>
    <m/>
    <m/>
    <m/>
    <n v="0"/>
    <n v="0"/>
    <n v="0"/>
    <n v="0"/>
    <n v="0"/>
    <m/>
    <m/>
    <m/>
    <m/>
    <m/>
    <m/>
    <m/>
    <m/>
    <m/>
    <n v="0"/>
    <n v="0"/>
    <n v="0"/>
    <n v="0"/>
    <n v="0"/>
    <n v="0"/>
    <n v="0"/>
    <n v="0"/>
    <n v="0"/>
    <n v="0"/>
    <n v="0"/>
    <n v="0"/>
    <n v="0"/>
    <n v="0"/>
    <x v="0"/>
    <n v="0"/>
    <n v="0"/>
    <n v="0"/>
    <s v="MMR001CMP126"/>
    <x v="0"/>
    <x v="0"/>
    <x v="5"/>
    <n v="0"/>
    <s v="No"/>
    <m/>
  </r>
  <r>
    <n v="58.3"/>
    <d v="2012-07-17T00:00:00"/>
    <x v="1"/>
    <s v="UNHCR"/>
    <s v="Kachin"/>
    <s v="Myitkyina"/>
    <s v="Shatapru Thida Aye Baptist Church"/>
    <m/>
    <m/>
    <m/>
    <n v="3"/>
    <n v="3"/>
    <n v="3"/>
    <n v="3"/>
    <n v="3"/>
    <n v="3"/>
    <n v="3"/>
    <m/>
    <m/>
    <m/>
    <m/>
    <m/>
    <m/>
    <m/>
    <n v="0"/>
    <n v="0"/>
    <n v="0"/>
    <n v="0"/>
    <n v="0"/>
    <n v="0"/>
    <n v="0"/>
    <n v="0"/>
    <n v="0"/>
    <n v="0"/>
    <n v="0"/>
    <n v="0"/>
    <n v="0"/>
    <n v="0"/>
    <x v="0"/>
    <n v="0"/>
    <n v="0"/>
    <n v="0"/>
    <s v="MMR001CMP007"/>
    <x v="0"/>
    <x v="0"/>
    <x v="4"/>
    <n v="7.333349629665843E-5"/>
    <s v="No"/>
    <m/>
  </r>
  <r>
    <n v="58.3"/>
    <d v="2012-07-17T00:00:00"/>
    <x v="1"/>
    <s v="UNHCR"/>
    <s v="Kachin"/>
    <s v="Myitkyina"/>
    <s v="Tat Kone Galile Baptist Church"/>
    <m/>
    <m/>
    <m/>
    <n v="7"/>
    <n v="7"/>
    <n v="7"/>
    <n v="7"/>
    <n v="7"/>
    <n v="7"/>
    <n v="7"/>
    <m/>
    <m/>
    <m/>
    <m/>
    <m/>
    <m/>
    <m/>
    <n v="0"/>
    <n v="0"/>
    <n v="0"/>
    <n v="0"/>
    <n v="0"/>
    <n v="0"/>
    <n v="0"/>
    <n v="0"/>
    <n v="0"/>
    <n v="0"/>
    <n v="0"/>
    <n v="0"/>
    <n v="0"/>
    <n v="0"/>
    <x v="0"/>
    <n v="0"/>
    <n v="0"/>
    <n v="0"/>
    <s v="MMR001CMP003"/>
    <x v="0"/>
    <x v="0"/>
    <x v="4"/>
    <n v="1.7188459177409454E-4"/>
    <s v="No"/>
    <m/>
  </r>
  <r>
    <n v="58.3"/>
    <d v="2012-07-17T00:00:00"/>
    <x v="1"/>
    <s v="UNHCR"/>
    <s v="Kachin"/>
    <s v="Mansi"/>
    <s v="Lung Kawk  ( Hka Hkye Zup)"/>
    <m/>
    <m/>
    <m/>
    <n v="0"/>
    <n v="0"/>
    <n v="0"/>
    <n v="0"/>
    <n v="0"/>
    <m/>
    <m/>
    <m/>
    <m/>
    <m/>
    <m/>
    <m/>
    <m/>
    <m/>
    <n v="0"/>
    <n v="0"/>
    <n v="0"/>
    <n v="0"/>
    <n v="0"/>
    <n v="0"/>
    <n v="0"/>
    <n v="0"/>
    <n v="0"/>
    <n v="0"/>
    <n v="0"/>
    <n v="0"/>
    <n v="0"/>
    <n v="0"/>
    <x v="0"/>
    <n v="0"/>
    <n v="0"/>
    <n v="0"/>
    <s v="MMR001CMP135"/>
    <x v="0"/>
    <x v="2"/>
    <x v="5"/>
    <n v="0"/>
    <s v="No"/>
    <m/>
  </r>
  <r>
    <n v="58.3"/>
    <d v="2012-07-17T00:00:00"/>
    <x v="1"/>
    <s v="UNHCR"/>
    <s v="Kachin"/>
    <s v="Waingmaw"/>
    <s v="Moke Lwe Village - Hkar Shi"/>
    <m/>
    <m/>
    <m/>
    <n v="0"/>
    <n v="0"/>
    <n v="0"/>
    <n v="0"/>
    <n v="0"/>
    <m/>
    <m/>
    <m/>
    <m/>
    <m/>
    <m/>
    <m/>
    <m/>
    <m/>
    <n v="0"/>
    <n v="0"/>
    <n v="0"/>
    <n v="0"/>
    <n v="0"/>
    <n v="0"/>
    <n v="0"/>
    <n v="0"/>
    <n v="0"/>
    <n v="0"/>
    <n v="0"/>
    <n v="0"/>
    <n v="0"/>
    <n v="0"/>
    <x v="0"/>
    <n v="0"/>
    <n v="0"/>
    <n v="0"/>
    <s v="MMR001CMP035"/>
    <x v="0"/>
    <x v="2"/>
    <x v="2"/>
    <s v=""/>
    <s v="No"/>
    <m/>
  </r>
  <r>
    <n v="58.333333333333336"/>
    <d v="2012-07-16T00:00:00"/>
    <x v="1"/>
    <s v="UNHCR"/>
    <s v="Kachin"/>
    <s v="Myitkyina"/>
    <s v="Kyun Pin Thar Baptist Church"/>
    <m/>
    <m/>
    <m/>
    <n v="33"/>
    <n v="33"/>
    <n v="33"/>
    <n v="33"/>
    <n v="33"/>
    <n v="33"/>
    <n v="33"/>
    <m/>
    <m/>
    <m/>
    <m/>
    <m/>
    <m/>
    <m/>
    <n v="0"/>
    <n v="0"/>
    <n v="0"/>
    <n v="0"/>
    <n v="0"/>
    <n v="0"/>
    <n v="0"/>
    <n v="0"/>
    <n v="0"/>
    <n v="0"/>
    <n v="0"/>
    <n v="0"/>
    <n v="0"/>
    <n v="0"/>
    <x v="0"/>
    <n v="0"/>
    <n v="0"/>
    <n v="0"/>
    <s v="MMR001CMP013"/>
    <x v="0"/>
    <x v="0"/>
    <x v="4"/>
    <n v="8.0666845926324286E-4"/>
    <s v="No"/>
    <m/>
  </r>
  <r>
    <n v="58.333333333333336"/>
    <d v="2012-07-16T00:00:00"/>
    <x v="1"/>
    <s v="UNHCR"/>
    <s v="Kachin"/>
    <s v="Myitkyina"/>
    <s v="Le Kone Bethlehem Church"/>
    <m/>
    <m/>
    <m/>
    <n v="6"/>
    <n v="6"/>
    <n v="6"/>
    <n v="6"/>
    <n v="6"/>
    <n v="6"/>
    <n v="6"/>
    <m/>
    <m/>
    <m/>
    <m/>
    <m/>
    <m/>
    <m/>
    <n v="0"/>
    <n v="0"/>
    <n v="0"/>
    <n v="0"/>
    <n v="0"/>
    <n v="0"/>
    <n v="0"/>
    <n v="0"/>
    <n v="0"/>
    <n v="0"/>
    <n v="0"/>
    <n v="0"/>
    <n v="0"/>
    <n v="0"/>
    <x v="0"/>
    <n v="0"/>
    <n v="0"/>
    <n v="0"/>
    <s v="MMR001CMP015"/>
    <x v="0"/>
    <x v="0"/>
    <x v="4"/>
    <n v="1.4777233209368765E-4"/>
    <s v="No"/>
    <m/>
  </r>
  <r>
    <n v="58.333333333333336"/>
    <d v="2012-07-16T00:00:00"/>
    <x v="1"/>
    <s v="UNHCR"/>
    <s v="Kachin"/>
    <s v="Myitkyina"/>
    <s v="Le Kone Bethlehem Church"/>
    <m/>
    <m/>
    <m/>
    <n v="13"/>
    <n v="13"/>
    <n v="13"/>
    <n v="13"/>
    <n v="13"/>
    <n v="13"/>
    <n v="13"/>
    <m/>
    <m/>
    <m/>
    <m/>
    <m/>
    <m/>
    <m/>
    <n v="0"/>
    <n v="0"/>
    <n v="0"/>
    <n v="0"/>
    <n v="0"/>
    <n v="0"/>
    <n v="0"/>
    <n v="0"/>
    <n v="0"/>
    <n v="0"/>
    <n v="0"/>
    <n v="0"/>
    <n v="0"/>
    <n v="0"/>
    <x v="0"/>
    <n v="0"/>
    <n v="0"/>
    <n v="0"/>
    <s v="MMR001CMP015"/>
    <x v="0"/>
    <x v="0"/>
    <x v="4"/>
    <n v="3.2017338620298993E-4"/>
    <s v="No"/>
    <m/>
  </r>
  <r>
    <n v="58.333333333333336"/>
    <d v="2012-07-16T00:00:00"/>
    <x v="1"/>
    <s v="UNHCR"/>
    <s v="Kachin"/>
    <s v="Myitkyina"/>
    <s v="Le Kone Ziun Baptist Church "/>
    <m/>
    <m/>
    <m/>
    <n v="50"/>
    <n v="50"/>
    <n v="50"/>
    <n v="50"/>
    <n v="50"/>
    <n v="50"/>
    <n v="50"/>
    <m/>
    <m/>
    <m/>
    <m/>
    <m/>
    <m/>
    <m/>
    <n v="0"/>
    <n v="0"/>
    <n v="0"/>
    <n v="0"/>
    <n v="0"/>
    <n v="0"/>
    <n v="0"/>
    <n v="0"/>
    <n v="0"/>
    <n v="0"/>
    <n v="0"/>
    <n v="0"/>
    <n v="0"/>
    <n v="0"/>
    <x v="0"/>
    <n v="0"/>
    <n v="0"/>
    <n v="0"/>
    <s v="MMR001CMP014"/>
    <x v="0"/>
    <x v="0"/>
    <x v="4"/>
    <n v="1.2286521685710775E-3"/>
    <s v="No"/>
    <m/>
  </r>
  <r>
    <n v="58.333333333333336"/>
    <d v="2012-07-16T00:00:00"/>
    <x v="1"/>
    <s v="UNHCR"/>
    <s v="Kachin"/>
    <s v="Myitkyina"/>
    <s v="Maliyang Baptist Church"/>
    <m/>
    <m/>
    <m/>
    <n v="3"/>
    <n v="3"/>
    <n v="3"/>
    <n v="3"/>
    <n v="3"/>
    <n v="3"/>
    <n v="3"/>
    <m/>
    <m/>
    <m/>
    <m/>
    <m/>
    <m/>
    <m/>
    <n v="0"/>
    <n v="0"/>
    <n v="0"/>
    <n v="0"/>
    <n v="0"/>
    <n v="0"/>
    <n v="0"/>
    <n v="0"/>
    <n v="0"/>
    <n v="0"/>
    <n v="0"/>
    <n v="0"/>
    <n v="0"/>
    <n v="0"/>
    <x v="0"/>
    <n v="0"/>
    <n v="0"/>
    <n v="0"/>
    <s v="MMR001CMP016"/>
    <x v="0"/>
    <x v="0"/>
    <x v="4"/>
    <n v="7.3608793797232309E-5"/>
    <s v="No"/>
    <m/>
  </r>
  <r>
    <n v="58.333333333333336"/>
    <d v="2012-07-16T00:00:00"/>
    <x v="1"/>
    <s v="UNHCR"/>
    <s v="Kachin"/>
    <s v="Myitkyina"/>
    <s v="Njang Dung Baptist Church "/>
    <m/>
    <m/>
    <m/>
    <n v="25"/>
    <n v="25"/>
    <n v="25"/>
    <n v="25"/>
    <n v="25"/>
    <n v="25"/>
    <n v="25"/>
    <m/>
    <m/>
    <m/>
    <m/>
    <m/>
    <m/>
    <m/>
    <n v="0"/>
    <n v="0"/>
    <n v="0"/>
    <n v="0"/>
    <n v="0"/>
    <n v="0"/>
    <n v="0"/>
    <n v="0"/>
    <n v="0"/>
    <n v="0"/>
    <n v="0"/>
    <n v="0"/>
    <n v="0"/>
    <n v="0"/>
    <x v="0"/>
    <n v="0"/>
    <n v="0"/>
    <n v="0"/>
    <s v="MMR001CMP002"/>
    <x v="0"/>
    <x v="0"/>
    <x v="4"/>
    <n v="6.1432608428553873E-4"/>
    <s v="No"/>
    <m/>
  </r>
  <r>
    <n v="58.43333333333333"/>
    <d v="2012-07-13T00:00:00"/>
    <x v="1"/>
    <s v="UNHCR"/>
    <s v="Kachin"/>
    <s v="Waingmaw"/>
    <s v="Hkat Cho "/>
    <m/>
    <m/>
    <m/>
    <n v="9"/>
    <n v="9"/>
    <n v="9"/>
    <n v="9"/>
    <n v="9"/>
    <n v="9"/>
    <n v="9"/>
    <m/>
    <m/>
    <m/>
    <m/>
    <m/>
    <m/>
    <m/>
    <n v="0"/>
    <n v="0"/>
    <n v="0"/>
    <n v="0"/>
    <n v="0"/>
    <n v="0"/>
    <n v="0"/>
    <n v="0"/>
    <n v="0"/>
    <n v="0"/>
    <n v="0"/>
    <n v="0"/>
    <n v="0"/>
    <n v="0"/>
    <x v="0"/>
    <n v="0"/>
    <n v="0"/>
    <n v="0"/>
    <s v="MMR001CMP028"/>
    <x v="0"/>
    <x v="0"/>
    <x v="4"/>
    <n v="2.2115739034279396E-4"/>
    <s v="No"/>
    <m/>
  </r>
  <r>
    <n v="58.43333333333333"/>
    <d v="2012-07-13T00:00:00"/>
    <x v="1"/>
    <s v="UNHCR"/>
    <s v="Kachin"/>
    <s v="Waingmaw"/>
    <s v="Maina Lawang Baptist Church"/>
    <m/>
    <m/>
    <m/>
    <n v="6"/>
    <n v="6"/>
    <n v="6"/>
    <n v="6"/>
    <n v="6"/>
    <n v="6"/>
    <n v="6"/>
    <m/>
    <m/>
    <m/>
    <m/>
    <m/>
    <m/>
    <m/>
    <n v="0"/>
    <n v="0"/>
    <n v="0"/>
    <n v="0"/>
    <n v="0"/>
    <n v="0"/>
    <n v="0"/>
    <n v="0"/>
    <n v="0"/>
    <n v="0"/>
    <n v="0"/>
    <n v="0"/>
    <n v="0"/>
    <n v="0"/>
    <x v="0"/>
    <n v="0"/>
    <n v="0"/>
    <n v="0"/>
    <s v="MMR001CMP039"/>
    <x v="0"/>
    <x v="0"/>
    <x v="4"/>
    <n v="1.4677821811243211E-4"/>
    <s v="No"/>
    <m/>
  </r>
  <r>
    <n v="58.43333333333333"/>
    <d v="2012-07-13T00:00:00"/>
    <x v="1"/>
    <s v="UNHCR"/>
    <s v="Kachin"/>
    <s v="Waingmaw"/>
    <s v="Qtr. 2 Lhaovo Baptist Church"/>
    <m/>
    <m/>
    <m/>
    <n v="13"/>
    <n v="13"/>
    <n v="13"/>
    <n v="13"/>
    <n v="13"/>
    <n v="13"/>
    <n v="13"/>
    <m/>
    <m/>
    <m/>
    <m/>
    <m/>
    <m/>
    <m/>
    <n v="0"/>
    <n v="0"/>
    <n v="0"/>
    <n v="0"/>
    <n v="0"/>
    <n v="0"/>
    <n v="0"/>
    <n v="0"/>
    <n v="0"/>
    <n v="0"/>
    <n v="0"/>
    <n v="0"/>
    <n v="0"/>
    <n v="0"/>
    <x v="0"/>
    <n v="0"/>
    <n v="0"/>
    <n v="0"/>
    <s v="MMR001CMP032"/>
    <x v="0"/>
    <x v="0"/>
    <x v="4"/>
    <n v="3.1921424186617559E-4"/>
    <s v="No"/>
    <m/>
  </r>
  <r>
    <n v="58.43333333333333"/>
    <d v="2012-07-13T00:00:00"/>
    <x v="1"/>
    <s v="UNHCR"/>
    <s v="Kachin"/>
    <s v="Waingmaw"/>
    <s v="Qtr. 4 Monestry (Thargaya Thayett Taw)"/>
    <m/>
    <m/>
    <m/>
    <n v="3"/>
    <n v="3"/>
    <n v="3"/>
    <n v="3"/>
    <n v="3"/>
    <n v="3"/>
    <n v="3"/>
    <m/>
    <m/>
    <m/>
    <m/>
    <m/>
    <m/>
    <m/>
    <n v="0"/>
    <n v="0"/>
    <n v="0"/>
    <n v="0"/>
    <n v="0"/>
    <n v="0"/>
    <n v="0"/>
    <n v="0"/>
    <n v="0"/>
    <n v="0"/>
    <n v="0"/>
    <n v="0"/>
    <n v="0"/>
    <n v="0"/>
    <x v="0"/>
    <n v="0"/>
    <n v="0"/>
    <n v="0"/>
    <s v="MMR001CMP026"/>
    <x v="0"/>
    <x v="0"/>
    <x v="4"/>
    <n v="7.3277967757694182E-5"/>
    <s v="No"/>
    <m/>
  </r>
  <r>
    <n v="58.43333333333333"/>
    <d v="2012-07-13T00:00:00"/>
    <x v="1"/>
    <s v="UNHCR"/>
    <s v="Kachin"/>
    <s v="Waingmaw"/>
    <s v="Thargaya Lisu Baptist Church"/>
    <m/>
    <m/>
    <m/>
    <n v="8"/>
    <n v="8"/>
    <n v="8"/>
    <n v="8"/>
    <n v="8"/>
    <n v="8"/>
    <n v="8"/>
    <m/>
    <m/>
    <m/>
    <m/>
    <m/>
    <m/>
    <m/>
    <n v="0"/>
    <n v="0"/>
    <n v="0"/>
    <n v="0"/>
    <n v="0"/>
    <n v="0"/>
    <n v="0"/>
    <n v="0"/>
    <n v="0"/>
    <n v="0"/>
    <n v="0"/>
    <n v="0"/>
    <n v="0"/>
    <n v="0"/>
    <x v="0"/>
    <n v="0"/>
    <n v="0"/>
    <n v="0"/>
    <s v="MMR001CMP037"/>
    <x v="0"/>
    <x v="0"/>
    <x v="4"/>
    <n v="1.9584802193497845E-4"/>
    <s v="No"/>
    <m/>
  </r>
  <r>
    <n v="58.43333333333333"/>
    <d v="2012-07-13T00:00:00"/>
    <x v="1"/>
    <s v="UNHCR"/>
    <s v="Kachin"/>
    <s v="Waingmaw"/>
    <s v="Waingmaw Baptist Zonal Office"/>
    <m/>
    <m/>
    <m/>
    <n v="2"/>
    <n v="2"/>
    <n v="2"/>
    <n v="2"/>
    <n v="2"/>
    <n v="2"/>
    <n v="2"/>
    <m/>
    <m/>
    <m/>
    <m/>
    <m/>
    <m/>
    <m/>
    <n v="0"/>
    <n v="0"/>
    <n v="0"/>
    <n v="0"/>
    <n v="0"/>
    <n v="0"/>
    <n v="0"/>
    <n v="0"/>
    <n v="0"/>
    <n v="0"/>
    <n v="0"/>
    <n v="0"/>
    <n v="0"/>
    <n v="0"/>
    <x v="0"/>
    <n v="0"/>
    <n v="0"/>
    <n v="0"/>
    <s v="MMR001CMP036"/>
    <x v="0"/>
    <x v="2"/>
    <x v="4"/>
    <n v="4.8962005483744613E-5"/>
    <s v="No"/>
    <m/>
  </r>
  <r>
    <n v="58.533333333333331"/>
    <d v="2012-07-10T00:00:00"/>
    <x v="1"/>
    <s v="KMSS"/>
    <s v="Kachin"/>
    <s v="Waingmaw"/>
    <s v="Maga Yang "/>
    <m/>
    <m/>
    <m/>
    <n v="0"/>
    <n v="599"/>
    <n v="675"/>
    <n v="599"/>
    <n v="0"/>
    <m/>
    <m/>
    <m/>
    <m/>
    <m/>
    <m/>
    <m/>
    <m/>
    <m/>
    <n v="0"/>
    <n v="0"/>
    <n v="0"/>
    <n v="0"/>
    <n v="0"/>
    <n v="0"/>
    <n v="0"/>
    <n v="0"/>
    <n v="0"/>
    <n v="0"/>
    <n v="0"/>
    <n v="0"/>
    <n v="0"/>
    <n v="0"/>
    <x v="0"/>
    <n v="0"/>
    <n v="0"/>
    <n v="0"/>
    <s v="MMR001CMP119"/>
    <x v="0"/>
    <x v="0"/>
    <x v="5"/>
    <n v="1.4719252979481508E-2"/>
    <s v="No"/>
    <m/>
  </r>
  <r>
    <n v="58.56666666666667"/>
    <d v="2012-07-09T00:00:00"/>
    <x v="1"/>
    <s v="UNHCR"/>
    <s v="Kachin"/>
    <s v="Waingmaw"/>
    <s v="Qtr. 2 Lhaovo Baptist Church"/>
    <m/>
    <m/>
    <m/>
    <n v="77"/>
    <n v="34"/>
    <n v="77"/>
    <n v="35"/>
    <n v="52"/>
    <n v="52"/>
    <n v="52"/>
    <m/>
    <m/>
    <m/>
    <m/>
    <m/>
    <m/>
    <m/>
    <n v="0"/>
    <n v="0"/>
    <n v="0"/>
    <n v="0"/>
    <n v="0"/>
    <n v="0"/>
    <n v="0"/>
    <n v="0"/>
    <n v="0"/>
    <n v="0"/>
    <n v="0"/>
    <n v="0"/>
    <n v="0"/>
    <n v="0"/>
    <x v="0"/>
    <n v="0"/>
    <n v="0"/>
    <n v="0"/>
    <s v="MMR001CMP032"/>
    <x v="0"/>
    <x v="0"/>
    <x v="4"/>
    <n v="8.594229588704727E-4"/>
    <s v="No"/>
    <m/>
  </r>
  <r>
    <n v="58.6"/>
    <d v="2012-07-08T00:00:00"/>
    <x v="2"/>
    <s v="Solidarities"/>
    <s v="Kachin"/>
    <s v="Momauk"/>
    <s v="Momauk Baptist Church"/>
    <n v="64"/>
    <m/>
    <m/>
    <m/>
    <m/>
    <m/>
    <m/>
    <m/>
    <m/>
    <m/>
    <m/>
    <m/>
    <m/>
    <m/>
    <m/>
    <m/>
    <m/>
    <n v="0"/>
    <n v="0"/>
    <n v="0"/>
    <n v="0"/>
    <n v="0"/>
    <n v="0"/>
    <n v="0"/>
    <n v="0"/>
    <n v="0"/>
    <n v="0"/>
    <n v="0"/>
    <n v="0"/>
    <n v="0"/>
    <n v="0"/>
    <x v="0"/>
    <n v="0"/>
    <n v="0"/>
    <n v="0"/>
    <s v="MMR001CMP056"/>
    <x v="0"/>
    <x v="0"/>
    <x v="4"/>
    <n v="0"/>
    <m/>
    <m/>
  </r>
  <r>
    <n v="58.6"/>
    <d v="2012-07-08T00:00:00"/>
    <x v="2"/>
    <s v="Solidarities"/>
    <s v="Kachin"/>
    <s v="Bhamo"/>
    <s v="Chan Myae monastery"/>
    <n v="3"/>
    <m/>
    <m/>
    <m/>
    <m/>
    <m/>
    <m/>
    <m/>
    <m/>
    <m/>
    <m/>
    <m/>
    <m/>
    <m/>
    <m/>
    <m/>
    <m/>
    <n v="0"/>
    <n v="0"/>
    <n v="0"/>
    <n v="0"/>
    <n v="0"/>
    <n v="0"/>
    <n v="0"/>
    <n v="0"/>
    <n v="0"/>
    <n v="0"/>
    <n v="0"/>
    <n v="0"/>
    <n v="0"/>
    <n v="0"/>
    <x v="0"/>
    <n v="0"/>
    <n v="0"/>
    <n v="0"/>
    <s v=""/>
    <x v="2"/>
    <x v="1"/>
    <x v="2"/>
    <s v=""/>
    <m/>
    <m/>
  </r>
  <r>
    <n v="58.6"/>
    <d v="2012-07-08T00:00:00"/>
    <x v="1"/>
    <s v="Shalom"/>
    <s v="Kachin"/>
    <s v="Momauk"/>
    <s v="Ni Thaw Ka Monestry"/>
    <n v="16"/>
    <m/>
    <m/>
    <m/>
    <m/>
    <m/>
    <m/>
    <m/>
    <m/>
    <m/>
    <m/>
    <m/>
    <m/>
    <m/>
    <m/>
    <m/>
    <m/>
    <n v="0"/>
    <n v="0"/>
    <n v="0"/>
    <n v="0"/>
    <n v="0"/>
    <n v="0"/>
    <n v="0"/>
    <n v="0"/>
    <n v="0"/>
    <n v="0"/>
    <n v="0"/>
    <n v="0"/>
    <n v="0"/>
    <n v="0"/>
    <x v="0"/>
    <n v="0"/>
    <n v="0"/>
    <n v="0"/>
    <s v="MMR001CMP059"/>
    <x v="0"/>
    <x v="2"/>
    <x v="4"/>
    <n v="0"/>
    <m/>
    <m/>
  </r>
  <r>
    <n v="58.6"/>
    <d v="2012-07-08T00:00:00"/>
    <x v="2"/>
    <s v="Solidarities"/>
    <s v="Kachin"/>
    <s v="Momauk"/>
    <s v="Ni Thaw Ka Monestry"/>
    <n v="16"/>
    <m/>
    <m/>
    <m/>
    <m/>
    <m/>
    <m/>
    <m/>
    <m/>
    <m/>
    <m/>
    <m/>
    <m/>
    <m/>
    <m/>
    <m/>
    <m/>
    <n v="0"/>
    <n v="0"/>
    <n v="0"/>
    <n v="0"/>
    <n v="0"/>
    <n v="0"/>
    <n v="0"/>
    <n v="0"/>
    <n v="0"/>
    <n v="0"/>
    <n v="0"/>
    <n v="0"/>
    <n v="0"/>
    <n v="0"/>
    <x v="0"/>
    <n v="0"/>
    <n v="0"/>
    <n v="0"/>
    <s v="MMR001CMP059"/>
    <x v="0"/>
    <x v="2"/>
    <x v="4"/>
    <n v="0"/>
    <m/>
    <m/>
  </r>
  <r>
    <n v="58.666666666666664"/>
    <d v="2012-07-06T00:00:00"/>
    <x v="1"/>
    <s v="UNHCR"/>
    <s v="Kachin"/>
    <s v="Waingmaw"/>
    <s v="Waingmaw AG Church"/>
    <m/>
    <m/>
    <m/>
    <n v="17"/>
    <n v="17"/>
    <n v="17"/>
    <n v="17"/>
    <n v="17"/>
    <n v="17"/>
    <n v="17"/>
    <m/>
    <m/>
    <m/>
    <m/>
    <m/>
    <m/>
    <m/>
    <n v="0"/>
    <n v="0"/>
    <n v="0"/>
    <n v="0"/>
    <n v="0"/>
    <n v="0"/>
    <n v="0"/>
    <n v="0"/>
    <n v="0"/>
    <n v="0"/>
    <n v="0"/>
    <n v="0"/>
    <n v="0"/>
    <n v="0"/>
    <x v="0"/>
    <n v="0"/>
    <n v="0"/>
    <n v="0"/>
    <s v="MMR001CMP038"/>
    <x v="0"/>
    <x v="0"/>
    <x v="4"/>
    <n v="4.1617704661182925E-4"/>
    <s v="No"/>
    <m/>
  </r>
  <r>
    <n v="58.7"/>
    <d v="2012-07-05T00:00:00"/>
    <x v="1"/>
    <s v="UNHCR"/>
    <s v="Kachin"/>
    <s v="Bhamo"/>
    <s v="Ta Gun Taing Monastery (Shwe Kyi Na)"/>
    <m/>
    <m/>
    <m/>
    <n v="36"/>
    <n v="14"/>
    <n v="36"/>
    <n v="14"/>
    <n v="14"/>
    <n v="14"/>
    <n v="14"/>
    <m/>
    <m/>
    <m/>
    <m/>
    <m/>
    <m/>
    <m/>
    <n v="0"/>
    <n v="0"/>
    <n v="0"/>
    <n v="0"/>
    <n v="0"/>
    <n v="0"/>
    <n v="0"/>
    <n v="0"/>
    <n v="0"/>
    <n v="0"/>
    <n v="0"/>
    <n v="0"/>
    <n v="0"/>
    <n v="0"/>
    <x v="0"/>
    <n v="0"/>
    <n v="0"/>
    <n v="0"/>
    <s v="MMR001CMP055"/>
    <x v="0"/>
    <x v="0"/>
    <x v="4"/>
    <n v="3.4121374603948332E-4"/>
    <s v="No"/>
    <m/>
  </r>
  <r>
    <n v="59.033333333333331"/>
    <d v="2012-06-25T00:00:00"/>
    <x v="1"/>
    <s v="UNHCR"/>
    <s v="Kachin"/>
    <s v="Momauk"/>
    <s v="Momauk Baptist Church"/>
    <m/>
    <m/>
    <m/>
    <n v="290"/>
    <n v="145"/>
    <n v="290"/>
    <n v="145"/>
    <n v="145"/>
    <n v="145"/>
    <n v="145"/>
    <m/>
    <m/>
    <m/>
    <m/>
    <m/>
    <m/>
    <m/>
    <n v="0"/>
    <n v="0"/>
    <n v="0"/>
    <n v="0"/>
    <n v="0"/>
    <n v="0"/>
    <n v="0"/>
    <n v="0"/>
    <n v="0"/>
    <n v="0"/>
    <n v="0"/>
    <n v="0"/>
    <n v="0"/>
    <n v="0"/>
    <x v="0"/>
    <n v="0"/>
    <n v="0"/>
    <n v="0"/>
    <s v="MMR001CMP056"/>
    <x v="0"/>
    <x v="0"/>
    <x v="4"/>
    <n v="3.5630912888561248E-3"/>
    <s v="No"/>
    <m/>
  </r>
  <r>
    <n v="59.1"/>
    <d v="2012-06-23T00:00:00"/>
    <x v="1"/>
    <s v="UNHCR"/>
    <s v="Kachin"/>
    <s v="Momauk"/>
    <s v="Dum Bung "/>
    <m/>
    <m/>
    <m/>
    <n v="24"/>
    <n v="13"/>
    <n v="24"/>
    <n v="13"/>
    <n v="13"/>
    <n v="13"/>
    <n v="13"/>
    <m/>
    <m/>
    <m/>
    <m/>
    <m/>
    <m/>
    <m/>
    <n v="0"/>
    <n v="0"/>
    <n v="0"/>
    <n v="0"/>
    <n v="0"/>
    <n v="0"/>
    <n v="0"/>
    <n v="0"/>
    <n v="0"/>
    <n v="0"/>
    <n v="0"/>
    <n v="0"/>
    <n v="0"/>
    <n v="0"/>
    <x v="0"/>
    <n v="0"/>
    <n v="0"/>
    <n v="0"/>
    <s v="MMR001CMP123"/>
    <x v="0"/>
    <x v="0"/>
    <x v="5"/>
    <n v="3.1897143978800666E-4"/>
    <s v="No"/>
    <m/>
  </r>
  <r>
    <n v="59.133333333333333"/>
    <d v="2012-06-22T00:00:00"/>
    <x v="1"/>
    <s v="UNHCR"/>
    <s v="Kachin"/>
    <s v="Momauk"/>
    <s v="Nhkawng Pa "/>
    <m/>
    <m/>
    <m/>
    <n v="140"/>
    <n v="70"/>
    <n v="140"/>
    <n v="70"/>
    <n v="70"/>
    <n v="70"/>
    <n v="70"/>
    <m/>
    <m/>
    <m/>
    <m/>
    <m/>
    <m/>
    <m/>
    <n v="0"/>
    <n v="0"/>
    <n v="0"/>
    <n v="0"/>
    <n v="0"/>
    <n v="0"/>
    <n v="0"/>
    <n v="0"/>
    <n v="0"/>
    <n v="0"/>
    <n v="0"/>
    <n v="0"/>
    <n v="0"/>
    <n v="0"/>
    <x v="0"/>
    <n v="0"/>
    <n v="0"/>
    <n v="0"/>
    <s v="MMR001CMP131"/>
    <x v="0"/>
    <x v="0"/>
    <x v="3"/>
    <n v="1.7073170731707317E-3"/>
    <s v="No"/>
    <m/>
  </r>
  <r>
    <n v="59.2"/>
    <d v="2012-06-20T00:00:00"/>
    <x v="1"/>
    <s v="UNHCR"/>
    <s v="Kachin"/>
    <s v="Waingmaw"/>
    <s v="Waingmaw Baptist Zonal Office"/>
    <m/>
    <m/>
    <m/>
    <n v="141"/>
    <n v="81"/>
    <n v="148"/>
    <n v="84"/>
    <n v="78"/>
    <n v="78"/>
    <n v="78"/>
    <m/>
    <m/>
    <m/>
    <m/>
    <m/>
    <m/>
    <m/>
    <n v="0"/>
    <n v="0"/>
    <n v="0"/>
    <n v="0"/>
    <n v="0"/>
    <n v="0"/>
    <n v="0"/>
    <n v="0"/>
    <n v="0"/>
    <n v="0"/>
    <n v="0"/>
    <n v="0"/>
    <n v="0"/>
    <n v="0"/>
    <x v="0"/>
    <n v="0"/>
    <n v="0"/>
    <n v="0"/>
    <s v="MMR001CMP036"/>
    <x v="0"/>
    <x v="2"/>
    <x v="4"/>
    <n v="2.0564042303172739E-3"/>
    <s v="No"/>
    <m/>
  </r>
  <r>
    <n v="59.233333333333334"/>
    <d v="2012-06-19T00:00:00"/>
    <x v="1"/>
    <s v="UNHCR"/>
    <s v="Kachin"/>
    <s v="Waingmaw"/>
    <s v="Maina KBC (Bawng Ring)"/>
    <m/>
    <m/>
    <m/>
    <n v="32"/>
    <n v="17"/>
    <n v="32"/>
    <n v="17"/>
    <n v="17"/>
    <n v="17"/>
    <n v="17"/>
    <m/>
    <m/>
    <m/>
    <m/>
    <m/>
    <m/>
    <m/>
    <n v="0"/>
    <n v="0"/>
    <n v="0"/>
    <n v="0"/>
    <n v="0"/>
    <n v="0"/>
    <n v="0"/>
    <n v="0"/>
    <n v="0"/>
    <n v="0"/>
    <n v="0"/>
    <n v="0"/>
    <n v="0"/>
    <n v="0"/>
    <x v="0"/>
    <n v="0"/>
    <n v="0"/>
    <n v="0"/>
    <s v="MMR001CMP040"/>
    <x v="0"/>
    <x v="0"/>
    <x v="4"/>
    <n v="4.1401816809137626E-4"/>
    <s v="No"/>
    <m/>
  </r>
  <r>
    <n v="59.233333333333334"/>
    <d v="2012-06-19T00:00:00"/>
    <x v="1"/>
    <s v="UNHCR"/>
    <s v="Kachin"/>
    <s v="Waingmaw"/>
    <s v="Thargaya Lisu Baptist Church"/>
    <m/>
    <m/>
    <m/>
    <n v="31"/>
    <n v="15"/>
    <n v="31"/>
    <n v="15"/>
    <n v="15"/>
    <n v="15"/>
    <n v="15"/>
    <m/>
    <m/>
    <m/>
    <m/>
    <m/>
    <m/>
    <m/>
    <n v="0"/>
    <n v="0"/>
    <n v="0"/>
    <n v="0"/>
    <n v="0"/>
    <n v="0"/>
    <n v="0"/>
    <n v="0"/>
    <n v="0"/>
    <n v="0"/>
    <n v="0"/>
    <n v="0"/>
    <n v="0"/>
    <n v="0"/>
    <x v="0"/>
    <n v="0"/>
    <n v="0"/>
    <n v="0"/>
    <s v="MMR001CMP037"/>
    <x v="0"/>
    <x v="0"/>
    <x v="4"/>
    <n v="3.6721504112808461E-4"/>
    <s v="No"/>
    <m/>
  </r>
  <r>
    <n v="59.233333333333334"/>
    <d v="2012-06-19T00:00:00"/>
    <x v="1"/>
    <s v="UNHCR"/>
    <s v="Kachin"/>
    <s v="Waingmaw"/>
    <s v="Waingmaw AG Church"/>
    <m/>
    <m/>
    <m/>
    <n v="28"/>
    <n v="15"/>
    <n v="28"/>
    <n v="15"/>
    <n v="15"/>
    <n v="15"/>
    <n v="15"/>
    <m/>
    <m/>
    <m/>
    <m/>
    <m/>
    <m/>
    <m/>
    <n v="0"/>
    <n v="0"/>
    <n v="0"/>
    <n v="0"/>
    <n v="0"/>
    <n v="0"/>
    <n v="0"/>
    <n v="0"/>
    <n v="0"/>
    <n v="0"/>
    <n v="0"/>
    <n v="0"/>
    <n v="0"/>
    <n v="0"/>
    <x v="0"/>
    <n v="0"/>
    <n v="0"/>
    <n v="0"/>
    <s v="MMR001CMP038"/>
    <x v="0"/>
    <x v="0"/>
    <x v="4"/>
    <n v="3.6721504112808461E-4"/>
    <s v="No"/>
    <m/>
  </r>
  <r>
    <n v="59.533333333333331"/>
    <d v="2012-06-10T00:00:00"/>
    <x v="1"/>
    <s v="UNHCR"/>
    <s v="Kachin"/>
    <s v="Chipwi"/>
    <s v="Lhaovao Baptist Church (LBC)"/>
    <m/>
    <m/>
    <m/>
    <n v="200"/>
    <n v="100"/>
    <n v="150"/>
    <n v="100"/>
    <n v="100"/>
    <n v="100"/>
    <n v="100"/>
    <m/>
    <m/>
    <m/>
    <m/>
    <m/>
    <m/>
    <m/>
    <n v="0"/>
    <n v="0"/>
    <n v="0"/>
    <n v="0"/>
    <n v="0"/>
    <n v="0"/>
    <n v="0"/>
    <n v="0"/>
    <n v="0"/>
    <n v="0"/>
    <n v="0"/>
    <n v="0"/>
    <n v="0"/>
    <n v="0"/>
    <x v="0"/>
    <n v="0"/>
    <n v="0"/>
    <n v="0"/>
    <s v="MMR001CMP195"/>
    <x v="0"/>
    <x v="0"/>
    <x v="3"/>
    <n v="2.4425989252564728E-3"/>
    <s v="No"/>
    <m/>
  </r>
  <r>
    <n v="59.6"/>
    <d v="2012-06-08T00:00:00"/>
    <x v="2"/>
    <s v="Solidarities"/>
    <s v="Kachin"/>
    <s v="Bhamo"/>
    <s v="Htoi San Church"/>
    <n v="22"/>
    <m/>
    <m/>
    <m/>
    <m/>
    <m/>
    <m/>
    <m/>
    <m/>
    <m/>
    <m/>
    <m/>
    <m/>
    <m/>
    <m/>
    <m/>
    <m/>
    <n v="0"/>
    <n v="0"/>
    <n v="0"/>
    <n v="0"/>
    <n v="0"/>
    <n v="0"/>
    <n v="0"/>
    <n v="0"/>
    <n v="0"/>
    <n v="0"/>
    <n v="0"/>
    <n v="0"/>
    <n v="0"/>
    <n v="0"/>
    <x v="0"/>
    <n v="0"/>
    <n v="0"/>
    <n v="0"/>
    <s v="MMR001CMP052"/>
    <x v="0"/>
    <x v="0"/>
    <x v="4"/>
    <n v="0"/>
    <m/>
    <m/>
  </r>
  <r>
    <n v="59.6"/>
    <d v="2012-06-08T00:00:00"/>
    <x v="2"/>
    <s v="Solidarities"/>
    <s v="Kachin"/>
    <s v="Bhamo"/>
    <s v="Nant Hlaing Church"/>
    <n v="21"/>
    <m/>
    <m/>
    <m/>
    <m/>
    <m/>
    <m/>
    <m/>
    <m/>
    <m/>
    <m/>
    <m/>
    <m/>
    <m/>
    <m/>
    <m/>
    <m/>
    <n v="0"/>
    <n v="0"/>
    <n v="0"/>
    <n v="0"/>
    <n v="0"/>
    <n v="0"/>
    <n v="0"/>
    <n v="0"/>
    <n v="0"/>
    <n v="0"/>
    <n v="0"/>
    <n v="0"/>
    <n v="0"/>
    <n v="0"/>
    <x v="0"/>
    <n v="0"/>
    <n v="0"/>
    <n v="0"/>
    <s v="MMR001CMP054"/>
    <x v="0"/>
    <x v="0"/>
    <x v="4"/>
    <n v="0"/>
    <m/>
    <m/>
  </r>
  <r>
    <n v="59.6"/>
    <d v="2012-06-08T00:00:00"/>
    <x v="1"/>
    <s v="UNHCR"/>
    <s v="Kachin"/>
    <s v="Bhamo"/>
    <s v="Nant Hlaing Church"/>
    <m/>
    <m/>
    <m/>
    <n v="12"/>
    <n v="6"/>
    <n v="12"/>
    <n v="6"/>
    <n v="6"/>
    <n v="6"/>
    <n v="6"/>
    <m/>
    <m/>
    <m/>
    <m/>
    <m/>
    <m/>
    <m/>
    <n v="0"/>
    <n v="0"/>
    <n v="0"/>
    <n v="0"/>
    <n v="0"/>
    <n v="0"/>
    <n v="0"/>
    <n v="0"/>
    <n v="0"/>
    <n v="0"/>
    <n v="0"/>
    <n v="0"/>
    <n v="0"/>
    <n v="0"/>
    <x v="0"/>
    <n v="0"/>
    <n v="0"/>
    <n v="0"/>
    <s v="MMR001CMP054"/>
    <x v="0"/>
    <x v="0"/>
    <x v="4"/>
    <n v="1.4688601645123384E-4"/>
    <s v="No"/>
    <m/>
  </r>
  <r>
    <n v="59.666666666666664"/>
    <d v="2012-06-06T00:00:00"/>
    <x v="1"/>
    <s v="UNHCR "/>
    <s v="Kachin"/>
    <s v="Momauk"/>
    <s v="Hpun Lum Yang "/>
    <m/>
    <m/>
    <m/>
    <n v="0"/>
    <n v="200"/>
    <n v="0"/>
    <n v="0"/>
    <n v="0"/>
    <m/>
    <m/>
    <m/>
    <m/>
    <m/>
    <m/>
    <m/>
    <m/>
    <m/>
    <n v="0"/>
    <n v="0"/>
    <n v="0"/>
    <n v="0"/>
    <n v="0"/>
    <n v="0"/>
    <n v="0"/>
    <n v="0"/>
    <n v="0"/>
    <n v="0"/>
    <n v="0"/>
    <n v="0"/>
    <n v="0"/>
    <n v="0"/>
    <x v="0"/>
    <n v="0"/>
    <n v="0"/>
    <n v="0"/>
    <s v="MMR001CMP122"/>
    <x v="0"/>
    <x v="0"/>
    <x v="5"/>
    <n v="0"/>
    <s v="No"/>
    <m/>
  </r>
  <r>
    <n v="59.666666666666664"/>
    <d v="2012-06-06T00:00:00"/>
    <x v="1"/>
    <s v="UNHCR"/>
    <s v="Kachin"/>
    <s v="Momauk"/>
    <s v="Pa Kahtawng "/>
    <m/>
    <m/>
    <m/>
    <n v="144"/>
    <n v="76"/>
    <n v="143"/>
    <n v="76"/>
    <n v="78"/>
    <n v="78"/>
    <n v="78"/>
    <m/>
    <m/>
    <m/>
    <m/>
    <m/>
    <m/>
    <m/>
    <n v="0"/>
    <n v="0"/>
    <n v="0"/>
    <n v="0"/>
    <n v="0"/>
    <n v="0"/>
    <n v="0"/>
    <n v="0"/>
    <n v="0"/>
    <n v="0"/>
    <n v="0"/>
    <n v="0"/>
    <n v="0"/>
    <n v="0"/>
    <x v="0"/>
    <n v="0"/>
    <n v="0"/>
    <n v="0"/>
    <s v="MMR001CMP126"/>
    <x v="0"/>
    <x v="0"/>
    <x v="5"/>
    <n v="1.8536585365853658E-3"/>
    <s v="No"/>
    <m/>
  </r>
  <r>
    <n v="59.7"/>
    <d v="2012-06-05T00:00:00"/>
    <x v="1"/>
    <s v="UNHCR"/>
    <s v="Kachin"/>
    <s v="Momauk"/>
    <s v="Momauk Catholic Church (St. Patrick)"/>
    <m/>
    <m/>
    <m/>
    <n v="10"/>
    <n v="5"/>
    <n v="10"/>
    <n v="5"/>
    <n v="5"/>
    <n v="5"/>
    <n v="5"/>
    <m/>
    <m/>
    <m/>
    <m/>
    <m/>
    <m/>
    <m/>
    <n v="0"/>
    <n v="0"/>
    <n v="0"/>
    <n v="0"/>
    <n v="0"/>
    <n v="0"/>
    <n v="0"/>
    <n v="0"/>
    <n v="0"/>
    <n v="0"/>
    <n v="0"/>
    <n v="0"/>
    <n v="0"/>
    <n v="0"/>
    <x v="0"/>
    <n v="0"/>
    <n v="0"/>
    <n v="0"/>
    <s v="MMR001CMP057"/>
    <x v="0"/>
    <x v="2"/>
    <x v="4"/>
    <n v="1.2268132299538719E-4"/>
    <s v="No"/>
    <m/>
  </r>
  <r>
    <n v="59.833333333333336"/>
    <d v="2012-06-01T00:00:00"/>
    <x v="1"/>
    <s v="UNHCR"/>
    <s v="Kachin"/>
    <s v="Myitkyina"/>
    <s v="Maw Hpawng Hka Nan Baptist Church"/>
    <m/>
    <m/>
    <m/>
    <n v="22"/>
    <n v="11"/>
    <n v="22"/>
    <n v="11"/>
    <n v="11"/>
    <n v="11"/>
    <n v="11"/>
    <m/>
    <m/>
    <m/>
    <m/>
    <m/>
    <m/>
    <m/>
    <n v="0"/>
    <n v="0"/>
    <n v="0"/>
    <n v="0"/>
    <n v="0"/>
    <n v="0"/>
    <n v="0"/>
    <n v="0"/>
    <n v="0"/>
    <n v="0"/>
    <n v="0"/>
    <n v="0"/>
    <n v="0"/>
    <n v="0"/>
    <x v="0"/>
    <n v="0"/>
    <n v="0"/>
    <n v="0"/>
    <s v="MMR001CMP020"/>
    <x v="0"/>
    <x v="0"/>
    <x v="4"/>
    <n v="2.6949555332337016E-4"/>
    <s v="No"/>
    <m/>
  </r>
  <r>
    <n v="59.833333333333336"/>
    <d v="2012-06-01T00:00:00"/>
    <x v="1"/>
    <s v="UNHCR"/>
    <s v="Kachin"/>
    <s v="Myitkyina"/>
    <s v="Maw Hpawng Lhaovo Baptist Church"/>
    <m/>
    <m/>
    <m/>
    <n v="35"/>
    <n v="17"/>
    <n v="35"/>
    <n v="17"/>
    <n v="17"/>
    <n v="17"/>
    <n v="17"/>
    <m/>
    <m/>
    <m/>
    <m/>
    <m/>
    <m/>
    <m/>
    <n v="0"/>
    <n v="0"/>
    <n v="0"/>
    <n v="0"/>
    <n v="0"/>
    <n v="0"/>
    <n v="0"/>
    <n v="0"/>
    <n v="0"/>
    <n v="0"/>
    <n v="0"/>
    <n v="0"/>
    <n v="0"/>
    <n v="0"/>
    <x v="0"/>
    <n v="0"/>
    <n v="0"/>
    <n v="0"/>
    <s v="MMR001CMP021"/>
    <x v="0"/>
    <x v="0"/>
    <x v="4"/>
    <n v="4.1649312786339027E-4"/>
    <s v="No"/>
    <m/>
  </r>
  <r>
    <n v="59.866666666666667"/>
    <d v="2012-05-31T00:00:00"/>
    <x v="1"/>
    <s v="KBC"/>
    <s v="Kachin"/>
    <s v="Bhamo"/>
    <s v="Robert Church"/>
    <m/>
    <m/>
    <m/>
    <n v="0"/>
    <n v="20"/>
    <n v="0"/>
    <n v="0"/>
    <n v="0"/>
    <m/>
    <m/>
    <m/>
    <m/>
    <m/>
    <m/>
    <m/>
    <m/>
    <m/>
    <n v="0"/>
    <n v="0"/>
    <n v="0"/>
    <n v="0"/>
    <n v="0"/>
    <n v="0"/>
    <n v="0"/>
    <n v="0"/>
    <n v="0"/>
    <n v="0"/>
    <n v="0"/>
    <n v="0"/>
    <n v="0"/>
    <n v="0"/>
    <x v="0"/>
    <n v="0"/>
    <n v="0"/>
    <n v="0"/>
    <s v="MMR001CMP047"/>
    <x v="0"/>
    <x v="0"/>
    <x v="4"/>
    <n v="0"/>
    <s v="No"/>
    <m/>
  </r>
  <r>
    <n v="59.966666666666669"/>
    <d v="2012-05-28T00:00:00"/>
    <x v="1"/>
    <s v="UNHCR"/>
    <s v="Kachin"/>
    <s v="Waingmaw"/>
    <s v="Qtr. 3 Mu-yin  Baptist Church"/>
    <m/>
    <m/>
    <m/>
    <n v="0"/>
    <n v="11"/>
    <n v="0"/>
    <n v="0"/>
    <n v="0"/>
    <m/>
    <m/>
    <m/>
    <m/>
    <m/>
    <m/>
    <m/>
    <m/>
    <m/>
    <n v="0"/>
    <n v="0"/>
    <n v="0"/>
    <n v="0"/>
    <n v="0"/>
    <n v="0"/>
    <n v="0"/>
    <n v="0"/>
    <n v="0"/>
    <n v="0"/>
    <n v="0"/>
    <n v="0"/>
    <n v="0"/>
    <n v="0"/>
    <x v="0"/>
    <n v="0"/>
    <n v="0"/>
    <n v="0"/>
    <s v="MMR001CMP030"/>
    <x v="0"/>
    <x v="0"/>
    <x v="4"/>
    <n v="0"/>
    <s v="No"/>
    <m/>
  </r>
  <r>
    <n v="60.033333333333331"/>
    <d v="2012-05-26T00:00:00"/>
    <x v="1"/>
    <s v="KBC"/>
    <s v="Kachin"/>
    <s v="Shwegu"/>
    <s v="Lawk Awng Mare D. (Sinbo Area)"/>
    <m/>
    <m/>
    <m/>
    <n v="200"/>
    <n v="200"/>
    <n v="0"/>
    <n v="0"/>
    <n v="0"/>
    <m/>
    <m/>
    <m/>
    <m/>
    <m/>
    <m/>
    <m/>
    <m/>
    <m/>
    <n v="0"/>
    <n v="0"/>
    <n v="0"/>
    <n v="0"/>
    <n v="0"/>
    <n v="0"/>
    <n v="0"/>
    <n v="0"/>
    <n v="0"/>
    <n v="0"/>
    <n v="0"/>
    <n v="0"/>
    <n v="0"/>
    <n v="0"/>
    <x v="0"/>
    <n v="0"/>
    <n v="0"/>
    <n v="0"/>
    <s v="MMR001CMP147"/>
    <x v="1"/>
    <x v="0"/>
    <x v="4"/>
    <n v="0"/>
    <s v="No"/>
    <m/>
  </r>
  <r>
    <n v="60.06666666666667"/>
    <d v="2012-05-25T00:00:00"/>
    <x v="1"/>
    <s v="UNHCR"/>
    <s v="Kachin"/>
    <s v="Myitkyina"/>
    <s v="Shwe Zet Baptist Church"/>
    <m/>
    <m/>
    <m/>
    <n v="0"/>
    <n v="25"/>
    <n v="0"/>
    <n v="0"/>
    <n v="0"/>
    <m/>
    <m/>
    <m/>
    <m/>
    <m/>
    <m/>
    <m/>
    <m/>
    <m/>
    <n v="0"/>
    <n v="0"/>
    <n v="0"/>
    <n v="0"/>
    <n v="0"/>
    <n v="0"/>
    <n v="0"/>
    <n v="0"/>
    <n v="0"/>
    <n v="0"/>
    <n v="0"/>
    <n v="0"/>
    <n v="0"/>
    <n v="0"/>
    <x v="0"/>
    <n v="0"/>
    <n v="0"/>
    <n v="0"/>
    <s v="MMR001CMP009"/>
    <x v="0"/>
    <x v="0"/>
    <x v="4"/>
    <n v="0"/>
    <s v="No"/>
    <m/>
  </r>
  <r>
    <n v="60.133333333333333"/>
    <d v="2012-05-23T00:00:00"/>
    <x v="1"/>
    <s v="UNHCR"/>
    <s v="Kachin"/>
    <s v="Myitkyina"/>
    <s v="Jan Mai Kawng Baptist Church"/>
    <m/>
    <m/>
    <m/>
    <n v="22"/>
    <n v="15"/>
    <n v="22"/>
    <n v="15"/>
    <n v="15"/>
    <n v="15"/>
    <n v="15"/>
    <m/>
    <m/>
    <m/>
    <m/>
    <m/>
    <m/>
    <m/>
    <n v="0"/>
    <n v="0"/>
    <n v="0"/>
    <n v="0"/>
    <n v="0"/>
    <n v="0"/>
    <n v="0"/>
    <n v="0"/>
    <n v="0"/>
    <n v="0"/>
    <n v="0"/>
    <n v="0"/>
    <n v="0"/>
    <n v="0"/>
    <x v="0"/>
    <n v="0"/>
    <n v="0"/>
    <n v="0"/>
    <s v="MMR001CMP018"/>
    <x v="0"/>
    <x v="0"/>
    <x v="4"/>
    <n v="3.6832412523020257E-4"/>
    <s v="No"/>
    <m/>
  </r>
  <r>
    <n v="60.133333333333333"/>
    <d v="2012-05-23T00:00:00"/>
    <x v="1"/>
    <s v="UNHCR"/>
    <s v="Kachin"/>
    <s v="Myitkyina"/>
    <s v="Nan Kway St. John Catholic Church"/>
    <m/>
    <m/>
    <m/>
    <n v="58"/>
    <n v="29"/>
    <n v="58"/>
    <n v="29"/>
    <n v="29"/>
    <n v="29"/>
    <n v="29"/>
    <m/>
    <m/>
    <m/>
    <m/>
    <m/>
    <m/>
    <m/>
    <n v="0"/>
    <n v="0"/>
    <n v="0"/>
    <n v="0"/>
    <n v="0"/>
    <n v="0"/>
    <n v="0"/>
    <n v="0"/>
    <n v="0"/>
    <n v="0"/>
    <n v="0"/>
    <n v="0"/>
    <n v="0"/>
    <n v="0"/>
    <x v="0"/>
    <n v="0"/>
    <n v="0"/>
    <n v="0"/>
    <s v="MMR001CMP024"/>
    <x v="0"/>
    <x v="0"/>
    <x v="4"/>
    <n v="7.0889046420103156E-4"/>
    <s v="No"/>
    <m/>
  </r>
  <r>
    <n v="60.133333333333333"/>
    <d v="2012-05-23T00:00:00"/>
    <x v="1"/>
    <s v="UNHCR"/>
    <s v="Kachin"/>
    <s v="Myitkyina"/>
    <s v="Tat Kone Baptist Church"/>
    <m/>
    <m/>
    <m/>
    <n v="54"/>
    <n v="29"/>
    <n v="54"/>
    <n v="29"/>
    <n v="29"/>
    <n v="29"/>
    <n v="29"/>
    <m/>
    <m/>
    <m/>
    <m/>
    <m/>
    <m/>
    <m/>
    <n v="0"/>
    <n v="0"/>
    <n v="0"/>
    <n v="0"/>
    <n v="0"/>
    <n v="0"/>
    <n v="0"/>
    <n v="0"/>
    <n v="0"/>
    <n v="0"/>
    <n v="0"/>
    <n v="0"/>
    <n v="0"/>
    <n v="0"/>
    <x v="0"/>
    <n v="0"/>
    <n v="0"/>
    <n v="0"/>
    <s v="MMR001CMP001"/>
    <x v="0"/>
    <x v="0"/>
    <x v="4"/>
    <n v="7.1261825777122498E-4"/>
    <s v="No"/>
    <m/>
  </r>
  <r>
    <n v="60.2"/>
    <d v="2012-05-21T00:00:00"/>
    <x v="1"/>
    <s v="UNHCR"/>
    <s v="Kachin"/>
    <s v="Bhamo"/>
    <s v="AD-2000 Tharthana Compound"/>
    <m/>
    <m/>
    <m/>
    <n v="0"/>
    <n v="15"/>
    <n v="0"/>
    <n v="0"/>
    <n v="0"/>
    <m/>
    <m/>
    <m/>
    <m/>
    <m/>
    <m/>
    <m/>
    <m/>
    <m/>
    <n v="0"/>
    <n v="0"/>
    <n v="0"/>
    <n v="0"/>
    <n v="0"/>
    <n v="0"/>
    <n v="0"/>
    <n v="0"/>
    <n v="0"/>
    <n v="0"/>
    <n v="0"/>
    <n v="0"/>
    <n v="0"/>
    <n v="0"/>
    <x v="0"/>
    <n v="0"/>
    <n v="0"/>
    <n v="0"/>
    <s v="MMR001CMP050"/>
    <x v="0"/>
    <x v="0"/>
    <x v="4"/>
    <n v="0"/>
    <s v="No"/>
    <m/>
  </r>
  <r>
    <n v="60.4"/>
    <d v="2012-05-15T00:00:00"/>
    <x v="1"/>
    <s v="KBSS"/>
    <s v="Kachin"/>
    <s v="Bhamo"/>
    <s v="AD-2000 Tharthana Compound"/>
    <m/>
    <m/>
    <m/>
    <n v="90"/>
    <n v="0"/>
    <n v="0"/>
    <n v="0"/>
    <n v="0"/>
    <m/>
    <m/>
    <m/>
    <m/>
    <m/>
    <m/>
    <m/>
    <m/>
    <m/>
    <n v="0"/>
    <n v="0"/>
    <n v="0"/>
    <n v="0"/>
    <n v="0"/>
    <n v="0"/>
    <n v="0"/>
    <n v="0"/>
    <n v="0"/>
    <n v="0"/>
    <n v="0"/>
    <n v="0"/>
    <n v="0"/>
    <n v="0"/>
    <x v="0"/>
    <n v="0"/>
    <n v="0"/>
    <n v="0"/>
    <s v="MMR001CMP050"/>
    <x v="0"/>
    <x v="0"/>
    <x v="4"/>
    <n v="0"/>
    <s v="No"/>
    <m/>
  </r>
  <r>
    <n v="60.533333333333331"/>
    <d v="2012-05-11T00:00:00"/>
    <x v="1"/>
    <s v="UNHCR"/>
    <s v="Kachin"/>
    <s v="Waingmaw"/>
    <s v="Maina Catholic Church (St. Joseph)"/>
    <m/>
    <m/>
    <m/>
    <n v="57"/>
    <n v="29"/>
    <n v="57"/>
    <n v="29"/>
    <n v="29"/>
    <n v="29"/>
    <n v="29"/>
    <m/>
    <m/>
    <m/>
    <m/>
    <m/>
    <m/>
    <m/>
    <n v="0"/>
    <n v="0"/>
    <n v="0"/>
    <n v="0"/>
    <n v="0"/>
    <n v="0"/>
    <n v="0"/>
    <n v="0"/>
    <n v="0"/>
    <n v="0"/>
    <n v="0"/>
    <n v="0"/>
    <n v="0"/>
    <n v="0"/>
    <x v="0"/>
    <n v="0"/>
    <n v="0"/>
    <n v="0"/>
    <s v="MMR001CMP029"/>
    <x v="0"/>
    <x v="0"/>
    <x v="4"/>
    <n v="7.00043450972819E-4"/>
    <s v="No"/>
    <m/>
  </r>
  <r>
    <n v="60.533333333333331"/>
    <d v="2012-05-11T00:00:00"/>
    <x v="1"/>
    <s v="UNHCR"/>
    <s v="Kachin"/>
    <s v="Waingmaw"/>
    <s v="Maina KBC (Bawng Ring)"/>
    <m/>
    <m/>
    <m/>
    <n v="50"/>
    <n v="25"/>
    <n v="50"/>
    <n v="24"/>
    <n v="13"/>
    <n v="13"/>
    <n v="13"/>
    <m/>
    <m/>
    <m/>
    <m/>
    <m/>
    <m/>
    <m/>
    <n v="0"/>
    <n v="0"/>
    <n v="0"/>
    <n v="0"/>
    <n v="0"/>
    <n v="0"/>
    <n v="0"/>
    <n v="0"/>
    <n v="0"/>
    <n v="0"/>
    <n v="0"/>
    <n v="0"/>
    <n v="0"/>
    <n v="0"/>
    <x v="0"/>
    <n v="0"/>
    <n v="0"/>
    <n v="0"/>
    <s v="MMR001CMP040"/>
    <x v="0"/>
    <x v="0"/>
    <x v="4"/>
    <n v="5.8449623730547236E-4"/>
    <s v="No"/>
    <m/>
  </r>
  <r>
    <n v="60.533333333333331"/>
    <d v="2012-05-11T00:00:00"/>
    <x v="1"/>
    <s v="KBSS"/>
    <s v="Kachin"/>
    <s v="Shwegu"/>
    <s v="Shwe Gu Baptist Church"/>
    <m/>
    <m/>
    <m/>
    <n v="38"/>
    <n v="23"/>
    <n v="38"/>
    <n v="23"/>
    <n v="23"/>
    <n v="23"/>
    <n v="23"/>
    <m/>
    <m/>
    <m/>
    <m/>
    <m/>
    <m/>
    <m/>
    <n v="0"/>
    <n v="0"/>
    <n v="0"/>
    <n v="0"/>
    <n v="0"/>
    <n v="0"/>
    <n v="0"/>
    <n v="0"/>
    <n v="0"/>
    <n v="0"/>
    <n v="0"/>
    <n v="0"/>
    <n v="0"/>
    <n v="0"/>
    <x v="0"/>
    <n v="0"/>
    <n v="0"/>
    <n v="0"/>
    <s v="MMR001CMP067"/>
    <x v="0"/>
    <x v="0"/>
    <x v="4"/>
    <n v="5.647636586863106E-4"/>
    <s v="No"/>
    <m/>
  </r>
  <r>
    <n v="60.533333333333331"/>
    <d v="2012-05-11T00:00:00"/>
    <x v="1"/>
    <s v="KBSS"/>
    <s v="Kachin"/>
    <s v="Shwegu"/>
    <s v="Shwe Gu Catholic Church"/>
    <m/>
    <m/>
    <m/>
    <n v="37"/>
    <n v="22"/>
    <n v="37"/>
    <n v="22"/>
    <n v="22"/>
    <n v="22"/>
    <n v="22"/>
    <m/>
    <m/>
    <m/>
    <m/>
    <m/>
    <m/>
    <m/>
    <n v="0"/>
    <n v="0"/>
    <n v="0"/>
    <n v="0"/>
    <n v="0"/>
    <n v="0"/>
    <n v="0"/>
    <n v="0"/>
    <n v="0"/>
    <n v="0"/>
    <n v="0"/>
    <n v="0"/>
    <n v="0"/>
    <n v="0"/>
    <x v="0"/>
    <n v="0"/>
    <n v="0"/>
    <n v="0"/>
    <s v="MMR001CMP068"/>
    <x v="0"/>
    <x v="0"/>
    <x v="4"/>
    <n v="5.4020871700429711E-4"/>
    <s v="No"/>
    <m/>
  </r>
  <r>
    <n v="60.6"/>
    <d v="2012-05-09T00:00:00"/>
    <x v="1"/>
    <s v="UNHCR"/>
    <s v="Kachin"/>
    <s v="Waingmaw"/>
    <s v="Waingmaw Baptist Zonal Office"/>
    <m/>
    <m/>
    <m/>
    <n v="161"/>
    <n v="83"/>
    <n v="161"/>
    <n v="83"/>
    <n v="83"/>
    <n v="83"/>
    <n v="83"/>
    <m/>
    <m/>
    <m/>
    <m/>
    <m/>
    <m/>
    <m/>
    <n v="0"/>
    <n v="0"/>
    <n v="0"/>
    <n v="0"/>
    <n v="0"/>
    <n v="0"/>
    <n v="0"/>
    <n v="0"/>
    <n v="0"/>
    <n v="0"/>
    <n v="0"/>
    <n v="0"/>
    <n v="0"/>
    <n v="0"/>
    <x v="0"/>
    <n v="0"/>
    <n v="0"/>
    <n v="0"/>
    <s v="MMR001CMP036"/>
    <x v="0"/>
    <x v="2"/>
    <x v="4"/>
    <n v="2.0319232275754014E-3"/>
    <s v="No"/>
    <m/>
  </r>
  <r>
    <n v="60.8"/>
    <d v="2012-05-03T00:00:00"/>
    <x v="1"/>
    <s v="UNHCR"/>
    <s v="Kachin"/>
    <s v="Waingmaw"/>
    <s v="Maina AG Church"/>
    <m/>
    <m/>
    <m/>
    <n v="42"/>
    <n v="0"/>
    <n v="42"/>
    <n v="0"/>
    <n v="20"/>
    <n v="20"/>
    <n v="20"/>
    <m/>
    <m/>
    <m/>
    <m/>
    <m/>
    <m/>
    <m/>
    <n v="0"/>
    <n v="0"/>
    <n v="0"/>
    <n v="0"/>
    <n v="0"/>
    <n v="0"/>
    <n v="0"/>
    <n v="0"/>
    <n v="0"/>
    <n v="0"/>
    <n v="0"/>
    <n v="0"/>
    <n v="0"/>
    <n v="0"/>
    <x v="0"/>
    <n v="0"/>
    <n v="0"/>
    <n v="0"/>
    <s v="MMR001CMP031"/>
    <x v="0"/>
    <x v="0"/>
    <x v="4"/>
    <n v="0"/>
    <s v="No"/>
    <m/>
  </r>
  <r>
    <n v="60.8"/>
    <d v="2012-05-03T00:00:00"/>
    <x v="1"/>
    <s v="UNHCR"/>
    <s v="Kachin"/>
    <s v="Waingmaw"/>
    <s v="Qtr. 3 Mu-yin  Baptist Church"/>
    <m/>
    <m/>
    <m/>
    <n v="12"/>
    <n v="0"/>
    <n v="12"/>
    <n v="6"/>
    <n v="6"/>
    <n v="6"/>
    <n v="6"/>
    <m/>
    <m/>
    <m/>
    <m/>
    <m/>
    <m/>
    <m/>
    <n v="0"/>
    <n v="0"/>
    <n v="0"/>
    <n v="0"/>
    <n v="0"/>
    <n v="0"/>
    <n v="0"/>
    <n v="0"/>
    <n v="0"/>
    <n v="0"/>
    <n v="0"/>
    <n v="0"/>
    <n v="0"/>
    <n v="0"/>
    <x v="0"/>
    <n v="0"/>
    <n v="0"/>
    <n v="0"/>
    <s v="MMR001CMP030"/>
    <x v="0"/>
    <x v="0"/>
    <x v="4"/>
    <n v="1.474382602285293E-4"/>
    <s v="No"/>
    <m/>
  </r>
  <r>
    <n v="60.8"/>
    <d v="2012-05-03T00:00:00"/>
    <x v="1"/>
    <s v="UNHCR"/>
    <s v="Kachin"/>
    <s v="Waingmaw"/>
    <s v="Qtr. 4 Monestry (Thargaya Thayett Taw)"/>
    <m/>
    <m/>
    <m/>
    <n v="34"/>
    <n v="0"/>
    <n v="34"/>
    <n v="0"/>
    <n v="18"/>
    <n v="18"/>
    <n v="18"/>
    <m/>
    <m/>
    <m/>
    <m/>
    <m/>
    <m/>
    <m/>
    <n v="0"/>
    <n v="0"/>
    <n v="0"/>
    <n v="0"/>
    <n v="0"/>
    <n v="0"/>
    <n v="0"/>
    <n v="0"/>
    <n v="0"/>
    <n v="0"/>
    <n v="0"/>
    <n v="0"/>
    <n v="0"/>
    <n v="0"/>
    <x v="0"/>
    <n v="0"/>
    <n v="0"/>
    <n v="0"/>
    <s v="MMR001CMP026"/>
    <x v="0"/>
    <x v="0"/>
    <x v="4"/>
    <n v="0"/>
    <s v="No"/>
    <m/>
  </r>
  <r>
    <n v="60.8"/>
    <d v="2012-05-03T00:00:00"/>
    <x v="1"/>
    <s v="UNHCR"/>
    <s v="Kachin"/>
    <s v="Myitkyina"/>
    <s v="Myay Myint Baptist Church"/>
    <m/>
    <m/>
    <m/>
    <n v="0"/>
    <n v="0"/>
    <n v="0"/>
    <n v="0"/>
    <n v="5"/>
    <n v="5"/>
    <n v="5"/>
    <m/>
    <m/>
    <m/>
    <m/>
    <m/>
    <m/>
    <m/>
    <n v="0"/>
    <n v="0"/>
    <n v="0"/>
    <n v="0"/>
    <n v="0"/>
    <n v="0"/>
    <n v="0"/>
    <n v="0"/>
    <n v="0"/>
    <n v="0"/>
    <n v="0"/>
    <n v="0"/>
    <n v="0"/>
    <n v="0"/>
    <x v="0"/>
    <n v="0"/>
    <n v="0"/>
    <n v="0"/>
    <s v="MMR001CMP017"/>
    <x v="0"/>
    <x v="2"/>
    <x v="4"/>
    <n v="0"/>
    <s v="No"/>
    <m/>
  </r>
  <r>
    <n v="60.866666666666667"/>
    <d v="2012-05-01T00:00:00"/>
    <x v="1"/>
    <s v="UNHCR"/>
    <s v="Kachin"/>
    <s v="Waingmaw"/>
    <s v="Qtr. 4 Monestry (Thargaya Thayett Taw)"/>
    <m/>
    <m/>
    <m/>
    <n v="52"/>
    <n v="0"/>
    <n v="52"/>
    <n v="0"/>
    <n v="24"/>
    <n v="24"/>
    <n v="24"/>
    <m/>
    <m/>
    <m/>
    <m/>
    <m/>
    <m/>
    <m/>
    <n v="0"/>
    <n v="0"/>
    <n v="0"/>
    <n v="0"/>
    <n v="0"/>
    <n v="0"/>
    <n v="0"/>
    <n v="0"/>
    <n v="0"/>
    <n v="0"/>
    <n v="0"/>
    <n v="0"/>
    <n v="0"/>
    <n v="0"/>
    <x v="0"/>
    <n v="0"/>
    <n v="0"/>
    <n v="0"/>
    <s v="MMR001CMP026"/>
    <x v="0"/>
    <x v="0"/>
    <x v="4"/>
    <n v="0"/>
    <s v="No"/>
    <m/>
  </r>
  <r>
    <n v="61.06666666666667"/>
    <d v="2012-04-25T00:00:00"/>
    <x v="2"/>
    <m/>
    <s v="Kachin"/>
    <s v="Bhamo"/>
    <s v="AD-2000 Tharthana Compound"/>
    <n v="1173"/>
    <m/>
    <m/>
    <m/>
    <m/>
    <m/>
    <m/>
    <m/>
    <m/>
    <m/>
    <m/>
    <m/>
    <m/>
    <m/>
    <m/>
    <m/>
    <m/>
    <n v="0"/>
    <n v="0"/>
    <n v="0"/>
    <n v="0"/>
    <n v="0"/>
    <n v="0"/>
    <n v="0"/>
    <n v="0"/>
    <n v="0"/>
    <n v="0"/>
    <n v="0"/>
    <n v="0"/>
    <n v="0"/>
    <n v="0"/>
    <x v="0"/>
    <n v="0"/>
    <n v="0"/>
    <n v="0"/>
    <s v="MMR001CMP050"/>
    <x v="0"/>
    <x v="0"/>
    <x v="4"/>
    <n v="0"/>
    <m/>
    <m/>
  </r>
  <r>
    <n v="61.06666666666667"/>
    <d v="2012-04-25T00:00:00"/>
    <x v="1"/>
    <s v="UNHCR"/>
    <s v="Kachin"/>
    <s v="Momauk"/>
    <s v="Dum Bung "/>
    <m/>
    <m/>
    <m/>
    <n v="198"/>
    <n v="99"/>
    <n v="198"/>
    <n v="99"/>
    <n v="99"/>
    <n v="99"/>
    <n v="99"/>
    <m/>
    <m/>
    <m/>
    <m/>
    <m/>
    <m/>
    <m/>
    <n v="0"/>
    <n v="0"/>
    <n v="0"/>
    <n v="0"/>
    <n v="0"/>
    <n v="0"/>
    <n v="0"/>
    <n v="0"/>
    <n v="0"/>
    <n v="0"/>
    <n v="0"/>
    <n v="0"/>
    <n v="0"/>
    <n v="0"/>
    <x v="0"/>
    <n v="0"/>
    <n v="0"/>
    <n v="0"/>
    <s v="MMR001CMP123"/>
    <x v="0"/>
    <x v="0"/>
    <x v="5"/>
    <n v="2.429090195308666E-3"/>
    <s v="No"/>
    <m/>
  </r>
  <r>
    <n v="61.06666666666667"/>
    <d v="2012-04-25T00:00:00"/>
    <x v="1"/>
    <s v="UNHCR"/>
    <s v="Kachin"/>
    <s v="Myitkyina"/>
    <s v="Wun Tho Buddhist Monastery"/>
    <m/>
    <m/>
    <m/>
    <n v="39"/>
    <n v="19"/>
    <n v="78"/>
    <n v="19"/>
    <n v="0"/>
    <m/>
    <m/>
    <m/>
    <m/>
    <m/>
    <m/>
    <m/>
    <m/>
    <m/>
    <n v="0"/>
    <n v="0"/>
    <n v="0"/>
    <n v="0"/>
    <n v="0"/>
    <n v="0"/>
    <n v="0"/>
    <n v="0"/>
    <n v="0"/>
    <n v="0"/>
    <n v="0"/>
    <n v="0"/>
    <n v="0"/>
    <n v="0"/>
    <x v="0"/>
    <n v="0"/>
    <n v="0"/>
    <n v="0"/>
    <s v="MMR001CMP022"/>
    <x v="0"/>
    <x v="0"/>
    <x v="4"/>
    <n v="4.6341463414634144E-4"/>
    <s v="No"/>
    <m/>
  </r>
  <r>
    <n v="61.166666666666664"/>
    <d v="2012-04-22T00:00:00"/>
    <x v="1"/>
    <s v="UNHCR"/>
    <s v="Kachin"/>
    <s v="Momauk"/>
    <s v="Je Gau  (+ WaRaPa )"/>
    <m/>
    <m/>
    <m/>
    <n v="846"/>
    <n v="423"/>
    <n v="846"/>
    <n v="423"/>
    <n v="423"/>
    <n v="423"/>
    <n v="423"/>
    <m/>
    <m/>
    <m/>
    <m/>
    <m/>
    <m/>
    <m/>
    <n v="0"/>
    <n v="0"/>
    <n v="0"/>
    <n v="0"/>
    <n v="0"/>
    <n v="0"/>
    <n v="0"/>
    <n v="0"/>
    <n v="0"/>
    <n v="0"/>
    <n v="0"/>
    <n v="0"/>
    <n v="0"/>
    <n v="0"/>
    <x v="0"/>
    <n v="0"/>
    <n v="0"/>
    <n v="0"/>
    <s v=""/>
    <x v="2"/>
    <x v="1"/>
    <x v="2"/>
    <s v=""/>
    <s v="No"/>
    <m/>
  </r>
  <r>
    <n v="61.5"/>
    <d v="2012-04-12T00:00:00"/>
    <x v="1"/>
    <s v="UNHCR"/>
    <s v="Kachin"/>
    <s v="Waingmaw"/>
    <s v="Post 6 Camp"/>
    <m/>
    <m/>
    <m/>
    <n v="123"/>
    <n v="95"/>
    <n v="123"/>
    <n v="95"/>
    <n v="95"/>
    <n v="95"/>
    <n v="95"/>
    <m/>
    <m/>
    <m/>
    <m/>
    <m/>
    <m/>
    <m/>
    <n v="0"/>
    <n v="0"/>
    <n v="0"/>
    <n v="0"/>
    <n v="0"/>
    <n v="0"/>
    <n v="0"/>
    <n v="0"/>
    <n v="0"/>
    <n v="0"/>
    <n v="0"/>
    <n v="0"/>
    <n v="0"/>
    <n v="0"/>
    <x v="0"/>
    <n v="0"/>
    <n v="0"/>
    <n v="0"/>
    <s v="MMR001CMP160"/>
    <x v="0"/>
    <x v="0"/>
    <x v="3"/>
    <n v="2.3256952604778693E-3"/>
    <s v="No"/>
    <m/>
  </r>
  <r>
    <n v="61.56666666666667"/>
    <d v="2012-04-10T00:00:00"/>
    <x v="1"/>
    <s v="KBSS"/>
    <s v="Kachin"/>
    <s v="Shwegu"/>
    <s v="Shwe Gu Baptist Church"/>
    <m/>
    <m/>
    <m/>
    <n v="46"/>
    <n v="27"/>
    <n v="46"/>
    <n v="27"/>
    <n v="27"/>
    <n v="27"/>
    <n v="27"/>
    <m/>
    <m/>
    <m/>
    <m/>
    <m/>
    <m/>
    <m/>
    <n v="0"/>
    <n v="0"/>
    <n v="0"/>
    <n v="0"/>
    <n v="0"/>
    <n v="0"/>
    <n v="0"/>
    <n v="0"/>
    <n v="0"/>
    <n v="0"/>
    <n v="0"/>
    <n v="0"/>
    <n v="0"/>
    <n v="0"/>
    <x v="0"/>
    <n v="0"/>
    <n v="0"/>
    <n v="0"/>
    <s v="MMR001CMP067"/>
    <x v="0"/>
    <x v="0"/>
    <x v="4"/>
    <n v="6.6298342541436467E-4"/>
    <s v="No"/>
    <m/>
  </r>
  <r>
    <n v="61.56666666666667"/>
    <d v="2012-04-10T00:00:00"/>
    <x v="1"/>
    <s v="KBSS"/>
    <s v="Kachin"/>
    <s v="Shwegu"/>
    <s v="Shwe Gu Catholic Church"/>
    <m/>
    <m/>
    <m/>
    <n v="43"/>
    <n v="25"/>
    <n v="43"/>
    <n v="25"/>
    <n v="25"/>
    <n v="25"/>
    <n v="25"/>
    <m/>
    <m/>
    <m/>
    <m/>
    <m/>
    <m/>
    <m/>
    <n v="0"/>
    <n v="0"/>
    <n v="0"/>
    <n v="0"/>
    <n v="0"/>
    <n v="0"/>
    <n v="0"/>
    <n v="0"/>
    <n v="0"/>
    <n v="0"/>
    <n v="0"/>
    <n v="0"/>
    <n v="0"/>
    <n v="0"/>
    <x v="0"/>
    <n v="0"/>
    <n v="0"/>
    <n v="0"/>
    <s v="MMR001CMP068"/>
    <x v="0"/>
    <x v="0"/>
    <x v="4"/>
    <n v="6.1387354205033758E-4"/>
    <s v="No"/>
    <m/>
  </r>
  <r>
    <n v="61.633333333333333"/>
    <d v="2012-04-08T00:00:00"/>
    <x v="2"/>
    <m/>
    <s v="Kachin"/>
    <s v="Bhamo"/>
    <s v="AD-2000 Tharthana Compound"/>
    <n v="302"/>
    <m/>
    <m/>
    <m/>
    <m/>
    <m/>
    <m/>
    <m/>
    <m/>
    <m/>
    <m/>
    <m/>
    <m/>
    <m/>
    <m/>
    <m/>
    <m/>
    <n v="0"/>
    <n v="0"/>
    <n v="0"/>
    <n v="0"/>
    <n v="0"/>
    <n v="0"/>
    <n v="0"/>
    <n v="0"/>
    <n v="0"/>
    <n v="0"/>
    <n v="0"/>
    <n v="0"/>
    <n v="0"/>
    <n v="0"/>
    <x v="0"/>
    <n v="0"/>
    <n v="0"/>
    <n v="0"/>
    <s v="MMR001CMP050"/>
    <x v="0"/>
    <x v="0"/>
    <x v="4"/>
    <n v="0"/>
    <m/>
    <m/>
  </r>
  <r>
    <n v="61.733333333333334"/>
    <d v="2012-04-05T00:00:00"/>
    <x v="1"/>
    <s v="UNHCR"/>
    <s v="Kachin"/>
    <s v="Momauk"/>
    <s v="Momauk Catholic Church (St. Patrick)"/>
    <m/>
    <m/>
    <m/>
    <n v="0"/>
    <n v="50"/>
    <n v="0"/>
    <n v="0"/>
    <n v="0"/>
    <m/>
    <m/>
    <m/>
    <m/>
    <m/>
    <m/>
    <m/>
    <m/>
    <m/>
    <n v="0"/>
    <n v="0"/>
    <n v="0"/>
    <n v="0"/>
    <n v="0"/>
    <n v="0"/>
    <n v="0"/>
    <n v="0"/>
    <n v="0"/>
    <n v="0"/>
    <n v="0"/>
    <n v="0"/>
    <n v="0"/>
    <n v="0"/>
    <x v="0"/>
    <n v="0"/>
    <n v="0"/>
    <n v="0"/>
    <s v="MMR001CMP057"/>
    <x v="0"/>
    <x v="2"/>
    <x v="4"/>
    <n v="0"/>
    <s v="No"/>
    <m/>
  </r>
  <r>
    <n v="61.766666666666666"/>
    <d v="2012-04-04T00:00:00"/>
    <x v="1"/>
    <s v="UNHCR"/>
    <s v="Kachin"/>
    <s v="Mansi"/>
    <s v="Bum Tsit Pa "/>
    <m/>
    <m/>
    <m/>
    <n v="216"/>
    <n v="108"/>
    <n v="216"/>
    <n v="108"/>
    <n v="108"/>
    <n v="108"/>
    <n v="108"/>
    <m/>
    <m/>
    <m/>
    <m/>
    <m/>
    <m/>
    <m/>
    <n v="0"/>
    <n v="0"/>
    <n v="0"/>
    <n v="0"/>
    <n v="0"/>
    <n v="0"/>
    <n v="0"/>
    <n v="0"/>
    <n v="0"/>
    <n v="0"/>
    <n v="0"/>
    <n v="0"/>
    <n v="0"/>
    <n v="0"/>
    <x v="0"/>
    <n v="0"/>
    <n v="0"/>
    <n v="0"/>
    <s v="MMR001CMP129"/>
    <x v="0"/>
    <x v="0"/>
    <x v="5"/>
    <n v="2.6459563417203617E-3"/>
    <s v="No"/>
    <m/>
  </r>
  <r>
    <n v="61.8"/>
    <d v="2012-04-03T00:00:00"/>
    <x v="1"/>
    <s v="UNHCR"/>
    <s v="Kachin"/>
    <s v="Mansi"/>
    <s v="Lana Zup Ja "/>
    <m/>
    <m/>
    <m/>
    <n v="510"/>
    <n v="0"/>
    <n v="510"/>
    <n v="255"/>
    <n v="255"/>
    <n v="255"/>
    <n v="255"/>
    <m/>
    <m/>
    <m/>
    <m/>
    <m/>
    <m/>
    <m/>
    <n v="0"/>
    <n v="0"/>
    <n v="0"/>
    <n v="0"/>
    <n v="0"/>
    <n v="0"/>
    <n v="0"/>
    <n v="0"/>
    <n v="0"/>
    <n v="0"/>
    <n v="0"/>
    <n v="0"/>
    <n v="0"/>
    <n v="0"/>
    <x v="0"/>
    <n v="0"/>
    <n v="0"/>
    <n v="0"/>
    <s v="MMR001CMP128"/>
    <x v="0"/>
    <x v="0"/>
    <x v="5"/>
    <n v="6.2473969179508539E-3"/>
    <s v="No"/>
    <m/>
  </r>
  <r>
    <n v="61.966666666666669"/>
    <d v="2012-03-29T00:00:00"/>
    <x v="1"/>
    <s v="UNHCR"/>
    <s v="Kachin"/>
    <s v="Mansi"/>
    <s v="Bum Tsit Pa "/>
    <m/>
    <m/>
    <m/>
    <n v="66"/>
    <n v="66"/>
    <n v="0"/>
    <n v="0"/>
    <n v="0"/>
    <m/>
    <m/>
    <m/>
    <m/>
    <m/>
    <m/>
    <m/>
    <m/>
    <m/>
    <n v="0"/>
    <n v="0"/>
    <n v="0"/>
    <n v="0"/>
    <n v="0"/>
    <n v="0"/>
    <n v="0"/>
    <n v="0"/>
    <n v="0"/>
    <n v="0"/>
    <n v="0"/>
    <n v="0"/>
    <n v="0"/>
    <n v="0"/>
    <x v="0"/>
    <n v="0"/>
    <n v="0"/>
    <n v="0"/>
    <s v="MMR001CMP129"/>
    <x v="0"/>
    <x v="0"/>
    <x v="5"/>
    <n v="0"/>
    <s v="No"/>
    <m/>
  </r>
  <r>
    <n v="61.966666666666669"/>
    <d v="2012-03-29T00:00:00"/>
    <x v="1"/>
    <s v="UNHCR"/>
    <s v="Kachin"/>
    <s v="Momauk"/>
    <s v="Pa Kahtawng "/>
    <m/>
    <m/>
    <m/>
    <n v="0"/>
    <n v="50"/>
    <n v="0"/>
    <n v="0"/>
    <n v="0"/>
    <m/>
    <m/>
    <m/>
    <m/>
    <m/>
    <m/>
    <m/>
    <m/>
    <m/>
    <n v="0"/>
    <n v="0"/>
    <n v="0"/>
    <n v="0"/>
    <n v="0"/>
    <n v="0"/>
    <n v="0"/>
    <n v="0"/>
    <n v="0"/>
    <n v="0"/>
    <n v="0"/>
    <n v="0"/>
    <n v="0"/>
    <n v="0"/>
    <x v="0"/>
    <n v="0"/>
    <n v="0"/>
    <n v="0"/>
    <s v="MMR001CMP126"/>
    <x v="0"/>
    <x v="0"/>
    <x v="5"/>
    <n v="0"/>
    <s v="No"/>
    <m/>
  </r>
  <r>
    <n v="61.966666666666669"/>
    <d v="2012-03-29T00:00:00"/>
    <x v="1"/>
    <s v="UNHCR"/>
    <s v="Kachin"/>
    <s v="Momauk"/>
    <s v="Seng Ja "/>
    <m/>
    <m/>
    <m/>
    <n v="66"/>
    <n v="66"/>
    <n v="0"/>
    <n v="0"/>
    <n v="0"/>
    <m/>
    <m/>
    <m/>
    <m/>
    <m/>
    <m/>
    <m/>
    <m/>
    <m/>
    <n v="0"/>
    <n v="0"/>
    <n v="0"/>
    <n v="0"/>
    <n v="0"/>
    <n v="0"/>
    <n v="0"/>
    <n v="0"/>
    <n v="0"/>
    <n v="0"/>
    <n v="0"/>
    <n v="0"/>
    <n v="0"/>
    <n v="0"/>
    <x v="0"/>
    <n v="0"/>
    <n v="0"/>
    <n v="0"/>
    <s v="MMR001CMP073"/>
    <x v="0"/>
    <x v="0"/>
    <x v="0"/>
    <n v="0"/>
    <s v="No"/>
    <m/>
  </r>
  <r>
    <n v="62"/>
    <d v="2012-03-28T00:00:00"/>
    <x v="1"/>
    <s v="UNHCR"/>
    <s v="Kachin"/>
    <s v="Momauk"/>
    <s v="Mai Ja Yang Ung Lung "/>
    <m/>
    <m/>
    <m/>
    <n v="217"/>
    <n v="217"/>
    <n v="0"/>
    <n v="0"/>
    <n v="0"/>
    <m/>
    <m/>
    <m/>
    <m/>
    <m/>
    <m/>
    <m/>
    <m/>
    <m/>
    <n v="0"/>
    <n v="0"/>
    <n v="0"/>
    <n v="0"/>
    <n v="0"/>
    <n v="0"/>
    <n v="0"/>
    <n v="0"/>
    <n v="0"/>
    <n v="0"/>
    <n v="0"/>
    <n v="0"/>
    <n v="0"/>
    <n v="0"/>
    <x v="0"/>
    <n v="0"/>
    <n v="0"/>
    <n v="0"/>
    <s v=""/>
    <x v="2"/>
    <x v="1"/>
    <x v="2"/>
    <s v=""/>
    <s v="No"/>
    <m/>
  </r>
  <r>
    <n v="62.033333333333331"/>
    <d v="2012-03-27T00:00:00"/>
    <x v="1"/>
    <s v="UNHCR"/>
    <s v="Kachin"/>
    <s v="Bhamo"/>
    <s v="AD-2000 Tharthana Compound"/>
    <m/>
    <m/>
    <m/>
    <n v="560"/>
    <n v="280"/>
    <n v="560"/>
    <n v="280"/>
    <n v="280"/>
    <n v="280"/>
    <n v="280"/>
    <m/>
    <m/>
    <m/>
    <m/>
    <m/>
    <m/>
    <m/>
    <n v="0"/>
    <n v="0"/>
    <n v="0"/>
    <n v="0"/>
    <n v="0"/>
    <n v="0"/>
    <n v="0"/>
    <n v="0"/>
    <n v="0"/>
    <n v="0"/>
    <n v="0"/>
    <n v="0"/>
    <n v="0"/>
    <n v="0"/>
    <x v="0"/>
    <n v="0"/>
    <n v="0"/>
    <n v="0"/>
    <s v="MMR001CMP050"/>
    <x v="0"/>
    <x v="0"/>
    <x v="4"/>
    <n v="6.8546807677242463E-3"/>
    <s v="No"/>
    <m/>
  </r>
  <r>
    <n v="62.033333333333331"/>
    <d v="2012-03-27T00:00:00"/>
    <x v="1"/>
    <s v="UNHCR"/>
    <s v="Kachin"/>
    <s v="Waingmaw"/>
    <s v="Border Post 8"/>
    <m/>
    <m/>
    <m/>
    <n v="460"/>
    <n v="228"/>
    <n v="460"/>
    <n v="228"/>
    <n v="228"/>
    <n v="228"/>
    <n v="228"/>
    <m/>
    <m/>
    <m/>
    <m/>
    <m/>
    <m/>
    <m/>
    <n v="0"/>
    <n v="0"/>
    <n v="0"/>
    <n v="0"/>
    <n v="0"/>
    <n v="0"/>
    <n v="0"/>
    <n v="0"/>
    <n v="0"/>
    <n v="0"/>
    <n v="0"/>
    <n v="0"/>
    <n v="0"/>
    <n v="0"/>
    <x v="0"/>
    <n v="0"/>
    <n v="0"/>
    <n v="0"/>
    <s v="MMR001CMP113"/>
    <x v="0"/>
    <x v="0"/>
    <x v="3"/>
    <n v="5.5816686251468862E-3"/>
    <s v="No"/>
    <m/>
  </r>
  <r>
    <n v="62.033333333333331"/>
    <d v="2012-03-27T00:00:00"/>
    <x v="1"/>
    <s v="UNHCR"/>
    <s v="Kachin"/>
    <s v="Waingmaw"/>
    <s v="Post 6 Camp"/>
    <m/>
    <m/>
    <m/>
    <n v="0"/>
    <n v="40"/>
    <n v="0"/>
    <n v="0"/>
    <n v="0"/>
    <m/>
    <m/>
    <m/>
    <m/>
    <m/>
    <m/>
    <m/>
    <m/>
    <m/>
    <n v="0"/>
    <n v="0"/>
    <n v="0"/>
    <n v="0"/>
    <n v="0"/>
    <n v="0"/>
    <n v="0"/>
    <n v="0"/>
    <n v="0"/>
    <n v="0"/>
    <n v="0"/>
    <n v="0"/>
    <n v="0"/>
    <n v="0"/>
    <x v="0"/>
    <n v="0"/>
    <n v="0"/>
    <n v="0"/>
    <s v="MMR001CMP160"/>
    <x v="0"/>
    <x v="0"/>
    <x v="3"/>
    <n v="0"/>
    <s v="No"/>
    <m/>
  </r>
  <r>
    <n v="62.033333333333331"/>
    <d v="2012-03-27T00:00:00"/>
    <x v="1"/>
    <s v="UNHCR"/>
    <s v="Kachin"/>
    <s v="Bhamo"/>
    <s v="Robert Church"/>
    <m/>
    <m/>
    <m/>
    <n v="1000"/>
    <n v="500"/>
    <n v="1000"/>
    <n v="500"/>
    <n v="500"/>
    <n v="500"/>
    <n v="500"/>
    <m/>
    <m/>
    <m/>
    <m/>
    <m/>
    <m/>
    <m/>
    <n v="0"/>
    <n v="0"/>
    <n v="0"/>
    <n v="0"/>
    <n v="0"/>
    <n v="0"/>
    <n v="0"/>
    <n v="0"/>
    <n v="0"/>
    <n v="0"/>
    <n v="0"/>
    <n v="0"/>
    <n v="0"/>
    <n v="0"/>
    <x v="0"/>
    <n v="0"/>
    <n v="0"/>
    <n v="0"/>
    <s v="MMR001CMP047"/>
    <x v="0"/>
    <x v="0"/>
    <x v="4"/>
    <n v="1.2277470841006752E-2"/>
    <s v="No"/>
    <m/>
  </r>
  <r>
    <n v="62.033333333333331"/>
    <d v="2012-03-27T00:00:00"/>
    <x v="1"/>
    <s v="UNHCR"/>
    <s v="Kachin"/>
    <s v="Momauk"/>
    <s v="Mai Ja Yang Gat Pa "/>
    <m/>
    <m/>
    <m/>
    <n v="52"/>
    <n v="52"/>
    <n v="0"/>
    <n v="0"/>
    <n v="0"/>
    <m/>
    <m/>
    <m/>
    <m/>
    <m/>
    <m/>
    <m/>
    <m/>
    <m/>
    <n v="0"/>
    <n v="0"/>
    <n v="0"/>
    <n v="0"/>
    <n v="0"/>
    <n v="0"/>
    <n v="0"/>
    <n v="0"/>
    <n v="0"/>
    <n v="0"/>
    <n v="0"/>
    <n v="0"/>
    <n v="0"/>
    <n v="0"/>
    <x v="0"/>
    <n v="0"/>
    <n v="0"/>
    <n v="0"/>
    <s v=""/>
    <x v="2"/>
    <x v="1"/>
    <x v="2"/>
    <s v=""/>
    <s v="No"/>
    <m/>
  </r>
  <r>
    <n v="62.06666666666667"/>
    <d v="2012-03-26T00:00:00"/>
    <x v="1"/>
    <s v="UNHCR"/>
    <s v="Kachin"/>
    <s v="Waingmaw"/>
    <s v="Border Post 8"/>
    <m/>
    <m/>
    <m/>
    <n v="460"/>
    <n v="250"/>
    <n v="460"/>
    <n v="230"/>
    <n v="0"/>
    <m/>
    <m/>
    <m/>
    <m/>
    <m/>
    <m/>
    <m/>
    <m/>
    <m/>
    <n v="0"/>
    <n v="0"/>
    <n v="0"/>
    <n v="0"/>
    <n v="0"/>
    <n v="0"/>
    <n v="0"/>
    <n v="0"/>
    <n v="0"/>
    <n v="0"/>
    <n v="0"/>
    <n v="0"/>
    <n v="0"/>
    <n v="0"/>
    <x v="0"/>
    <n v="0"/>
    <n v="0"/>
    <n v="0"/>
    <s v="MMR001CMP113"/>
    <x v="0"/>
    <x v="0"/>
    <x v="3"/>
    <n v="5.6306306306306304E-3"/>
    <s v="No"/>
    <m/>
  </r>
  <r>
    <n v="62.06666666666667"/>
    <d v="2012-03-26T00:00:00"/>
    <x v="1"/>
    <s v="UNHCR"/>
    <s v="Kachin"/>
    <s v="Momauk"/>
    <s v="Momauk Catholic Church (St. Patrick)"/>
    <m/>
    <m/>
    <m/>
    <n v="49"/>
    <n v="49"/>
    <n v="0"/>
    <n v="0"/>
    <n v="49"/>
    <n v="49"/>
    <n v="49"/>
    <m/>
    <m/>
    <m/>
    <m/>
    <m/>
    <m/>
    <m/>
    <n v="0"/>
    <n v="0"/>
    <n v="0"/>
    <n v="0"/>
    <n v="0"/>
    <n v="0"/>
    <n v="0"/>
    <n v="0"/>
    <n v="0"/>
    <n v="0"/>
    <n v="0"/>
    <n v="0"/>
    <n v="0"/>
    <n v="0"/>
    <x v="0"/>
    <n v="0"/>
    <n v="0"/>
    <n v="0"/>
    <s v="MMR001CMP057"/>
    <x v="0"/>
    <x v="2"/>
    <x v="4"/>
    <n v="0"/>
    <s v="No"/>
    <m/>
  </r>
  <r>
    <n v="62.333333333333336"/>
    <d v="2012-03-18T00:00:00"/>
    <x v="2"/>
    <s v="Solidarities"/>
    <s v="Kachin"/>
    <s v="Momauk"/>
    <s v="Khun Sint Village"/>
    <n v="850"/>
    <m/>
    <m/>
    <m/>
    <m/>
    <m/>
    <m/>
    <m/>
    <m/>
    <m/>
    <m/>
    <m/>
    <m/>
    <m/>
    <m/>
    <m/>
    <m/>
    <n v="0"/>
    <n v="0"/>
    <n v="0"/>
    <n v="0"/>
    <n v="0"/>
    <n v="0"/>
    <n v="0"/>
    <n v="0"/>
    <n v="0"/>
    <n v="0"/>
    <n v="0"/>
    <n v="0"/>
    <n v="0"/>
    <n v="0"/>
    <x v="0"/>
    <n v="0"/>
    <n v="0"/>
    <n v="0"/>
    <s v="MMR001CMP200"/>
    <x v="0"/>
    <x v="0"/>
    <x v="4"/>
    <s v=""/>
    <m/>
    <m/>
  </r>
  <r>
    <n v="62.4"/>
    <d v="2012-03-16T00:00:00"/>
    <x v="2"/>
    <s v="LDO"/>
    <s v="Kachin"/>
    <s v="Shwegu"/>
    <s v="Shwe Gu Baptist Church"/>
    <n v="94"/>
    <m/>
    <m/>
    <m/>
    <m/>
    <m/>
    <m/>
    <m/>
    <m/>
    <m/>
    <m/>
    <m/>
    <m/>
    <m/>
    <m/>
    <m/>
    <m/>
    <n v="0"/>
    <n v="0"/>
    <n v="0"/>
    <n v="0"/>
    <n v="0"/>
    <n v="0"/>
    <n v="0"/>
    <n v="0"/>
    <n v="0"/>
    <n v="0"/>
    <n v="0"/>
    <n v="0"/>
    <n v="0"/>
    <n v="0"/>
    <x v="0"/>
    <n v="0"/>
    <n v="0"/>
    <n v="0"/>
    <s v="MMR001CMP067"/>
    <x v="0"/>
    <x v="0"/>
    <x v="4"/>
    <n v="0"/>
    <m/>
    <m/>
  </r>
  <r>
    <n v="62.4"/>
    <d v="2012-03-16T00:00:00"/>
    <x v="2"/>
    <s v="LDO"/>
    <s v="Kachin"/>
    <s v="Shwegu"/>
    <s v="Shwe Gu Catholic Church"/>
    <n v="49"/>
    <m/>
    <m/>
    <m/>
    <m/>
    <m/>
    <m/>
    <m/>
    <m/>
    <m/>
    <m/>
    <m/>
    <m/>
    <m/>
    <m/>
    <m/>
    <m/>
    <n v="0"/>
    <n v="0"/>
    <n v="0"/>
    <n v="0"/>
    <n v="0"/>
    <n v="0"/>
    <n v="0"/>
    <n v="0"/>
    <n v="0"/>
    <n v="0"/>
    <n v="0"/>
    <n v="0"/>
    <n v="0"/>
    <n v="0"/>
    <x v="0"/>
    <n v="0"/>
    <n v="0"/>
    <n v="0"/>
    <s v="MMR001CMP068"/>
    <x v="0"/>
    <x v="0"/>
    <x v="4"/>
    <n v="0"/>
    <m/>
    <m/>
  </r>
  <r>
    <n v="62.466666666666669"/>
    <d v="2012-03-14T00:00:00"/>
    <x v="2"/>
    <s v="Solidarities"/>
    <s v="Kachin"/>
    <s v="Bhamo"/>
    <s v="Robert Church"/>
    <n v="2188"/>
    <m/>
    <m/>
    <m/>
    <m/>
    <m/>
    <m/>
    <m/>
    <m/>
    <m/>
    <m/>
    <m/>
    <m/>
    <m/>
    <m/>
    <m/>
    <m/>
    <n v="0"/>
    <n v="0"/>
    <n v="0"/>
    <n v="0"/>
    <n v="0"/>
    <n v="0"/>
    <n v="0"/>
    <n v="0"/>
    <n v="0"/>
    <n v="0"/>
    <n v="0"/>
    <n v="0"/>
    <n v="0"/>
    <n v="0"/>
    <x v="0"/>
    <n v="0"/>
    <n v="0"/>
    <n v="0"/>
    <s v="MMR001CMP047"/>
    <x v="0"/>
    <x v="0"/>
    <x v="4"/>
    <n v="0"/>
    <m/>
    <m/>
  </r>
  <r>
    <n v="62.6"/>
    <d v="2012-03-10T00:00:00"/>
    <x v="2"/>
    <m/>
    <s v="Kachin"/>
    <s v="Momauk"/>
    <s v="Tarli "/>
    <n v="36"/>
    <m/>
    <m/>
    <m/>
    <m/>
    <m/>
    <m/>
    <m/>
    <m/>
    <m/>
    <m/>
    <m/>
    <m/>
    <m/>
    <m/>
    <m/>
    <m/>
    <n v="0"/>
    <n v="0"/>
    <n v="0"/>
    <n v="0"/>
    <n v="0"/>
    <n v="0"/>
    <n v="0"/>
    <n v="0"/>
    <n v="0"/>
    <n v="0"/>
    <n v="0"/>
    <n v="0"/>
    <n v="0"/>
    <n v="0"/>
    <x v="0"/>
    <n v="0"/>
    <n v="0"/>
    <n v="0"/>
    <s v="MMR001CMP060"/>
    <x v="0"/>
    <x v="2"/>
    <x v="4"/>
    <s v=""/>
    <m/>
    <m/>
  </r>
  <r>
    <n v="62.7"/>
    <d v="2012-03-07T00:00:00"/>
    <x v="1"/>
    <s v="UNHCR"/>
    <s v="Kachin"/>
    <s v="Waingmaw"/>
    <s v="Qtr. 2 Lhaovo Baptist Church"/>
    <m/>
    <m/>
    <m/>
    <n v="12"/>
    <n v="8"/>
    <n v="12"/>
    <n v="8"/>
    <n v="8"/>
    <n v="8"/>
    <n v="8"/>
    <m/>
    <m/>
    <m/>
    <m/>
    <m/>
    <m/>
    <m/>
    <n v="0"/>
    <n v="0"/>
    <n v="0"/>
    <n v="0"/>
    <n v="0"/>
    <n v="0"/>
    <n v="0"/>
    <n v="0"/>
    <n v="0"/>
    <n v="0"/>
    <n v="0"/>
    <n v="0"/>
    <n v="0"/>
    <n v="0"/>
    <x v="0"/>
    <n v="0"/>
    <n v="0"/>
    <n v="0"/>
    <s v="MMR001CMP032"/>
    <x v="0"/>
    <x v="0"/>
    <x v="4"/>
    <n v="1.9643953345610803E-4"/>
    <s v="No"/>
    <m/>
  </r>
  <r>
    <n v="62.7"/>
    <d v="2012-03-07T00:00:00"/>
    <x v="1"/>
    <s v="UNHCR"/>
    <s v="Kachin"/>
    <s v="Waingmaw"/>
    <s v="Thargaya Lisu Baptist Church"/>
    <m/>
    <m/>
    <m/>
    <n v="38"/>
    <n v="18"/>
    <n v="38"/>
    <n v="17"/>
    <n v="18"/>
    <n v="18"/>
    <n v="18"/>
    <m/>
    <m/>
    <m/>
    <m/>
    <m/>
    <m/>
    <m/>
    <n v="0"/>
    <n v="0"/>
    <n v="0"/>
    <n v="0"/>
    <n v="0"/>
    <n v="0"/>
    <n v="0"/>
    <n v="0"/>
    <n v="0"/>
    <n v="0"/>
    <n v="0"/>
    <n v="0"/>
    <n v="0"/>
    <n v="0"/>
    <x v="0"/>
    <n v="0"/>
    <n v="0"/>
    <n v="0"/>
    <s v="MMR001CMP037"/>
    <x v="0"/>
    <x v="0"/>
    <x v="4"/>
    <n v="4.1617704661182925E-4"/>
    <s v="No"/>
    <m/>
  </r>
  <r>
    <n v="63"/>
    <d v="2012-02-27T00:00:00"/>
    <x v="1"/>
    <s v="SC&amp;L Group"/>
    <s v="Kachin"/>
    <s v="Myitkyina"/>
    <s v="Wun Tho Buddhist Monastery"/>
    <m/>
    <m/>
    <m/>
    <n v="34"/>
    <n v="0"/>
    <n v="34"/>
    <n v="0"/>
    <n v="34"/>
    <n v="34"/>
    <n v="34"/>
    <m/>
    <m/>
    <m/>
    <m/>
    <m/>
    <m/>
    <m/>
    <n v="0"/>
    <n v="0"/>
    <n v="0"/>
    <n v="0"/>
    <n v="0"/>
    <n v="0"/>
    <n v="0"/>
    <n v="0"/>
    <n v="0"/>
    <n v="0"/>
    <n v="0"/>
    <n v="0"/>
    <n v="0"/>
    <n v="0"/>
    <x v="0"/>
    <n v="0"/>
    <n v="0"/>
    <n v="0"/>
    <s v="MMR001CMP022"/>
    <x v="0"/>
    <x v="0"/>
    <x v="4"/>
    <n v="0"/>
    <s v="No"/>
    <m/>
  </r>
  <r>
    <n v="63.033333333333331"/>
    <d v="2012-02-26T00:00:00"/>
    <x v="1"/>
    <s v="UNHCR"/>
    <s v="Kachin"/>
    <s v="Myitkyina"/>
    <s v="Pamati Kayan"/>
    <m/>
    <m/>
    <m/>
    <n v="25"/>
    <n v="18"/>
    <n v="25"/>
    <n v="18"/>
    <n v="18"/>
    <n v="18"/>
    <n v="18"/>
    <m/>
    <m/>
    <m/>
    <m/>
    <m/>
    <m/>
    <m/>
    <n v="0"/>
    <n v="0"/>
    <n v="0"/>
    <n v="0"/>
    <n v="0"/>
    <n v="0"/>
    <n v="0"/>
    <n v="0"/>
    <n v="0"/>
    <n v="0"/>
    <n v="0"/>
    <n v="0"/>
    <n v="0"/>
    <n v="0"/>
    <x v="0"/>
    <n v="0"/>
    <n v="0"/>
    <n v="0"/>
    <s v=""/>
    <x v="2"/>
    <x v="1"/>
    <x v="2"/>
    <s v=""/>
    <s v="No"/>
    <s v="Lone Zut"/>
  </r>
  <r>
    <n v="63.033333333333331"/>
    <d v="2012-02-26T00:00:00"/>
    <x v="1"/>
    <s v="SC&amp;L Group"/>
    <s v="Kachin"/>
    <s v="Myitkyina"/>
    <s v="Pan Ma Tee"/>
    <m/>
    <m/>
    <m/>
    <n v="25"/>
    <n v="0"/>
    <n v="25"/>
    <n v="0"/>
    <n v="10"/>
    <n v="10"/>
    <n v="10"/>
    <m/>
    <m/>
    <m/>
    <m/>
    <m/>
    <m/>
    <m/>
    <n v="0"/>
    <n v="0"/>
    <n v="0"/>
    <n v="0"/>
    <n v="0"/>
    <n v="0"/>
    <n v="0"/>
    <n v="0"/>
    <n v="0"/>
    <n v="0"/>
    <n v="0"/>
    <n v="0"/>
    <n v="0"/>
    <n v="0"/>
    <x v="0"/>
    <n v="0"/>
    <n v="0"/>
    <n v="0"/>
    <s v=""/>
    <x v="2"/>
    <x v="1"/>
    <x v="2"/>
    <s v=""/>
    <s v="No"/>
    <m/>
  </r>
  <r>
    <n v="63.133333333333333"/>
    <d v="2012-02-23T00:00:00"/>
    <x v="2"/>
    <s v="Solidarities"/>
    <s v="Kachin"/>
    <s v="Momauk"/>
    <s v="Loi Je Baptist Church"/>
    <n v="172"/>
    <m/>
    <m/>
    <m/>
    <m/>
    <m/>
    <m/>
    <m/>
    <m/>
    <m/>
    <m/>
    <m/>
    <m/>
    <m/>
    <m/>
    <m/>
    <m/>
    <n v="0"/>
    <n v="0"/>
    <n v="0"/>
    <n v="0"/>
    <n v="0"/>
    <n v="0"/>
    <n v="0"/>
    <n v="0"/>
    <n v="0"/>
    <n v="0"/>
    <n v="0"/>
    <n v="0"/>
    <n v="0"/>
    <n v="0"/>
    <x v="0"/>
    <n v="0"/>
    <n v="0"/>
    <n v="0"/>
    <s v="MMR001CMP071"/>
    <x v="0"/>
    <x v="0"/>
    <x v="0"/>
    <n v="0"/>
    <m/>
    <m/>
  </r>
  <r>
    <n v="63.133333333333333"/>
    <d v="2012-02-23T00:00:00"/>
    <x v="2"/>
    <s v="Solidarities"/>
    <s v="Kachin"/>
    <s v="Momauk"/>
    <s v="Loi Je Catholic Church"/>
    <n v="227"/>
    <m/>
    <m/>
    <m/>
    <m/>
    <m/>
    <m/>
    <m/>
    <m/>
    <m/>
    <m/>
    <m/>
    <m/>
    <m/>
    <m/>
    <m/>
    <m/>
    <n v="0"/>
    <n v="0"/>
    <n v="0"/>
    <n v="0"/>
    <n v="0"/>
    <n v="0"/>
    <n v="0"/>
    <n v="0"/>
    <n v="0"/>
    <n v="0"/>
    <n v="0"/>
    <n v="0"/>
    <n v="0"/>
    <n v="0"/>
    <x v="0"/>
    <n v="0"/>
    <n v="0"/>
    <n v="0"/>
    <s v="MMR001CMP069"/>
    <x v="0"/>
    <x v="0"/>
    <x v="0"/>
    <n v="0"/>
    <m/>
    <m/>
  </r>
  <r>
    <n v="63.166666666666664"/>
    <d v="2012-02-22T00:00:00"/>
    <x v="2"/>
    <s v="Solidarities"/>
    <s v="Kachin"/>
    <s v="Bhamo"/>
    <s v="Chan Myae monastery"/>
    <n v="23"/>
    <m/>
    <m/>
    <m/>
    <m/>
    <m/>
    <m/>
    <m/>
    <m/>
    <m/>
    <m/>
    <m/>
    <m/>
    <m/>
    <m/>
    <m/>
    <m/>
    <n v="0"/>
    <n v="0"/>
    <n v="0"/>
    <n v="0"/>
    <n v="0"/>
    <n v="0"/>
    <n v="0"/>
    <n v="0"/>
    <n v="0"/>
    <n v="0"/>
    <n v="0"/>
    <n v="0"/>
    <n v="0"/>
    <n v="0"/>
    <x v="0"/>
    <n v="0"/>
    <n v="0"/>
    <n v="0"/>
    <s v=""/>
    <x v="2"/>
    <x v="1"/>
    <x v="2"/>
    <s v=""/>
    <m/>
    <m/>
  </r>
  <r>
    <n v="63.166666666666664"/>
    <d v="2012-02-22T00:00:00"/>
    <x v="1"/>
    <s v="Shalom"/>
    <s v="Kachin"/>
    <s v="Momauk"/>
    <s v="Ni Thaw Ka Monestry"/>
    <n v="149"/>
    <m/>
    <m/>
    <m/>
    <m/>
    <m/>
    <m/>
    <m/>
    <m/>
    <m/>
    <m/>
    <m/>
    <m/>
    <m/>
    <m/>
    <m/>
    <m/>
    <n v="0"/>
    <n v="0"/>
    <n v="0"/>
    <n v="0"/>
    <n v="0"/>
    <n v="0"/>
    <n v="0"/>
    <n v="0"/>
    <n v="0"/>
    <n v="0"/>
    <n v="0"/>
    <n v="0"/>
    <n v="0"/>
    <n v="0"/>
    <x v="0"/>
    <n v="0"/>
    <n v="0"/>
    <n v="0"/>
    <s v="MMR001CMP059"/>
    <x v="0"/>
    <x v="2"/>
    <x v="4"/>
    <n v="0"/>
    <m/>
    <m/>
  </r>
  <r>
    <n v="63.166666666666664"/>
    <d v="2012-02-22T00:00:00"/>
    <x v="2"/>
    <s v="Solidarities"/>
    <s v="Kachin"/>
    <s v="Momauk"/>
    <s v="Ni Thaw Ka Monestry"/>
    <n v="149"/>
    <m/>
    <m/>
    <m/>
    <m/>
    <m/>
    <m/>
    <m/>
    <m/>
    <m/>
    <m/>
    <m/>
    <m/>
    <m/>
    <m/>
    <m/>
    <m/>
    <n v="0"/>
    <n v="0"/>
    <n v="0"/>
    <n v="0"/>
    <n v="0"/>
    <n v="0"/>
    <n v="0"/>
    <n v="0"/>
    <n v="0"/>
    <n v="0"/>
    <n v="0"/>
    <n v="0"/>
    <n v="0"/>
    <n v="0"/>
    <x v="0"/>
    <n v="0"/>
    <n v="0"/>
    <n v="0"/>
    <s v="MMR001CMP059"/>
    <x v="0"/>
    <x v="2"/>
    <x v="4"/>
    <n v="0"/>
    <m/>
    <m/>
  </r>
  <r>
    <n v="63.333333333333336"/>
    <d v="2012-02-17T00:00:00"/>
    <x v="2"/>
    <s v="Solidarities"/>
    <s v="Kachin"/>
    <s v="Bhamo"/>
    <s v="Htoi San Church"/>
    <n v="240"/>
    <m/>
    <m/>
    <m/>
    <m/>
    <m/>
    <m/>
    <m/>
    <m/>
    <m/>
    <m/>
    <m/>
    <m/>
    <m/>
    <m/>
    <m/>
    <m/>
    <n v="0"/>
    <n v="0"/>
    <n v="0"/>
    <n v="0"/>
    <n v="0"/>
    <n v="0"/>
    <n v="0"/>
    <n v="0"/>
    <n v="0"/>
    <n v="0"/>
    <n v="0"/>
    <n v="0"/>
    <n v="0"/>
    <n v="0"/>
    <x v="0"/>
    <n v="0"/>
    <n v="0"/>
    <n v="0"/>
    <s v="MMR001CMP052"/>
    <x v="0"/>
    <x v="0"/>
    <x v="4"/>
    <n v="0"/>
    <m/>
    <m/>
  </r>
  <r>
    <n v="63.4"/>
    <d v="2012-02-15T00:00:00"/>
    <x v="2"/>
    <s v="Solidarities"/>
    <s v="Kachin"/>
    <s v="Shwegu"/>
    <s v="Host Families"/>
    <n v="1070"/>
    <m/>
    <m/>
    <m/>
    <m/>
    <m/>
    <m/>
    <m/>
    <m/>
    <m/>
    <m/>
    <m/>
    <m/>
    <m/>
    <m/>
    <m/>
    <m/>
    <n v="0"/>
    <n v="0"/>
    <n v="0"/>
    <n v="0"/>
    <n v="0"/>
    <n v="0"/>
    <n v="0"/>
    <n v="0"/>
    <n v="0"/>
    <n v="0"/>
    <n v="0"/>
    <n v="0"/>
    <n v="0"/>
    <n v="0"/>
    <x v="0"/>
    <n v="0"/>
    <n v="0"/>
    <n v="0"/>
    <s v="MMR001CMP163"/>
    <x v="0"/>
    <x v="0"/>
    <x v="4"/>
    <s v=""/>
    <m/>
    <m/>
  </r>
  <r>
    <n v="63.4"/>
    <d v="2012-02-15T00:00:00"/>
    <x v="2"/>
    <s v="Solidarities"/>
    <s v="Kachin"/>
    <s v="Momauk"/>
    <s v="Man Bung Catholic compound"/>
    <n v="8"/>
    <m/>
    <m/>
    <m/>
    <m/>
    <m/>
    <m/>
    <m/>
    <m/>
    <m/>
    <m/>
    <m/>
    <m/>
    <m/>
    <m/>
    <m/>
    <m/>
    <n v="0"/>
    <n v="0"/>
    <n v="0"/>
    <n v="0"/>
    <n v="0"/>
    <n v="0"/>
    <n v="0"/>
    <n v="0"/>
    <n v="0"/>
    <n v="0"/>
    <n v="0"/>
    <n v="0"/>
    <n v="0"/>
    <n v="0"/>
    <x v="0"/>
    <n v="0"/>
    <n v="0"/>
    <n v="0"/>
    <s v="MMR001CMP062"/>
    <x v="0"/>
    <x v="0"/>
    <x v="4"/>
    <n v="0"/>
    <m/>
    <m/>
  </r>
  <r>
    <n v="63.43333333333333"/>
    <d v="2012-02-14T00:00:00"/>
    <x v="2"/>
    <s v="Solidarities"/>
    <s v="Kachin"/>
    <s v="Shwegu"/>
    <s v="Host Families"/>
    <n v="429"/>
    <m/>
    <m/>
    <m/>
    <m/>
    <m/>
    <m/>
    <m/>
    <m/>
    <m/>
    <m/>
    <m/>
    <m/>
    <m/>
    <m/>
    <m/>
    <m/>
    <n v="0"/>
    <n v="0"/>
    <n v="0"/>
    <n v="0"/>
    <n v="0"/>
    <n v="0"/>
    <n v="0"/>
    <n v="0"/>
    <n v="0"/>
    <n v="0"/>
    <n v="0"/>
    <n v="0"/>
    <n v="0"/>
    <n v="0"/>
    <x v="0"/>
    <n v="0"/>
    <n v="0"/>
    <n v="0"/>
    <s v="MMR001CMP163"/>
    <x v="0"/>
    <x v="0"/>
    <x v="4"/>
    <s v=""/>
    <m/>
    <m/>
  </r>
  <r>
    <n v="63.56666666666667"/>
    <d v="2012-02-10T00:00:00"/>
    <x v="2"/>
    <s v="Solidarities"/>
    <s v="Kachin"/>
    <s v="Momauk"/>
    <s v="Momauk Catholic Church (St. Patrick)"/>
    <n v="192"/>
    <m/>
    <m/>
    <m/>
    <m/>
    <m/>
    <m/>
    <m/>
    <m/>
    <m/>
    <m/>
    <m/>
    <m/>
    <m/>
    <m/>
    <m/>
    <m/>
    <n v="0"/>
    <n v="0"/>
    <n v="0"/>
    <n v="0"/>
    <n v="0"/>
    <n v="0"/>
    <n v="0"/>
    <n v="0"/>
    <n v="0"/>
    <n v="0"/>
    <n v="0"/>
    <n v="0"/>
    <n v="0"/>
    <n v="0"/>
    <x v="0"/>
    <n v="0"/>
    <n v="0"/>
    <n v="0"/>
    <s v="MMR001CMP057"/>
    <x v="0"/>
    <x v="2"/>
    <x v="4"/>
    <n v="0"/>
    <m/>
    <m/>
  </r>
  <r>
    <n v="63.6"/>
    <d v="2012-02-09T00:00:00"/>
    <x v="2"/>
    <s v="Solidarities"/>
    <s v="Kachin"/>
    <s v="Momauk"/>
    <s v="Momauk Baptist Church"/>
    <n v="138"/>
    <m/>
    <m/>
    <m/>
    <m/>
    <m/>
    <m/>
    <m/>
    <m/>
    <m/>
    <m/>
    <m/>
    <m/>
    <m/>
    <m/>
    <m/>
    <m/>
    <n v="0"/>
    <n v="0"/>
    <n v="0"/>
    <n v="0"/>
    <n v="0"/>
    <n v="0"/>
    <n v="0"/>
    <n v="0"/>
    <n v="0"/>
    <n v="0"/>
    <n v="0"/>
    <n v="0"/>
    <n v="0"/>
    <n v="0"/>
    <x v="0"/>
    <n v="0"/>
    <n v="0"/>
    <n v="0"/>
    <s v="MMR001CMP056"/>
    <x v="0"/>
    <x v="0"/>
    <x v="4"/>
    <n v="0"/>
    <m/>
    <m/>
  </r>
  <r>
    <n v="63.666666666666664"/>
    <d v="2012-02-07T00:00:00"/>
    <x v="1"/>
    <s v="SC&amp;L Group"/>
    <s v="Kachin"/>
    <s v="Myitkyina"/>
    <s v="Maw Hpawng Hka Nan Baptist Church"/>
    <m/>
    <m/>
    <m/>
    <n v="38"/>
    <n v="18"/>
    <n v="38"/>
    <n v="18"/>
    <n v="18"/>
    <n v="18"/>
    <n v="18"/>
    <m/>
    <m/>
    <m/>
    <m/>
    <m/>
    <m/>
    <m/>
    <n v="0"/>
    <n v="0"/>
    <n v="0"/>
    <n v="0"/>
    <n v="0"/>
    <n v="0"/>
    <n v="0"/>
    <n v="0"/>
    <n v="0"/>
    <n v="0"/>
    <n v="0"/>
    <n v="0"/>
    <n v="0"/>
    <n v="0"/>
    <x v="0"/>
    <n v="0"/>
    <n v="0"/>
    <n v="0"/>
    <s v="MMR001CMP020"/>
    <x v="0"/>
    <x v="0"/>
    <x v="4"/>
    <n v="4.4099272362006027E-4"/>
    <s v="No"/>
    <m/>
  </r>
  <r>
    <n v="63.666666666666664"/>
    <d v="2012-02-07T00:00:00"/>
    <x v="2"/>
    <s v="Solidarities"/>
    <s v="Kachin"/>
    <s v="Bhamo"/>
    <s v="Nant Hlaing Church"/>
    <n v="90"/>
    <m/>
    <m/>
    <m/>
    <m/>
    <m/>
    <m/>
    <m/>
    <m/>
    <m/>
    <m/>
    <m/>
    <m/>
    <m/>
    <m/>
    <m/>
    <m/>
    <n v="0"/>
    <n v="0"/>
    <n v="0"/>
    <n v="0"/>
    <n v="0"/>
    <n v="0"/>
    <n v="0"/>
    <n v="0"/>
    <n v="0"/>
    <n v="0"/>
    <n v="0"/>
    <n v="0"/>
    <n v="0"/>
    <n v="0"/>
    <x v="0"/>
    <n v="0"/>
    <n v="0"/>
    <n v="0"/>
    <s v="MMR001CMP054"/>
    <x v="0"/>
    <x v="0"/>
    <x v="4"/>
    <n v="0"/>
    <m/>
    <m/>
  </r>
  <r>
    <n v="63.7"/>
    <d v="2012-02-06T00:00:00"/>
    <x v="1"/>
    <s v="UNHCR"/>
    <s v="Kachin"/>
    <s v="Waingmaw"/>
    <s v="Qtr. 4 Monestry (Thargaya Thayett Taw)"/>
    <m/>
    <m/>
    <m/>
    <n v="0"/>
    <n v="0"/>
    <n v="0"/>
    <n v="0"/>
    <n v="13"/>
    <n v="13"/>
    <n v="13"/>
    <m/>
    <m/>
    <m/>
    <m/>
    <m/>
    <m/>
    <m/>
    <n v="0"/>
    <n v="0"/>
    <n v="0"/>
    <n v="0"/>
    <n v="0"/>
    <n v="0"/>
    <n v="0"/>
    <n v="0"/>
    <n v="0"/>
    <n v="0"/>
    <n v="0"/>
    <n v="0"/>
    <n v="0"/>
    <n v="0"/>
    <x v="0"/>
    <n v="0"/>
    <n v="0"/>
    <n v="0"/>
    <s v="MMR001CMP026"/>
    <x v="0"/>
    <x v="0"/>
    <x v="4"/>
    <n v="0"/>
    <s v="No"/>
    <m/>
  </r>
  <r>
    <n v="63.833333333333336"/>
    <d v="2012-02-02T00:00:00"/>
    <x v="1"/>
    <s v="UNHCR"/>
    <s v="Kachin"/>
    <s v="Mansi"/>
    <s v="Mansi Baptist Church"/>
    <n v="718"/>
    <m/>
    <m/>
    <m/>
    <m/>
    <m/>
    <m/>
    <m/>
    <m/>
    <m/>
    <m/>
    <m/>
    <m/>
    <m/>
    <m/>
    <m/>
    <m/>
    <n v="0"/>
    <n v="0"/>
    <n v="0"/>
    <n v="0"/>
    <n v="0"/>
    <n v="0"/>
    <n v="0"/>
    <n v="0"/>
    <n v="0"/>
    <n v="0"/>
    <n v="0"/>
    <n v="0"/>
    <n v="0"/>
    <n v="0"/>
    <x v="0"/>
    <n v="0"/>
    <n v="0"/>
    <n v="0"/>
    <s v="MMR001CMP066"/>
    <x v="0"/>
    <x v="0"/>
    <x v="4"/>
    <n v="0"/>
    <m/>
    <m/>
  </r>
  <r>
    <n v="63.833333333333336"/>
    <d v="2012-02-02T00:00:00"/>
    <x v="2"/>
    <s v="Solidarities"/>
    <s v="Kachin"/>
    <s v="Mansi"/>
    <s v="Mansi Baptist Church"/>
    <n v="718"/>
    <m/>
    <m/>
    <m/>
    <m/>
    <m/>
    <m/>
    <m/>
    <m/>
    <m/>
    <m/>
    <m/>
    <m/>
    <m/>
    <m/>
    <m/>
    <m/>
    <n v="0"/>
    <n v="0"/>
    <n v="0"/>
    <n v="0"/>
    <n v="0"/>
    <n v="0"/>
    <n v="0"/>
    <n v="0"/>
    <n v="0"/>
    <n v="0"/>
    <n v="0"/>
    <n v="0"/>
    <n v="0"/>
    <n v="0"/>
    <x v="0"/>
    <n v="0"/>
    <n v="0"/>
    <n v="0"/>
    <s v="MMR001CMP066"/>
    <x v="0"/>
    <x v="0"/>
    <x v="4"/>
    <n v="0"/>
    <m/>
    <m/>
  </r>
  <r>
    <n v="63.9"/>
    <d v="2012-01-31T00:00:00"/>
    <x v="1"/>
    <s v="UNHCR"/>
    <s v="Kachin"/>
    <s v="Waingmaw"/>
    <s v="Qtr. 4 Monestry (Thargaya Thayett Taw)"/>
    <m/>
    <m/>
    <m/>
    <n v="0"/>
    <n v="0"/>
    <n v="0"/>
    <n v="0"/>
    <n v="61"/>
    <n v="61"/>
    <n v="61"/>
    <m/>
    <m/>
    <m/>
    <m/>
    <m/>
    <m/>
    <m/>
    <n v="0"/>
    <n v="0"/>
    <n v="0"/>
    <n v="0"/>
    <n v="0"/>
    <n v="0"/>
    <n v="0"/>
    <n v="0"/>
    <n v="0"/>
    <n v="0"/>
    <n v="0"/>
    <n v="0"/>
    <n v="0"/>
    <n v="0"/>
    <x v="0"/>
    <n v="0"/>
    <n v="0"/>
    <n v="0"/>
    <s v="MMR001CMP026"/>
    <x v="0"/>
    <x v="0"/>
    <x v="4"/>
    <n v="0"/>
    <s v="No"/>
    <m/>
  </r>
  <r>
    <n v="64.099999999999994"/>
    <d v="2012-01-25T00:00:00"/>
    <x v="2"/>
    <m/>
    <s v="Kachin"/>
    <s v="Bhamo"/>
    <s v="Lisu Boarding-House"/>
    <n v="94"/>
    <m/>
    <m/>
    <m/>
    <m/>
    <m/>
    <m/>
    <m/>
    <m/>
    <m/>
    <m/>
    <m/>
    <m/>
    <m/>
    <m/>
    <m/>
    <m/>
    <n v="0"/>
    <n v="0"/>
    <n v="0"/>
    <n v="0"/>
    <n v="0"/>
    <n v="0"/>
    <n v="0"/>
    <n v="0"/>
    <n v="0"/>
    <n v="0"/>
    <n v="0"/>
    <n v="0"/>
    <n v="0"/>
    <n v="0"/>
    <x v="0"/>
    <n v="0"/>
    <n v="0"/>
    <n v="0"/>
    <s v="MMR001CMP049"/>
    <x v="0"/>
    <x v="0"/>
    <x v="4"/>
    <n v="0"/>
    <m/>
    <m/>
  </r>
  <r>
    <n v="64.3"/>
    <d v="2012-01-19T00:00:00"/>
    <x v="1"/>
    <s v="KBC"/>
    <s v="Kachin"/>
    <s v="Myitkyina"/>
    <s v="Jan Mai Kawng Baptist Church"/>
    <m/>
    <m/>
    <m/>
    <n v="0"/>
    <n v="0"/>
    <n v="0"/>
    <n v="0"/>
    <n v="118"/>
    <n v="118"/>
    <n v="118"/>
    <m/>
    <m/>
    <m/>
    <m/>
    <m/>
    <m/>
    <m/>
    <n v="0"/>
    <n v="0"/>
    <n v="0"/>
    <n v="0"/>
    <n v="0"/>
    <n v="0"/>
    <n v="0"/>
    <n v="0"/>
    <n v="0"/>
    <n v="0"/>
    <n v="0"/>
    <n v="0"/>
    <n v="0"/>
    <n v="0"/>
    <x v="0"/>
    <n v="0"/>
    <n v="0"/>
    <n v="0"/>
    <s v="MMR001CMP018"/>
    <x v="0"/>
    <x v="0"/>
    <x v="4"/>
    <n v="0"/>
    <s v="No"/>
    <m/>
  </r>
  <r>
    <n v="64.5"/>
    <d v="2012-01-13T00:00:00"/>
    <x v="1"/>
    <s v="KBC"/>
    <s v="Kachin"/>
    <s v="Hpakant"/>
    <s v="5 Ward Baptist Church(lon Khin)"/>
    <m/>
    <m/>
    <m/>
    <n v="52"/>
    <n v="26"/>
    <n v="36"/>
    <n v="0"/>
    <n v="26"/>
    <n v="26"/>
    <n v="26"/>
    <m/>
    <m/>
    <m/>
    <m/>
    <m/>
    <m/>
    <m/>
    <n v="0"/>
    <n v="0"/>
    <n v="0"/>
    <n v="0"/>
    <n v="0"/>
    <n v="0"/>
    <n v="0"/>
    <n v="0"/>
    <n v="0"/>
    <n v="0"/>
    <n v="0"/>
    <n v="0"/>
    <n v="0"/>
    <n v="0"/>
    <x v="0"/>
    <n v="0"/>
    <n v="0"/>
    <n v="0"/>
    <s v="MMR001CMP179"/>
    <x v="0"/>
    <x v="2"/>
    <x v="4"/>
    <n v="0"/>
    <s v="No"/>
    <m/>
  </r>
  <r>
    <n v="64.5"/>
    <d v="2012-01-13T00:00:00"/>
    <x v="1"/>
    <s v="KBC"/>
    <s v="Kachin"/>
    <s v="Hpakant"/>
    <s v="5 Ward Baptist Church(lon Khin)"/>
    <m/>
    <m/>
    <m/>
    <n v="120"/>
    <n v="60"/>
    <n v="60"/>
    <n v="0"/>
    <n v="60"/>
    <n v="60"/>
    <n v="60"/>
    <m/>
    <m/>
    <m/>
    <m/>
    <m/>
    <m/>
    <m/>
    <n v="0"/>
    <n v="0"/>
    <n v="0"/>
    <n v="0"/>
    <n v="0"/>
    <n v="0"/>
    <n v="0"/>
    <n v="0"/>
    <n v="0"/>
    <n v="0"/>
    <n v="0"/>
    <n v="0"/>
    <n v="0"/>
    <n v="0"/>
    <x v="0"/>
    <n v="0"/>
    <n v="0"/>
    <n v="0"/>
    <s v="MMR001CMP179"/>
    <x v="0"/>
    <x v="2"/>
    <x v="4"/>
    <n v="0"/>
    <s v="No"/>
    <m/>
  </r>
  <r>
    <n v="64.5"/>
    <d v="2012-01-13T00:00:00"/>
    <x v="1"/>
    <s v="KBC"/>
    <s v="Kachin"/>
    <s v="Hpakant"/>
    <s v="5 Ward Baptist Church(lon Khin)"/>
    <m/>
    <m/>
    <m/>
    <n v="148"/>
    <n v="74"/>
    <n v="74"/>
    <n v="0"/>
    <n v="74"/>
    <n v="74"/>
    <n v="74"/>
    <m/>
    <m/>
    <m/>
    <m/>
    <m/>
    <m/>
    <m/>
    <n v="0"/>
    <n v="0"/>
    <n v="0"/>
    <n v="0"/>
    <n v="0"/>
    <n v="0"/>
    <n v="0"/>
    <n v="0"/>
    <n v="0"/>
    <n v="0"/>
    <n v="0"/>
    <n v="0"/>
    <n v="0"/>
    <n v="0"/>
    <x v="0"/>
    <n v="0"/>
    <n v="0"/>
    <n v="0"/>
    <s v="MMR001CMP179"/>
    <x v="0"/>
    <x v="2"/>
    <x v="4"/>
    <n v="0"/>
    <s v="No"/>
    <m/>
  </r>
  <r>
    <n v="64.5"/>
    <d v="2012-01-13T00:00:00"/>
    <x v="1"/>
    <s v="KBC"/>
    <s v="Kachin"/>
    <s v="Hpakant"/>
    <s v="Baptist Church, Hmaw Si Sar(Lon Khin)"/>
    <m/>
    <m/>
    <m/>
    <n v="70"/>
    <n v="35"/>
    <n v="35"/>
    <n v="0"/>
    <n v="35"/>
    <n v="35"/>
    <n v="35"/>
    <m/>
    <m/>
    <m/>
    <m/>
    <m/>
    <m/>
    <m/>
    <n v="0"/>
    <n v="0"/>
    <n v="0"/>
    <n v="0"/>
    <n v="0"/>
    <n v="0"/>
    <n v="0"/>
    <n v="0"/>
    <n v="0"/>
    <n v="0"/>
    <n v="0"/>
    <n v="0"/>
    <n v="0"/>
    <n v="0"/>
    <x v="0"/>
    <n v="0"/>
    <n v="0"/>
    <n v="0"/>
    <s v="MMR001CMP169"/>
    <x v="0"/>
    <x v="0"/>
    <x v="4"/>
    <n v="0"/>
    <s v="No"/>
    <m/>
  </r>
  <r>
    <n v="64.5"/>
    <d v="2012-01-13T00:00:00"/>
    <x v="1"/>
    <s v="KBC"/>
    <s v="Kachin"/>
    <s v="Hpakant"/>
    <s v="Hlaing Naung Baptist"/>
    <m/>
    <m/>
    <m/>
    <n v="10"/>
    <n v="5"/>
    <n v="5"/>
    <n v="0"/>
    <n v="5"/>
    <n v="5"/>
    <n v="5"/>
    <m/>
    <m/>
    <m/>
    <m/>
    <m/>
    <m/>
    <m/>
    <n v="0"/>
    <n v="0"/>
    <n v="0"/>
    <n v="0"/>
    <n v="0"/>
    <n v="0"/>
    <n v="0"/>
    <n v="0"/>
    <n v="0"/>
    <n v="0"/>
    <n v="0"/>
    <n v="0"/>
    <n v="0"/>
    <n v="0"/>
    <x v="0"/>
    <n v="0"/>
    <n v="0"/>
    <n v="0"/>
    <s v="MMR001CMP148"/>
    <x v="0"/>
    <x v="0"/>
    <x v="4"/>
    <n v="0"/>
    <s v="No"/>
    <m/>
  </r>
  <r>
    <n v="64.5"/>
    <d v="2012-01-13T00:00:00"/>
    <x v="1"/>
    <s v="UNHCR"/>
    <s v="Kachin"/>
    <s v="Waingmaw"/>
    <s v="Maina Lawang Baptist Church"/>
    <m/>
    <m/>
    <m/>
    <n v="35"/>
    <n v="17"/>
    <n v="35"/>
    <n v="17"/>
    <n v="17"/>
    <n v="17"/>
    <n v="17"/>
    <m/>
    <m/>
    <m/>
    <m/>
    <m/>
    <m/>
    <m/>
    <n v="0"/>
    <n v="0"/>
    <n v="0"/>
    <n v="0"/>
    <n v="0"/>
    <n v="0"/>
    <n v="0"/>
    <n v="0"/>
    <n v="0"/>
    <n v="0"/>
    <n v="0"/>
    <n v="0"/>
    <n v="0"/>
    <n v="0"/>
    <x v="0"/>
    <n v="0"/>
    <n v="0"/>
    <n v="0"/>
    <s v="MMR001CMP039"/>
    <x v="0"/>
    <x v="0"/>
    <x v="4"/>
    <n v="4.158716179852243E-4"/>
    <s v="No"/>
    <m/>
  </r>
  <r>
    <n v="64.5"/>
    <d v="2012-01-13T00:00:00"/>
    <x v="1"/>
    <s v="KBC"/>
    <s v="Kachin"/>
    <m/>
    <s v="Kat Hmaw Zut Baptist Church"/>
    <m/>
    <m/>
    <m/>
    <n v="76"/>
    <n v="38"/>
    <n v="38"/>
    <n v="0"/>
    <n v="38"/>
    <n v="38"/>
    <n v="38"/>
    <m/>
    <m/>
    <m/>
    <m/>
    <m/>
    <m/>
    <m/>
    <n v="0"/>
    <n v="0"/>
    <n v="0"/>
    <n v="0"/>
    <n v="0"/>
    <n v="0"/>
    <n v="0"/>
    <n v="0"/>
    <n v="0"/>
    <n v="0"/>
    <n v="0"/>
    <n v="0"/>
    <n v="0"/>
    <n v="0"/>
    <x v="0"/>
    <n v="0"/>
    <n v="0"/>
    <n v="0"/>
    <s v=""/>
    <x v="2"/>
    <x v="1"/>
    <x v="2"/>
    <s v=""/>
    <s v="No"/>
    <m/>
  </r>
  <r>
    <n v="64.5"/>
    <d v="2012-01-13T00:00:00"/>
    <x v="1"/>
    <s v="KBC"/>
    <s v="Kachin"/>
    <m/>
    <s v="Le Pyin - Kar Gyi Winn"/>
    <m/>
    <m/>
    <m/>
    <n v="18"/>
    <n v="9"/>
    <n v="9"/>
    <n v="0"/>
    <n v="9"/>
    <n v="9"/>
    <n v="9"/>
    <m/>
    <m/>
    <m/>
    <m/>
    <m/>
    <m/>
    <m/>
    <n v="0"/>
    <n v="0"/>
    <n v="0"/>
    <n v="0"/>
    <n v="0"/>
    <n v="0"/>
    <n v="0"/>
    <n v="0"/>
    <n v="0"/>
    <n v="0"/>
    <n v="0"/>
    <n v="0"/>
    <n v="0"/>
    <n v="0"/>
    <x v="0"/>
    <n v="0"/>
    <n v="0"/>
    <n v="0"/>
    <s v=""/>
    <x v="2"/>
    <x v="1"/>
    <x v="2"/>
    <s v=""/>
    <s v="No"/>
    <s v="Lone Zut"/>
  </r>
  <r>
    <n v="64.5"/>
    <d v="2012-01-13T00:00:00"/>
    <x v="1"/>
    <s v="KBC"/>
    <s v="Kachin"/>
    <m/>
    <s v="Le Pyin Christian Church"/>
    <m/>
    <m/>
    <m/>
    <n v="10"/>
    <n v="5"/>
    <n v="5"/>
    <n v="0"/>
    <n v="5"/>
    <n v="5"/>
    <n v="5"/>
    <m/>
    <m/>
    <m/>
    <m/>
    <m/>
    <m/>
    <m/>
    <n v="0"/>
    <n v="0"/>
    <n v="0"/>
    <n v="0"/>
    <n v="0"/>
    <n v="0"/>
    <n v="0"/>
    <n v="0"/>
    <n v="0"/>
    <n v="0"/>
    <n v="0"/>
    <n v="0"/>
    <n v="0"/>
    <n v="0"/>
    <x v="0"/>
    <n v="0"/>
    <n v="0"/>
    <n v="0"/>
    <s v=""/>
    <x v="2"/>
    <x v="1"/>
    <x v="2"/>
    <s v=""/>
    <s v="No"/>
    <s v="CBP"/>
  </r>
  <r>
    <n v="64.5"/>
    <d v="2012-01-13T00:00:00"/>
    <x v="1"/>
    <s v="KBC"/>
    <s v="Kachin"/>
    <s v="Hpakant"/>
    <s v="Maw Si Zar, Thiriyardanar Sein, Damma Compound, Lone Khin"/>
    <m/>
    <m/>
    <m/>
    <n v="224"/>
    <n v="112"/>
    <n v="112"/>
    <n v="0"/>
    <n v="112"/>
    <n v="112"/>
    <n v="112"/>
    <m/>
    <m/>
    <m/>
    <m/>
    <m/>
    <m/>
    <m/>
    <n v="0"/>
    <n v="0"/>
    <n v="0"/>
    <n v="0"/>
    <n v="0"/>
    <n v="0"/>
    <n v="0"/>
    <n v="0"/>
    <n v="0"/>
    <n v="0"/>
    <n v="0"/>
    <n v="0"/>
    <n v="0"/>
    <n v="0"/>
    <x v="0"/>
    <n v="0"/>
    <n v="0"/>
    <n v="0"/>
    <s v="MMR001CMP106"/>
    <x v="0"/>
    <x v="2"/>
    <x v="2"/>
    <s v=""/>
    <s v="No"/>
    <m/>
  </r>
  <r>
    <n v="64.5"/>
    <d v="2012-01-13T00:00:00"/>
    <x v="1"/>
    <s v="KBC"/>
    <s v="Kachin"/>
    <s v="Hpakant"/>
    <s v="Maw Wan, Kachin Baptist Church"/>
    <m/>
    <m/>
    <m/>
    <n v="34"/>
    <n v="17"/>
    <n v="17"/>
    <n v="0"/>
    <n v="17"/>
    <n v="17"/>
    <n v="17"/>
    <m/>
    <m/>
    <m/>
    <m/>
    <m/>
    <m/>
    <m/>
    <n v="0"/>
    <n v="0"/>
    <n v="0"/>
    <n v="0"/>
    <n v="0"/>
    <n v="0"/>
    <n v="0"/>
    <n v="0"/>
    <n v="0"/>
    <n v="0"/>
    <n v="0"/>
    <n v="0"/>
    <n v="0"/>
    <n v="0"/>
    <x v="0"/>
    <n v="0"/>
    <n v="0"/>
    <n v="0"/>
    <s v="MMR001CMP085"/>
    <x v="0"/>
    <x v="2"/>
    <x v="2"/>
    <s v=""/>
    <s v="No"/>
    <m/>
  </r>
  <r>
    <n v="64.5"/>
    <d v="2012-01-13T00:00:00"/>
    <x v="1"/>
    <s v="KBC"/>
    <s v="Kachin"/>
    <m/>
    <s v="Nant Yar Baptist Church"/>
    <m/>
    <m/>
    <m/>
    <n v="126"/>
    <n v="63"/>
    <n v="63"/>
    <n v="0"/>
    <n v="63"/>
    <n v="63"/>
    <n v="63"/>
    <m/>
    <m/>
    <m/>
    <m/>
    <m/>
    <m/>
    <m/>
    <n v="0"/>
    <n v="0"/>
    <n v="0"/>
    <n v="0"/>
    <n v="0"/>
    <n v="0"/>
    <n v="0"/>
    <n v="0"/>
    <n v="0"/>
    <n v="0"/>
    <n v="0"/>
    <n v="0"/>
    <n v="0"/>
    <n v="0"/>
    <x v="0"/>
    <n v="0"/>
    <n v="0"/>
    <n v="0"/>
    <s v=""/>
    <x v="2"/>
    <x v="1"/>
    <x v="2"/>
    <s v=""/>
    <s v="No"/>
    <s v="Emergency Aung Bar Li"/>
  </r>
  <r>
    <n v="64.5"/>
    <d v="2012-01-13T00:00:00"/>
    <x v="1"/>
    <s v="KBC"/>
    <s v="Kachin"/>
    <s v="Hpakant"/>
    <s v="Nga Pyaw Taw Baptist Nursery School "/>
    <m/>
    <m/>
    <m/>
    <n v="112"/>
    <n v="56"/>
    <n v="56"/>
    <n v="0"/>
    <n v="56"/>
    <n v="56"/>
    <n v="56"/>
    <m/>
    <m/>
    <m/>
    <m/>
    <m/>
    <m/>
    <m/>
    <n v="0"/>
    <n v="0"/>
    <n v="0"/>
    <n v="0"/>
    <n v="0"/>
    <n v="0"/>
    <n v="0"/>
    <n v="0"/>
    <n v="0"/>
    <n v="0"/>
    <n v="0"/>
    <n v="0"/>
    <n v="0"/>
    <n v="0"/>
    <x v="0"/>
    <n v="0"/>
    <n v="0"/>
    <n v="0"/>
    <s v="MMR001CMP082"/>
    <x v="0"/>
    <x v="2"/>
    <x v="2"/>
    <n v="0"/>
    <s v="No"/>
    <m/>
  </r>
  <r>
    <n v="64.566666666666663"/>
    <d v="2012-01-11T00:00:00"/>
    <x v="1"/>
    <s v="KBC"/>
    <s v="Kachin"/>
    <s v="Waingmaw"/>
    <s v="Shing Jai"/>
    <m/>
    <m/>
    <m/>
    <n v="536"/>
    <n v="268"/>
    <n v="536"/>
    <n v="268"/>
    <n v="268"/>
    <n v="268"/>
    <n v="268"/>
    <m/>
    <m/>
    <m/>
    <m/>
    <m/>
    <m/>
    <m/>
    <n v="0"/>
    <n v="0"/>
    <n v="0"/>
    <n v="0"/>
    <n v="0"/>
    <n v="0"/>
    <n v="0"/>
    <n v="0"/>
    <n v="0"/>
    <n v="0"/>
    <n v="0"/>
    <n v="0"/>
    <n v="0"/>
    <n v="0"/>
    <x v="0"/>
    <n v="0"/>
    <n v="0"/>
    <n v="0"/>
    <s v="MMR001CMP041"/>
    <x v="0"/>
    <x v="0"/>
    <x v="3"/>
    <n v="6.5609087348217779E-3"/>
    <s v="No"/>
    <m/>
  </r>
  <r>
    <n v="64.7"/>
    <d v="2012-01-07T00:00:00"/>
    <x v="1"/>
    <s v="KMSS"/>
    <s v="Kachin"/>
    <s v="Myitkyina"/>
    <s v="Jan Mai Kawng Baptist Church"/>
    <m/>
    <m/>
    <m/>
    <n v="32"/>
    <n v="16"/>
    <n v="32"/>
    <n v="16"/>
    <n v="16"/>
    <n v="16"/>
    <n v="16"/>
    <m/>
    <m/>
    <m/>
    <m/>
    <m/>
    <m/>
    <m/>
    <n v="0"/>
    <n v="0"/>
    <n v="0"/>
    <n v="0"/>
    <n v="0"/>
    <n v="0"/>
    <n v="0"/>
    <n v="0"/>
    <n v="0"/>
    <n v="0"/>
    <n v="0"/>
    <n v="0"/>
    <n v="0"/>
    <n v="0"/>
    <x v="0"/>
    <n v="0"/>
    <n v="0"/>
    <n v="0"/>
    <s v="MMR001CMP018"/>
    <x v="0"/>
    <x v="0"/>
    <x v="4"/>
    <n v="3.9287906691221606E-4"/>
    <s v="No"/>
    <m/>
  </r>
  <r>
    <n v="64.7"/>
    <d v="2012-01-07T00:00:00"/>
    <x v="1"/>
    <s v="KMSS"/>
    <s v="Kachin"/>
    <s v="Waingmaw"/>
    <s v="Maina Catholic Church (St. Joseph)"/>
    <m/>
    <m/>
    <m/>
    <n v="50"/>
    <n v="25"/>
    <n v="50"/>
    <n v="25"/>
    <n v="27"/>
    <n v="27"/>
    <n v="27"/>
    <m/>
    <m/>
    <m/>
    <m/>
    <m/>
    <m/>
    <m/>
    <n v="0"/>
    <n v="0"/>
    <n v="0"/>
    <n v="0"/>
    <n v="0"/>
    <n v="0"/>
    <n v="0"/>
    <n v="0"/>
    <n v="0"/>
    <n v="0"/>
    <n v="0"/>
    <n v="0"/>
    <n v="0"/>
    <n v="0"/>
    <x v="0"/>
    <n v="0"/>
    <n v="0"/>
    <n v="0"/>
    <s v="MMR001CMP029"/>
    <x v="0"/>
    <x v="0"/>
    <x v="4"/>
    <n v="6.0348573359725777E-4"/>
    <s v="No"/>
    <m/>
  </r>
  <r>
    <n v="64.733333333333334"/>
    <d v="2012-01-06T00:00:00"/>
    <x v="1"/>
    <s v="KMSS"/>
    <s v="Kachin"/>
    <s v="Myitkyina"/>
    <s v="Jan Mai Kawng Catholic Church"/>
    <m/>
    <m/>
    <m/>
    <n v="0"/>
    <n v="0"/>
    <n v="0"/>
    <n v="0"/>
    <n v="9"/>
    <n v="9"/>
    <n v="9"/>
    <m/>
    <m/>
    <m/>
    <m/>
    <m/>
    <m/>
    <m/>
    <n v="0"/>
    <n v="0"/>
    <n v="0"/>
    <n v="0"/>
    <n v="0"/>
    <n v="0"/>
    <n v="0"/>
    <n v="0"/>
    <n v="0"/>
    <n v="0"/>
    <n v="0"/>
    <n v="0"/>
    <n v="0"/>
    <n v="0"/>
    <x v="0"/>
    <n v="0"/>
    <n v="0"/>
    <n v="0"/>
    <s v="MMR001CMP019"/>
    <x v="0"/>
    <x v="0"/>
    <x v="4"/>
    <n v="0"/>
    <s v="No"/>
    <m/>
  </r>
  <r>
    <n v="64.733333333333334"/>
    <d v="2012-01-06T00:00:00"/>
    <x v="1"/>
    <s v="UNHCR"/>
    <s v="Kachin"/>
    <s v="Waingmaw"/>
    <s v="Thargaya Lisu Baptist Church"/>
    <m/>
    <m/>
    <m/>
    <n v="29"/>
    <n v="0"/>
    <n v="29"/>
    <n v="15"/>
    <n v="15"/>
    <n v="15"/>
    <n v="15"/>
    <m/>
    <m/>
    <m/>
    <m/>
    <m/>
    <m/>
    <m/>
    <n v="0"/>
    <n v="0"/>
    <n v="0"/>
    <n v="0"/>
    <n v="0"/>
    <n v="0"/>
    <n v="0"/>
    <n v="0"/>
    <n v="0"/>
    <n v="0"/>
    <n v="0"/>
    <n v="0"/>
    <n v="0"/>
    <n v="0"/>
    <x v="0"/>
    <n v="0"/>
    <n v="0"/>
    <n v="0"/>
    <s v="MMR001CMP037"/>
    <x v="0"/>
    <x v="0"/>
    <x v="4"/>
    <n v="3.6721504112808461E-4"/>
    <s v="No"/>
    <m/>
  </r>
  <r>
    <n v="64.733333333333334"/>
    <d v="2012-01-06T00:00:00"/>
    <x v="1"/>
    <s v="UNHCR"/>
    <s v="Kachin"/>
    <s v="Waingmaw"/>
    <s v="Thargaya Lisu Baptist Church"/>
    <m/>
    <m/>
    <m/>
    <n v="59"/>
    <n v="30"/>
    <n v="59"/>
    <n v="30"/>
    <n v="30"/>
    <n v="30"/>
    <n v="30"/>
    <m/>
    <m/>
    <m/>
    <m/>
    <m/>
    <m/>
    <m/>
    <n v="0"/>
    <n v="0"/>
    <n v="0"/>
    <n v="0"/>
    <n v="0"/>
    <n v="0"/>
    <n v="0"/>
    <n v="0"/>
    <n v="0"/>
    <n v="0"/>
    <n v="0"/>
    <n v="0"/>
    <n v="0"/>
    <n v="0"/>
    <x v="0"/>
    <n v="0"/>
    <n v="0"/>
    <n v="0"/>
    <s v="MMR001CMP037"/>
    <x v="0"/>
    <x v="0"/>
    <x v="4"/>
    <n v="7.3443008225616922E-4"/>
    <s v="No"/>
    <m/>
  </r>
  <r>
    <n v="64.733333333333334"/>
    <d v="2012-01-06T00:00:00"/>
    <x v="1"/>
    <s v="UNHCR"/>
    <s v="Kachin"/>
    <s v="Waingmaw"/>
    <s v="Waingmaw AG Church"/>
    <m/>
    <m/>
    <m/>
    <n v="29"/>
    <n v="14"/>
    <n v="29"/>
    <n v="14"/>
    <n v="14"/>
    <n v="14"/>
    <n v="14"/>
    <m/>
    <m/>
    <m/>
    <m/>
    <m/>
    <m/>
    <m/>
    <n v="0"/>
    <n v="0"/>
    <n v="0"/>
    <n v="0"/>
    <n v="0"/>
    <n v="0"/>
    <n v="0"/>
    <n v="0"/>
    <n v="0"/>
    <n v="0"/>
    <n v="0"/>
    <n v="0"/>
    <n v="0"/>
    <n v="0"/>
    <x v="0"/>
    <n v="0"/>
    <n v="0"/>
    <n v="0"/>
    <s v="MMR001CMP038"/>
    <x v="0"/>
    <x v="0"/>
    <x v="4"/>
    <n v="3.4273403838621232E-4"/>
    <s v="No"/>
    <m/>
  </r>
  <r>
    <n v="64.766666666666666"/>
    <d v="2012-01-05T00:00:00"/>
    <x v="1"/>
    <s v="KBC"/>
    <s v="Kachin"/>
    <s v="Waingmaw"/>
    <s v="Maina Lawang Baptist Church"/>
    <m/>
    <m/>
    <m/>
    <n v="52"/>
    <n v="29"/>
    <n v="52"/>
    <n v="29"/>
    <n v="29"/>
    <n v="29"/>
    <n v="29"/>
    <m/>
    <m/>
    <m/>
    <m/>
    <m/>
    <m/>
    <m/>
    <n v="0"/>
    <n v="0"/>
    <n v="0"/>
    <n v="0"/>
    <n v="0"/>
    <n v="0"/>
    <n v="0"/>
    <n v="0"/>
    <n v="0"/>
    <n v="0"/>
    <n v="0"/>
    <n v="0"/>
    <n v="0"/>
    <n v="0"/>
    <x v="0"/>
    <n v="0"/>
    <n v="0"/>
    <n v="0"/>
    <s v="MMR001CMP039"/>
    <x v="0"/>
    <x v="0"/>
    <x v="4"/>
    <n v="7.0942805421008858E-4"/>
    <s v="No"/>
    <m/>
  </r>
  <r>
    <n v="64.833333333333329"/>
    <d v="2012-01-03T00:00:00"/>
    <x v="1"/>
    <s v="KMSS"/>
    <s v="Kachin"/>
    <s v="Myitkyina"/>
    <s v="Tat Kone Emanuel Church"/>
    <m/>
    <m/>
    <m/>
    <n v="0"/>
    <n v="0"/>
    <n v="0"/>
    <n v="0"/>
    <n v="8"/>
    <n v="8"/>
    <n v="8"/>
    <m/>
    <m/>
    <m/>
    <m/>
    <m/>
    <m/>
    <m/>
    <n v="0"/>
    <n v="0"/>
    <n v="0"/>
    <n v="0"/>
    <n v="0"/>
    <n v="0"/>
    <n v="0"/>
    <n v="0"/>
    <n v="0"/>
    <n v="0"/>
    <n v="0"/>
    <n v="0"/>
    <n v="0"/>
    <n v="0"/>
    <x v="0"/>
    <n v="0"/>
    <n v="0"/>
    <n v="0"/>
    <s v="MMR001CMP004"/>
    <x v="0"/>
    <x v="0"/>
    <x v="4"/>
    <n v="0"/>
    <s v="No"/>
    <m/>
  </r>
  <r>
    <n v="64.933333333333337"/>
    <d v="2011-12-31T00:00:00"/>
    <x v="1"/>
    <s v="KMSS"/>
    <s v="Kachin"/>
    <s v="Waingmaw"/>
    <s v="Maina Catholic Church (St. Joseph)"/>
    <m/>
    <m/>
    <m/>
    <n v="46"/>
    <n v="27"/>
    <n v="47"/>
    <n v="27"/>
    <n v="27"/>
    <n v="27"/>
    <n v="27"/>
    <m/>
    <m/>
    <m/>
    <m/>
    <m/>
    <m/>
    <m/>
    <n v="0"/>
    <n v="0"/>
    <n v="0"/>
    <n v="0"/>
    <n v="0"/>
    <n v="0"/>
    <n v="0"/>
    <n v="0"/>
    <n v="0"/>
    <n v="0"/>
    <n v="0"/>
    <n v="0"/>
    <n v="0"/>
    <n v="0"/>
    <x v="0"/>
    <n v="0"/>
    <n v="0"/>
    <n v="0"/>
    <s v="MMR001CMP029"/>
    <x v="0"/>
    <x v="0"/>
    <x v="4"/>
    <n v="6.5176459228503839E-4"/>
    <s v="No"/>
    <m/>
  </r>
  <r>
    <n v="64.966666666666669"/>
    <d v="2011-12-30T00:00:00"/>
    <x v="1"/>
    <s v="KBC"/>
    <s v="Kachin"/>
    <s v="Myitkyina"/>
    <s v="Jan Mai Kawng Baptist Church"/>
    <m/>
    <m/>
    <m/>
    <n v="56"/>
    <n v="29"/>
    <n v="56"/>
    <n v="29"/>
    <n v="29"/>
    <n v="29"/>
    <n v="29"/>
    <m/>
    <m/>
    <m/>
    <m/>
    <m/>
    <m/>
    <m/>
    <n v="0"/>
    <n v="0"/>
    <n v="0"/>
    <n v="0"/>
    <n v="0"/>
    <n v="0"/>
    <n v="0"/>
    <n v="0"/>
    <n v="0"/>
    <n v="0"/>
    <n v="0"/>
    <n v="0"/>
    <n v="0"/>
    <n v="0"/>
    <x v="0"/>
    <n v="0"/>
    <n v="0"/>
    <n v="0"/>
    <s v="MMR001CMP018"/>
    <x v="0"/>
    <x v="0"/>
    <x v="4"/>
    <n v="7.1209330877839165E-4"/>
    <s v="No"/>
    <m/>
  </r>
  <r>
    <n v="65.033333333333331"/>
    <d v="2011-12-28T00:00:00"/>
    <x v="1"/>
    <s v="Shan Community"/>
    <s v="Kachin"/>
    <s v="Waingmaw"/>
    <s v="Hkat Cho "/>
    <m/>
    <m/>
    <m/>
    <n v="31"/>
    <n v="19"/>
    <n v="31"/>
    <n v="19"/>
    <n v="19"/>
    <n v="19"/>
    <n v="19"/>
    <m/>
    <m/>
    <m/>
    <m/>
    <m/>
    <m/>
    <m/>
    <n v="0"/>
    <n v="0"/>
    <n v="0"/>
    <n v="0"/>
    <n v="0"/>
    <n v="0"/>
    <n v="0"/>
    <n v="0"/>
    <n v="0"/>
    <n v="0"/>
    <n v="0"/>
    <n v="0"/>
    <n v="0"/>
    <n v="0"/>
    <x v="0"/>
    <n v="0"/>
    <n v="0"/>
    <n v="0"/>
    <s v="MMR001CMP028"/>
    <x v="0"/>
    <x v="0"/>
    <x v="4"/>
    <n v="4.6688782405700946E-4"/>
    <s v="No"/>
    <m/>
  </r>
  <r>
    <n v="65.099999999999994"/>
    <d v="2011-12-26T00:00:00"/>
    <x v="1"/>
    <s v="KBC"/>
    <s v="Kachin"/>
    <s v="Waingmaw"/>
    <s v="Qtr. 2 Myoma Baptist Church"/>
    <m/>
    <m/>
    <m/>
    <n v="54"/>
    <n v="33"/>
    <n v="54"/>
    <n v="33"/>
    <n v="33"/>
    <n v="33"/>
    <n v="33"/>
    <m/>
    <m/>
    <m/>
    <m/>
    <m/>
    <m/>
    <m/>
    <n v="0"/>
    <n v="0"/>
    <n v="0"/>
    <n v="0"/>
    <n v="0"/>
    <n v="0"/>
    <n v="0"/>
    <n v="0"/>
    <n v="0"/>
    <n v="0"/>
    <n v="0"/>
    <n v="0"/>
    <n v="0"/>
    <n v="0"/>
    <x v="0"/>
    <n v="0"/>
    <n v="0"/>
    <n v="0"/>
    <s v="MMR001CMP025"/>
    <x v="0"/>
    <x v="0"/>
    <x v="4"/>
    <n v="8.1091043125691112E-4"/>
    <s v="No"/>
    <m/>
  </r>
  <r>
    <n v="65.233333333333334"/>
    <d v="2011-12-22T00:00:00"/>
    <x v="1"/>
    <s v="UNHCR"/>
    <s v="Kachin"/>
    <s v="Waingmaw"/>
    <s v="Qtr. 2 Lhaovo Baptist Church"/>
    <m/>
    <m/>
    <m/>
    <n v="0"/>
    <n v="0"/>
    <n v="0"/>
    <n v="0"/>
    <n v="4"/>
    <n v="4"/>
    <n v="4"/>
    <m/>
    <m/>
    <m/>
    <m/>
    <m/>
    <m/>
    <m/>
    <n v="0"/>
    <n v="0"/>
    <n v="0"/>
    <n v="0"/>
    <n v="0"/>
    <n v="0"/>
    <n v="0"/>
    <n v="0"/>
    <n v="0"/>
    <n v="0"/>
    <n v="0"/>
    <n v="0"/>
    <n v="0"/>
    <n v="0"/>
    <x v="0"/>
    <n v="0"/>
    <n v="0"/>
    <n v="0"/>
    <s v="MMR001CMP032"/>
    <x v="0"/>
    <x v="0"/>
    <x v="4"/>
    <n v="0"/>
    <s v="No"/>
    <m/>
  </r>
  <r>
    <n v="65.533333333333331"/>
    <d v="2011-12-13T00:00:00"/>
    <x v="1"/>
    <s v="IRRC"/>
    <s v="Kachin"/>
    <s v="Momauk"/>
    <s v="Hpun Lum Yang "/>
    <m/>
    <m/>
    <m/>
    <n v="250"/>
    <n v="125"/>
    <n v="250"/>
    <n v="125"/>
    <n v="125"/>
    <n v="125"/>
    <n v="125"/>
    <m/>
    <m/>
    <m/>
    <m/>
    <m/>
    <m/>
    <m/>
    <n v="0"/>
    <n v="0"/>
    <n v="0"/>
    <n v="0"/>
    <n v="0"/>
    <n v="0"/>
    <n v="0"/>
    <n v="0"/>
    <n v="0"/>
    <n v="0"/>
    <n v="0"/>
    <n v="0"/>
    <n v="0"/>
    <n v="0"/>
    <x v="0"/>
    <n v="0"/>
    <n v="0"/>
    <n v="0"/>
    <s v="MMR001CMP122"/>
    <x v="0"/>
    <x v="0"/>
    <x v="5"/>
    <n v="3.0716304214276936E-3"/>
    <s v="No"/>
    <m/>
  </r>
  <r>
    <n v="65.533333333333331"/>
    <d v="2011-12-13T00:00:00"/>
    <x v="1"/>
    <s v="IRRC"/>
    <s v="Kachin"/>
    <s v="Momauk"/>
    <s v="Je Yang Hka "/>
    <m/>
    <m/>
    <m/>
    <n v="250"/>
    <n v="125"/>
    <n v="250"/>
    <n v="125"/>
    <n v="125"/>
    <n v="125"/>
    <n v="125"/>
    <m/>
    <m/>
    <m/>
    <m/>
    <m/>
    <m/>
    <m/>
    <n v="0"/>
    <n v="0"/>
    <n v="0"/>
    <n v="0"/>
    <n v="0"/>
    <n v="0"/>
    <n v="0"/>
    <n v="0"/>
    <n v="0"/>
    <n v="0"/>
    <n v="0"/>
    <n v="0"/>
    <n v="0"/>
    <n v="0"/>
    <x v="0"/>
    <n v="0"/>
    <n v="0"/>
    <n v="0"/>
    <s v="MMR001CMP121"/>
    <x v="0"/>
    <x v="0"/>
    <x v="5"/>
    <n v="3.0442512359660019E-3"/>
    <s v="No"/>
    <m/>
  </r>
  <r>
    <n v="65.533333333333331"/>
    <d v="2011-12-13T00:00:00"/>
    <x v="1"/>
    <s v="IRRC"/>
    <s v="Kachin"/>
    <s v="Waingmaw"/>
    <s v="Maga Yang "/>
    <m/>
    <m/>
    <m/>
    <n v="250"/>
    <n v="125"/>
    <n v="250"/>
    <n v="125"/>
    <n v="125"/>
    <n v="125"/>
    <n v="125"/>
    <m/>
    <m/>
    <m/>
    <m/>
    <m/>
    <m/>
    <m/>
    <n v="0"/>
    <n v="0"/>
    <n v="0"/>
    <n v="0"/>
    <n v="0"/>
    <n v="0"/>
    <n v="0"/>
    <n v="0"/>
    <n v="0"/>
    <n v="0"/>
    <n v="0"/>
    <n v="0"/>
    <n v="0"/>
    <n v="0"/>
    <x v="0"/>
    <n v="0"/>
    <n v="0"/>
    <n v="0"/>
    <s v="MMR001CMP119"/>
    <x v="0"/>
    <x v="0"/>
    <x v="5"/>
    <n v="3.0716304214276936E-3"/>
    <s v="No"/>
    <m/>
  </r>
  <r>
    <n v="65.533333333333331"/>
    <d v="2011-12-13T00:00:00"/>
    <x v="1"/>
    <s v="IRRC"/>
    <s v="Kachin"/>
    <s v="Waingmaw"/>
    <s v="Zai Awng - Mung Ga Zup"/>
    <m/>
    <m/>
    <m/>
    <n v="250"/>
    <n v="125"/>
    <n v="250"/>
    <n v="125"/>
    <n v="125"/>
    <n v="125"/>
    <n v="125"/>
    <m/>
    <m/>
    <m/>
    <m/>
    <m/>
    <m/>
    <m/>
    <n v="0"/>
    <n v="0"/>
    <n v="0"/>
    <n v="0"/>
    <n v="0"/>
    <n v="0"/>
    <n v="0"/>
    <n v="0"/>
    <n v="0"/>
    <n v="0"/>
    <n v="0"/>
    <n v="0"/>
    <n v="0"/>
    <n v="0"/>
    <x v="0"/>
    <n v="0"/>
    <n v="0"/>
    <n v="0"/>
    <s v="MMR001CMP111"/>
    <x v="0"/>
    <x v="2"/>
    <x v="5"/>
    <n v="3.0601253427340385E-3"/>
    <s v="No"/>
    <m/>
  </r>
  <r>
    <n v="65.599999999999994"/>
    <d v="2011-12-11T00:00:00"/>
    <x v="1"/>
    <s v="KBC"/>
    <s v="Kachin"/>
    <s v="Myitkyina"/>
    <s v="Man Hkring Baptist Church"/>
    <m/>
    <m/>
    <m/>
    <n v="6"/>
    <n v="4"/>
    <n v="6"/>
    <n v="4"/>
    <n v="4"/>
    <n v="4"/>
    <n v="4"/>
    <m/>
    <m/>
    <m/>
    <m/>
    <m/>
    <m/>
    <m/>
    <n v="0"/>
    <n v="0"/>
    <n v="0"/>
    <n v="0"/>
    <n v="0"/>
    <n v="0"/>
    <n v="0"/>
    <n v="0"/>
    <n v="0"/>
    <n v="0"/>
    <n v="0"/>
    <n v="0"/>
    <n v="0"/>
    <n v="0"/>
    <x v="0"/>
    <n v="0"/>
    <n v="0"/>
    <n v="0"/>
    <s v="MMR001CMP008"/>
    <x v="0"/>
    <x v="0"/>
    <x v="4"/>
    <n v="9.8219766728054015E-5"/>
    <s v="No"/>
    <m/>
  </r>
  <r>
    <n v="65.599999999999994"/>
    <d v="2011-12-11T00:00:00"/>
    <x v="1"/>
    <s v="KBC"/>
    <s v="Kachin"/>
    <s v="Myitkyina"/>
    <s v="Shatapru Sut Ngai Tawng"/>
    <m/>
    <m/>
    <m/>
    <n v="2"/>
    <n v="2"/>
    <n v="2"/>
    <n v="2"/>
    <n v="2"/>
    <n v="2"/>
    <n v="2"/>
    <m/>
    <m/>
    <m/>
    <m/>
    <m/>
    <m/>
    <m/>
    <n v="0"/>
    <n v="0"/>
    <n v="0"/>
    <n v="0"/>
    <n v="0"/>
    <n v="0"/>
    <n v="0"/>
    <n v="0"/>
    <n v="0"/>
    <n v="0"/>
    <n v="0"/>
    <n v="0"/>
    <n v="0"/>
    <n v="0"/>
    <x v="0"/>
    <n v="0"/>
    <n v="0"/>
    <n v="0"/>
    <s v="MMR001CMP006"/>
    <x v="0"/>
    <x v="0"/>
    <x v="4"/>
    <n v="4.9072529198154875E-5"/>
    <s v="No"/>
    <m/>
  </r>
  <r>
    <n v="65.599999999999994"/>
    <d v="2011-12-11T00:00:00"/>
    <x v="1"/>
    <s v="KBC"/>
    <s v="Kachin"/>
    <s v="Myitkyina"/>
    <s v="Tat Kone San Pya Baptist Church"/>
    <m/>
    <m/>
    <m/>
    <n v="3"/>
    <n v="2"/>
    <n v="3"/>
    <n v="2"/>
    <n v="2"/>
    <n v="2"/>
    <n v="2"/>
    <m/>
    <m/>
    <m/>
    <m/>
    <m/>
    <m/>
    <m/>
    <n v="0"/>
    <n v="0"/>
    <n v="0"/>
    <n v="0"/>
    <n v="0"/>
    <n v="0"/>
    <n v="0"/>
    <n v="0"/>
    <n v="0"/>
    <n v="0"/>
    <n v="0"/>
    <n v="0"/>
    <n v="0"/>
    <n v="0"/>
    <x v="0"/>
    <n v="0"/>
    <n v="0"/>
    <n v="0"/>
    <s v="MMR001CMP005"/>
    <x v="0"/>
    <x v="0"/>
    <x v="4"/>
    <n v="4.8999191513340027E-5"/>
    <s v="No"/>
    <m/>
  </r>
  <r>
    <n v="65.599999999999994"/>
    <d v="2011-12-11T00:00:00"/>
    <x v="1"/>
    <s v="Shan Community"/>
    <s v="Kachin"/>
    <s v="Myitkyina"/>
    <s v="Shan Ywar Monestary Camp"/>
    <m/>
    <m/>
    <m/>
    <n v="88"/>
    <n v="49"/>
    <n v="88"/>
    <n v="49"/>
    <n v="49"/>
    <n v="49"/>
    <n v="49"/>
    <m/>
    <m/>
    <m/>
    <m/>
    <m/>
    <m/>
    <m/>
    <n v="0"/>
    <n v="0"/>
    <n v="0"/>
    <n v="0"/>
    <n v="0"/>
    <n v="0"/>
    <n v="0"/>
    <n v="0"/>
    <n v="0"/>
    <n v="0"/>
    <n v="0"/>
    <n v="0"/>
    <n v="0"/>
    <n v="0"/>
    <x v="0"/>
    <n v="0"/>
    <n v="0"/>
    <n v="0"/>
    <s v=""/>
    <x v="2"/>
    <x v="1"/>
    <x v="2"/>
    <s v=""/>
    <s v="No"/>
    <m/>
  </r>
  <r>
    <n v="65.666666666666671"/>
    <d v="2011-12-09T00:00:00"/>
    <x v="1"/>
    <s v="KBC"/>
    <s v="Kachin"/>
    <s v="Myitkyina"/>
    <s v="Le Kone Bethlehem Church"/>
    <m/>
    <m/>
    <m/>
    <n v="13"/>
    <n v="6"/>
    <n v="13"/>
    <n v="6"/>
    <n v="6"/>
    <n v="6"/>
    <n v="6"/>
    <m/>
    <m/>
    <m/>
    <m/>
    <m/>
    <m/>
    <m/>
    <n v="0"/>
    <n v="0"/>
    <n v="0"/>
    <n v="0"/>
    <n v="0"/>
    <n v="0"/>
    <n v="0"/>
    <n v="0"/>
    <n v="0"/>
    <n v="0"/>
    <n v="0"/>
    <n v="0"/>
    <n v="0"/>
    <n v="0"/>
    <x v="0"/>
    <n v="0"/>
    <n v="0"/>
    <n v="0"/>
    <s v="MMR001CMP015"/>
    <x v="0"/>
    <x v="0"/>
    <x v="4"/>
    <n v="1.4777233209368765E-4"/>
    <s v="No"/>
    <m/>
  </r>
  <r>
    <n v="65.8"/>
    <d v="2011-12-05T00:00:00"/>
    <x v="1"/>
    <s v="KMSS"/>
    <s v="Kachin"/>
    <s v="Myitkyina"/>
    <s v="Jan Mai Kawng Baptist Church"/>
    <m/>
    <m/>
    <m/>
    <n v="80"/>
    <n v="45"/>
    <n v="80"/>
    <n v="45"/>
    <n v="45"/>
    <n v="45"/>
    <n v="45"/>
    <m/>
    <m/>
    <m/>
    <m/>
    <m/>
    <m/>
    <m/>
    <n v="0"/>
    <n v="0"/>
    <n v="0"/>
    <n v="0"/>
    <n v="0"/>
    <n v="0"/>
    <n v="0"/>
    <n v="0"/>
    <n v="0"/>
    <n v="0"/>
    <n v="0"/>
    <n v="0"/>
    <n v="0"/>
    <n v="0"/>
    <x v="0"/>
    <n v="0"/>
    <n v="0"/>
    <n v="0"/>
    <s v="MMR001CMP018"/>
    <x v="0"/>
    <x v="0"/>
    <x v="4"/>
    <n v="1.1049723756906078E-3"/>
    <s v="No"/>
    <m/>
  </r>
  <r>
    <n v="65.833333333333329"/>
    <d v="2011-12-04T00:00:00"/>
    <x v="1"/>
    <s v="KBC"/>
    <s v="Kachin"/>
    <s v="Myitkyina"/>
    <s v="Shwe Zet Baptist Church"/>
    <m/>
    <m/>
    <m/>
    <n v="52"/>
    <n v="27"/>
    <n v="52"/>
    <n v="27"/>
    <n v="27"/>
    <n v="27"/>
    <n v="27"/>
    <m/>
    <m/>
    <m/>
    <m/>
    <m/>
    <m/>
    <m/>
    <n v="0"/>
    <n v="0"/>
    <n v="0"/>
    <n v="0"/>
    <n v="0"/>
    <n v="0"/>
    <n v="0"/>
    <n v="0"/>
    <n v="0"/>
    <n v="0"/>
    <n v="0"/>
    <n v="0"/>
    <n v="0"/>
    <n v="0"/>
    <x v="0"/>
    <n v="0"/>
    <n v="0"/>
    <n v="0"/>
    <s v="MMR001CMP009"/>
    <x v="0"/>
    <x v="0"/>
    <x v="4"/>
    <n v="6.6298342541436467E-4"/>
    <s v="No"/>
    <m/>
  </r>
  <r>
    <n v="66.36666666666666"/>
    <d v="2011-11-18T00:00:00"/>
    <x v="1"/>
    <s v="UNHCR"/>
    <s v="Kachin"/>
    <s v="Myitkyina"/>
    <s v="Wun Tho Buddhist Monastery"/>
    <m/>
    <m/>
    <m/>
    <n v="175"/>
    <n v="0"/>
    <n v="175"/>
    <n v="0"/>
    <n v="0"/>
    <m/>
    <m/>
    <m/>
    <m/>
    <m/>
    <m/>
    <m/>
    <m/>
    <m/>
    <n v="0"/>
    <n v="0"/>
    <n v="0"/>
    <n v="0"/>
    <n v="0"/>
    <n v="0"/>
    <n v="0"/>
    <n v="0"/>
    <n v="0"/>
    <n v="0"/>
    <n v="0"/>
    <n v="0"/>
    <n v="0"/>
    <n v="0"/>
    <x v="0"/>
    <n v="0"/>
    <n v="0"/>
    <n v="0"/>
    <s v="MMR001CMP022"/>
    <x v="0"/>
    <x v="0"/>
    <x v="4"/>
    <n v="0"/>
    <s v="No"/>
    <m/>
  </r>
  <r>
    <n v="66.36666666666666"/>
    <d v="2011-11-18T00:00:00"/>
    <x v="1"/>
    <s v="UNHCR"/>
    <s v="Kachin"/>
    <s v="Myitkyina"/>
    <s v="Bomb Blast Victims"/>
    <m/>
    <m/>
    <m/>
    <n v="24"/>
    <n v="3"/>
    <n v="24"/>
    <n v="3"/>
    <n v="3"/>
    <n v="3"/>
    <n v="3"/>
    <m/>
    <m/>
    <m/>
    <m/>
    <m/>
    <m/>
    <m/>
    <n v="0"/>
    <n v="0"/>
    <n v="0"/>
    <n v="0"/>
    <n v="0"/>
    <n v="0"/>
    <n v="0"/>
    <n v="0"/>
    <n v="0"/>
    <n v="0"/>
    <n v="0"/>
    <n v="0"/>
    <n v="0"/>
    <n v="0"/>
    <x v="0"/>
    <n v="0"/>
    <n v="0"/>
    <n v="0"/>
    <s v=""/>
    <x v="2"/>
    <x v="1"/>
    <x v="2"/>
    <s v=""/>
    <s v="No"/>
    <m/>
  </r>
  <r>
    <n v="66.433333333333337"/>
    <d v="2011-11-16T00:00:00"/>
    <x v="1"/>
    <s v="KBC"/>
    <s v="Kachin"/>
    <s v="Myitkyina"/>
    <s v="Njang Dung Baptist Church "/>
    <m/>
    <m/>
    <m/>
    <n v="92"/>
    <n v="53"/>
    <n v="92"/>
    <n v="53"/>
    <n v="53"/>
    <n v="53"/>
    <n v="53"/>
    <m/>
    <m/>
    <m/>
    <m/>
    <m/>
    <m/>
    <m/>
    <n v="0"/>
    <n v="0"/>
    <n v="0"/>
    <n v="0"/>
    <n v="0"/>
    <n v="0"/>
    <n v="0"/>
    <n v="0"/>
    <n v="0"/>
    <n v="0"/>
    <n v="0"/>
    <n v="0"/>
    <n v="0"/>
    <n v="0"/>
    <x v="0"/>
    <n v="0"/>
    <n v="0"/>
    <n v="0"/>
    <s v="MMR001CMP002"/>
    <x v="0"/>
    <x v="0"/>
    <x v="4"/>
    <n v="1.3023712986853422E-3"/>
    <s v="No"/>
    <m/>
  </r>
  <r>
    <n v="66.433333333333337"/>
    <d v="2011-11-16T00:00:00"/>
    <x v="1"/>
    <s v="KBC"/>
    <s v="Kachin"/>
    <s v="Myitkyina"/>
    <s v="Shwe Zet Baptist Church"/>
    <m/>
    <m/>
    <m/>
    <n v="63"/>
    <n v="30"/>
    <n v="63"/>
    <n v="30"/>
    <n v="30"/>
    <n v="30"/>
    <n v="30"/>
    <m/>
    <m/>
    <m/>
    <m/>
    <m/>
    <m/>
    <m/>
    <n v="0"/>
    <n v="0"/>
    <n v="0"/>
    <n v="0"/>
    <n v="0"/>
    <n v="0"/>
    <n v="0"/>
    <n v="0"/>
    <n v="0"/>
    <n v="0"/>
    <n v="0"/>
    <n v="0"/>
    <n v="0"/>
    <n v="0"/>
    <x v="0"/>
    <n v="0"/>
    <n v="0"/>
    <n v="0"/>
    <s v="MMR001CMP009"/>
    <x v="0"/>
    <x v="0"/>
    <x v="4"/>
    <n v="7.3664825046040514E-4"/>
    <s v="No"/>
    <m/>
  </r>
  <r>
    <n v="66.433333333333337"/>
    <d v="2011-11-16T00:00:00"/>
    <x v="1"/>
    <s v="KBC"/>
    <s v="Kachin"/>
    <s v="Myitkyina"/>
    <s v="Tat Kone Galile Baptist Church"/>
    <m/>
    <m/>
    <m/>
    <n v="53"/>
    <n v="31"/>
    <n v="53"/>
    <n v="31"/>
    <n v="31"/>
    <n v="31"/>
    <n v="31"/>
    <m/>
    <m/>
    <m/>
    <m/>
    <m/>
    <m/>
    <m/>
    <n v="0"/>
    <n v="0"/>
    <n v="0"/>
    <n v="0"/>
    <n v="0"/>
    <n v="0"/>
    <n v="0"/>
    <n v="0"/>
    <n v="0"/>
    <n v="0"/>
    <n v="0"/>
    <n v="0"/>
    <n v="0"/>
    <n v="0"/>
    <x v="0"/>
    <n v="0"/>
    <n v="0"/>
    <n v="0"/>
    <s v="MMR001CMP003"/>
    <x v="0"/>
    <x v="0"/>
    <x v="4"/>
    <n v="7.6120319214241863E-4"/>
    <s v="No"/>
    <m/>
  </r>
  <r>
    <n v="66.466666666666669"/>
    <d v="2011-11-15T00:00:00"/>
    <x v="1"/>
    <s v="KBC"/>
    <s v="Kachin"/>
    <s v="Myitkyina"/>
    <s v="Tat Kone San Pya Baptist Church"/>
    <m/>
    <m/>
    <m/>
    <n v="30"/>
    <n v="17"/>
    <n v="30"/>
    <n v="17"/>
    <n v="17"/>
    <n v="17"/>
    <n v="17"/>
    <m/>
    <m/>
    <m/>
    <m/>
    <m/>
    <m/>
    <m/>
    <n v="0"/>
    <n v="0"/>
    <n v="0"/>
    <n v="0"/>
    <n v="0"/>
    <n v="0"/>
    <n v="0"/>
    <n v="0"/>
    <n v="0"/>
    <n v="0"/>
    <n v="0"/>
    <n v="0"/>
    <n v="0"/>
    <n v="0"/>
    <x v="0"/>
    <n v="0"/>
    <n v="0"/>
    <n v="0"/>
    <s v="MMR001CMP005"/>
    <x v="0"/>
    <x v="0"/>
    <x v="4"/>
    <n v="4.1649312786339027E-4"/>
    <s v="No"/>
    <m/>
  </r>
  <r>
    <n v="66.5"/>
    <d v="2011-11-14T00:00:00"/>
    <x v="1"/>
    <s v="KBC"/>
    <s v="Kachin"/>
    <s v="Myitkyina"/>
    <s v="Kyun Pin Thar Baptist Church"/>
    <m/>
    <m/>
    <m/>
    <n v="47"/>
    <n v="28"/>
    <n v="47"/>
    <n v="28"/>
    <n v="28"/>
    <n v="28"/>
    <n v="28"/>
    <m/>
    <m/>
    <m/>
    <m/>
    <m/>
    <m/>
    <m/>
    <n v="0"/>
    <n v="0"/>
    <n v="0"/>
    <n v="0"/>
    <n v="0"/>
    <n v="0"/>
    <n v="0"/>
    <n v="0"/>
    <n v="0"/>
    <n v="0"/>
    <n v="0"/>
    <n v="0"/>
    <n v="0"/>
    <n v="0"/>
    <x v="0"/>
    <n v="0"/>
    <n v="0"/>
    <n v="0"/>
    <s v="MMR001CMP013"/>
    <x v="0"/>
    <x v="0"/>
    <x v="4"/>
    <n v="6.8444596543547874E-4"/>
    <s v="No"/>
    <m/>
  </r>
  <r>
    <n v="66.5"/>
    <d v="2011-11-14T00:00:00"/>
    <x v="1"/>
    <s v="KBC"/>
    <s v="Kachin"/>
    <s v="Myitkyina"/>
    <s v="Le Kone Bethlehem Church"/>
    <m/>
    <m/>
    <m/>
    <n v="52"/>
    <n v="25"/>
    <n v="52"/>
    <n v="25"/>
    <n v="25"/>
    <n v="25"/>
    <n v="25"/>
    <m/>
    <m/>
    <m/>
    <m/>
    <m/>
    <m/>
    <m/>
    <n v="0"/>
    <n v="0"/>
    <n v="0"/>
    <n v="0"/>
    <n v="0"/>
    <n v="0"/>
    <n v="0"/>
    <n v="0"/>
    <n v="0"/>
    <n v="0"/>
    <n v="0"/>
    <n v="0"/>
    <n v="0"/>
    <n v="0"/>
    <x v="0"/>
    <n v="0"/>
    <n v="0"/>
    <n v="0"/>
    <s v="MMR001CMP015"/>
    <x v="0"/>
    <x v="0"/>
    <x v="4"/>
    <n v="6.1571805039036529E-4"/>
    <s v="No"/>
    <m/>
  </r>
  <r>
    <n v="66.5"/>
    <d v="2011-11-14T00:00:00"/>
    <x v="1"/>
    <s v="KBC"/>
    <s v="Kachin"/>
    <s v="Myitkyina"/>
    <s v="Maliyang Baptist Church"/>
    <m/>
    <m/>
    <m/>
    <n v="57"/>
    <n v="30"/>
    <n v="57"/>
    <n v="30"/>
    <n v="30"/>
    <n v="30"/>
    <n v="30"/>
    <m/>
    <m/>
    <m/>
    <m/>
    <m/>
    <m/>
    <m/>
    <n v="0"/>
    <n v="0"/>
    <n v="0"/>
    <n v="0"/>
    <n v="0"/>
    <n v="0"/>
    <n v="0"/>
    <n v="0"/>
    <n v="0"/>
    <n v="0"/>
    <n v="0"/>
    <n v="0"/>
    <n v="0"/>
    <n v="0"/>
    <x v="0"/>
    <n v="0"/>
    <n v="0"/>
    <n v="0"/>
    <s v="MMR001CMP016"/>
    <x v="0"/>
    <x v="0"/>
    <x v="4"/>
    <n v="7.3608793797232315E-4"/>
    <s v="No"/>
    <m/>
  </r>
  <r>
    <n v="66.833333333333329"/>
    <d v="2011-11-04T00:00:00"/>
    <x v="1"/>
    <s v="KBC"/>
    <s v="Kachin"/>
    <s v="Myitkyina"/>
    <s v="Jan Mai Kawng Baptist Church"/>
    <m/>
    <m/>
    <m/>
    <n v="208"/>
    <n v="102"/>
    <n v="208"/>
    <n v="102"/>
    <n v="102"/>
    <n v="102"/>
    <n v="102"/>
    <m/>
    <m/>
    <m/>
    <m/>
    <m/>
    <m/>
    <m/>
    <n v="0"/>
    <n v="0"/>
    <n v="0"/>
    <n v="0"/>
    <n v="0"/>
    <n v="0"/>
    <n v="0"/>
    <n v="0"/>
    <n v="0"/>
    <n v="0"/>
    <n v="0"/>
    <n v="0"/>
    <n v="0"/>
    <n v="0"/>
    <x v="0"/>
    <n v="0"/>
    <n v="0"/>
    <n v="0"/>
    <s v="MMR001CMP018"/>
    <x v="0"/>
    <x v="0"/>
    <x v="4"/>
    <n v="2.5046040515653775E-3"/>
    <s v="No"/>
    <m/>
  </r>
  <r>
    <n v="66.833333333333329"/>
    <d v="2011-11-04T00:00:00"/>
    <x v="1"/>
    <s v="KBC"/>
    <s v="Kachin"/>
    <s v="Myitkyina"/>
    <s v="Myay Myint Baptist Church"/>
    <m/>
    <m/>
    <m/>
    <n v="10"/>
    <n v="6"/>
    <n v="10"/>
    <n v="6"/>
    <n v="6"/>
    <n v="6"/>
    <n v="6"/>
    <m/>
    <m/>
    <m/>
    <m/>
    <m/>
    <m/>
    <m/>
    <n v="0"/>
    <n v="0"/>
    <n v="0"/>
    <n v="0"/>
    <n v="0"/>
    <n v="0"/>
    <n v="0"/>
    <n v="0"/>
    <n v="0"/>
    <n v="0"/>
    <n v="0"/>
    <n v="0"/>
    <n v="0"/>
    <n v="0"/>
    <x v="0"/>
    <n v="0"/>
    <n v="0"/>
    <n v="0"/>
    <s v="MMR001CMP017"/>
    <x v="0"/>
    <x v="2"/>
    <x v="4"/>
    <n v="1.4699757454002008E-4"/>
    <s v="No"/>
    <m/>
  </r>
  <r>
    <n v="66.86666666666666"/>
    <d v="2011-11-03T00:00:00"/>
    <x v="1"/>
    <s v="KMSS"/>
    <s v="Kachin"/>
    <s v="Myitkyina"/>
    <s v="Jan Mai Kawng Baptist Church"/>
    <m/>
    <m/>
    <m/>
    <n v="106"/>
    <n v="52"/>
    <n v="106"/>
    <n v="52"/>
    <n v="52"/>
    <n v="52"/>
    <n v="52"/>
    <m/>
    <m/>
    <m/>
    <m/>
    <m/>
    <m/>
    <m/>
    <n v="0"/>
    <n v="0"/>
    <n v="0"/>
    <n v="0"/>
    <n v="0"/>
    <n v="0"/>
    <n v="0"/>
    <n v="0"/>
    <n v="0"/>
    <n v="0"/>
    <n v="0"/>
    <n v="0"/>
    <n v="0"/>
    <n v="0"/>
    <x v="0"/>
    <n v="0"/>
    <n v="0"/>
    <n v="0"/>
    <s v="MMR001CMP018"/>
    <x v="0"/>
    <x v="0"/>
    <x v="4"/>
    <n v="1.2768569674647024E-3"/>
    <s v="No"/>
    <m/>
  </r>
  <r>
    <n v="66.86666666666666"/>
    <d v="2011-11-03T00:00:00"/>
    <x v="1"/>
    <s v="KBC"/>
    <s v="Kachin"/>
    <s v="Myitkyina"/>
    <s v="Le Kone Ziun Baptist Church "/>
    <m/>
    <m/>
    <m/>
    <n v="116"/>
    <n v="49"/>
    <n v="116"/>
    <n v="49"/>
    <n v="49"/>
    <n v="49"/>
    <n v="49"/>
    <m/>
    <m/>
    <m/>
    <m/>
    <m/>
    <m/>
    <m/>
    <n v="0"/>
    <n v="0"/>
    <n v="0"/>
    <n v="0"/>
    <n v="0"/>
    <n v="0"/>
    <n v="0"/>
    <n v="0"/>
    <n v="0"/>
    <n v="0"/>
    <n v="0"/>
    <n v="0"/>
    <n v="0"/>
    <n v="0"/>
    <x v="0"/>
    <n v="0"/>
    <n v="0"/>
    <n v="0"/>
    <s v="MMR001CMP014"/>
    <x v="0"/>
    <x v="0"/>
    <x v="4"/>
    <n v="1.204079125199656E-3"/>
    <s v="No"/>
    <m/>
  </r>
  <r>
    <n v="66.86666666666666"/>
    <d v="2011-11-03T00:00:00"/>
    <x v="1"/>
    <s v="KMSS"/>
    <s v="Kachin"/>
    <s v="Myitkyina"/>
    <s v="Shwe Zet Baptist Church"/>
    <m/>
    <m/>
    <m/>
    <n v="18"/>
    <n v="8"/>
    <n v="18"/>
    <n v="8"/>
    <n v="8"/>
    <n v="8"/>
    <n v="8"/>
    <m/>
    <m/>
    <m/>
    <m/>
    <m/>
    <m/>
    <m/>
    <n v="0"/>
    <n v="0"/>
    <n v="0"/>
    <n v="0"/>
    <n v="0"/>
    <n v="0"/>
    <n v="0"/>
    <n v="0"/>
    <n v="0"/>
    <n v="0"/>
    <n v="0"/>
    <n v="0"/>
    <n v="0"/>
    <n v="0"/>
    <x v="0"/>
    <n v="0"/>
    <n v="0"/>
    <n v="0"/>
    <s v="MMR001CMP009"/>
    <x v="0"/>
    <x v="0"/>
    <x v="4"/>
    <n v="1.9643953345610803E-4"/>
    <s v="No"/>
    <m/>
  </r>
  <r>
    <n v="66.86666666666666"/>
    <d v="2011-11-03T00:00:00"/>
    <x v="1"/>
    <s v="KBC"/>
    <s v="Kachin"/>
    <s v="Myitkyina"/>
    <s v="Tat Kone Baptist Church"/>
    <m/>
    <m/>
    <m/>
    <n v="73"/>
    <n v="34"/>
    <n v="73"/>
    <n v="34"/>
    <n v="34"/>
    <n v="34"/>
    <n v="34"/>
    <m/>
    <m/>
    <m/>
    <m/>
    <m/>
    <m/>
    <m/>
    <n v="0"/>
    <n v="0"/>
    <n v="0"/>
    <n v="0"/>
    <n v="0"/>
    <n v="0"/>
    <n v="0"/>
    <n v="0"/>
    <n v="0"/>
    <n v="0"/>
    <n v="0"/>
    <n v="0"/>
    <n v="0"/>
    <n v="0"/>
    <x v="0"/>
    <n v="0"/>
    <n v="0"/>
    <n v="0"/>
    <s v="MMR001CMP001"/>
    <x v="0"/>
    <x v="0"/>
    <x v="4"/>
    <n v="8.3548347462833277E-4"/>
    <s v="No"/>
    <m/>
  </r>
  <r>
    <n v="66.86666666666666"/>
    <d v="2011-11-03T00:00:00"/>
    <x v="1"/>
    <s v="KMSS"/>
    <s v="Kachin"/>
    <s v="Myitkyina"/>
    <s v="Tat Kone Emanuel Church"/>
    <m/>
    <m/>
    <m/>
    <n v="18"/>
    <n v="8"/>
    <n v="18"/>
    <n v="8"/>
    <n v="8"/>
    <n v="8"/>
    <n v="8"/>
    <m/>
    <m/>
    <m/>
    <m/>
    <m/>
    <m/>
    <m/>
    <n v="0"/>
    <n v="0"/>
    <n v="0"/>
    <n v="0"/>
    <n v="0"/>
    <n v="0"/>
    <n v="0"/>
    <n v="0"/>
    <n v="0"/>
    <n v="0"/>
    <n v="0"/>
    <n v="0"/>
    <n v="0"/>
    <n v="0"/>
    <x v="0"/>
    <n v="0"/>
    <n v="0"/>
    <n v="0"/>
    <s v="MMR001CMP004"/>
    <x v="0"/>
    <x v="0"/>
    <x v="4"/>
    <n v="1.962901167926195E-4"/>
    <s v="No"/>
    <m/>
  </r>
  <r>
    <n v="66.900000000000006"/>
    <d v="2011-11-02T00:00:00"/>
    <x v="1"/>
    <s v="KBC"/>
    <s v="Kachin"/>
    <s v="Myitkyina"/>
    <s v="Du Kahtawng Qtr. 14"/>
    <m/>
    <m/>
    <m/>
    <n v="0"/>
    <n v="5"/>
    <n v="0"/>
    <n v="5"/>
    <n v="5"/>
    <n v="5"/>
    <n v="5"/>
    <m/>
    <m/>
    <m/>
    <m/>
    <m/>
    <m/>
    <m/>
    <n v="0"/>
    <n v="0"/>
    <n v="0"/>
    <n v="0"/>
    <n v="0"/>
    <n v="0"/>
    <n v="0"/>
    <n v="0"/>
    <n v="0"/>
    <n v="0"/>
    <n v="0"/>
    <n v="0"/>
    <n v="0"/>
    <n v="0"/>
    <x v="0"/>
    <n v="0"/>
    <n v="0"/>
    <n v="0"/>
    <s v="MMR001CMP012"/>
    <x v="0"/>
    <x v="0"/>
    <x v="4"/>
    <n v="1.2286521685710776E-4"/>
    <s v="No"/>
    <m/>
  </r>
  <r>
    <n v="66.900000000000006"/>
    <d v="2011-11-02T00:00:00"/>
    <x v="1"/>
    <s v="KBC"/>
    <s v="Kachin"/>
    <s v="Myitkyina"/>
    <s v="Du Kahtawng Qtr. 4"/>
    <m/>
    <m/>
    <m/>
    <n v="0"/>
    <n v="6"/>
    <n v="0"/>
    <n v="6"/>
    <n v="6"/>
    <n v="6"/>
    <n v="6"/>
    <m/>
    <m/>
    <m/>
    <m/>
    <m/>
    <m/>
    <m/>
    <n v="0"/>
    <n v="0"/>
    <n v="0"/>
    <n v="0"/>
    <n v="0"/>
    <n v="0"/>
    <n v="0"/>
    <n v="0"/>
    <n v="0"/>
    <n v="0"/>
    <n v="0"/>
    <n v="0"/>
    <n v="0"/>
    <n v="0"/>
    <x v="0"/>
    <n v="0"/>
    <n v="0"/>
    <n v="0"/>
    <s v="MMR001CMP010"/>
    <x v="0"/>
    <x v="0"/>
    <x v="4"/>
    <n v="1.474382602285293E-4"/>
    <s v="No"/>
    <m/>
  </r>
  <r>
    <n v="66.900000000000006"/>
    <d v="2011-11-02T00:00:00"/>
    <x v="1"/>
    <s v="KBC"/>
    <s v="Kachin"/>
    <s v="Myitkyina"/>
    <s v="Du Kahtawng Qtr. 5"/>
    <m/>
    <m/>
    <m/>
    <n v="39"/>
    <n v="8"/>
    <n v="39"/>
    <n v="8"/>
    <n v="8"/>
    <n v="8"/>
    <n v="8"/>
    <m/>
    <m/>
    <m/>
    <m/>
    <m/>
    <m/>
    <m/>
    <n v="0"/>
    <n v="0"/>
    <n v="0"/>
    <n v="0"/>
    <n v="0"/>
    <n v="0"/>
    <n v="0"/>
    <n v="0"/>
    <n v="0"/>
    <n v="0"/>
    <n v="0"/>
    <n v="0"/>
    <n v="0"/>
    <n v="0"/>
    <x v="0"/>
    <n v="0"/>
    <n v="0"/>
    <n v="0"/>
    <s v="MMR001CMP011"/>
    <x v="0"/>
    <x v="0"/>
    <x v="4"/>
    <n v="1.965843469713724E-4"/>
    <s v="No"/>
    <m/>
  </r>
  <r>
    <n v="66.900000000000006"/>
    <d v="2011-11-02T00:00:00"/>
    <x v="1"/>
    <s v="KBC"/>
    <s v="Kachin"/>
    <s v="Myitkyina"/>
    <s v="Man Hkring Baptist Church"/>
    <m/>
    <m/>
    <m/>
    <n v="112"/>
    <n v="68"/>
    <n v="112"/>
    <n v="68"/>
    <n v="68"/>
    <n v="68"/>
    <n v="68"/>
    <m/>
    <m/>
    <m/>
    <m/>
    <m/>
    <m/>
    <m/>
    <n v="0"/>
    <n v="0"/>
    <n v="0"/>
    <n v="0"/>
    <n v="0"/>
    <n v="0"/>
    <n v="0"/>
    <n v="0"/>
    <n v="0"/>
    <n v="0"/>
    <n v="0"/>
    <n v="0"/>
    <n v="0"/>
    <n v="0"/>
    <x v="0"/>
    <n v="0"/>
    <n v="0"/>
    <n v="0"/>
    <s v="MMR001CMP008"/>
    <x v="0"/>
    <x v="0"/>
    <x v="4"/>
    <n v="1.6697360343769184E-3"/>
    <s v="No"/>
    <m/>
  </r>
  <r>
    <n v="66.900000000000006"/>
    <d v="2011-11-02T00:00:00"/>
    <x v="1"/>
    <s v="KBC"/>
    <s v="Kachin"/>
    <s v="Myitkyina"/>
    <s v="Shatapru Sut Ngai Tawng"/>
    <m/>
    <m/>
    <m/>
    <n v="219"/>
    <n v="117"/>
    <n v="219"/>
    <n v="117"/>
    <n v="117"/>
    <n v="117"/>
    <n v="117"/>
    <m/>
    <m/>
    <m/>
    <m/>
    <m/>
    <m/>
    <m/>
    <n v="0"/>
    <n v="0"/>
    <n v="0"/>
    <n v="0"/>
    <n v="0"/>
    <n v="0"/>
    <n v="0"/>
    <n v="0"/>
    <n v="0"/>
    <n v="0"/>
    <n v="0"/>
    <n v="0"/>
    <n v="0"/>
    <n v="0"/>
    <x v="0"/>
    <n v="0"/>
    <n v="0"/>
    <n v="0"/>
    <s v="MMR001CMP006"/>
    <x v="0"/>
    <x v="0"/>
    <x v="4"/>
    <n v="2.87074295809206E-3"/>
    <s v="No"/>
    <m/>
  </r>
  <r>
    <n v="66.900000000000006"/>
    <d v="2011-11-02T00:00:00"/>
    <x v="1"/>
    <s v="KBC"/>
    <s v="Kachin"/>
    <s v="Myitkyina"/>
    <s v="Shatapru Thida Aye Baptist Church"/>
    <m/>
    <m/>
    <m/>
    <n v="2"/>
    <n v="1"/>
    <n v="2"/>
    <n v="1"/>
    <n v="1"/>
    <n v="1"/>
    <n v="1"/>
    <m/>
    <m/>
    <m/>
    <m/>
    <m/>
    <m/>
    <m/>
    <n v="0"/>
    <n v="0"/>
    <n v="0"/>
    <n v="0"/>
    <n v="0"/>
    <n v="0"/>
    <n v="0"/>
    <n v="0"/>
    <n v="0"/>
    <n v="0"/>
    <n v="0"/>
    <n v="0"/>
    <n v="0"/>
    <n v="0"/>
    <x v="0"/>
    <n v="0"/>
    <n v="0"/>
    <n v="0"/>
    <s v="MMR001CMP007"/>
    <x v="0"/>
    <x v="0"/>
    <x v="4"/>
    <n v="2.4444498765552813E-5"/>
    <s v="No"/>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5" cacheId="18"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chartFormat="6">
  <location ref="A81:D90" firstHeaderRow="0" firstDataRow="1" firstDataCol="1" rowPageCount="2" colPageCount="1"/>
  <pivotFields count="37">
    <pivotField axis="axisPage" multipleItemSelectionAllowed="1" showAll="0">
      <items count="3">
        <item x="0"/>
        <item h="1" x="1"/>
        <item t="default"/>
      </items>
    </pivotField>
    <pivotField axis="axisRow" multipleItemSelectionAllowed="1" showAll="0">
      <items count="3">
        <item x="0"/>
        <item sd="0" x="1"/>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pivotField showAll="0" defaultSubtotal="0"/>
    <pivotField showAll="0" defaultSubtotal="0"/>
    <pivotField showAll="0"/>
    <pivotField dataField="1" showAll="0"/>
    <pivotField showAll="0" defaultSubtotal="0"/>
    <pivotField axis="axisRow" showAll="0" defaultSubtotal="0">
      <items count="2">
        <item x="0"/>
        <item x="1"/>
      </items>
    </pivotField>
    <pivotField axis="axisPage" multipleItemSelectionAllowed="1" showAll="0" defaultSubtotal="0">
      <items count="2">
        <item h="1" x="1"/>
        <item x="0"/>
      </items>
    </pivotField>
    <pivotField axis="axisRow" showAll="0">
      <items count="6">
        <item x="4"/>
        <item x="0"/>
        <item x="1"/>
        <item x="3"/>
        <item x="2"/>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3">
    <field x="1"/>
    <field x="19"/>
    <field x="21"/>
  </rowFields>
  <rowItems count="9">
    <i>
      <x/>
    </i>
    <i r="1">
      <x/>
    </i>
    <i r="2">
      <x v="1"/>
    </i>
    <i r="2">
      <x v="2"/>
    </i>
    <i r="1">
      <x v="1"/>
    </i>
    <i r="2">
      <x/>
    </i>
    <i r="2">
      <x v="1"/>
    </i>
    <i>
      <x v="1"/>
    </i>
    <i t="grand">
      <x/>
    </i>
  </rowItems>
  <colFields count="1">
    <field x="-2"/>
  </colFields>
  <colItems count="3">
    <i>
      <x/>
    </i>
    <i i="1">
      <x v="1"/>
    </i>
    <i i="2">
      <x v="2"/>
    </i>
  </colItems>
  <pageFields count="2">
    <pageField fld="0" hier="-1"/>
    <pageField fld="20" hier="-1"/>
  </pageFields>
  <dataFields count="3">
    <dataField name="Count of Camp" fld="11" subtotal="count" baseField="0" baseItem="0"/>
    <dataField name="Sum of Total" fld="17" baseField="2" baseItem="0"/>
    <dataField name="Sum of Total2" fld="17" showDataAs="percentOfTotal" baseField="20" baseItem="1" numFmtId="10"/>
  </dataFields>
  <formats count="21">
    <format dxfId="1936">
      <pivotArea type="all" dataOnly="0" outline="0" fieldPosition="0"/>
    </format>
    <format dxfId="1935">
      <pivotArea grandRow="1" outline="0" collapsedLevelsAreSubtotals="1" fieldPosition="0"/>
    </format>
    <format dxfId="1934">
      <pivotArea dataOnly="0" labelOnly="1" grandRow="1" outline="0" fieldPosition="0"/>
    </format>
    <format dxfId="1933">
      <pivotArea outline="0" collapsedLevelsAreSubtotals="1" fieldPosition="0"/>
    </format>
    <format dxfId="1932">
      <pivotArea dataOnly="0" labelOnly="1" fieldPosition="0">
        <references count="1">
          <reference field="0" count="0"/>
        </references>
      </pivotArea>
    </format>
    <format dxfId="1931">
      <pivotArea dataOnly="0" labelOnly="1" grandRow="1" outline="0" fieldPosition="0"/>
    </format>
    <format dxfId="1930">
      <pivotArea outline="0" fieldPosition="0">
        <references count="1">
          <reference field="4294967294" count="1">
            <x v="2"/>
          </reference>
        </references>
      </pivotArea>
    </format>
    <format dxfId="1929">
      <pivotArea collapsedLevelsAreSubtotals="1" fieldPosition="0">
        <references count="4">
          <reference field="4294967294" count="1" selected="0">
            <x v="2"/>
          </reference>
          <reference field="1" count="1" selected="0">
            <x v="0"/>
          </reference>
          <reference field="19" count="1" selected="0">
            <x v="0"/>
          </reference>
          <reference field="21" count="3">
            <x v="0"/>
            <x v="1"/>
            <x v="2"/>
          </reference>
        </references>
      </pivotArea>
    </format>
    <format dxfId="1928">
      <pivotArea collapsedLevelsAreSubtotals="1" fieldPosition="0">
        <references count="3">
          <reference field="4294967294" count="1" selected="0">
            <x v="2"/>
          </reference>
          <reference field="1" count="1" selected="0">
            <x v="0"/>
          </reference>
          <reference field="19" count="1">
            <x v="1"/>
          </reference>
        </references>
      </pivotArea>
    </format>
    <format dxfId="1927">
      <pivotArea collapsedLevelsAreSubtotals="1" fieldPosition="0">
        <references count="4">
          <reference field="4294967294" count="1" selected="0">
            <x v="2"/>
          </reference>
          <reference field="1" count="1" selected="0">
            <x v="0"/>
          </reference>
          <reference field="19" count="1" selected="0">
            <x v="1"/>
          </reference>
          <reference field="21" count="3">
            <x v="0"/>
            <x v="1"/>
            <x v="2"/>
          </reference>
        </references>
      </pivotArea>
    </format>
    <format dxfId="1926">
      <pivotArea collapsedLevelsAreSubtotals="1" fieldPosition="0">
        <references count="2">
          <reference field="4294967294" count="1" selected="0">
            <x v="2"/>
          </reference>
          <reference field="1" count="1">
            <x v="1"/>
          </reference>
        </references>
      </pivotArea>
    </format>
    <format dxfId="1925">
      <pivotArea field="1" grandRow="1" outline="0" collapsedLevelsAreSubtotals="1" axis="axisRow" fieldPosition="0">
        <references count="1">
          <reference field="4294967294" count="1" selected="0">
            <x v="2"/>
          </reference>
        </references>
      </pivotArea>
    </format>
    <format dxfId="1924">
      <pivotArea field="0" type="button" dataOnly="0" labelOnly="1" outline="0" axis="axisPage" fieldPosition="0"/>
    </format>
    <format dxfId="1923">
      <pivotArea dataOnly="0" labelOnly="1" outline="0" fieldPosition="0">
        <references count="1">
          <reference field="0" count="0"/>
        </references>
      </pivotArea>
    </format>
    <format dxfId="1922">
      <pivotArea field="0" type="button" dataOnly="0" labelOnly="1" outline="0" axis="axisPage" fieldPosition="0"/>
    </format>
    <format dxfId="1921">
      <pivotArea dataOnly="0" labelOnly="1" outline="0" fieldPosition="0">
        <references count="1">
          <reference field="0" count="0"/>
        </references>
      </pivotArea>
    </format>
    <format dxfId="1920">
      <pivotArea collapsedLevelsAreSubtotals="1" fieldPosition="0">
        <references count="1">
          <reference field="1" count="1">
            <x v="0"/>
          </reference>
        </references>
      </pivotArea>
    </format>
    <format dxfId="1919">
      <pivotArea field="1" type="button" dataOnly="0" labelOnly="1" outline="0" axis="axisRow" fieldPosition="0"/>
    </format>
    <format dxfId="1918">
      <pivotArea dataOnly="0" labelOnly="1" fieldPosition="0">
        <references count="1">
          <reference field="1" count="1">
            <x v="0"/>
          </reference>
        </references>
      </pivotArea>
    </format>
    <format dxfId="1917">
      <pivotArea dataOnly="0" labelOnly="1" outline="0" fieldPosition="0">
        <references count="1">
          <reference field="4294967294" count="3">
            <x v="0"/>
            <x v="1"/>
            <x v="2"/>
          </reference>
        </references>
      </pivotArea>
    </format>
    <format dxfId="1916">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3" cacheId="18" applyNumberFormats="0" applyBorderFormats="0" applyFontFormats="0" applyPatternFormats="0" applyAlignmentFormats="0" applyWidthHeightFormats="1" dataCaption="Values" updatedVersion="5" minRefreshableVersion="3" showDrill="0" useAutoFormatting="1" rowGrandTotals="0" colGrandTotals="0" itemPrintTitles="1" createdVersion="4" indent="0" compact="0" compactData="0" multipleFieldFilters="0">
  <location ref="U4:V285" firstHeaderRow="1" firstDataRow="1" firstDataCol="2" rowPageCount="1" colPageCount="1"/>
  <pivotFields count="37">
    <pivotField axis="axisPage" compact="0" outline="0" showAll="0" defaultSubtotal="0">
      <items count="2">
        <item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81">
        <item x="0"/>
        <item x="1"/>
        <item x="2"/>
        <item x="3"/>
        <item x="4"/>
        <item x="5"/>
        <item x="6"/>
        <item x="7"/>
        <item x="8"/>
        <item x="9"/>
        <item x="10"/>
        <item x="11"/>
        <item x="12"/>
        <item x="13"/>
        <item x="14"/>
        <item x="15"/>
        <item x="184"/>
        <item x="17"/>
        <item x="18"/>
        <item x="19"/>
        <item x="20"/>
        <item x="21"/>
        <item x="22"/>
        <item x="23"/>
        <item x="24"/>
        <item x="25"/>
        <item x="26"/>
        <item x="27"/>
        <item x="28"/>
        <item x="29"/>
        <item x="30"/>
        <item x="31"/>
        <item x="32"/>
        <item x="219"/>
        <item x="171"/>
        <item x="268"/>
        <item x="36"/>
        <item x="37"/>
        <item x="38"/>
        <item x="39"/>
        <item x="40"/>
        <item x="41"/>
        <item x="42"/>
        <item x="271"/>
        <item x="44"/>
        <item x="90"/>
        <item x="46"/>
        <item x="97"/>
        <item x="47"/>
        <item x="48"/>
        <item x="49"/>
        <item x="50"/>
        <item x="51"/>
        <item x="52"/>
        <item x="53"/>
        <item x="55"/>
        <item x="172"/>
        <item x="128"/>
        <item x="227"/>
        <item x="59"/>
        <item x="60"/>
        <item x="61"/>
        <item x="62"/>
        <item x="63"/>
        <item x="64"/>
        <item x="65"/>
        <item x="66"/>
        <item x="67"/>
        <item x="68"/>
        <item x="69"/>
        <item x="70"/>
        <item x="71"/>
        <item x="72"/>
        <item x="102"/>
        <item x="74"/>
        <item x="75"/>
        <item x="76"/>
        <item x="77"/>
        <item x="78"/>
        <item x="211"/>
        <item x="222"/>
        <item x="226"/>
        <item x="158"/>
        <item x="157"/>
        <item x="83"/>
        <item x="159"/>
        <item x="156"/>
        <item x="87"/>
        <item x="45"/>
        <item x="141"/>
        <item x="129"/>
        <item x="146"/>
        <item x="142"/>
        <item x="149"/>
        <item x="143"/>
        <item x="144"/>
        <item x="148"/>
        <item x="266"/>
        <item x="228"/>
        <item x="99"/>
        <item x="234"/>
        <item x="101"/>
        <item x="151"/>
        <item x="109"/>
        <item x="230"/>
        <item x="105"/>
        <item x="259"/>
        <item x="273"/>
        <item x="108"/>
        <item x="81"/>
        <item x="110"/>
        <item x="111"/>
        <item x="104"/>
        <item x="127"/>
        <item x="114"/>
        <item x="115"/>
        <item x="116"/>
        <item x="117"/>
        <item x="118"/>
        <item x="119"/>
        <item x="120"/>
        <item x="121"/>
        <item x="122"/>
        <item x="123"/>
        <item x="124"/>
        <item x="125"/>
        <item x="107"/>
        <item x="185"/>
        <item x="194"/>
        <item x="106"/>
        <item x="130"/>
        <item x="131"/>
        <item x="132"/>
        <item x="133"/>
        <item x="84"/>
        <item x="134"/>
        <item x="135"/>
        <item x="136"/>
        <item x="137"/>
        <item x="138"/>
        <item x="139"/>
        <item x="43"/>
        <item x="16"/>
        <item x="80"/>
        <item x="34"/>
        <item x="140"/>
        <item x="272"/>
        <item x="145"/>
        <item x="183"/>
        <item x="164"/>
        <item x="147"/>
        <item x="85"/>
        <item x="150"/>
        <item x="152"/>
        <item x="153"/>
        <item x="154"/>
        <item x="269"/>
        <item x="86"/>
        <item x="79"/>
        <item x="92"/>
        <item x="155"/>
        <item x="160"/>
        <item x="161"/>
        <item x="162"/>
        <item x="163"/>
        <item x="165"/>
        <item x="166"/>
        <item x="167"/>
        <item x="168"/>
        <item x="169"/>
        <item x="170"/>
        <item x="274"/>
        <item x="103"/>
        <item x="181"/>
        <item x="190"/>
        <item x="175"/>
        <item x="176"/>
        <item x="192"/>
        <item x="178"/>
        <item x="267"/>
        <item x="113"/>
        <item x="126"/>
        <item x="73"/>
        <item x="57"/>
        <item x="58"/>
        <item x="94"/>
        <item x="186"/>
        <item x="242"/>
        <item x="213"/>
        <item x="112"/>
        <item x="243"/>
        <item x="191"/>
        <item x="265"/>
        <item x="193"/>
        <item x="82"/>
        <item x="195"/>
        <item x="196"/>
        <item x="197"/>
        <item x="35"/>
        <item x="54"/>
        <item x="56"/>
        <item x="88"/>
        <item x="89"/>
        <item x="91"/>
        <item x="93"/>
        <item x="95"/>
        <item x="96"/>
        <item x="98"/>
        <item x="100"/>
        <item x="173"/>
        <item x="174"/>
        <item x="177"/>
        <item x="179"/>
        <item x="182"/>
        <item x="187"/>
        <item x="188"/>
        <item x="189"/>
        <item x="209"/>
        <item x="220"/>
        <item x="221"/>
        <item x="223"/>
        <item x="224"/>
        <item x="225"/>
        <item x="229"/>
        <item x="231"/>
        <item x="232"/>
        <item x="233"/>
        <item x="235"/>
        <item x="198"/>
        <item x="236"/>
        <item x="199"/>
        <item x="200"/>
        <item x="201"/>
        <item x="237"/>
        <item x="202"/>
        <item x="203"/>
        <item x="204"/>
        <item x="205"/>
        <item x="206"/>
        <item x="207"/>
        <item x="208"/>
        <item x="238"/>
        <item x="210"/>
        <item x="180"/>
        <item x="239"/>
        <item x="240"/>
        <item x="241"/>
        <item x="244"/>
        <item x="245"/>
        <item x="246"/>
        <item x="247"/>
        <item x="248"/>
        <item x="33"/>
        <item x="212"/>
        <item x="264"/>
        <item x="214"/>
        <item x="215"/>
        <item x="249"/>
        <item x="250"/>
        <item x="251"/>
        <item x="252"/>
        <item x="253"/>
        <item x="254"/>
        <item x="255"/>
        <item x="256"/>
        <item x="257"/>
        <item x="258"/>
        <item x="260"/>
        <item x="261"/>
        <item x="262"/>
        <item x="263"/>
        <item x="270"/>
        <item x="275"/>
        <item x="276"/>
        <item x="277"/>
        <item x="278"/>
        <item x="279"/>
        <item x="216"/>
        <item x="217"/>
        <item x="218"/>
        <item x="28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5">
        <item x="4"/>
        <item x="0"/>
        <item x="1"/>
        <item x="3"/>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12"/>
    <field x="21"/>
  </rowFields>
  <rowItems count="281">
    <i>
      <x/>
      <x v="1"/>
    </i>
    <i>
      <x v="1"/>
      <x v="1"/>
    </i>
    <i>
      <x v="2"/>
      <x v="1"/>
    </i>
    <i>
      <x v="3"/>
      <x v="1"/>
    </i>
    <i>
      <x v="4"/>
      <x v="1"/>
    </i>
    <i>
      <x v="5"/>
      <x v="1"/>
    </i>
    <i>
      <x v="6"/>
      <x v="1"/>
    </i>
    <i>
      <x v="7"/>
      <x v="1"/>
    </i>
    <i>
      <x v="8"/>
      <x v="1"/>
    </i>
    <i>
      <x v="9"/>
      <x v="1"/>
    </i>
    <i>
      <x v="10"/>
      <x v="1"/>
    </i>
    <i>
      <x v="11"/>
      <x v="1"/>
    </i>
    <i>
      <x v="12"/>
      <x v="1"/>
    </i>
    <i>
      <x v="13"/>
      <x v="1"/>
    </i>
    <i>
      <x v="14"/>
      <x v="1"/>
    </i>
    <i>
      <x v="15"/>
      <x v="1"/>
    </i>
    <i>
      <x v="16"/>
      <x v="1"/>
    </i>
    <i>
      <x v="17"/>
      <x v="1"/>
    </i>
    <i>
      <x v="18"/>
      <x v="1"/>
    </i>
    <i>
      <x v="19"/>
      <x v="1"/>
    </i>
    <i>
      <x v="20"/>
      <x v="1"/>
    </i>
    <i>
      <x v="21"/>
      <x v="1"/>
    </i>
    <i>
      <x v="22"/>
      <x v="1"/>
    </i>
    <i>
      <x v="23"/>
      <x v="1"/>
    </i>
    <i>
      <x v="24"/>
      <x v="1"/>
    </i>
    <i>
      <x v="25"/>
      <x v="1"/>
    </i>
    <i>
      <x v="26"/>
      <x v="1"/>
    </i>
    <i>
      <x v="27"/>
      <x v="1"/>
    </i>
    <i>
      <x v="28"/>
      <x v="1"/>
    </i>
    <i>
      <x v="29"/>
      <x v="1"/>
    </i>
    <i>
      <x v="30"/>
      <x v="1"/>
    </i>
    <i>
      <x v="31"/>
      <x v="1"/>
    </i>
    <i>
      <x v="32"/>
      <x v="1"/>
    </i>
    <i>
      <x v="33"/>
      <x v="1"/>
    </i>
    <i>
      <x v="34"/>
      <x v="1"/>
    </i>
    <i>
      <x v="35"/>
      <x/>
    </i>
    <i>
      <x v="36"/>
      <x v="1"/>
    </i>
    <i>
      <x v="37"/>
      <x v="1"/>
    </i>
    <i>
      <x v="38"/>
      <x v="1"/>
    </i>
    <i>
      <x v="39"/>
      <x v="1"/>
    </i>
    <i>
      <x v="40"/>
      <x v="1"/>
    </i>
    <i>
      <x v="41"/>
      <x v="1"/>
    </i>
    <i>
      <x v="42"/>
      <x v="1"/>
    </i>
    <i>
      <x v="43"/>
      <x v="1"/>
    </i>
    <i>
      <x v="44"/>
      <x v="2"/>
    </i>
    <i>
      <x v="45"/>
      <x v="1"/>
    </i>
    <i>
      <x v="46"/>
      <x v="1"/>
    </i>
    <i>
      <x v="47"/>
      <x v="1"/>
    </i>
    <i>
      <x v="48"/>
      <x v="1"/>
    </i>
    <i>
      <x v="49"/>
      <x v="1"/>
    </i>
    <i>
      <x v="50"/>
      <x v="1"/>
    </i>
    <i>
      <x v="51"/>
      <x v="1"/>
    </i>
    <i>
      <x v="52"/>
      <x v="1"/>
    </i>
    <i>
      <x v="53"/>
      <x v="1"/>
    </i>
    <i>
      <x v="54"/>
      <x v="1"/>
    </i>
    <i>
      <x v="55"/>
      <x v="1"/>
    </i>
    <i>
      <x v="56"/>
      <x v="1"/>
    </i>
    <i>
      <x v="57"/>
      <x v="1"/>
    </i>
    <i>
      <x v="58"/>
      <x v="1"/>
    </i>
    <i>
      <x v="59"/>
      <x v="2"/>
    </i>
    <i>
      <x v="60"/>
      <x v="2"/>
    </i>
    <i>
      <x v="61"/>
      <x v="1"/>
    </i>
    <i>
      <x v="62"/>
      <x v="2"/>
    </i>
    <i>
      <x v="63"/>
      <x v="2"/>
    </i>
    <i>
      <x v="64"/>
      <x v="2"/>
    </i>
    <i>
      <x v="65"/>
      <x v="1"/>
    </i>
    <i>
      <x v="66"/>
      <x v="1"/>
    </i>
    <i>
      <x v="67"/>
      <x v="1"/>
    </i>
    <i>
      <x v="68"/>
      <x v="1"/>
    </i>
    <i>
      <x v="69"/>
      <x v="1"/>
    </i>
    <i>
      <x v="70"/>
      <x v="1"/>
    </i>
    <i>
      <x v="71"/>
      <x v="1"/>
    </i>
    <i>
      <x v="72"/>
      <x v="1"/>
    </i>
    <i>
      <x v="73"/>
      <x v="1"/>
    </i>
    <i>
      <x v="74"/>
      <x v="2"/>
    </i>
    <i>
      <x v="75"/>
      <x v="1"/>
    </i>
    <i>
      <x v="76"/>
      <x v="1"/>
    </i>
    <i>
      <x v="77"/>
      <x v="1"/>
    </i>
    <i>
      <x v="78"/>
      <x v="1"/>
    </i>
    <i>
      <x v="79"/>
      <x v="1"/>
    </i>
    <i>
      <x v="80"/>
      <x v="1"/>
    </i>
    <i>
      <x v="81"/>
      <x v="1"/>
    </i>
    <i>
      <x v="82"/>
      <x v="1"/>
    </i>
    <i>
      <x v="83"/>
      <x v="1"/>
    </i>
    <i>
      <x v="84"/>
      <x v="1"/>
    </i>
    <i>
      <x v="85"/>
      <x v="1"/>
    </i>
    <i>
      <x v="86"/>
      <x v="1"/>
    </i>
    <i>
      <x v="87"/>
      <x v="1"/>
    </i>
    <i>
      <x v="88"/>
      <x v="1"/>
    </i>
    <i>
      <x v="89"/>
      <x v="1"/>
    </i>
    <i>
      <x v="90"/>
      <x v="1"/>
    </i>
    <i>
      <x v="91"/>
      <x v="1"/>
    </i>
    <i>
      <x v="92"/>
      <x v="1"/>
    </i>
    <i>
      <x v="93"/>
      <x v="1"/>
    </i>
    <i>
      <x v="94"/>
      <x v="1"/>
    </i>
    <i>
      <x v="95"/>
      <x v="1"/>
    </i>
    <i>
      <x v="96"/>
      <x v="1"/>
    </i>
    <i>
      <x v="97"/>
      <x v="1"/>
    </i>
    <i>
      <x v="98"/>
      <x v="1"/>
    </i>
    <i>
      <x v="99"/>
      <x v="1"/>
    </i>
    <i>
      <x v="100"/>
      <x v="1"/>
    </i>
    <i>
      <x v="101"/>
      <x v="1"/>
    </i>
    <i>
      <x v="102"/>
      <x v="1"/>
    </i>
    <i>
      <x v="103"/>
      <x v="1"/>
    </i>
    <i>
      <x v="104"/>
      <x v="1"/>
    </i>
    <i>
      <x v="105"/>
      <x v="1"/>
    </i>
    <i>
      <x v="106"/>
      <x v="1"/>
    </i>
    <i>
      <x v="107"/>
      <x v="1"/>
    </i>
    <i>
      <x v="108"/>
      <x v="1"/>
    </i>
    <i>
      <x v="109"/>
      <x v="1"/>
    </i>
    <i>
      <x v="110"/>
      <x v="1"/>
    </i>
    <i>
      <x v="111"/>
      <x v="1"/>
    </i>
    <i>
      <x v="112"/>
      <x v="1"/>
    </i>
    <i>
      <x v="113"/>
      <x v="1"/>
    </i>
    <i>
      <x v="114"/>
      <x v="1"/>
    </i>
    <i>
      <x v="115"/>
      <x v="1"/>
    </i>
    <i>
      <x v="116"/>
      <x v="1"/>
    </i>
    <i>
      <x v="117"/>
      <x v="1"/>
    </i>
    <i>
      <x v="118"/>
      <x v="1"/>
    </i>
    <i>
      <x v="119"/>
      <x v="1"/>
    </i>
    <i>
      <x v="120"/>
      <x v="1"/>
    </i>
    <i>
      <x v="121"/>
      <x v="1"/>
    </i>
    <i>
      <x v="122"/>
      <x v="1"/>
    </i>
    <i>
      <x v="123"/>
      <x v="1"/>
    </i>
    <i>
      <x v="124"/>
      <x v="1"/>
    </i>
    <i>
      <x v="125"/>
      <x v="2"/>
    </i>
    <i>
      <x v="126"/>
      <x v="1"/>
    </i>
    <i>
      <x v="127"/>
      <x v="1"/>
    </i>
    <i>
      <x v="128"/>
      <x v="1"/>
    </i>
    <i>
      <x v="129"/>
      <x v="1"/>
    </i>
    <i>
      <x v="130"/>
      <x v="2"/>
    </i>
    <i>
      <x v="131"/>
      <x v="1"/>
    </i>
    <i>
      <x v="132"/>
      <x v="3"/>
    </i>
    <i>
      <x v="133"/>
      <x v="1"/>
    </i>
    <i>
      <x v="134"/>
      <x v="2"/>
    </i>
    <i>
      <x v="135"/>
      <x v="1"/>
    </i>
    <i>
      <x v="136"/>
      <x v="1"/>
    </i>
    <i>
      <x v="137"/>
      <x v="2"/>
    </i>
    <i>
      <x v="138"/>
      <x v="1"/>
    </i>
    <i>
      <x v="139"/>
      <x v="1"/>
    </i>
    <i>
      <x v="140"/>
      <x v="1"/>
    </i>
    <i>
      <x v="141"/>
      <x v="1"/>
    </i>
    <i>
      <x v="142"/>
      <x v="1"/>
    </i>
    <i>
      <x v="143"/>
      <x v="1"/>
    </i>
    <i>
      <x v="144"/>
      <x v="1"/>
    </i>
    <i>
      <x v="145"/>
      <x v="1"/>
    </i>
    <i>
      <x v="146"/>
      <x v="1"/>
    </i>
    <i>
      <x v="147"/>
      <x v="1"/>
    </i>
    <i>
      <x v="148"/>
      <x v="1"/>
    </i>
    <i>
      <x v="149"/>
      <x v="1"/>
    </i>
    <i>
      <x v="150"/>
      <x v="1"/>
    </i>
    <i>
      <x v="151"/>
      <x v="1"/>
    </i>
    <i>
      <x v="152"/>
      <x v="1"/>
    </i>
    <i>
      <x v="153"/>
      <x v="1"/>
    </i>
    <i>
      <x v="154"/>
      <x v="1"/>
    </i>
    <i>
      <x v="155"/>
      <x v="1"/>
    </i>
    <i>
      <x v="156"/>
      <x v="1"/>
    </i>
    <i>
      <x v="157"/>
      <x v="1"/>
    </i>
    <i>
      <x v="158"/>
      <x v="1"/>
    </i>
    <i>
      <x v="159"/>
      <x v="1"/>
    </i>
    <i>
      <x v="160"/>
      <x v="1"/>
    </i>
    <i>
      <x v="161"/>
      <x v="1"/>
    </i>
    <i>
      <x v="162"/>
      <x v="1"/>
    </i>
    <i>
      <x v="163"/>
      <x v="1"/>
    </i>
    <i>
      <x v="164"/>
      <x v="1"/>
    </i>
    <i>
      <x v="165"/>
      <x v="1"/>
    </i>
    <i>
      <x v="166"/>
      <x v="2"/>
    </i>
    <i>
      <x v="167"/>
      <x v="2"/>
    </i>
    <i>
      <x v="168"/>
      <x v="2"/>
    </i>
    <i>
      <x v="169"/>
      <x v="2"/>
    </i>
    <i>
      <x v="170"/>
      <x v="2"/>
    </i>
    <i>
      <x v="171"/>
      <x v="1"/>
    </i>
    <i>
      <x v="172"/>
      <x v="1"/>
    </i>
    <i>
      <x v="173"/>
      <x v="1"/>
    </i>
    <i>
      <x v="174"/>
      <x v="1"/>
    </i>
    <i>
      <x v="175"/>
      <x v="1"/>
    </i>
    <i>
      <x v="176"/>
      <x/>
    </i>
    <i>
      <x v="177"/>
      <x v="1"/>
    </i>
    <i>
      <x v="178"/>
      <x v="1"/>
    </i>
    <i>
      <x v="179"/>
      <x v="1"/>
    </i>
    <i>
      <x v="180"/>
      <x v="1"/>
    </i>
    <i>
      <x v="181"/>
      <x v="1"/>
    </i>
    <i>
      <x v="182"/>
      <x v="1"/>
    </i>
    <i>
      <x v="183"/>
      <x v="1"/>
    </i>
    <i>
      <x v="184"/>
      <x v="2"/>
    </i>
    <i>
      <x v="185"/>
      <x v="4"/>
    </i>
    <i>
      <x v="186"/>
      <x v="1"/>
    </i>
    <i>
      <x v="187"/>
      <x v="1"/>
    </i>
    <i>
      <x v="188"/>
      <x v="1"/>
    </i>
    <i>
      <x v="189"/>
      <x v="1"/>
    </i>
    <i>
      <x v="190"/>
      <x v="1"/>
    </i>
    <i>
      <x v="191"/>
      <x v="1"/>
    </i>
    <i>
      <x v="192"/>
      <x v="1"/>
    </i>
    <i>
      <x v="193"/>
      <x v="1"/>
    </i>
    <i>
      <x v="194"/>
      <x v="1"/>
    </i>
    <i>
      <x v="195"/>
      <x v="2"/>
    </i>
    <i>
      <x v="196"/>
      <x v="1"/>
    </i>
    <i>
      <x v="197"/>
      <x v="1"/>
    </i>
    <i>
      <x v="198"/>
      <x v="1"/>
    </i>
    <i>
      <x v="199"/>
      <x v="1"/>
    </i>
    <i>
      <x v="200"/>
      <x v="1"/>
    </i>
    <i>
      <x v="201"/>
      <x v="1"/>
    </i>
    <i>
      <x v="202"/>
      <x v="2"/>
    </i>
    <i>
      <x v="203"/>
      <x v="1"/>
    </i>
    <i>
      <x v="204"/>
      <x v="1"/>
    </i>
    <i>
      <x v="205"/>
      <x v="1"/>
    </i>
    <i>
      <x v="206"/>
      <x v="2"/>
    </i>
    <i>
      <x v="207"/>
      <x v="2"/>
    </i>
    <i>
      <x v="208"/>
      <x v="1"/>
    </i>
    <i>
      <x v="209"/>
      <x v="1"/>
    </i>
    <i>
      <x v="210"/>
      <x v="1"/>
    </i>
    <i>
      <x v="211"/>
      <x v="1"/>
    </i>
    <i>
      <x v="212"/>
      <x v="1"/>
    </i>
    <i>
      <x v="213"/>
      <x v="1"/>
    </i>
    <i>
      <x v="214"/>
      <x v="1"/>
    </i>
    <i>
      <x v="215"/>
      <x v="1"/>
    </i>
    <i>
      <x v="216"/>
      <x v="2"/>
    </i>
    <i>
      <x v="217"/>
      <x v="1"/>
    </i>
    <i>
      <x v="218"/>
      <x v="1"/>
    </i>
    <i>
      <x v="219"/>
      <x v="2"/>
    </i>
    <i>
      <x v="220"/>
      <x v="1"/>
    </i>
    <i>
      <x v="221"/>
      <x v="2"/>
    </i>
    <i>
      <x v="222"/>
      <x v="1"/>
    </i>
    <i>
      <x v="223"/>
      <x v="1"/>
    </i>
    <i>
      <x v="224"/>
      <x v="1"/>
    </i>
    <i>
      <x v="225"/>
      <x v="1"/>
    </i>
    <i>
      <x v="226"/>
      <x v="1"/>
    </i>
    <i>
      <x v="227"/>
      <x v="1"/>
    </i>
    <i>
      <x v="228"/>
      <x v="1"/>
    </i>
    <i>
      <x v="229"/>
      <x v="1"/>
    </i>
    <i>
      <x v="230"/>
      <x v="1"/>
    </i>
    <i>
      <x v="231"/>
      <x v="2"/>
    </i>
    <i>
      <x v="232"/>
      <x v="2"/>
    </i>
    <i>
      <x v="233"/>
      <x v="1"/>
    </i>
    <i>
      <x v="234"/>
      <x v="1"/>
    </i>
    <i>
      <x v="235"/>
      <x v="2"/>
    </i>
    <i>
      <x v="236"/>
      <x v="1"/>
    </i>
    <i>
      <x v="237"/>
      <x v="1"/>
    </i>
    <i>
      <x v="238"/>
      <x v="1"/>
    </i>
    <i>
      <x v="239"/>
      <x v="1"/>
    </i>
    <i>
      <x v="240"/>
      <x/>
    </i>
    <i>
      <x v="241"/>
      <x v="1"/>
    </i>
    <i>
      <x v="242"/>
      <x v="1"/>
    </i>
    <i>
      <x v="243"/>
      <x v="1"/>
    </i>
    <i>
      <x v="244"/>
      <x v="1"/>
    </i>
    <i>
      <x v="245"/>
      <x v="1"/>
    </i>
    <i>
      <x v="246"/>
      <x v="1"/>
    </i>
    <i>
      <x v="247"/>
      <x v="1"/>
    </i>
    <i>
      <x v="248"/>
      <x v="1"/>
    </i>
    <i>
      <x v="249"/>
      <x v="1"/>
    </i>
    <i>
      <x v="250"/>
      <x v="1"/>
    </i>
    <i>
      <x v="251"/>
      <x v="1"/>
    </i>
    <i>
      <x v="252"/>
      <x v="1"/>
    </i>
    <i>
      <x v="253"/>
      <x v="1"/>
    </i>
    <i>
      <x v="254"/>
      <x v="1"/>
    </i>
    <i>
      <x v="255"/>
      <x v="1"/>
    </i>
    <i>
      <x v="256"/>
      <x v="1"/>
    </i>
    <i>
      <x v="257"/>
      <x v="1"/>
    </i>
    <i>
      <x v="258"/>
      <x v="1"/>
    </i>
    <i>
      <x v="259"/>
      <x v="1"/>
    </i>
    <i>
      <x v="260"/>
      <x v="1"/>
    </i>
    <i>
      <x v="261"/>
      <x v="1"/>
    </i>
    <i>
      <x v="262"/>
      <x v="1"/>
    </i>
    <i>
      <x v="263"/>
      <x v="1"/>
    </i>
    <i>
      <x v="264"/>
      <x v="1"/>
    </i>
    <i>
      <x v="265"/>
      <x v="1"/>
    </i>
    <i>
      <x v="266"/>
      <x v="1"/>
    </i>
    <i>
      <x v="267"/>
      <x v="1"/>
    </i>
    <i>
      <x v="268"/>
      <x v="1"/>
    </i>
    <i>
      <x v="269"/>
      <x v="1"/>
    </i>
    <i>
      <x v="270"/>
      <x v="1"/>
    </i>
    <i>
      <x v="271"/>
      <x v="1"/>
    </i>
    <i>
      <x v="272"/>
      <x v="1"/>
    </i>
    <i>
      <x v="273"/>
      <x v="1"/>
    </i>
    <i>
      <x v="274"/>
      <x v="1"/>
    </i>
    <i>
      <x v="275"/>
      <x v="1"/>
    </i>
    <i>
      <x v="276"/>
      <x v="1"/>
    </i>
    <i>
      <x v="277"/>
      <x v="1"/>
    </i>
    <i>
      <x v="278"/>
      <x v="1"/>
    </i>
    <i>
      <x v="279"/>
      <x v="1"/>
    </i>
    <i>
      <x v="280"/>
      <x v="1"/>
    </i>
  </rowItems>
  <colItems count="1">
    <i/>
  </colItems>
  <pageFields count="1">
    <pageField fld="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11.xml><?xml version="1.0" encoding="utf-8"?>
<pivotTableDefinition xmlns="http://schemas.openxmlformats.org/spreadsheetml/2006/main" name="PivotTable2" cacheId="18" applyNumberFormats="0" applyBorderFormats="0" applyFontFormats="0" applyPatternFormats="0" applyAlignmentFormats="0" applyWidthHeightFormats="1" dataCaption="Values" updatedVersion="5" minRefreshableVersion="3" showDrill="0" rowGrandTotals="0" colGrandTotals="0" itemPrintTitles="1" createdVersion="4" indent="0" compact="0" compactData="0" multipleFieldFilters="0">
  <location ref="M3:Q284" firstHeaderRow="0" firstDataRow="1" firstDataCol="3" rowPageCount="1" colPageCount="1"/>
  <pivotFields count="37">
    <pivotField axis="axisPage" compact="0" outline="0" showAll="0" defaultSubtotal="0">
      <items count="2">
        <item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2">
        <item x="5"/>
        <item x="4"/>
        <item x="1"/>
        <item x="20"/>
        <item x="16"/>
        <item x="15"/>
        <item x="13"/>
        <item x="17"/>
        <item x="7"/>
        <item x="14"/>
        <item x="10"/>
        <item x="11"/>
        <item x="6"/>
        <item x="12"/>
        <item x="0"/>
        <item x="3"/>
        <item x="18"/>
        <item x="9"/>
        <item x="8"/>
        <item x="19"/>
        <item x="2"/>
        <item x="2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78">
        <item x="16"/>
        <item x="147"/>
        <item x="138"/>
        <item x="48"/>
        <item x="145"/>
        <item x="155"/>
        <item x="34"/>
        <item x="163"/>
        <item x="43"/>
        <item x="45"/>
        <item x="57"/>
        <item x="58"/>
        <item x="73"/>
        <item x="139"/>
        <item x="79"/>
        <item x="80"/>
        <item x="81"/>
        <item x="108"/>
        <item x="121"/>
        <item x="105"/>
        <item x="83"/>
        <item x="41"/>
        <item x="84"/>
        <item x="140"/>
        <item x="11"/>
        <item x="9"/>
        <item x="10"/>
        <item x="118"/>
        <item x="85"/>
        <item x="86"/>
        <item x="222"/>
        <item x="226"/>
        <item x="90"/>
        <item x="27"/>
        <item x="110"/>
        <item x="131"/>
        <item x="160"/>
        <item x="92"/>
        <item x="136"/>
        <item x="96"/>
        <item x="186"/>
        <item x="42"/>
        <item x="117"/>
        <item x="50"/>
        <item x="173"/>
        <item x="94"/>
        <item x="17"/>
        <item x="18"/>
        <item x="116"/>
        <item x="97"/>
        <item x="167"/>
        <item x="171"/>
        <item x="174"/>
        <item x="176"/>
        <item x="12"/>
        <item x="76"/>
        <item x="102"/>
        <item x="103"/>
        <item x="132"/>
        <item x="44"/>
        <item x="120"/>
        <item x="130"/>
        <item x="106"/>
        <item x="14"/>
        <item x="13"/>
        <item x="165"/>
        <item x="150"/>
        <item x="137"/>
        <item x="47"/>
        <item x="70"/>
        <item x="68"/>
        <item x="69"/>
        <item x="107"/>
        <item x="109"/>
        <item x="112"/>
        <item x="26"/>
        <item x="114"/>
        <item x="63"/>
        <item x="30"/>
        <item x="28"/>
        <item x="39"/>
        <item x="38"/>
        <item x="183"/>
        <item x="15"/>
        <item x="61"/>
        <item x="7"/>
        <item x="113"/>
        <item x="126"/>
        <item x="62"/>
        <item x="166"/>
        <item x="124"/>
        <item x="123"/>
        <item x="125"/>
        <item x="127"/>
        <item x="128"/>
        <item x="95"/>
        <item x="220"/>
        <item x="75"/>
        <item x="65"/>
        <item x="129"/>
        <item x="141"/>
        <item x="142"/>
        <item x="143"/>
        <item x="144"/>
        <item x="146"/>
        <item x="148"/>
        <item x="149"/>
        <item x="19"/>
        <item x="20"/>
        <item x="151"/>
        <item x="156"/>
        <item x="157"/>
        <item x="158"/>
        <item x="87"/>
        <item x="159"/>
        <item x="164"/>
        <item x="179"/>
        <item x="55"/>
        <item x="169"/>
        <item x="100"/>
        <item x="89"/>
        <item x="177"/>
        <item x="178"/>
        <item x="91"/>
        <item x="184"/>
        <item x="180"/>
        <item x="49"/>
        <item x="181"/>
        <item x="60"/>
        <item x="182"/>
        <item x="88"/>
        <item x="35"/>
        <item x="56"/>
        <item x="206"/>
        <item x="54"/>
        <item x="217"/>
        <item x="98"/>
        <item x="93"/>
        <item x="187"/>
        <item x="189"/>
        <item x="191"/>
        <item x="161"/>
        <item x="170"/>
        <item x="221"/>
        <item x="23"/>
        <item x="52"/>
        <item x="99"/>
        <item x="208"/>
        <item x="218"/>
        <item x="77"/>
        <item x="210"/>
        <item x="32"/>
        <item x="133"/>
        <item x="219"/>
        <item x="223"/>
        <item x="122"/>
        <item x="224"/>
        <item x="1"/>
        <item x="71"/>
        <item x="135"/>
        <item x="119"/>
        <item x="175"/>
        <item x="225"/>
        <item x="162"/>
        <item x="64"/>
        <item x="134"/>
        <item x="31"/>
        <item x="24"/>
        <item x="29"/>
        <item x="25"/>
        <item x="152"/>
        <item x="46"/>
        <item x="227"/>
        <item x="153"/>
        <item x="231"/>
        <item x="72"/>
        <item x="5"/>
        <item x="6"/>
        <item x="40"/>
        <item x="66"/>
        <item x="67"/>
        <item x="8"/>
        <item x="239"/>
        <item x="78"/>
        <item x="240"/>
        <item x="172"/>
        <item x="53"/>
        <item x="256"/>
        <item x="59"/>
        <item x="0"/>
        <item x="3"/>
        <item x="2"/>
        <item x="4"/>
        <item x="36"/>
        <item x="263"/>
        <item x="264"/>
        <item x="74"/>
        <item x="37"/>
        <item x="265"/>
        <item x="266"/>
        <item x="154"/>
        <item x="111"/>
        <item x="268"/>
        <item x="269"/>
        <item x="21"/>
        <item x="51"/>
        <item x="101"/>
        <item x="271"/>
        <item x="185"/>
        <item x="188"/>
        <item x="190"/>
        <item x="262"/>
        <item x="82"/>
        <item x="192"/>
        <item x="228"/>
        <item x="229"/>
        <item x="193"/>
        <item x="232"/>
        <item x="194"/>
        <item x="230"/>
        <item x="195"/>
        <item x="233"/>
        <item x="196"/>
        <item x="197"/>
        <item x="198"/>
        <item x="168"/>
        <item x="216"/>
        <item x="104"/>
        <item x="115"/>
        <item x="22"/>
        <item x="270"/>
        <item x="199"/>
        <item x="234"/>
        <item x="200"/>
        <item x="201"/>
        <item x="202"/>
        <item x="203"/>
        <item x="204"/>
        <item x="205"/>
        <item x="235"/>
        <item x="207"/>
        <item x="236"/>
        <item x="241"/>
        <item x="242"/>
        <item x="243"/>
        <item x="237"/>
        <item x="238"/>
        <item x="244"/>
        <item x="245"/>
        <item x="33"/>
        <item x="209"/>
        <item x="261"/>
        <item x="211"/>
        <item x="212"/>
        <item x="246"/>
        <item x="247"/>
        <item x="248"/>
        <item x="249"/>
        <item x="250"/>
        <item x="251"/>
        <item x="252"/>
        <item x="253"/>
        <item x="254"/>
        <item x="255"/>
        <item x="257"/>
        <item x="258"/>
        <item x="259"/>
        <item x="260"/>
        <item x="267"/>
        <item x="272"/>
        <item x="273"/>
        <item x="274"/>
        <item x="275"/>
        <item x="276"/>
        <item x="213"/>
        <item x="214"/>
        <item x="215"/>
        <item x="277"/>
      </items>
      <extLst>
        <ext xmlns:x14="http://schemas.microsoft.com/office/spreadsheetml/2009/9/main" uri="{2946ED86-A175-432a-8AC1-64E0C546D7DE}">
          <x14:pivotField fillDownLabels="1"/>
        </ext>
      </extLst>
    </pivotField>
    <pivotField axis="axisRow" compact="0" outline="0" showAll="0" defaultSubtotal="0">
      <items count="281">
        <item x="0"/>
        <item x="1"/>
        <item x="2"/>
        <item x="3"/>
        <item x="4"/>
        <item x="5"/>
        <item x="6"/>
        <item x="7"/>
        <item x="8"/>
        <item x="9"/>
        <item x="10"/>
        <item x="11"/>
        <item x="12"/>
        <item x="13"/>
        <item x="14"/>
        <item x="15"/>
        <item x="184"/>
        <item x="17"/>
        <item x="18"/>
        <item x="19"/>
        <item x="20"/>
        <item x="21"/>
        <item x="22"/>
        <item x="23"/>
        <item x="24"/>
        <item x="25"/>
        <item x="26"/>
        <item x="27"/>
        <item x="28"/>
        <item x="29"/>
        <item x="30"/>
        <item x="31"/>
        <item x="32"/>
        <item x="219"/>
        <item x="171"/>
        <item x="268"/>
        <item x="36"/>
        <item x="37"/>
        <item x="38"/>
        <item x="39"/>
        <item x="40"/>
        <item x="41"/>
        <item x="42"/>
        <item x="271"/>
        <item x="44"/>
        <item x="90"/>
        <item x="46"/>
        <item x="97"/>
        <item x="47"/>
        <item x="48"/>
        <item x="49"/>
        <item x="50"/>
        <item x="51"/>
        <item x="52"/>
        <item x="53"/>
        <item x="55"/>
        <item x="172"/>
        <item x="128"/>
        <item x="227"/>
        <item x="59"/>
        <item x="60"/>
        <item x="61"/>
        <item x="62"/>
        <item x="63"/>
        <item x="64"/>
        <item x="65"/>
        <item x="66"/>
        <item x="67"/>
        <item x="68"/>
        <item x="69"/>
        <item x="70"/>
        <item x="71"/>
        <item x="72"/>
        <item x="102"/>
        <item x="74"/>
        <item x="75"/>
        <item x="76"/>
        <item x="77"/>
        <item x="78"/>
        <item x="211"/>
        <item x="222"/>
        <item x="226"/>
        <item x="158"/>
        <item x="157"/>
        <item x="83"/>
        <item x="159"/>
        <item x="156"/>
        <item x="87"/>
        <item x="45"/>
        <item x="141"/>
        <item x="129"/>
        <item x="146"/>
        <item x="142"/>
        <item x="149"/>
        <item x="143"/>
        <item x="144"/>
        <item x="148"/>
        <item x="266"/>
        <item x="228"/>
        <item x="99"/>
        <item x="234"/>
        <item x="101"/>
        <item x="151"/>
        <item x="109"/>
        <item x="230"/>
        <item x="105"/>
        <item x="259"/>
        <item x="273"/>
        <item x="108"/>
        <item x="81"/>
        <item x="110"/>
        <item x="111"/>
        <item x="104"/>
        <item x="127"/>
        <item x="114"/>
        <item x="115"/>
        <item x="116"/>
        <item x="117"/>
        <item x="118"/>
        <item x="119"/>
        <item x="120"/>
        <item x="121"/>
        <item x="122"/>
        <item x="123"/>
        <item x="124"/>
        <item x="125"/>
        <item x="107"/>
        <item x="185"/>
        <item x="194"/>
        <item x="106"/>
        <item x="130"/>
        <item x="131"/>
        <item x="132"/>
        <item x="133"/>
        <item x="84"/>
        <item x="134"/>
        <item x="135"/>
        <item x="136"/>
        <item x="137"/>
        <item x="138"/>
        <item x="139"/>
        <item x="43"/>
        <item x="16"/>
        <item x="80"/>
        <item x="34"/>
        <item x="140"/>
        <item x="272"/>
        <item x="145"/>
        <item x="183"/>
        <item x="164"/>
        <item x="147"/>
        <item x="85"/>
        <item x="150"/>
        <item x="152"/>
        <item x="153"/>
        <item x="154"/>
        <item x="269"/>
        <item x="86"/>
        <item x="79"/>
        <item x="92"/>
        <item x="155"/>
        <item x="160"/>
        <item x="161"/>
        <item x="162"/>
        <item x="163"/>
        <item x="165"/>
        <item x="166"/>
        <item x="167"/>
        <item x="168"/>
        <item x="169"/>
        <item x="170"/>
        <item x="274"/>
        <item x="103"/>
        <item x="181"/>
        <item x="190"/>
        <item x="175"/>
        <item x="176"/>
        <item x="192"/>
        <item x="178"/>
        <item x="267"/>
        <item x="113"/>
        <item x="126"/>
        <item x="73"/>
        <item x="57"/>
        <item x="58"/>
        <item x="94"/>
        <item x="186"/>
        <item x="242"/>
        <item x="213"/>
        <item x="112"/>
        <item x="243"/>
        <item x="35"/>
        <item x="54"/>
        <item x="56"/>
        <item x="88"/>
        <item x="89"/>
        <item x="91"/>
        <item x="93"/>
        <item x="95"/>
        <item x="96"/>
        <item x="98"/>
        <item x="100"/>
        <item x="173"/>
        <item x="174"/>
        <item x="177"/>
        <item x="179"/>
        <item x="182"/>
        <item x="187"/>
        <item x="188"/>
        <item x="189"/>
        <item x="209"/>
        <item x="220"/>
        <item x="221"/>
        <item x="223"/>
        <item x="224"/>
        <item x="225"/>
        <item x="229"/>
        <item x="191"/>
        <item x="265"/>
        <item x="193"/>
        <item x="82"/>
        <item x="195"/>
        <item x="231"/>
        <item x="232"/>
        <item x="233"/>
        <item x="196"/>
        <item x="235"/>
        <item x="197"/>
        <item x="198"/>
        <item x="236"/>
        <item x="199"/>
        <item x="200"/>
        <item x="201"/>
        <item x="237"/>
        <item x="202"/>
        <item x="203"/>
        <item x="204"/>
        <item x="205"/>
        <item x="206"/>
        <item x="207"/>
        <item x="208"/>
        <item x="238"/>
        <item x="210"/>
        <item x="180"/>
        <item x="239"/>
        <item x="240"/>
        <item x="241"/>
        <item x="244"/>
        <item x="245"/>
        <item x="246"/>
        <item x="247"/>
        <item x="248"/>
        <item x="33"/>
        <item x="212"/>
        <item x="264"/>
        <item x="214"/>
        <item x="215"/>
        <item x="249"/>
        <item x="250"/>
        <item x="251"/>
        <item x="252"/>
        <item x="253"/>
        <item x="254"/>
        <item x="255"/>
        <item x="256"/>
        <item x="257"/>
        <item x="258"/>
        <item x="260"/>
        <item x="261"/>
        <item x="262"/>
        <item x="263"/>
        <item x="270"/>
        <item x="275"/>
        <item x="276"/>
        <item x="277"/>
        <item x="278"/>
        <item x="279"/>
        <item x="216"/>
        <item x="217"/>
        <item x="218"/>
        <item x="28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3">
    <field x="12"/>
    <field x="11"/>
    <field x="5"/>
  </rowFields>
  <rowItems count="281">
    <i>
      <x/>
      <x v="189"/>
      <x v="14"/>
    </i>
    <i>
      <x v="1"/>
      <x v="157"/>
      <x v="14"/>
    </i>
    <i>
      <x v="2"/>
      <x v="191"/>
      <x v="14"/>
    </i>
    <i>
      <x v="3"/>
      <x v="190"/>
      <x v="14"/>
    </i>
    <i>
      <x v="4"/>
      <x v="192"/>
      <x v="14"/>
    </i>
    <i>
      <x v="5"/>
      <x v="176"/>
      <x v="14"/>
    </i>
    <i>
      <x v="6"/>
      <x v="177"/>
      <x v="14"/>
    </i>
    <i>
      <x v="7"/>
      <x v="85"/>
      <x v="14"/>
    </i>
    <i>
      <x v="8"/>
      <x v="181"/>
      <x v="14"/>
    </i>
    <i>
      <x v="9"/>
      <x v="25"/>
      <x v="14"/>
    </i>
    <i>
      <x v="10"/>
      <x v="26"/>
      <x v="14"/>
    </i>
    <i>
      <x v="11"/>
      <x v="24"/>
      <x v="14"/>
    </i>
    <i>
      <x v="12"/>
      <x v="54"/>
      <x v="14"/>
    </i>
    <i>
      <x v="13"/>
      <x v="64"/>
      <x v="14"/>
    </i>
    <i>
      <x v="14"/>
      <x v="63"/>
      <x v="14"/>
    </i>
    <i>
      <x v="15"/>
      <x v="83"/>
      <x v="14"/>
    </i>
    <i>
      <x v="16"/>
      <x v="127"/>
      <x v="14"/>
    </i>
    <i>
      <x v="17"/>
      <x v="46"/>
      <x v="14"/>
    </i>
    <i>
      <x v="18"/>
      <x v="47"/>
      <x v="14"/>
    </i>
    <i>
      <x v="19"/>
      <x v="107"/>
      <x v="14"/>
    </i>
    <i>
      <x v="20"/>
      <x v="108"/>
      <x v="14"/>
    </i>
    <i>
      <x v="21"/>
      <x v="204"/>
      <x v="14"/>
    </i>
    <i>
      <x v="22"/>
      <x v="229"/>
      <x v="14"/>
    </i>
    <i>
      <x v="23"/>
      <x v="144"/>
      <x v="14"/>
    </i>
    <i>
      <x v="24"/>
      <x v="167"/>
      <x v="20"/>
    </i>
    <i>
      <x v="25"/>
      <x v="169"/>
      <x v="20"/>
    </i>
    <i>
      <x v="26"/>
      <x v="75"/>
      <x v="20"/>
    </i>
    <i>
      <x v="27"/>
      <x v="33"/>
      <x v="20"/>
    </i>
    <i>
      <x v="28"/>
      <x v="79"/>
      <x v="20"/>
    </i>
    <i>
      <x v="29"/>
      <x v="168"/>
      <x v="20"/>
    </i>
    <i>
      <x v="30"/>
      <x v="78"/>
      <x v="20"/>
    </i>
    <i>
      <x v="31"/>
      <x v="166"/>
      <x v="20"/>
    </i>
    <i>
      <x v="32"/>
      <x v="151"/>
      <x v="20"/>
    </i>
    <i>
      <x v="33"/>
      <x v="226"/>
      <x v="20"/>
    </i>
    <i>
      <x v="34"/>
      <x v="225"/>
      <x v="20"/>
    </i>
    <i>
      <x v="35"/>
      <x v="198"/>
      <x v="20"/>
    </i>
    <i>
      <x v="36"/>
      <x v="193"/>
      <x v="20"/>
    </i>
    <i>
      <x v="37"/>
      <x v="197"/>
      <x v="20"/>
    </i>
    <i>
      <x v="38"/>
      <x v="81"/>
      <x v="20"/>
    </i>
    <i>
      <x v="39"/>
      <x v="80"/>
      <x v="20"/>
    </i>
    <i>
      <x v="40"/>
      <x v="178"/>
      <x v="20"/>
    </i>
    <i>
      <x v="41"/>
      <x v="21"/>
      <x v="1"/>
    </i>
    <i>
      <x v="42"/>
      <x v="41"/>
      <x v="1"/>
    </i>
    <i>
      <x v="43"/>
      <x v="202"/>
      <x v="1"/>
    </i>
    <i>
      <x v="44"/>
      <x v="59"/>
      <x v="1"/>
    </i>
    <i>
      <x v="45"/>
      <x v="32"/>
      <x v="1"/>
    </i>
    <i>
      <x v="46"/>
      <x v="171"/>
      <x/>
    </i>
    <i>
      <x v="47"/>
      <x v="49"/>
      <x/>
    </i>
    <i>
      <x v="48"/>
      <x v="68"/>
      <x/>
    </i>
    <i>
      <x v="49"/>
      <x v="3"/>
      <x/>
    </i>
    <i>
      <x v="50"/>
      <x v="126"/>
      <x/>
    </i>
    <i>
      <x v="51"/>
      <x v="43"/>
      <x/>
    </i>
    <i>
      <x v="52"/>
      <x v="205"/>
      <x/>
    </i>
    <i>
      <x v="53"/>
      <x v="145"/>
      <x/>
    </i>
    <i>
      <x v="54"/>
      <x v="186"/>
      <x/>
    </i>
    <i>
      <x v="55"/>
      <x v="117"/>
      <x v="12"/>
    </i>
    <i>
      <x v="56"/>
      <x v="118"/>
      <x v="12"/>
    </i>
    <i>
      <x v="57"/>
      <x v="94"/>
      <x v="12"/>
    </i>
    <i>
      <x v="58"/>
      <x v="156"/>
      <x v="12"/>
    </i>
    <i>
      <x v="59"/>
      <x v="188"/>
      <x v="12"/>
    </i>
    <i>
      <x v="60"/>
      <x v="128"/>
      <x v="12"/>
    </i>
    <i>
      <x v="61"/>
      <x v="84"/>
      <x v="12"/>
    </i>
    <i>
      <x v="62"/>
      <x v="88"/>
      <x v="12"/>
    </i>
    <i>
      <x v="63"/>
      <x v="77"/>
      <x v="12"/>
    </i>
    <i>
      <x v="64"/>
      <x v="164"/>
      <x v="12"/>
    </i>
    <i>
      <x v="65"/>
      <x v="98"/>
      <x v="8"/>
    </i>
    <i>
      <x v="66"/>
      <x v="179"/>
      <x v="18"/>
    </i>
    <i>
      <x v="67"/>
      <x v="180"/>
      <x v="18"/>
    </i>
    <i>
      <x v="68"/>
      <x v="70"/>
      <x v="12"/>
    </i>
    <i>
      <x v="69"/>
      <x v="71"/>
      <x v="12"/>
    </i>
    <i>
      <x v="70"/>
      <x v="69"/>
      <x v="12"/>
    </i>
    <i>
      <x v="71"/>
      <x v="158"/>
      <x v="12"/>
    </i>
    <i>
      <x v="72"/>
      <x v="175"/>
      <x v="12"/>
    </i>
    <i>
      <x v="73"/>
      <x v="56"/>
      <x v="5"/>
    </i>
    <i>
      <x v="74"/>
      <x v="196"/>
      <x v="17"/>
    </i>
    <i>
      <x v="75"/>
      <x v="97"/>
      <x v="10"/>
    </i>
    <i>
      <x v="76"/>
      <x v="55"/>
      <x v="10"/>
    </i>
    <i>
      <x v="77"/>
      <x v="149"/>
      <x v="10"/>
    </i>
    <i>
      <x v="78"/>
      <x v="183"/>
      <x v="11"/>
    </i>
    <i>
      <x v="79"/>
      <x v="147"/>
      <x v="11"/>
    </i>
    <i>
      <x v="80"/>
      <x v="153"/>
      <x v="2"/>
    </i>
    <i>
      <x v="81"/>
      <x v="154"/>
      <x v="2"/>
    </i>
    <i>
      <x v="82"/>
      <x v="112"/>
      <x v="2"/>
    </i>
    <i>
      <x v="83"/>
      <x v="111"/>
      <x v="2"/>
    </i>
    <i>
      <x v="84"/>
      <x v="20"/>
      <x v="2"/>
    </i>
    <i>
      <x v="85"/>
      <x v="114"/>
      <x v="2"/>
    </i>
    <i>
      <x v="86"/>
      <x v="110"/>
      <x v="2"/>
    </i>
    <i>
      <x v="87"/>
      <x v="113"/>
      <x v="2"/>
    </i>
    <i>
      <x v="88"/>
      <x v="9"/>
      <x v="2"/>
    </i>
    <i>
      <x v="89"/>
      <x v="100"/>
      <x v="2"/>
    </i>
    <i>
      <x v="90"/>
      <x v="99"/>
      <x v="2"/>
    </i>
    <i>
      <x v="91"/>
      <x v="104"/>
      <x v="2"/>
    </i>
    <i>
      <x v="92"/>
      <x v="101"/>
      <x v="2"/>
    </i>
    <i>
      <x v="93"/>
      <x v="106"/>
      <x v="2"/>
    </i>
    <i>
      <x v="94"/>
      <x v="102"/>
      <x v="2"/>
    </i>
    <i>
      <x v="95"/>
      <x v="103"/>
      <x v="2"/>
    </i>
    <i>
      <x v="96"/>
      <x v="105"/>
      <x v="2"/>
    </i>
    <i>
      <x v="97"/>
      <x v="194"/>
      <x v="2"/>
    </i>
    <i>
      <x v="98"/>
      <x v="162"/>
      <x v="2"/>
    </i>
    <i>
      <x v="99"/>
      <x v="146"/>
      <x v="2"/>
    </i>
    <i>
      <x v="100"/>
      <x v="174"/>
      <x v="2"/>
    </i>
    <i>
      <x v="101"/>
      <x v="206"/>
      <x v="2"/>
    </i>
    <i>
      <x v="102"/>
      <x v="109"/>
      <x v="2"/>
    </i>
    <i>
      <x v="103"/>
      <x v="73"/>
      <x v="2"/>
    </i>
    <i>
      <x v="104"/>
      <x v="172"/>
      <x v="2"/>
    </i>
    <i>
      <x v="105"/>
      <x v="19"/>
      <x v="2"/>
    </i>
    <i>
      <x v="106"/>
      <x v="187"/>
      <x v="2"/>
    </i>
    <i>
      <x v="107"/>
      <x v="230"/>
      <x v="20"/>
    </i>
    <i>
      <x v="108"/>
      <x v="17"/>
      <x v="20"/>
    </i>
    <i>
      <x v="109"/>
      <x v="16"/>
      <x v="20"/>
    </i>
    <i>
      <x v="110"/>
      <x v="34"/>
      <x v="20"/>
    </i>
    <i>
      <x v="111"/>
      <x v="201"/>
      <x v="20"/>
    </i>
    <i>
      <x v="112"/>
      <x v="227"/>
      <x v="20"/>
    </i>
    <i>
      <x v="113"/>
      <x v="93"/>
      <x v="20"/>
    </i>
    <i>
      <x v="114"/>
      <x v="76"/>
      <x v="20"/>
    </i>
    <i>
      <x v="115"/>
      <x v="228"/>
      <x v="20"/>
    </i>
    <i>
      <x v="116"/>
      <x v="48"/>
      <x v="12"/>
    </i>
    <i>
      <x v="117"/>
      <x v="42"/>
      <x v="12"/>
    </i>
    <i>
      <x v="118"/>
      <x v="27"/>
      <x v="12"/>
    </i>
    <i>
      <x v="119"/>
      <x v="160"/>
      <x v="12"/>
    </i>
    <i>
      <x v="120"/>
      <x v="60"/>
      <x v="8"/>
    </i>
    <i>
      <x v="121"/>
      <x v="18"/>
      <x v="8"/>
    </i>
    <i>
      <x v="122"/>
      <x v="155"/>
      <x v="12"/>
    </i>
    <i>
      <x v="123"/>
      <x v="91"/>
      <x v="8"/>
    </i>
    <i>
      <x v="124"/>
      <x v="90"/>
      <x v="8"/>
    </i>
    <i>
      <x v="125"/>
      <x v="92"/>
      <x v="8"/>
    </i>
    <i>
      <x v="126"/>
      <x v="72"/>
      <x v="8"/>
    </i>
    <i>
      <x v="127"/>
      <x v="129"/>
      <x v="8"/>
    </i>
    <i>
      <x v="128"/>
      <x v="140"/>
      <x v="8"/>
    </i>
    <i>
      <x v="129"/>
      <x v="62"/>
      <x v="4"/>
    </i>
    <i>
      <x v="130"/>
      <x v="61"/>
      <x v="18"/>
    </i>
    <i>
      <x v="131"/>
      <x v="35"/>
      <x v="2"/>
    </i>
    <i>
      <x v="132"/>
      <x v="58"/>
      <x v="20"/>
    </i>
    <i>
      <x v="133"/>
      <x v="152"/>
      <x v="11"/>
    </i>
    <i>
      <x v="134"/>
      <x v="22"/>
      <x/>
    </i>
    <i>
      <x v="135"/>
      <x v="165"/>
      <x v="20"/>
    </i>
    <i>
      <x v="136"/>
      <x v="159"/>
      <x v="14"/>
    </i>
    <i>
      <x v="137"/>
      <x v="38"/>
      <x/>
    </i>
    <i>
      <x v="138"/>
      <x v="67"/>
      <x v="2"/>
    </i>
    <i>
      <x v="139"/>
      <x v="2"/>
      <x v="2"/>
    </i>
    <i>
      <x v="140"/>
      <x v="13"/>
      <x v="2"/>
    </i>
    <i>
      <x v="141"/>
      <x v="8"/>
      <x v="2"/>
    </i>
    <i>
      <x v="142"/>
      <x/>
      <x v="2"/>
    </i>
    <i>
      <x v="143"/>
      <x v="15"/>
      <x v="2"/>
    </i>
    <i>
      <x v="144"/>
      <x v="6"/>
      <x v="2"/>
    </i>
    <i>
      <x v="145"/>
      <x v="23"/>
      <x v="2"/>
    </i>
    <i>
      <x v="146"/>
      <x v="203"/>
      <x v="2"/>
    </i>
    <i>
      <x v="147"/>
      <x v="4"/>
      <x v="2"/>
    </i>
    <i>
      <x v="148"/>
      <x v="125"/>
      <x v="2"/>
    </i>
    <i>
      <x v="149"/>
      <x v="115"/>
      <x v="2"/>
    </i>
    <i>
      <x v="150"/>
      <x v="1"/>
      <x v="2"/>
    </i>
    <i>
      <x v="151"/>
      <x v="28"/>
      <x v="2"/>
    </i>
    <i>
      <x v="152"/>
      <x v="66"/>
      <x v="2"/>
    </i>
    <i>
      <x v="153"/>
      <x v="170"/>
      <x v="2"/>
    </i>
    <i>
      <x v="154"/>
      <x v="173"/>
      <x v="2"/>
    </i>
    <i>
      <x v="155"/>
      <x v="200"/>
      <x v="2"/>
    </i>
    <i>
      <x v="156"/>
      <x v="199"/>
      <x v="2"/>
    </i>
    <i>
      <x v="157"/>
      <x v="29"/>
      <x v="2"/>
    </i>
    <i>
      <x v="158"/>
      <x v="14"/>
      <x v="2"/>
    </i>
    <i>
      <x v="159"/>
      <x v="37"/>
      <x v="2"/>
    </i>
    <i>
      <x v="160"/>
      <x v="5"/>
      <x v="2"/>
    </i>
    <i>
      <x v="161"/>
      <x v="36"/>
      <x v="2"/>
    </i>
    <i>
      <x v="162"/>
      <x v="141"/>
      <x v="2"/>
    </i>
    <i>
      <x v="163"/>
      <x v="163"/>
      <x/>
    </i>
    <i>
      <x v="164"/>
      <x v="7"/>
      <x/>
    </i>
    <i>
      <x v="165"/>
      <x v="65"/>
      <x v="1"/>
    </i>
    <i>
      <x v="166"/>
      <x v="38"/>
      <x v="8"/>
    </i>
    <i>
      <x v="167"/>
      <x v="38"/>
      <x v="12"/>
    </i>
    <i>
      <x v="168"/>
      <x v="89"/>
      <x v="12"/>
    </i>
    <i>
      <x v="169"/>
      <x v="38"/>
      <x v="18"/>
    </i>
    <i>
      <x v="170"/>
      <x v="50"/>
      <x v="12"/>
    </i>
    <i>
      <x v="171"/>
      <x v="207"/>
      <x v="2"/>
    </i>
    <i>
      <x v="172"/>
      <x v="57"/>
      <x v="8"/>
    </i>
    <i>
      <x v="173"/>
      <x v="122"/>
      <x v="8"/>
    </i>
    <i>
      <x v="174"/>
      <x v="138"/>
      <x v="8"/>
    </i>
    <i>
      <x v="175"/>
      <x v="185"/>
      <x v="19"/>
    </i>
    <i>
      <x v="176"/>
      <x v="44"/>
      <x v="20"/>
    </i>
    <i>
      <x v="177"/>
      <x v="139"/>
      <x v="8"/>
    </i>
    <i>
      <x v="178"/>
      <x v="161"/>
      <x v="1"/>
    </i>
    <i>
      <x v="179"/>
      <x v="195"/>
      <x/>
    </i>
    <i>
      <x v="180"/>
      <x v="86"/>
      <x v="8"/>
    </i>
    <i>
      <x v="181"/>
      <x v="87"/>
      <x v="8"/>
    </i>
    <i>
      <x v="182"/>
      <x v="12"/>
      <x v="8"/>
    </i>
    <i>
      <x v="183"/>
      <x v="10"/>
      <x v="8"/>
    </i>
    <i>
      <x v="184"/>
      <x v="11"/>
      <x v="8"/>
    </i>
    <i>
      <x v="185"/>
      <x v="45"/>
      <x v="8"/>
    </i>
    <i>
      <x v="186"/>
      <x v="82"/>
      <x v="8"/>
    </i>
    <i>
      <x v="187"/>
      <x v="182"/>
      <x v="8"/>
    </i>
    <i>
      <x v="188"/>
      <x v="150"/>
      <x v="17"/>
    </i>
    <i>
      <x v="189"/>
      <x v="74"/>
      <x v="7"/>
    </i>
    <i>
      <x v="190"/>
      <x v="184"/>
      <x/>
    </i>
    <i>
      <x v="191"/>
      <x v="131"/>
      <x v="15"/>
    </i>
    <i>
      <x v="192"/>
      <x v="134"/>
      <x v="15"/>
    </i>
    <i>
      <x v="193"/>
      <x v="132"/>
      <x v="15"/>
    </i>
    <i>
      <x v="194"/>
      <x v="130"/>
      <x v="15"/>
    </i>
    <i>
      <x v="195"/>
      <x v="120"/>
      <x v="13"/>
    </i>
    <i>
      <x v="196"/>
      <x v="123"/>
      <x v="6"/>
    </i>
    <i>
      <x v="197"/>
      <x v="137"/>
      <x v="6"/>
    </i>
    <i>
      <x v="198"/>
      <x v="95"/>
      <x v="9"/>
    </i>
    <i>
      <x v="199"/>
      <x v="39"/>
      <x v="13"/>
    </i>
    <i>
      <x v="200"/>
      <x v="136"/>
      <x v="13"/>
    </i>
    <i>
      <x v="201"/>
      <x v="119"/>
      <x v="13"/>
    </i>
    <i>
      <x v="202"/>
      <x v="142"/>
      <x v="16"/>
    </i>
    <i>
      <x v="203"/>
      <x v="51"/>
      <x v="6"/>
    </i>
    <i>
      <x v="204"/>
      <x v="52"/>
      <x v="6"/>
    </i>
    <i>
      <x v="205"/>
      <x v="53"/>
      <x v="6"/>
    </i>
    <i>
      <x v="206"/>
      <x v="116"/>
      <x v="6"/>
    </i>
    <i>
      <x v="207"/>
      <x v="124"/>
      <x v="6"/>
    </i>
    <i>
      <x v="208"/>
      <x v="208"/>
      <x v="6"/>
    </i>
    <i>
      <x v="209"/>
      <x v="40"/>
      <x v="13"/>
    </i>
    <i>
      <x v="210"/>
      <x v="133"/>
      <x v="15"/>
    </i>
    <i>
      <x v="211"/>
      <x v="135"/>
      <x v="13"/>
    </i>
    <i>
      <x v="212"/>
      <x v="148"/>
      <x v="3"/>
    </i>
    <i>
      <x v="213"/>
      <x v="96"/>
      <x v="9"/>
    </i>
    <i>
      <x v="214"/>
      <x v="143"/>
      <x v="16"/>
    </i>
    <i>
      <x v="215"/>
      <x v="30"/>
      <x v="6"/>
    </i>
    <i>
      <x v="216"/>
      <x v="31"/>
      <x v="6"/>
    </i>
    <i>
      <x v="217"/>
      <x v="209"/>
      <x v="8"/>
    </i>
    <i>
      <x v="218"/>
      <x v="211"/>
      <x/>
    </i>
    <i>
      <x v="219"/>
      <x v="210"/>
      <x v="1"/>
    </i>
    <i>
      <x v="220"/>
      <x v="212"/>
      <x v="8"/>
    </i>
    <i>
      <x v="221"/>
      <x v="213"/>
      <x v="17"/>
    </i>
    <i>
      <x v="222"/>
      <x v="214"/>
      <x v="13"/>
    </i>
    <i>
      <x v="223"/>
      <x v="215"/>
      <x v="15"/>
    </i>
    <i>
      <x v="224"/>
      <x v="219"/>
      <x v="15"/>
    </i>
    <i>
      <x v="225"/>
      <x v="216"/>
      <x v="8"/>
    </i>
    <i>
      <x v="226"/>
      <x v="217"/>
      <x v="13"/>
    </i>
    <i>
      <x v="227"/>
      <x v="218"/>
      <x v="2"/>
    </i>
    <i>
      <x v="228"/>
      <x v="220"/>
      <x v="8"/>
    </i>
    <i>
      <x v="229"/>
      <x v="221"/>
      <x v="6"/>
    </i>
    <i>
      <x v="230"/>
      <x v="222"/>
      <x v="2"/>
    </i>
    <i>
      <x v="231"/>
      <x v="223"/>
      <x v="11"/>
    </i>
    <i>
      <x v="232"/>
      <x v="224"/>
      <x v="11"/>
    </i>
    <i>
      <x v="233"/>
      <x v="232"/>
      <x v="3"/>
    </i>
    <i>
      <x v="234"/>
      <x v="231"/>
      <x v="17"/>
    </i>
    <i>
      <x v="235"/>
      <x v="233"/>
      <x v="10"/>
    </i>
    <i>
      <x v="236"/>
      <x v="234"/>
      <x v="10"/>
    </i>
    <i>
      <x v="237"/>
      <x v="235"/>
      <x v="10"/>
    </i>
    <i>
      <x v="238"/>
      <x v="236"/>
      <x v="19"/>
    </i>
    <i>
      <x v="239"/>
      <x v="237"/>
      <x v="19"/>
    </i>
    <i>
      <x v="240"/>
      <x v="238"/>
      <x v="12"/>
    </i>
    <i>
      <x v="241"/>
      <x v="239"/>
      <x v="6"/>
    </i>
    <i>
      <x v="242"/>
      <x v="240"/>
      <x v="2"/>
    </i>
    <i>
      <x v="243"/>
      <x v="121"/>
      <x v="8"/>
    </i>
    <i>
      <x v="244"/>
      <x v="241"/>
      <x v="6"/>
    </i>
    <i>
      <x v="245"/>
      <x v="245"/>
      <x v="16"/>
    </i>
    <i>
      <x v="246"/>
      <x v="246"/>
      <x v="9"/>
    </i>
    <i>
      <x v="247"/>
      <x v="242"/>
      <x v="15"/>
    </i>
    <i>
      <x v="248"/>
      <x v="243"/>
      <x v="15"/>
    </i>
    <i>
      <x v="249"/>
      <x v="244"/>
      <x v="6"/>
    </i>
    <i>
      <x v="250"/>
      <x v="247"/>
      <x v="3"/>
    </i>
    <i>
      <x v="251"/>
      <x v="248"/>
      <x v="6"/>
    </i>
    <i>
      <x v="252"/>
      <x v="249"/>
      <x v="2"/>
    </i>
    <i>
      <x v="253"/>
      <x v="250"/>
      <x v="2"/>
    </i>
    <i>
      <x v="254"/>
      <x v="251"/>
      <x v="2"/>
    </i>
    <i>
      <x v="255"/>
      <x v="252"/>
      <x v="2"/>
    </i>
    <i>
      <x v="256"/>
      <x v="253"/>
      <x v="2"/>
    </i>
    <i>
      <x v="257"/>
      <x v="254"/>
      <x v="16"/>
    </i>
    <i>
      <x v="258"/>
      <x v="255"/>
      <x v="16"/>
    </i>
    <i>
      <x v="259"/>
      <x v="256"/>
      <x v="16"/>
    </i>
    <i>
      <x v="260"/>
      <x v="257"/>
      <x v="16"/>
    </i>
    <i>
      <x v="261"/>
      <x v="258"/>
      <x v="16"/>
    </i>
    <i>
      <x v="262"/>
      <x v="259"/>
      <x v="13"/>
    </i>
    <i>
      <x v="263"/>
      <x v="260"/>
      <x v="13"/>
    </i>
    <i>
      <x v="264"/>
      <x v="261"/>
      <x v="13"/>
    </i>
    <i>
      <x v="265"/>
      <x v="262"/>
      <x v="13"/>
    </i>
    <i>
      <x v="266"/>
      <x v="263"/>
      <x v="13"/>
    </i>
    <i>
      <x v="267"/>
      <x v="264"/>
      <x v="13"/>
    </i>
    <i>
      <x v="268"/>
      <x v="265"/>
      <x v="13"/>
    </i>
    <i>
      <x v="269"/>
      <x v="266"/>
      <x v="13"/>
    </i>
    <i>
      <x v="270"/>
      <x v="267"/>
      <x v="13"/>
    </i>
    <i>
      <x v="271"/>
      <x v="268"/>
      <x v="13"/>
    </i>
    <i>
      <x v="272"/>
      <x v="269"/>
      <x v="13"/>
    </i>
    <i>
      <x v="273"/>
      <x v="270"/>
      <x v="21"/>
    </i>
    <i>
      <x v="274"/>
      <x v="271"/>
      <x v="6"/>
    </i>
    <i>
      <x v="275"/>
      <x v="272"/>
      <x v="6"/>
    </i>
    <i>
      <x v="276"/>
      <x v="273"/>
      <x v="13"/>
    </i>
    <i>
      <x v="277"/>
      <x v="274"/>
      <x v="20"/>
    </i>
    <i>
      <x v="278"/>
      <x v="275"/>
      <x v="20"/>
    </i>
    <i>
      <x v="279"/>
      <x v="276"/>
      <x v="2"/>
    </i>
    <i>
      <x v="280"/>
      <x v="277"/>
      <x v="16"/>
    </i>
  </rowItems>
  <colFields count="1">
    <field x="-2"/>
  </colFields>
  <colItems count="2">
    <i>
      <x/>
    </i>
    <i i="1">
      <x v="1"/>
    </i>
  </colItems>
  <pageFields count="1">
    <pageField fld="0" hier="-1"/>
  </pageFields>
  <dataFields count="2">
    <dataField name="Sum of HH" fld="16" baseField="11" baseItem="0"/>
    <dataField name="Sum of Total" fld="17" baseField="5"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12.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5" minRefreshableVersion="3" showDrill="0" rowGrandTotals="0" colGrandTotals="0" itemPrintTitles="1" createdVersion="4" indent="0" compact="0" compactData="0" multipleFieldFilters="0">
  <location ref="G3:K284" firstHeaderRow="1" firstDataRow="1" firstDataCol="4"/>
  <pivotFields count="37">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sortType="ascending" defaultSubtotal="0">
      <items count="278">
        <item x="16"/>
        <item x="147"/>
        <item x="138"/>
        <item x="33"/>
        <item x="48"/>
        <item x="145"/>
        <item x="155"/>
        <item x="34"/>
        <item x="255"/>
        <item x="163"/>
        <item x="43"/>
        <item x="45"/>
        <item x="260"/>
        <item x="267"/>
        <item x="57"/>
        <item x="58"/>
        <item x="73"/>
        <item x="139"/>
        <item x="79"/>
        <item x="80"/>
        <item x="81"/>
        <item x="108"/>
        <item x="121"/>
        <item x="82"/>
        <item x="105"/>
        <item x="83"/>
        <item x="41"/>
        <item x="84"/>
        <item x="205"/>
        <item x="140"/>
        <item x="11"/>
        <item x="9"/>
        <item x="10"/>
        <item x="118"/>
        <item x="85"/>
        <item x="86"/>
        <item x="222"/>
        <item x="226"/>
        <item x="90"/>
        <item x="259"/>
        <item x="213"/>
        <item x="27"/>
        <item x="110"/>
        <item x="131"/>
        <item x="160"/>
        <item x="92"/>
        <item x="197"/>
        <item x="136"/>
        <item x="96"/>
        <item x="276"/>
        <item x="186"/>
        <item x="194"/>
        <item x="42"/>
        <item x="117"/>
        <item x="50"/>
        <item x="173"/>
        <item x="94"/>
        <item x="192"/>
        <item x="17"/>
        <item x="18"/>
        <item x="116"/>
        <item x="254"/>
        <item x="253"/>
        <item x="97"/>
        <item x="251"/>
        <item x="167"/>
        <item x="171"/>
        <item x="196"/>
        <item x="174"/>
        <item x="274"/>
        <item x="176"/>
        <item x="277"/>
        <item x="12"/>
        <item x="76"/>
        <item x="102"/>
        <item x="103"/>
        <item x="104"/>
        <item x="132"/>
        <item x="44"/>
        <item x="120"/>
        <item x="130"/>
        <item x="106"/>
        <item x="215"/>
        <item x="14"/>
        <item x="13"/>
        <item x="165"/>
        <item x="150"/>
        <item x="137"/>
        <item x="47"/>
        <item x="250"/>
        <item x="70"/>
        <item x="68"/>
        <item x="69"/>
        <item x="107"/>
        <item x="199"/>
        <item x="202"/>
        <item x="109"/>
        <item x="112"/>
        <item x="26"/>
        <item x="114"/>
        <item x="63"/>
        <item x="236"/>
        <item x="30"/>
        <item x="28"/>
        <item x="39"/>
        <item x="38"/>
        <item x="183"/>
        <item x="188"/>
        <item x="15"/>
        <item x="61"/>
        <item x="7"/>
        <item x="273"/>
        <item x="113"/>
        <item x="126"/>
        <item x="275"/>
        <item x="62"/>
        <item x="238"/>
        <item x="166"/>
        <item x="124"/>
        <item x="195"/>
        <item x="123"/>
        <item x="193"/>
        <item x="125"/>
        <item x="127"/>
        <item x="128"/>
        <item x="95"/>
        <item x="220"/>
        <item x="75"/>
        <item x="65"/>
        <item x="129"/>
        <item x="141"/>
        <item x="142"/>
        <item x="143"/>
        <item x="144"/>
        <item x="146"/>
        <item x="148"/>
        <item x="149"/>
        <item x="19"/>
        <item x="20"/>
        <item x="151"/>
        <item x="156"/>
        <item x="157"/>
        <item x="158"/>
        <item x="87"/>
        <item x="159"/>
        <item x="164"/>
        <item x="179"/>
        <item x="198"/>
        <item x="168"/>
        <item x="55"/>
        <item x="169"/>
        <item x="252"/>
        <item x="242"/>
        <item x="241"/>
        <item x="100"/>
        <item x="89"/>
        <item x="177"/>
        <item x="178"/>
        <item x="245"/>
        <item x="91"/>
        <item x="233"/>
        <item x="184"/>
        <item x="180"/>
        <item x="228"/>
        <item x="232"/>
        <item x="49"/>
        <item x="212"/>
        <item x="181"/>
        <item x="60"/>
        <item x="182"/>
        <item x="88"/>
        <item x="35"/>
        <item x="229"/>
        <item x="56"/>
        <item x="206"/>
        <item x="54"/>
        <item x="217"/>
        <item x="98"/>
        <item x="93"/>
        <item x="243"/>
        <item x="187"/>
        <item x="189"/>
        <item x="191"/>
        <item x="161"/>
        <item x="234"/>
        <item x="170"/>
        <item x="221"/>
        <item x="230"/>
        <item x="257"/>
        <item x="248"/>
        <item x="249"/>
        <item x="247"/>
        <item x="23"/>
        <item x="52"/>
        <item x="99"/>
        <item x="208"/>
        <item x="218"/>
        <item x="77"/>
        <item x="210"/>
        <item x="32"/>
        <item x="133"/>
        <item x="216"/>
        <item x="203"/>
        <item x="235"/>
        <item x="219"/>
        <item x="223"/>
        <item x="122"/>
        <item x="224"/>
        <item x="1"/>
        <item x="71"/>
        <item x="135"/>
        <item x="119"/>
        <item x="115"/>
        <item x="237"/>
        <item x="175"/>
        <item x="225"/>
        <item x="162"/>
        <item x="64"/>
        <item x="134"/>
        <item x="31"/>
        <item x="24"/>
        <item x="29"/>
        <item x="25"/>
        <item x="152"/>
        <item x="46"/>
        <item x="227"/>
        <item x="153"/>
        <item x="204"/>
        <item x="231"/>
        <item x="200"/>
        <item x="201"/>
        <item x="190"/>
        <item x="72"/>
        <item x="214"/>
        <item x="209"/>
        <item x="211"/>
        <item x="5"/>
        <item x="6"/>
        <item x="40"/>
        <item x="66"/>
        <item x="67"/>
        <item x="246"/>
        <item x="8"/>
        <item x="239"/>
        <item x="78"/>
        <item x="240"/>
        <item x="258"/>
        <item x="172"/>
        <item x="53"/>
        <item x="256"/>
        <item x="59"/>
        <item x="0"/>
        <item x="22"/>
        <item x="3"/>
        <item x="2"/>
        <item x="4"/>
        <item x="261"/>
        <item x="36"/>
        <item x="262"/>
        <item x="263"/>
        <item x="264"/>
        <item x="74"/>
        <item x="244"/>
        <item x="37"/>
        <item x="265"/>
        <item x="207"/>
        <item x="266"/>
        <item x="154"/>
        <item x="272"/>
        <item x="111"/>
        <item x="268"/>
        <item x="269"/>
        <item x="21"/>
        <item x="51"/>
        <item x="101"/>
        <item x="270"/>
        <item x="271"/>
        <item x="185"/>
      </items>
      <extLst>
        <ext xmlns:x14="http://schemas.microsoft.com/office/spreadsheetml/2009/9/main" uri="{2946ED86-A175-432a-8AC1-64E0C546D7DE}">
          <x14:pivotField fillDownLabels="1"/>
        </ext>
      </extLst>
    </pivotField>
    <pivotField axis="axisRow" compact="0" outline="0" showAll="0" defaultSubtotal="0">
      <items count="281">
        <item x="0"/>
        <item x="1"/>
        <item x="2"/>
        <item x="3"/>
        <item x="4"/>
        <item x="5"/>
        <item x="6"/>
        <item x="7"/>
        <item x="8"/>
        <item x="9"/>
        <item x="10"/>
        <item x="11"/>
        <item x="12"/>
        <item x="13"/>
        <item x="14"/>
        <item x="15"/>
        <item x="184"/>
        <item x="17"/>
        <item x="18"/>
        <item x="19"/>
        <item x="20"/>
        <item x="21"/>
        <item x="22"/>
        <item x="23"/>
        <item x="24"/>
        <item x="25"/>
        <item x="26"/>
        <item x="27"/>
        <item x="28"/>
        <item x="29"/>
        <item x="30"/>
        <item x="31"/>
        <item x="32"/>
        <item x="219"/>
        <item x="171"/>
        <item x="268"/>
        <item x="36"/>
        <item x="37"/>
        <item x="38"/>
        <item x="39"/>
        <item x="40"/>
        <item x="41"/>
        <item x="42"/>
        <item x="271"/>
        <item x="44"/>
        <item x="90"/>
        <item x="46"/>
        <item x="97"/>
        <item x="47"/>
        <item x="48"/>
        <item x="49"/>
        <item x="50"/>
        <item x="51"/>
        <item x="52"/>
        <item x="53"/>
        <item x="55"/>
        <item x="172"/>
        <item x="128"/>
        <item x="227"/>
        <item x="59"/>
        <item x="60"/>
        <item x="61"/>
        <item x="62"/>
        <item x="63"/>
        <item x="64"/>
        <item x="65"/>
        <item x="66"/>
        <item x="67"/>
        <item x="68"/>
        <item x="69"/>
        <item x="70"/>
        <item x="71"/>
        <item x="72"/>
        <item x="102"/>
        <item x="74"/>
        <item x="75"/>
        <item x="76"/>
        <item x="77"/>
        <item x="78"/>
        <item x="211"/>
        <item x="222"/>
        <item x="226"/>
        <item x="158"/>
        <item x="157"/>
        <item x="83"/>
        <item x="159"/>
        <item x="156"/>
        <item x="87"/>
        <item x="45"/>
        <item x="141"/>
        <item x="129"/>
        <item x="146"/>
        <item x="142"/>
        <item x="149"/>
        <item x="143"/>
        <item x="144"/>
        <item x="148"/>
        <item x="266"/>
        <item x="228"/>
        <item x="99"/>
        <item x="234"/>
        <item x="101"/>
        <item x="151"/>
        <item x="109"/>
        <item x="230"/>
        <item x="105"/>
        <item x="259"/>
        <item x="273"/>
        <item x="108"/>
        <item x="81"/>
        <item x="110"/>
        <item x="111"/>
        <item x="104"/>
        <item x="127"/>
        <item x="114"/>
        <item x="115"/>
        <item x="116"/>
        <item x="117"/>
        <item x="118"/>
        <item x="119"/>
        <item x="120"/>
        <item x="121"/>
        <item x="122"/>
        <item x="123"/>
        <item x="124"/>
        <item x="125"/>
        <item x="107"/>
        <item x="185"/>
        <item x="194"/>
        <item x="106"/>
        <item x="130"/>
        <item x="131"/>
        <item x="132"/>
        <item x="133"/>
        <item x="84"/>
        <item x="134"/>
        <item x="135"/>
        <item x="136"/>
        <item x="137"/>
        <item x="138"/>
        <item x="139"/>
        <item x="43"/>
        <item x="16"/>
        <item x="80"/>
        <item x="34"/>
        <item x="140"/>
        <item x="272"/>
        <item x="145"/>
        <item x="183"/>
        <item x="164"/>
        <item x="147"/>
        <item x="85"/>
        <item x="150"/>
        <item x="152"/>
        <item x="153"/>
        <item x="154"/>
        <item x="269"/>
        <item x="86"/>
        <item x="79"/>
        <item x="92"/>
        <item x="155"/>
        <item x="160"/>
        <item x="161"/>
        <item x="162"/>
        <item x="163"/>
        <item x="165"/>
        <item x="166"/>
        <item x="167"/>
        <item x="168"/>
        <item x="169"/>
        <item x="170"/>
        <item x="274"/>
        <item x="103"/>
        <item x="181"/>
        <item x="190"/>
        <item x="175"/>
        <item x="176"/>
        <item x="192"/>
        <item x="178"/>
        <item x="267"/>
        <item x="113"/>
        <item x="126"/>
        <item x="73"/>
        <item x="57"/>
        <item x="58"/>
        <item x="94"/>
        <item x="186"/>
        <item x="242"/>
        <item x="213"/>
        <item x="112"/>
        <item x="243"/>
        <item x="35"/>
        <item x="54"/>
        <item x="56"/>
        <item x="88"/>
        <item x="89"/>
        <item x="91"/>
        <item x="93"/>
        <item x="95"/>
        <item x="96"/>
        <item x="98"/>
        <item x="100"/>
        <item x="173"/>
        <item x="174"/>
        <item x="177"/>
        <item x="179"/>
        <item x="182"/>
        <item x="187"/>
        <item x="188"/>
        <item x="189"/>
        <item x="209"/>
        <item x="220"/>
        <item x="221"/>
        <item x="223"/>
        <item x="224"/>
        <item x="225"/>
        <item x="229"/>
        <item x="191"/>
        <item x="265"/>
        <item x="193"/>
        <item x="82"/>
        <item x="195"/>
        <item x="231"/>
        <item x="232"/>
        <item x="233"/>
        <item x="196"/>
        <item x="235"/>
        <item x="197"/>
        <item x="198"/>
        <item x="236"/>
        <item x="199"/>
        <item x="200"/>
        <item x="201"/>
        <item x="237"/>
        <item x="202"/>
        <item x="203"/>
        <item x="204"/>
        <item x="205"/>
        <item x="206"/>
        <item x="207"/>
        <item x="208"/>
        <item x="238"/>
        <item x="210"/>
        <item x="180"/>
        <item x="239"/>
        <item x="240"/>
        <item x="241"/>
        <item x="244"/>
        <item x="245"/>
        <item x="246"/>
        <item x="247"/>
        <item x="248"/>
        <item x="33"/>
        <item x="212"/>
        <item x="264"/>
        <item x="214"/>
        <item x="215"/>
        <item x="249"/>
        <item x="250"/>
        <item x="251"/>
        <item x="252"/>
        <item x="253"/>
        <item x="254"/>
        <item x="255"/>
        <item x="256"/>
        <item x="257"/>
        <item x="258"/>
        <item x="260"/>
        <item x="261"/>
        <item x="262"/>
        <item x="263"/>
        <item x="270"/>
        <item x="275"/>
        <item x="276"/>
        <item x="277"/>
        <item x="278"/>
        <item x="279"/>
        <item x="216"/>
        <item x="217"/>
        <item x="218"/>
        <item x="28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8">
        <item x="5"/>
        <item x="0"/>
        <item x="1"/>
        <item x="2"/>
        <item x="23"/>
        <item x="3"/>
        <item x="14"/>
        <item x="13"/>
        <item x="4"/>
        <item x="8"/>
        <item x="20"/>
        <item x="7"/>
        <item x="9"/>
        <item x="15"/>
        <item x="25"/>
        <item x="18"/>
        <item x="17"/>
        <item x="16"/>
        <item x="21"/>
        <item x="26"/>
        <item x="10"/>
        <item x="11"/>
        <item x="24"/>
        <item x="27"/>
        <item x="29"/>
        <item x="19"/>
        <item x="22"/>
        <item x="28"/>
        <item x="39"/>
        <item x="31"/>
        <item x="42"/>
        <item x="41"/>
        <item x="30"/>
        <item x="40"/>
        <item x="32"/>
        <item x="35"/>
        <item x="34"/>
        <item x="33"/>
        <item x="36"/>
        <item x="44"/>
        <item x="45"/>
        <item x="43"/>
        <item x="12"/>
        <item n="0" x="6"/>
        <item x="46"/>
        <item x="37"/>
        <item x="38"/>
        <item x="4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4">
    <field x="11"/>
    <field x="12"/>
    <field x="0"/>
    <field x="23"/>
  </rowFields>
  <rowItems count="281">
    <i>
      <x/>
      <x v="142"/>
      <x/>
      <x v="43"/>
    </i>
    <i>
      <x v="1"/>
      <x v="150"/>
      <x/>
      <x v="18"/>
    </i>
    <i>
      <x v="2"/>
      <x v="139"/>
      <x v="1"/>
      <x v="18"/>
    </i>
    <i>
      <x v="3"/>
      <x v="252"/>
      <x/>
      <x v="42"/>
    </i>
    <i>
      <x v="4"/>
      <x v="49"/>
      <x v="1"/>
      <x v="6"/>
    </i>
    <i>
      <x v="5"/>
      <x v="147"/>
      <x v="1"/>
      <x v="18"/>
    </i>
    <i>
      <x v="6"/>
      <x v="160"/>
      <x v="1"/>
      <x v="18"/>
    </i>
    <i>
      <x v="7"/>
      <x v="144"/>
      <x/>
      <x v="43"/>
    </i>
    <i>
      <x v="8"/>
      <x v="266"/>
      <x/>
      <x v="43"/>
    </i>
    <i>
      <x v="9"/>
      <x v="164"/>
      <x v="1"/>
      <x v="4"/>
    </i>
    <i>
      <x v="10"/>
      <x v="141"/>
      <x/>
      <x v="43"/>
    </i>
    <i>
      <x v="11"/>
      <x v="88"/>
      <x/>
      <x v="43"/>
    </i>
    <i>
      <x v="12"/>
      <x v="270"/>
      <x/>
      <x v="43"/>
    </i>
    <i>
      <x v="13"/>
      <x v="271"/>
      <x/>
      <x v="43"/>
    </i>
    <i>
      <x v="14"/>
      <x v="183"/>
      <x/>
      <x v="43"/>
    </i>
    <i>
      <x v="15"/>
      <x v="184"/>
      <x/>
      <x v="43"/>
    </i>
    <i>
      <x v="16"/>
      <x v="182"/>
      <x/>
      <x v="43"/>
    </i>
    <i>
      <x v="17"/>
      <x v="140"/>
      <x v="1"/>
      <x v="18"/>
    </i>
    <i>
      <x v="18"/>
      <x v="158"/>
      <x/>
      <x v="43"/>
    </i>
    <i>
      <x v="19"/>
      <x v="143"/>
      <x/>
      <x v="18"/>
    </i>
    <i>
      <x v="20"/>
      <x v="109"/>
      <x/>
      <x v="43"/>
    </i>
    <i>
      <x v="21"/>
      <x v="108"/>
      <x v="1"/>
      <x v="6"/>
    </i>
    <i>
      <x v="22"/>
      <x v="121"/>
      <x v="1"/>
      <x v="5"/>
    </i>
    <i>
      <x v="23"/>
      <x v="220"/>
      <x/>
      <x v="5"/>
    </i>
    <i>
      <x v="24"/>
      <x v="105"/>
      <x v="1"/>
      <x v="22"/>
    </i>
    <i>
      <x v="25"/>
      <x v="84"/>
      <x/>
      <x v="43"/>
    </i>
    <i>
      <x v="26"/>
      <x v="41"/>
      <x v="1"/>
      <x v="17"/>
    </i>
    <i>
      <x v="27"/>
      <x v="134"/>
      <x/>
      <x v="43"/>
    </i>
    <i>
      <x v="28"/>
      <x v="240"/>
      <x/>
      <x v="43"/>
    </i>
    <i>
      <x v="29"/>
      <x v="145"/>
      <x v="1"/>
      <x v="18"/>
    </i>
    <i>
      <x v="30"/>
      <x v="11"/>
      <x v="1"/>
      <x v="1"/>
    </i>
    <i>
      <x v="31"/>
      <x v="9"/>
      <x v="1"/>
      <x v="1"/>
    </i>
    <i>
      <x v="32"/>
      <x v="10"/>
      <x v="1"/>
      <x v="1"/>
    </i>
    <i>
      <x v="33"/>
      <x v="118"/>
      <x v="1"/>
      <x v="3"/>
    </i>
    <i>
      <x v="34"/>
      <x v="151"/>
      <x/>
      <x v="43"/>
    </i>
    <i>
      <x v="35"/>
      <x v="157"/>
      <x/>
      <x v="43"/>
    </i>
    <i>
      <x v="36"/>
      <x v="215"/>
      <x/>
      <x v="43"/>
    </i>
    <i>
      <x v="37"/>
      <x v="216"/>
      <x/>
      <x v="43"/>
    </i>
    <i>
      <x v="38"/>
      <x v="45"/>
      <x/>
      <x v="43"/>
    </i>
    <i>
      <x v="39"/>
      <x v="269"/>
      <x/>
      <x v="43"/>
    </i>
    <i>
      <x v="40"/>
      <x v="277"/>
      <x v="1"/>
      <x v="43"/>
    </i>
    <i>
      <x v="41"/>
      <x v="27"/>
      <x v="1"/>
      <x v="1"/>
    </i>
    <i>
      <x v="42"/>
      <x v="110"/>
      <x v="1"/>
      <x v="7"/>
    </i>
    <i>
      <x v="43"/>
      <x v="131"/>
      <x v="1"/>
      <x v="16"/>
    </i>
    <i>
      <x v="44"/>
      <x v="161"/>
      <x v="1"/>
      <x v="15"/>
    </i>
    <i>
      <x v="45"/>
      <x v="159"/>
      <x/>
      <x v="43"/>
    </i>
    <i>
      <x v="46"/>
      <x v="231"/>
      <x v="1"/>
      <x v="18"/>
    </i>
    <i>
      <x v="47"/>
      <x v="137"/>
      <x v="1"/>
      <x v="43"/>
    </i>
    <i r="1">
      <x v="166"/>
      <x v="1"/>
      <x v="43"/>
    </i>
    <i r="1">
      <x v="167"/>
      <x v="1"/>
      <x v="43"/>
    </i>
    <i r="1">
      <x v="169"/>
      <x/>
      <x v="43"/>
    </i>
    <i>
      <x v="48"/>
      <x v="199"/>
      <x/>
      <x v="43"/>
    </i>
    <i>
      <x v="49"/>
      <x v="276"/>
      <x v="1"/>
      <x v="43"/>
    </i>
    <i>
      <x v="50"/>
      <x v="209"/>
      <x v="1"/>
      <x v="43"/>
    </i>
    <i>
      <x v="51"/>
      <x v="227"/>
      <x v="1"/>
      <x v="15"/>
    </i>
    <i>
      <x v="52"/>
      <x v="42"/>
      <x v="1"/>
      <x v="12"/>
    </i>
    <i>
      <x v="53"/>
      <x v="117"/>
      <x v="1"/>
      <x v="1"/>
    </i>
    <i>
      <x v="54"/>
      <x v="51"/>
      <x v="1"/>
      <x v="7"/>
    </i>
    <i>
      <x v="55"/>
      <x v="176"/>
      <x v="1"/>
      <x v="43"/>
    </i>
    <i>
      <x v="56"/>
      <x v="185"/>
      <x/>
      <x v="43"/>
    </i>
    <i>
      <x v="57"/>
      <x v="221"/>
      <x v="1"/>
      <x v="22"/>
    </i>
    <i>
      <x v="58"/>
      <x v="17"/>
      <x v="1"/>
      <x v="2"/>
    </i>
    <i>
      <x v="59"/>
      <x v="18"/>
      <x v="1"/>
      <x v="2"/>
    </i>
    <i>
      <x v="60"/>
      <x v="116"/>
      <x v="1"/>
      <x v="13"/>
    </i>
    <i>
      <x v="61"/>
      <x v="265"/>
      <x/>
      <x v="43"/>
    </i>
    <i>
      <x v="62"/>
      <x v="264"/>
      <x/>
      <x v="43"/>
    </i>
    <i>
      <x v="63"/>
      <x v="47"/>
      <x/>
      <x v="43"/>
    </i>
    <i>
      <x v="64"/>
      <x v="262"/>
      <x/>
      <x v="43"/>
    </i>
    <i>
      <x v="65"/>
      <x v="170"/>
      <x v="1"/>
      <x v="43"/>
    </i>
    <i>
      <x v="66"/>
      <x v="203"/>
      <x/>
      <x v="18"/>
    </i>
    <i>
      <x v="67"/>
      <x v="230"/>
      <x/>
      <x v="34"/>
    </i>
    <i>
      <x v="68"/>
      <x v="204"/>
      <x v="1"/>
      <x v="17"/>
    </i>
    <i>
      <x v="69"/>
      <x v="274"/>
      <x v="1"/>
      <x v="44"/>
    </i>
    <i>
      <x v="70"/>
      <x v="205"/>
      <x v="1"/>
      <x v="17"/>
    </i>
    <i>
      <x v="71"/>
      <x v="280"/>
      <x v="1"/>
      <x v="47"/>
    </i>
    <i>
      <x v="72"/>
      <x v="12"/>
      <x v="1"/>
      <x v="8"/>
    </i>
    <i>
      <x v="73"/>
      <x v="76"/>
      <x v="1"/>
      <x v="12"/>
    </i>
    <i>
      <x v="74"/>
      <x v="73"/>
      <x/>
      <x v="43"/>
    </i>
    <i>
      <x v="75"/>
      <x v="172"/>
      <x/>
      <x v="19"/>
    </i>
    <i>
      <x v="76"/>
      <x v="112"/>
      <x/>
      <x v="1"/>
    </i>
    <i>
      <x v="77"/>
      <x v="132"/>
      <x v="1"/>
      <x v="43"/>
    </i>
    <i>
      <x v="78"/>
      <x v="44"/>
      <x/>
      <x v="43"/>
    </i>
    <i>
      <x v="79"/>
      <x v="120"/>
      <x v="1"/>
      <x v="5"/>
    </i>
    <i>
      <x v="80"/>
      <x v="130"/>
      <x v="1"/>
      <x v="27"/>
    </i>
    <i>
      <x v="81"/>
      <x v="129"/>
      <x/>
      <x v="43"/>
    </i>
    <i>
      <x v="82"/>
      <x v="279"/>
      <x v="1"/>
      <x v="46"/>
    </i>
    <i>
      <x v="83"/>
      <x v="14"/>
      <x v="1"/>
      <x/>
    </i>
    <i>
      <x v="84"/>
      <x v="13"/>
      <x v="1"/>
      <x v="1"/>
    </i>
    <i>
      <x v="85"/>
      <x v="165"/>
      <x v="1"/>
      <x v="9"/>
    </i>
    <i>
      <x v="86"/>
      <x v="152"/>
      <x v="1"/>
      <x v="18"/>
    </i>
    <i>
      <x v="87"/>
      <x v="138"/>
      <x v="1"/>
      <x v="18"/>
    </i>
    <i>
      <x v="88"/>
      <x v="48"/>
      <x v="1"/>
      <x v="1"/>
    </i>
    <i>
      <x v="89"/>
      <x v="261"/>
      <x v="1"/>
      <x v="43"/>
    </i>
    <i>
      <x v="90"/>
      <x v="70"/>
      <x v="1"/>
      <x v="12"/>
    </i>
    <i>
      <x v="91"/>
      <x v="68"/>
      <x v="1"/>
      <x v="6"/>
    </i>
    <i>
      <x v="92"/>
      <x v="69"/>
      <x v="1"/>
      <x v="11"/>
    </i>
    <i>
      <x v="93"/>
      <x v="126"/>
      <x/>
      <x v="15"/>
    </i>
    <i>
      <x v="94"/>
      <x v="234"/>
      <x v="1"/>
      <x v="37"/>
    </i>
    <i>
      <x v="95"/>
      <x v="237"/>
      <x v="1"/>
      <x v="36"/>
    </i>
    <i>
      <x v="96"/>
      <x v="103"/>
      <x/>
      <x v="43"/>
    </i>
    <i>
      <x v="97"/>
      <x v="189"/>
      <x/>
      <x v="23"/>
    </i>
    <i>
      <x v="98"/>
      <x v="26"/>
      <x v="1"/>
      <x v="12"/>
    </i>
    <i>
      <x v="99"/>
      <x v="114"/>
      <x v="1"/>
      <x v="1"/>
    </i>
    <i>
      <x v="100"/>
      <x v="63"/>
      <x/>
      <x v="43"/>
    </i>
    <i>
      <x v="101"/>
      <x v="244"/>
      <x v="1"/>
      <x v="41"/>
    </i>
    <i>
      <x v="102"/>
      <x v="30"/>
      <x v="1"/>
      <x v="21"/>
    </i>
    <i>
      <x v="103"/>
      <x v="28"/>
      <x v="1"/>
      <x v="20"/>
    </i>
    <i>
      <x v="104"/>
      <x v="39"/>
      <x v="1"/>
      <x v="13"/>
    </i>
    <i>
      <x v="105"/>
      <x v="38"/>
      <x v="1"/>
      <x v="7"/>
    </i>
    <i>
      <x v="106"/>
      <x v="186"/>
      <x v="1"/>
      <x v="24"/>
    </i>
    <i>
      <x v="107"/>
      <x v="217"/>
      <x v="1"/>
      <x v="24"/>
    </i>
    <i>
      <x v="108"/>
      <x v="15"/>
      <x v="1"/>
      <x v="3"/>
    </i>
    <i>
      <x v="109"/>
      <x v="61"/>
      <x v="1"/>
      <x v="12"/>
    </i>
    <i>
      <x v="110"/>
      <x v="7"/>
      <x v="1"/>
      <x v="2"/>
    </i>
    <i>
      <x v="111"/>
      <x v="273"/>
      <x v="1"/>
      <x v="43"/>
    </i>
    <i>
      <x v="112"/>
      <x v="180"/>
      <x/>
      <x v="43"/>
    </i>
    <i>
      <x v="113"/>
      <x v="181"/>
      <x/>
      <x v="43"/>
    </i>
    <i>
      <x v="114"/>
      <x v="275"/>
      <x v="1"/>
      <x v="43"/>
    </i>
    <i>
      <x v="115"/>
      <x v="62"/>
      <x/>
      <x v="43"/>
    </i>
    <i>
      <x v="116"/>
      <x v="246"/>
      <x v="1"/>
      <x v="38"/>
    </i>
    <i>
      <x v="117"/>
      <x v="168"/>
      <x/>
      <x v="43"/>
    </i>
    <i>
      <x v="118"/>
      <x v="124"/>
      <x v="1"/>
      <x v="9"/>
    </i>
    <i>
      <x v="119"/>
      <x v="228"/>
      <x v="1"/>
      <x v="29"/>
    </i>
    <i>
      <x v="120"/>
      <x v="123"/>
      <x v="1"/>
      <x v="6"/>
    </i>
    <i>
      <x v="121"/>
      <x v="225"/>
      <x v="1"/>
      <x v="32"/>
    </i>
    <i>
      <x v="122"/>
      <x v="125"/>
      <x v="1"/>
      <x v="43"/>
    </i>
    <i>
      <x v="123"/>
      <x v="113"/>
      <x/>
      <x v="43"/>
    </i>
    <i>
      <x v="124"/>
      <x v="57"/>
      <x/>
      <x v="5"/>
    </i>
    <i>
      <x v="125"/>
      <x v="198"/>
      <x v="1"/>
      <x v="11"/>
    </i>
    <i>
      <x v="126"/>
      <x v="213"/>
      <x v="1"/>
      <x v="12"/>
    </i>
    <i>
      <x v="127"/>
      <x v="75"/>
      <x v="1"/>
      <x v="12"/>
    </i>
    <i>
      <x v="128"/>
      <x v="65"/>
      <x v="1"/>
      <x v="25"/>
    </i>
    <i>
      <x v="129"/>
      <x v="90"/>
      <x/>
      <x v="43"/>
    </i>
    <i>
      <x v="130"/>
      <x v="89"/>
      <x/>
      <x v="43"/>
    </i>
    <i>
      <x v="131"/>
      <x v="92"/>
      <x/>
      <x v="43"/>
    </i>
    <i>
      <x v="132"/>
      <x v="94"/>
      <x/>
      <x v="43"/>
    </i>
    <i>
      <x v="133"/>
      <x v="95"/>
      <x/>
      <x v="43"/>
    </i>
    <i>
      <x v="134"/>
      <x v="91"/>
      <x/>
      <x v="43"/>
    </i>
    <i>
      <x v="135"/>
      <x v="96"/>
      <x/>
      <x v="43"/>
    </i>
    <i>
      <x v="136"/>
      <x v="93"/>
      <x/>
      <x v="43"/>
    </i>
    <i>
      <x v="137"/>
      <x v="19"/>
      <x v="1"/>
      <x v="5"/>
    </i>
    <i>
      <x v="138"/>
      <x v="20"/>
      <x v="1"/>
      <x v="5"/>
    </i>
    <i>
      <x v="139"/>
      <x v="102"/>
      <x/>
      <x v="43"/>
    </i>
    <i>
      <x v="140"/>
      <x v="86"/>
      <x/>
      <x v="43"/>
    </i>
    <i>
      <x v="141"/>
      <x v="83"/>
      <x/>
      <x v="43"/>
    </i>
    <i>
      <x v="142"/>
      <x v="82"/>
      <x/>
      <x v="43"/>
    </i>
    <i>
      <x v="143"/>
      <x v="87"/>
      <x v="1"/>
      <x v="15"/>
    </i>
    <i>
      <x v="144"/>
      <x v="85"/>
      <x/>
      <x v="43"/>
    </i>
    <i>
      <x v="145"/>
      <x v="149"/>
      <x/>
      <x v="43"/>
    </i>
    <i>
      <x v="146"/>
      <x v="206"/>
      <x v="1"/>
      <x v="18"/>
    </i>
    <i>
      <x v="147"/>
      <x v="232"/>
      <x v="1"/>
      <x v="18"/>
    </i>
    <i>
      <x v="148"/>
      <x v="34"/>
      <x/>
      <x v="43"/>
    </i>
    <i>
      <x v="149"/>
      <x v="55"/>
      <x v="1"/>
      <x v="1"/>
    </i>
    <i>
      <x v="150"/>
      <x v="56"/>
      <x/>
      <x v="3"/>
    </i>
    <i>
      <x v="151"/>
      <x v="263"/>
      <x/>
      <x v="43"/>
    </i>
    <i>
      <x v="152"/>
      <x v="248"/>
      <x v="1"/>
      <x v="40"/>
    </i>
    <i>
      <x v="153"/>
      <x v="247"/>
      <x/>
      <x v="39"/>
    </i>
    <i>
      <x v="154"/>
      <x v="201"/>
      <x/>
      <x v="14"/>
    </i>
    <i>
      <x v="155"/>
      <x v="195"/>
      <x/>
      <x v="43"/>
    </i>
    <i>
      <x v="156"/>
      <x v="243"/>
      <x/>
      <x v="43"/>
    </i>
    <i>
      <x v="157"/>
      <x v="173"/>
      <x/>
      <x v="14"/>
    </i>
    <i>
      <x v="158"/>
      <x v="251"/>
      <x v="1"/>
      <x v="39"/>
    </i>
    <i>
      <x v="159"/>
      <x v="196"/>
      <x v="1"/>
      <x v="4"/>
    </i>
    <i>
      <x v="160"/>
      <x v="229"/>
      <x v="1"/>
      <x v="4"/>
    </i>
    <i>
      <x v="161"/>
      <x v="207"/>
      <x/>
      <x v="4"/>
    </i>
    <i>
      <x v="162"/>
      <x v="148"/>
      <x/>
      <x v="18"/>
    </i>
    <i>
      <x v="163"/>
      <x v="222"/>
      <x v="1"/>
      <x v="28"/>
    </i>
    <i>
      <x v="164"/>
      <x v="226"/>
      <x v="1"/>
      <x v="30"/>
    </i>
    <i>
      <x v="165"/>
      <x v="50"/>
      <x v="1"/>
      <x v="16"/>
    </i>
    <i>
      <x v="166"/>
      <x v="256"/>
      <x v="1"/>
      <x v="42"/>
    </i>
    <i>
      <x v="167"/>
      <x v="16"/>
      <x/>
      <x v="5"/>
    </i>
    <i>
      <x v="168"/>
      <x v="60"/>
      <x v="1"/>
      <x v="43"/>
    </i>
    <i>
      <x v="169"/>
      <x v="127"/>
      <x/>
      <x v="43"/>
    </i>
    <i>
      <x v="170"/>
      <x v="194"/>
      <x v="1"/>
      <x v="26"/>
    </i>
    <i>
      <x v="171"/>
      <x v="191"/>
      <x v="1"/>
      <x v="7"/>
    </i>
    <i>
      <x v="172"/>
      <x v="223"/>
      <x v="1"/>
      <x v="33"/>
    </i>
    <i>
      <x v="173"/>
      <x v="193"/>
      <x v="1"/>
      <x v="7"/>
    </i>
    <i>
      <x v="174"/>
      <x v="210"/>
      <x/>
      <x v="43"/>
    </i>
    <i>
      <x v="175"/>
      <x v="192"/>
      <x/>
      <x v="43"/>
    </i>
    <i>
      <x v="176"/>
      <x v="211"/>
      <x v="1"/>
      <x v="4"/>
    </i>
    <i>
      <x v="177"/>
      <x v="200"/>
      <x/>
      <x v="43"/>
    </i>
    <i>
      <x v="178"/>
      <x v="197"/>
      <x v="1"/>
      <x v="7"/>
    </i>
    <i>
      <x v="179"/>
      <x v="249"/>
      <x v="1"/>
      <x v="39"/>
    </i>
    <i>
      <x v="180"/>
      <x v="174"/>
      <x/>
      <x v="14"/>
    </i>
    <i>
      <x v="181"/>
      <x v="177"/>
      <x/>
      <x v="43"/>
    </i>
    <i>
      <x v="182"/>
      <x v="128"/>
      <x/>
      <x v="43"/>
    </i>
    <i>
      <x v="183"/>
      <x v="162"/>
      <x v="1"/>
      <x v="18"/>
    </i>
    <i>
      <x v="184"/>
      <x v="233"/>
      <x v="1"/>
      <x v="35"/>
    </i>
    <i>
      <x v="185"/>
      <x v="202"/>
      <x v="1"/>
      <x v="11"/>
    </i>
    <i>
      <x v="186"/>
      <x v="214"/>
      <x v="1"/>
      <x v="43"/>
    </i>
    <i>
      <x v="187"/>
      <x v="224"/>
      <x v="1"/>
      <x v="31"/>
    </i>
    <i>
      <x v="188"/>
      <x v="267"/>
      <x/>
      <x v="43"/>
    </i>
    <i>
      <x v="189"/>
      <x v="259"/>
      <x/>
      <x v="43"/>
    </i>
    <i>
      <x v="190"/>
      <x v="260"/>
      <x/>
      <x v="43"/>
    </i>
    <i>
      <x v="191"/>
      <x v="258"/>
      <x v="1"/>
      <x v="43"/>
    </i>
    <i>
      <x v="192"/>
      <x v="23"/>
      <x v="1"/>
      <x v="8"/>
    </i>
    <i>
      <x v="193"/>
      <x v="53"/>
      <x v="1"/>
      <x v="6"/>
    </i>
    <i>
      <x v="194"/>
      <x v="99"/>
      <x v="1"/>
      <x v="22"/>
    </i>
    <i>
      <x v="195"/>
      <x v="79"/>
      <x/>
      <x v="10"/>
    </i>
    <i>
      <x v="196"/>
      <x v="212"/>
      <x v="1"/>
      <x v="19"/>
    </i>
    <i>
      <x v="197"/>
      <x v="77"/>
      <x v="1"/>
      <x v="10"/>
    </i>
    <i>
      <x v="198"/>
      <x v="188"/>
      <x/>
      <x v="22"/>
    </i>
    <i>
      <x v="199"/>
      <x v="32"/>
      <x v="1"/>
      <x v="12"/>
    </i>
    <i>
      <x v="200"/>
      <x v="133"/>
      <x v="1"/>
      <x v="9"/>
    </i>
    <i>
      <x v="201"/>
      <x v="33"/>
      <x/>
      <x v="43"/>
    </i>
    <i>
      <x v="202"/>
      <x v="238"/>
      <x v="1"/>
      <x v="35"/>
    </i>
    <i>
      <x v="203"/>
      <x v="241"/>
      <x v="1"/>
      <x v="35"/>
    </i>
    <i>
      <x v="204"/>
      <x v="80"/>
      <x/>
      <x v="15"/>
    </i>
    <i>
      <x v="205"/>
      <x v="81"/>
      <x/>
      <x v="43"/>
    </i>
    <i>
      <x v="206"/>
      <x v="122"/>
      <x v="1"/>
      <x v="11"/>
    </i>
    <i>
      <x v="207"/>
      <x v="58"/>
      <x/>
      <x v="5"/>
    </i>
    <i>
      <x v="208"/>
      <x v="1"/>
      <x v="1"/>
      <x v="1"/>
    </i>
    <i>
      <x v="209"/>
      <x v="71"/>
      <x v="1"/>
      <x v="15"/>
    </i>
    <i>
      <x v="210"/>
      <x v="136"/>
      <x v="1"/>
      <x v="17"/>
    </i>
    <i>
      <x v="211"/>
      <x v="119"/>
      <x v="1"/>
      <x v="11"/>
    </i>
    <i>
      <x v="212"/>
      <x v="115"/>
      <x v="1"/>
      <x v="2"/>
    </i>
    <i>
      <x v="213"/>
      <x v="245"/>
      <x v="1"/>
      <x v="38"/>
    </i>
    <i>
      <x v="214"/>
      <x v="178"/>
      <x v="1"/>
      <x v="14"/>
    </i>
    <i>
      <x v="215"/>
      <x v="98"/>
      <x/>
      <x v="43"/>
    </i>
    <i>
      <x v="216"/>
      <x v="163"/>
      <x v="1"/>
      <x v="18"/>
    </i>
    <i>
      <x v="217"/>
      <x v="64"/>
      <x/>
      <x v="43"/>
    </i>
    <i>
      <x v="218"/>
      <x v="135"/>
      <x v="1"/>
      <x v="6"/>
    </i>
    <i>
      <x v="219"/>
      <x v="31"/>
      <x v="1"/>
      <x v="2"/>
    </i>
    <i>
      <x v="220"/>
      <x v="24"/>
      <x v="1"/>
      <x v="1"/>
    </i>
    <i>
      <x v="221"/>
      <x v="29"/>
      <x v="1"/>
      <x v="1"/>
    </i>
    <i>
      <x v="222"/>
      <x v="25"/>
      <x v="1"/>
      <x v="9"/>
    </i>
    <i>
      <x v="223"/>
      <x v="153"/>
      <x v="1"/>
      <x v="18"/>
    </i>
    <i>
      <x v="224"/>
      <x v="46"/>
      <x v="1"/>
      <x v="2"/>
    </i>
    <i>
      <x v="225"/>
      <x v="104"/>
      <x/>
      <x v="43"/>
    </i>
    <i>
      <x v="226"/>
      <x v="154"/>
      <x v="1"/>
      <x v="18"/>
    </i>
    <i>
      <x v="227"/>
      <x v="239"/>
      <x v="1"/>
      <x v="35"/>
    </i>
    <i>
      <x v="228"/>
      <x v="100"/>
      <x/>
      <x v="43"/>
    </i>
    <i>
      <x v="229"/>
      <x v="235"/>
      <x/>
      <x v="36"/>
    </i>
    <i>
      <x v="230"/>
      <x v="236"/>
      <x v="1"/>
      <x v="36"/>
    </i>
    <i>
      <x v="231"/>
      <x v="219"/>
      <x v="1"/>
      <x v="14"/>
    </i>
    <i>
      <x v="232"/>
      <x v="72"/>
      <x v="1"/>
      <x v="15"/>
    </i>
    <i>
      <x v="233"/>
      <x v="278"/>
      <x v="1"/>
      <x v="45"/>
    </i>
    <i>
      <x v="234"/>
      <x v="253"/>
      <x v="1"/>
      <x v="42"/>
    </i>
    <i>
      <x v="235"/>
      <x v="255"/>
      <x v="1"/>
      <x v="42"/>
    </i>
    <i>
      <x v="236"/>
      <x v="5"/>
      <x v="1"/>
      <x v="3"/>
    </i>
    <i>
      <x v="237"/>
      <x v="6"/>
      <x v="1"/>
      <x v="8"/>
    </i>
    <i>
      <x v="238"/>
      <x v="40"/>
      <x v="1"/>
      <x v="6"/>
    </i>
    <i>
      <x v="239"/>
      <x v="66"/>
      <x v="1"/>
      <x v="2"/>
    </i>
    <i>
      <x v="240"/>
      <x v="67"/>
      <x v="1"/>
      <x v="2"/>
    </i>
    <i>
      <x v="241"/>
      <x v="257"/>
      <x/>
      <x v="43"/>
    </i>
    <i>
      <x v="242"/>
      <x v="8"/>
      <x v="1"/>
      <x v="2"/>
    </i>
    <i>
      <x v="243"/>
      <x v="187"/>
      <x/>
      <x v="43"/>
    </i>
    <i>
      <x v="244"/>
      <x v="78"/>
      <x v="1"/>
      <x v="13"/>
    </i>
    <i>
      <x v="245"/>
      <x v="190"/>
      <x/>
      <x v="43"/>
    </i>
    <i>
      <x v="246"/>
      <x v="268"/>
      <x/>
      <x v="43"/>
    </i>
    <i>
      <x v="247"/>
      <x v="175"/>
      <x v="1"/>
      <x v="43"/>
    </i>
    <i>
      <x v="248"/>
      <x v="54"/>
      <x v="1"/>
      <x v="12"/>
    </i>
    <i>
      <x v="249"/>
      <x v="106"/>
      <x/>
      <x v="43"/>
    </i>
    <i>
      <x v="250"/>
      <x v="59"/>
      <x/>
      <x v="43"/>
    </i>
    <i>
      <x v="251"/>
      <x/>
      <x v="1"/>
      <x v="1"/>
    </i>
    <i>
      <x v="252"/>
      <x v="22"/>
      <x v="1"/>
      <x v="11"/>
    </i>
    <i>
      <x v="253"/>
      <x v="3"/>
      <x v="1"/>
      <x v="3"/>
    </i>
    <i>
      <x v="254"/>
      <x v="2"/>
      <x v="1"/>
      <x v="2"/>
    </i>
    <i>
      <x v="255"/>
      <x v="4"/>
      <x v="1"/>
      <x v="5"/>
    </i>
    <i>
      <x v="256"/>
      <x v="254"/>
      <x/>
      <x v="42"/>
    </i>
    <i>
      <x v="257"/>
      <x v="36"/>
      <x v="1"/>
      <x v="6"/>
    </i>
    <i>
      <x v="258"/>
      <x v="218"/>
      <x/>
      <x v="43"/>
    </i>
    <i>
      <x v="259"/>
      <x v="97"/>
      <x/>
      <x v="43"/>
    </i>
    <i>
      <x v="260"/>
      <x v="179"/>
      <x/>
      <x v="43"/>
    </i>
    <i>
      <x v="261"/>
      <x v="74"/>
      <x v="1"/>
      <x v="43"/>
    </i>
    <i>
      <x v="262"/>
      <x v="250"/>
      <x/>
      <x v="40"/>
    </i>
    <i>
      <x v="263"/>
      <x v="37"/>
      <x v="1"/>
      <x v="6"/>
    </i>
    <i>
      <x v="264"/>
      <x v="35"/>
      <x/>
      <x v="6"/>
    </i>
    <i>
      <x v="265"/>
      <x v="242"/>
      <x/>
      <x v="38"/>
    </i>
    <i>
      <x v="266"/>
      <x v="156"/>
      <x/>
      <x v="18"/>
    </i>
    <i>
      <x v="267"/>
      <x v="155"/>
      <x v="1"/>
      <x v="18"/>
    </i>
    <i>
      <x v="268"/>
      <x v="272"/>
      <x/>
      <x v="43"/>
    </i>
    <i>
      <x v="269"/>
      <x v="111"/>
      <x v="1"/>
      <x v="1"/>
    </i>
    <i>
      <x v="270"/>
      <x v="43"/>
      <x/>
      <x v="43"/>
    </i>
    <i>
      <x v="271"/>
      <x v="146"/>
      <x/>
      <x v="43"/>
    </i>
    <i>
      <x v="272"/>
      <x v="21"/>
      <x v="1"/>
      <x v="11"/>
    </i>
    <i>
      <x v="273"/>
      <x v="52"/>
      <x v="1"/>
      <x v="15"/>
    </i>
    <i>
      <x v="274"/>
      <x v="101"/>
      <x v="1"/>
      <x v="15"/>
    </i>
    <i>
      <x v="275"/>
      <x v="107"/>
      <x/>
      <x v="6"/>
    </i>
    <i>
      <x v="276"/>
      <x v="171"/>
      <x/>
      <x v="43"/>
    </i>
    <i>
      <x v="277"/>
      <x v="208"/>
      <x v="1"/>
      <x v="17"/>
    </i>
  </rowItems>
  <colItems count="1">
    <i/>
  </colItems>
  <dataFields count="1">
    <dataField name="Sum of HH" fld="16" baseField="23" baseItem="4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13.xml><?xml version="1.0" encoding="utf-8"?>
<pivotTableDefinition xmlns="http://schemas.openxmlformats.org/spreadsheetml/2006/main" name="TCL" cacheId="18" applyNumberFormats="0" applyBorderFormats="0" applyFontFormats="0" applyPatternFormats="0" applyAlignmentFormats="0" applyWidthHeightFormats="1" dataCaption="Values" updatedVersion="5" minRefreshableVersion="3" showDrill="0" useAutoFormatting="1" rowGrandTotals="0" colGrandTotals="0" itemPrintTitles="1" createdVersion="4" indent="0" compact="0" compactData="0" multipleFieldFilters="0">
  <location ref="A3:B284" firstHeaderRow="1" firstDataRow="1" firstDataCol="2" rowPageCount="1" colPageCount="1"/>
  <pivotFields count="37">
    <pivotField axis="axisPage" compact="0" outline="0" multipleItemSelectionAllowed="1"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2">
        <item x="5"/>
        <item x="4"/>
        <item x="1"/>
        <item x="20"/>
        <item x="16"/>
        <item x="15"/>
        <item x="13"/>
        <item x="17"/>
        <item x="7"/>
        <item x="14"/>
        <item x="10"/>
        <item x="11"/>
        <item x="6"/>
        <item x="12"/>
        <item x="0"/>
        <item x="3"/>
        <item x="18"/>
        <item x="9"/>
        <item x="8"/>
        <item x="19"/>
        <item x="2"/>
        <item x="2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78">
        <item x="16"/>
        <item x="147"/>
        <item x="138"/>
        <item x="48"/>
        <item x="145"/>
        <item x="155"/>
        <item x="34"/>
        <item x="163"/>
        <item x="43"/>
        <item x="45"/>
        <item x="57"/>
        <item x="58"/>
        <item x="73"/>
        <item x="139"/>
        <item x="79"/>
        <item x="80"/>
        <item x="81"/>
        <item x="108"/>
        <item x="121"/>
        <item x="105"/>
        <item x="83"/>
        <item x="41"/>
        <item x="84"/>
        <item x="140"/>
        <item x="11"/>
        <item x="9"/>
        <item x="10"/>
        <item x="118"/>
        <item x="85"/>
        <item x="86"/>
        <item x="222"/>
        <item x="226"/>
        <item x="90"/>
        <item x="27"/>
        <item x="110"/>
        <item x="131"/>
        <item x="160"/>
        <item x="92"/>
        <item x="136"/>
        <item x="96"/>
        <item x="186"/>
        <item x="42"/>
        <item x="117"/>
        <item x="50"/>
        <item x="173"/>
        <item x="94"/>
        <item x="17"/>
        <item x="18"/>
        <item x="116"/>
        <item x="97"/>
        <item x="167"/>
        <item x="171"/>
        <item x="174"/>
        <item x="176"/>
        <item x="12"/>
        <item x="76"/>
        <item x="102"/>
        <item x="103"/>
        <item x="132"/>
        <item x="44"/>
        <item x="120"/>
        <item x="130"/>
        <item x="106"/>
        <item x="14"/>
        <item x="13"/>
        <item x="165"/>
        <item x="150"/>
        <item x="137"/>
        <item x="47"/>
        <item x="70"/>
        <item x="68"/>
        <item x="69"/>
        <item x="107"/>
        <item x="109"/>
        <item x="112"/>
        <item x="26"/>
        <item x="114"/>
        <item x="63"/>
        <item x="30"/>
        <item x="28"/>
        <item x="39"/>
        <item x="38"/>
        <item x="183"/>
        <item x="15"/>
        <item x="61"/>
        <item x="7"/>
        <item x="113"/>
        <item x="126"/>
        <item x="62"/>
        <item x="166"/>
        <item x="124"/>
        <item x="123"/>
        <item x="125"/>
        <item x="127"/>
        <item x="128"/>
        <item x="95"/>
        <item x="220"/>
        <item x="75"/>
        <item x="65"/>
        <item x="129"/>
        <item x="141"/>
        <item x="142"/>
        <item x="143"/>
        <item x="144"/>
        <item x="146"/>
        <item x="148"/>
        <item x="149"/>
        <item x="19"/>
        <item x="20"/>
        <item x="151"/>
        <item x="156"/>
        <item x="157"/>
        <item x="158"/>
        <item x="87"/>
        <item x="159"/>
        <item x="164"/>
        <item x="179"/>
        <item x="55"/>
        <item x="169"/>
        <item x="100"/>
        <item x="89"/>
        <item x="177"/>
        <item x="178"/>
        <item x="91"/>
        <item x="184"/>
        <item x="180"/>
        <item x="49"/>
        <item x="181"/>
        <item x="60"/>
        <item x="182"/>
        <item x="88"/>
        <item x="35"/>
        <item x="56"/>
        <item x="206"/>
        <item x="54"/>
        <item x="217"/>
        <item x="98"/>
        <item x="93"/>
        <item x="187"/>
        <item x="189"/>
        <item x="191"/>
        <item x="161"/>
        <item x="170"/>
        <item x="221"/>
        <item x="23"/>
        <item x="52"/>
        <item x="99"/>
        <item x="208"/>
        <item x="218"/>
        <item x="77"/>
        <item x="210"/>
        <item x="32"/>
        <item x="133"/>
        <item x="219"/>
        <item x="223"/>
        <item x="122"/>
        <item x="224"/>
        <item x="1"/>
        <item x="71"/>
        <item x="135"/>
        <item x="119"/>
        <item x="175"/>
        <item x="225"/>
        <item x="162"/>
        <item x="64"/>
        <item x="134"/>
        <item x="31"/>
        <item x="24"/>
        <item x="29"/>
        <item x="25"/>
        <item x="152"/>
        <item x="46"/>
        <item x="227"/>
        <item x="153"/>
        <item x="231"/>
        <item x="72"/>
        <item x="5"/>
        <item x="6"/>
        <item x="40"/>
        <item x="66"/>
        <item x="67"/>
        <item x="8"/>
        <item x="239"/>
        <item x="78"/>
        <item x="240"/>
        <item x="172"/>
        <item x="53"/>
        <item x="256"/>
        <item x="59"/>
        <item x="0"/>
        <item x="3"/>
        <item x="2"/>
        <item x="4"/>
        <item x="36"/>
        <item x="263"/>
        <item x="264"/>
        <item x="74"/>
        <item x="37"/>
        <item x="265"/>
        <item x="266"/>
        <item x="154"/>
        <item x="111"/>
        <item x="268"/>
        <item x="269"/>
        <item x="21"/>
        <item x="51"/>
        <item x="101"/>
        <item x="271"/>
        <item x="185"/>
        <item x="188"/>
        <item x="190"/>
        <item x="262"/>
        <item x="82"/>
        <item x="192"/>
        <item x="228"/>
        <item x="229"/>
        <item x="193"/>
        <item x="232"/>
        <item x="194"/>
        <item x="230"/>
        <item x="195"/>
        <item x="233"/>
        <item x="196"/>
        <item x="197"/>
        <item x="198"/>
        <item x="168"/>
        <item x="216"/>
        <item x="104"/>
        <item x="115"/>
        <item x="22"/>
        <item x="270"/>
        <item x="199"/>
        <item x="234"/>
        <item x="200"/>
        <item x="201"/>
        <item x="202"/>
        <item x="203"/>
        <item x="204"/>
        <item x="205"/>
        <item x="235"/>
        <item x="207"/>
        <item x="236"/>
        <item x="241"/>
        <item x="242"/>
        <item x="243"/>
        <item x="237"/>
        <item x="238"/>
        <item x="244"/>
        <item x="245"/>
        <item x="33"/>
        <item x="209"/>
        <item x="261"/>
        <item x="211"/>
        <item x="212"/>
        <item x="246"/>
        <item x="247"/>
        <item x="248"/>
        <item x="249"/>
        <item x="250"/>
        <item x="251"/>
        <item x="252"/>
        <item x="253"/>
        <item x="254"/>
        <item x="255"/>
        <item x="257"/>
        <item x="258"/>
        <item x="259"/>
        <item x="260"/>
        <item x="267"/>
        <item x="272"/>
        <item x="273"/>
        <item x="274"/>
        <item x="275"/>
        <item x="276"/>
        <item x="213"/>
        <item x="214"/>
        <item x="215"/>
        <item x="27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5"/>
    <field x="11"/>
  </rowFields>
  <rowItems count="281">
    <i>
      <x/>
      <x v="3"/>
    </i>
    <i r="1">
      <x v="7"/>
    </i>
    <i r="1">
      <x v="22"/>
    </i>
    <i r="1">
      <x v="38"/>
    </i>
    <i r="1">
      <x v="43"/>
    </i>
    <i r="1">
      <x v="49"/>
    </i>
    <i r="1">
      <x v="68"/>
    </i>
    <i r="1">
      <x v="126"/>
    </i>
    <i r="1">
      <x v="145"/>
    </i>
    <i r="1">
      <x v="163"/>
    </i>
    <i r="1">
      <x v="171"/>
    </i>
    <i r="1">
      <x v="184"/>
    </i>
    <i r="1">
      <x v="186"/>
    </i>
    <i r="1">
      <x v="195"/>
    </i>
    <i r="1">
      <x v="205"/>
    </i>
    <i r="1">
      <x v="211"/>
    </i>
    <i>
      <x v="1"/>
      <x v="21"/>
    </i>
    <i r="1">
      <x v="32"/>
    </i>
    <i r="1">
      <x v="41"/>
    </i>
    <i r="1">
      <x v="59"/>
    </i>
    <i r="1">
      <x v="65"/>
    </i>
    <i r="1">
      <x v="161"/>
    </i>
    <i r="1">
      <x v="202"/>
    </i>
    <i r="1">
      <x v="210"/>
    </i>
    <i>
      <x v="2"/>
      <x/>
    </i>
    <i r="1">
      <x v="1"/>
    </i>
    <i r="1">
      <x v="2"/>
    </i>
    <i r="1">
      <x v="4"/>
    </i>
    <i r="1">
      <x v="5"/>
    </i>
    <i r="1">
      <x v="6"/>
    </i>
    <i r="1">
      <x v="8"/>
    </i>
    <i r="1">
      <x v="9"/>
    </i>
    <i r="1">
      <x v="13"/>
    </i>
    <i r="1">
      <x v="14"/>
    </i>
    <i r="1">
      <x v="15"/>
    </i>
    <i r="1">
      <x v="19"/>
    </i>
    <i r="1">
      <x v="20"/>
    </i>
    <i r="1">
      <x v="23"/>
    </i>
    <i r="1">
      <x v="28"/>
    </i>
    <i r="1">
      <x v="29"/>
    </i>
    <i r="1">
      <x v="35"/>
    </i>
    <i r="1">
      <x v="36"/>
    </i>
    <i r="1">
      <x v="37"/>
    </i>
    <i r="1">
      <x v="66"/>
    </i>
    <i r="1">
      <x v="67"/>
    </i>
    <i r="1">
      <x v="73"/>
    </i>
    <i r="1">
      <x v="99"/>
    </i>
    <i r="1">
      <x v="100"/>
    </i>
    <i r="1">
      <x v="101"/>
    </i>
    <i r="1">
      <x v="102"/>
    </i>
    <i r="1">
      <x v="103"/>
    </i>
    <i r="1">
      <x v="104"/>
    </i>
    <i r="1">
      <x v="105"/>
    </i>
    <i r="1">
      <x v="106"/>
    </i>
    <i r="1">
      <x v="109"/>
    </i>
    <i r="1">
      <x v="110"/>
    </i>
    <i r="1">
      <x v="111"/>
    </i>
    <i r="1">
      <x v="112"/>
    </i>
    <i r="1">
      <x v="113"/>
    </i>
    <i r="1">
      <x v="114"/>
    </i>
    <i r="1">
      <x v="115"/>
    </i>
    <i r="1">
      <x v="125"/>
    </i>
    <i r="1">
      <x v="141"/>
    </i>
    <i r="1">
      <x v="146"/>
    </i>
    <i r="1">
      <x v="153"/>
    </i>
    <i r="1">
      <x v="154"/>
    </i>
    <i r="1">
      <x v="162"/>
    </i>
    <i r="1">
      <x v="170"/>
    </i>
    <i r="1">
      <x v="172"/>
    </i>
    <i r="1">
      <x v="173"/>
    </i>
    <i r="1">
      <x v="174"/>
    </i>
    <i r="1">
      <x v="187"/>
    </i>
    <i r="1">
      <x v="194"/>
    </i>
    <i r="1">
      <x v="199"/>
    </i>
    <i r="1">
      <x v="200"/>
    </i>
    <i r="1">
      <x v="203"/>
    </i>
    <i r="1">
      <x v="206"/>
    </i>
    <i r="1">
      <x v="207"/>
    </i>
    <i r="1">
      <x v="218"/>
    </i>
    <i r="1">
      <x v="222"/>
    </i>
    <i r="1">
      <x v="240"/>
    </i>
    <i r="1">
      <x v="249"/>
    </i>
    <i r="1">
      <x v="250"/>
    </i>
    <i r="1">
      <x v="251"/>
    </i>
    <i r="1">
      <x v="252"/>
    </i>
    <i r="1">
      <x v="253"/>
    </i>
    <i r="1">
      <x v="276"/>
    </i>
    <i>
      <x v="3"/>
      <x v="148"/>
    </i>
    <i r="1">
      <x v="232"/>
    </i>
    <i r="1">
      <x v="247"/>
    </i>
    <i>
      <x v="4"/>
      <x v="62"/>
    </i>
    <i>
      <x v="5"/>
      <x v="56"/>
    </i>
    <i>
      <x v="6"/>
      <x v="30"/>
    </i>
    <i r="1">
      <x v="31"/>
    </i>
    <i r="1">
      <x v="51"/>
    </i>
    <i r="1">
      <x v="52"/>
    </i>
    <i r="1">
      <x v="53"/>
    </i>
    <i r="1">
      <x v="116"/>
    </i>
    <i r="1">
      <x v="123"/>
    </i>
    <i r="1">
      <x v="124"/>
    </i>
    <i r="1">
      <x v="137"/>
    </i>
    <i r="1">
      <x v="208"/>
    </i>
    <i r="1">
      <x v="221"/>
    </i>
    <i r="1">
      <x v="239"/>
    </i>
    <i r="1">
      <x v="241"/>
    </i>
    <i r="1">
      <x v="244"/>
    </i>
    <i r="1">
      <x v="248"/>
    </i>
    <i r="1">
      <x v="271"/>
    </i>
    <i r="1">
      <x v="272"/>
    </i>
    <i>
      <x v="7"/>
      <x v="74"/>
    </i>
    <i>
      <x v="8"/>
      <x v="10"/>
    </i>
    <i r="1">
      <x v="11"/>
    </i>
    <i r="1">
      <x v="12"/>
    </i>
    <i r="1">
      <x v="18"/>
    </i>
    <i r="1">
      <x v="38"/>
    </i>
    <i r="1">
      <x v="45"/>
    </i>
    <i r="1">
      <x v="57"/>
    </i>
    <i r="1">
      <x v="60"/>
    </i>
    <i r="1">
      <x v="72"/>
    </i>
    <i r="1">
      <x v="82"/>
    </i>
    <i r="1">
      <x v="86"/>
    </i>
    <i r="1">
      <x v="87"/>
    </i>
    <i r="1">
      <x v="90"/>
    </i>
    <i r="1">
      <x v="91"/>
    </i>
    <i r="1">
      <x v="92"/>
    </i>
    <i r="1">
      <x v="98"/>
    </i>
    <i r="1">
      <x v="121"/>
    </i>
    <i r="1">
      <x v="122"/>
    </i>
    <i r="1">
      <x v="129"/>
    </i>
    <i r="1">
      <x v="138"/>
    </i>
    <i r="1">
      <x v="139"/>
    </i>
    <i r="1">
      <x v="140"/>
    </i>
    <i r="1">
      <x v="182"/>
    </i>
    <i r="1">
      <x v="209"/>
    </i>
    <i r="1">
      <x v="212"/>
    </i>
    <i r="1">
      <x v="216"/>
    </i>
    <i r="1">
      <x v="220"/>
    </i>
    <i>
      <x v="9"/>
      <x v="95"/>
    </i>
    <i r="1">
      <x v="96"/>
    </i>
    <i r="1">
      <x v="246"/>
    </i>
    <i>
      <x v="10"/>
      <x v="55"/>
    </i>
    <i r="1">
      <x v="97"/>
    </i>
    <i r="1">
      <x v="149"/>
    </i>
    <i r="1">
      <x v="233"/>
    </i>
    <i r="1">
      <x v="234"/>
    </i>
    <i r="1">
      <x v="235"/>
    </i>
    <i>
      <x v="11"/>
      <x v="147"/>
    </i>
    <i r="1">
      <x v="152"/>
    </i>
    <i r="1">
      <x v="183"/>
    </i>
    <i r="1">
      <x v="223"/>
    </i>
    <i r="1">
      <x v="224"/>
    </i>
    <i>
      <x v="12"/>
      <x v="27"/>
    </i>
    <i r="1">
      <x v="38"/>
    </i>
    <i r="1">
      <x v="42"/>
    </i>
    <i r="1">
      <x v="48"/>
    </i>
    <i r="1">
      <x v="50"/>
    </i>
    <i r="1">
      <x v="69"/>
    </i>
    <i r="1">
      <x v="70"/>
    </i>
    <i r="1">
      <x v="71"/>
    </i>
    <i r="1">
      <x v="77"/>
    </i>
    <i r="1">
      <x v="84"/>
    </i>
    <i r="1">
      <x v="88"/>
    </i>
    <i r="1">
      <x v="89"/>
    </i>
    <i r="1">
      <x v="94"/>
    </i>
    <i r="1">
      <x v="117"/>
    </i>
    <i r="1">
      <x v="118"/>
    </i>
    <i r="1">
      <x v="128"/>
    </i>
    <i r="1">
      <x v="155"/>
    </i>
    <i r="1">
      <x v="156"/>
    </i>
    <i r="1">
      <x v="158"/>
    </i>
    <i r="1">
      <x v="160"/>
    </i>
    <i r="1">
      <x v="164"/>
    </i>
    <i r="1">
      <x v="175"/>
    </i>
    <i r="1">
      <x v="188"/>
    </i>
    <i r="1">
      <x v="238"/>
    </i>
    <i>
      <x v="13"/>
      <x v="39"/>
    </i>
    <i r="1">
      <x v="40"/>
    </i>
    <i r="1">
      <x v="119"/>
    </i>
    <i r="1">
      <x v="120"/>
    </i>
    <i r="1">
      <x v="135"/>
    </i>
    <i r="1">
      <x v="136"/>
    </i>
    <i r="1">
      <x v="214"/>
    </i>
    <i r="1">
      <x v="217"/>
    </i>
    <i r="1">
      <x v="259"/>
    </i>
    <i r="1">
      <x v="260"/>
    </i>
    <i r="1">
      <x v="261"/>
    </i>
    <i r="1">
      <x v="262"/>
    </i>
    <i r="1">
      <x v="263"/>
    </i>
    <i r="1">
      <x v="264"/>
    </i>
    <i r="1">
      <x v="265"/>
    </i>
    <i r="1">
      <x v="266"/>
    </i>
    <i r="1">
      <x v="267"/>
    </i>
    <i r="1">
      <x v="268"/>
    </i>
    <i r="1">
      <x v="269"/>
    </i>
    <i r="1">
      <x v="273"/>
    </i>
    <i>
      <x v="14"/>
      <x v="24"/>
    </i>
    <i r="1">
      <x v="25"/>
    </i>
    <i r="1">
      <x v="26"/>
    </i>
    <i r="1">
      <x v="46"/>
    </i>
    <i r="1">
      <x v="47"/>
    </i>
    <i r="1">
      <x v="54"/>
    </i>
    <i r="1">
      <x v="63"/>
    </i>
    <i r="1">
      <x v="64"/>
    </i>
    <i r="1">
      <x v="83"/>
    </i>
    <i r="1">
      <x v="85"/>
    </i>
    <i r="1">
      <x v="107"/>
    </i>
    <i r="1">
      <x v="108"/>
    </i>
    <i r="1">
      <x v="127"/>
    </i>
    <i r="1">
      <x v="144"/>
    </i>
    <i r="1">
      <x v="157"/>
    </i>
    <i r="1">
      <x v="159"/>
    </i>
    <i r="1">
      <x v="176"/>
    </i>
    <i r="1">
      <x v="177"/>
    </i>
    <i r="1">
      <x v="181"/>
    </i>
    <i r="1">
      <x v="189"/>
    </i>
    <i r="1">
      <x v="190"/>
    </i>
    <i r="1">
      <x v="191"/>
    </i>
    <i r="1">
      <x v="192"/>
    </i>
    <i r="1">
      <x v="204"/>
    </i>
    <i r="1">
      <x v="229"/>
    </i>
    <i>
      <x v="15"/>
      <x v="130"/>
    </i>
    <i r="1">
      <x v="131"/>
    </i>
    <i r="1">
      <x v="132"/>
    </i>
    <i r="1">
      <x v="133"/>
    </i>
    <i r="1">
      <x v="134"/>
    </i>
    <i r="1">
      <x v="215"/>
    </i>
    <i r="1">
      <x v="219"/>
    </i>
    <i r="1">
      <x v="242"/>
    </i>
    <i r="1">
      <x v="243"/>
    </i>
    <i>
      <x v="16"/>
      <x v="142"/>
    </i>
    <i r="1">
      <x v="143"/>
    </i>
    <i r="1">
      <x v="245"/>
    </i>
    <i r="1">
      <x v="254"/>
    </i>
    <i r="1">
      <x v="255"/>
    </i>
    <i r="1">
      <x v="256"/>
    </i>
    <i r="1">
      <x v="257"/>
    </i>
    <i r="1">
      <x v="258"/>
    </i>
    <i r="1">
      <x v="277"/>
    </i>
    <i>
      <x v="17"/>
      <x v="150"/>
    </i>
    <i r="1">
      <x v="196"/>
    </i>
    <i r="1">
      <x v="213"/>
    </i>
    <i r="1">
      <x v="231"/>
    </i>
    <i>
      <x v="18"/>
      <x v="38"/>
    </i>
    <i r="1">
      <x v="61"/>
    </i>
    <i r="1">
      <x v="179"/>
    </i>
    <i r="1">
      <x v="180"/>
    </i>
    <i>
      <x v="19"/>
      <x v="185"/>
    </i>
    <i r="1">
      <x v="236"/>
    </i>
    <i r="1">
      <x v="237"/>
    </i>
    <i>
      <x v="20"/>
      <x v="16"/>
    </i>
    <i r="1">
      <x v="17"/>
    </i>
    <i r="1">
      <x v="33"/>
    </i>
    <i r="1">
      <x v="34"/>
    </i>
    <i r="1">
      <x v="44"/>
    </i>
    <i r="1">
      <x v="58"/>
    </i>
    <i r="1">
      <x v="75"/>
    </i>
    <i r="1">
      <x v="76"/>
    </i>
    <i r="1">
      <x v="78"/>
    </i>
    <i r="1">
      <x v="79"/>
    </i>
    <i r="1">
      <x v="80"/>
    </i>
    <i r="1">
      <x v="81"/>
    </i>
    <i r="1">
      <x v="93"/>
    </i>
    <i r="1">
      <x v="151"/>
    </i>
    <i r="1">
      <x v="165"/>
    </i>
    <i r="1">
      <x v="166"/>
    </i>
    <i r="1">
      <x v="167"/>
    </i>
    <i r="1">
      <x v="168"/>
    </i>
    <i r="1">
      <x v="169"/>
    </i>
    <i r="1">
      <x v="178"/>
    </i>
    <i r="1">
      <x v="193"/>
    </i>
    <i r="1">
      <x v="197"/>
    </i>
    <i r="1">
      <x v="198"/>
    </i>
    <i r="1">
      <x v="201"/>
    </i>
    <i r="1">
      <x v="225"/>
    </i>
    <i r="1">
      <x v="226"/>
    </i>
    <i r="1">
      <x v="227"/>
    </i>
    <i r="1">
      <x v="228"/>
    </i>
    <i r="1">
      <x v="230"/>
    </i>
    <i r="1">
      <x v="274"/>
    </i>
    <i r="1">
      <x v="275"/>
    </i>
    <i>
      <x v="21"/>
      <x v="270"/>
    </i>
  </rowItems>
  <colItems count="1">
    <i/>
  </colItems>
  <pageFields count="1">
    <pageField fld="0" hier="-1"/>
  </pageFields>
  <pivotTableStyleInfo name="PivotStyleLight16" showRowHeaders="0"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14.xml><?xml version="1.0" encoding="utf-8"?>
<pivotTableDefinition xmlns="http://schemas.openxmlformats.org/spreadsheetml/2006/main" name="PivotTable3" cacheId="2"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chartFormat="8">
  <location ref="A84:B103" firstHeaderRow="1" firstDataRow="1" firstDataCol="1" rowPageCount="1" colPageCount="1"/>
  <pivotFields count="24">
    <pivotField showAll="0" defaultSubtotal="0"/>
    <pivotField axis="axisRow" showAll="0">
      <items count="19">
        <item x="0"/>
        <item x="2"/>
        <item x="4"/>
        <item x="7"/>
        <item x="11"/>
        <item x="13"/>
        <item x="6"/>
        <item x="8"/>
        <item x="5"/>
        <item x="17"/>
        <item x="9"/>
        <item x="10"/>
        <item x="12"/>
        <item x="15"/>
        <item x="14"/>
        <item x="16"/>
        <item x="3"/>
        <item x="1"/>
        <item t="default"/>
      </items>
    </pivotField>
    <pivotField showAll="0" defaultSubtotal="0"/>
    <pivotField axis="axisPage" multipleItemSelectionAllowed="1" showAll="0">
      <items count="3">
        <item x="0"/>
        <item x="1"/>
        <item t="default"/>
      </items>
    </pivotField>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1"/>
  </rowFields>
  <rowItems count="19">
    <i>
      <x/>
    </i>
    <i>
      <x v="1"/>
    </i>
    <i>
      <x v="2"/>
    </i>
    <i>
      <x v="3"/>
    </i>
    <i>
      <x v="4"/>
    </i>
    <i>
      <x v="5"/>
    </i>
    <i>
      <x v="6"/>
    </i>
    <i>
      <x v="7"/>
    </i>
    <i>
      <x v="8"/>
    </i>
    <i>
      <x v="9"/>
    </i>
    <i>
      <x v="10"/>
    </i>
    <i>
      <x v="11"/>
    </i>
    <i>
      <x v="12"/>
    </i>
    <i>
      <x v="13"/>
    </i>
    <i>
      <x v="14"/>
    </i>
    <i>
      <x v="15"/>
    </i>
    <i>
      <x v="16"/>
    </i>
    <i>
      <x v="17"/>
    </i>
    <i t="grand">
      <x/>
    </i>
  </rowItems>
  <colItems count="1">
    <i/>
  </colItems>
  <pageFields count="1">
    <pageField fld="3" hier="-1"/>
  </pageFields>
  <dataFields count="1">
    <dataField name="Sum of HH Covered" fld="15" baseField="0" baseItem="0"/>
  </dataFields>
  <formats count="1">
    <format dxfId="1180">
      <pivotArea type="all" dataOnly="0" outline="0" fieldPosition="0"/>
    </format>
  </formats>
  <chartFormats count="1">
    <chartFormat chart="6" format="1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PivotTable5" cacheId="2" applyNumberFormats="0" applyBorderFormats="0" applyFontFormats="0" applyPatternFormats="0" applyAlignmentFormats="0" applyWidthHeightFormats="1" dataCaption="Values" updatedVersion="5" minRefreshableVersion="3" useAutoFormatting="1" itemPrintTitles="1" createdVersion="4" indent="0" showHeaders="0" outline="1" outlineData="1" multipleFieldFilters="0" chartFormat="8">
  <location ref="H84:I103" firstHeaderRow="1" firstDataRow="1" firstDataCol="1" rowPageCount="1" colPageCount="1"/>
  <pivotFields count="24">
    <pivotField showAll="0" defaultSubtotal="0"/>
    <pivotField axis="axisRow" showAll="0">
      <items count="19">
        <item x="0"/>
        <item x="2"/>
        <item x="4"/>
        <item x="7"/>
        <item x="11"/>
        <item x="13"/>
        <item x="6"/>
        <item x="8"/>
        <item x="5"/>
        <item x="17"/>
        <item x="9"/>
        <item x="10"/>
        <item x="12"/>
        <item x="15"/>
        <item x="14"/>
        <item x="16"/>
        <item x="3"/>
        <item x="1"/>
        <item t="default"/>
      </items>
    </pivotField>
    <pivotField showAll="0" defaultSubtotal="0"/>
    <pivotField axis="axisPage" multipleItemSelectionAllowed="1" showAll="0">
      <items count="3">
        <item x="0"/>
        <item x="1"/>
        <item t="default"/>
      </items>
    </pivotField>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1"/>
  </rowFields>
  <rowItems count="19">
    <i>
      <x/>
    </i>
    <i>
      <x v="1"/>
    </i>
    <i>
      <x v="2"/>
    </i>
    <i>
      <x v="3"/>
    </i>
    <i>
      <x v="4"/>
    </i>
    <i>
      <x v="5"/>
    </i>
    <i>
      <x v="6"/>
    </i>
    <i>
      <x v="7"/>
    </i>
    <i>
      <x v="8"/>
    </i>
    <i>
      <x v="9"/>
    </i>
    <i>
      <x v="10"/>
    </i>
    <i>
      <x v="11"/>
    </i>
    <i>
      <x v="12"/>
    </i>
    <i>
      <x v="13"/>
    </i>
    <i>
      <x v="14"/>
    </i>
    <i>
      <x v="15"/>
    </i>
    <i>
      <x v="16"/>
    </i>
    <i>
      <x v="17"/>
    </i>
    <i t="grand">
      <x/>
    </i>
  </rowItems>
  <colItems count="1">
    <i/>
  </colItems>
  <pageFields count="1">
    <pageField fld="3" hier="-1"/>
  </pageFields>
  <dataFields count="1">
    <dataField name="Sum of HH Covered" fld="15" baseField="0" baseItem="0"/>
  </dataFields>
  <formats count="1">
    <format dxfId="1181">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itemPrintTitles="1" createdVersion="4" indent="0" outline="1" outlineData="1" multipleFieldFilters="0" chartFormat="7">
  <location ref="A7:C26" firstHeaderRow="0" firstDataRow="1" firstDataCol="1" rowPageCount="1" colPageCount="1"/>
  <pivotFields count="24">
    <pivotField showAll="0" defaultSubtotal="0"/>
    <pivotField axis="axisRow" showAll="0" sortType="ascending">
      <items count="19">
        <item x="10"/>
        <item x="13"/>
        <item x="8"/>
        <item x="15"/>
        <item x="16"/>
        <item x="0"/>
        <item x="14"/>
        <item x="11"/>
        <item x="5"/>
        <item x="6"/>
        <item x="1"/>
        <item x="17"/>
        <item x="7"/>
        <item x="2"/>
        <item x="3"/>
        <item x="4"/>
        <item x="9"/>
        <item x="12"/>
        <item t="default"/>
      </items>
    </pivotField>
    <pivotField showAll="0" defaultSubtotal="0"/>
    <pivotField axis="axisPage" multipleItemSelectionAllowed="1" showAll="0">
      <items count="3">
        <item x="0"/>
        <item x="1"/>
        <item t="default"/>
      </items>
    </pivotField>
    <pivotField showAll="0" sortType="ascending">
      <items count="18">
        <item x="5"/>
        <item x="8"/>
        <item x="2"/>
        <item x="13"/>
        <item x="6"/>
        <item x="4"/>
        <item x="3"/>
        <item x="11"/>
        <item x="15"/>
        <item x="7"/>
        <item x="12"/>
        <item x="1"/>
        <item x="9"/>
        <item x="14"/>
        <item x="10"/>
        <item x="16"/>
        <item x="0"/>
        <item t="default"/>
      </items>
    </pivotField>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1"/>
  </rowFields>
  <rowItems count="19">
    <i>
      <x/>
    </i>
    <i>
      <x v="1"/>
    </i>
    <i>
      <x v="2"/>
    </i>
    <i>
      <x v="3"/>
    </i>
    <i>
      <x v="4"/>
    </i>
    <i>
      <x v="5"/>
    </i>
    <i>
      <x v="6"/>
    </i>
    <i>
      <x v="7"/>
    </i>
    <i>
      <x v="8"/>
    </i>
    <i>
      <x v="9"/>
    </i>
    <i>
      <x v="10"/>
    </i>
    <i>
      <x v="11"/>
    </i>
    <i>
      <x v="12"/>
    </i>
    <i>
      <x v="13"/>
    </i>
    <i>
      <x v="14"/>
    </i>
    <i>
      <x v="15"/>
    </i>
    <i>
      <x v="16"/>
    </i>
    <i>
      <x v="17"/>
    </i>
    <i t="grand">
      <x/>
    </i>
  </rowItems>
  <colFields count="1">
    <field x="-2"/>
  </colFields>
  <colItems count="2">
    <i>
      <x/>
    </i>
    <i i="1">
      <x v="1"/>
    </i>
  </colItems>
  <pageFields count="1">
    <pageField fld="3" hier="-1"/>
  </pageFields>
  <dataFields count="2">
    <dataField name="Sum of # of Temporary Shelter Units Built" fld="10" baseField="1" baseItem="1"/>
    <dataField name="Sum of # of Temporary Shelter Under  Construction" fld="11" baseField="1" baseItem="1"/>
  </dataFields>
  <formats count="13">
    <format dxfId="1153">
      <pivotArea field="4" type="button" dataOnly="0" labelOnly="1" outline="0"/>
    </format>
    <format dxfId="1152">
      <pivotArea field="4" type="button" dataOnly="0" labelOnly="1" outline="0"/>
    </format>
    <format dxfId="1151">
      <pivotArea outline="0" collapsedLevelsAreSubtotals="1" fieldPosition="0"/>
    </format>
    <format dxfId="1150">
      <pivotArea field="3" type="button" dataOnly="0" labelOnly="1" outline="0" axis="axisPage" fieldPosition="0"/>
    </format>
    <format dxfId="1149">
      <pivotArea dataOnly="0" labelOnly="1" outline="0" fieldPosition="0">
        <references count="1">
          <reference field="3" count="0"/>
        </references>
      </pivotArea>
    </format>
    <format dxfId="1148">
      <pivotArea field="3" type="button" dataOnly="0" labelOnly="1" outline="0" axis="axisPage" fieldPosition="0"/>
    </format>
    <format dxfId="1147">
      <pivotArea dataOnly="0" labelOnly="1" outline="0" fieldPosition="0">
        <references count="1">
          <reference field="3" count="0"/>
        </references>
      </pivotArea>
    </format>
    <format dxfId="1146">
      <pivotArea type="all" dataOnly="0" outline="0" fieldPosition="0"/>
    </format>
    <format dxfId="1145">
      <pivotArea field="1" type="button" dataOnly="0" labelOnly="1" outline="0" axis="axisRow" fieldPosition="0"/>
    </format>
    <format dxfId="1144">
      <pivotArea collapsedLevelsAreSubtotals="1" fieldPosition="0">
        <references count="1">
          <reference field="1" count="0"/>
        </references>
      </pivotArea>
    </format>
    <format dxfId="1143">
      <pivotArea dataOnly="0" labelOnly="1" fieldPosition="0">
        <references count="1">
          <reference field="1" count="0"/>
        </references>
      </pivotArea>
    </format>
    <format dxfId="1142">
      <pivotArea grandRow="1" outline="0" collapsedLevelsAreSubtotals="1" fieldPosition="0"/>
    </format>
    <format dxfId="114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5" minRefreshableVersion="3" itemPrintTitles="1" createdVersion="4" indent="0" outline="1" outlineData="1" multipleFieldFilters="0" chartFormat="7">
  <location ref="A63:B74" firstHeaderRow="1" firstDataRow="1" firstDataCol="1" rowPageCount="3" colPageCount="1"/>
  <pivotFields count="24">
    <pivotField showAll="0" defaultSubtotal="0"/>
    <pivotField showAll="0" sortType="ascending"/>
    <pivotField showAll="0" defaultSubtotal="0"/>
    <pivotField axis="axisPage" multipleItemSelectionAllowed="1" showAll="0">
      <items count="3">
        <item x="0"/>
        <item x="1"/>
        <item t="default"/>
      </items>
    </pivotField>
    <pivotField axis="axisPage" multipleItemSelectionAllowed="1" showAll="0" sortType="ascending">
      <items count="18">
        <item x="5"/>
        <item h="1" x="8"/>
        <item h="1" x="2"/>
        <item h="1" x="13"/>
        <item h="1" x="6"/>
        <item h="1" x="4"/>
        <item h="1" x="3"/>
        <item h="1" x="11"/>
        <item h="1" x="15"/>
        <item h="1" x="7"/>
        <item h="1" x="12"/>
        <item h="1" x="1"/>
        <item h="1" x="9"/>
        <item h="1" x="14"/>
        <item h="1" x="10"/>
        <item h="1" x="16"/>
        <item h="1" x="0"/>
        <item t="default"/>
      </items>
    </pivotField>
    <pivotField axis="axisRow" showAll="0" defaultSubtotal="0">
      <items count="148">
        <item x="83"/>
        <item x="15"/>
        <item x="22"/>
        <item x="10"/>
        <item x="111"/>
        <item x="84"/>
        <item x="68"/>
        <item x="20"/>
        <item x="66"/>
        <item x="67"/>
        <item x="23"/>
        <item x="27"/>
        <item x="24"/>
        <item x="6"/>
        <item x="112"/>
        <item x="42"/>
        <item x="75"/>
        <item x="37"/>
        <item x="85"/>
        <item x="100"/>
        <item x="56"/>
        <item x="113"/>
        <item x="43"/>
        <item x="115"/>
        <item x="53"/>
        <item x="116"/>
        <item x="118"/>
        <item x="119"/>
        <item x="101"/>
        <item x="102"/>
        <item x="86"/>
        <item x="32"/>
        <item x="103"/>
        <item x="55"/>
        <item x="26"/>
        <item x="28"/>
        <item x="69"/>
        <item x="29"/>
        <item x="104"/>
        <item x="74"/>
        <item x="34"/>
        <item x="124"/>
        <item x="1"/>
        <item x="125"/>
        <item x="126"/>
        <item x="87"/>
        <item x="0"/>
        <item x="3"/>
        <item x="45"/>
        <item x="50"/>
        <item x="127"/>
        <item x="105"/>
        <item x="76"/>
        <item x="106"/>
        <item x="82"/>
        <item x="107"/>
        <item x="30"/>
        <item x="128"/>
        <item x="5"/>
        <item x="108"/>
        <item x="77"/>
        <item x="129"/>
        <item x="31"/>
        <item x="21"/>
        <item x="89"/>
        <item x="130"/>
        <item x="80"/>
        <item x="131"/>
        <item x="109"/>
        <item x="132"/>
        <item x="70"/>
        <item x="133"/>
        <item x="78"/>
        <item x="110"/>
        <item x="114"/>
        <item x="60"/>
        <item x="117"/>
        <item x="134"/>
        <item x="71"/>
        <item x="120"/>
        <item x="63"/>
        <item x="18"/>
        <item x="135"/>
        <item x="121"/>
        <item x="122"/>
        <item x="72"/>
        <item x="123"/>
        <item x="90"/>
        <item x="51"/>
        <item x="91"/>
        <item x="7"/>
        <item x="33"/>
        <item x="2"/>
        <item x="16"/>
        <item x="17"/>
        <item x="81"/>
        <item x="52"/>
        <item x="25"/>
        <item x="46"/>
        <item x="79"/>
        <item x="12"/>
        <item x="92"/>
        <item x="9"/>
        <item x="136"/>
        <item x="98"/>
        <item x="35"/>
        <item x="58"/>
        <item x="40"/>
        <item x="137"/>
        <item x="138"/>
        <item x="59"/>
        <item x="139"/>
        <item x="93"/>
        <item x="47"/>
        <item x="141"/>
        <item x="48"/>
        <item x="49"/>
        <item x="73"/>
        <item x="142"/>
        <item x="94"/>
        <item x="140"/>
        <item x="143"/>
        <item x="99"/>
        <item x="144"/>
        <item x="95"/>
        <item x="145"/>
        <item x="96"/>
        <item x="146"/>
        <item x="65"/>
        <item x="147"/>
        <item x="39"/>
        <item x="64"/>
        <item x="41"/>
        <item x="97"/>
        <item x="88"/>
        <item x="62"/>
        <item x="11"/>
        <item x="57"/>
        <item x="44"/>
        <item x="61"/>
        <item x="54"/>
        <item x="38"/>
        <item x="14"/>
        <item x="36"/>
        <item x="19"/>
        <item x="13"/>
        <item x="8"/>
        <item x="4"/>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Page" multipleItemSelectionAllowed="1" showAll="0" defaultSubtotal="0">
      <items count="3">
        <item x="2"/>
        <item h="1" x="1"/>
        <item x="0"/>
      </items>
    </pivotField>
    <pivotField dataField="1" showAll="0" defaultSubtotal="0"/>
    <pivotField showAll="0" defaultSubtotal="0"/>
    <pivotField showAll="0" defaultSubtotal="0"/>
  </pivotFields>
  <rowFields count="1">
    <field x="5"/>
  </rowFields>
  <rowItems count="11">
    <i>
      <x v="1"/>
    </i>
    <i>
      <x v="4"/>
    </i>
    <i>
      <x v="21"/>
    </i>
    <i>
      <x v="37"/>
    </i>
    <i>
      <x v="72"/>
    </i>
    <i>
      <x v="82"/>
    </i>
    <i>
      <x v="95"/>
    </i>
    <i>
      <x v="102"/>
    </i>
    <i>
      <x v="112"/>
    </i>
    <i>
      <x v="126"/>
    </i>
    <i t="grand">
      <x/>
    </i>
  </rowItems>
  <colItems count="1">
    <i/>
  </colItems>
  <pageFields count="3">
    <pageField fld="3" hier="-1"/>
    <pageField fld="4" hier="-1"/>
    <pageField fld="20" hier="-1"/>
  </pageFields>
  <dataFields count="1">
    <dataField name="Average of Coverage" fld="21" subtotal="average" baseField="5" baseItem="16" numFmtId="9"/>
  </dataFields>
  <formats count="18">
    <format dxfId="1171">
      <pivotArea field="4" type="button" dataOnly="0" labelOnly="1" outline="0" axis="axisPage" fieldPosition="1"/>
    </format>
    <format dxfId="1170">
      <pivotArea field="4" type="button" dataOnly="0" labelOnly="1" outline="0" axis="axisPage" fieldPosition="1"/>
    </format>
    <format dxfId="1169">
      <pivotArea collapsedLevelsAreSubtotals="1" fieldPosition="0">
        <references count="2">
          <reference field="4294967294" count="1" selected="0">
            <x v="0"/>
          </reference>
          <reference field="5" count="11">
            <x v="1"/>
            <x v="4"/>
            <x v="21"/>
            <x v="37"/>
            <x v="72"/>
            <x v="82"/>
            <x v="95"/>
            <x v="102"/>
            <x v="112"/>
            <x v="118"/>
            <x v="126"/>
          </reference>
        </references>
      </pivotArea>
    </format>
    <format dxfId="1168">
      <pivotArea outline="0" fieldPosition="0">
        <references count="1">
          <reference field="4294967294" count="1">
            <x v="0"/>
          </reference>
        </references>
      </pivotArea>
    </format>
    <format dxfId="1167">
      <pivotArea field="3" type="button" dataOnly="0" labelOnly="1" outline="0" axis="axisPage" fieldPosition="0"/>
    </format>
    <format dxfId="1166">
      <pivotArea dataOnly="0" labelOnly="1" outline="0" fieldPosition="0">
        <references count="1">
          <reference field="3" count="0"/>
        </references>
      </pivotArea>
    </format>
    <format dxfId="1165">
      <pivotArea field="4" type="button" dataOnly="0" labelOnly="1" outline="0" axis="axisPage" fieldPosition="1"/>
    </format>
    <format dxfId="1164">
      <pivotArea dataOnly="0" labelOnly="1" outline="0" fieldPosition="0">
        <references count="1">
          <reference field="4" count="0"/>
        </references>
      </pivotArea>
    </format>
    <format dxfId="1163">
      <pivotArea field="20" type="button" dataOnly="0" labelOnly="1" outline="0" axis="axisPage" fieldPosition="2"/>
    </format>
    <format dxfId="1162">
      <pivotArea dataOnly="0" labelOnly="1" outline="0" fieldPosition="0">
        <references count="1">
          <reference field="20" count="0"/>
        </references>
      </pivotArea>
    </format>
    <format dxfId="1161">
      <pivotArea field="3" type="button" dataOnly="0" labelOnly="1" outline="0" axis="axisPage" fieldPosition="0"/>
    </format>
    <format dxfId="1160">
      <pivotArea dataOnly="0" labelOnly="1" outline="0" fieldPosition="0">
        <references count="1">
          <reference field="3" count="0"/>
        </references>
      </pivotArea>
    </format>
    <format dxfId="1159">
      <pivotArea field="4" type="button" dataOnly="0" labelOnly="1" outline="0" axis="axisPage" fieldPosition="1"/>
    </format>
    <format dxfId="1158">
      <pivotArea dataOnly="0" labelOnly="1" outline="0" fieldPosition="0">
        <references count="1">
          <reference field="4" count="0"/>
        </references>
      </pivotArea>
    </format>
    <format dxfId="1157">
      <pivotArea field="20" type="button" dataOnly="0" labelOnly="1" outline="0" axis="axisPage" fieldPosition="2"/>
    </format>
    <format dxfId="1156">
      <pivotArea dataOnly="0" labelOnly="1" outline="0" fieldPosition="0">
        <references count="1">
          <reference field="20" count="0"/>
        </references>
      </pivotArea>
    </format>
    <format dxfId="1155">
      <pivotArea type="all" dataOnly="0" outline="0" fieldPosition="0"/>
    </format>
    <format dxfId="115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PivotTable3" cacheId="2" applyNumberFormats="0" applyBorderFormats="0" applyFontFormats="0" applyPatternFormats="0" applyAlignmentFormats="0" applyWidthHeightFormats="1" dataCaption="Values" updatedVersion="5" minRefreshableVersion="3" itemPrintTitles="1" createdVersion="4" indent="0" outline="1" outlineData="1" multipleFieldFilters="0" chartFormat="7">
  <location ref="E7:F23" firstHeaderRow="1" firstDataRow="1" firstDataCol="1" rowPageCount="1" colPageCount="1"/>
  <pivotFields count="24">
    <pivotField showAll="0" defaultSubtotal="0"/>
    <pivotField axis="axisRow" showAll="0" sortType="ascending">
      <items count="19">
        <item h="1" x="10"/>
        <item x="13"/>
        <item x="8"/>
        <item x="15"/>
        <item x="16"/>
        <item x="0"/>
        <item x="14"/>
        <item x="11"/>
        <item x="5"/>
        <item x="6"/>
        <item x="1"/>
        <item x="17"/>
        <item x="7"/>
        <item x="2"/>
        <item h="1" x="3"/>
        <item x="4"/>
        <item x="9"/>
        <item h="1" x="12"/>
        <item t="default"/>
      </items>
    </pivotField>
    <pivotField showAll="0" defaultSubtotal="0"/>
    <pivotField axis="axisPage" multipleItemSelectionAllowed="1" showAll="0">
      <items count="3">
        <item x="0"/>
        <item x="1"/>
        <item t="default"/>
      </items>
    </pivotField>
    <pivotField showAll="0" sortType="ascending">
      <items count="18">
        <item x="5"/>
        <item x="8"/>
        <item x="2"/>
        <item x="13"/>
        <item x="6"/>
        <item x="4"/>
        <item x="3"/>
        <item x="11"/>
        <item x="15"/>
        <item x="7"/>
        <item x="12"/>
        <item x="1"/>
        <item x="9"/>
        <item x="14"/>
        <item x="10"/>
        <item x="16"/>
        <item x="0"/>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1"/>
  </rowFields>
  <rowItems count="16">
    <i>
      <x v="1"/>
    </i>
    <i>
      <x v="2"/>
    </i>
    <i>
      <x v="3"/>
    </i>
    <i>
      <x v="4"/>
    </i>
    <i>
      <x v="5"/>
    </i>
    <i>
      <x v="6"/>
    </i>
    <i>
      <x v="7"/>
    </i>
    <i>
      <x v="8"/>
    </i>
    <i>
      <x v="9"/>
    </i>
    <i>
      <x v="10"/>
    </i>
    <i>
      <x v="11"/>
    </i>
    <i>
      <x v="12"/>
    </i>
    <i>
      <x v="13"/>
    </i>
    <i>
      <x v="15"/>
    </i>
    <i>
      <x v="16"/>
    </i>
    <i t="grand">
      <x/>
    </i>
  </rowItems>
  <colItems count="1">
    <i/>
  </colItems>
  <pageFields count="1">
    <pageField fld="3" hier="-1"/>
  </pageFields>
  <dataFields count="1">
    <dataField name="Sum of HH Covered" fld="15" baseField="0" baseItem="0"/>
  </dataFields>
  <formats count="8">
    <format dxfId="1179">
      <pivotArea field="4" type="button" dataOnly="0" labelOnly="1" outline="0"/>
    </format>
    <format dxfId="1178">
      <pivotArea field="4" type="button" dataOnly="0" labelOnly="1" outline="0"/>
    </format>
    <format dxfId="1177">
      <pivotArea outline="0" collapsedLevelsAreSubtotals="1" fieldPosition="0"/>
    </format>
    <format dxfId="1176">
      <pivotArea type="all" dataOnly="0" outline="0" fieldPosition="0"/>
    </format>
    <format dxfId="1175">
      <pivotArea field="1" type="button" dataOnly="0" labelOnly="1" outline="0" axis="axisRow" fieldPosition="0"/>
    </format>
    <format dxfId="1174">
      <pivotArea dataOnly="0" labelOnly="1" outline="0" axis="axisValues" fieldPosition="0"/>
    </format>
    <format dxfId="1173">
      <pivotArea collapsedLevelsAreSubtotals="1" fieldPosition="0">
        <references count="1">
          <reference field="1" count="0"/>
        </references>
      </pivotArea>
    </format>
    <format dxfId="1172">
      <pivotArea dataOnly="0" labelOnly="1" fieldPosition="0">
        <references count="1">
          <reference field="1" count="0"/>
        </references>
      </pivotArea>
    </format>
  </formats>
  <chartFormats count="2">
    <chartFormat chart="4" format="47" series="1">
      <pivotArea type="data" outline="0" fieldPosition="0">
        <references count="1">
          <reference field="4294967294" count="1" selected="0">
            <x v="0"/>
          </reference>
        </references>
      </pivotArea>
    </chartFormat>
    <chartFormat chart="5"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xml><?xml version="1.0" encoding="utf-8"?>
<pivotTableDefinition xmlns="http://schemas.openxmlformats.org/spreadsheetml/2006/main" name="PivotTable3" cacheId="2" applyNumberFormats="0" applyBorderFormats="0" applyFontFormats="0" applyPatternFormats="0" applyAlignmentFormats="0" applyWidthHeightFormats="1" dataCaption="Values" updatedVersion="5" minRefreshableVersion="3" useAutoFormatting="1" itemPrintTitles="1" createdVersion="4" indent="0" compact="0" compactData="0" multipleFieldFilters="0">
  <location ref="A3:D132" firstHeaderRow="1" firstDataRow="1" firstDataCol="3" rowPageCount="1" colPageCount="1"/>
  <pivotFields count="24">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7">
        <item x="5"/>
        <item x="8"/>
        <item x="2"/>
        <item x="6"/>
        <item x="4"/>
        <item x="3"/>
        <item x="11"/>
        <item x="15"/>
        <item x="7"/>
        <item x="12"/>
        <item x="1"/>
        <item x="9"/>
        <item x="14"/>
        <item x="16"/>
        <item x="0"/>
        <item x="10"/>
        <item x="13"/>
      </items>
    </pivotField>
    <pivotField axis="axisRow" compact="0" outline="0" showAll="0" defaultSubtotal="0">
      <items count="148">
        <item x="83"/>
        <item x="15"/>
        <item x="22"/>
        <item x="84"/>
        <item x="20"/>
        <item x="23"/>
        <item x="27"/>
        <item x="24"/>
        <item x="6"/>
        <item x="112"/>
        <item x="42"/>
        <item x="75"/>
        <item x="37"/>
        <item x="85"/>
        <item x="100"/>
        <item x="56"/>
        <item x="113"/>
        <item x="43"/>
        <item x="115"/>
        <item x="53"/>
        <item x="118"/>
        <item x="119"/>
        <item x="101"/>
        <item x="102"/>
        <item x="86"/>
        <item x="32"/>
        <item x="103"/>
        <item x="55"/>
        <item x="26"/>
        <item x="28"/>
        <item x="29"/>
        <item x="104"/>
        <item x="74"/>
        <item x="34"/>
        <item x="124"/>
        <item x="1"/>
        <item x="125"/>
        <item x="87"/>
        <item x="0"/>
        <item x="3"/>
        <item x="45"/>
        <item x="105"/>
        <item x="76"/>
        <item x="106"/>
        <item x="107"/>
        <item x="30"/>
        <item x="128"/>
        <item x="5"/>
        <item x="108"/>
        <item x="77"/>
        <item x="129"/>
        <item x="31"/>
        <item x="21"/>
        <item x="89"/>
        <item x="80"/>
        <item x="131"/>
        <item x="109"/>
        <item x="132"/>
        <item x="110"/>
        <item x="114"/>
        <item x="117"/>
        <item x="134"/>
        <item x="71"/>
        <item x="120"/>
        <item x="18"/>
        <item x="135"/>
        <item x="121"/>
        <item x="122"/>
        <item x="123"/>
        <item x="90"/>
        <item x="51"/>
        <item x="91"/>
        <item x="7"/>
        <item x="33"/>
        <item x="2"/>
        <item x="16"/>
        <item x="81"/>
        <item x="52"/>
        <item x="25"/>
        <item x="46"/>
        <item x="79"/>
        <item x="12"/>
        <item x="92"/>
        <item x="9"/>
        <item x="136"/>
        <item x="98"/>
        <item x="35"/>
        <item x="58"/>
        <item x="40"/>
        <item x="137"/>
        <item x="138"/>
        <item x="59"/>
        <item x="139"/>
        <item x="93"/>
        <item x="47"/>
        <item x="141"/>
        <item x="48"/>
        <item x="49"/>
        <item x="73"/>
        <item x="94"/>
        <item x="140"/>
        <item x="99"/>
        <item x="144"/>
        <item x="95"/>
        <item x="145"/>
        <item x="96"/>
        <item x="146"/>
        <item x="50"/>
        <item x="142"/>
        <item x="66"/>
        <item x="72"/>
        <item x="78"/>
        <item x="126"/>
        <item x="68"/>
        <item x="111"/>
        <item x="143"/>
        <item x="147"/>
        <item x="17"/>
        <item x="127"/>
        <item x="116"/>
        <item x="67"/>
        <item x="10"/>
        <item x="69"/>
        <item x="82"/>
        <item x="130"/>
        <item x="70"/>
        <item x="133"/>
        <item x="60"/>
        <item x="63"/>
        <item x="65"/>
        <item x="39"/>
        <item x="64"/>
        <item x="41"/>
        <item x="97"/>
        <item x="88"/>
        <item x="62"/>
        <item x="11"/>
        <item x="57"/>
        <item x="44"/>
        <item x="61"/>
        <item x="54"/>
        <item x="38"/>
        <item x="14"/>
        <item x="36"/>
        <item x="19"/>
        <item x="13"/>
        <item x="8"/>
        <item x="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46">
        <item x="136"/>
        <item x="47"/>
        <item x="7"/>
        <item x="48"/>
        <item x="141"/>
        <item x="49"/>
        <item x="58"/>
        <item x="106"/>
        <item x="59"/>
        <item x="112"/>
        <item x="6"/>
        <item x="101"/>
        <item x="55"/>
        <item x="103"/>
        <item x="105"/>
        <item x="43"/>
        <item x="115"/>
        <item x="31"/>
        <item x="21"/>
        <item x="144"/>
        <item x="18"/>
        <item x="46"/>
        <item x="12"/>
        <item x="1"/>
        <item x="75"/>
        <item x="0"/>
        <item x="79"/>
        <item x="87"/>
        <item x="25"/>
        <item x="140"/>
        <item x="73"/>
        <item x="94"/>
        <item x="45"/>
        <item x="3"/>
        <item x="40"/>
        <item x="27"/>
        <item x="9"/>
        <item x="29"/>
        <item x="15"/>
        <item x="113"/>
        <item x="96"/>
        <item x="135"/>
        <item x="93"/>
        <item x="80"/>
        <item x="131"/>
        <item x="128"/>
        <item x="91"/>
        <item x="76"/>
        <item x="77"/>
        <item x="137"/>
        <item x="138"/>
        <item x="74"/>
        <item x="34"/>
        <item x="104"/>
        <item x="33"/>
        <item x="35"/>
        <item x="108"/>
        <item x="102"/>
        <item x="122"/>
        <item x="139"/>
        <item x="90"/>
        <item x="89"/>
        <item x="129"/>
        <item x="121"/>
        <item x="145"/>
        <item x="23"/>
        <item x="20"/>
        <item x="37"/>
        <item x="95"/>
        <item x="125"/>
        <item x="53"/>
        <item x="56"/>
        <item x="42"/>
        <item x="16"/>
        <item x="32"/>
        <item x="51"/>
        <item x="30"/>
        <item x="107"/>
        <item x="124"/>
        <item x="123"/>
        <item x="52"/>
        <item x="2"/>
        <item x="84"/>
        <item x="24"/>
        <item x="22"/>
        <item x="83"/>
        <item x="28"/>
        <item x="92"/>
        <item x="98"/>
        <item x="99"/>
        <item x="85"/>
        <item x="71"/>
        <item x="81"/>
        <item x="26"/>
        <item x="86"/>
        <item x="132"/>
        <item x="134"/>
        <item x="114"/>
        <item x="110"/>
        <item x="109"/>
        <item x="117"/>
        <item x="5"/>
        <item x="100"/>
        <item x="120"/>
        <item x="118"/>
        <item x="119"/>
        <item x="50"/>
        <item x="142"/>
        <item x="66"/>
        <item x="72"/>
        <item x="78"/>
        <item x="126"/>
        <item x="68"/>
        <item x="111"/>
        <item x="143"/>
        <item x="17"/>
        <item x="127"/>
        <item x="116"/>
        <item x="67"/>
        <item x="10"/>
        <item x="69"/>
        <item x="82"/>
        <item x="130"/>
        <item x="70"/>
        <item x="133"/>
        <item x="60"/>
        <item x="63"/>
        <item x="65"/>
        <item x="97"/>
        <item x="39"/>
        <item x="64"/>
        <item x="41"/>
        <item x="88"/>
        <item x="62"/>
        <item x="11"/>
        <item x="57"/>
        <item x="44"/>
        <item x="61"/>
        <item x="54"/>
        <item x="38"/>
        <item x="14"/>
        <item x="36"/>
        <item x="19"/>
        <item x="13"/>
        <item x="8"/>
        <item x="4"/>
      </items>
    </pivotField>
    <pivotField axis="axisPage" compact="0" outline="0" multipleItemSelectionAllowed="1" showAll="0" defaultSubtotal="0">
      <items count="3">
        <item x="2"/>
        <item h="1" x="1"/>
        <item x="0"/>
      </items>
    </pivotField>
    <pivotField dataField="1" compact="0" outline="0" showAll="0" defaultSubtotal="0"/>
    <pivotField compact="0" outline="0" showAll="0" defaultSubtotal="0"/>
    <pivotField compact="0" outline="0" showAll="0" defaultSubtotal="0"/>
  </pivotFields>
  <rowFields count="3">
    <field x="4"/>
    <field x="19"/>
    <field x="5"/>
  </rowFields>
  <rowItems count="129">
    <i>
      <x/>
      <x v="36"/>
      <x v="83"/>
    </i>
    <i r="1">
      <x v="37"/>
      <x v="30"/>
    </i>
    <i r="1">
      <x v="38"/>
      <x v="1"/>
    </i>
    <i r="1">
      <x v="39"/>
      <x v="16"/>
    </i>
    <i r="1">
      <x v="40"/>
      <x v="105"/>
    </i>
    <i r="1">
      <x v="41"/>
      <x v="65"/>
    </i>
    <i r="1">
      <x v="42"/>
      <x v="93"/>
    </i>
    <i r="1">
      <x v="92"/>
      <x v="76"/>
    </i>
    <i r="1">
      <x v="110"/>
      <x v="111"/>
    </i>
    <i r="1">
      <x v="113"/>
      <x v="114"/>
    </i>
    <i>
      <x v="1"/>
      <x v="35"/>
      <x v="6"/>
    </i>
    <i r="1">
      <x v="93"/>
      <x v="28"/>
    </i>
    <i r="1">
      <x v="115"/>
      <x v="117"/>
    </i>
    <i r="1">
      <x v="139"/>
      <x v="141"/>
    </i>
    <i r="1">
      <x v="142"/>
      <x v="144"/>
    </i>
    <i>
      <x v="2"/>
      <x/>
      <x v="102"/>
    </i>
    <i r="2">
      <x v="116"/>
    </i>
    <i r="1">
      <x v="61"/>
      <x v="53"/>
    </i>
    <i r="1">
      <x v="63"/>
      <x v="66"/>
    </i>
    <i r="1">
      <x v="64"/>
      <x v="106"/>
    </i>
    <i r="1">
      <x v="65"/>
      <x v="5"/>
    </i>
    <i r="1">
      <x v="82"/>
      <x v="3"/>
    </i>
    <i r="1">
      <x v="83"/>
      <x v="7"/>
    </i>
    <i r="1">
      <x v="84"/>
      <x v="2"/>
    </i>
    <i r="1">
      <x v="86"/>
      <x v="29"/>
    </i>
    <i r="1">
      <x v="87"/>
      <x v="82"/>
    </i>
    <i r="1">
      <x v="88"/>
      <x v="85"/>
    </i>
    <i r="1">
      <x v="89"/>
      <x v="101"/>
    </i>
    <i r="1">
      <x v="90"/>
      <x v="13"/>
    </i>
    <i r="1">
      <x v="91"/>
      <x v="62"/>
    </i>
    <i r="1">
      <x v="119"/>
      <x v="121"/>
    </i>
    <i r="1">
      <x v="120"/>
      <x v="122"/>
    </i>
    <i r="1">
      <x v="135"/>
      <x v="137"/>
    </i>
    <i r="1">
      <x v="143"/>
      <x v="145"/>
    </i>
    <i r="1">
      <x v="145"/>
      <x v="147"/>
    </i>
    <i>
      <x v="3"/>
      <x v="100"/>
      <x v="60"/>
    </i>
    <i r="1">
      <x v="104"/>
      <x v="20"/>
    </i>
    <i r="1">
      <x v="105"/>
      <x v="21"/>
    </i>
    <i r="1">
      <x v="122"/>
      <x v="124"/>
    </i>
    <i r="1">
      <x v="127"/>
      <x v="129"/>
    </i>
    <i r="1">
      <x v="128"/>
      <x v="133"/>
    </i>
    <i r="1">
      <x v="140"/>
      <x v="142"/>
    </i>
    <i>
      <x v="4"/>
      <x v="48"/>
      <x v="49"/>
    </i>
    <i r="1">
      <x v="74"/>
      <x v="25"/>
    </i>
    <i r="1">
      <x v="76"/>
      <x v="45"/>
    </i>
    <i r="1">
      <x v="77"/>
      <x v="44"/>
    </i>
    <i r="1">
      <x v="106"/>
      <x v="107"/>
    </i>
    <i r="1">
      <x v="108"/>
      <x v="109"/>
    </i>
    <i r="1">
      <x v="116"/>
      <x v="118"/>
    </i>
    <i r="1">
      <x v="144"/>
      <x v="146"/>
    </i>
    <i>
      <x v="5"/>
      <x v="101"/>
      <x v="47"/>
    </i>
    <i r="1">
      <x v="132"/>
      <x v="134"/>
    </i>
    <i>
      <x v="6"/>
      <x v="56"/>
      <x v="48"/>
    </i>
    <i r="1">
      <x v="57"/>
      <x v="23"/>
    </i>
    <i r="1">
      <x v="58"/>
      <x v="67"/>
    </i>
    <i r="1">
      <x v="138"/>
      <x v="140"/>
    </i>
    <i>
      <x v="7"/>
      <x v="59"/>
      <x v="92"/>
    </i>
    <i r="1">
      <x v="79"/>
      <x v="68"/>
    </i>
    <i>
      <x v="8"/>
      <x v="43"/>
      <x v="54"/>
    </i>
    <i r="1">
      <x v="47"/>
      <x v="42"/>
    </i>
    <i r="1">
      <x v="51"/>
      <x v="32"/>
    </i>
    <i r="1">
      <x v="52"/>
      <x v="33"/>
    </i>
    <i r="1">
      <x v="53"/>
      <x v="31"/>
    </i>
    <i r="1">
      <x v="54"/>
      <x v="73"/>
    </i>
    <i r="1">
      <x v="55"/>
      <x v="86"/>
    </i>
    <i r="1">
      <x v="70"/>
      <x v="19"/>
    </i>
    <i r="1">
      <x v="71"/>
      <x v="15"/>
    </i>
    <i r="1">
      <x v="72"/>
      <x v="10"/>
    </i>
    <i r="1">
      <x v="73"/>
      <x v="75"/>
    </i>
    <i r="1">
      <x v="75"/>
      <x v="70"/>
    </i>
    <i>
      <x v="9"/>
      <x v="123"/>
      <x v="125"/>
    </i>
    <i r="1">
      <x v="124"/>
      <x v="126"/>
    </i>
    <i r="1">
      <x v="137"/>
      <x v="139"/>
    </i>
    <i>
      <x v="10"/>
      <x/>
      <x v="84"/>
    </i>
    <i r="2">
      <x v="116"/>
    </i>
    <i r="1">
      <x v="1"/>
      <x v="94"/>
    </i>
    <i r="1">
      <x v="2"/>
      <x v="72"/>
    </i>
    <i r="1">
      <x v="3"/>
      <x v="96"/>
    </i>
    <i r="1">
      <x v="4"/>
      <x v="95"/>
    </i>
    <i r="1">
      <x v="5"/>
      <x v="97"/>
    </i>
    <i r="1">
      <x v="6"/>
      <x v="87"/>
    </i>
    <i r="1">
      <x v="7"/>
      <x v="43"/>
    </i>
    <i r="1">
      <x v="8"/>
      <x v="91"/>
    </i>
    <i r="1">
      <x v="9"/>
      <x v="9"/>
    </i>
    <i r="1">
      <x v="10"/>
      <x v="8"/>
    </i>
    <i r="1">
      <x v="11"/>
      <x v="22"/>
    </i>
    <i r="1">
      <x v="12"/>
      <x v="27"/>
    </i>
    <i r="1">
      <x v="13"/>
      <x v="26"/>
    </i>
    <i r="1">
      <x v="14"/>
      <x v="41"/>
    </i>
    <i r="1">
      <x v="15"/>
      <x v="17"/>
    </i>
    <i r="1">
      <x v="16"/>
      <x v="18"/>
    </i>
    <i r="1">
      <x v="17"/>
      <x v="51"/>
    </i>
    <i r="1">
      <x v="18"/>
      <x v="52"/>
    </i>
    <i r="1">
      <x v="19"/>
      <x v="104"/>
    </i>
    <i r="1">
      <x v="20"/>
      <x v="64"/>
    </i>
    <i r="1">
      <x v="81"/>
      <x v="74"/>
    </i>
    <i r="1">
      <x v="130"/>
      <x v="131"/>
    </i>
    <i>
      <x v="11"/>
      <x v="97"/>
      <x v="59"/>
    </i>
    <i r="1">
      <x v="98"/>
      <x v="58"/>
    </i>
    <i r="1">
      <x v="125"/>
      <x v="127"/>
    </i>
    <i r="1">
      <x v="126"/>
      <x v="128"/>
    </i>
    <i r="1">
      <x v="141"/>
      <x v="143"/>
    </i>
    <i>
      <x v="12"/>
      <x v="103"/>
      <x v="63"/>
    </i>
    <i>
      <x v="13"/>
      <x v="49"/>
      <x v="89"/>
    </i>
    <i r="1">
      <x v="50"/>
      <x v="90"/>
    </i>
    <i>
      <x v="14"/>
      <x v="21"/>
      <x v="79"/>
    </i>
    <i r="1">
      <x v="22"/>
      <x v="81"/>
    </i>
    <i r="1">
      <x v="23"/>
      <x v="35"/>
    </i>
    <i r="1">
      <x v="24"/>
      <x v="11"/>
    </i>
    <i r="1">
      <x v="25"/>
      <x v="38"/>
    </i>
    <i r="1">
      <x v="26"/>
      <x v="80"/>
    </i>
    <i r="1">
      <x v="27"/>
      <x v="37"/>
    </i>
    <i r="1">
      <x v="28"/>
      <x v="78"/>
    </i>
    <i r="1">
      <x v="30"/>
      <x v="98"/>
    </i>
    <i r="1">
      <x v="31"/>
      <x v="99"/>
    </i>
    <i r="1">
      <x v="32"/>
      <x v="40"/>
    </i>
    <i r="1">
      <x v="33"/>
      <x v="39"/>
    </i>
    <i r="1">
      <x v="34"/>
      <x v="88"/>
    </i>
    <i r="1">
      <x v="66"/>
      <x v="4"/>
    </i>
    <i r="1">
      <x v="67"/>
      <x v="12"/>
    </i>
    <i r="1">
      <x v="68"/>
      <x v="103"/>
    </i>
    <i r="1">
      <x v="69"/>
      <x v="36"/>
    </i>
    <i r="1">
      <x v="80"/>
      <x v="77"/>
    </i>
    <i r="1">
      <x v="109"/>
      <x v="110"/>
    </i>
    <i r="1">
      <x v="129"/>
      <x v="130"/>
    </i>
    <i>
      <x v="15"/>
      <x/>
      <x v="116"/>
    </i>
    <i r="1">
      <x v="136"/>
      <x v="138"/>
    </i>
    <i>
      <x v="16"/>
      <x v="133"/>
      <x v="135"/>
    </i>
    <i t="grand">
      <x/>
    </i>
  </rowItems>
  <colItems count="1">
    <i/>
  </colItems>
  <pageFields count="1">
    <pageField fld="20" hier="-1"/>
  </pageFields>
  <dataFields count="1">
    <dataField name="Sum of Coverage" fld="21" baseField="0" baseItem="2420248" numFmtId="9"/>
  </dataFields>
  <formats count="311">
    <format dxfId="1124">
      <pivotArea outline="0" collapsedLevelsAreSubtotals="1" fieldPosition="0"/>
    </format>
    <format dxfId="1123">
      <pivotArea dataOnly="0" labelOnly="1" outline="0" axis="axisValues" fieldPosition="0"/>
    </format>
    <format dxfId="1122">
      <pivotArea field="20" type="button" dataOnly="0" labelOnly="1" outline="0" axis="axisPage" fieldPosition="0"/>
    </format>
    <format dxfId="1121">
      <pivotArea dataOnly="0" labelOnly="1" outline="0" fieldPosition="0">
        <references count="1">
          <reference field="20" count="0"/>
        </references>
      </pivotArea>
    </format>
    <format dxfId="1120">
      <pivotArea outline="0" collapsedLevelsAreSubtotals="1" fieldPosition="0">
        <references count="3">
          <reference field="4" count="1" selected="0">
            <x v="0"/>
          </reference>
          <reference field="5" count="10" selected="0">
            <x v="1"/>
            <x v="16"/>
            <x v="30"/>
            <x v="65"/>
            <x v="76"/>
            <x v="83"/>
            <x v="93"/>
            <x v="105"/>
            <x v="111"/>
            <x v="114"/>
          </reference>
          <reference field="19" count="10" selected="0">
            <x v="36"/>
            <x v="37"/>
            <x v="38"/>
            <x v="39"/>
            <x v="40"/>
            <x v="41"/>
            <x v="42"/>
            <x v="92"/>
            <x v="110"/>
            <x v="113"/>
          </reference>
        </references>
      </pivotArea>
    </format>
    <format dxfId="1119">
      <pivotArea dataOnly="0" labelOnly="1" outline="0" fieldPosition="0">
        <references count="1">
          <reference field="4" count="1">
            <x v="0"/>
          </reference>
        </references>
      </pivotArea>
    </format>
    <format dxfId="1118">
      <pivotArea dataOnly="0" labelOnly="1" outline="0" fieldPosition="0">
        <references count="2">
          <reference field="4" count="1" selected="0">
            <x v="0"/>
          </reference>
          <reference field="19" count="10">
            <x v="36"/>
            <x v="37"/>
            <x v="38"/>
            <x v="39"/>
            <x v="40"/>
            <x v="41"/>
            <x v="42"/>
            <x v="92"/>
            <x v="110"/>
            <x v="113"/>
          </reference>
        </references>
      </pivotArea>
    </format>
    <format dxfId="1117">
      <pivotArea dataOnly="0" labelOnly="1" outline="0" fieldPosition="0">
        <references count="3">
          <reference field="4" count="1" selected="0">
            <x v="0"/>
          </reference>
          <reference field="5" count="1">
            <x v="83"/>
          </reference>
          <reference field="19" count="1" selected="0">
            <x v="36"/>
          </reference>
        </references>
      </pivotArea>
    </format>
    <format dxfId="1116">
      <pivotArea dataOnly="0" labelOnly="1" outline="0" fieldPosition="0">
        <references count="3">
          <reference field="4" count="1" selected="0">
            <x v="0"/>
          </reference>
          <reference field="5" count="1">
            <x v="30"/>
          </reference>
          <reference field="19" count="1" selected="0">
            <x v="37"/>
          </reference>
        </references>
      </pivotArea>
    </format>
    <format dxfId="1115">
      <pivotArea dataOnly="0" labelOnly="1" outline="0" fieldPosition="0">
        <references count="3">
          <reference field="4" count="1" selected="0">
            <x v="0"/>
          </reference>
          <reference field="5" count="1">
            <x v="1"/>
          </reference>
          <reference field="19" count="1" selected="0">
            <x v="38"/>
          </reference>
        </references>
      </pivotArea>
    </format>
    <format dxfId="1114">
      <pivotArea dataOnly="0" labelOnly="1" outline="0" fieldPosition="0">
        <references count="3">
          <reference field="4" count="1" selected="0">
            <x v="0"/>
          </reference>
          <reference field="5" count="1">
            <x v="16"/>
          </reference>
          <reference field="19" count="1" selected="0">
            <x v="39"/>
          </reference>
        </references>
      </pivotArea>
    </format>
    <format dxfId="1113">
      <pivotArea dataOnly="0" labelOnly="1" outline="0" fieldPosition="0">
        <references count="3">
          <reference field="4" count="1" selected="0">
            <x v="0"/>
          </reference>
          <reference field="5" count="1">
            <x v="105"/>
          </reference>
          <reference field="19" count="1" selected="0">
            <x v="40"/>
          </reference>
        </references>
      </pivotArea>
    </format>
    <format dxfId="1112">
      <pivotArea dataOnly="0" labelOnly="1" outline="0" fieldPosition="0">
        <references count="3">
          <reference field="4" count="1" selected="0">
            <x v="0"/>
          </reference>
          <reference field="5" count="1">
            <x v="65"/>
          </reference>
          <reference field="19" count="1" selected="0">
            <x v="41"/>
          </reference>
        </references>
      </pivotArea>
    </format>
    <format dxfId="1111">
      <pivotArea dataOnly="0" labelOnly="1" outline="0" fieldPosition="0">
        <references count="3">
          <reference field="4" count="1" selected="0">
            <x v="0"/>
          </reference>
          <reference field="5" count="1">
            <x v="93"/>
          </reference>
          <reference field="19" count="1" selected="0">
            <x v="42"/>
          </reference>
        </references>
      </pivotArea>
    </format>
    <format dxfId="1110">
      <pivotArea dataOnly="0" labelOnly="1" outline="0" fieldPosition="0">
        <references count="3">
          <reference field="4" count="1" selected="0">
            <x v="0"/>
          </reference>
          <reference field="5" count="1">
            <x v="76"/>
          </reference>
          <reference field="19" count="1" selected="0">
            <x v="92"/>
          </reference>
        </references>
      </pivotArea>
    </format>
    <format dxfId="1109">
      <pivotArea dataOnly="0" labelOnly="1" outline="0" fieldPosition="0">
        <references count="3">
          <reference field="4" count="1" selected="0">
            <x v="0"/>
          </reference>
          <reference field="5" count="1">
            <x v="111"/>
          </reference>
          <reference field="19" count="1" selected="0">
            <x v="110"/>
          </reference>
        </references>
      </pivotArea>
    </format>
    <format dxfId="1108">
      <pivotArea dataOnly="0" labelOnly="1" outline="0" fieldPosition="0">
        <references count="3">
          <reference field="4" count="1" selected="0">
            <x v="0"/>
          </reference>
          <reference field="5" count="1">
            <x v="114"/>
          </reference>
          <reference field="19" count="1" selected="0">
            <x v="113"/>
          </reference>
        </references>
      </pivotArea>
    </format>
    <format dxfId="1107">
      <pivotArea outline="0" collapsedLevelsAreSubtotals="1" fieldPosition="0">
        <references count="3">
          <reference field="4" count="1" selected="0">
            <x v="1"/>
          </reference>
          <reference field="5" count="3" selected="0">
            <x v="6"/>
            <x v="28"/>
            <x v="117"/>
          </reference>
          <reference field="19" count="3" selected="0">
            <x v="35"/>
            <x v="93"/>
            <x v="115"/>
          </reference>
        </references>
      </pivotArea>
    </format>
    <format dxfId="1106">
      <pivotArea dataOnly="0" labelOnly="1" outline="0" fieldPosition="0">
        <references count="1">
          <reference field="4" count="1">
            <x v="1"/>
          </reference>
        </references>
      </pivotArea>
    </format>
    <format dxfId="1105">
      <pivotArea dataOnly="0" labelOnly="1" outline="0" fieldPosition="0">
        <references count="2">
          <reference field="4" count="1" selected="0">
            <x v="1"/>
          </reference>
          <reference field="19" count="3">
            <x v="35"/>
            <x v="93"/>
            <x v="115"/>
          </reference>
        </references>
      </pivotArea>
    </format>
    <format dxfId="1104">
      <pivotArea dataOnly="0" labelOnly="1" outline="0" fieldPosition="0">
        <references count="3">
          <reference field="4" count="1" selected="0">
            <x v="1"/>
          </reference>
          <reference field="5" count="1">
            <x v="6"/>
          </reference>
          <reference field="19" count="1" selected="0">
            <x v="35"/>
          </reference>
        </references>
      </pivotArea>
    </format>
    <format dxfId="1103">
      <pivotArea dataOnly="0" labelOnly="1" outline="0" fieldPosition="0">
        <references count="3">
          <reference field="4" count="1" selected="0">
            <x v="1"/>
          </reference>
          <reference field="5" count="1">
            <x v="28"/>
          </reference>
          <reference field="19" count="1" selected="0">
            <x v="93"/>
          </reference>
        </references>
      </pivotArea>
    </format>
    <format dxfId="1102">
      <pivotArea dataOnly="0" labelOnly="1" outline="0" fieldPosition="0">
        <references count="3">
          <reference field="4" count="1" selected="0">
            <x v="1"/>
          </reference>
          <reference field="5" count="1">
            <x v="117"/>
          </reference>
          <reference field="19" count="1" selected="0">
            <x v="115"/>
          </reference>
        </references>
      </pivotArea>
    </format>
    <format dxfId="1101">
      <pivotArea outline="0" collapsedLevelsAreSubtotals="1" fieldPosition="0">
        <references count="3">
          <reference field="4" count="1" selected="0">
            <x v="2"/>
          </reference>
          <reference field="5" count="19" selected="0">
            <x v="0"/>
            <x v="2"/>
            <x v="3"/>
            <x v="5"/>
            <x v="7"/>
            <x v="13"/>
            <x v="29"/>
            <x v="53"/>
            <x v="62"/>
            <x v="66"/>
            <x v="82"/>
            <x v="85"/>
            <x v="101"/>
            <x v="102"/>
            <x v="106"/>
            <x v="113"/>
            <x v="116"/>
            <x v="121"/>
            <x v="122"/>
          </reference>
          <reference field="19" count="18" selected="0">
            <x v="0"/>
            <x v="61"/>
            <x v="63"/>
            <x v="64"/>
            <x v="65"/>
            <x v="82"/>
            <x v="83"/>
            <x v="84"/>
            <x v="85"/>
            <x v="86"/>
            <x v="87"/>
            <x v="88"/>
            <x v="89"/>
            <x v="90"/>
            <x v="91"/>
            <x v="112"/>
            <x v="119"/>
            <x v="120"/>
          </reference>
        </references>
      </pivotArea>
    </format>
    <format dxfId="1100">
      <pivotArea dataOnly="0" labelOnly="1" outline="0" fieldPosition="0">
        <references count="1">
          <reference field="4" count="1">
            <x v="2"/>
          </reference>
        </references>
      </pivotArea>
    </format>
    <format dxfId="1099">
      <pivotArea dataOnly="0" labelOnly="1" outline="0" fieldPosition="0">
        <references count="2">
          <reference field="4" count="1" selected="0">
            <x v="2"/>
          </reference>
          <reference field="19" count="18">
            <x v="0"/>
            <x v="61"/>
            <x v="63"/>
            <x v="64"/>
            <x v="65"/>
            <x v="82"/>
            <x v="83"/>
            <x v="84"/>
            <x v="85"/>
            <x v="86"/>
            <x v="87"/>
            <x v="88"/>
            <x v="89"/>
            <x v="90"/>
            <x v="91"/>
            <x v="112"/>
            <x v="119"/>
            <x v="120"/>
          </reference>
        </references>
      </pivotArea>
    </format>
    <format dxfId="1098">
      <pivotArea dataOnly="0" labelOnly="1" outline="0" fieldPosition="0">
        <references count="3">
          <reference field="4" count="1" selected="0">
            <x v="2"/>
          </reference>
          <reference field="5" count="2">
            <x v="102"/>
            <x v="116"/>
          </reference>
          <reference field="19" count="1" selected="0">
            <x v="0"/>
          </reference>
        </references>
      </pivotArea>
    </format>
    <format dxfId="1097">
      <pivotArea dataOnly="0" labelOnly="1" outline="0" fieldPosition="0">
        <references count="3">
          <reference field="4" count="1" selected="0">
            <x v="2"/>
          </reference>
          <reference field="5" count="1">
            <x v="53"/>
          </reference>
          <reference field="19" count="1" selected="0">
            <x v="61"/>
          </reference>
        </references>
      </pivotArea>
    </format>
    <format dxfId="1096">
      <pivotArea dataOnly="0" labelOnly="1" outline="0" fieldPosition="0">
        <references count="3">
          <reference field="4" count="1" selected="0">
            <x v="2"/>
          </reference>
          <reference field="5" count="1">
            <x v="66"/>
          </reference>
          <reference field="19" count="1" selected="0">
            <x v="63"/>
          </reference>
        </references>
      </pivotArea>
    </format>
    <format dxfId="1095">
      <pivotArea dataOnly="0" labelOnly="1" outline="0" fieldPosition="0">
        <references count="3">
          <reference field="4" count="1" selected="0">
            <x v="2"/>
          </reference>
          <reference field="5" count="1">
            <x v="106"/>
          </reference>
          <reference field="19" count="1" selected="0">
            <x v="64"/>
          </reference>
        </references>
      </pivotArea>
    </format>
    <format dxfId="1094">
      <pivotArea dataOnly="0" labelOnly="1" outline="0" fieldPosition="0">
        <references count="3">
          <reference field="4" count="1" selected="0">
            <x v="2"/>
          </reference>
          <reference field="5" count="1">
            <x v="5"/>
          </reference>
          <reference field="19" count="1" selected="0">
            <x v="65"/>
          </reference>
        </references>
      </pivotArea>
    </format>
    <format dxfId="1093">
      <pivotArea dataOnly="0" labelOnly="1" outline="0" fieldPosition="0">
        <references count="3">
          <reference field="4" count="1" selected="0">
            <x v="2"/>
          </reference>
          <reference field="5" count="1">
            <x v="3"/>
          </reference>
          <reference field="19" count="1" selected="0">
            <x v="82"/>
          </reference>
        </references>
      </pivotArea>
    </format>
    <format dxfId="1092">
      <pivotArea dataOnly="0" labelOnly="1" outline="0" fieldPosition="0">
        <references count="3">
          <reference field="4" count="1" selected="0">
            <x v="2"/>
          </reference>
          <reference field="5" count="1">
            <x v="7"/>
          </reference>
          <reference field="19" count="1" selected="0">
            <x v="83"/>
          </reference>
        </references>
      </pivotArea>
    </format>
    <format dxfId="1091">
      <pivotArea dataOnly="0" labelOnly="1" outline="0" fieldPosition="0">
        <references count="3">
          <reference field="4" count="1" selected="0">
            <x v="2"/>
          </reference>
          <reference field="5" count="1">
            <x v="2"/>
          </reference>
          <reference field="19" count="1" selected="0">
            <x v="84"/>
          </reference>
        </references>
      </pivotArea>
    </format>
    <format dxfId="1090">
      <pivotArea dataOnly="0" labelOnly="1" outline="0" fieldPosition="0">
        <references count="3">
          <reference field="4" count="1" selected="0">
            <x v="2"/>
          </reference>
          <reference field="5" count="1">
            <x v="0"/>
          </reference>
          <reference field="19" count="1" selected="0">
            <x v="85"/>
          </reference>
        </references>
      </pivotArea>
    </format>
    <format dxfId="1089">
      <pivotArea dataOnly="0" labelOnly="1" outline="0" fieldPosition="0">
        <references count="3">
          <reference field="4" count="1" selected="0">
            <x v="2"/>
          </reference>
          <reference field="5" count="1">
            <x v="29"/>
          </reference>
          <reference field="19" count="1" selected="0">
            <x v="86"/>
          </reference>
        </references>
      </pivotArea>
    </format>
    <format dxfId="1088">
      <pivotArea dataOnly="0" labelOnly="1" outline="0" fieldPosition="0">
        <references count="3">
          <reference field="4" count="1" selected="0">
            <x v="2"/>
          </reference>
          <reference field="5" count="1">
            <x v="82"/>
          </reference>
          <reference field="19" count="1" selected="0">
            <x v="87"/>
          </reference>
        </references>
      </pivotArea>
    </format>
    <format dxfId="1087">
      <pivotArea dataOnly="0" labelOnly="1" outline="0" fieldPosition="0">
        <references count="3">
          <reference field="4" count="1" selected="0">
            <x v="2"/>
          </reference>
          <reference field="5" count="1">
            <x v="85"/>
          </reference>
          <reference field="19" count="1" selected="0">
            <x v="88"/>
          </reference>
        </references>
      </pivotArea>
    </format>
    <format dxfId="1086">
      <pivotArea dataOnly="0" labelOnly="1" outline="0" fieldPosition="0">
        <references count="3">
          <reference field="4" count="1" selected="0">
            <x v="2"/>
          </reference>
          <reference field="5" count="1">
            <x v="101"/>
          </reference>
          <reference field="19" count="1" selected="0">
            <x v="89"/>
          </reference>
        </references>
      </pivotArea>
    </format>
    <format dxfId="1085">
      <pivotArea dataOnly="0" labelOnly="1" outline="0" fieldPosition="0">
        <references count="3">
          <reference field="4" count="1" selected="0">
            <x v="2"/>
          </reference>
          <reference field="5" count="1">
            <x v="13"/>
          </reference>
          <reference field="19" count="1" selected="0">
            <x v="90"/>
          </reference>
        </references>
      </pivotArea>
    </format>
    <format dxfId="1084">
      <pivotArea dataOnly="0" labelOnly="1" outline="0" fieldPosition="0">
        <references count="3">
          <reference field="4" count="1" selected="0">
            <x v="2"/>
          </reference>
          <reference field="5" count="1">
            <x v="62"/>
          </reference>
          <reference field="19" count="1" selected="0">
            <x v="91"/>
          </reference>
        </references>
      </pivotArea>
    </format>
    <format dxfId="1083">
      <pivotArea dataOnly="0" labelOnly="1" outline="0" fieldPosition="0">
        <references count="3">
          <reference field="4" count="1" selected="0">
            <x v="2"/>
          </reference>
          <reference field="5" count="1">
            <x v="113"/>
          </reference>
          <reference field="19" count="1" selected="0">
            <x v="112"/>
          </reference>
        </references>
      </pivotArea>
    </format>
    <format dxfId="1082">
      <pivotArea dataOnly="0" labelOnly="1" outline="0" fieldPosition="0">
        <references count="3">
          <reference field="4" count="1" selected="0">
            <x v="2"/>
          </reference>
          <reference field="5" count="1">
            <x v="121"/>
          </reference>
          <reference field="19" count="1" selected="0">
            <x v="119"/>
          </reference>
        </references>
      </pivotArea>
    </format>
    <format dxfId="1081">
      <pivotArea dataOnly="0" labelOnly="1" outline="0" fieldPosition="0">
        <references count="3">
          <reference field="4" count="1" selected="0">
            <x v="2"/>
          </reference>
          <reference field="5" count="1">
            <x v="122"/>
          </reference>
          <reference field="19" count="1" selected="0">
            <x v="120"/>
          </reference>
        </references>
      </pivotArea>
    </format>
    <format dxfId="1080">
      <pivotArea outline="0" collapsedLevelsAreSubtotals="1" fieldPosition="0">
        <references count="3">
          <reference field="4" count="1" selected="0">
            <x v="3"/>
          </reference>
          <reference field="5" count="7" selected="0">
            <x v="20"/>
            <x v="21"/>
            <x v="60"/>
            <x v="119"/>
            <x v="124"/>
            <x v="129"/>
            <x v="133"/>
          </reference>
          <reference field="19" count="7" selected="0">
            <x v="100"/>
            <x v="104"/>
            <x v="105"/>
            <x v="117"/>
            <x v="122"/>
            <x v="127"/>
            <x v="128"/>
          </reference>
        </references>
      </pivotArea>
    </format>
    <format dxfId="1079">
      <pivotArea dataOnly="0" labelOnly="1" outline="0" fieldPosition="0">
        <references count="1">
          <reference field="4" count="1">
            <x v="3"/>
          </reference>
        </references>
      </pivotArea>
    </format>
    <format dxfId="1078">
      <pivotArea dataOnly="0" labelOnly="1" outline="0" fieldPosition="0">
        <references count="2">
          <reference field="4" count="1" selected="0">
            <x v="3"/>
          </reference>
          <reference field="19" count="7">
            <x v="100"/>
            <x v="104"/>
            <x v="105"/>
            <x v="117"/>
            <x v="122"/>
            <x v="127"/>
            <x v="128"/>
          </reference>
        </references>
      </pivotArea>
    </format>
    <format dxfId="1077">
      <pivotArea dataOnly="0" labelOnly="1" outline="0" fieldPosition="0">
        <references count="3">
          <reference field="4" count="1" selected="0">
            <x v="3"/>
          </reference>
          <reference field="5" count="1">
            <x v="60"/>
          </reference>
          <reference field="19" count="1" selected="0">
            <x v="100"/>
          </reference>
        </references>
      </pivotArea>
    </format>
    <format dxfId="1076">
      <pivotArea dataOnly="0" labelOnly="1" outline="0" fieldPosition="0">
        <references count="3">
          <reference field="4" count="1" selected="0">
            <x v="3"/>
          </reference>
          <reference field="5" count="1">
            <x v="20"/>
          </reference>
          <reference field="19" count="1" selected="0">
            <x v="104"/>
          </reference>
        </references>
      </pivotArea>
    </format>
    <format dxfId="1075">
      <pivotArea dataOnly="0" labelOnly="1" outline="0" fieldPosition="0">
        <references count="3">
          <reference field="4" count="1" selected="0">
            <x v="3"/>
          </reference>
          <reference field="5" count="1">
            <x v="21"/>
          </reference>
          <reference field="19" count="1" selected="0">
            <x v="105"/>
          </reference>
        </references>
      </pivotArea>
    </format>
    <format dxfId="1074">
      <pivotArea dataOnly="0" labelOnly="1" outline="0" fieldPosition="0">
        <references count="3">
          <reference field="4" count="1" selected="0">
            <x v="3"/>
          </reference>
          <reference field="5" count="1">
            <x v="119"/>
          </reference>
          <reference field="19" count="1" selected="0">
            <x v="117"/>
          </reference>
        </references>
      </pivotArea>
    </format>
    <format dxfId="1073">
      <pivotArea dataOnly="0" labelOnly="1" outline="0" fieldPosition="0">
        <references count="3">
          <reference field="4" count="1" selected="0">
            <x v="3"/>
          </reference>
          <reference field="5" count="1">
            <x v="124"/>
          </reference>
          <reference field="19" count="1" selected="0">
            <x v="122"/>
          </reference>
        </references>
      </pivotArea>
    </format>
    <format dxfId="1072">
      <pivotArea dataOnly="0" labelOnly="1" outline="0" fieldPosition="0">
        <references count="3">
          <reference field="4" count="1" selected="0">
            <x v="3"/>
          </reference>
          <reference field="5" count="1">
            <x v="129"/>
          </reference>
          <reference field="19" count="1" selected="0">
            <x v="127"/>
          </reference>
        </references>
      </pivotArea>
    </format>
    <format dxfId="1071">
      <pivotArea dataOnly="0" labelOnly="1" outline="0" fieldPosition="0">
        <references count="3">
          <reference field="4" count="1" selected="0">
            <x v="3"/>
          </reference>
          <reference field="5" count="1">
            <x v="133"/>
          </reference>
          <reference field="19" count="1" selected="0">
            <x v="128"/>
          </reference>
        </references>
      </pivotArea>
    </format>
    <format dxfId="1070">
      <pivotArea outline="0" collapsedLevelsAreSubtotals="1" fieldPosition="0">
        <references count="3">
          <reference field="4" count="1" selected="0">
            <x v="4"/>
          </reference>
          <reference field="5" count="9" selected="0">
            <x v="25"/>
            <x v="34"/>
            <x v="44"/>
            <x v="45"/>
            <x v="49"/>
            <x v="107"/>
            <x v="109"/>
            <x v="118"/>
            <x v="120"/>
          </reference>
          <reference field="19" count="9" selected="0">
            <x v="48"/>
            <x v="74"/>
            <x v="76"/>
            <x v="77"/>
            <x v="78"/>
            <x v="106"/>
            <x v="108"/>
            <x v="116"/>
            <x v="118"/>
          </reference>
        </references>
      </pivotArea>
    </format>
    <format dxfId="1069">
      <pivotArea dataOnly="0" labelOnly="1" outline="0" fieldPosition="0">
        <references count="1">
          <reference field="4" count="1">
            <x v="4"/>
          </reference>
        </references>
      </pivotArea>
    </format>
    <format dxfId="1068">
      <pivotArea dataOnly="0" labelOnly="1" outline="0" fieldPosition="0">
        <references count="2">
          <reference field="4" count="1" selected="0">
            <x v="4"/>
          </reference>
          <reference field="19" count="9">
            <x v="48"/>
            <x v="74"/>
            <x v="76"/>
            <x v="77"/>
            <x v="78"/>
            <x v="106"/>
            <x v="108"/>
            <x v="116"/>
            <x v="118"/>
          </reference>
        </references>
      </pivotArea>
    </format>
    <format dxfId="1067">
      <pivotArea dataOnly="0" labelOnly="1" outline="0" fieldPosition="0">
        <references count="3">
          <reference field="4" count="1" selected="0">
            <x v="4"/>
          </reference>
          <reference field="5" count="1">
            <x v="49"/>
          </reference>
          <reference field="19" count="1" selected="0">
            <x v="48"/>
          </reference>
        </references>
      </pivotArea>
    </format>
    <format dxfId="1066">
      <pivotArea dataOnly="0" labelOnly="1" outline="0" fieldPosition="0">
        <references count="3">
          <reference field="4" count="1" selected="0">
            <x v="4"/>
          </reference>
          <reference field="5" count="1">
            <x v="25"/>
          </reference>
          <reference field="19" count="1" selected="0">
            <x v="74"/>
          </reference>
        </references>
      </pivotArea>
    </format>
    <format dxfId="1065">
      <pivotArea dataOnly="0" labelOnly="1" outline="0" fieldPosition="0">
        <references count="3">
          <reference field="4" count="1" selected="0">
            <x v="4"/>
          </reference>
          <reference field="5" count="1">
            <x v="45"/>
          </reference>
          <reference field="19" count="1" selected="0">
            <x v="76"/>
          </reference>
        </references>
      </pivotArea>
    </format>
    <format dxfId="1064">
      <pivotArea dataOnly="0" labelOnly="1" outline="0" fieldPosition="0">
        <references count="3">
          <reference field="4" count="1" selected="0">
            <x v="4"/>
          </reference>
          <reference field="5" count="1">
            <x v="44"/>
          </reference>
          <reference field="19" count="1" selected="0">
            <x v="77"/>
          </reference>
        </references>
      </pivotArea>
    </format>
    <format dxfId="1063">
      <pivotArea dataOnly="0" labelOnly="1" outline="0" fieldPosition="0">
        <references count="3">
          <reference field="4" count="1" selected="0">
            <x v="4"/>
          </reference>
          <reference field="5" count="1">
            <x v="34"/>
          </reference>
          <reference field="19" count="1" selected="0">
            <x v="78"/>
          </reference>
        </references>
      </pivotArea>
    </format>
    <format dxfId="1062">
      <pivotArea dataOnly="0" labelOnly="1" outline="0" fieldPosition="0">
        <references count="3">
          <reference field="4" count="1" selected="0">
            <x v="4"/>
          </reference>
          <reference field="5" count="1">
            <x v="107"/>
          </reference>
          <reference field="19" count="1" selected="0">
            <x v="106"/>
          </reference>
        </references>
      </pivotArea>
    </format>
    <format dxfId="1061">
      <pivotArea dataOnly="0" labelOnly="1" outline="0" fieldPosition="0">
        <references count="3">
          <reference field="4" count="1" selected="0">
            <x v="4"/>
          </reference>
          <reference field="5" count="1">
            <x v="109"/>
          </reference>
          <reference field="19" count="1" selected="0">
            <x v="108"/>
          </reference>
        </references>
      </pivotArea>
    </format>
    <format dxfId="1060">
      <pivotArea dataOnly="0" labelOnly="1" outline="0" fieldPosition="0">
        <references count="3">
          <reference field="4" count="1" selected="0">
            <x v="4"/>
          </reference>
          <reference field="5" count="1">
            <x v="118"/>
          </reference>
          <reference field="19" count="1" selected="0">
            <x v="116"/>
          </reference>
        </references>
      </pivotArea>
    </format>
    <format dxfId="1059">
      <pivotArea dataOnly="0" labelOnly="1" outline="0" fieldPosition="0">
        <references count="3">
          <reference field="4" count="1" selected="0">
            <x v="4"/>
          </reference>
          <reference field="5" count="1">
            <x v="120"/>
          </reference>
          <reference field="19" count="1" selected="0">
            <x v="118"/>
          </reference>
        </references>
      </pivotArea>
    </format>
    <format dxfId="1058">
      <pivotArea outline="0" collapsedLevelsAreSubtotals="1" fieldPosition="0">
        <references count="3">
          <reference field="4" count="1" selected="0">
            <x v="5"/>
          </reference>
          <reference field="5" count="3" selected="0">
            <x v="14"/>
            <x v="47"/>
            <x v="134"/>
          </reference>
          <reference field="19" count="3" selected="0">
            <x v="101"/>
            <x v="102"/>
            <x v="132"/>
          </reference>
        </references>
      </pivotArea>
    </format>
    <format dxfId="1057">
      <pivotArea dataOnly="0" labelOnly="1" outline="0" fieldPosition="0">
        <references count="1">
          <reference field="4" count="1">
            <x v="5"/>
          </reference>
        </references>
      </pivotArea>
    </format>
    <format dxfId="1056">
      <pivotArea dataOnly="0" labelOnly="1" outline="0" fieldPosition="0">
        <references count="2">
          <reference field="4" count="1" selected="0">
            <x v="5"/>
          </reference>
          <reference field="19" count="3">
            <x v="101"/>
            <x v="102"/>
            <x v="132"/>
          </reference>
        </references>
      </pivotArea>
    </format>
    <format dxfId="1055">
      <pivotArea dataOnly="0" labelOnly="1" outline="0" fieldPosition="0">
        <references count="3">
          <reference field="4" count="1" selected="0">
            <x v="5"/>
          </reference>
          <reference field="5" count="1">
            <x v="47"/>
          </reference>
          <reference field="19" count="1" selected="0">
            <x v="101"/>
          </reference>
        </references>
      </pivotArea>
    </format>
    <format dxfId="1054">
      <pivotArea dataOnly="0" labelOnly="1" outline="0" fieldPosition="0">
        <references count="3">
          <reference field="4" count="1" selected="0">
            <x v="5"/>
          </reference>
          <reference field="5" count="1">
            <x v="14"/>
          </reference>
          <reference field="19" count="1" selected="0">
            <x v="102"/>
          </reference>
        </references>
      </pivotArea>
    </format>
    <format dxfId="1053">
      <pivotArea dataOnly="0" labelOnly="1" outline="0" fieldPosition="0">
        <references count="3">
          <reference field="4" count="1" selected="0">
            <x v="5"/>
          </reference>
          <reference field="5" count="1">
            <x v="134"/>
          </reference>
          <reference field="19" count="1" selected="0">
            <x v="132"/>
          </reference>
        </references>
      </pivotArea>
    </format>
    <format dxfId="1052">
      <pivotArea outline="0" collapsedLevelsAreSubtotals="1" fieldPosition="0">
        <references count="3">
          <reference field="4" count="1" selected="0">
            <x v="6"/>
          </reference>
          <reference field="5" count="3" selected="0">
            <x v="23"/>
            <x v="48"/>
            <x v="67"/>
          </reference>
          <reference field="19" count="3" selected="0">
            <x v="56"/>
            <x v="57"/>
            <x v="58"/>
          </reference>
        </references>
      </pivotArea>
    </format>
    <format dxfId="1051">
      <pivotArea dataOnly="0" labelOnly="1" outline="0" fieldPosition="0">
        <references count="1">
          <reference field="4" count="1">
            <x v="6"/>
          </reference>
        </references>
      </pivotArea>
    </format>
    <format dxfId="1050">
      <pivotArea dataOnly="0" labelOnly="1" outline="0" fieldPosition="0">
        <references count="2">
          <reference field="4" count="1" selected="0">
            <x v="6"/>
          </reference>
          <reference field="19" count="3">
            <x v="56"/>
            <x v="57"/>
            <x v="58"/>
          </reference>
        </references>
      </pivotArea>
    </format>
    <format dxfId="1049">
      <pivotArea dataOnly="0" labelOnly="1" outline="0" fieldPosition="0">
        <references count="3">
          <reference field="4" count="1" selected="0">
            <x v="6"/>
          </reference>
          <reference field="5" count="1">
            <x v="48"/>
          </reference>
          <reference field="19" count="1" selected="0">
            <x v="56"/>
          </reference>
        </references>
      </pivotArea>
    </format>
    <format dxfId="1048">
      <pivotArea dataOnly="0" labelOnly="1" outline="0" fieldPosition="0">
        <references count="3">
          <reference field="4" count="1" selected="0">
            <x v="6"/>
          </reference>
          <reference field="5" count="1">
            <x v="23"/>
          </reference>
          <reference field="19" count="1" selected="0">
            <x v="57"/>
          </reference>
        </references>
      </pivotArea>
    </format>
    <format dxfId="1047">
      <pivotArea dataOnly="0" labelOnly="1" outline="0" fieldPosition="0">
        <references count="3">
          <reference field="4" count="1" selected="0">
            <x v="6"/>
          </reference>
          <reference field="5" count="1">
            <x v="67"/>
          </reference>
          <reference field="19" count="1" selected="0">
            <x v="58"/>
          </reference>
        </references>
      </pivotArea>
    </format>
    <format dxfId="1046">
      <pivotArea outline="0" collapsedLevelsAreSubtotals="1" fieldPosition="0">
        <references count="3">
          <reference field="4" count="1" selected="0">
            <x v="7"/>
          </reference>
          <reference field="5" count="2" selected="0">
            <x v="68"/>
            <x v="92"/>
          </reference>
          <reference field="19" count="2" selected="0">
            <x v="59"/>
            <x v="79"/>
          </reference>
        </references>
      </pivotArea>
    </format>
    <format dxfId="1045">
      <pivotArea dataOnly="0" labelOnly="1" outline="0" fieldPosition="0">
        <references count="1">
          <reference field="4" count="1">
            <x v="7"/>
          </reference>
        </references>
      </pivotArea>
    </format>
    <format dxfId="1044">
      <pivotArea dataOnly="0" labelOnly="1" outline="0" fieldPosition="0">
        <references count="2">
          <reference field="4" count="1" selected="0">
            <x v="7"/>
          </reference>
          <reference field="19" count="2">
            <x v="59"/>
            <x v="79"/>
          </reference>
        </references>
      </pivotArea>
    </format>
    <format dxfId="1043">
      <pivotArea dataOnly="0" labelOnly="1" outline="0" fieldPosition="0">
        <references count="3">
          <reference field="4" count="1" selected="0">
            <x v="7"/>
          </reference>
          <reference field="5" count="1">
            <x v="92"/>
          </reference>
          <reference field="19" count="1" selected="0">
            <x v="59"/>
          </reference>
        </references>
      </pivotArea>
    </format>
    <format dxfId="1042">
      <pivotArea dataOnly="0" labelOnly="1" outline="0" fieldPosition="0">
        <references count="3">
          <reference field="4" count="1" selected="0">
            <x v="7"/>
          </reference>
          <reference field="5" count="1">
            <x v="68"/>
          </reference>
          <reference field="19" count="1" selected="0">
            <x v="79"/>
          </reference>
        </references>
      </pivotArea>
    </format>
    <format dxfId="1041">
      <pivotArea outline="0" collapsedLevelsAreSubtotals="1" fieldPosition="0">
        <references count="3">
          <reference field="4" count="1" selected="0">
            <x v="8"/>
          </reference>
          <reference field="5" count="15" selected="0">
            <x v="10"/>
            <x v="15"/>
            <x v="19"/>
            <x v="31"/>
            <x v="32"/>
            <x v="33"/>
            <x v="42"/>
            <x v="46"/>
            <x v="54"/>
            <x v="70"/>
            <x v="71"/>
            <x v="73"/>
            <x v="75"/>
            <x v="86"/>
            <x v="112"/>
          </reference>
          <reference field="19" count="15" selected="0">
            <x v="43"/>
            <x v="45"/>
            <x v="46"/>
            <x v="47"/>
            <x v="51"/>
            <x v="52"/>
            <x v="53"/>
            <x v="54"/>
            <x v="55"/>
            <x v="70"/>
            <x v="71"/>
            <x v="72"/>
            <x v="73"/>
            <x v="75"/>
            <x v="111"/>
          </reference>
        </references>
      </pivotArea>
    </format>
    <format dxfId="1040">
      <pivotArea dataOnly="0" labelOnly="1" outline="0" fieldPosition="0">
        <references count="1">
          <reference field="4" count="1">
            <x v="8"/>
          </reference>
        </references>
      </pivotArea>
    </format>
    <format dxfId="1039">
      <pivotArea dataOnly="0" labelOnly="1" outline="0" fieldPosition="0">
        <references count="2">
          <reference field="4" count="1" selected="0">
            <x v="8"/>
          </reference>
          <reference field="19" count="15">
            <x v="43"/>
            <x v="45"/>
            <x v="46"/>
            <x v="47"/>
            <x v="51"/>
            <x v="52"/>
            <x v="53"/>
            <x v="54"/>
            <x v="55"/>
            <x v="70"/>
            <x v="71"/>
            <x v="72"/>
            <x v="73"/>
            <x v="75"/>
            <x v="111"/>
          </reference>
        </references>
      </pivotArea>
    </format>
    <format dxfId="1038">
      <pivotArea dataOnly="0" labelOnly="1" outline="0" fieldPosition="0">
        <references count="3">
          <reference field="4" count="1" selected="0">
            <x v="8"/>
          </reference>
          <reference field="5" count="1">
            <x v="54"/>
          </reference>
          <reference field="19" count="1" selected="0">
            <x v="43"/>
          </reference>
        </references>
      </pivotArea>
    </format>
    <format dxfId="1037">
      <pivotArea dataOnly="0" labelOnly="1" outline="0" fieldPosition="0">
        <references count="3">
          <reference field="4" count="1" selected="0">
            <x v="8"/>
          </reference>
          <reference field="5" count="1">
            <x v="46"/>
          </reference>
          <reference field="19" count="1" selected="0">
            <x v="45"/>
          </reference>
        </references>
      </pivotArea>
    </format>
    <format dxfId="1036">
      <pivotArea dataOnly="0" labelOnly="1" outline="0" fieldPosition="0">
        <references count="3">
          <reference field="4" count="1" selected="0">
            <x v="8"/>
          </reference>
          <reference field="5" count="1">
            <x v="71"/>
          </reference>
          <reference field="19" count="1" selected="0">
            <x v="46"/>
          </reference>
        </references>
      </pivotArea>
    </format>
    <format dxfId="1035">
      <pivotArea dataOnly="0" labelOnly="1" outline="0" fieldPosition="0">
        <references count="3">
          <reference field="4" count="1" selected="0">
            <x v="8"/>
          </reference>
          <reference field="5" count="1">
            <x v="42"/>
          </reference>
          <reference field="19" count="1" selected="0">
            <x v="47"/>
          </reference>
        </references>
      </pivotArea>
    </format>
    <format dxfId="1034">
      <pivotArea dataOnly="0" labelOnly="1" outline="0" fieldPosition="0">
        <references count="3">
          <reference field="4" count="1" selected="0">
            <x v="8"/>
          </reference>
          <reference field="5" count="1">
            <x v="32"/>
          </reference>
          <reference field="19" count="1" selected="0">
            <x v="51"/>
          </reference>
        </references>
      </pivotArea>
    </format>
    <format dxfId="1033">
      <pivotArea dataOnly="0" labelOnly="1" outline="0" fieldPosition="0">
        <references count="3">
          <reference field="4" count="1" selected="0">
            <x v="8"/>
          </reference>
          <reference field="5" count="1">
            <x v="33"/>
          </reference>
          <reference field="19" count="1" selected="0">
            <x v="52"/>
          </reference>
        </references>
      </pivotArea>
    </format>
    <format dxfId="1032">
      <pivotArea dataOnly="0" labelOnly="1" outline="0" fieldPosition="0">
        <references count="3">
          <reference field="4" count="1" selected="0">
            <x v="8"/>
          </reference>
          <reference field="5" count="1">
            <x v="31"/>
          </reference>
          <reference field="19" count="1" selected="0">
            <x v="53"/>
          </reference>
        </references>
      </pivotArea>
    </format>
    <format dxfId="1031">
      <pivotArea dataOnly="0" labelOnly="1" outline="0" fieldPosition="0">
        <references count="3">
          <reference field="4" count="1" selected="0">
            <x v="8"/>
          </reference>
          <reference field="5" count="1">
            <x v="73"/>
          </reference>
          <reference field="19" count="1" selected="0">
            <x v="54"/>
          </reference>
        </references>
      </pivotArea>
    </format>
    <format dxfId="1030">
      <pivotArea dataOnly="0" labelOnly="1" outline="0" fieldPosition="0">
        <references count="3">
          <reference field="4" count="1" selected="0">
            <x v="8"/>
          </reference>
          <reference field="5" count="1">
            <x v="86"/>
          </reference>
          <reference field="19" count="1" selected="0">
            <x v="55"/>
          </reference>
        </references>
      </pivotArea>
    </format>
    <format dxfId="1029">
      <pivotArea dataOnly="0" labelOnly="1" outline="0" fieldPosition="0">
        <references count="3">
          <reference field="4" count="1" selected="0">
            <x v="8"/>
          </reference>
          <reference field="5" count="1">
            <x v="19"/>
          </reference>
          <reference field="19" count="1" selected="0">
            <x v="70"/>
          </reference>
        </references>
      </pivotArea>
    </format>
    <format dxfId="1028">
      <pivotArea dataOnly="0" labelOnly="1" outline="0" fieldPosition="0">
        <references count="3">
          <reference field="4" count="1" selected="0">
            <x v="8"/>
          </reference>
          <reference field="5" count="1">
            <x v="15"/>
          </reference>
          <reference field="19" count="1" selected="0">
            <x v="71"/>
          </reference>
        </references>
      </pivotArea>
    </format>
    <format dxfId="1027">
      <pivotArea dataOnly="0" labelOnly="1" outline="0" fieldPosition="0">
        <references count="3">
          <reference field="4" count="1" selected="0">
            <x v="8"/>
          </reference>
          <reference field="5" count="1">
            <x v="10"/>
          </reference>
          <reference field="19" count="1" selected="0">
            <x v="72"/>
          </reference>
        </references>
      </pivotArea>
    </format>
    <format dxfId="1026">
      <pivotArea dataOnly="0" labelOnly="1" outline="0" fieldPosition="0">
        <references count="3">
          <reference field="4" count="1" selected="0">
            <x v="8"/>
          </reference>
          <reference field="5" count="1">
            <x v="75"/>
          </reference>
          <reference field="19" count="1" selected="0">
            <x v="73"/>
          </reference>
        </references>
      </pivotArea>
    </format>
    <format dxfId="1025">
      <pivotArea dataOnly="0" labelOnly="1" outline="0" fieldPosition="0">
        <references count="3">
          <reference field="4" count="1" selected="0">
            <x v="8"/>
          </reference>
          <reference field="5" count="1">
            <x v="70"/>
          </reference>
          <reference field="19" count="1" selected="0">
            <x v="75"/>
          </reference>
        </references>
      </pivotArea>
    </format>
    <format dxfId="1024">
      <pivotArea dataOnly="0" labelOnly="1" outline="0" fieldPosition="0">
        <references count="3">
          <reference field="4" count="1" selected="0">
            <x v="8"/>
          </reference>
          <reference field="5" count="1">
            <x v="112"/>
          </reference>
          <reference field="19" count="1" selected="0">
            <x v="111"/>
          </reference>
        </references>
      </pivotArea>
    </format>
    <format dxfId="1023">
      <pivotArea outline="0" collapsedLevelsAreSubtotals="1" fieldPosition="0">
        <references count="3">
          <reference field="4" count="1" selected="0">
            <x v="9"/>
          </reference>
          <reference field="5" count="3" selected="0">
            <x v="56"/>
            <x v="125"/>
            <x v="126"/>
          </reference>
          <reference field="19" count="3" selected="0">
            <x v="99"/>
            <x v="123"/>
            <x v="124"/>
          </reference>
        </references>
      </pivotArea>
    </format>
    <format dxfId="1022">
      <pivotArea dataOnly="0" labelOnly="1" outline="0" fieldPosition="0">
        <references count="1">
          <reference field="4" count="1">
            <x v="9"/>
          </reference>
        </references>
      </pivotArea>
    </format>
    <format dxfId="1021">
      <pivotArea dataOnly="0" labelOnly="1" outline="0" fieldPosition="0">
        <references count="2">
          <reference field="4" count="1" selected="0">
            <x v="9"/>
          </reference>
          <reference field="19" count="3">
            <x v="99"/>
            <x v="123"/>
            <x v="124"/>
          </reference>
        </references>
      </pivotArea>
    </format>
    <format dxfId="1020">
      <pivotArea dataOnly="0" labelOnly="1" outline="0" fieldPosition="0">
        <references count="3">
          <reference field="4" count="1" selected="0">
            <x v="9"/>
          </reference>
          <reference field="5" count="1">
            <x v="56"/>
          </reference>
          <reference field="19" count="1" selected="0">
            <x v="99"/>
          </reference>
        </references>
      </pivotArea>
    </format>
    <format dxfId="1019">
      <pivotArea dataOnly="0" labelOnly="1" outline="0" fieldPosition="0">
        <references count="3">
          <reference field="4" count="1" selected="0">
            <x v="9"/>
          </reference>
          <reference field="5" count="1">
            <x v="125"/>
          </reference>
          <reference field="19" count="1" selected="0">
            <x v="123"/>
          </reference>
        </references>
      </pivotArea>
    </format>
    <format dxfId="1018">
      <pivotArea dataOnly="0" labelOnly="1" outline="0" fieldPosition="0">
        <references count="3">
          <reference field="4" count="1" selected="0">
            <x v="9"/>
          </reference>
          <reference field="5" count="1">
            <x v="126"/>
          </reference>
          <reference field="19" count="1" selected="0">
            <x v="124"/>
          </reference>
        </references>
      </pivotArea>
    </format>
    <format dxfId="1017">
      <pivotArea outline="0" collapsedLevelsAreSubtotals="1" fieldPosition="0">
        <references count="3">
          <reference field="4" count="1" selected="0">
            <x v="10"/>
          </reference>
          <reference field="5" count="24" selected="0">
            <x v="8"/>
            <x v="9"/>
            <x v="17"/>
            <x v="18"/>
            <x v="22"/>
            <x v="26"/>
            <x v="27"/>
            <x v="41"/>
            <x v="43"/>
            <x v="51"/>
            <x v="52"/>
            <x v="64"/>
            <x v="72"/>
            <x v="74"/>
            <x v="84"/>
            <x v="87"/>
            <x v="91"/>
            <x v="94"/>
            <x v="95"/>
            <x v="96"/>
            <x v="97"/>
            <x v="104"/>
            <x v="116"/>
            <x v="131"/>
          </reference>
          <reference field="19" count="23" selected="0">
            <x v="0"/>
            <x v="1"/>
            <x v="2"/>
            <x v="3"/>
            <x v="4"/>
            <x v="5"/>
            <x v="6"/>
            <x v="7"/>
            <x v="8"/>
            <x v="9"/>
            <x v="10"/>
            <x v="11"/>
            <x v="12"/>
            <x v="13"/>
            <x v="14"/>
            <x v="15"/>
            <x v="16"/>
            <x v="17"/>
            <x v="18"/>
            <x v="19"/>
            <x v="20"/>
            <x v="81"/>
            <x v="130"/>
          </reference>
        </references>
      </pivotArea>
    </format>
    <format dxfId="1016">
      <pivotArea dataOnly="0" labelOnly="1" outline="0" fieldPosition="0">
        <references count="1">
          <reference field="4" count="1">
            <x v="10"/>
          </reference>
        </references>
      </pivotArea>
    </format>
    <format dxfId="1015">
      <pivotArea dataOnly="0" labelOnly="1" outline="0" fieldPosition="0">
        <references count="2">
          <reference field="4" count="1" selected="0">
            <x v="10"/>
          </reference>
          <reference field="19" count="23">
            <x v="0"/>
            <x v="1"/>
            <x v="2"/>
            <x v="3"/>
            <x v="4"/>
            <x v="5"/>
            <x v="6"/>
            <x v="7"/>
            <x v="8"/>
            <x v="9"/>
            <x v="10"/>
            <x v="11"/>
            <x v="12"/>
            <x v="13"/>
            <x v="14"/>
            <x v="15"/>
            <x v="16"/>
            <x v="17"/>
            <x v="18"/>
            <x v="19"/>
            <x v="20"/>
            <x v="81"/>
            <x v="130"/>
          </reference>
        </references>
      </pivotArea>
    </format>
    <format dxfId="1014">
      <pivotArea dataOnly="0" labelOnly="1" outline="0" fieldPosition="0">
        <references count="3">
          <reference field="4" count="1" selected="0">
            <x v="10"/>
          </reference>
          <reference field="5" count="2">
            <x v="84"/>
            <x v="116"/>
          </reference>
          <reference field="19" count="1" selected="0">
            <x v="0"/>
          </reference>
        </references>
      </pivotArea>
    </format>
    <format dxfId="1013">
      <pivotArea dataOnly="0" labelOnly="1" outline="0" fieldPosition="0">
        <references count="3">
          <reference field="4" count="1" selected="0">
            <x v="10"/>
          </reference>
          <reference field="5" count="1">
            <x v="94"/>
          </reference>
          <reference field="19" count="1" selected="0">
            <x v="1"/>
          </reference>
        </references>
      </pivotArea>
    </format>
    <format dxfId="1012">
      <pivotArea dataOnly="0" labelOnly="1" outline="0" fieldPosition="0">
        <references count="3">
          <reference field="4" count="1" selected="0">
            <x v="10"/>
          </reference>
          <reference field="5" count="1">
            <x v="72"/>
          </reference>
          <reference field="19" count="1" selected="0">
            <x v="2"/>
          </reference>
        </references>
      </pivotArea>
    </format>
    <format dxfId="1011">
      <pivotArea dataOnly="0" labelOnly="1" outline="0" fieldPosition="0">
        <references count="3">
          <reference field="4" count="1" selected="0">
            <x v="10"/>
          </reference>
          <reference field="5" count="1">
            <x v="96"/>
          </reference>
          <reference field="19" count="1" selected="0">
            <x v="3"/>
          </reference>
        </references>
      </pivotArea>
    </format>
    <format dxfId="1010">
      <pivotArea dataOnly="0" labelOnly="1" outline="0" fieldPosition="0">
        <references count="3">
          <reference field="4" count="1" selected="0">
            <x v="10"/>
          </reference>
          <reference field="5" count="1">
            <x v="95"/>
          </reference>
          <reference field="19" count="1" selected="0">
            <x v="4"/>
          </reference>
        </references>
      </pivotArea>
    </format>
    <format dxfId="1009">
      <pivotArea dataOnly="0" labelOnly="1" outline="0" fieldPosition="0">
        <references count="3">
          <reference field="4" count="1" selected="0">
            <x v="10"/>
          </reference>
          <reference field="5" count="1">
            <x v="97"/>
          </reference>
          <reference field="19" count="1" selected="0">
            <x v="5"/>
          </reference>
        </references>
      </pivotArea>
    </format>
    <format dxfId="1008">
      <pivotArea dataOnly="0" labelOnly="1" outline="0" fieldPosition="0">
        <references count="3">
          <reference field="4" count="1" selected="0">
            <x v="10"/>
          </reference>
          <reference field="5" count="1">
            <x v="87"/>
          </reference>
          <reference field="19" count="1" selected="0">
            <x v="6"/>
          </reference>
        </references>
      </pivotArea>
    </format>
    <format dxfId="1007">
      <pivotArea dataOnly="0" labelOnly="1" outline="0" fieldPosition="0">
        <references count="3">
          <reference field="4" count="1" selected="0">
            <x v="10"/>
          </reference>
          <reference field="5" count="1">
            <x v="43"/>
          </reference>
          <reference field="19" count="1" selected="0">
            <x v="7"/>
          </reference>
        </references>
      </pivotArea>
    </format>
    <format dxfId="1006">
      <pivotArea dataOnly="0" labelOnly="1" outline="0" fieldPosition="0">
        <references count="3">
          <reference field="4" count="1" selected="0">
            <x v="10"/>
          </reference>
          <reference field="5" count="1">
            <x v="91"/>
          </reference>
          <reference field="19" count="1" selected="0">
            <x v="8"/>
          </reference>
        </references>
      </pivotArea>
    </format>
    <format dxfId="1005">
      <pivotArea dataOnly="0" labelOnly="1" outline="0" fieldPosition="0">
        <references count="3">
          <reference field="4" count="1" selected="0">
            <x v="10"/>
          </reference>
          <reference field="5" count="1">
            <x v="9"/>
          </reference>
          <reference field="19" count="1" selected="0">
            <x v="9"/>
          </reference>
        </references>
      </pivotArea>
    </format>
    <format dxfId="1004">
      <pivotArea dataOnly="0" labelOnly="1" outline="0" fieldPosition="0">
        <references count="3">
          <reference field="4" count="1" selected="0">
            <x v="10"/>
          </reference>
          <reference field="5" count="1">
            <x v="8"/>
          </reference>
          <reference field="19" count="1" selected="0">
            <x v="10"/>
          </reference>
        </references>
      </pivotArea>
    </format>
    <format dxfId="1003">
      <pivotArea dataOnly="0" labelOnly="1" outline="0" fieldPosition="0">
        <references count="3">
          <reference field="4" count="1" selected="0">
            <x v="10"/>
          </reference>
          <reference field="5" count="1">
            <x v="22"/>
          </reference>
          <reference field="19" count="1" selected="0">
            <x v="11"/>
          </reference>
        </references>
      </pivotArea>
    </format>
    <format dxfId="1002">
      <pivotArea dataOnly="0" labelOnly="1" outline="0" fieldPosition="0">
        <references count="3">
          <reference field="4" count="1" selected="0">
            <x v="10"/>
          </reference>
          <reference field="5" count="1">
            <x v="27"/>
          </reference>
          <reference field="19" count="1" selected="0">
            <x v="12"/>
          </reference>
        </references>
      </pivotArea>
    </format>
    <format dxfId="1001">
      <pivotArea dataOnly="0" labelOnly="1" outline="0" fieldPosition="0">
        <references count="3">
          <reference field="4" count="1" selected="0">
            <x v="10"/>
          </reference>
          <reference field="5" count="1">
            <x v="26"/>
          </reference>
          <reference field="19" count="1" selected="0">
            <x v="13"/>
          </reference>
        </references>
      </pivotArea>
    </format>
    <format dxfId="1000">
      <pivotArea dataOnly="0" labelOnly="1" outline="0" fieldPosition="0">
        <references count="3">
          <reference field="4" count="1" selected="0">
            <x v="10"/>
          </reference>
          <reference field="5" count="1">
            <x v="41"/>
          </reference>
          <reference field="19" count="1" selected="0">
            <x v="14"/>
          </reference>
        </references>
      </pivotArea>
    </format>
    <format dxfId="999">
      <pivotArea dataOnly="0" labelOnly="1" outline="0" fieldPosition="0">
        <references count="3">
          <reference field="4" count="1" selected="0">
            <x v="10"/>
          </reference>
          <reference field="5" count="1">
            <x v="17"/>
          </reference>
          <reference field="19" count="1" selected="0">
            <x v="15"/>
          </reference>
        </references>
      </pivotArea>
    </format>
    <format dxfId="998">
      <pivotArea dataOnly="0" labelOnly="1" outline="0" fieldPosition="0">
        <references count="3">
          <reference field="4" count="1" selected="0">
            <x v="10"/>
          </reference>
          <reference field="5" count="1">
            <x v="18"/>
          </reference>
          <reference field="19" count="1" selected="0">
            <x v="16"/>
          </reference>
        </references>
      </pivotArea>
    </format>
    <format dxfId="997">
      <pivotArea dataOnly="0" labelOnly="1" outline="0" fieldPosition="0">
        <references count="3">
          <reference field="4" count="1" selected="0">
            <x v="10"/>
          </reference>
          <reference field="5" count="1">
            <x v="51"/>
          </reference>
          <reference field="19" count="1" selected="0">
            <x v="17"/>
          </reference>
        </references>
      </pivotArea>
    </format>
    <format dxfId="996">
      <pivotArea dataOnly="0" labelOnly="1" outline="0" fieldPosition="0">
        <references count="3">
          <reference field="4" count="1" selected="0">
            <x v="10"/>
          </reference>
          <reference field="5" count="1">
            <x v="52"/>
          </reference>
          <reference field="19" count="1" selected="0">
            <x v="18"/>
          </reference>
        </references>
      </pivotArea>
    </format>
    <format dxfId="995">
      <pivotArea dataOnly="0" labelOnly="1" outline="0" fieldPosition="0">
        <references count="3">
          <reference field="4" count="1" selected="0">
            <x v="10"/>
          </reference>
          <reference field="5" count="1">
            <x v="104"/>
          </reference>
          <reference field="19" count="1" selected="0">
            <x v="19"/>
          </reference>
        </references>
      </pivotArea>
    </format>
    <format dxfId="994">
      <pivotArea dataOnly="0" labelOnly="1" outline="0" fieldPosition="0">
        <references count="3">
          <reference field="4" count="1" selected="0">
            <x v="10"/>
          </reference>
          <reference field="5" count="1">
            <x v="64"/>
          </reference>
          <reference field="19" count="1" selected="0">
            <x v="20"/>
          </reference>
        </references>
      </pivotArea>
    </format>
    <format dxfId="993">
      <pivotArea dataOnly="0" labelOnly="1" outline="0" fieldPosition="0">
        <references count="3">
          <reference field="4" count="1" selected="0">
            <x v="10"/>
          </reference>
          <reference field="5" count="1">
            <x v="74"/>
          </reference>
          <reference field="19" count="1" selected="0">
            <x v="81"/>
          </reference>
        </references>
      </pivotArea>
    </format>
    <format dxfId="992">
      <pivotArea dataOnly="0" labelOnly="1" outline="0" fieldPosition="0">
        <references count="3">
          <reference field="4" count="1" selected="0">
            <x v="10"/>
          </reference>
          <reference field="5" count="1">
            <x v="131"/>
          </reference>
          <reference field="19" count="1" selected="0">
            <x v="130"/>
          </reference>
        </references>
      </pivotArea>
    </format>
    <format dxfId="991">
      <pivotArea outline="0" collapsedLevelsAreSubtotals="1" fieldPosition="0">
        <references count="3">
          <reference field="4" count="1" selected="0">
            <x v="11"/>
          </reference>
          <reference field="5" count="4" selected="0">
            <x v="58"/>
            <x v="59"/>
            <x v="127"/>
            <x v="128"/>
          </reference>
          <reference field="19" count="4" selected="0">
            <x v="97"/>
            <x v="98"/>
            <x v="125"/>
            <x v="126"/>
          </reference>
        </references>
      </pivotArea>
    </format>
    <format dxfId="990">
      <pivotArea dataOnly="0" labelOnly="1" outline="0" fieldPosition="0">
        <references count="1">
          <reference field="4" count="1">
            <x v="11"/>
          </reference>
        </references>
      </pivotArea>
    </format>
    <format dxfId="989">
      <pivotArea dataOnly="0" labelOnly="1" outline="0" fieldPosition="0">
        <references count="2">
          <reference field="4" count="1" selected="0">
            <x v="11"/>
          </reference>
          <reference field="19" count="4">
            <x v="97"/>
            <x v="98"/>
            <x v="125"/>
            <x v="126"/>
          </reference>
        </references>
      </pivotArea>
    </format>
    <format dxfId="988">
      <pivotArea dataOnly="0" labelOnly="1" outline="0" fieldPosition="0">
        <references count="3">
          <reference field="4" count="1" selected="0">
            <x v="11"/>
          </reference>
          <reference field="5" count="1">
            <x v="59"/>
          </reference>
          <reference field="19" count="1" selected="0">
            <x v="97"/>
          </reference>
        </references>
      </pivotArea>
    </format>
    <format dxfId="987">
      <pivotArea dataOnly="0" labelOnly="1" outline="0" fieldPosition="0">
        <references count="3">
          <reference field="4" count="1" selected="0">
            <x v="11"/>
          </reference>
          <reference field="5" count="1">
            <x v="58"/>
          </reference>
          <reference field="19" count="1" selected="0">
            <x v="98"/>
          </reference>
        </references>
      </pivotArea>
    </format>
    <format dxfId="986">
      <pivotArea dataOnly="0" labelOnly="1" outline="0" fieldPosition="0">
        <references count="3">
          <reference field="4" count="1" selected="0">
            <x v="11"/>
          </reference>
          <reference field="5" count="1">
            <x v="127"/>
          </reference>
          <reference field="19" count="1" selected="0">
            <x v="125"/>
          </reference>
        </references>
      </pivotArea>
    </format>
    <format dxfId="985">
      <pivotArea dataOnly="0" labelOnly="1" outline="0" fieldPosition="0">
        <references count="3">
          <reference field="4" count="1" selected="0">
            <x v="11"/>
          </reference>
          <reference field="5" count="1">
            <x v="128"/>
          </reference>
          <reference field="19" count="1" selected="0">
            <x v="126"/>
          </reference>
        </references>
      </pivotArea>
    </format>
    <format dxfId="984">
      <pivotArea outline="0" collapsedLevelsAreSubtotals="1" fieldPosition="0">
        <references count="3">
          <reference field="4" count="1" selected="0">
            <x v="12"/>
          </reference>
          <reference field="5" count="1" selected="0">
            <x v="63"/>
          </reference>
          <reference field="19" count="1" selected="0">
            <x v="103"/>
          </reference>
        </references>
      </pivotArea>
    </format>
    <format dxfId="983">
      <pivotArea dataOnly="0" labelOnly="1" outline="0" fieldPosition="0">
        <references count="1">
          <reference field="4" count="1">
            <x v="12"/>
          </reference>
        </references>
      </pivotArea>
    </format>
    <format dxfId="982">
      <pivotArea dataOnly="0" labelOnly="1" outline="0" fieldPosition="0">
        <references count="2">
          <reference field="4" count="1" selected="0">
            <x v="12"/>
          </reference>
          <reference field="19" count="1">
            <x v="103"/>
          </reference>
        </references>
      </pivotArea>
    </format>
    <format dxfId="981">
      <pivotArea dataOnly="0" labelOnly="1" outline="0" fieldPosition="0">
        <references count="3">
          <reference field="4" count="1" selected="0">
            <x v="12"/>
          </reference>
          <reference field="5" count="1">
            <x v="63"/>
          </reference>
          <reference field="19" count="1" selected="0">
            <x v="103"/>
          </reference>
        </references>
      </pivotArea>
    </format>
    <format dxfId="980">
      <pivotArea outline="0" collapsedLevelsAreSubtotals="1" fieldPosition="0">
        <references count="3">
          <reference field="4" count="1" selected="0">
            <x v="13"/>
          </reference>
          <reference field="5" count="2" selected="0">
            <x v="89"/>
            <x v="90"/>
          </reference>
          <reference field="19" count="2" selected="0">
            <x v="49"/>
            <x v="50"/>
          </reference>
        </references>
      </pivotArea>
    </format>
    <format dxfId="979">
      <pivotArea dataOnly="0" labelOnly="1" outline="0" fieldPosition="0">
        <references count="1">
          <reference field="4" count="1">
            <x v="13"/>
          </reference>
        </references>
      </pivotArea>
    </format>
    <format dxfId="978">
      <pivotArea dataOnly="0" labelOnly="1" outline="0" fieldPosition="0">
        <references count="2">
          <reference field="4" count="1" selected="0">
            <x v="13"/>
          </reference>
          <reference field="19" count="2">
            <x v="49"/>
            <x v="50"/>
          </reference>
        </references>
      </pivotArea>
    </format>
    <format dxfId="977">
      <pivotArea dataOnly="0" labelOnly="1" outline="0" fieldPosition="0">
        <references count="3">
          <reference field="4" count="1" selected="0">
            <x v="13"/>
          </reference>
          <reference field="5" count="1">
            <x v="89"/>
          </reference>
          <reference field="19" count="1" selected="0">
            <x v="49"/>
          </reference>
        </references>
      </pivotArea>
    </format>
    <format dxfId="976">
      <pivotArea dataOnly="0" labelOnly="1" outline="0" fieldPosition="0">
        <references count="3">
          <reference field="4" count="1" selected="0">
            <x v="13"/>
          </reference>
          <reference field="5" count="1">
            <x v="90"/>
          </reference>
          <reference field="19" count="1" selected="0">
            <x v="50"/>
          </reference>
        </references>
      </pivotArea>
    </format>
    <format dxfId="975">
      <pivotArea outline="0" collapsedLevelsAreSubtotals="1" fieldPosition="0">
        <references count="3">
          <reference field="4" count="1" selected="0">
            <x v="14"/>
          </reference>
          <reference field="5" count="22" selected="0">
            <x v="4"/>
            <x v="11"/>
            <x v="12"/>
            <x v="35"/>
            <x v="36"/>
            <x v="37"/>
            <x v="38"/>
            <x v="39"/>
            <x v="40"/>
            <x v="77"/>
            <x v="78"/>
            <x v="79"/>
            <x v="80"/>
            <x v="81"/>
            <x v="88"/>
            <x v="98"/>
            <x v="99"/>
            <x v="100"/>
            <x v="103"/>
            <x v="110"/>
            <x v="130"/>
            <x v="132"/>
          </reference>
          <reference field="19" count="22" selected="0">
            <x v="21"/>
            <x v="22"/>
            <x v="23"/>
            <x v="24"/>
            <x v="25"/>
            <x v="26"/>
            <x v="27"/>
            <x v="28"/>
            <x v="29"/>
            <x v="30"/>
            <x v="31"/>
            <x v="32"/>
            <x v="33"/>
            <x v="34"/>
            <x v="66"/>
            <x v="67"/>
            <x v="68"/>
            <x v="69"/>
            <x v="80"/>
            <x v="109"/>
            <x v="129"/>
            <x v="131"/>
          </reference>
        </references>
      </pivotArea>
    </format>
    <format dxfId="974">
      <pivotArea dataOnly="0" labelOnly="1" outline="0" fieldPosition="0">
        <references count="1">
          <reference field="4" count="1">
            <x v="14"/>
          </reference>
        </references>
      </pivotArea>
    </format>
    <format dxfId="973">
      <pivotArea dataOnly="0" labelOnly="1" outline="0" fieldPosition="0">
        <references count="2">
          <reference field="4" count="1" selected="0">
            <x v="14"/>
          </reference>
          <reference field="19" count="22">
            <x v="21"/>
            <x v="22"/>
            <x v="23"/>
            <x v="24"/>
            <x v="25"/>
            <x v="26"/>
            <x v="27"/>
            <x v="28"/>
            <x v="29"/>
            <x v="30"/>
            <x v="31"/>
            <x v="32"/>
            <x v="33"/>
            <x v="34"/>
            <x v="66"/>
            <x v="67"/>
            <x v="68"/>
            <x v="69"/>
            <x v="80"/>
            <x v="109"/>
            <x v="129"/>
            <x v="131"/>
          </reference>
        </references>
      </pivotArea>
    </format>
    <format dxfId="972">
      <pivotArea dataOnly="0" labelOnly="1" outline="0" fieldPosition="0">
        <references count="3">
          <reference field="4" count="1" selected="0">
            <x v="14"/>
          </reference>
          <reference field="5" count="1">
            <x v="79"/>
          </reference>
          <reference field="19" count="1" selected="0">
            <x v="21"/>
          </reference>
        </references>
      </pivotArea>
    </format>
    <format dxfId="971">
      <pivotArea dataOnly="0" labelOnly="1" outline="0" fieldPosition="0">
        <references count="3">
          <reference field="4" count="1" selected="0">
            <x v="14"/>
          </reference>
          <reference field="5" count="1">
            <x v="81"/>
          </reference>
          <reference field="19" count="1" selected="0">
            <x v="22"/>
          </reference>
        </references>
      </pivotArea>
    </format>
    <format dxfId="970">
      <pivotArea dataOnly="0" labelOnly="1" outline="0" fieldPosition="0">
        <references count="3">
          <reference field="4" count="1" selected="0">
            <x v="14"/>
          </reference>
          <reference field="5" count="1">
            <x v="35"/>
          </reference>
          <reference field="19" count="1" selected="0">
            <x v="23"/>
          </reference>
        </references>
      </pivotArea>
    </format>
    <format dxfId="969">
      <pivotArea dataOnly="0" labelOnly="1" outline="0" fieldPosition="0">
        <references count="3">
          <reference field="4" count="1" selected="0">
            <x v="14"/>
          </reference>
          <reference field="5" count="1">
            <x v="11"/>
          </reference>
          <reference field="19" count="1" selected="0">
            <x v="24"/>
          </reference>
        </references>
      </pivotArea>
    </format>
    <format dxfId="968">
      <pivotArea dataOnly="0" labelOnly="1" outline="0" fieldPosition="0">
        <references count="3">
          <reference field="4" count="1" selected="0">
            <x v="14"/>
          </reference>
          <reference field="5" count="1">
            <x v="38"/>
          </reference>
          <reference field="19" count="1" selected="0">
            <x v="25"/>
          </reference>
        </references>
      </pivotArea>
    </format>
    <format dxfId="967">
      <pivotArea dataOnly="0" labelOnly="1" outline="0" fieldPosition="0">
        <references count="3">
          <reference field="4" count="1" selected="0">
            <x v="14"/>
          </reference>
          <reference field="5" count="1">
            <x v="80"/>
          </reference>
          <reference field="19" count="1" selected="0">
            <x v="26"/>
          </reference>
        </references>
      </pivotArea>
    </format>
    <format dxfId="966">
      <pivotArea dataOnly="0" labelOnly="1" outline="0" fieldPosition="0">
        <references count="3">
          <reference field="4" count="1" selected="0">
            <x v="14"/>
          </reference>
          <reference field="5" count="1">
            <x v="37"/>
          </reference>
          <reference field="19" count="1" selected="0">
            <x v="27"/>
          </reference>
        </references>
      </pivotArea>
    </format>
    <format dxfId="965">
      <pivotArea dataOnly="0" labelOnly="1" outline="0" fieldPosition="0">
        <references count="3">
          <reference field="4" count="1" selected="0">
            <x v="14"/>
          </reference>
          <reference field="5" count="1">
            <x v="78"/>
          </reference>
          <reference field="19" count="1" selected="0">
            <x v="28"/>
          </reference>
        </references>
      </pivotArea>
    </format>
    <format dxfId="964">
      <pivotArea dataOnly="0" labelOnly="1" outline="0" fieldPosition="0">
        <references count="3">
          <reference field="4" count="1" selected="0">
            <x v="14"/>
          </reference>
          <reference field="5" count="1">
            <x v="100"/>
          </reference>
          <reference field="19" count="1" selected="0">
            <x v="29"/>
          </reference>
        </references>
      </pivotArea>
    </format>
    <format dxfId="963">
      <pivotArea dataOnly="0" labelOnly="1" outline="0" fieldPosition="0">
        <references count="3">
          <reference field="4" count="1" selected="0">
            <x v="14"/>
          </reference>
          <reference field="5" count="1">
            <x v="98"/>
          </reference>
          <reference field="19" count="1" selected="0">
            <x v="30"/>
          </reference>
        </references>
      </pivotArea>
    </format>
    <format dxfId="962">
      <pivotArea dataOnly="0" labelOnly="1" outline="0" fieldPosition="0">
        <references count="3">
          <reference field="4" count="1" selected="0">
            <x v="14"/>
          </reference>
          <reference field="5" count="1">
            <x v="99"/>
          </reference>
          <reference field="19" count="1" selected="0">
            <x v="31"/>
          </reference>
        </references>
      </pivotArea>
    </format>
    <format dxfId="961">
      <pivotArea dataOnly="0" labelOnly="1" outline="0" fieldPosition="0">
        <references count="3">
          <reference field="4" count="1" selected="0">
            <x v="14"/>
          </reference>
          <reference field="5" count="1">
            <x v="40"/>
          </reference>
          <reference field="19" count="1" selected="0">
            <x v="32"/>
          </reference>
        </references>
      </pivotArea>
    </format>
    <format dxfId="960">
      <pivotArea dataOnly="0" labelOnly="1" outline="0" fieldPosition="0">
        <references count="3">
          <reference field="4" count="1" selected="0">
            <x v="14"/>
          </reference>
          <reference field="5" count="1">
            <x v="39"/>
          </reference>
          <reference field="19" count="1" selected="0">
            <x v="33"/>
          </reference>
        </references>
      </pivotArea>
    </format>
    <format dxfId="959">
      <pivotArea dataOnly="0" labelOnly="1" outline="0" fieldPosition="0">
        <references count="3">
          <reference field="4" count="1" selected="0">
            <x v="14"/>
          </reference>
          <reference field="5" count="1">
            <x v="88"/>
          </reference>
          <reference field="19" count="1" selected="0">
            <x v="34"/>
          </reference>
        </references>
      </pivotArea>
    </format>
    <format dxfId="958">
      <pivotArea dataOnly="0" labelOnly="1" outline="0" fieldPosition="0">
        <references count="3">
          <reference field="4" count="1" selected="0">
            <x v="14"/>
          </reference>
          <reference field="5" count="1">
            <x v="4"/>
          </reference>
          <reference field="19" count="1" selected="0">
            <x v="66"/>
          </reference>
        </references>
      </pivotArea>
    </format>
    <format dxfId="957">
      <pivotArea dataOnly="0" labelOnly="1" outline="0" fieldPosition="0">
        <references count="3">
          <reference field="4" count="1" selected="0">
            <x v="14"/>
          </reference>
          <reference field="5" count="1">
            <x v="12"/>
          </reference>
          <reference field="19" count="1" selected="0">
            <x v="67"/>
          </reference>
        </references>
      </pivotArea>
    </format>
    <format dxfId="956">
      <pivotArea dataOnly="0" labelOnly="1" outline="0" fieldPosition="0">
        <references count="3">
          <reference field="4" count="1" selected="0">
            <x v="14"/>
          </reference>
          <reference field="5" count="1">
            <x v="103"/>
          </reference>
          <reference field="19" count="1" selected="0">
            <x v="68"/>
          </reference>
        </references>
      </pivotArea>
    </format>
    <format dxfId="955">
      <pivotArea dataOnly="0" labelOnly="1" outline="0" fieldPosition="0">
        <references count="3">
          <reference field="4" count="1" selected="0">
            <x v="14"/>
          </reference>
          <reference field="5" count="1">
            <x v="36"/>
          </reference>
          <reference field="19" count="1" selected="0">
            <x v="69"/>
          </reference>
        </references>
      </pivotArea>
    </format>
    <format dxfId="954">
      <pivotArea dataOnly="0" labelOnly="1" outline="0" fieldPosition="0">
        <references count="3">
          <reference field="4" count="1" selected="0">
            <x v="14"/>
          </reference>
          <reference field="5" count="1">
            <x v="77"/>
          </reference>
          <reference field="19" count="1" selected="0">
            <x v="80"/>
          </reference>
        </references>
      </pivotArea>
    </format>
    <format dxfId="953">
      <pivotArea dataOnly="0" labelOnly="1" outline="0" fieldPosition="0">
        <references count="3">
          <reference field="4" count="1" selected="0">
            <x v="14"/>
          </reference>
          <reference field="5" count="1">
            <x v="110"/>
          </reference>
          <reference field="19" count="1" selected="0">
            <x v="109"/>
          </reference>
        </references>
      </pivotArea>
    </format>
    <format dxfId="952">
      <pivotArea dataOnly="0" labelOnly="1" outline="0" fieldPosition="0">
        <references count="3">
          <reference field="4" count="1" selected="0">
            <x v="14"/>
          </reference>
          <reference field="5" count="1">
            <x v="130"/>
          </reference>
          <reference field="19" count="1" selected="0">
            <x v="129"/>
          </reference>
        </references>
      </pivotArea>
    </format>
    <format dxfId="951">
      <pivotArea dataOnly="0" labelOnly="1" outline="0" fieldPosition="0">
        <references count="3">
          <reference field="4" count="1" selected="0">
            <x v="14"/>
          </reference>
          <reference field="5" count="1">
            <x v="132"/>
          </reference>
          <reference field="19" count="1" selected="0">
            <x v="131"/>
          </reference>
        </references>
      </pivotArea>
    </format>
    <format dxfId="950">
      <pivotArea outline="0" collapsedLevelsAreSubtotals="1" fieldPosition="0">
        <references count="3">
          <reference field="4" count="1" selected="0">
            <x v="15"/>
          </reference>
          <reference field="5" count="1" selected="0">
            <x v="116"/>
          </reference>
          <reference field="19" count="1" selected="0">
            <x v="0"/>
          </reference>
        </references>
      </pivotArea>
    </format>
    <format dxfId="949">
      <pivotArea dataOnly="0" labelOnly="1" outline="0" fieldPosition="0">
        <references count="1">
          <reference field="4" count="1">
            <x v="15"/>
          </reference>
        </references>
      </pivotArea>
    </format>
    <format dxfId="948">
      <pivotArea dataOnly="0" labelOnly="1" outline="0" fieldPosition="0">
        <references count="2">
          <reference field="4" count="1" selected="0">
            <x v="15"/>
          </reference>
          <reference field="19" count="1">
            <x v="0"/>
          </reference>
        </references>
      </pivotArea>
    </format>
    <format dxfId="947">
      <pivotArea dataOnly="0" labelOnly="1" outline="0" fieldPosition="0">
        <references count="3">
          <reference field="4" count="1" selected="0">
            <x v="15"/>
          </reference>
          <reference field="5" count="1">
            <x v="116"/>
          </reference>
          <reference field="19" count="1" selected="0">
            <x v="0"/>
          </reference>
        </references>
      </pivotArea>
    </format>
    <format dxfId="946">
      <pivotArea grandRow="1" outline="0" collapsedLevelsAreSubtotals="1" fieldPosition="0"/>
    </format>
    <format dxfId="945">
      <pivotArea dataOnly="0" labelOnly="1" grandRow="1" outline="0" fieldPosition="0"/>
    </format>
    <format dxfId="944">
      <pivotArea type="all" dataOnly="0" outline="0" fieldPosition="0"/>
    </format>
    <format dxfId="943">
      <pivotArea dataOnly="0" labelOnly="1" outline="0" fieldPosition="0">
        <references count="1">
          <reference field="4" count="0"/>
        </references>
      </pivotArea>
    </format>
    <format dxfId="942">
      <pivotArea dataOnly="0" labelOnly="1" grandRow="1" outline="0" offset="A256" fieldPosition="0"/>
    </format>
    <format dxfId="941">
      <pivotArea field="5" type="button" dataOnly="0" labelOnly="1" outline="0" axis="axisRow" fieldPosition="2"/>
    </format>
    <format dxfId="940">
      <pivotArea dataOnly="0" labelOnly="1" grandRow="1" outline="0" offset="IV256" fieldPosition="0"/>
    </format>
    <format dxfId="939">
      <pivotArea dataOnly="0" labelOnly="1" outline="0" fieldPosition="0">
        <references count="3">
          <reference field="4" count="1" selected="0">
            <x v="0"/>
          </reference>
          <reference field="5" count="1">
            <x v="83"/>
          </reference>
          <reference field="19" count="1" selected="0">
            <x v="36"/>
          </reference>
        </references>
      </pivotArea>
    </format>
    <format dxfId="938">
      <pivotArea dataOnly="0" labelOnly="1" outline="0" fieldPosition="0">
        <references count="3">
          <reference field="4" count="1" selected="0">
            <x v="0"/>
          </reference>
          <reference field="5" count="1">
            <x v="30"/>
          </reference>
          <reference field="19" count="1" selected="0">
            <x v="37"/>
          </reference>
        </references>
      </pivotArea>
    </format>
    <format dxfId="937">
      <pivotArea dataOnly="0" labelOnly="1" outline="0" fieldPosition="0">
        <references count="3">
          <reference field="4" count="1" selected="0">
            <x v="0"/>
          </reference>
          <reference field="5" count="1">
            <x v="1"/>
          </reference>
          <reference field="19" count="1" selected="0">
            <x v="38"/>
          </reference>
        </references>
      </pivotArea>
    </format>
    <format dxfId="936">
      <pivotArea dataOnly="0" labelOnly="1" outline="0" fieldPosition="0">
        <references count="3">
          <reference field="4" count="1" selected="0">
            <x v="0"/>
          </reference>
          <reference field="5" count="1">
            <x v="16"/>
          </reference>
          <reference field="19" count="1" selected="0">
            <x v="39"/>
          </reference>
        </references>
      </pivotArea>
    </format>
    <format dxfId="935">
      <pivotArea dataOnly="0" labelOnly="1" outline="0" fieldPosition="0">
        <references count="3">
          <reference field="4" count="1" selected="0">
            <x v="0"/>
          </reference>
          <reference field="5" count="1">
            <x v="105"/>
          </reference>
          <reference field="19" count="1" selected="0">
            <x v="40"/>
          </reference>
        </references>
      </pivotArea>
    </format>
    <format dxfId="934">
      <pivotArea dataOnly="0" labelOnly="1" outline="0" fieldPosition="0">
        <references count="3">
          <reference field="4" count="1" selected="0">
            <x v="0"/>
          </reference>
          <reference field="5" count="1">
            <x v="65"/>
          </reference>
          <reference field="19" count="1" selected="0">
            <x v="41"/>
          </reference>
        </references>
      </pivotArea>
    </format>
    <format dxfId="933">
      <pivotArea dataOnly="0" labelOnly="1" outline="0" fieldPosition="0">
        <references count="3">
          <reference field="4" count="1" selected="0">
            <x v="0"/>
          </reference>
          <reference field="5" count="1">
            <x v="93"/>
          </reference>
          <reference field="19" count="1" selected="0">
            <x v="42"/>
          </reference>
        </references>
      </pivotArea>
    </format>
    <format dxfId="932">
      <pivotArea dataOnly="0" labelOnly="1" outline="0" fieldPosition="0">
        <references count="3">
          <reference field="4" count="1" selected="0">
            <x v="0"/>
          </reference>
          <reference field="5" count="1">
            <x v="76"/>
          </reference>
          <reference field="19" count="1" selected="0">
            <x v="92"/>
          </reference>
        </references>
      </pivotArea>
    </format>
    <format dxfId="931">
      <pivotArea dataOnly="0" labelOnly="1" outline="0" fieldPosition="0">
        <references count="3">
          <reference field="4" count="1" selected="0">
            <x v="0"/>
          </reference>
          <reference field="5" count="1">
            <x v="111"/>
          </reference>
          <reference field="19" count="1" selected="0">
            <x v="110"/>
          </reference>
        </references>
      </pivotArea>
    </format>
    <format dxfId="930">
      <pivotArea dataOnly="0" labelOnly="1" outline="0" fieldPosition="0">
        <references count="3">
          <reference field="4" count="1" selected="0">
            <x v="0"/>
          </reference>
          <reference field="5" count="1">
            <x v="114"/>
          </reference>
          <reference field="19" count="1" selected="0">
            <x v="113"/>
          </reference>
        </references>
      </pivotArea>
    </format>
    <format dxfId="929">
      <pivotArea dataOnly="0" labelOnly="1" outline="0" fieldPosition="0">
        <references count="3">
          <reference field="4" count="1" selected="0">
            <x v="1"/>
          </reference>
          <reference field="5" count="1">
            <x v="6"/>
          </reference>
          <reference field="19" count="1" selected="0">
            <x v="35"/>
          </reference>
        </references>
      </pivotArea>
    </format>
    <format dxfId="928">
      <pivotArea dataOnly="0" labelOnly="1" outline="0" fieldPosition="0">
        <references count="3">
          <reference field="4" count="1" selected="0">
            <x v="1"/>
          </reference>
          <reference field="5" count="1">
            <x v="28"/>
          </reference>
          <reference field="19" count="1" selected="0">
            <x v="93"/>
          </reference>
        </references>
      </pivotArea>
    </format>
    <format dxfId="927">
      <pivotArea dataOnly="0" labelOnly="1" outline="0" fieldPosition="0">
        <references count="3">
          <reference field="4" count="1" selected="0">
            <x v="1"/>
          </reference>
          <reference field="5" count="1">
            <x v="117"/>
          </reference>
          <reference field="19" count="1" selected="0">
            <x v="115"/>
          </reference>
        </references>
      </pivotArea>
    </format>
    <format dxfId="926">
      <pivotArea dataOnly="0" labelOnly="1" outline="0" fieldPosition="0">
        <references count="3">
          <reference field="4" count="1" selected="0">
            <x v="2"/>
          </reference>
          <reference field="5" count="2">
            <x v="102"/>
            <x v="116"/>
          </reference>
          <reference field="19" count="1" selected="0">
            <x v="0"/>
          </reference>
        </references>
      </pivotArea>
    </format>
    <format dxfId="925">
      <pivotArea dataOnly="0" labelOnly="1" outline="0" fieldPosition="0">
        <references count="3">
          <reference field="4" count="1" selected="0">
            <x v="2"/>
          </reference>
          <reference field="5" count="1">
            <x v="53"/>
          </reference>
          <reference field="19" count="1" selected="0">
            <x v="61"/>
          </reference>
        </references>
      </pivotArea>
    </format>
    <format dxfId="924">
      <pivotArea dataOnly="0" labelOnly="1" outline="0" fieldPosition="0">
        <references count="3">
          <reference field="4" count="1" selected="0">
            <x v="2"/>
          </reference>
          <reference field="5" count="1">
            <x v="66"/>
          </reference>
          <reference field="19" count="1" selected="0">
            <x v="63"/>
          </reference>
        </references>
      </pivotArea>
    </format>
    <format dxfId="923">
      <pivotArea dataOnly="0" labelOnly="1" outline="0" fieldPosition="0">
        <references count="3">
          <reference field="4" count="1" selected="0">
            <x v="2"/>
          </reference>
          <reference field="5" count="1">
            <x v="106"/>
          </reference>
          <reference field="19" count="1" selected="0">
            <x v="64"/>
          </reference>
        </references>
      </pivotArea>
    </format>
    <format dxfId="922">
      <pivotArea dataOnly="0" labelOnly="1" outline="0" fieldPosition="0">
        <references count="3">
          <reference field="4" count="1" selected="0">
            <x v="2"/>
          </reference>
          <reference field="5" count="1">
            <x v="5"/>
          </reference>
          <reference field="19" count="1" selected="0">
            <x v="65"/>
          </reference>
        </references>
      </pivotArea>
    </format>
    <format dxfId="921">
      <pivotArea dataOnly="0" labelOnly="1" outline="0" fieldPosition="0">
        <references count="3">
          <reference field="4" count="1" selected="0">
            <x v="2"/>
          </reference>
          <reference field="5" count="1">
            <x v="3"/>
          </reference>
          <reference field="19" count="1" selected="0">
            <x v="82"/>
          </reference>
        </references>
      </pivotArea>
    </format>
    <format dxfId="920">
      <pivotArea dataOnly="0" labelOnly="1" outline="0" fieldPosition="0">
        <references count="3">
          <reference field="4" count="1" selected="0">
            <x v="2"/>
          </reference>
          <reference field="5" count="1">
            <x v="7"/>
          </reference>
          <reference field="19" count="1" selected="0">
            <x v="83"/>
          </reference>
        </references>
      </pivotArea>
    </format>
    <format dxfId="919">
      <pivotArea dataOnly="0" labelOnly="1" outline="0" fieldPosition="0">
        <references count="3">
          <reference field="4" count="1" selected="0">
            <x v="2"/>
          </reference>
          <reference field="5" count="1">
            <x v="2"/>
          </reference>
          <reference field="19" count="1" selected="0">
            <x v="84"/>
          </reference>
        </references>
      </pivotArea>
    </format>
    <format dxfId="918">
      <pivotArea dataOnly="0" labelOnly="1" outline="0" fieldPosition="0">
        <references count="3">
          <reference field="4" count="1" selected="0">
            <x v="2"/>
          </reference>
          <reference field="5" count="1">
            <x v="0"/>
          </reference>
          <reference field="19" count="1" selected="0">
            <x v="85"/>
          </reference>
        </references>
      </pivotArea>
    </format>
    <format dxfId="917">
      <pivotArea dataOnly="0" labelOnly="1" outline="0" fieldPosition="0">
        <references count="3">
          <reference field="4" count="1" selected="0">
            <x v="2"/>
          </reference>
          <reference field="5" count="1">
            <x v="29"/>
          </reference>
          <reference field="19" count="1" selected="0">
            <x v="86"/>
          </reference>
        </references>
      </pivotArea>
    </format>
    <format dxfId="916">
      <pivotArea dataOnly="0" labelOnly="1" outline="0" fieldPosition="0">
        <references count="3">
          <reference field="4" count="1" selected="0">
            <x v="2"/>
          </reference>
          <reference field="5" count="1">
            <x v="82"/>
          </reference>
          <reference field="19" count="1" selected="0">
            <x v="87"/>
          </reference>
        </references>
      </pivotArea>
    </format>
    <format dxfId="915">
      <pivotArea dataOnly="0" labelOnly="1" outline="0" fieldPosition="0">
        <references count="3">
          <reference field="4" count="1" selected="0">
            <x v="2"/>
          </reference>
          <reference field="5" count="1">
            <x v="85"/>
          </reference>
          <reference field="19" count="1" selected="0">
            <x v="88"/>
          </reference>
        </references>
      </pivotArea>
    </format>
    <format dxfId="914">
      <pivotArea dataOnly="0" labelOnly="1" outline="0" fieldPosition="0">
        <references count="3">
          <reference field="4" count="1" selected="0">
            <x v="2"/>
          </reference>
          <reference field="5" count="1">
            <x v="101"/>
          </reference>
          <reference field="19" count="1" selected="0">
            <x v="89"/>
          </reference>
        </references>
      </pivotArea>
    </format>
    <format dxfId="913">
      <pivotArea dataOnly="0" labelOnly="1" outline="0" fieldPosition="0">
        <references count="3">
          <reference field="4" count="1" selected="0">
            <x v="2"/>
          </reference>
          <reference field="5" count="1">
            <x v="13"/>
          </reference>
          <reference field="19" count="1" selected="0">
            <x v="90"/>
          </reference>
        </references>
      </pivotArea>
    </format>
    <format dxfId="912">
      <pivotArea dataOnly="0" labelOnly="1" outline="0" fieldPosition="0">
        <references count="3">
          <reference field="4" count="1" selected="0">
            <x v="2"/>
          </reference>
          <reference field="5" count="1">
            <x v="62"/>
          </reference>
          <reference field="19" count="1" selected="0">
            <x v="91"/>
          </reference>
        </references>
      </pivotArea>
    </format>
    <format dxfId="911">
      <pivotArea dataOnly="0" labelOnly="1" outline="0" fieldPosition="0">
        <references count="3">
          <reference field="4" count="1" selected="0">
            <x v="2"/>
          </reference>
          <reference field="5" count="1">
            <x v="113"/>
          </reference>
          <reference field="19" count="1" selected="0">
            <x v="112"/>
          </reference>
        </references>
      </pivotArea>
    </format>
    <format dxfId="910">
      <pivotArea dataOnly="0" labelOnly="1" outline="0" fieldPosition="0">
        <references count="3">
          <reference field="4" count="1" selected="0">
            <x v="2"/>
          </reference>
          <reference field="5" count="1">
            <x v="121"/>
          </reference>
          <reference field="19" count="1" selected="0">
            <x v="119"/>
          </reference>
        </references>
      </pivotArea>
    </format>
    <format dxfId="909">
      <pivotArea dataOnly="0" labelOnly="1" outline="0" fieldPosition="0">
        <references count="3">
          <reference field="4" count="1" selected="0">
            <x v="2"/>
          </reference>
          <reference field="5" count="1">
            <x v="122"/>
          </reference>
          <reference field="19" count="1" selected="0">
            <x v="120"/>
          </reference>
        </references>
      </pivotArea>
    </format>
    <format dxfId="908">
      <pivotArea dataOnly="0" labelOnly="1" outline="0" fieldPosition="0">
        <references count="3">
          <reference field="4" count="1" selected="0">
            <x v="3"/>
          </reference>
          <reference field="5" count="1">
            <x v="60"/>
          </reference>
          <reference field="19" count="1" selected="0">
            <x v="100"/>
          </reference>
        </references>
      </pivotArea>
    </format>
    <format dxfId="907">
      <pivotArea dataOnly="0" labelOnly="1" outline="0" fieldPosition="0">
        <references count="3">
          <reference field="4" count="1" selected="0">
            <x v="3"/>
          </reference>
          <reference field="5" count="1">
            <x v="20"/>
          </reference>
          <reference field="19" count="1" selected="0">
            <x v="104"/>
          </reference>
        </references>
      </pivotArea>
    </format>
    <format dxfId="906">
      <pivotArea dataOnly="0" labelOnly="1" outline="0" fieldPosition="0">
        <references count="3">
          <reference field="4" count="1" selected="0">
            <x v="3"/>
          </reference>
          <reference field="5" count="1">
            <x v="21"/>
          </reference>
          <reference field="19" count="1" selected="0">
            <x v="105"/>
          </reference>
        </references>
      </pivotArea>
    </format>
    <format dxfId="905">
      <pivotArea dataOnly="0" labelOnly="1" outline="0" fieldPosition="0">
        <references count="3">
          <reference field="4" count="1" selected="0">
            <x v="3"/>
          </reference>
          <reference field="5" count="1">
            <x v="119"/>
          </reference>
          <reference field="19" count="1" selected="0">
            <x v="117"/>
          </reference>
        </references>
      </pivotArea>
    </format>
    <format dxfId="904">
      <pivotArea dataOnly="0" labelOnly="1" outline="0" fieldPosition="0">
        <references count="3">
          <reference field="4" count="1" selected="0">
            <x v="3"/>
          </reference>
          <reference field="5" count="1">
            <x v="124"/>
          </reference>
          <reference field="19" count="1" selected="0">
            <x v="122"/>
          </reference>
        </references>
      </pivotArea>
    </format>
    <format dxfId="903">
      <pivotArea dataOnly="0" labelOnly="1" outline="0" fieldPosition="0">
        <references count="3">
          <reference field="4" count="1" selected="0">
            <x v="3"/>
          </reference>
          <reference field="5" count="1">
            <x v="129"/>
          </reference>
          <reference field="19" count="1" selected="0">
            <x v="127"/>
          </reference>
        </references>
      </pivotArea>
    </format>
    <format dxfId="902">
      <pivotArea dataOnly="0" labelOnly="1" outline="0" fieldPosition="0">
        <references count="3">
          <reference field="4" count="1" selected="0">
            <x v="3"/>
          </reference>
          <reference field="5" count="1">
            <x v="133"/>
          </reference>
          <reference field="19" count="1" selected="0">
            <x v="128"/>
          </reference>
        </references>
      </pivotArea>
    </format>
    <format dxfId="901">
      <pivotArea dataOnly="0" labelOnly="1" outline="0" fieldPosition="0">
        <references count="3">
          <reference field="4" count="1" selected="0">
            <x v="4"/>
          </reference>
          <reference field="5" count="1">
            <x v="49"/>
          </reference>
          <reference field="19" count="1" selected="0">
            <x v="48"/>
          </reference>
        </references>
      </pivotArea>
    </format>
    <format dxfId="900">
      <pivotArea dataOnly="0" labelOnly="1" outline="0" fieldPosition="0">
        <references count="3">
          <reference field="4" count="1" selected="0">
            <x v="4"/>
          </reference>
          <reference field="5" count="1">
            <x v="25"/>
          </reference>
          <reference field="19" count="1" selected="0">
            <x v="74"/>
          </reference>
        </references>
      </pivotArea>
    </format>
    <format dxfId="899">
      <pivotArea dataOnly="0" labelOnly="1" outline="0" fieldPosition="0">
        <references count="3">
          <reference field="4" count="1" selected="0">
            <x v="4"/>
          </reference>
          <reference field="5" count="1">
            <x v="45"/>
          </reference>
          <reference field="19" count="1" selected="0">
            <x v="76"/>
          </reference>
        </references>
      </pivotArea>
    </format>
    <format dxfId="898">
      <pivotArea dataOnly="0" labelOnly="1" outline="0" fieldPosition="0">
        <references count="3">
          <reference field="4" count="1" selected="0">
            <x v="4"/>
          </reference>
          <reference field="5" count="1">
            <x v="44"/>
          </reference>
          <reference field="19" count="1" selected="0">
            <x v="77"/>
          </reference>
        </references>
      </pivotArea>
    </format>
    <format dxfId="897">
      <pivotArea dataOnly="0" labelOnly="1" outline="0" fieldPosition="0">
        <references count="3">
          <reference field="4" count="1" selected="0">
            <x v="4"/>
          </reference>
          <reference field="5" count="1">
            <x v="34"/>
          </reference>
          <reference field="19" count="1" selected="0">
            <x v="78"/>
          </reference>
        </references>
      </pivotArea>
    </format>
    <format dxfId="896">
      <pivotArea dataOnly="0" labelOnly="1" outline="0" fieldPosition="0">
        <references count="3">
          <reference field="4" count="1" selected="0">
            <x v="4"/>
          </reference>
          <reference field="5" count="1">
            <x v="107"/>
          </reference>
          <reference field="19" count="1" selected="0">
            <x v="106"/>
          </reference>
        </references>
      </pivotArea>
    </format>
    <format dxfId="895">
      <pivotArea dataOnly="0" labelOnly="1" outline="0" fieldPosition="0">
        <references count="3">
          <reference field="4" count="1" selected="0">
            <x v="4"/>
          </reference>
          <reference field="5" count="1">
            <x v="109"/>
          </reference>
          <reference field="19" count="1" selected="0">
            <x v="108"/>
          </reference>
        </references>
      </pivotArea>
    </format>
    <format dxfId="894">
      <pivotArea dataOnly="0" labelOnly="1" outline="0" fieldPosition="0">
        <references count="3">
          <reference field="4" count="1" selected="0">
            <x v="4"/>
          </reference>
          <reference field="5" count="1">
            <x v="118"/>
          </reference>
          <reference field="19" count="1" selected="0">
            <x v="116"/>
          </reference>
        </references>
      </pivotArea>
    </format>
    <format dxfId="893">
      <pivotArea dataOnly="0" labelOnly="1" outline="0" fieldPosition="0">
        <references count="3">
          <reference field="4" count="1" selected="0">
            <x v="4"/>
          </reference>
          <reference field="5" count="1">
            <x v="120"/>
          </reference>
          <reference field="19" count="1" selected="0">
            <x v="118"/>
          </reference>
        </references>
      </pivotArea>
    </format>
    <format dxfId="892">
      <pivotArea dataOnly="0" labelOnly="1" outline="0" fieldPosition="0">
        <references count="3">
          <reference field="4" count="1" selected="0">
            <x v="5"/>
          </reference>
          <reference field="5" count="1">
            <x v="47"/>
          </reference>
          <reference field="19" count="1" selected="0">
            <x v="101"/>
          </reference>
        </references>
      </pivotArea>
    </format>
    <format dxfId="891">
      <pivotArea dataOnly="0" labelOnly="1" outline="0" fieldPosition="0">
        <references count="3">
          <reference field="4" count="1" selected="0">
            <x v="5"/>
          </reference>
          <reference field="5" count="1">
            <x v="14"/>
          </reference>
          <reference field="19" count="1" selected="0">
            <x v="102"/>
          </reference>
        </references>
      </pivotArea>
    </format>
    <format dxfId="890">
      <pivotArea dataOnly="0" labelOnly="1" outline="0" fieldPosition="0">
        <references count="3">
          <reference field="4" count="1" selected="0">
            <x v="5"/>
          </reference>
          <reference field="5" count="1">
            <x v="134"/>
          </reference>
          <reference field="19" count="1" selected="0">
            <x v="132"/>
          </reference>
        </references>
      </pivotArea>
    </format>
    <format dxfId="889">
      <pivotArea dataOnly="0" labelOnly="1" outline="0" fieldPosition="0">
        <references count="3">
          <reference field="4" count="1" selected="0">
            <x v="6"/>
          </reference>
          <reference field="5" count="1">
            <x v="48"/>
          </reference>
          <reference field="19" count="1" selected="0">
            <x v="56"/>
          </reference>
        </references>
      </pivotArea>
    </format>
    <format dxfId="888">
      <pivotArea dataOnly="0" labelOnly="1" outline="0" fieldPosition="0">
        <references count="3">
          <reference field="4" count="1" selected="0">
            <x v="6"/>
          </reference>
          <reference field="5" count="1">
            <x v="23"/>
          </reference>
          <reference field="19" count="1" selected="0">
            <x v="57"/>
          </reference>
        </references>
      </pivotArea>
    </format>
    <format dxfId="887">
      <pivotArea dataOnly="0" labelOnly="1" outline="0" fieldPosition="0">
        <references count="3">
          <reference field="4" count="1" selected="0">
            <x v="6"/>
          </reference>
          <reference field="5" count="1">
            <x v="67"/>
          </reference>
          <reference field="19" count="1" selected="0">
            <x v="58"/>
          </reference>
        </references>
      </pivotArea>
    </format>
    <format dxfId="886">
      <pivotArea dataOnly="0" labelOnly="1" outline="0" fieldPosition="0">
        <references count="3">
          <reference field="4" count="1" selected="0">
            <x v="7"/>
          </reference>
          <reference field="5" count="1">
            <x v="92"/>
          </reference>
          <reference field="19" count="1" selected="0">
            <x v="59"/>
          </reference>
        </references>
      </pivotArea>
    </format>
    <format dxfId="885">
      <pivotArea dataOnly="0" labelOnly="1" outline="0" fieldPosition="0">
        <references count="3">
          <reference field="4" count="1" selected="0">
            <x v="7"/>
          </reference>
          <reference field="5" count="1">
            <x v="68"/>
          </reference>
          <reference field="19" count="1" selected="0">
            <x v="79"/>
          </reference>
        </references>
      </pivotArea>
    </format>
    <format dxfId="884">
      <pivotArea dataOnly="0" labelOnly="1" outline="0" fieldPosition="0">
        <references count="3">
          <reference field="4" count="1" selected="0">
            <x v="8"/>
          </reference>
          <reference field="5" count="1">
            <x v="54"/>
          </reference>
          <reference field="19" count="1" selected="0">
            <x v="43"/>
          </reference>
        </references>
      </pivotArea>
    </format>
    <format dxfId="883">
      <pivotArea dataOnly="0" labelOnly="1" outline="0" fieldPosition="0">
        <references count="3">
          <reference field="4" count="1" selected="0">
            <x v="8"/>
          </reference>
          <reference field="5" count="1">
            <x v="46"/>
          </reference>
          <reference field="19" count="1" selected="0">
            <x v="45"/>
          </reference>
        </references>
      </pivotArea>
    </format>
    <format dxfId="882">
      <pivotArea dataOnly="0" labelOnly="1" outline="0" fieldPosition="0">
        <references count="3">
          <reference field="4" count="1" selected="0">
            <x v="8"/>
          </reference>
          <reference field="5" count="1">
            <x v="71"/>
          </reference>
          <reference field="19" count="1" selected="0">
            <x v="46"/>
          </reference>
        </references>
      </pivotArea>
    </format>
    <format dxfId="881">
      <pivotArea dataOnly="0" labelOnly="1" outline="0" fieldPosition="0">
        <references count="3">
          <reference field="4" count="1" selected="0">
            <x v="8"/>
          </reference>
          <reference field="5" count="1">
            <x v="42"/>
          </reference>
          <reference field="19" count="1" selected="0">
            <x v="47"/>
          </reference>
        </references>
      </pivotArea>
    </format>
    <format dxfId="880">
      <pivotArea dataOnly="0" labelOnly="1" outline="0" fieldPosition="0">
        <references count="3">
          <reference field="4" count="1" selected="0">
            <x v="8"/>
          </reference>
          <reference field="5" count="1">
            <x v="32"/>
          </reference>
          <reference field="19" count="1" selected="0">
            <x v="51"/>
          </reference>
        </references>
      </pivotArea>
    </format>
    <format dxfId="879">
      <pivotArea dataOnly="0" labelOnly="1" outline="0" fieldPosition="0">
        <references count="3">
          <reference field="4" count="1" selected="0">
            <x v="8"/>
          </reference>
          <reference field="5" count="1">
            <x v="33"/>
          </reference>
          <reference field="19" count="1" selected="0">
            <x v="52"/>
          </reference>
        </references>
      </pivotArea>
    </format>
    <format dxfId="878">
      <pivotArea dataOnly="0" labelOnly="1" outline="0" fieldPosition="0">
        <references count="3">
          <reference field="4" count="1" selected="0">
            <x v="8"/>
          </reference>
          <reference field="5" count="1">
            <x v="31"/>
          </reference>
          <reference field="19" count="1" selected="0">
            <x v="53"/>
          </reference>
        </references>
      </pivotArea>
    </format>
    <format dxfId="877">
      <pivotArea dataOnly="0" labelOnly="1" outline="0" fieldPosition="0">
        <references count="3">
          <reference field="4" count="1" selected="0">
            <x v="8"/>
          </reference>
          <reference field="5" count="1">
            <x v="73"/>
          </reference>
          <reference field="19" count="1" selected="0">
            <x v="54"/>
          </reference>
        </references>
      </pivotArea>
    </format>
    <format dxfId="876">
      <pivotArea dataOnly="0" labelOnly="1" outline="0" fieldPosition="0">
        <references count="3">
          <reference field="4" count="1" selected="0">
            <x v="8"/>
          </reference>
          <reference field="5" count="1">
            <x v="86"/>
          </reference>
          <reference field="19" count="1" selected="0">
            <x v="55"/>
          </reference>
        </references>
      </pivotArea>
    </format>
    <format dxfId="875">
      <pivotArea dataOnly="0" labelOnly="1" outline="0" fieldPosition="0">
        <references count="3">
          <reference field="4" count="1" selected="0">
            <x v="8"/>
          </reference>
          <reference field="5" count="1">
            <x v="19"/>
          </reference>
          <reference field="19" count="1" selected="0">
            <x v="70"/>
          </reference>
        </references>
      </pivotArea>
    </format>
    <format dxfId="874">
      <pivotArea dataOnly="0" labelOnly="1" outline="0" fieldPosition="0">
        <references count="3">
          <reference field="4" count="1" selected="0">
            <x v="8"/>
          </reference>
          <reference field="5" count="1">
            <x v="15"/>
          </reference>
          <reference field="19" count="1" selected="0">
            <x v="71"/>
          </reference>
        </references>
      </pivotArea>
    </format>
    <format dxfId="873">
      <pivotArea dataOnly="0" labelOnly="1" outline="0" fieldPosition="0">
        <references count="3">
          <reference field="4" count="1" selected="0">
            <x v="8"/>
          </reference>
          <reference field="5" count="1">
            <x v="10"/>
          </reference>
          <reference field="19" count="1" selected="0">
            <x v="72"/>
          </reference>
        </references>
      </pivotArea>
    </format>
    <format dxfId="872">
      <pivotArea dataOnly="0" labelOnly="1" outline="0" fieldPosition="0">
        <references count="3">
          <reference field="4" count="1" selected="0">
            <x v="8"/>
          </reference>
          <reference field="5" count="1">
            <x v="75"/>
          </reference>
          <reference field="19" count="1" selected="0">
            <x v="73"/>
          </reference>
        </references>
      </pivotArea>
    </format>
    <format dxfId="871">
      <pivotArea dataOnly="0" labelOnly="1" outline="0" fieldPosition="0">
        <references count="3">
          <reference field="4" count="1" selected="0">
            <x v="8"/>
          </reference>
          <reference field="5" count="1">
            <x v="70"/>
          </reference>
          <reference field="19" count="1" selected="0">
            <x v="75"/>
          </reference>
        </references>
      </pivotArea>
    </format>
    <format dxfId="870">
      <pivotArea dataOnly="0" labelOnly="1" outline="0" fieldPosition="0">
        <references count="3">
          <reference field="4" count="1" selected="0">
            <x v="8"/>
          </reference>
          <reference field="5" count="1">
            <x v="112"/>
          </reference>
          <reference field="19" count="1" selected="0">
            <x v="111"/>
          </reference>
        </references>
      </pivotArea>
    </format>
    <format dxfId="869">
      <pivotArea dataOnly="0" labelOnly="1" outline="0" fieldPosition="0">
        <references count="3">
          <reference field="4" count="1" selected="0">
            <x v="9"/>
          </reference>
          <reference field="5" count="1">
            <x v="56"/>
          </reference>
          <reference field="19" count="1" selected="0">
            <x v="99"/>
          </reference>
        </references>
      </pivotArea>
    </format>
    <format dxfId="868">
      <pivotArea dataOnly="0" labelOnly="1" outline="0" fieldPosition="0">
        <references count="3">
          <reference field="4" count="1" selected="0">
            <x v="9"/>
          </reference>
          <reference field="5" count="1">
            <x v="125"/>
          </reference>
          <reference field="19" count="1" selected="0">
            <x v="123"/>
          </reference>
        </references>
      </pivotArea>
    </format>
    <format dxfId="867">
      <pivotArea dataOnly="0" labelOnly="1" outline="0" fieldPosition="0">
        <references count="3">
          <reference field="4" count="1" selected="0">
            <x v="9"/>
          </reference>
          <reference field="5" count="1">
            <x v="126"/>
          </reference>
          <reference field="19" count="1" selected="0">
            <x v="124"/>
          </reference>
        </references>
      </pivotArea>
    </format>
    <format dxfId="866">
      <pivotArea dataOnly="0" labelOnly="1" outline="0" fieldPosition="0">
        <references count="3">
          <reference field="4" count="1" selected="0">
            <x v="10"/>
          </reference>
          <reference field="5" count="2">
            <x v="84"/>
            <x v="116"/>
          </reference>
          <reference field="19" count="1" selected="0">
            <x v="0"/>
          </reference>
        </references>
      </pivotArea>
    </format>
    <format dxfId="865">
      <pivotArea dataOnly="0" labelOnly="1" outline="0" fieldPosition="0">
        <references count="3">
          <reference field="4" count="1" selected="0">
            <x v="10"/>
          </reference>
          <reference field="5" count="1">
            <x v="94"/>
          </reference>
          <reference field="19" count="1" selected="0">
            <x v="1"/>
          </reference>
        </references>
      </pivotArea>
    </format>
    <format dxfId="864">
      <pivotArea dataOnly="0" labelOnly="1" outline="0" fieldPosition="0">
        <references count="3">
          <reference field="4" count="1" selected="0">
            <x v="10"/>
          </reference>
          <reference field="5" count="1">
            <x v="72"/>
          </reference>
          <reference field="19" count="1" selected="0">
            <x v="2"/>
          </reference>
        </references>
      </pivotArea>
    </format>
    <format dxfId="863">
      <pivotArea dataOnly="0" labelOnly="1" outline="0" fieldPosition="0">
        <references count="3">
          <reference field="4" count="1" selected="0">
            <x v="10"/>
          </reference>
          <reference field="5" count="1">
            <x v="96"/>
          </reference>
          <reference field="19" count="1" selected="0">
            <x v="3"/>
          </reference>
        </references>
      </pivotArea>
    </format>
    <format dxfId="862">
      <pivotArea dataOnly="0" labelOnly="1" outline="0" fieldPosition="0">
        <references count="3">
          <reference field="4" count="1" selected="0">
            <x v="10"/>
          </reference>
          <reference field="5" count="1">
            <x v="95"/>
          </reference>
          <reference field="19" count="1" selected="0">
            <x v="4"/>
          </reference>
        </references>
      </pivotArea>
    </format>
    <format dxfId="861">
      <pivotArea dataOnly="0" labelOnly="1" outline="0" fieldPosition="0">
        <references count="3">
          <reference field="4" count="1" selected="0">
            <x v="10"/>
          </reference>
          <reference field="5" count="1">
            <x v="97"/>
          </reference>
          <reference field="19" count="1" selected="0">
            <x v="5"/>
          </reference>
        </references>
      </pivotArea>
    </format>
    <format dxfId="860">
      <pivotArea dataOnly="0" labelOnly="1" outline="0" fieldPosition="0">
        <references count="3">
          <reference field="4" count="1" selected="0">
            <x v="10"/>
          </reference>
          <reference field="5" count="1">
            <x v="87"/>
          </reference>
          <reference field="19" count="1" selected="0">
            <x v="6"/>
          </reference>
        </references>
      </pivotArea>
    </format>
    <format dxfId="859">
      <pivotArea dataOnly="0" labelOnly="1" outline="0" fieldPosition="0">
        <references count="3">
          <reference field="4" count="1" selected="0">
            <x v="10"/>
          </reference>
          <reference field="5" count="1">
            <x v="43"/>
          </reference>
          <reference field="19" count="1" selected="0">
            <x v="7"/>
          </reference>
        </references>
      </pivotArea>
    </format>
    <format dxfId="858">
      <pivotArea dataOnly="0" labelOnly="1" outline="0" fieldPosition="0">
        <references count="3">
          <reference field="4" count="1" selected="0">
            <x v="10"/>
          </reference>
          <reference field="5" count="1">
            <x v="91"/>
          </reference>
          <reference field="19" count="1" selected="0">
            <x v="8"/>
          </reference>
        </references>
      </pivotArea>
    </format>
    <format dxfId="857">
      <pivotArea dataOnly="0" labelOnly="1" outline="0" fieldPosition="0">
        <references count="3">
          <reference field="4" count="1" selected="0">
            <x v="10"/>
          </reference>
          <reference field="5" count="1">
            <x v="9"/>
          </reference>
          <reference field="19" count="1" selected="0">
            <x v="9"/>
          </reference>
        </references>
      </pivotArea>
    </format>
    <format dxfId="856">
      <pivotArea dataOnly="0" labelOnly="1" outline="0" fieldPosition="0">
        <references count="3">
          <reference field="4" count="1" selected="0">
            <x v="10"/>
          </reference>
          <reference field="5" count="1">
            <x v="8"/>
          </reference>
          <reference field="19" count="1" selected="0">
            <x v="10"/>
          </reference>
        </references>
      </pivotArea>
    </format>
    <format dxfId="855">
      <pivotArea dataOnly="0" labelOnly="1" outline="0" fieldPosition="0">
        <references count="3">
          <reference field="4" count="1" selected="0">
            <x v="10"/>
          </reference>
          <reference field="5" count="1">
            <x v="22"/>
          </reference>
          <reference field="19" count="1" selected="0">
            <x v="11"/>
          </reference>
        </references>
      </pivotArea>
    </format>
    <format dxfId="854">
      <pivotArea dataOnly="0" labelOnly="1" outline="0" fieldPosition="0">
        <references count="3">
          <reference field="4" count="1" selected="0">
            <x v="10"/>
          </reference>
          <reference field="5" count="1">
            <x v="27"/>
          </reference>
          <reference field="19" count="1" selected="0">
            <x v="12"/>
          </reference>
        </references>
      </pivotArea>
    </format>
    <format dxfId="853">
      <pivotArea dataOnly="0" labelOnly="1" outline="0" fieldPosition="0">
        <references count="3">
          <reference field="4" count="1" selected="0">
            <x v="10"/>
          </reference>
          <reference field="5" count="1">
            <x v="26"/>
          </reference>
          <reference field="19" count="1" selected="0">
            <x v="13"/>
          </reference>
        </references>
      </pivotArea>
    </format>
    <format dxfId="852">
      <pivotArea dataOnly="0" labelOnly="1" outline="0" fieldPosition="0">
        <references count="3">
          <reference field="4" count="1" selected="0">
            <x v="10"/>
          </reference>
          <reference field="5" count="1">
            <x v="41"/>
          </reference>
          <reference field="19" count="1" selected="0">
            <x v="14"/>
          </reference>
        </references>
      </pivotArea>
    </format>
    <format dxfId="851">
      <pivotArea dataOnly="0" labelOnly="1" outline="0" fieldPosition="0">
        <references count="3">
          <reference field="4" count="1" selected="0">
            <x v="10"/>
          </reference>
          <reference field="5" count="1">
            <x v="17"/>
          </reference>
          <reference field="19" count="1" selected="0">
            <x v="15"/>
          </reference>
        </references>
      </pivotArea>
    </format>
    <format dxfId="850">
      <pivotArea dataOnly="0" labelOnly="1" outline="0" fieldPosition="0">
        <references count="3">
          <reference field="4" count="1" selected="0">
            <x v="10"/>
          </reference>
          <reference field="5" count="1">
            <x v="18"/>
          </reference>
          <reference field="19" count="1" selected="0">
            <x v="16"/>
          </reference>
        </references>
      </pivotArea>
    </format>
    <format dxfId="849">
      <pivotArea dataOnly="0" labelOnly="1" outline="0" fieldPosition="0">
        <references count="3">
          <reference field="4" count="1" selected="0">
            <x v="10"/>
          </reference>
          <reference field="5" count="1">
            <x v="51"/>
          </reference>
          <reference field="19" count="1" selected="0">
            <x v="17"/>
          </reference>
        </references>
      </pivotArea>
    </format>
    <format dxfId="848">
      <pivotArea dataOnly="0" labelOnly="1" outline="0" fieldPosition="0">
        <references count="3">
          <reference field="4" count="1" selected="0">
            <x v="10"/>
          </reference>
          <reference field="5" count="1">
            <x v="52"/>
          </reference>
          <reference field="19" count="1" selected="0">
            <x v="18"/>
          </reference>
        </references>
      </pivotArea>
    </format>
    <format dxfId="847">
      <pivotArea dataOnly="0" labelOnly="1" outline="0" fieldPosition="0">
        <references count="3">
          <reference field="4" count="1" selected="0">
            <x v="10"/>
          </reference>
          <reference field="5" count="1">
            <x v="104"/>
          </reference>
          <reference field="19" count="1" selected="0">
            <x v="19"/>
          </reference>
        </references>
      </pivotArea>
    </format>
    <format dxfId="846">
      <pivotArea dataOnly="0" labelOnly="1" outline="0" fieldPosition="0">
        <references count="3">
          <reference field="4" count="1" selected="0">
            <x v="10"/>
          </reference>
          <reference field="5" count="1">
            <x v="64"/>
          </reference>
          <reference field="19" count="1" selected="0">
            <x v="20"/>
          </reference>
        </references>
      </pivotArea>
    </format>
    <format dxfId="845">
      <pivotArea dataOnly="0" labelOnly="1" outline="0" fieldPosition="0">
        <references count="3">
          <reference field="4" count="1" selected="0">
            <x v="10"/>
          </reference>
          <reference field="5" count="1">
            <x v="74"/>
          </reference>
          <reference field="19" count="1" selected="0">
            <x v="81"/>
          </reference>
        </references>
      </pivotArea>
    </format>
    <format dxfId="844">
      <pivotArea dataOnly="0" labelOnly="1" outline="0" fieldPosition="0">
        <references count="3">
          <reference field="4" count="1" selected="0">
            <x v="10"/>
          </reference>
          <reference field="5" count="1">
            <x v="131"/>
          </reference>
          <reference field="19" count="1" selected="0">
            <x v="130"/>
          </reference>
        </references>
      </pivotArea>
    </format>
    <format dxfId="843">
      <pivotArea dataOnly="0" labelOnly="1" outline="0" fieldPosition="0">
        <references count="3">
          <reference field="4" count="1" selected="0">
            <x v="11"/>
          </reference>
          <reference field="5" count="1">
            <x v="59"/>
          </reference>
          <reference field="19" count="1" selected="0">
            <x v="97"/>
          </reference>
        </references>
      </pivotArea>
    </format>
    <format dxfId="842">
      <pivotArea dataOnly="0" labelOnly="1" outline="0" fieldPosition="0">
        <references count="3">
          <reference field="4" count="1" selected="0">
            <x v="11"/>
          </reference>
          <reference field="5" count="1">
            <x v="58"/>
          </reference>
          <reference field="19" count="1" selected="0">
            <x v="98"/>
          </reference>
        </references>
      </pivotArea>
    </format>
    <format dxfId="841">
      <pivotArea dataOnly="0" labelOnly="1" outline="0" fieldPosition="0">
        <references count="3">
          <reference field="4" count="1" selected="0">
            <x v="11"/>
          </reference>
          <reference field="5" count="1">
            <x v="127"/>
          </reference>
          <reference field="19" count="1" selected="0">
            <x v="125"/>
          </reference>
        </references>
      </pivotArea>
    </format>
    <format dxfId="840">
      <pivotArea dataOnly="0" labelOnly="1" outline="0" fieldPosition="0">
        <references count="3">
          <reference field="4" count="1" selected="0">
            <x v="11"/>
          </reference>
          <reference field="5" count="1">
            <x v="128"/>
          </reference>
          <reference field="19" count="1" selected="0">
            <x v="126"/>
          </reference>
        </references>
      </pivotArea>
    </format>
    <format dxfId="839">
      <pivotArea dataOnly="0" labelOnly="1" outline="0" fieldPosition="0">
        <references count="3">
          <reference field="4" count="1" selected="0">
            <x v="12"/>
          </reference>
          <reference field="5" count="1">
            <x v="63"/>
          </reference>
          <reference field="19" count="1" selected="0">
            <x v="103"/>
          </reference>
        </references>
      </pivotArea>
    </format>
    <format dxfId="838">
      <pivotArea dataOnly="0" labelOnly="1" outline="0" fieldPosition="0">
        <references count="3">
          <reference field="4" count="1" selected="0">
            <x v="13"/>
          </reference>
          <reference field="5" count="1">
            <x v="89"/>
          </reference>
          <reference field="19" count="1" selected="0">
            <x v="49"/>
          </reference>
        </references>
      </pivotArea>
    </format>
    <format dxfId="837">
      <pivotArea dataOnly="0" labelOnly="1" outline="0" fieldPosition="0">
        <references count="3">
          <reference field="4" count="1" selected="0">
            <x v="13"/>
          </reference>
          <reference field="5" count="1">
            <x v="90"/>
          </reference>
          <reference field="19" count="1" selected="0">
            <x v="50"/>
          </reference>
        </references>
      </pivotArea>
    </format>
    <format dxfId="836">
      <pivotArea dataOnly="0" labelOnly="1" outline="0" fieldPosition="0">
        <references count="3">
          <reference field="4" count="1" selected="0">
            <x v="14"/>
          </reference>
          <reference field="5" count="1">
            <x v="79"/>
          </reference>
          <reference field="19" count="1" selected="0">
            <x v="21"/>
          </reference>
        </references>
      </pivotArea>
    </format>
    <format dxfId="835">
      <pivotArea dataOnly="0" labelOnly="1" outline="0" fieldPosition="0">
        <references count="3">
          <reference field="4" count="1" selected="0">
            <x v="14"/>
          </reference>
          <reference field="5" count="1">
            <x v="81"/>
          </reference>
          <reference field="19" count="1" selected="0">
            <x v="22"/>
          </reference>
        </references>
      </pivotArea>
    </format>
    <format dxfId="834">
      <pivotArea dataOnly="0" labelOnly="1" outline="0" fieldPosition="0">
        <references count="3">
          <reference field="4" count="1" selected="0">
            <x v="14"/>
          </reference>
          <reference field="5" count="1">
            <x v="35"/>
          </reference>
          <reference field="19" count="1" selected="0">
            <x v="23"/>
          </reference>
        </references>
      </pivotArea>
    </format>
    <format dxfId="833">
      <pivotArea dataOnly="0" labelOnly="1" outline="0" fieldPosition="0">
        <references count="3">
          <reference field="4" count="1" selected="0">
            <x v="14"/>
          </reference>
          <reference field="5" count="1">
            <x v="11"/>
          </reference>
          <reference field="19" count="1" selected="0">
            <x v="24"/>
          </reference>
        </references>
      </pivotArea>
    </format>
    <format dxfId="832">
      <pivotArea dataOnly="0" labelOnly="1" outline="0" fieldPosition="0">
        <references count="3">
          <reference field="4" count="1" selected="0">
            <x v="14"/>
          </reference>
          <reference field="5" count="1">
            <x v="38"/>
          </reference>
          <reference field="19" count="1" selected="0">
            <x v="25"/>
          </reference>
        </references>
      </pivotArea>
    </format>
    <format dxfId="831">
      <pivotArea dataOnly="0" labelOnly="1" outline="0" fieldPosition="0">
        <references count="3">
          <reference field="4" count="1" selected="0">
            <x v="14"/>
          </reference>
          <reference field="5" count="1">
            <x v="80"/>
          </reference>
          <reference field="19" count="1" selected="0">
            <x v="26"/>
          </reference>
        </references>
      </pivotArea>
    </format>
    <format dxfId="830">
      <pivotArea dataOnly="0" labelOnly="1" outline="0" fieldPosition="0">
        <references count="3">
          <reference field="4" count="1" selected="0">
            <x v="14"/>
          </reference>
          <reference field="5" count="1">
            <x v="37"/>
          </reference>
          <reference field="19" count="1" selected="0">
            <x v="27"/>
          </reference>
        </references>
      </pivotArea>
    </format>
    <format dxfId="829">
      <pivotArea dataOnly="0" labelOnly="1" outline="0" fieldPosition="0">
        <references count="3">
          <reference field="4" count="1" selected="0">
            <x v="14"/>
          </reference>
          <reference field="5" count="1">
            <x v="78"/>
          </reference>
          <reference field="19" count="1" selected="0">
            <x v="28"/>
          </reference>
        </references>
      </pivotArea>
    </format>
    <format dxfId="828">
      <pivotArea dataOnly="0" labelOnly="1" outline="0" fieldPosition="0">
        <references count="3">
          <reference field="4" count="1" selected="0">
            <x v="14"/>
          </reference>
          <reference field="5" count="1">
            <x v="100"/>
          </reference>
          <reference field="19" count="1" selected="0">
            <x v="29"/>
          </reference>
        </references>
      </pivotArea>
    </format>
    <format dxfId="827">
      <pivotArea dataOnly="0" labelOnly="1" outline="0" fieldPosition="0">
        <references count="3">
          <reference field="4" count="1" selected="0">
            <x v="14"/>
          </reference>
          <reference field="5" count="1">
            <x v="98"/>
          </reference>
          <reference field="19" count="1" selected="0">
            <x v="30"/>
          </reference>
        </references>
      </pivotArea>
    </format>
    <format dxfId="826">
      <pivotArea dataOnly="0" labelOnly="1" outline="0" fieldPosition="0">
        <references count="3">
          <reference field="4" count="1" selected="0">
            <x v="14"/>
          </reference>
          <reference field="5" count="1">
            <x v="99"/>
          </reference>
          <reference field="19" count="1" selected="0">
            <x v="31"/>
          </reference>
        </references>
      </pivotArea>
    </format>
    <format dxfId="825">
      <pivotArea dataOnly="0" labelOnly="1" outline="0" fieldPosition="0">
        <references count="3">
          <reference field="4" count="1" selected="0">
            <x v="14"/>
          </reference>
          <reference field="5" count="1">
            <x v="40"/>
          </reference>
          <reference field="19" count="1" selected="0">
            <x v="32"/>
          </reference>
        </references>
      </pivotArea>
    </format>
    <format dxfId="824">
      <pivotArea dataOnly="0" labelOnly="1" outline="0" fieldPosition="0">
        <references count="3">
          <reference field="4" count="1" selected="0">
            <x v="14"/>
          </reference>
          <reference field="5" count="1">
            <x v="39"/>
          </reference>
          <reference field="19" count="1" selected="0">
            <x v="33"/>
          </reference>
        </references>
      </pivotArea>
    </format>
    <format dxfId="823">
      <pivotArea dataOnly="0" labelOnly="1" outline="0" fieldPosition="0">
        <references count="3">
          <reference field="4" count="1" selected="0">
            <x v="14"/>
          </reference>
          <reference field="5" count="1">
            <x v="88"/>
          </reference>
          <reference field="19" count="1" selected="0">
            <x v="34"/>
          </reference>
        </references>
      </pivotArea>
    </format>
    <format dxfId="822">
      <pivotArea dataOnly="0" labelOnly="1" outline="0" fieldPosition="0">
        <references count="3">
          <reference field="4" count="1" selected="0">
            <x v="14"/>
          </reference>
          <reference field="5" count="1">
            <x v="4"/>
          </reference>
          <reference field="19" count="1" selected="0">
            <x v="66"/>
          </reference>
        </references>
      </pivotArea>
    </format>
    <format dxfId="821">
      <pivotArea dataOnly="0" labelOnly="1" outline="0" fieldPosition="0">
        <references count="3">
          <reference field="4" count="1" selected="0">
            <x v="14"/>
          </reference>
          <reference field="5" count="1">
            <x v="12"/>
          </reference>
          <reference field="19" count="1" selected="0">
            <x v="67"/>
          </reference>
        </references>
      </pivotArea>
    </format>
    <format dxfId="820">
      <pivotArea dataOnly="0" labelOnly="1" outline="0" fieldPosition="0">
        <references count="3">
          <reference field="4" count="1" selected="0">
            <x v="14"/>
          </reference>
          <reference field="5" count="1">
            <x v="103"/>
          </reference>
          <reference field="19" count="1" selected="0">
            <x v="68"/>
          </reference>
        </references>
      </pivotArea>
    </format>
    <format dxfId="819">
      <pivotArea dataOnly="0" labelOnly="1" outline="0" fieldPosition="0">
        <references count="3">
          <reference field="4" count="1" selected="0">
            <x v="14"/>
          </reference>
          <reference field="5" count="1">
            <x v="36"/>
          </reference>
          <reference field="19" count="1" selected="0">
            <x v="69"/>
          </reference>
        </references>
      </pivotArea>
    </format>
    <format dxfId="818">
      <pivotArea dataOnly="0" labelOnly="1" outline="0" fieldPosition="0">
        <references count="3">
          <reference field="4" count="1" selected="0">
            <x v="14"/>
          </reference>
          <reference field="5" count="1">
            <x v="77"/>
          </reference>
          <reference field="19" count="1" selected="0">
            <x v="80"/>
          </reference>
        </references>
      </pivotArea>
    </format>
    <format dxfId="817">
      <pivotArea dataOnly="0" labelOnly="1" outline="0" fieldPosition="0">
        <references count="3">
          <reference field="4" count="1" selected="0">
            <x v="14"/>
          </reference>
          <reference field="5" count="1">
            <x v="110"/>
          </reference>
          <reference field="19" count="1" selected="0">
            <x v="109"/>
          </reference>
        </references>
      </pivotArea>
    </format>
    <format dxfId="816">
      <pivotArea dataOnly="0" labelOnly="1" outline="0" fieldPosition="0">
        <references count="3">
          <reference field="4" count="1" selected="0">
            <x v="14"/>
          </reference>
          <reference field="5" count="1">
            <x v="130"/>
          </reference>
          <reference field="19" count="1" selected="0">
            <x v="129"/>
          </reference>
        </references>
      </pivotArea>
    </format>
    <format dxfId="815">
      <pivotArea dataOnly="0" labelOnly="1" outline="0" fieldPosition="0">
        <references count="3">
          <reference field="4" count="1" selected="0">
            <x v="14"/>
          </reference>
          <reference field="5" count="1">
            <x v="132"/>
          </reference>
          <reference field="19" count="1" selected="0">
            <x v="131"/>
          </reference>
        </references>
      </pivotArea>
    </format>
    <format dxfId="814">
      <pivotArea dataOnly="0" labelOnly="1" outline="0" fieldPosition="0">
        <references count="3">
          <reference field="4" count="1" selected="0">
            <x v="15"/>
          </reference>
          <reference field="5" count="1">
            <x v="116"/>
          </reference>
          <reference field="19"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6" cacheId="18"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68:D73" firstHeaderRow="1" firstDataRow="2" firstDataCol="1" rowPageCount="2" colPageCount="1"/>
  <pivotFields count="37">
    <pivotField axis="axisPage" multipleItemSelectionAllowed="1" showAll="0">
      <items count="3">
        <item x="0"/>
        <item h="1" x="1"/>
        <item t="default"/>
      </items>
    </pivotField>
    <pivotField showAll="0"/>
    <pivotField showAll="0" defaultSubtotal="0"/>
    <pivotField showAll="0"/>
    <pivotField showAll="0" defaultSubtotal="0"/>
    <pivotField showAll="0" defaultSubtotal="0"/>
    <pivotField showAll="0" defaultSubtotal="0"/>
    <pivotField showAll="0" defaultSubtotal="0"/>
    <pivotField showAll="0" defaultSubtotal="0"/>
    <pivotField showAll="0"/>
    <pivotField showAll="0" defaultSubtotal="0"/>
    <pivotField showAll="0" defaultSubtotal="0"/>
    <pivotField dataField="1" showAll="0" defaultSubtotal="0"/>
    <pivotField showAll="0"/>
    <pivotField showAll="0" defaultSubtotal="0"/>
    <pivotField showAll="0" defaultSubtotal="0"/>
    <pivotField showAll="0"/>
    <pivotField showAll="0"/>
    <pivotField showAll="0"/>
    <pivotField axis="axisCol" showAll="0">
      <items count="3">
        <item x="0"/>
        <item x="1"/>
        <item t="default"/>
      </items>
    </pivotField>
    <pivotField axis="axisPage" multipleItemSelectionAllowed="1" showAll="0" defaultSubtotal="0">
      <items count="2">
        <item h="1" x="1"/>
        <item x="0"/>
      </items>
    </pivotField>
    <pivotField axis="axisRow" showAll="0">
      <items count="6">
        <item x="0"/>
        <item x="1"/>
        <item x="4"/>
        <item x="3"/>
        <item x="2"/>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21"/>
  </rowFields>
  <rowItems count="4">
    <i>
      <x/>
    </i>
    <i>
      <x v="1"/>
    </i>
    <i>
      <x v="2"/>
    </i>
    <i t="grand">
      <x/>
    </i>
  </rowItems>
  <colFields count="1">
    <field x="19"/>
  </colFields>
  <colItems count="3">
    <i>
      <x/>
    </i>
    <i>
      <x v="1"/>
    </i>
    <i t="grand">
      <x/>
    </i>
  </colItems>
  <pageFields count="2">
    <pageField fld="0" hier="-1"/>
    <pageField fld="20" hier="-1"/>
  </pageFields>
  <dataFields count="1">
    <dataField name="Count of CP_Pcode" fld="12" subtotal="count" baseField="0" baseItem="0"/>
  </dataFields>
  <formats count="2">
    <format dxfId="1938">
      <pivotArea outline="0" collapsedLevelsAreSubtotals="1" fieldPosition="0"/>
    </format>
    <format dxfId="1937">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xml><?xml version="1.0" encoding="utf-8"?>
<pivotTableDefinition xmlns="http://schemas.openxmlformats.org/spreadsheetml/2006/main" name="PivotTable4" cacheId="18"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H4:K174" firstHeaderRow="0" firstDataRow="1" firstDataCol="1" rowPageCount="2" colPageCount="1"/>
  <pivotFields count="37">
    <pivotField axis="axisPage" multipleItemSelectionAllowed="1" showAll="0">
      <items count="3">
        <item h="1" x="1"/>
        <item x="0"/>
        <item t="default"/>
      </items>
    </pivotField>
    <pivotField showAll="0"/>
    <pivotField showAll="0"/>
    <pivotField showAll="0"/>
    <pivotField showAll="0"/>
    <pivotField axis="axisRow" showAll="0" sortType="descending">
      <items count="23">
        <item x="5"/>
        <item x="4"/>
        <item x="1"/>
        <item x="20"/>
        <item x="16"/>
        <item x="15"/>
        <item x="13"/>
        <item x="17"/>
        <item x="7"/>
        <item x="14"/>
        <item x="10"/>
        <item x="11"/>
        <item x="6"/>
        <item x="12"/>
        <item x="0"/>
        <item x="3"/>
        <item x="18"/>
        <item x="9"/>
        <item x="8"/>
        <item x="19"/>
        <item x="2"/>
        <item x="2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axis="axisRow" showAll="0" sortType="descending">
      <items count="279">
        <item x="16"/>
        <item x="147"/>
        <item x="138"/>
        <item x="48"/>
        <item x="145"/>
        <item x="155"/>
        <item x="34"/>
        <item x="163"/>
        <item x="43"/>
        <item x="45"/>
        <item x="57"/>
        <item x="58"/>
        <item x="73"/>
        <item x="139"/>
        <item x="79"/>
        <item x="80"/>
        <item x="81"/>
        <item x="108"/>
        <item x="121"/>
        <item x="82"/>
        <item x="105"/>
        <item x="83"/>
        <item x="41"/>
        <item x="84"/>
        <item x="140"/>
        <item x="11"/>
        <item x="9"/>
        <item x="10"/>
        <item x="118"/>
        <item x="85"/>
        <item x="86"/>
        <item x="222"/>
        <item x="226"/>
        <item x="90"/>
        <item x="27"/>
        <item x="110"/>
        <item x="131"/>
        <item x="160"/>
        <item x="92"/>
        <item x="136"/>
        <item x="96"/>
        <item x="186"/>
        <item x="194"/>
        <item x="42"/>
        <item x="117"/>
        <item x="50"/>
        <item x="173"/>
        <item x="94"/>
        <item x="192"/>
        <item x="17"/>
        <item x="18"/>
        <item x="116"/>
        <item x="97"/>
        <item x="167"/>
        <item x="171"/>
        <item x="196"/>
        <item x="174"/>
        <item x="176"/>
        <item x="12"/>
        <item x="76"/>
        <item x="102"/>
        <item x="103"/>
        <item x="132"/>
        <item x="44"/>
        <item x="120"/>
        <item x="130"/>
        <item x="106"/>
        <item x="14"/>
        <item x="13"/>
        <item x="165"/>
        <item x="150"/>
        <item x="137"/>
        <item x="47"/>
        <item x="70"/>
        <item x="68"/>
        <item x="69"/>
        <item x="107"/>
        <item x="109"/>
        <item x="112"/>
        <item x="26"/>
        <item x="114"/>
        <item x="63"/>
        <item x="30"/>
        <item x="28"/>
        <item x="39"/>
        <item x="38"/>
        <item x="183"/>
        <item x="188"/>
        <item x="15"/>
        <item x="61"/>
        <item x="7"/>
        <item x="113"/>
        <item x="126"/>
        <item x="62"/>
        <item x="166"/>
        <item x="124"/>
        <item x="195"/>
        <item x="123"/>
        <item x="193"/>
        <item x="125"/>
        <item x="127"/>
        <item x="128"/>
        <item x="95"/>
        <item x="220"/>
        <item x="75"/>
        <item x="65"/>
        <item x="129"/>
        <item x="141"/>
        <item x="142"/>
        <item x="143"/>
        <item x="144"/>
        <item x="146"/>
        <item x="148"/>
        <item x="149"/>
        <item x="19"/>
        <item x="20"/>
        <item x="151"/>
        <item x="156"/>
        <item x="157"/>
        <item x="158"/>
        <item x="87"/>
        <item x="159"/>
        <item x="164"/>
        <item x="179"/>
        <item x="55"/>
        <item x="169"/>
        <item x="100"/>
        <item x="89"/>
        <item x="177"/>
        <item x="178"/>
        <item x="91"/>
        <item x="233"/>
        <item x="184"/>
        <item x="180"/>
        <item x="228"/>
        <item x="232"/>
        <item x="49"/>
        <item x="181"/>
        <item x="60"/>
        <item x="182"/>
        <item x="88"/>
        <item x="35"/>
        <item x="229"/>
        <item x="56"/>
        <item x="206"/>
        <item x="54"/>
        <item x="217"/>
        <item x="98"/>
        <item x="93"/>
        <item x="187"/>
        <item x="189"/>
        <item x="191"/>
        <item x="161"/>
        <item x="170"/>
        <item x="221"/>
        <item x="230"/>
        <item x="23"/>
        <item x="52"/>
        <item x="99"/>
        <item x="208"/>
        <item x="218"/>
        <item x="77"/>
        <item x="210"/>
        <item x="32"/>
        <item x="133"/>
        <item x="219"/>
        <item x="223"/>
        <item x="122"/>
        <item x="224"/>
        <item x="1"/>
        <item x="71"/>
        <item x="135"/>
        <item x="119"/>
        <item x="175"/>
        <item x="225"/>
        <item x="162"/>
        <item x="64"/>
        <item x="134"/>
        <item x="31"/>
        <item x="24"/>
        <item x="29"/>
        <item x="25"/>
        <item x="152"/>
        <item x="46"/>
        <item x="227"/>
        <item x="153"/>
        <item x="231"/>
        <item x="190"/>
        <item x="72"/>
        <item x="5"/>
        <item x="6"/>
        <item x="40"/>
        <item x="66"/>
        <item x="67"/>
        <item x="8"/>
        <item x="239"/>
        <item x="78"/>
        <item x="240"/>
        <item x="172"/>
        <item x="53"/>
        <item x="256"/>
        <item x="59"/>
        <item x="0"/>
        <item x="3"/>
        <item x="2"/>
        <item x="4"/>
        <item x="36"/>
        <item x="262"/>
        <item x="263"/>
        <item x="264"/>
        <item x="74"/>
        <item x="37"/>
        <item x="265"/>
        <item x="266"/>
        <item x="154"/>
        <item x="111"/>
        <item x="268"/>
        <item x="269"/>
        <item x="21"/>
        <item x="51"/>
        <item x="101"/>
        <item x="271"/>
        <item x="185"/>
        <item x="197"/>
        <item x="198"/>
        <item x="168"/>
        <item x="216"/>
        <item x="104"/>
        <item x="115"/>
        <item x="22"/>
        <item x="270"/>
        <item x="199"/>
        <item x="234"/>
        <item x="200"/>
        <item x="201"/>
        <item x="202"/>
        <item x="203"/>
        <item x="204"/>
        <item x="205"/>
        <item x="235"/>
        <item x="207"/>
        <item x="236"/>
        <item x="241"/>
        <item x="242"/>
        <item x="243"/>
        <item x="237"/>
        <item x="238"/>
        <item x="244"/>
        <item x="245"/>
        <item x="33"/>
        <item x="209"/>
        <item x="261"/>
        <item x="211"/>
        <item x="212"/>
        <item x="246"/>
        <item x="247"/>
        <item x="248"/>
        <item x="249"/>
        <item x="250"/>
        <item x="251"/>
        <item x="252"/>
        <item x="253"/>
        <item x="254"/>
        <item x="255"/>
        <item x="257"/>
        <item x="258"/>
        <item x="259"/>
        <item x="260"/>
        <item x="267"/>
        <item x="272"/>
        <item x="273"/>
        <item x="274"/>
        <item x="275"/>
        <item x="276"/>
        <item x="213"/>
        <item x="214"/>
        <item x="215"/>
        <item x="277"/>
        <item t="default"/>
      </items>
      <autoSortScope>
        <pivotArea dataOnly="0" outline="0" fieldPosition="0">
          <references count="1">
            <reference field="4294967294" count="1" selected="0">
              <x v="1"/>
            </reference>
          </references>
        </pivotArea>
      </autoSortScope>
    </pivotField>
    <pivotField showAll="0"/>
    <pivotField showAll="0"/>
    <pivotField showAll="0" defaultSubtotal="0"/>
    <pivotField showAll="0"/>
    <pivotField dataField="1" showAll="0"/>
    <pivotField showAll="0"/>
    <pivotField showAll="0"/>
    <pivotField showAll="0"/>
    <pivotField showAll="0" defaultSubtotal="0"/>
    <pivotField axis="axisPage" multipleItemSelectionAllowed="1" showAll="0">
      <items count="6">
        <item h="1" x="4"/>
        <item x="0"/>
        <item h="1" x="1"/>
        <item h="1" x="3"/>
        <item h="1" x="2"/>
        <item t="default"/>
      </items>
    </pivotField>
    <pivotField showAll="0"/>
    <pivotField showAll="0"/>
    <pivotField showAll="0"/>
    <pivotField showAll="0"/>
    <pivotField showAll="0"/>
    <pivotField showAll="0"/>
    <pivotField showAll="0"/>
    <pivotField showAll="0"/>
    <pivotField showAll="0"/>
    <pivotField dataField="1" showAll="0" defaultSubtotal="0"/>
    <pivotField showAll="0" defaultSubtotal="0"/>
    <pivotField dataField="1" showAll="0" defaultSubtotal="0"/>
    <pivotField showAll="0" defaultSubtotal="0"/>
    <pivotField showAll="0" defaultSubtotal="0"/>
    <pivotField showAll="0" defaultSubtotal="0"/>
  </pivotFields>
  <rowFields count="2">
    <field x="5"/>
    <field x="11"/>
  </rowFields>
  <rowItems count="170">
    <i>
      <x v="20"/>
    </i>
    <i r="1">
      <x v="215"/>
    </i>
    <i r="1">
      <x v="275"/>
    </i>
    <i r="1">
      <x v="82"/>
    </i>
    <i r="1">
      <x v="228"/>
    </i>
    <i r="1">
      <x v="274"/>
    </i>
    <i r="1">
      <x v="35"/>
    </i>
    <i r="1">
      <x v="177"/>
    </i>
    <i r="1">
      <x v="179"/>
    </i>
    <i r="1">
      <x v="83"/>
    </i>
    <i r="1">
      <x v="211"/>
    </i>
    <i r="1">
      <x v="85"/>
    </i>
    <i r="1">
      <x v="163"/>
    </i>
    <i r="1">
      <x v="79"/>
    </i>
    <i r="1">
      <x v="206"/>
    </i>
    <i r="1">
      <x v="191"/>
    </i>
    <i r="1">
      <x v="178"/>
    </i>
    <i r="1">
      <x v="17"/>
    </i>
    <i r="1">
      <x v="80"/>
    </i>
    <i r="1">
      <x v="34"/>
    </i>
    <i r="1">
      <x v="84"/>
    </i>
    <i r="1">
      <x v="180"/>
    </i>
    <i r="1">
      <x v="181"/>
    </i>
    <i>
      <x v="12"/>
    </i>
    <i r="1">
      <x v="51"/>
    </i>
    <i r="1">
      <x v="89"/>
    </i>
    <i r="1">
      <x v="75"/>
    </i>
    <i r="1">
      <x v="124"/>
    </i>
    <i r="1">
      <x v="44"/>
    </i>
    <i r="1">
      <x v="74"/>
    </i>
    <i r="1">
      <x v="170"/>
    </i>
    <i r="1">
      <x v="188"/>
    </i>
    <i r="1">
      <x v="172"/>
    </i>
    <i r="1">
      <x v="28"/>
    </i>
    <i r="1">
      <x v="167"/>
    </i>
    <i r="1">
      <x v="73"/>
    </i>
    <i>
      <x v="8"/>
    </i>
    <i r="1">
      <x v="97"/>
    </i>
    <i r="1">
      <x v="18"/>
    </i>
    <i r="1">
      <x v="98"/>
    </i>
    <i r="1">
      <x v="87"/>
    </i>
    <i r="1">
      <x v="96"/>
    </i>
    <i r="1">
      <x v="86"/>
    </i>
    <i r="1">
      <x v="105"/>
    </i>
    <i r="1">
      <x v="95"/>
    </i>
    <i r="1">
      <x v="64"/>
    </i>
    <i>
      <x v="14"/>
    </i>
    <i r="1">
      <x v="67"/>
    </i>
    <i r="1">
      <x v="189"/>
    </i>
    <i r="1">
      <x v="88"/>
    </i>
    <i r="1">
      <x v="50"/>
    </i>
    <i r="1">
      <x v="194"/>
    </i>
    <i r="1">
      <x v="49"/>
    </i>
    <i r="1">
      <x v="58"/>
    </i>
    <i r="1">
      <x v="27"/>
    </i>
    <i r="1">
      <x v="90"/>
    </i>
    <i r="1">
      <x v="190"/>
    </i>
    <i r="1">
      <x v="205"/>
    </i>
    <i r="1">
      <x v="68"/>
    </i>
    <i r="1">
      <x v="204"/>
    </i>
    <i r="1">
      <x v="26"/>
    </i>
    <i r="1">
      <x v="202"/>
    </i>
    <i r="1">
      <x v="25"/>
    </i>
    <i r="1">
      <x v="171"/>
    </i>
    <i r="1">
      <x v="114"/>
    </i>
    <i r="1">
      <x v="229"/>
    </i>
    <i r="1">
      <x v="156"/>
    </i>
    <i r="1">
      <x v="218"/>
    </i>
    <i r="1">
      <x v="169"/>
    </i>
    <i r="1">
      <x v="203"/>
    </i>
    <i r="1">
      <x v="115"/>
    </i>
    <i>
      <x/>
    </i>
    <i r="1">
      <x v="183"/>
    </i>
    <i r="1">
      <x v="3"/>
    </i>
    <i r="1">
      <x v="72"/>
    </i>
    <i r="1">
      <x v="175"/>
    </i>
    <i r="1">
      <x v="157"/>
    </i>
    <i r="1">
      <x v="199"/>
    </i>
    <i r="1">
      <x v="7"/>
    </i>
    <i r="1">
      <x v="45"/>
    </i>
    <i r="1">
      <x v="219"/>
    </i>
    <i r="1">
      <x v="136"/>
    </i>
    <i>
      <x v="6"/>
    </i>
    <i r="1">
      <x v="241"/>
    </i>
    <i r="1">
      <x v="239"/>
    </i>
    <i r="1">
      <x v="222"/>
    </i>
    <i r="1">
      <x v="130"/>
    </i>
    <i r="1">
      <x v="271"/>
    </i>
    <i r="1">
      <x v="244"/>
    </i>
    <i r="1">
      <x v="148"/>
    </i>
    <i r="1">
      <x v="248"/>
    </i>
    <i r="1">
      <x v="272"/>
    </i>
    <i r="1">
      <x v="131"/>
    </i>
    <i r="1">
      <x v="123"/>
    </i>
    <i r="1">
      <x v="56"/>
    </i>
    <i r="1">
      <x v="57"/>
    </i>
    <i>
      <x v="2"/>
    </i>
    <i r="1">
      <x v="276"/>
    </i>
    <i r="1">
      <x v="42"/>
    </i>
    <i r="1">
      <x v="2"/>
    </i>
    <i r="1">
      <x v="253"/>
    </i>
    <i r="1">
      <x v="214"/>
    </i>
    <i r="1">
      <x v="13"/>
    </i>
    <i r="1">
      <x v="250"/>
    </i>
    <i r="1">
      <x v="36"/>
    </i>
    <i r="1">
      <x v="4"/>
    </i>
    <i r="1">
      <x v="252"/>
    </i>
    <i r="1">
      <x v="5"/>
    </i>
    <i r="1">
      <x v="185"/>
    </i>
    <i r="1">
      <x v="220"/>
    </i>
    <i r="1">
      <x v="24"/>
    </i>
    <i r="1">
      <x v="37"/>
    </i>
    <i r="1">
      <x v="20"/>
    </i>
    <i r="1">
      <x v="182"/>
    </i>
    <i r="1">
      <x v="70"/>
    </i>
    <i r="1">
      <x v="158"/>
    </i>
    <i r="1">
      <x v="152"/>
    </i>
    <i r="1">
      <x v="120"/>
    </i>
    <i r="1">
      <x v="71"/>
    </i>
    <i>
      <x v="1"/>
    </i>
    <i r="1">
      <x v="43"/>
    </i>
    <i r="1">
      <x v="69"/>
    </i>
    <i r="1">
      <x v="173"/>
    </i>
    <i r="1">
      <x v="187"/>
    </i>
    <i r="1">
      <x v="22"/>
    </i>
    <i>
      <x v="15"/>
    </i>
    <i r="1">
      <x v="243"/>
    </i>
    <i r="1">
      <x v="155"/>
    </i>
    <i r="1">
      <x v="143"/>
    </i>
    <i r="1">
      <x v="141"/>
    </i>
    <i r="1">
      <x v="140"/>
    </i>
    <i r="1">
      <x v="142"/>
    </i>
    <i>
      <x v="13"/>
    </i>
    <i r="1">
      <x v="273"/>
    </i>
    <i r="1">
      <x v="146"/>
    </i>
    <i r="1">
      <x v="134"/>
    </i>
    <i r="1">
      <x v="135"/>
    </i>
    <i>
      <x v="16"/>
    </i>
    <i r="1">
      <x v="258"/>
    </i>
    <i r="1">
      <x v="277"/>
    </i>
    <i r="1">
      <x v="153"/>
    </i>
    <i r="1">
      <x v="245"/>
    </i>
    <i r="1">
      <x v="255"/>
    </i>
    <i>
      <x v="19"/>
    </i>
    <i r="1">
      <x v="236"/>
    </i>
    <i r="1">
      <x v="237"/>
    </i>
    <i r="1">
      <x v="198"/>
    </i>
    <i>
      <x v="18"/>
    </i>
    <i r="1">
      <x v="192"/>
    </i>
    <i r="1">
      <x v="193"/>
    </i>
    <i>
      <x v="9"/>
    </i>
    <i r="1">
      <x v="246"/>
    </i>
    <i r="1">
      <x v="102"/>
    </i>
    <i r="1">
      <x v="103"/>
    </i>
    <i>
      <x v="10"/>
    </i>
    <i r="1">
      <x v="235"/>
    </i>
    <i r="1">
      <x v="104"/>
    </i>
    <i r="1">
      <x v="234"/>
    </i>
    <i r="1">
      <x v="59"/>
    </i>
    <i r="1">
      <x v="161"/>
    </i>
    <i>
      <x v="17"/>
    </i>
    <i r="1">
      <x v="231"/>
    </i>
    <i>
      <x v="21"/>
    </i>
    <i r="1">
      <x v="270"/>
    </i>
    <i>
      <x v="3"/>
    </i>
    <i r="1">
      <x v="232"/>
    </i>
    <i>
      <x v="11"/>
    </i>
    <i r="1">
      <x v="196"/>
    </i>
    <i r="1">
      <x v="164"/>
    </i>
    <i t="grand">
      <x/>
    </i>
  </rowItems>
  <colFields count="1">
    <field x="-2"/>
  </colFields>
  <colItems count="3">
    <i>
      <x/>
    </i>
    <i i="1">
      <x v="1"/>
    </i>
    <i i="2">
      <x v="2"/>
    </i>
  </colItems>
  <pageFields count="2">
    <pageField fld="0" hier="-1"/>
    <pageField fld="21" hier="-1"/>
  </pageFields>
  <dataFields count="3">
    <dataField name="Sum of HH" fld="16" baseField="5" baseItem="20" numFmtId="165"/>
    <dataField name="Sum of Shelter Gap" fld="31" baseField="0" baseItem="0" numFmtId="165"/>
    <dataField name="Sum of Shelter Possible" fld="33" baseField="0" baseItem="0" numFmtId="165"/>
  </dataFields>
  <formats count="16">
    <format dxfId="1140">
      <pivotArea outline="0" collapsedLevelsAreSubtotals="1" fieldPosition="0">
        <references count="1">
          <reference field="4294967294" count="1" selected="0">
            <x v="0"/>
          </reference>
        </references>
      </pivotArea>
    </format>
    <format dxfId="1139">
      <pivotArea outline="0" collapsedLevelsAreSubtotals="1" fieldPosition="0">
        <references count="1">
          <reference field="4294967294" count="2" selected="0">
            <x v="1"/>
            <x v="2"/>
          </reference>
        </references>
      </pivotArea>
    </format>
    <format dxfId="1138">
      <pivotArea collapsedLevelsAreSubtotals="1" fieldPosition="0">
        <references count="2">
          <reference field="4294967294" count="1" selected="0">
            <x v="1"/>
          </reference>
          <reference field="11" count="16">
            <x v="3"/>
            <x v="33"/>
            <x v="43"/>
            <x v="51"/>
            <x v="64"/>
            <x v="89"/>
            <x v="96"/>
            <x v="97"/>
            <x v="98"/>
            <x v="124"/>
            <x v="155"/>
            <x v="172"/>
            <x v="177"/>
            <x v="183"/>
            <x v="214"/>
            <x v="215"/>
          </reference>
        </references>
      </pivotArea>
    </format>
    <format dxfId="1137">
      <pivotArea dataOnly="0" labelOnly="1" fieldPosition="0">
        <references count="1">
          <reference field="11" count="16">
            <x v="3"/>
            <x v="33"/>
            <x v="43"/>
            <x v="51"/>
            <x v="64"/>
            <x v="89"/>
            <x v="96"/>
            <x v="97"/>
            <x v="98"/>
            <x v="124"/>
            <x v="155"/>
            <x v="172"/>
            <x v="177"/>
            <x v="183"/>
            <x v="214"/>
            <x v="215"/>
          </reference>
        </references>
      </pivotArea>
    </format>
    <format dxfId="1136">
      <pivotArea type="all" dataOnly="0" outline="0" fieldPosition="0"/>
    </format>
    <format dxfId="1135">
      <pivotArea outline="0" collapsedLevelsAreSubtotals="1" fieldPosition="0">
        <references count="1">
          <reference field="4294967294" count="1" selected="0">
            <x v="0"/>
          </reference>
        </references>
      </pivotArea>
    </format>
    <format dxfId="1134">
      <pivotArea dataOnly="0" labelOnly="1" outline="0" fieldPosition="0">
        <references count="1">
          <reference field="4294967294" count="1">
            <x v="0"/>
          </reference>
        </references>
      </pivotArea>
    </format>
    <format dxfId="1133">
      <pivotArea outline="0" collapsedLevelsAreSubtotals="1" fieldPosition="0">
        <references count="1">
          <reference field="4294967294" count="1" selected="0">
            <x v="2"/>
          </reference>
        </references>
      </pivotArea>
    </format>
    <format dxfId="1132">
      <pivotArea dataOnly="0" labelOnly="1" outline="0" fieldPosition="0">
        <references count="1">
          <reference field="4294967294" count="1">
            <x v="2"/>
          </reference>
        </references>
      </pivotArea>
    </format>
    <format dxfId="1131">
      <pivotArea outline="0" collapsedLevelsAreSubtotals="1" fieldPosition="0">
        <references count="1">
          <reference field="4294967294" count="2" selected="0">
            <x v="0"/>
            <x v="1"/>
          </reference>
        </references>
      </pivotArea>
    </format>
    <format dxfId="1130">
      <pivotArea field="0" type="button" dataOnly="0" labelOnly="1" outline="0" axis="axisPage" fieldPosition="0"/>
    </format>
    <format dxfId="1129">
      <pivotArea dataOnly="0" labelOnly="1" outline="0" fieldPosition="0">
        <references count="1">
          <reference field="0" count="0"/>
        </references>
      </pivotArea>
    </format>
    <format dxfId="1128">
      <pivotArea field="21" type="button" dataOnly="0" labelOnly="1" outline="0" axis="axisPage" fieldPosition="1"/>
    </format>
    <format dxfId="1127">
      <pivotArea dataOnly="0" labelOnly="1" outline="0" fieldPosition="0">
        <references count="1">
          <reference field="21" count="0"/>
        </references>
      </pivotArea>
    </format>
    <format dxfId="1126">
      <pivotArea dataOnly="0" labelOnly="1" grandRow="1" outline="0" fieldPosition="0"/>
    </format>
    <format dxfId="1125">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1.xml><?xml version="1.0" encoding="utf-8"?>
<pivotTableDefinition xmlns="http://schemas.openxmlformats.org/spreadsheetml/2006/main" name="PivotTable5" cacheId="18" applyNumberFormats="0" applyBorderFormats="0" applyFontFormats="0" applyPatternFormats="0" applyAlignmentFormats="0" applyWidthHeightFormats="1" dataCaption="Values" grandTotalCaption="Total" updatedVersion="5" minRefreshableVersion="3" useAutoFormatting="1" itemPrintTitles="1" createdVersion="4" indent="0" outline="1" outlineData="1" multipleFieldFilters="0" rowHeaderCaption="Township">
  <location ref="B18:G38" firstHeaderRow="0" firstDataRow="1" firstDataCol="1" rowPageCount="2" colPageCount="1"/>
  <pivotFields count="37">
    <pivotField axis="axisPage" multipleItemSelectionAllowed="1" showAll="0">
      <items count="3">
        <item h="1" x="1"/>
        <item x="0"/>
        <item t="default"/>
      </items>
    </pivotField>
    <pivotField showAll="0"/>
    <pivotField showAll="0"/>
    <pivotField showAll="0"/>
    <pivotField showAll="0"/>
    <pivotField axis="axisRow" showAll="0" sortType="descending">
      <items count="23">
        <item x="5"/>
        <item x="4"/>
        <item x="1"/>
        <item x="20"/>
        <item x="16"/>
        <item x="15"/>
        <item x="13"/>
        <item x="17"/>
        <item x="7"/>
        <item x="14"/>
        <item x="10"/>
        <item x="11"/>
        <item x="6"/>
        <item x="12"/>
        <item x="0"/>
        <item x="3"/>
        <item x="18"/>
        <item x="9"/>
        <item x="8"/>
        <item x="19"/>
        <item x="2"/>
        <item x="21"/>
        <item t="default"/>
      </items>
      <autoSortScope>
        <pivotArea dataOnly="0" outline="0" fieldPosition="0">
          <references count="1">
            <reference field="4294967294" count="1" selected="0">
              <x v="3"/>
            </reference>
          </references>
        </pivotArea>
      </autoSortScope>
    </pivotField>
    <pivotField showAll="0"/>
    <pivotField showAll="0"/>
    <pivotField showAll="0"/>
    <pivotField showAll="0"/>
    <pivotField showAll="0"/>
    <pivotField showAll="0" sortType="descending">
      <autoSortScope>
        <pivotArea dataOnly="0" outline="0" fieldPosition="0">
          <references count="1">
            <reference field="4294967294" count="1" selected="0">
              <x v="3"/>
            </reference>
          </references>
        </pivotArea>
      </autoSortScope>
    </pivotField>
    <pivotField dataField="1" showAll="0"/>
    <pivotField showAll="0"/>
    <pivotField showAll="0" defaultSubtotal="0"/>
    <pivotField showAll="0"/>
    <pivotField dataField="1" showAll="0"/>
    <pivotField dataField="1" showAll="0"/>
    <pivotField showAll="0"/>
    <pivotField showAll="0"/>
    <pivotField showAll="0" defaultSubtotal="0"/>
    <pivotField axis="axisPage" multipleItemSelectionAllowed="1" showAll="0">
      <items count="6">
        <item h="1" x="4"/>
        <item x="0"/>
        <item h="1" x="1"/>
        <item h="1" x="3"/>
        <item h="1" x="2"/>
        <item t="default"/>
      </items>
    </pivotField>
    <pivotField showAll="0"/>
    <pivotField showAll="0"/>
    <pivotField showAll="0"/>
    <pivotField showAll="0"/>
    <pivotField showAll="0"/>
    <pivotField showAll="0"/>
    <pivotField showAll="0"/>
    <pivotField showAll="0"/>
    <pivotField showAll="0"/>
    <pivotField dataField="1" showAll="0" defaultSubtotal="0"/>
    <pivotField showAll="0" defaultSubtotal="0"/>
    <pivotField dataField="1" showAll="0" defaultSubtotal="0"/>
    <pivotField showAll="0" defaultSubtotal="0"/>
    <pivotField showAll="0" defaultSubtotal="0"/>
    <pivotField showAll="0" defaultSubtotal="0"/>
  </pivotFields>
  <rowFields count="1">
    <field x="5"/>
  </rowFields>
  <rowItems count="20">
    <i>
      <x v="20"/>
    </i>
    <i>
      <x v="8"/>
    </i>
    <i>
      <x v="12"/>
    </i>
    <i>
      <x v="6"/>
    </i>
    <i>
      <x v="14"/>
    </i>
    <i>
      <x v="2"/>
    </i>
    <i>
      <x/>
    </i>
    <i>
      <x v="1"/>
    </i>
    <i>
      <x v="13"/>
    </i>
    <i>
      <x v="15"/>
    </i>
    <i>
      <x v="16"/>
    </i>
    <i>
      <x v="19"/>
    </i>
    <i>
      <x v="18"/>
    </i>
    <i>
      <x v="21"/>
    </i>
    <i>
      <x v="9"/>
    </i>
    <i>
      <x v="10"/>
    </i>
    <i>
      <x v="17"/>
    </i>
    <i>
      <x v="3"/>
    </i>
    <i>
      <x v="11"/>
    </i>
    <i t="grand">
      <x/>
    </i>
  </rowItems>
  <colFields count="1">
    <field x="-2"/>
  </colFields>
  <colItems count="5">
    <i>
      <x/>
    </i>
    <i i="1">
      <x v="1"/>
    </i>
    <i i="2">
      <x v="2"/>
    </i>
    <i i="3">
      <x v="3"/>
    </i>
    <i i="4">
      <x v="4"/>
    </i>
  </colItems>
  <pageFields count="2">
    <pageField fld="0" hier="-1"/>
    <pageField fld="21" hier="-1"/>
  </pageFields>
  <dataFields count="5">
    <dataField name="# HH" fld="16" baseField="5" baseItem="0" numFmtId="165"/>
    <dataField name="# Ind." fld="17" baseField="38" baseItem="0" numFmtId="3"/>
    <dataField name="# Camps" fld="12" subtotal="count" baseField="38" baseItem="0"/>
    <dataField name="# Shelter Gap" fld="31" baseField="38" baseItem="0" numFmtId="165"/>
    <dataField name="# Const. Shelter" fld="33" baseField="38" baseItem="0" numFmtId="165"/>
  </dataFields>
  <formats count="18">
    <format dxfId="813">
      <pivotArea outline="0" collapsedLevelsAreSubtotals="1" fieldPosition="0">
        <references count="1">
          <reference field="4294967294" count="1" selected="0">
            <x v="0"/>
          </reference>
        </references>
      </pivotArea>
    </format>
    <format dxfId="812">
      <pivotArea outline="0" collapsedLevelsAreSubtotals="1" fieldPosition="0">
        <references count="1">
          <reference field="4294967294" count="2" selected="0">
            <x v="3"/>
            <x v="4"/>
          </reference>
        </references>
      </pivotArea>
    </format>
    <format dxfId="811">
      <pivotArea outline="0" fieldPosition="0">
        <references count="1">
          <reference field="4294967294" count="1">
            <x v="1"/>
          </reference>
        </references>
      </pivotArea>
    </format>
    <format dxfId="810">
      <pivotArea field="5" type="button" dataOnly="0" labelOnly="1" outline="0" axis="axisRow" fieldPosition="0"/>
    </format>
    <format dxfId="809">
      <pivotArea dataOnly="0" labelOnly="1" outline="0" fieldPosition="0">
        <references count="1">
          <reference field="4294967294" count="5">
            <x v="0"/>
            <x v="1"/>
            <x v="2"/>
            <x v="3"/>
            <x v="4"/>
          </reference>
        </references>
      </pivotArea>
    </format>
    <format dxfId="808">
      <pivotArea type="all" dataOnly="0" outline="0" fieldPosition="0"/>
    </format>
    <format dxfId="807">
      <pivotArea type="all" dataOnly="0" outline="0" fieldPosition="0"/>
    </format>
    <format dxfId="806">
      <pivotArea outline="0" collapsedLevelsAreSubtotals="1" fieldPosition="0"/>
    </format>
    <format dxfId="805">
      <pivotArea field="5" type="button" dataOnly="0" labelOnly="1" outline="0" axis="axisRow" fieldPosition="0"/>
    </format>
    <format dxfId="804">
      <pivotArea dataOnly="0" labelOnly="1" fieldPosition="0">
        <references count="1">
          <reference field="5" count="19">
            <x v="0"/>
            <x v="1"/>
            <x v="2"/>
            <x v="3"/>
            <x v="6"/>
            <x v="8"/>
            <x v="9"/>
            <x v="10"/>
            <x v="11"/>
            <x v="12"/>
            <x v="13"/>
            <x v="14"/>
            <x v="15"/>
            <x v="16"/>
            <x v="17"/>
            <x v="18"/>
            <x v="19"/>
            <x v="20"/>
            <x v="21"/>
          </reference>
        </references>
      </pivotArea>
    </format>
    <format dxfId="803">
      <pivotArea dataOnly="0" labelOnly="1" grandRow="1" outline="0" fieldPosition="0"/>
    </format>
    <format dxfId="802">
      <pivotArea dataOnly="0" labelOnly="1" outline="0" fieldPosition="0">
        <references count="1">
          <reference field="4294967294" count="5">
            <x v="0"/>
            <x v="1"/>
            <x v="2"/>
            <x v="3"/>
            <x v="4"/>
          </reference>
        </references>
      </pivotArea>
    </format>
    <format dxfId="801">
      <pivotArea field="5" type="button" dataOnly="0" labelOnly="1" outline="0" axis="axisRow" fieldPosition="0"/>
    </format>
    <format dxfId="800">
      <pivotArea dataOnly="0" labelOnly="1" outline="0" fieldPosition="0">
        <references count="1">
          <reference field="4294967294" count="5">
            <x v="0"/>
            <x v="1"/>
            <x v="2"/>
            <x v="3"/>
            <x v="4"/>
          </reference>
        </references>
      </pivotArea>
    </format>
    <format dxfId="799">
      <pivotArea field="5" type="button" dataOnly="0" labelOnly="1" outline="0" axis="axisRow" fieldPosition="0"/>
    </format>
    <format dxfId="798">
      <pivotArea dataOnly="0" labelOnly="1" outline="0" fieldPosition="0">
        <references count="1">
          <reference field="4294967294" count="5">
            <x v="0"/>
            <x v="1"/>
            <x v="2"/>
            <x v="3"/>
            <x v="4"/>
          </reference>
        </references>
      </pivotArea>
    </format>
    <format dxfId="797">
      <pivotArea collapsedLevelsAreSubtotals="1" fieldPosition="0">
        <references count="1">
          <reference field="5" count="19">
            <x v="0"/>
            <x v="1"/>
            <x v="2"/>
            <x v="3"/>
            <x v="6"/>
            <x v="8"/>
            <x v="9"/>
            <x v="10"/>
            <x v="11"/>
            <x v="12"/>
            <x v="13"/>
            <x v="14"/>
            <x v="15"/>
            <x v="16"/>
            <x v="17"/>
            <x v="18"/>
            <x v="19"/>
            <x v="20"/>
            <x v="21"/>
          </reference>
        </references>
      </pivotArea>
    </format>
    <format dxfId="796">
      <pivotArea dataOnly="0" labelOnly="1" fieldPosition="0">
        <references count="1">
          <reference field="5" count="19">
            <x v="0"/>
            <x v="1"/>
            <x v="2"/>
            <x v="3"/>
            <x v="6"/>
            <x v="8"/>
            <x v="9"/>
            <x v="10"/>
            <x v="11"/>
            <x v="12"/>
            <x v="13"/>
            <x v="14"/>
            <x v="15"/>
            <x v="16"/>
            <x v="17"/>
            <x v="18"/>
            <x v="19"/>
            <x v="20"/>
            <x v="21"/>
          </reference>
        </references>
      </pivotArea>
    </format>
  </formats>
  <pivotTableStyleInfo name="PivotStyleMedium9"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2.xml><?xml version="1.0" encoding="utf-8"?>
<pivotTableDefinition xmlns="http://schemas.openxmlformats.org/spreadsheetml/2006/main" name="PivotTable4" cacheId="25"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chartFormat="17">
  <location ref="A73:D80" firstHeaderRow="0" firstDataRow="1" firstDataCol="1" rowPageCount="3" colPageCount="1"/>
  <pivotFields count="49">
    <pivotField showAll="0" defaultSubtotal="0"/>
    <pivotField showAll="0"/>
    <pivotField axis="axisRow" showAll="0">
      <items count="16">
        <item x="9"/>
        <item x="7"/>
        <item x="13"/>
        <item x="8"/>
        <item x="11"/>
        <item x="5"/>
        <item x="12"/>
        <item x="6"/>
        <item x="10"/>
        <item x="2"/>
        <item x="1"/>
        <item x="14"/>
        <item x="4"/>
        <item x="3"/>
        <item x="0"/>
        <item t="default"/>
      </items>
    </pivotField>
    <pivotField showAll="0"/>
    <pivotField multipleItemSelectionAllowed="1" showAll="0"/>
    <pivotField showAll="0"/>
    <pivotField showAll="0"/>
    <pivotField showAll="0" defaultSubtotal="0"/>
    <pivotField name="NFI Core Kit2" showAll="0" defaultSubtotal="0"/>
    <pivotField showAll="0" defaultSubtotal="0"/>
    <pivotField showAll="0" defaultSubtotal="0"/>
    <pivotField name="Tarpaulin2" showAll="0" defaultSubtotal="0"/>
    <pivotField name="Blanket2" showAll="0" defaultSubtotal="0"/>
    <pivotField name="Kitchen Set2" showAll="0" defaultSubtotal="0"/>
    <pivotField showAll="0" defaultSubtotal="0"/>
    <pivotField showAll="0" defaultSubtotal="0"/>
    <pivotField showAll="0" defaultSubtotal="0"/>
    <pivotField dataField="1" showAll="0" defaultSubtotal="0"/>
    <pivotField dataField="1"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multipleItemSelectionAllowed="1" showAll="0" defaultSubtotal="0"/>
    <pivotField showAll="0" defaultSubtotal="0"/>
    <pivotField showAll="0" defaultSubtotal="0"/>
    <pivotField showAll="0" defaultSubtotal="0"/>
    <pivotField axis="axisPage" multipleItemSelectionAllowed="1" showAll="0" defaultSubtotal="0">
      <items count="3">
        <item h="1" x="0"/>
        <item x="1"/>
        <item h="1" x="2"/>
      </items>
    </pivotField>
    <pivotField showAll="0" defaultSubtotal="0"/>
    <pivotField showAll="0" defaultSubtotal="0"/>
    <pivotField showAll="0" defaultSubtotal="0"/>
    <pivotField showAll="0" defaultSubtotal="0"/>
    <pivotField multipleItemSelectionAllowed="1" showAll="0" defaultSubtotal="0"/>
    <pivotField axis="axisPage" multipleItemSelectionAllowed="1" showAll="0" defaultSubtotal="0">
      <items count="3">
        <item h="1" x="1"/>
        <item h="1" x="2"/>
        <item x="0"/>
      </items>
    </pivotField>
    <pivotField axis="axisPage" multipleItemSelectionAllowed="1" showAll="0" defaultSubtotal="0">
      <items count="7">
        <item h="1" x="2"/>
        <item x="3"/>
        <item h="1" x="5"/>
        <item h="1" x="0"/>
        <item h="1" x="4"/>
        <item h="1" x="1"/>
        <item h="1" x="6"/>
      </items>
    </pivotField>
    <pivotField showAll="0" defaultSubtotal="0"/>
    <pivotField showAll="0" defaultSubtotal="0"/>
    <pivotField showAll="0" defaultSubtotal="0"/>
  </pivotFields>
  <rowFields count="1">
    <field x="2"/>
  </rowFields>
  <rowItems count="7">
    <i>
      <x v="1"/>
    </i>
    <i>
      <x v="3"/>
    </i>
    <i>
      <x v="5"/>
    </i>
    <i>
      <x v="7"/>
    </i>
    <i>
      <x v="9"/>
    </i>
    <i>
      <x v="10"/>
    </i>
    <i t="grand">
      <x/>
    </i>
  </rowItems>
  <colFields count="1">
    <field x="-2"/>
  </colFields>
  <colItems count="3">
    <i>
      <x/>
    </i>
    <i i="1">
      <x v="1"/>
    </i>
    <i i="2">
      <x v="2"/>
    </i>
  </colItems>
  <pageFields count="3">
    <pageField fld="44" hier="-1"/>
    <pageField fld="45" hier="-1"/>
    <pageField fld="38" hier="-1"/>
  </pageFields>
  <dataFields count="3">
    <dataField name="Winter Clothes Adult " fld="17" baseField="2" baseItem="6"/>
    <dataField name="Winter Clothes Children " fld="18" baseField="2" baseItem="6"/>
    <dataField name="Winter Blanket " fld="20" baseField="2" baseItem="6"/>
  </dataFields>
  <formats count="10">
    <format dxfId="721">
      <pivotArea outline="0" collapsedLevelsAreSubtotals="1" fieldPosition="0"/>
    </format>
    <format dxfId="720">
      <pivotArea type="all" dataOnly="0" outline="0" fieldPosition="0"/>
    </format>
    <format dxfId="719">
      <pivotArea field="44" type="button" dataOnly="0" labelOnly="1" outline="0" axis="axisPage" fieldPosition="0"/>
    </format>
    <format dxfId="718">
      <pivotArea dataOnly="0" labelOnly="1" outline="0" fieldPosition="0">
        <references count="1">
          <reference field="44" count="0"/>
        </references>
      </pivotArea>
    </format>
    <format dxfId="717">
      <pivotArea field="45" type="button" dataOnly="0" labelOnly="1" outline="0" axis="axisPage" fieldPosition="1"/>
    </format>
    <format dxfId="716">
      <pivotArea dataOnly="0" labelOnly="1" outline="0" fieldPosition="0">
        <references count="1">
          <reference field="45" count="0"/>
        </references>
      </pivotArea>
    </format>
    <format dxfId="715">
      <pivotArea field="38" type="button" dataOnly="0" labelOnly="1" outline="0" axis="axisPage" fieldPosition="2"/>
    </format>
    <format dxfId="714">
      <pivotArea dataOnly="0" labelOnly="1" outline="0" fieldPosition="0">
        <references count="1">
          <reference field="38" count="0"/>
        </references>
      </pivotArea>
    </format>
    <format dxfId="713">
      <pivotArea field="2" type="button" dataOnly="0" labelOnly="1" outline="0" axis="axisRow" fieldPosition="0"/>
    </format>
    <format dxfId="712">
      <pivotArea dataOnly="0" labelOnly="1" outline="0" fieldPosition="0">
        <references count="1">
          <reference field="4294967294" count="3">
            <x v="0"/>
            <x v="1"/>
            <x v="2"/>
          </reference>
        </references>
      </pivotArea>
    </format>
  </formats>
  <chartFormats count="3">
    <chartFormat chart="10" format="15" series="1">
      <pivotArea type="data" outline="0" fieldPosition="0">
        <references count="1">
          <reference field="4294967294" count="1" selected="0">
            <x v="0"/>
          </reference>
        </references>
      </pivotArea>
    </chartFormat>
    <chartFormat chart="10" format="16" series="1">
      <pivotArea type="data" outline="0" fieldPosition="0">
        <references count="1">
          <reference field="4294967294" count="1" selected="0">
            <x v="1"/>
          </reference>
        </references>
      </pivotArea>
    </chartFormat>
    <chartFormat chart="10" format="17"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3.xml><?xml version="1.0" encoding="utf-8"?>
<pivotTableDefinition xmlns="http://schemas.openxmlformats.org/spreadsheetml/2006/main" name="PivotTable3" cacheId="25" applyNumberFormats="0" applyBorderFormats="0" applyFontFormats="0" applyPatternFormats="0" applyAlignmentFormats="0" applyWidthHeightFormats="1" dataCaption="Values" updatedVersion="5" minRefreshableVersion="3" useAutoFormatting="1" colGrandTotals="0" itemPrintTitles="1" createdVersion="4" indent="0" outline="1" outlineData="1" multipleFieldFilters="0" chartFormat="8">
  <location ref="A63:F64" firstHeaderRow="0" firstDataRow="1" firstDataCol="0" rowPageCount="2" colPageCount="1"/>
  <pivotFields count="49">
    <pivotField showAll="0" defaultSubtotal="0"/>
    <pivotField showAll="0"/>
    <pivotField showAll="0"/>
    <pivotField showAll="0"/>
    <pivotField multipleItemSelectionAllowed="1" showAll="0"/>
    <pivotField showAll="0"/>
    <pivotField showAll="0"/>
    <pivotField showAll="0" defaultSubtotal="0"/>
    <pivotField name="NFI Core Kit2" showAll="0" defaultSubtotal="0"/>
    <pivotField showAll="0" defaultSubtotal="0"/>
    <pivotField dataField="1" showAll="0" defaultSubtotal="0"/>
    <pivotField name="Tarpaulin2" dataField="1" showAll="0" defaultSubtotal="0"/>
    <pivotField name="Blanket2" dataField="1" showAll="0" defaultSubtotal="0"/>
    <pivotField name="Kitchen Set2" dataField="1" showAll="0" defaultSubtotal="0"/>
    <pivotField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Page" multipleItemSelectionAllowed="1" showAll="0" defaultSubtotal="0">
      <items count="5">
        <item x="2"/>
        <item x="0"/>
        <item x="4"/>
        <item x="3"/>
        <item x="1"/>
      </items>
    </pivotField>
    <pivotField axis="axisPage" multipleItemSelectionAllowed="1" showAll="0" defaultSubtotal="0">
      <items count="3">
        <item h="1" x="1"/>
        <item h="1" x="2"/>
        <item x="0"/>
      </items>
    </pivotField>
    <pivotField showAll="0" defaultSubtotal="0"/>
    <pivotField showAll="0" defaultSubtotal="0"/>
    <pivotField showAll="0" defaultSubtotal="0"/>
    <pivotField showAll="0" defaultSubtotal="0"/>
  </pivotFields>
  <rowItems count="1">
    <i/>
  </rowItems>
  <colFields count="1">
    <field x="-2"/>
  </colFields>
  <colItems count="6">
    <i>
      <x/>
    </i>
    <i i="1">
      <x v="1"/>
    </i>
    <i i="2">
      <x v="2"/>
    </i>
    <i i="3">
      <x v="3"/>
    </i>
    <i i="4">
      <x v="4"/>
    </i>
    <i i="5">
      <x v="5"/>
    </i>
  </colItems>
  <pageFields count="2">
    <pageField fld="44" hier="-1"/>
    <pageField fld="43" hier="-1"/>
  </pageFields>
  <dataFields count="6">
    <dataField name="Mosquito net " fld="10" baseField="0" baseItem="0"/>
    <dataField name="Tarpaulin" fld="11" baseField="0" baseItem="0"/>
    <dataField name="Blanket" fld="12" baseField="0" baseItem="0"/>
    <dataField name="Kitchen Set" fld="13" baseField="0" baseItem="0"/>
    <dataField name="Plastic Bucket " fld="15" baseField="0" baseItem="0"/>
    <dataField name="Plastic Mat " fld="16" baseField="0" baseItem="0"/>
  </dataFields>
  <formats count="2">
    <format dxfId="723">
      <pivotArea outline="0" collapsedLevelsAreSubtotals="1" fieldPosition="0"/>
    </format>
    <format dxfId="722">
      <pivotArea type="all" dataOnly="0" outline="0" fieldPosition="0"/>
    </format>
  </formats>
  <chartFormats count="6">
    <chartFormat chart="5" format="35" series="1">
      <pivotArea type="data" outline="0" fieldPosition="0">
        <references count="1">
          <reference field="4294967294" count="1" selected="0">
            <x v="0"/>
          </reference>
        </references>
      </pivotArea>
    </chartFormat>
    <chartFormat chart="5" format="36" series="1">
      <pivotArea type="data" outline="0" fieldPosition="0">
        <references count="1">
          <reference field="4294967294" count="1" selected="0">
            <x v="1"/>
          </reference>
        </references>
      </pivotArea>
    </chartFormat>
    <chartFormat chart="5" format="37" series="1">
      <pivotArea type="data" outline="0" fieldPosition="0">
        <references count="1">
          <reference field="4294967294" count="1" selected="0">
            <x v="2"/>
          </reference>
        </references>
      </pivotArea>
    </chartFormat>
    <chartFormat chart="5" format="38" series="1">
      <pivotArea type="data" outline="0" fieldPosition="0">
        <references count="1">
          <reference field="4294967294" count="1" selected="0">
            <x v="3"/>
          </reference>
        </references>
      </pivotArea>
    </chartFormat>
    <chartFormat chart="5" format="40" series="1">
      <pivotArea type="data" outline="0" fieldPosition="0">
        <references count="1">
          <reference field="4294967294" count="1" selected="0">
            <x v="4"/>
          </reference>
        </references>
      </pivotArea>
    </chartFormat>
    <chartFormat chart="5" format="41"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4.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Q16:T21" firstHeaderRow="0" firstDataRow="1" firstDataCol="1"/>
  <pivotFields count="14">
    <pivotField showAll="0"/>
    <pivotField axis="axisRow" showAll="0">
      <items count="5">
        <item x="0"/>
        <item x="1"/>
        <item x="2"/>
        <item x="3"/>
        <item t="default"/>
      </items>
    </pivotField>
    <pivotField showAll="0"/>
    <pivotField showAll="0"/>
    <pivotField showAll="0"/>
    <pivotField showAll="0"/>
    <pivotField showAll="0"/>
    <pivotField showAll="0"/>
    <pivotField showAll="0"/>
    <pivotField dataField="1" showAll="0"/>
    <pivotField dataField="1" showAll="0"/>
    <pivotField dataField="1" showAll="0"/>
    <pivotField showAll="0" defaultSubtotal="0"/>
    <pivotField showAll="0" defaultSubtotal="0"/>
  </pivotFields>
  <rowFields count="1">
    <field x="1"/>
  </rowFields>
  <rowItems count="5">
    <i>
      <x/>
    </i>
    <i>
      <x v="1"/>
    </i>
    <i>
      <x v="2"/>
    </i>
    <i>
      <x v="3"/>
    </i>
    <i t="grand">
      <x/>
    </i>
  </rowItems>
  <colFields count="1">
    <field x="-2"/>
  </colFields>
  <colItems count="3">
    <i>
      <x/>
    </i>
    <i i="1">
      <x v="1"/>
    </i>
    <i i="2">
      <x v="2"/>
    </i>
  </colItems>
  <dataFields count="3">
    <dataField name="Sum of WC_Adult_Gap" fld="9" baseField="0" baseItem="0"/>
    <dataField name="Sum of WC_Child_Gap" fld="10" baseField="0" baseItem="0"/>
    <dataField name="Sum of WI_Other_Gap" fld="11" baseField="0" baseItem="0"/>
  </dataFields>
  <formats count="2">
    <format dxfId="711">
      <pivotArea outline="0" collapsedLevelsAreSubtotals="1" fieldPosition="0"/>
    </format>
    <format dxfId="71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5.xml><?xml version="1.0" encoding="utf-8"?>
<pivotTableDefinition xmlns="http://schemas.openxmlformats.org/spreadsheetml/2006/main" name="PivotTable1" cacheId="0" dataPosition="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2">
  <location ref="G44:M48" firstHeaderRow="0" firstDataRow="1" firstDataCol="1" rowPageCount="2" colPageCount="1"/>
  <pivotFields count="48">
    <pivotField showAll="0"/>
    <pivotField showAll="0"/>
    <pivotField axis="axisRow" showAll="0">
      <items count="17">
        <item x="8"/>
        <item x="11"/>
        <item x="5"/>
        <item x="2"/>
        <item x="6"/>
        <item x="9"/>
        <item x="4"/>
        <item x="10"/>
        <item x="12"/>
        <item x="7"/>
        <item x="1"/>
        <item x="0"/>
        <item x="13"/>
        <item x="3"/>
        <item m="1" x="15"/>
        <item x="14"/>
        <item t="default"/>
      </items>
    </pivotField>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3">
        <item x="1"/>
        <item h="1" m="1" x="15"/>
        <item m="1" x="20"/>
        <item m="1" x="10"/>
        <item m="1" x="5"/>
        <item m="1" x="38"/>
        <item m="1" x="36"/>
        <item m="1" x="33"/>
        <item m="1" x="28"/>
        <item m="1" x="23"/>
        <item m="1" x="29"/>
        <item m="1" x="24"/>
        <item m="1" x="22"/>
        <item m="1" x="18"/>
        <item m="1" x="14"/>
        <item m="1" x="11"/>
        <item m="1" x="6"/>
        <item m="1" x="39"/>
        <item m="1" x="34"/>
        <item m="1" x="25"/>
        <item m="1" x="30"/>
        <item m="1" x="19"/>
        <item m="1" x="12"/>
        <item m="1" x="8"/>
        <item m="1" x="41"/>
        <item m="1" x="37"/>
        <item m="1" x="35"/>
        <item m="1" x="31"/>
        <item m="1" x="26"/>
        <item m="1" x="17"/>
        <item m="1" x="13"/>
        <item m="1" x="9"/>
        <item m="1" x="40"/>
        <item m="1" x="27"/>
        <item m="1" x="16"/>
        <item m="1" x="32"/>
        <item m="1" x="21"/>
        <item h="1" x="0"/>
        <item x="2"/>
        <item h="1" x="4"/>
        <item h="1" x="3"/>
        <item h="1" m="1" x="7"/>
        <item t="default"/>
      </items>
    </pivotField>
    <pivotField axis="axisPage" multipleItemSelectionAllowed="1" showAll="0">
      <items count="5">
        <item h="1" x="2"/>
        <item h="1" x="1"/>
        <item x="0"/>
        <item h="1" m="1" x="3"/>
        <item t="default"/>
      </items>
    </pivotField>
    <pivotField showAll="0"/>
    <pivotField showAll="0"/>
    <pivotField showAll="0"/>
  </pivotFields>
  <rowFields count="1">
    <field x="2"/>
  </rowFields>
  <rowItems count="4">
    <i>
      <x v="10"/>
    </i>
    <i>
      <x v="11"/>
    </i>
    <i>
      <x v="15"/>
    </i>
    <i t="grand">
      <x/>
    </i>
  </rowItems>
  <colFields count="1">
    <field x="-2"/>
  </colFields>
  <colItems count="6">
    <i>
      <x/>
    </i>
    <i i="1">
      <x v="1"/>
    </i>
    <i i="2">
      <x v="2"/>
    </i>
    <i i="3">
      <x v="3"/>
    </i>
    <i i="4">
      <x v="4"/>
    </i>
    <i i="5">
      <x v="5"/>
    </i>
  </colItems>
  <pageFields count="2">
    <pageField fld="44" hier="-1"/>
    <pageField fld="43" hier="-1"/>
  </pageFields>
  <dataFields count="6">
    <dataField name="Mosquito net " fld="10" baseField="2" baseItem="10"/>
    <dataField name="Tarpaulin " fld="11" baseField="2" baseItem="10"/>
    <dataField name="Blanket " fld="12" baseField="2" baseItem="10"/>
    <dataField name="Kitchen Set " fld="13" baseField="2" baseItem="10"/>
    <dataField name="Plastic Bucket " fld="15" baseField="2" baseItem="10"/>
    <dataField name="Plastic Mat " fld="16" baseField="2" baseItem="10"/>
  </dataFields>
  <chartFormats count="6">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3"/>
          </reference>
        </references>
      </pivotArea>
    </chartFormat>
    <chartFormat chart="0" format="3" series="1">
      <pivotArea type="data" outline="0" fieldPosition="0">
        <references count="1">
          <reference field="4294967294" count="1" selected="0">
            <x v="2"/>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6.xml><?xml version="1.0" encoding="utf-8"?>
<pivotTableDefinition xmlns="http://schemas.openxmlformats.org/spreadsheetml/2006/main" name="PivotTable5" cacheId="25" applyNumberFormats="0" applyBorderFormats="0" applyFontFormats="0" applyPatternFormats="0" applyAlignmentFormats="0" applyWidthHeightFormats="1" dataCaption="Values" updatedVersion="5" minRefreshableVersion="3" showDrill="0" useAutoFormatting="1" itemPrintTitles="1" createdVersion="4" indent="0" outline="1" outlineData="1" multipleFieldFilters="0" chartFormat="2">
  <location ref="C49:I50" firstHeaderRow="0" firstDataRow="1" firstDataCol="1" rowPageCount="2" colPageCount="1"/>
  <pivotFields count="49">
    <pivotField showAll="0"/>
    <pivotField showAll="0"/>
    <pivotField axis="axisRow" showAll="0">
      <items count="16">
        <item x="9"/>
        <item h="1" x="7"/>
        <item h="1" x="13"/>
        <item x="8"/>
        <item x="11"/>
        <item x="5"/>
        <item x="12"/>
        <item x="6"/>
        <item x="3"/>
        <item x="10"/>
        <item x="2"/>
        <item x="1"/>
        <item x="4"/>
        <item x="14"/>
        <item h="1" x="0"/>
        <item t="default"/>
      </items>
    </pivotField>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
        <item h="1" x="0"/>
        <item x="2"/>
        <item h="1" x="4"/>
        <item h="1" x="3"/>
        <item h="1" x="1"/>
        <item t="default"/>
      </items>
    </pivotField>
    <pivotField axis="axisPage" multipleItemSelectionAllowed="1" showAll="0">
      <items count="4">
        <item h="1" x="1"/>
        <item h="1" x="2"/>
        <item x="0"/>
        <item t="default"/>
      </items>
    </pivotField>
    <pivotField showAll="0"/>
    <pivotField showAll="0"/>
    <pivotField showAll="0"/>
    <pivotField showAll="0"/>
  </pivotFields>
  <rowFields count="1">
    <field x="2"/>
  </rowFields>
  <rowItems count="1">
    <i t="grand">
      <x/>
    </i>
  </rowItems>
  <colFields count="1">
    <field x="-2"/>
  </colFields>
  <colItems count="6">
    <i>
      <x/>
    </i>
    <i i="1">
      <x v="1"/>
    </i>
    <i i="2">
      <x v="2"/>
    </i>
    <i i="3">
      <x v="3"/>
    </i>
    <i i="4">
      <x v="4"/>
    </i>
    <i i="5">
      <x v="5"/>
    </i>
  </colItems>
  <pageFields count="2">
    <pageField fld="43" hier="-1"/>
    <pageField fld="44" hier="-1"/>
  </pageFields>
  <dataFields count="6">
    <dataField name="Mosquito  net" fld="10" baseField="2" baseItem="4"/>
    <dataField name="Tarpaulin " fld="11" baseField="2" baseItem="4"/>
    <dataField name="Blanket " fld="12" baseField="2" baseItem="4"/>
    <dataField name="Kitchen Set " fld="13" baseField="2" baseItem="4"/>
    <dataField name="Plastic Bucket " fld="15" baseField="2" baseItem="4"/>
    <dataField name="Plastic Mat " fld="16" baseField="2" baseItem="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3" cacheId="18"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location ref="A56:D61" firstHeaderRow="1" firstDataRow="2" firstDataCol="1" rowPageCount="2" colPageCount="1"/>
  <pivotFields count="37">
    <pivotField axis="axisPage" multipleItemSelectionAllowed="1" showAll="0">
      <items count="3">
        <item x="0"/>
        <item h="1" x="1"/>
        <item t="default"/>
      </items>
    </pivotField>
    <pivotField showAll="0"/>
    <pivotField showAll="0" defaultSubtotal="0"/>
    <pivotField showAll="0"/>
    <pivotField showAll="0" defaultSubtotal="0"/>
    <pivotField showAll="0" defaultSubtotal="0"/>
    <pivotField showAll="0" defaultSubtotal="0"/>
    <pivotField showAll="0" defaultSubtotal="0"/>
    <pivotField showAll="0" defaultSubtotal="0"/>
    <pivotField showAll="0"/>
    <pivotField showAll="0" defaultSubtotal="0"/>
    <pivotField showAll="0" defaultSubtotal="0"/>
    <pivotField showAll="0" defaultSubtotal="0"/>
    <pivotField showAll="0"/>
    <pivotField showAll="0" defaultSubtotal="0"/>
    <pivotField showAll="0" defaultSubtotal="0"/>
    <pivotField showAll="0"/>
    <pivotField dataField="1" showAll="0"/>
    <pivotField showAll="0"/>
    <pivotField axis="axisCol" showAll="0">
      <items count="3">
        <item x="0"/>
        <item x="1"/>
        <item t="default"/>
      </items>
    </pivotField>
    <pivotField axis="axisPage" multipleItemSelectionAllowed="1" showAll="0" defaultSubtotal="0">
      <items count="2">
        <item h="1" x="1"/>
        <item x="0"/>
      </items>
    </pivotField>
    <pivotField axis="axisRow" showAll="0">
      <items count="6">
        <item x="0"/>
        <item x="1"/>
        <item x="4"/>
        <item x="3"/>
        <item x="2"/>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21"/>
  </rowFields>
  <rowItems count="4">
    <i>
      <x/>
    </i>
    <i>
      <x v="1"/>
    </i>
    <i>
      <x v="2"/>
    </i>
    <i t="grand">
      <x/>
    </i>
  </rowItems>
  <colFields count="1">
    <field x="19"/>
  </colFields>
  <colItems count="3">
    <i>
      <x/>
    </i>
    <i>
      <x v="1"/>
    </i>
    <i t="grand">
      <x/>
    </i>
  </colItems>
  <pageFields count="2">
    <pageField fld="0" hier="-1"/>
    <pageField fld="20" hier="-1"/>
  </pageFields>
  <dataFields count="1">
    <dataField name="Sum of Total" fld="17" baseField="20" baseItem="0" numFmtId="3"/>
  </dataFields>
  <formats count="6">
    <format dxfId="1944">
      <pivotArea field="0" type="button" dataOnly="0" labelOnly="1" outline="0" axis="axisPage" fieldPosition="0"/>
    </format>
    <format dxfId="1943">
      <pivotArea dataOnly="0" labelOnly="1" outline="0" fieldPosition="0">
        <references count="1">
          <reference field="0" count="0"/>
        </references>
      </pivotArea>
    </format>
    <format dxfId="1942">
      <pivotArea type="all" dataOnly="0" outline="0" fieldPosition="0"/>
    </format>
    <format dxfId="1941">
      <pivotArea type="all" dataOnly="0" outline="0" fieldPosition="0"/>
    </format>
    <format dxfId="1940">
      <pivotArea collapsedLevelsAreSubtotals="1" fieldPosition="0">
        <references count="1">
          <reference field="21" count="4">
            <x v="0"/>
            <x v="1"/>
            <x v="2"/>
            <x v="3"/>
          </reference>
        </references>
      </pivotArea>
    </format>
    <format dxfId="1939">
      <pivotArea dataOnly="0" labelOnly="1" fieldPosition="0">
        <references count="1">
          <reference field="21"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4" cacheId="18" dataPosition="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chartFormat="6">
  <location ref="A46:D49" firstHeaderRow="1" firstDataRow="2" firstDataCol="1" rowPageCount="2" colPageCount="1"/>
  <pivotFields count="37">
    <pivotField axis="axisRow" multipleItemSelectionAllowed="1" showAll="0">
      <items count="3">
        <item x="0"/>
        <item h="1" x="1"/>
        <item t="default"/>
      </items>
    </pivotField>
    <pivotField axis="axisPage" subtotalTop="0" multipleItemSelectionAllowed="1" showAll="0">
      <items count="3">
        <item x="0"/>
        <item x="1"/>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pivotField showAll="0" defaultSubtotal="0"/>
    <pivotField showAll="0" defaultSubtotal="0"/>
    <pivotField subtotalTop="0" showAll="0"/>
    <pivotField dataField="1" subtotalTop="0" showAll="0"/>
    <pivotField showAll="0" defaultSubtotal="0"/>
    <pivotField axis="axisCol" showAll="0" defaultSubtotal="0">
      <items count="2">
        <item x="0"/>
        <item x="1"/>
      </items>
    </pivotField>
    <pivotField axis="axisPage" showAll="0" defaultSubtotal="0">
      <items count="2">
        <item x="1"/>
        <item x="0"/>
      </items>
    </pivotField>
    <pivotField subtotalTop="0"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0"/>
  </rowFields>
  <rowItems count="2">
    <i>
      <x/>
    </i>
    <i t="grand">
      <x/>
    </i>
  </rowItems>
  <colFields count="1">
    <field x="19"/>
  </colFields>
  <colItems count="3">
    <i>
      <x/>
    </i>
    <i>
      <x v="1"/>
    </i>
    <i t="grand">
      <x/>
    </i>
  </colItems>
  <pageFields count="2">
    <pageField fld="1" hier="-1"/>
    <pageField fld="20" item="1" hier="-1"/>
  </pageFields>
  <dataFields count="1">
    <dataField name="Sum of Total" fld="17" baseField="2" baseItem="0"/>
  </dataFields>
  <formats count="13">
    <format dxfId="1957">
      <pivotArea type="all" dataOnly="0" outline="0" fieldPosition="0"/>
    </format>
    <format dxfId="1956">
      <pivotArea field="1" type="button" dataOnly="0" labelOnly="1" outline="0" axis="axisPage" fieldPosition="0"/>
    </format>
    <format dxfId="1955">
      <pivotArea grandRow="1" outline="0" collapsedLevelsAreSubtotals="1" fieldPosition="0"/>
    </format>
    <format dxfId="1954">
      <pivotArea dataOnly="0" labelOnly="1" grandRow="1" outline="0" fieldPosition="0"/>
    </format>
    <format dxfId="1953">
      <pivotArea outline="0" collapsedLevelsAreSubtotals="1" fieldPosition="0"/>
    </format>
    <format dxfId="1952">
      <pivotArea dataOnly="0" labelOnly="1" fieldPosition="0">
        <references count="1">
          <reference field="0" count="0"/>
        </references>
      </pivotArea>
    </format>
    <format dxfId="1951">
      <pivotArea dataOnly="0" labelOnly="1" grandRow="1" outline="0" fieldPosition="0"/>
    </format>
    <format dxfId="1950">
      <pivotArea type="topRight" dataOnly="0" labelOnly="1" outline="0" fieldPosition="0"/>
    </format>
    <format dxfId="1949">
      <pivotArea type="all" dataOnly="0" outline="0" fieldPosition="0"/>
    </format>
    <format dxfId="1948">
      <pivotArea dataOnly="0" labelOnly="1" outline="0" fieldPosition="0">
        <references count="1">
          <reference field="1" count="0"/>
        </references>
      </pivotArea>
    </format>
    <format dxfId="1947">
      <pivotArea type="all" dataOnly="0" outline="0" fieldPosition="0"/>
    </format>
    <format dxfId="1946">
      <pivotArea collapsedLevelsAreSubtotals="1" fieldPosition="0">
        <references count="1">
          <reference field="0" count="0"/>
        </references>
      </pivotArea>
    </format>
    <format dxfId="1945">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2" cacheId="18" dataPosition="0"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chartFormat="11">
  <location ref="P11:Q31" firstHeaderRow="1" firstDataRow="1" firstDataCol="1" rowPageCount="2" colPageCount="1"/>
  <pivotFields count="37">
    <pivotField axis="axisPage" multipleItemSelectionAllowed="1" showAll="0">
      <items count="3">
        <item h="1" x="1"/>
        <item x="0"/>
        <item t="default"/>
      </items>
    </pivotField>
    <pivotField axis="axisPage" subtotalTop="0" multipleItemSelectionAllowed="1" showAll="0">
      <items count="3">
        <item x="0"/>
        <item x="1"/>
        <item t="default"/>
      </items>
    </pivotField>
    <pivotField showAll="0" defaultSubtotal="0"/>
    <pivotField showAll="0" defaultSubtotal="0"/>
    <pivotField showAll="0" defaultSubtotal="0"/>
    <pivotField axis="axisRow" showAll="0" defaultSubtotal="0">
      <items count="22">
        <item x="5"/>
        <item x="4"/>
        <item x="1"/>
        <item x="20"/>
        <item x="16"/>
        <item x="15"/>
        <item x="13"/>
        <item x="17"/>
        <item x="7"/>
        <item x="14"/>
        <item x="10"/>
        <item x="11"/>
        <item x="6"/>
        <item x="12"/>
        <item x="0"/>
        <item x="3"/>
        <item x="18"/>
        <item x="9"/>
        <item x="8"/>
        <item x="19"/>
        <item x="2"/>
        <item x="21"/>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pivotField showAll="0" defaultSubtotal="0"/>
    <pivotField showAll="0" defaultSubtotal="0"/>
    <pivotField subtotalTop="0" showAll="0"/>
    <pivotField dataField="1" subtotalTop="0" showAll="0"/>
    <pivotField showAll="0" defaultSubtotal="0"/>
    <pivotField showAll="0" defaultSubtotal="0"/>
    <pivotField showAll="0" defaultSubtotal="0"/>
    <pivotField subtotalTop="0"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5"/>
  </rowFields>
  <rowItems count="20">
    <i>
      <x/>
    </i>
    <i>
      <x v="1"/>
    </i>
    <i>
      <x v="2"/>
    </i>
    <i>
      <x v="3"/>
    </i>
    <i>
      <x v="6"/>
    </i>
    <i>
      <x v="8"/>
    </i>
    <i>
      <x v="9"/>
    </i>
    <i>
      <x v="10"/>
    </i>
    <i>
      <x v="11"/>
    </i>
    <i>
      <x v="12"/>
    </i>
    <i>
      <x v="13"/>
    </i>
    <i>
      <x v="14"/>
    </i>
    <i>
      <x v="15"/>
    </i>
    <i>
      <x v="16"/>
    </i>
    <i>
      <x v="17"/>
    </i>
    <i>
      <x v="18"/>
    </i>
    <i>
      <x v="19"/>
    </i>
    <i>
      <x v="20"/>
    </i>
    <i>
      <x v="21"/>
    </i>
    <i t="grand">
      <x/>
    </i>
  </rowItems>
  <colItems count="1">
    <i/>
  </colItems>
  <pageFields count="2">
    <pageField fld="1" hier="-1"/>
    <pageField fld="0" hier="-1"/>
  </pageFields>
  <dataFields count="1">
    <dataField name="Population" fld="17" baseField="5" baseItem="22"/>
  </dataFields>
  <formats count="5">
    <format dxfId="1962">
      <pivotArea type="all" dataOnly="0" outline="0" fieldPosition="0"/>
    </format>
    <format dxfId="1961">
      <pivotArea field="1" type="button" dataOnly="0" labelOnly="1" outline="0" axis="axisPage" fieldPosition="0"/>
    </format>
    <format dxfId="1960">
      <pivotArea dataOnly="0" labelOnly="1" outline="0" fieldPosition="0">
        <references count="1">
          <reference field="4294967294" count="1">
            <x v="0"/>
          </reference>
        </references>
      </pivotArea>
    </format>
    <format dxfId="1959">
      <pivotArea grandRow="1" outline="0" collapsedLevelsAreSubtotals="1" fieldPosition="0"/>
    </format>
    <format dxfId="1958">
      <pivotArea dataOnly="0" labelOnly="1" grandRow="1" outline="0" fieldPosition="0"/>
    </format>
  </formats>
  <chartFormats count="2">
    <chartFormat chart="4" format="2"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5" minRefreshableVersion="3" useAutoFormatting="1" itemPrintTitles="1" createdVersion="4" indent="0" outline="1" outlineData="1" multipleFieldFilters="0" chartFormat="6">
  <location ref="A9:C29" firstHeaderRow="0" firstDataRow="1" firstDataCol="1" rowPageCount="3" colPageCount="1"/>
  <pivotFields count="37">
    <pivotField axis="axisPage" showAll="0">
      <items count="3">
        <item x="1"/>
        <item x="0"/>
        <item t="default"/>
      </items>
    </pivotField>
    <pivotField axis="axisPage" showAll="0">
      <items count="3">
        <item x="0"/>
        <item x="1"/>
        <item t="default"/>
      </items>
    </pivotField>
    <pivotField showAll="0"/>
    <pivotField showAll="0"/>
    <pivotField showAll="0"/>
    <pivotField axis="axisRow" showAll="0">
      <items count="23">
        <item x="5"/>
        <item x="4"/>
        <item x="1"/>
        <item x="20"/>
        <item x="21"/>
        <item x="16"/>
        <item x="15"/>
        <item x="13"/>
        <item x="17"/>
        <item x="7"/>
        <item x="14"/>
        <item x="10"/>
        <item x="11"/>
        <item x="6"/>
        <item x="12"/>
        <item x="0"/>
        <item x="3"/>
        <item x="18"/>
        <item x="9"/>
        <item x="8"/>
        <item x="19"/>
        <item x="2"/>
        <item t="default"/>
      </items>
    </pivotField>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20">
    <i>
      <x/>
    </i>
    <i>
      <x v="1"/>
    </i>
    <i>
      <x v="2"/>
    </i>
    <i>
      <x v="3"/>
    </i>
    <i>
      <x v="4"/>
    </i>
    <i>
      <x v="7"/>
    </i>
    <i>
      <x v="9"/>
    </i>
    <i>
      <x v="10"/>
    </i>
    <i>
      <x v="11"/>
    </i>
    <i>
      <x v="12"/>
    </i>
    <i>
      <x v="13"/>
    </i>
    <i>
      <x v="14"/>
    </i>
    <i>
      <x v="15"/>
    </i>
    <i>
      <x v="16"/>
    </i>
    <i>
      <x v="17"/>
    </i>
    <i>
      <x v="18"/>
    </i>
    <i>
      <x v="19"/>
    </i>
    <i>
      <x v="20"/>
    </i>
    <i>
      <x v="21"/>
    </i>
    <i t="grand">
      <x/>
    </i>
  </rowItems>
  <colFields count="1">
    <field x="-2"/>
  </colFields>
  <colItems count="2">
    <i>
      <x/>
    </i>
    <i i="1">
      <x v="1"/>
    </i>
  </colItems>
  <pageFields count="3">
    <pageField fld="1" hier="-1"/>
    <pageField fld="20" item="1" hier="-1"/>
    <pageField fld="0" item="1" hier="-1"/>
  </pageFields>
  <dataFields count="2">
    <dataField name="Sum of HH" fld="16" baseField="5" baseItem="0"/>
    <dataField name="Sum of Total" fld="17" baseField="5"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7" cacheId="18" applyNumberFormats="0" applyBorderFormats="0" applyFontFormats="0" applyPatternFormats="0" applyAlignmentFormats="0" applyWidthHeightFormats="1" dataCaption="Values" updatedVersion="5" minRefreshableVersion="3" showDrill="0" showDataTips="0" itemPrintTitles="1" createdVersion="4" indent="0" compact="0" compactData="0" multipleFieldFilters="0">
  <location ref="A7:J194" firstHeaderRow="0" firstDataRow="1" firstDataCol="7" rowPageCount="2" colPageCount="1"/>
  <pivotFields count="37">
    <pivotField axis="axisPage" compact="0" outline="0" multipleItemSelectionAllowed="1" showAll="0">
      <items count="3">
        <item x="0"/>
        <item h="1" x="1"/>
        <item t="default"/>
      </items>
    </pivotField>
    <pivotField axis="axisRow" dataField="1" compact="0" outline="0" showAll="0">
      <items count="3">
        <item x="0"/>
        <item x="1"/>
        <item t="default"/>
      </items>
    </pivotField>
    <pivotField compact="0" outline="0" showAll="0" defaultSubtotal="0"/>
    <pivotField compact="0" outline="0" showAll="0"/>
    <pivotField compact="0" outline="0" showAll="0" defaultSubtotal="0"/>
    <pivotField axis="axisRow" compact="0" outline="0" showAll="0">
      <items count="23">
        <item x="5"/>
        <item x="4"/>
        <item x="1"/>
        <item x="20"/>
        <item x="16"/>
        <item x="15"/>
        <item x="13"/>
        <item x="17"/>
        <item x="7"/>
        <item x="14"/>
        <item x="10"/>
        <item x="11"/>
        <item x="6"/>
        <item x="12"/>
        <item x="0"/>
        <item x="3"/>
        <item x="18"/>
        <item x="9"/>
        <item x="8"/>
        <item x="19"/>
        <item x="2"/>
        <item x="21"/>
        <item t="default"/>
      </items>
    </pivotField>
    <pivotField compact="0" outline="0" showAll="0" defaultSubtotal="0"/>
    <pivotField compact="0" outline="0" showAll="0" defaultSubtotal="0"/>
    <pivotField compact="0" outline="0" showAll="0" defaultSubtotal="0"/>
    <pivotField compact="0" outline="0" showAll="0"/>
    <pivotField compact="0" outline="0" showAll="0" defaultSubtotal="0"/>
    <pivotField axis="axisRow" compact="0" outline="0" showAll="0" defaultSubtotal="0">
      <items count="278">
        <item x="16"/>
        <item x="147"/>
        <item x="138"/>
        <item x="48"/>
        <item x="145"/>
        <item x="155"/>
        <item x="34"/>
        <item x="163"/>
        <item x="43"/>
        <item x="45"/>
        <item x="57"/>
        <item x="58"/>
        <item x="73"/>
        <item x="139"/>
        <item x="79"/>
        <item x="80"/>
        <item x="81"/>
        <item x="108"/>
        <item x="121"/>
        <item x="105"/>
        <item x="83"/>
        <item x="41"/>
        <item x="84"/>
        <item x="140"/>
        <item x="11"/>
        <item x="9"/>
        <item x="10"/>
        <item x="118"/>
        <item x="85"/>
        <item x="86"/>
        <item x="222"/>
        <item x="226"/>
        <item x="90"/>
        <item x="27"/>
        <item x="110"/>
        <item x="131"/>
        <item x="160"/>
        <item x="92"/>
        <item x="136"/>
        <item x="96"/>
        <item x="186"/>
        <item x="42"/>
        <item x="117"/>
        <item x="50"/>
        <item x="173"/>
        <item x="94"/>
        <item x="17"/>
        <item x="18"/>
        <item x="116"/>
        <item x="97"/>
        <item x="167"/>
        <item x="171"/>
        <item x="174"/>
        <item x="176"/>
        <item x="12"/>
        <item x="76"/>
        <item x="102"/>
        <item x="103"/>
        <item x="132"/>
        <item x="44"/>
        <item x="120"/>
        <item x="130"/>
        <item x="106"/>
        <item x="14"/>
        <item x="13"/>
        <item x="165"/>
        <item x="150"/>
        <item x="137"/>
        <item x="47"/>
        <item x="70"/>
        <item x="68"/>
        <item x="69"/>
        <item x="107"/>
        <item x="109"/>
        <item x="112"/>
        <item x="26"/>
        <item x="114"/>
        <item x="63"/>
        <item x="30"/>
        <item x="28"/>
        <item x="39"/>
        <item x="38"/>
        <item x="183"/>
        <item x="15"/>
        <item x="61"/>
        <item x="7"/>
        <item x="113"/>
        <item x="126"/>
        <item x="62"/>
        <item x="166"/>
        <item x="124"/>
        <item x="123"/>
        <item x="125"/>
        <item x="127"/>
        <item x="128"/>
        <item x="95"/>
        <item x="220"/>
        <item x="75"/>
        <item x="65"/>
        <item x="129"/>
        <item x="141"/>
        <item x="142"/>
        <item x="143"/>
        <item x="144"/>
        <item x="146"/>
        <item x="148"/>
        <item x="149"/>
        <item x="19"/>
        <item x="20"/>
        <item x="151"/>
        <item x="156"/>
        <item x="157"/>
        <item x="158"/>
        <item x="87"/>
        <item x="159"/>
        <item x="164"/>
        <item x="179"/>
        <item x="55"/>
        <item x="169"/>
        <item x="100"/>
        <item x="89"/>
        <item x="177"/>
        <item x="178"/>
        <item x="91"/>
        <item x="184"/>
        <item x="180"/>
        <item x="49"/>
        <item x="181"/>
        <item x="60"/>
        <item x="182"/>
        <item x="88"/>
        <item x="35"/>
        <item x="56"/>
        <item x="206"/>
        <item x="54"/>
        <item x="217"/>
        <item x="98"/>
        <item x="93"/>
        <item x="187"/>
        <item x="189"/>
        <item x="191"/>
        <item x="161"/>
        <item x="170"/>
        <item x="221"/>
        <item x="23"/>
        <item x="52"/>
        <item x="99"/>
        <item x="208"/>
        <item x="218"/>
        <item x="77"/>
        <item x="210"/>
        <item x="32"/>
        <item x="133"/>
        <item x="219"/>
        <item x="223"/>
        <item x="122"/>
        <item x="224"/>
        <item x="1"/>
        <item x="71"/>
        <item x="135"/>
        <item x="119"/>
        <item x="175"/>
        <item x="225"/>
        <item x="162"/>
        <item x="64"/>
        <item x="134"/>
        <item x="31"/>
        <item x="24"/>
        <item x="29"/>
        <item x="25"/>
        <item x="152"/>
        <item x="46"/>
        <item x="227"/>
        <item x="153"/>
        <item x="231"/>
        <item x="72"/>
        <item x="5"/>
        <item x="6"/>
        <item x="40"/>
        <item x="66"/>
        <item x="67"/>
        <item x="8"/>
        <item x="239"/>
        <item x="78"/>
        <item x="240"/>
        <item x="172"/>
        <item x="53"/>
        <item x="256"/>
        <item x="59"/>
        <item x="0"/>
        <item x="3"/>
        <item x="2"/>
        <item x="4"/>
        <item x="36"/>
        <item x="263"/>
        <item x="264"/>
        <item x="74"/>
        <item x="37"/>
        <item x="265"/>
        <item x="266"/>
        <item x="154"/>
        <item x="111"/>
        <item x="268"/>
        <item x="269"/>
        <item x="21"/>
        <item x="51"/>
        <item x="101"/>
        <item x="271"/>
        <item x="185"/>
        <item x="188"/>
        <item x="190"/>
        <item x="262"/>
        <item x="82"/>
        <item x="192"/>
        <item x="228"/>
        <item x="229"/>
        <item x="193"/>
        <item x="232"/>
        <item x="194"/>
        <item x="230"/>
        <item x="195"/>
        <item x="233"/>
        <item x="196"/>
        <item x="197"/>
        <item x="198"/>
        <item x="168"/>
        <item x="216"/>
        <item x="104"/>
        <item x="115"/>
        <item x="22"/>
        <item x="270"/>
        <item x="199"/>
        <item x="234"/>
        <item x="200"/>
        <item x="201"/>
        <item x="202"/>
        <item x="203"/>
        <item x="204"/>
        <item x="205"/>
        <item x="235"/>
        <item x="207"/>
        <item x="236"/>
        <item x="241"/>
        <item x="242"/>
        <item x="243"/>
        <item x="237"/>
        <item x="238"/>
        <item x="244"/>
        <item x="245"/>
        <item x="33"/>
        <item x="209"/>
        <item x="261"/>
        <item x="211"/>
        <item x="212"/>
        <item x="246"/>
        <item x="247"/>
        <item x="248"/>
        <item x="249"/>
        <item x="250"/>
        <item x="251"/>
        <item x="252"/>
        <item x="253"/>
        <item x="254"/>
        <item x="255"/>
        <item x="257"/>
        <item x="258"/>
        <item x="259"/>
        <item x="260"/>
        <item x="267"/>
        <item x="272"/>
        <item x="273"/>
        <item x="274"/>
        <item x="275"/>
        <item x="276"/>
        <item x="213"/>
        <item x="214"/>
        <item x="215"/>
        <item x="277"/>
      </items>
    </pivotField>
    <pivotField axis="axisRow" compact="0" outline="0" showAll="0" defaultSubtotal="0">
      <items count="281">
        <item x="0"/>
        <item x="1"/>
        <item x="2"/>
        <item x="3"/>
        <item x="4"/>
        <item x="5"/>
        <item x="6"/>
        <item x="7"/>
        <item x="8"/>
        <item x="9"/>
        <item x="10"/>
        <item x="11"/>
        <item x="12"/>
        <item x="13"/>
        <item x="14"/>
        <item x="15"/>
        <item x="184"/>
        <item x="17"/>
        <item x="18"/>
        <item x="19"/>
        <item x="20"/>
        <item x="21"/>
        <item x="22"/>
        <item x="23"/>
        <item x="24"/>
        <item x="25"/>
        <item x="26"/>
        <item x="27"/>
        <item x="28"/>
        <item x="29"/>
        <item x="30"/>
        <item x="31"/>
        <item x="32"/>
        <item x="219"/>
        <item x="171"/>
        <item x="268"/>
        <item x="36"/>
        <item x="37"/>
        <item x="38"/>
        <item x="39"/>
        <item x="40"/>
        <item x="41"/>
        <item x="42"/>
        <item x="271"/>
        <item x="44"/>
        <item x="90"/>
        <item x="46"/>
        <item x="97"/>
        <item x="47"/>
        <item x="48"/>
        <item x="49"/>
        <item x="50"/>
        <item x="51"/>
        <item x="52"/>
        <item x="53"/>
        <item x="55"/>
        <item x="172"/>
        <item x="128"/>
        <item x="227"/>
        <item x="59"/>
        <item x="60"/>
        <item x="61"/>
        <item x="62"/>
        <item x="63"/>
        <item x="64"/>
        <item x="65"/>
        <item x="66"/>
        <item x="67"/>
        <item x="68"/>
        <item x="69"/>
        <item x="70"/>
        <item x="71"/>
        <item x="72"/>
        <item x="102"/>
        <item x="74"/>
        <item x="75"/>
        <item x="76"/>
        <item x="77"/>
        <item x="78"/>
        <item x="211"/>
        <item x="222"/>
        <item x="226"/>
        <item x="158"/>
        <item x="157"/>
        <item x="83"/>
        <item x="159"/>
        <item x="156"/>
        <item x="87"/>
        <item x="45"/>
        <item x="141"/>
        <item x="129"/>
        <item x="146"/>
        <item x="142"/>
        <item x="149"/>
        <item x="143"/>
        <item x="144"/>
        <item x="148"/>
        <item x="266"/>
        <item x="228"/>
        <item x="99"/>
        <item x="234"/>
        <item x="101"/>
        <item x="151"/>
        <item x="109"/>
        <item x="230"/>
        <item x="105"/>
        <item x="259"/>
        <item x="273"/>
        <item x="108"/>
        <item x="81"/>
        <item x="110"/>
        <item x="111"/>
        <item x="104"/>
        <item x="127"/>
        <item x="114"/>
        <item x="115"/>
        <item x="116"/>
        <item x="117"/>
        <item x="118"/>
        <item x="119"/>
        <item x="120"/>
        <item x="121"/>
        <item x="122"/>
        <item x="123"/>
        <item x="124"/>
        <item x="125"/>
        <item x="107"/>
        <item x="185"/>
        <item x="194"/>
        <item x="106"/>
        <item x="130"/>
        <item x="131"/>
        <item x="132"/>
        <item x="133"/>
        <item x="84"/>
        <item x="134"/>
        <item x="135"/>
        <item x="136"/>
        <item x="137"/>
        <item x="138"/>
        <item x="139"/>
        <item x="43"/>
        <item x="16"/>
        <item x="80"/>
        <item x="34"/>
        <item x="140"/>
        <item x="272"/>
        <item x="145"/>
        <item x="183"/>
        <item x="164"/>
        <item x="147"/>
        <item x="85"/>
        <item x="150"/>
        <item x="152"/>
        <item x="153"/>
        <item x="154"/>
        <item x="269"/>
        <item x="86"/>
        <item x="79"/>
        <item x="92"/>
        <item x="155"/>
        <item x="160"/>
        <item x="161"/>
        <item x="162"/>
        <item x="163"/>
        <item x="165"/>
        <item x="166"/>
        <item x="167"/>
        <item x="168"/>
        <item x="169"/>
        <item x="170"/>
        <item x="274"/>
        <item x="103"/>
        <item x="181"/>
        <item x="190"/>
        <item x="175"/>
        <item x="176"/>
        <item x="192"/>
        <item x="178"/>
        <item x="267"/>
        <item x="113"/>
        <item x="126"/>
        <item x="73"/>
        <item x="57"/>
        <item x="58"/>
        <item x="94"/>
        <item x="186"/>
        <item x="242"/>
        <item x="213"/>
        <item x="112"/>
        <item x="243"/>
        <item x="35"/>
        <item x="54"/>
        <item x="56"/>
        <item x="88"/>
        <item x="89"/>
        <item x="91"/>
        <item x="93"/>
        <item x="95"/>
        <item x="96"/>
        <item x="98"/>
        <item x="100"/>
        <item x="173"/>
        <item x="174"/>
        <item x="177"/>
        <item x="179"/>
        <item x="182"/>
        <item x="187"/>
        <item x="188"/>
        <item x="189"/>
        <item x="209"/>
        <item x="220"/>
        <item x="221"/>
        <item x="223"/>
        <item x="224"/>
        <item x="225"/>
        <item x="229"/>
        <item x="191"/>
        <item x="265"/>
        <item x="193"/>
        <item x="82"/>
        <item x="195"/>
        <item x="231"/>
        <item x="232"/>
        <item x="233"/>
        <item x="196"/>
        <item x="235"/>
        <item x="197"/>
        <item x="198"/>
        <item x="236"/>
        <item x="199"/>
        <item x="200"/>
        <item x="201"/>
        <item x="237"/>
        <item x="202"/>
        <item x="203"/>
        <item x="204"/>
        <item x="205"/>
        <item x="206"/>
        <item x="207"/>
        <item x="208"/>
        <item x="238"/>
        <item x="210"/>
        <item x="180"/>
        <item x="239"/>
        <item x="240"/>
        <item x="241"/>
        <item x="244"/>
        <item x="245"/>
        <item x="246"/>
        <item x="247"/>
        <item x="248"/>
        <item x="33"/>
        <item x="212"/>
        <item x="264"/>
        <item x="214"/>
        <item x="215"/>
        <item x="249"/>
        <item x="250"/>
        <item x="251"/>
        <item x="252"/>
        <item x="253"/>
        <item x="254"/>
        <item x="255"/>
        <item x="256"/>
        <item x="257"/>
        <item x="258"/>
        <item x="260"/>
        <item x="261"/>
        <item x="262"/>
        <item x="263"/>
        <item x="270"/>
        <item x="275"/>
        <item x="276"/>
        <item x="277"/>
        <item x="278"/>
        <item x="279"/>
        <item x="216"/>
        <item x="217"/>
        <item x="218"/>
        <item x="280"/>
      </items>
    </pivotField>
    <pivotField compact="0" outline="0" showAll="0"/>
    <pivotField compact="0" outline="0" showAll="0" defaultSubtotal="0"/>
    <pivotField compact="0" outline="0" showAll="0" defaultSubtotal="0"/>
    <pivotField dataField="1" compact="0" outline="0" showAll="0"/>
    <pivotField dataField="1" compact="0" outline="0" showAll="0" defaultSubtotal="0"/>
    <pivotField compact="0" outline="0" showAll="0"/>
    <pivotField axis="axisRow" compact="0" outline="0" showAll="0" defaultSubtotal="0">
      <items count="2">
        <item x="0"/>
        <item x="1"/>
      </items>
    </pivotField>
    <pivotField axis="axisPage" compact="0" outline="0" multipleItemSelectionAllowed="1" showAll="0" defaultSubtotal="0">
      <items count="2">
        <item h="1" x="1"/>
        <item x="0"/>
      </items>
    </pivotField>
    <pivotField name="Camps/Host Families" axis="axisRow" compact="0" outline="0" showAll="0" defaultSubtotal="0">
      <items count="5">
        <item x="0"/>
        <item x="1"/>
        <item x="4"/>
        <item x="3"/>
        <item x="2"/>
      </items>
    </pivotField>
    <pivotField compact="0" outline="0" showAll="0" defaultSubtotal="0">
      <items count="4">
        <item x="3"/>
        <item x="2"/>
        <item x="0"/>
        <item x="1"/>
      </items>
    </pivotField>
    <pivotField compact="0" outline="0" showAll="0" defaultSubtotal="0"/>
    <pivotField compact="0" outline="0" showAll="0" defaultSubtotal="0"/>
    <pivotField axis="axisRow" compact="0" outline="0" showAll="0" defaultSubtotal="0">
      <items count="6">
        <item x="0"/>
        <item x="4"/>
        <item x="3"/>
        <item x="1"/>
        <item n=" " x="2"/>
        <item x="5"/>
      </items>
    </pivotField>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7">
    <field x="1"/>
    <field x="5"/>
    <field x="11"/>
    <field x="12"/>
    <field x="21"/>
    <field x="25"/>
    <field x="19"/>
  </rowFields>
  <rowItems count="187">
    <i>
      <x/>
      <x/>
      <x v="3"/>
      <x v="49"/>
      <x/>
      <x v="1"/>
      <x/>
    </i>
    <i r="2">
      <x v="7"/>
      <x v="164"/>
      <x/>
      <x/>
      <x/>
    </i>
    <i r="2">
      <x v="38"/>
      <x v="137"/>
      <x v="1"/>
      <x v="4"/>
      <x/>
    </i>
    <i r="2">
      <x v="43"/>
      <x v="51"/>
      <x/>
      <x/>
      <x/>
    </i>
    <i r="2">
      <x v="68"/>
      <x v="48"/>
      <x/>
      <x v="3"/>
      <x/>
    </i>
    <i r="2">
      <x v="126"/>
      <x v="50"/>
      <x/>
      <x v="3"/>
      <x/>
    </i>
    <i r="2">
      <x v="145"/>
      <x v="53"/>
      <x/>
      <x v="1"/>
      <x/>
    </i>
    <i r="2">
      <x v="163"/>
      <x v="163"/>
      <x/>
      <x/>
      <x/>
    </i>
    <i r="2">
      <x v="171"/>
      <x v="46"/>
      <x/>
      <x/>
      <x/>
    </i>
    <i r="2">
      <x v="186"/>
      <x v="54"/>
      <x/>
      <x v="3"/>
      <x/>
    </i>
    <i r="2">
      <x v="205"/>
      <x v="52"/>
      <x/>
      <x v="3"/>
      <x/>
    </i>
    <i t="default" r="1">
      <x/>
    </i>
    <i r="1">
      <x v="1"/>
      <x v="21"/>
      <x v="41"/>
      <x/>
      <x v="3"/>
      <x/>
    </i>
    <i r="2">
      <x v="41"/>
      <x v="42"/>
      <x/>
      <x/>
      <x v="1"/>
    </i>
    <i r="2">
      <x v="65"/>
      <x v="165"/>
      <x/>
      <x v="3"/>
      <x/>
    </i>
    <i r="2">
      <x v="161"/>
      <x v="178"/>
      <x/>
      <x v="2"/>
      <x/>
    </i>
    <i r="2">
      <x v="210"/>
      <x v="219"/>
      <x/>
      <x v="2"/>
      <x/>
    </i>
    <i t="default" r="1">
      <x v="1"/>
    </i>
    <i r="1">
      <x v="2"/>
      <x v="2"/>
      <x v="139"/>
      <x/>
      <x v="2"/>
      <x/>
    </i>
    <i r="2">
      <x v="4"/>
      <x v="147"/>
      <x/>
      <x v="3"/>
      <x/>
    </i>
    <i r="2">
      <x v="5"/>
      <x v="160"/>
      <x/>
      <x v="3"/>
      <x/>
    </i>
    <i r="2">
      <x v="13"/>
      <x v="140"/>
      <x/>
      <x/>
      <x/>
    </i>
    <i r="2">
      <x v="19"/>
      <x v="105"/>
      <x/>
      <x v="3"/>
      <x/>
    </i>
    <i r="2">
      <x v="23"/>
      <x v="145"/>
      <x/>
      <x v="3"/>
      <x/>
    </i>
    <i r="2">
      <x v="35"/>
      <x v="131"/>
      <x/>
      <x/>
      <x/>
    </i>
    <i r="2">
      <x v="36"/>
      <x v="161"/>
      <x/>
      <x v="3"/>
      <x/>
    </i>
    <i r="2">
      <x v="66"/>
      <x v="152"/>
      <x/>
      <x v="3"/>
      <x/>
    </i>
    <i r="2">
      <x v="67"/>
      <x v="138"/>
      <x/>
      <x v="3"/>
      <x/>
    </i>
    <i r="2">
      <x v="113"/>
      <x v="87"/>
      <x/>
      <x v="3"/>
      <x/>
    </i>
    <i r="2">
      <x v="141"/>
      <x v="162"/>
      <x/>
      <x v="3"/>
      <x/>
    </i>
    <i r="2">
      <x v="146"/>
      <x v="99"/>
      <x/>
      <x v="2"/>
      <x/>
    </i>
    <i r="2">
      <x v="170"/>
      <x v="153"/>
      <x/>
      <x v="3"/>
      <x/>
    </i>
    <i r="2">
      <x v="173"/>
      <x v="154"/>
      <x/>
      <x/>
      <x/>
    </i>
    <i r="2">
      <x v="200"/>
      <x v="155"/>
      <x/>
      <x/>
      <x/>
    </i>
    <i r="2">
      <x v="206"/>
      <x v="101"/>
      <x/>
      <x/>
      <x/>
    </i>
    <i r="2">
      <x v="218"/>
      <x v="227"/>
      <x/>
      <x/>
      <x/>
    </i>
    <i r="2">
      <x v="250"/>
      <x v="253"/>
      <x/>
      <x/>
      <x/>
    </i>
    <i r="2">
      <x v="252"/>
      <x v="255"/>
      <x/>
      <x v="2"/>
      <x/>
    </i>
    <i r="2">
      <x v="253"/>
      <x v="256"/>
      <x/>
      <x v="2"/>
      <x/>
    </i>
    <i r="2">
      <x v="276"/>
      <x v="279"/>
      <x/>
      <x/>
      <x/>
    </i>
    <i t="default" r="1">
      <x v="2"/>
    </i>
    <i r="1">
      <x v="8"/>
      <x v="18"/>
      <x v="121"/>
      <x/>
      <x v="1"/>
      <x v="1"/>
    </i>
    <i r="2">
      <x v="38"/>
      <x v="166"/>
      <x v="1"/>
      <x v="4"/>
      <x/>
    </i>
    <i r="2">
      <x v="60"/>
      <x v="120"/>
      <x/>
      <x v="1"/>
      <x v="1"/>
    </i>
    <i r="2">
      <x v="82"/>
      <x v="186"/>
      <x/>
      <x/>
      <x/>
    </i>
    <i r="2">
      <x v="90"/>
      <x v="124"/>
      <x/>
      <x/>
      <x/>
    </i>
    <i r="2">
      <x v="91"/>
      <x v="123"/>
      <x/>
      <x v="1"/>
      <x/>
    </i>
    <i r="2">
      <x v="92"/>
      <x v="125"/>
      <x v="1"/>
      <x v="4"/>
      <x/>
    </i>
    <i r="2">
      <x v="98"/>
      <x v="65"/>
      <x/>
      <x/>
      <x/>
    </i>
    <i r="2">
      <x v="209"/>
      <x v="217"/>
      <x/>
      <x v="1"/>
      <x/>
    </i>
    <i r="2">
      <x v="216"/>
      <x v="225"/>
      <x/>
      <x v="1"/>
      <x/>
    </i>
    <i r="2">
      <x v="220"/>
      <x v="228"/>
      <x/>
      <x/>
      <x/>
    </i>
    <i t="default" r="1">
      <x v="8"/>
    </i>
    <i r="1">
      <x v="10"/>
      <x v="55"/>
      <x v="76"/>
      <x/>
      <x/>
      <x/>
    </i>
    <i r="2">
      <x v="97"/>
      <x v="75"/>
      <x/>
      <x/>
      <x/>
    </i>
    <i r="2">
      <x v="149"/>
      <x v="77"/>
      <x/>
      <x/>
      <x/>
    </i>
    <i r="2">
      <x v="234"/>
      <x v="236"/>
      <x/>
      <x/>
      <x/>
    </i>
    <i r="2">
      <x v="235"/>
      <x v="237"/>
      <x/>
      <x v="4"/>
      <x/>
    </i>
    <i t="default" r="1">
      <x v="10"/>
    </i>
    <i r="1">
      <x v="11"/>
      <x v="152"/>
      <x v="133"/>
      <x/>
      <x/>
      <x/>
    </i>
    <i r="2">
      <x v="183"/>
      <x v="78"/>
      <x/>
      <x v="2"/>
      <x/>
    </i>
    <i r="2">
      <x v="223"/>
      <x v="231"/>
      <x v="1"/>
      <x v="4"/>
      <x/>
    </i>
    <i r="2">
      <x v="224"/>
      <x v="232"/>
      <x v="1"/>
      <x v="4"/>
      <x/>
    </i>
    <i t="default" r="1">
      <x v="11"/>
    </i>
    <i r="1">
      <x v="12"/>
      <x v="27"/>
      <x v="118"/>
      <x/>
      <x v="2"/>
      <x v="1"/>
    </i>
    <i r="2">
      <x v="38"/>
      <x v="167"/>
      <x v="1"/>
      <x v="4"/>
      <x/>
    </i>
    <i r="2">
      <x v="42"/>
      <x v="117"/>
      <x/>
      <x v="2"/>
      <x v="1"/>
    </i>
    <i r="2">
      <x v="48"/>
      <x v="116"/>
      <x/>
      <x v="2"/>
      <x v="1"/>
    </i>
    <i r="2">
      <x v="50"/>
      <x v="170"/>
      <x v="1"/>
      <x v="4"/>
      <x/>
    </i>
    <i r="2">
      <x v="69"/>
      <x v="70"/>
      <x/>
      <x/>
      <x/>
    </i>
    <i r="2">
      <x v="70"/>
      <x v="68"/>
      <x/>
      <x v="1"/>
      <x/>
    </i>
    <i r="2">
      <x v="71"/>
      <x v="69"/>
      <x/>
      <x/>
      <x/>
    </i>
    <i r="2">
      <x v="84"/>
      <x v="61"/>
      <x/>
      <x v="1"/>
      <x/>
    </i>
    <i r="2">
      <x v="117"/>
      <x v="55"/>
      <x/>
      <x/>
      <x/>
    </i>
    <i r="2">
      <x v="128"/>
      <x v="60"/>
      <x v="1"/>
      <x v="4"/>
      <x/>
    </i>
    <i r="2">
      <x v="155"/>
      <x v="122"/>
      <x/>
      <x v="1"/>
      <x v="1"/>
    </i>
    <i r="2">
      <x v="158"/>
      <x v="71"/>
      <x/>
      <x/>
      <x/>
    </i>
    <i r="2">
      <x v="160"/>
      <x v="119"/>
      <x/>
      <x v="1"/>
      <x v="1"/>
    </i>
    <i r="2">
      <x v="175"/>
      <x v="72"/>
      <x/>
      <x/>
      <x/>
    </i>
    <i t="default" r="1">
      <x v="12"/>
    </i>
    <i r="1">
      <x v="14"/>
      <x v="24"/>
      <x v="11"/>
      <x/>
      <x/>
      <x/>
    </i>
    <i r="2">
      <x v="25"/>
      <x v="9"/>
      <x/>
      <x/>
      <x/>
    </i>
    <i r="2">
      <x v="26"/>
      <x v="10"/>
      <x/>
      <x/>
      <x/>
    </i>
    <i r="2">
      <x v="46"/>
      <x v="17"/>
      <x/>
      <x/>
      <x/>
    </i>
    <i r="2">
      <x v="47"/>
      <x v="18"/>
      <x/>
      <x v="2"/>
      <x/>
    </i>
    <i r="2">
      <x v="54"/>
      <x v="12"/>
      <x/>
      <x/>
      <x/>
    </i>
    <i r="2">
      <x v="63"/>
      <x v="14"/>
      <x/>
      <x/>
      <x/>
    </i>
    <i r="2">
      <x v="64"/>
      <x v="13"/>
      <x/>
      <x/>
      <x/>
    </i>
    <i r="2">
      <x v="83"/>
      <x v="15"/>
      <x/>
      <x/>
      <x/>
    </i>
    <i r="2">
      <x v="85"/>
      <x v="7"/>
      <x/>
      <x/>
      <x/>
    </i>
    <i r="2">
      <x v="107"/>
      <x v="19"/>
      <x/>
      <x v="3"/>
      <x/>
    </i>
    <i r="2">
      <x v="108"/>
      <x v="20"/>
      <x/>
      <x v="3"/>
      <x/>
    </i>
    <i r="2">
      <x v="144"/>
      <x v="23"/>
      <x/>
      <x v="2"/>
      <x/>
    </i>
    <i r="2">
      <x v="157"/>
      <x v="1"/>
      <x/>
      <x/>
      <x/>
    </i>
    <i r="2">
      <x v="159"/>
      <x v="136"/>
      <x/>
      <x v="2"/>
      <x/>
    </i>
    <i r="2">
      <x v="176"/>
      <x v="5"/>
      <x/>
      <x/>
      <x/>
    </i>
    <i r="2">
      <x v="177"/>
      <x v="6"/>
      <x/>
      <x v="3"/>
      <x/>
    </i>
    <i r="2">
      <x v="181"/>
      <x v="8"/>
      <x/>
      <x/>
      <x/>
    </i>
    <i r="2">
      <x v="189"/>
      <x/>
      <x/>
      <x/>
      <x/>
    </i>
    <i r="2">
      <x v="190"/>
      <x v="3"/>
      <x/>
      <x v="3"/>
      <x/>
    </i>
    <i r="2">
      <x v="191"/>
      <x v="2"/>
      <x/>
      <x/>
      <x/>
    </i>
    <i r="2">
      <x v="192"/>
      <x v="4"/>
      <x/>
      <x/>
      <x/>
    </i>
    <i r="2">
      <x v="204"/>
      <x v="21"/>
      <x/>
      <x v="3"/>
      <x/>
    </i>
    <i r="2">
      <x v="229"/>
      <x v="22"/>
      <x/>
      <x v="3"/>
      <x/>
    </i>
    <i t="default" r="1">
      <x v="14"/>
    </i>
    <i r="1">
      <x v="17"/>
      <x v="196"/>
      <x v="74"/>
      <x v="1"/>
      <x v="4"/>
      <x/>
    </i>
    <i r="2">
      <x v="213"/>
      <x v="221"/>
      <x v="1"/>
      <x v="4"/>
      <x/>
    </i>
    <i r="2">
      <x v="231"/>
      <x v="234"/>
      <x/>
      <x/>
      <x/>
    </i>
    <i t="default" r="1">
      <x v="17"/>
    </i>
    <i r="1">
      <x v="18"/>
      <x v="61"/>
      <x v="130"/>
      <x v="1"/>
      <x v="4"/>
      <x/>
    </i>
    <i r="2">
      <x v="179"/>
      <x v="66"/>
      <x/>
      <x/>
      <x/>
    </i>
    <i r="2">
      <x v="180"/>
      <x v="67"/>
      <x/>
      <x v="1"/>
      <x/>
    </i>
    <i t="default" r="1">
      <x v="18"/>
    </i>
    <i r="1">
      <x v="19"/>
      <x v="185"/>
      <x v="175"/>
      <x/>
      <x v="4"/>
      <x/>
    </i>
    <i r="2">
      <x v="236"/>
      <x v="238"/>
      <x/>
      <x/>
      <x v="1"/>
    </i>
    <i r="2">
      <x v="237"/>
      <x v="239"/>
      <x/>
      <x/>
      <x v="1"/>
    </i>
    <i t="default" r="1">
      <x v="19"/>
    </i>
    <i r="1">
      <x v="20"/>
      <x v="17"/>
      <x v="108"/>
      <x/>
      <x v="2"/>
      <x v="1"/>
    </i>
    <i r="2">
      <x v="33"/>
      <x v="27"/>
      <x/>
      <x v="3"/>
      <x/>
    </i>
    <i r="2">
      <x v="34"/>
      <x v="110"/>
      <x/>
      <x/>
      <x v="1"/>
    </i>
    <i r="2">
      <x v="44"/>
      <x v="176"/>
      <x v="2"/>
      <x v="4"/>
      <x v="1"/>
    </i>
    <i r="2">
      <x v="75"/>
      <x v="26"/>
      <x/>
      <x/>
      <x/>
    </i>
    <i r="2">
      <x v="76"/>
      <x v="114"/>
      <x/>
      <x v="2"/>
      <x v="1"/>
    </i>
    <i r="2">
      <x v="78"/>
      <x v="30"/>
      <x/>
      <x v="3"/>
      <x/>
    </i>
    <i r="2">
      <x v="79"/>
      <x v="28"/>
      <x/>
      <x v="2"/>
      <x/>
    </i>
    <i r="2">
      <x v="80"/>
      <x v="39"/>
      <x/>
      <x/>
      <x/>
    </i>
    <i r="2">
      <x v="81"/>
      <x v="38"/>
      <x/>
      <x/>
      <x/>
    </i>
    <i r="2">
      <x v="151"/>
      <x v="32"/>
      <x/>
      <x v="3"/>
      <x/>
    </i>
    <i r="2">
      <x v="165"/>
      <x v="135"/>
      <x/>
      <x v="2"/>
      <x v="1"/>
    </i>
    <i r="2">
      <x v="166"/>
      <x v="31"/>
      <x/>
      <x v="3"/>
      <x/>
    </i>
    <i r="2">
      <x v="167"/>
      <x v="24"/>
      <x/>
      <x/>
      <x/>
    </i>
    <i r="2">
      <x v="168"/>
      <x v="29"/>
      <x/>
      <x v="3"/>
      <x/>
    </i>
    <i r="2">
      <x v="169"/>
      <x v="25"/>
      <x/>
      <x v="3"/>
      <x/>
    </i>
    <i r="2">
      <x v="178"/>
      <x v="40"/>
      <x/>
      <x/>
      <x/>
    </i>
    <i r="2">
      <x v="193"/>
      <x v="36"/>
      <x/>
      <x v="3"/>
      <x/>
    </i>
    <i r="2">
      <x v="197"/>
      <x v="37"/>
      <x/>
      <x v="3"/>
      <x/>
    </i>
    <i r="2">
      <x v="201"/>
      <x v="111"/>
      <x/>
      <x v="2"/>
      <x v="1"/>
    </i>
    <i r="2">
      <x v="228"/>
      <x v="115"/>
      <x/>
      <x/>
      <x v="1"/>
    </i>
    <i r="2">
      <x v="274"/>
      <x v="277"/>
      <x/>
      <x v="4"/>
      <x/>
    </i>
    <i r="2">
      <x v="275"/>
      <x v="278"/>
      <x/>
      <x/>
      <x v="1"/>
    </i>
    <i t="default" r="1">
      <x v="20"/>
    </i>
    <i t="default">
      <x/>
    </i>
    <i>
      <x v="1"/>
      <x v="3"/>
      <x v="148"/>
      <x v="212"/>
      <x v="1"/>
      <x v="4"/>
      <x v="1"/>
    </i>
    <i r="2">
      <x v="232"/>
      <x v="233"/>
      <x/>
      <x/>
      <x/>
    </i>
    <i t="default" r="1">
      <x v="3"/>
    </i>
    <i r="1">
      <x v="6"/>
      <x v="52"/>
      <x v="204"/>
      <x/>
      <x/>
      <x/>
    </i>
    <i r="2">
      <x v="53"/>
      <x v="205"/>
      <x/>
      <x v="5"/>
      <x/>
    </i>
    <i r="2">
      <x v="116"/>
      <x v="206"/>
      <x/>
      <x/>
      <x/>
    </i>
    <i r="2">
      <x v="123"/>
      <x v="196"/>
      <x/>
      <x/>
      <x/>
    </i>
    <i r="2">
      <x v="137"/>
      <x v="197"/>
      <x/>
      <x/>
      <x/>
    </i>
    <i r="2">
      <x v="208"/>
      <x v="208"/>
      <x/>
      <x/>
      <x/>
    </i>
    <i r="2">
      <x v="221"/>
      <x v="229"/>
      <x/>
      <x v="5"/>
      <x/>
    </i>
    <i r="2">
      <x v="239"/>
      <x v="241"/>
      <x/>
      <x v="4"/>
      <x/>
    </i>
    <i r="2">
      <x v="241"/>
      <x v="244"/>
      <x/>
      <x/>
      <x/>
    </i>
    <i r="2">
      <x v="244"/>
      <x v="249"/>
      <x/>
      <x v="4"/>
      <x/>
    </i>
    <i r="2">
      <x v="248"/>
      <x v="251"/>
      <x/>
      <x v="4"/>
      <x/>
    </i>
    <i r="2">
      <x v="271"/>
      <x v="274"/>
      <x/>
      <x v="4"/>
      <x/>
    </i>
    <i r="2">
      <x v="272"/>
      <x v="275"/>
      <x/>
      <x v="4"/>
      <x/>
    </i>
    <i t="default" r="1">
      <x v="6"/>
    </i>
    <i r="1">
      <x v="9"/>
      <x v="95"/>
      <x v="198"/>
      <x/>
      <x/>
      <x/>
    </i>
    <i r="2">
      <x v="96"/>
      <x v="213"/>
      <x/>
      <x v="5"/>
      <x/>
    </i>
    <i r="2">
      <x v="246"/>
      <x v="246"/>
      <x/>
      <x v="4"/>
      <x/>
    </i>
    <i t="default" r="1">
      <x v="9"/>
    </i>
    <i r="1">
      <x v="13"/>
      <x v="40"/>
      <x v="209"/>
      <x v="1"/>
      <x v="4"/>
      <x/>
    </i>
    <i r="2">
      <x v="135"/>
      <x v="211"/>
      <x/>
      <x v="4"/>
      <x v="1"/>
    </i>
    <i r="2">
      <x v="214"/>
      <x v="222"/>
      <x/>
      <x/>
      <x/>
    </i>
    <i r="2">
      <x v="217"/>
      <x v="226"/>
      <x/>
      <x v="5"/>
      <x/>
    </i>
    <i r="2">
      <x v="273"/>
      <x v="276"/>
      <x/>
      <x v="4"/>
      <x/>
    </i>
    <i t="default" r="1">
      <x v="13"/>
    </i>
    <i r="1">
      <x v="15"/>
      <x v="130"/>
      <x v="194"/>
      <x/>
      <x/>
      <x/>
    </i>
    <i r="2">
      <x v="131"/>
      <x v="191"/>
      <x/>
      <x/>
      <x/>
    </i>
    <i r="2">
      <x v="132"/>
      <x v="193"/>
      <x/>
      <x v="5"/>
      <x/>
    </i>
    <i r="2">
      <x v="215"/>
      <x v="223"/>
      <x/>
      <x/>
      <x/>
    </i>
    <i r="2">
      <x v="219"/>
      <x v="224"/>
      <x/>
      <x/>
      <x/>
    </i>
    <i r="2">
      <x v="243"/>
      <x v="248"/>
      <x/>
      <x v="4"/>
      <x/>
    </i>
    <i t="default" r="1">
      <x v="15"/>
    </i>
    <i r="1">
      <x v="16"/>
      <x v="142"/>
      <x v="202"/>
      <x/>
      <x/>
      <x/>
    </i>
    <i r="2">
      <x v="143"/>
      <x v="214"/>
      <x v="1"/>
      <x v="4"/>
      <x/>
    </i>
    <i r="2">
      <x v="245"/>
      <x v="245"/>
      <x/>
      <x v="4"/>
      <x/>
    </i>
    <i r="2">
      <x v="255"/>
      <x v="258"/>
      <x/>
      <x v="4"/>
      <x/>
    </i>
    <i r="2">
      <x v="258"/>
      <x v="261"/>
      <x/>
      <x v="4"/>
      <x/>
    </i>
    <i r="2">
      <x v="277"/>
      <x v="280"/>
      <x/>
      <x v="4"/>
      <x/>
    </i>
    <i t="default" r="1">
      <x v="16"/>
    </i>
    <i r="1">
      <x v="21"/>
      <x v="270"/>
      <x v="273"/>
      <x/>
      <x v="4"/>
      <x/>
    </i>
    <i t="default" r="1">
      <x v="21"/>
    </i>
    <i t="default">
      <x v="1"/>
    </i>
    <i t="grand">
      <x/>
    </i>
  </rowItems>
  <colFields count="1">
    <field x="-2"/>
  </colFields>
  <colItems count="3">
    <i>
      <x/>
    </i>
    <i i="1">
      <x v="1"/>
    </i>
    <i i="2">
      <x v="2"/>
    </i>
  </colItems>
  <pageFields count="2">
    <pageField fld="0" hier="-1"/>
    <pageField fld="20" hier="-1"/>
  </pageFields>
  <dataFields count="3">
    <dataField name="HoH" fld="16" baseField="19" baseItem="0"/>
    <dataField name="Individual" fld="17" baseField="19" baseItem="0"/>
    <dataField name="Location" fld="1" subtotal="count" baseField="0" baseItem="0"/>
  </dataFields>
  <formats count="590">
    <format dxfId="1915">
      <pivotArea outline="0" collapsedLevelsAreSubtotals="1" fieldPosition="0"/>
    </format>
    <format dxfId="1914">
      <pivotArea dataOnly="0" labelOnly="1" outline="0" fieldPosition="0">
        <references count="1">
          <reference field="4294967294" count="2">
            <x v="0"/>
            <x v="1"/>
          </reference>
        </references>
      </pivotArea>
    </format>
    <format dxfId="1913">
      <pivotArea grandRow="1" outline="0" collapsedLevelsAreSubtotals="1" fieldPosition="0"/>
    </format>
    <format dxfId="1912">
      <pivotArea dataOnly="0" labelOnly="1" grandRow="1" outline="0" fieldPosition="0"/>
    </format>
    <format dxfId="1911">
      <pivotArea grandRow="1" outline="0" collapsedLevelsAreSubtotals="1" fieldPosition="0"/>
    </format>
    <format dxfId="1910">
      <pivotArea dataOnly="0" labelOnly="1" grandRow="1" outline="0" fieldPosition="0"/>
    </format>
    <format dxfId="1909">
      <pivotArea field="21" type="button" dataOnly="0" labelOnly="1" outline="0" axis="axisRow" fieldPosition="4"/>
    </format>
    <format dxfId="1908">
      <pivotArea field="25" type="button" dataOnly="0" labelOnly="1" outline="0" axis="axisRow" fieldPosition="5"/>
    </format>
    <format dxfId="1907">
      <pivotArea field="25" type="button" dataOnly="0" labelOnly="1" outline="0" axis="axisRow" fieldPosition="5"/>
    </format>
    <format dxfId="1906">
      <pivotArea field="1" type="button" dataOnly="0" labelOnly="1" outline="0" axis="axisRow" fieldPosition="0"/>
    </format>
    <format dxfId="1905">
      <pivotArea field="5" type="button" dataOnly="0" labelOnly="1" outline="0" axis="axisRow" fieldPosition="1"/>
    </format>
    <format dxfId="1904">
      <pivotArea field="11" type="button" dataOnly="0" labelOnly="1" outline="0" axis="axisRow" fieldPosition="2"/>
    </format>
    <format dxfId="1903">
      <pivotArea field="12" type="button" dataOnly="0" labelOnly="1" outline="0" axis="axisRow" fieldPosition="3"/>
    </format>
    <format dxfId="1902">
      <pivotArea field="21" type="button" dataOnly="0" labelOnly="1" outline="0" axis="axisRow" fieldPosition="4"/>
    </format>
    <format dxfId="1901">
      <pivotArea field="22" type="button" dataOnly="0" labelOnly="1" outline="0"/>
    </format>
    <format dxfId="1900">
      <pivotArea dataOnly="0" labelOnly="1" outline="0" fieldPosition="0">
        <references count="1">
          <reference field="4294967294" count="2">
            <x v="0"/>
            <x v="1"/>
          </reference>
        </references>
      </pivotArea>
    </format>
    <format dxfId="1899">
      <pivotArea field="1" type="button" dataOnly="0" labelOnly="1" outline="0" axis="axisRow" fieldPosition="0"/>
    </format>
    <format dxfId="1898">
      <pivotArea field="5" type="button" dataOnly="0" labelOnly="1" outline="0" axis="axisRow" fieldPosition="1"/>
    </format>
    <format dxfId="1897">
      <pivotArea field="11" type="button" dataOnly="0" labelOnly="1" outline="0" axis="axisRow" fieldPosition="2"/>
    </format>
    <format dxfId="1896">
      <pivotArea field="12" type="button" dataOnly="0" labelOnly="1" outline="0" axis="axisRow" fieldPosition="3"/>
    </format>
    <format dxfId="1895">
      <pivotArea field="21" type="button" dataOnly="0" labelOnly="1" outline="0" axis="axisRow" fieldPosition="4"/>
    </format>
    <format dxfId="1894">
      <pivotArea field="22" type="button" dataOnly="0" labelOnly="1" outline="0"/>
    </format>
    <format dxfId="1893">
      <pivotArea dataOnly="0" labelOnly="1" outline="0" fieldPosition="0">
        <references count="1">
          <reference field="4294967294" count="2">
            <x v="0"/>
            <x v="1"/>
          </reference>
        </references>
      </pivotArea>
    </format>
    <format dxfId="1892">
      <pivotArea dataOnly="0" labelOnly="1" outline="0" fieldPosition="0">
        <references count="3">
          <reference field="1" count="1" selected="0">
            <x v="0"/>
          </reference>
          <reference field="5" count="1" selected="0">
            <x v="0"/>
          </reference>
          <reference field="11" count="6">
            <x v="68"/>
            <x v="126"/>
            <x v="145"/>
            <x v="163"/>
            <x v="171"/>
            <x v="186"/>
          </reference>
        </references>
      </pivotArea>
    </format>
    <format dxfId="1891">
      <pivotArea dataOnly="0" labelOnly="1" outline="0" fieldPosition="0">
        <references count="3">
          <reference field="1" count="1" selected="0">
            <x v="0"/>
          </reference>
          <reference field="5" count="1" selected="0">
            <x v="14"/>
          </reference>
          <reference field="11" count="7">
            <x v="25"/>
            <x v="26"/>
            <x v="46"/>
            <x v="47"/>
            <x v="54"/>
            <x v="63"/>
            <x v="64"/>
          </reference>
        </references>
      </pivotArea>
    </format>
    <format dxfId="1890">
      <pivotArea dataOnly="0" labelOnly="1" outline="0" fieldPosition="0">
        <references count="3">
          <reference field="1" count="1" selected="0">
            <x v="0"/>
          </reference>
          <reference field="5" count="1" selected="0">
            <x v="20"/>
          </reference>
          <reference field="11" count="15">
            <x v="75"/>
            <x v="76"/>
            <x v="78"/>
            <x v="79"/>
            <x v="80"/>
            <x v="81"/>
            <x v="151"/>
            <x v="165"/>
            <x v="166"/>
            <x v="167"/>
            <x v="168"/>
            <x v="169"/>
            <x v="178"/>
            <x v="193"/>
            <x v="197"/>
          </reference>
        </references>
      </pivotArea>
    </format>
    <format dxfId="1889">
      <pivotArea field="1" type="button" dataOnly="0" labelOnly="1" outline="0" axis="axisRow" fieldPosition="0"/>
    </format>
    <format dxfId="1888">
      <pivotArea field="5" type="button" dataOnly="0" labelOnly="1" outline="0" axis="axisRow" fieldPosition="1"/>
    </format>
    <format dxfId="1887">
      <pivotArea field="11" type="button" dataOnly="0" labelOnly="1" outline="0" axis="axisRow" fieldPosition="2"/>
    </format>
    <format dxfId="1886">
      <pivotArea field="12" type="button" dataOnly="0" labelOnly="1" outline="0" axis="axisRow" fieldPosition="3"/>
    </format>
    <format dxfId="1885">
      <pivotArea field="19" type="button" dataOnly="0" labelOnly="1" outline="0" axis="axisRow" fieldPosition="6"/>
    </format>
    <format dxfId="1884">
      <pivotArea type="all" dataOnly="0" outline="0" fieldPosition="0"/>
    </format>
    <format dxfId="1883">
      <pivotArea type="all" dataOnly="0" outline="0" fieldPosition="0"/>
    </format>
    <format dxfId="1882">
      <pivotArea outline="0" collapsedLevelsAreSubtotals="1" fieldPosition="0"/>
    </format>
    <format dxfId="1881">
      <pivotArea dataOnly="0" labelOnly="1" outline="0" fieldPosition="0">
        <references count="1">
          <reference field="1" count="0"/>
        </references>
      </pivotArea>
    </format>
    <format dxfId="1880">
      <pivotArea dataOnly="0" labelOnly="1" outline="0" fieldPosition="0">
        <references count="1">
          <reference field="1" count="0" defaultSubtotal="1"/>
        </references>
      </pivotArea>
    </format>
    <format dxfId="1879">
      <pivotArea dataOnly="0" labelOnly="1" grandRow="1" outline="0" fieldPosition="0"/>
    </format>
    <format dxfId="1878">
      <pivotArea dataOnly="0" labelOnly="1" outline="0" fieldPosition="0">
        <references count="2">
          <reference field="1" count="1" selected="0">
            <x v="0"/>
          </reference>
          <reference field="5" count="13">
            <x v="0"/>
            <x v="1"/>
            <x v="2"/>
            <x v="5"/>
            <x v="8"/>
            <x v="10"/>
            <x v="11"/>
            <x v="12"/>
            <x v="14"/>
            <x v="17"/>
            <x v="18"/>
            <x v="19"/>
            <x v="20"/>
          </reference>
        </references>
      </pivotArea>
    </format>
    <format dxfId="1877">
      <pivotArea dataOnly="0" labelOnly="1" outline="0" fieldPosition="0">
        <references count="2">
          <reference field="1" count="1" selected="0">
            <x v="0"/>
          </reference>
          <reference field="5" count="13" defaultSubtotal="1">
            <x v="0"/>
            <x v="1"/>
            <x v="2"/>
            <x v="5"/>
            <x v="8"/>
            <x v="10"/>
            <x v="11"/>
            <x v="12"/>
            <x v="14"/>
            <x v="17"/>
            <x v="18"/>
            <x v="19"/>
            <x v="20"/>
          </reference>
        </references>
      </pivotArea>
    </format>
    <format dxfId="1876">
      <pivotArea dataOnly="0" labelOnly="1" outline="0" fieldPosition="0">
        <references count="2">
          <reference field="1" count="1" selected="0">
            <x v="1"/>
          </reference>
          <reference field="5" count="6">
            <x v="3"/>
            <x v="6"/>
            <x v="9"/>
            <x v="13"/>
            <x v="15"/>
            <x v="16"/>
          </reference>
        </references>
      </pivotArea>
    </format>
    <format dxfId="1875">
      <pivotArea dataOnly="0" labelOnly="1" outline="0" fieldPosition="0">
        <references count="2">
          <reference field="1" count="1" selected="0">
            <x v="1"/>
          </reference>
          <reference field="5" count="6" defaultSubtotal="1">
            <x v="3"/>
            <x v="6"/>
            <x v="9"/>
            <x v="13"/>
            <x v="15"/>
            <x v="16"/>
          </reference>
        </references>
      </pivotArea>
    </format>
    <format dxfId="1874">
      <pivotArea dataOnly="0" labelOnly="1" outline="0" fieldPosition="0">
        <references count="3">
          <reference field="1" count="1" selected="0">
            <x v="0"/>
          </reference>
          <reference field="5" count="1" selected="0">
            <x v="0"/>
          </reference>
          <reference field="11" count="11">
            <x v="3"/>
            <x v="7"/>
            <x v="38"/>
            <x v="43"/>
            <x v="68"/>
            <x v="126"/>
            <x v="145"/>
            <x v="163"/>
            <x v="171"/>
            <x v="186"/>
            <x v="205"/>
          </reference>
        </references>
      </pivotArea>
    </format>
    <format dxfId="1873">
      <pivotArea dataOnly="0" labelOnly="1" outline="0" fieldPosition="0">
        <references count="3">
          <reference field="1" count="1" selected="0">
            <x v="0"/>
          </reference>
          <reference field="5" count="1" selected="0">
            <x v="1"/>
          </reference>
          <reference field="11" count="6">
            <x v="21"/>
            <x v="41"/>
            <x v="59"/>
            <x v="65"/>
            <x v="161"/>
            <x v="210"/>
          </reference>
        </references>
      </pivotArea>
    </format>
    <format dxfId="1872">
      <pivotArea dataOnly="0" labelOnly="1" outline="0" fieldPosition="0">
        <references count="3">
          <reference field="1" count="1" selected="0">
            <x v="0"/>
          </reference>
          <reference field="5" count="1" selected="0">
            <x v="2"/>
          </reference>
          <reference field="11" count="26">
            <x v="1"/>
            <x v="2"/>
            <x v="4"/>
            <x v="5"/>
            <x v="13"/>
            <x v="19"/>
            <x v="23"/>
            <x v="35"/>
            <x v="36"/>
            <x v="66"/>
            <x v="67"/>
            <x v="113"/>
            <x v="141"/>
            <x v="146"/>
            <x v="170"/>
            <x v="173"/>
            <x v="200"/>
            <x v="206"/>
            <x v="218"/>
            <x v="222"/>
            <x v="240"/>
            <x v="249"/>
            <x v="250"/>
            <x v="251"/>
            <x v="252"/>
            <x v="253"/>
          </reference>
        </references>
      </pivotArea>
    </format>
    <format dxfId="1871">
      <pivotArea dataOnly="0" labelOnly="1" outline="0" fieldPosition="0">
        <references count="3">
          <reference field="1" count="1" selected="0">
            <x v="0"/>
          </reference>
          <reference field="5" count="1" selected="0">
            <x v="5"/>
          </reference>
          <reference field="11" count="1">
            <x v="56"/>
          </reference>
        </references>
      </pivotArea>
    </format>
    <format dxfId="1870">
      <pivotArea dataOnly="0" labelOnly="1" outline="0" fieldPosition="0">
        <references count="3">
          <reference field="1" count="1" selected="0">
            <x v="0"/>
          </reference>
          <reference field="5" count="1" selected="0">
            <x v="8"/>
          </reference>
          <reference field="11" count="11">
            <x v="18"/>
            <x v="38"/>
            <x v="60"/>
            <x v="82"/>
            <x v="90"/>
            <x v="91"/>
            <x v="92"/>
            <x v="98"/>
            <x v="209"/>
            <x v="216"/>
            <x v="220"/>
          </reference>
        </references>
      </pivotArea>
    </format>
    <format dxfId="1869">
      <pivotArea dataOnly="0" labelOnly="1" outline="0" fieldPosition="0">
        <references count="3">
          <reference field="1" count="1" selected="0">
            <x v="0"/>
          </reference>
          <reference field="5" count="1" selected="0">
            <x v="10"/>
          </reference>
          <reference field="11" count="6">
            <x v="55"/>
            <x v="97"/>
            <x v="149"/>
            <x v="233"/>
            <x v="234"/>
            <x v="235"/>
          </reference>
        </references>
      </pivotArea>
    </format>
    <format dxfId="1868">
      <pivotArea dataOnly="0" labelOnly="1" outline="0" fieldPosition="0">
        <references count="3">
          <reference field="1" count="1" selected="0">
            <x v="0"/>
          </reference>
          <reference field="5" count="1" selected="0">
            <x v="11"/>
          </reference>
          <reference field="11" count="4">
            <x v="152"/>
            <x v="183"/>
            <x v="223"/>
            <x v="224"/>
          </reference>
        </references>
      </pivotArea>
    </format>
    <format dxfId="1867">
      <pivotArea dataOnly="0" labelOnly="1" outline="0" fieldPosition="0">
        <references count="3">
          <reference field="1" count="1" selected="0">
            <x v="0"/>
          </reference>
          <reference field="5" count="1" selected="0">
            <x v="12"/>
          </reference>
          <reference field="11" count="20">
            <x v="27"/>
            <x v="38"/>
            <x v="42"/>
            <x v="50"/>
            <x v="69"/>
            <x v="70"/>
            <x v="71"/>
            <x v="77"/>
            <x v="84"/>
            <x v="88"/>
            <x v="89"/>
            <x v="117"/>
            <x v="128"/>
            <x v="155"/>
            <x v="158"/>
            <x v="160"/>
            <x v="164"/>
            <x v="175"/>
            <x v="188"/>
            <x v="238"/>
          </reference>
        </references>
      </pivotArea>
    </format>
    <format dxfId="1866">
      <pivotArea dataOnly="0" labelOnly="1" outline="0" fieldPosition="0">
        <references count="3">
          <reference field="1" count="1" selected="0">
            <x v="0"/>
          </reference>
          <reference field="5" count="1" selected="0">
            <x v="14"/>
          </reference>
          <reference field="11" count="24">
            <x v="24"/>
            <x v="25"/>
            <x v="26"/>
            <x v="46"/>
            <x v="47"/>
            <x v="54"/>
            <x v="63"/>
            <x v="64"/>
            <x v="83"/>
            <x v="85"/>
            <x v="107"/>
            <x v="108"/>
            <x v="144"/>
            <x v="157"/>
            <x v="159"/>
            <x v="176"/>
            <x v="177"/>
            <x v="181"/>
            <x v="189"/>
            <x v="190"/>
            <x v="191"/>
            <x v="192"/>
            <x v="204"/>
            <x v="229"/>
          </reference>
        </references>
      </pivotArea>
    </format>
    <format dxfId="1865">
      <pivotArea dataOnly="0" labelOnly="1" outline="0" fieldPosition="0">
        <references count="3">
          <reference field="1" count="1" selected="0">
            <x v="0"/>
          </reference>
          <reference field="5" count="1" selected="0">
            <x v="17"/>
          </reference>
          <reference field="11" count="3">
            <x v="196"/>
            <x v="213"/>
            <x v="231"/>
          </reference>
        </references>
      </pivotArea>
    </format>
    <format dxfId="1864">
      <pivotArea dataOnly="0" labelOnly="1" outline="0" fieldPosition="0">
        <references count="3">
          <reference field="1" count="1" selected="0">
            <x v="0"/>
          </reference>
          <reference field="5" count="1" selected="0">
            <x v="18"/>
          </reference>
          <reference field="11" count="4">
            <x v="38"/>
            <x v="61"/>
            <x v="179"/>
            <x v="180"/>
          </reference>
        </references>
      </pivotArea>
    </format>
    <format dxfId="1863">
      <pivotArea dataOnly="0" labelOnly="1" outline="0" fieldPosition="0">
        <references count="3">
          <reference field="1" count="1" selected="0">
            <x v="0"/>
          </reference>
          <reference field="5" count="1" selected="0">
            <x v="19"/>
          </reference>
          <reference field="11" count="3">
            <x v="185"/>
            <x v="236"/>
            <x v="237"/>
          </reference>
        </references>
      </pivotArea>
    </format>
    <format dxfId="1862">
      <pivotArea dataOnly="0" labelOnly="1" outline="0" fieldPosition="0">
        <references count="3">
          <reference field="1" count="1" selected="0">
            <x v="0"/>
          </reference>
          <reference field="5" count="1" selected="0">
            <x v="20"/>
          </reference>
          <reference field="11" count="23">
            <x v="17"/>
            <x v="33"/>
            <x v="34"/>
            <x v="44"/>
            <x v="48"/>
            <x v="75"/>
            <x v="76"/>
            <x v="78"/>
            <x v="79"/>
            <x v="80"/>
            <x v="81"/>
            <x v="151"/>
            <x v="165"/>
            <x v="166"/>
            <x v="167"/>
            <x v="168"/>
            <x v="169"/>
            <x v="178"/>
            <x v="193"/>
            <x v="197"/>
            <x v="201"/>
            <x v="228"/>
            <x v="230"/>
          </reference>
        </references>
      </pivotArea>
    </format>
    <format dxfId="1861">
      <pivotArea dataOnly="0" labelOnly="1" outline="0" fieldPosition="0">
        <references count="3">
          <reference field="1" count="1" selected="0">
            <x v="1"/>
          </reference>
          <reference field="5" count="1" selected="0">
            <x v="3"/>
          </reference>
          <reference field="11" count="3">
            <x v="148"/>
            <x v="232"/>
            <x v="247"/>
          </reference>
        </references>
      </pivotArea>
    </format>
    <format dxfId="1860">
      <pivotArea dataOnly="0" labelOnly="1" outline="0" fieldPosition="0">
        <references count="3">
          <reference field="1" count="1" selected="0">
            <x v="1"/>
          </reference>
          <reference field="5" count="1" selected="0">
            <x v="6"/>
          </reference>
          <reference field="11" count="12">
            <x v="51"/>
            <x v="52"/>
            <x v="53"/>
            <x v="116"/>
            <x v="123"/>
            <x v="137"/>
            <x v="208"/>
            <x v="221"/>
            <x v="239"/>
            <x v="241"/>
            <x v="244"/>
            <x v="248"/>
          </reference>
        </references>
      </pivotArea>
    </format>
    <format dxfId="1859">
      <pivotArea dataOnly="0" labelOnly="1" outline="0" fieldPosition="0">
        <references count="3">
          <reference field="1" count="1" selected="0">
            <x v="1"/>
          </reference>
          <reference field="5" count="1" selected="0">
            <x v="9"/>
          </reference>
          <reference field="11" count="3">
            <x v="95"/>
            <x v="96"/>
            <x v="246"/>
          </reference>
        </references>
      </pivotArea>
    </format>
    <format dxfId="1858">
      <pivotArea dataOnly="0" labelOnly="1" outline="0" fieldPosition="0">
        <references count="3">
          <reference field="1" count="1" selected="0">
            <x v="1"/>
          </reference>
          <reference field="5" count="1" selected="0">
            <x v="13"/>
          </reference>
          <reference field="11" count="6">
            <x v="39"/>
            <x v="40"/>
            <x v="120"/>
            <x v="136"/>
            <x v="214"/>
            <x v="217"/>
          </reference>
        </references>
      </pivotArea>
    </format>
    <format dxfId="1857">
      <pivotArea dataOnly="0" labelOnly="1" outline="0" fieldPosition="0">
        <references count="3">
          <reference field="1" count="1" selected="0">
            <x v="1"/>
          </reference>
          <reference field="5" count="1" selected="0">
            <x v="15"/>
          </reference>
          <reference field="11" count="7">
            <x v="130"/>
            <x v="131"/>
            <x v="132"/>
            <x v="215"/>
            <x v="219"/>
            <x v="242"/>
            <x v="243"/>
          </reference>
        </references>
      </pivotArea>
    </format>
    <format dxfId="1856">
      <pivotArea dataOnly="0" labelOnly="1" outline="0" fieldPosition="0">
        <references count="3">
          <reference field="1" count="1" selected="0">
            <x v="1"/>
          </reference>
          <reference field="5" count="1" selected="0">
            <x v="16"/>
          </reference>
          <reference field="11" count="3">
            <x v="142"/>
            <x v="143"/>
            <x v="245"/>
          </reference>
        </references>
      </pivotArea>
    </format>
    <format dxfId="1855">
      <pivotArea dataOnly="0" labelOnly="1" outline="0" fieldPosition="0">
        <references count="4">
          <reference field="1" count="1" selected="0">
            <x v="0"/>
          </reference>
          <reference field="5" count="1" selected="0">
            <x v="0"/>
          </reference>
          <reference field="11" count="1" selected="0">
            <x v="3"/>
          </reference>
          <reference field="12" count="1">
            <x v="49"/>
          </reference>
        </references>
      </pivotArea>
    </format>
    <format dxfId="1854">
      <pivotArea dataOnly="0" labelOnly="1" outline="0" fieldPosition="0">
        <references count="4">
          <reference field="1" count="1" selected="0">
            <x v="0"/>
          </reference>
          <reference field="5" count="1" selected="0">
            <x v="0"/>
          </reference>
          <reference field="11" count="1" selected="0">
            <x v="7"/>
          </reference>
          <reference field="12" count="1">
            <x v="164"/>
          </reference>
        </references>
      </pivotArea>
    </format>
    <format dxfId="1853">
      <pivotArea dataOnly="0" labelOnly="1" outline="0" fieldPosition="0">
        <references count="4">
          <reference field="1" count="1" selected="0">
            <x v="0"/>
          </reference>
          <reference field="5" count="1" selected="0">
            <x v="0"/>
          </reference>
          <reference field="11" count="1" selected="0">
            <x v="38"/>
          </reference>
          <reference field="12" count="1">
            <x v="137"/>
          </reference>
        </references>
      </pivotArea>
    </format>
    <format dxfId="1852">
      <pivotArea dataOnly="0" labelOnly="1" outline="0" fieldPosition="0">
        <references count="4">
          <reference field="1" count="1" selected="0">
            <x v="0"/>
          </reference>
          <reference field="5" count="1" selected="0">
            <x v="0"/>
          </reference>
          <reference field="11" count="1" selected="0">
            <x v="43"/>
          </reference>
          <reference field="12" count="1">
            <x v="51"/>
          </reference>
        </references>
      </pivotArea>
    </format>
    <format dxfId="1851">
      <pivotArea dataOnly="0" labelOnly="1" outline="0" fieldPosition="0">
        <references count="4">
          <reference field="1" count="1" selected="0">
            <x v="0"/>
          </reference>
          <reference field="5" count="1" selected="0">
            <x v="0"/>
          </reference>
          <reference field="11" count="1" selected="0">
            <x v="68"/>
          </reference>
          <reference field="12" count="1">
            <x v="48"/>
          </reference>
        </references>
      </pivotArea>
    </format>
    <format dxfId="1850">
      <pivotArea dataOnly="0" labelOnly="1" outline="0" fieldPosition="0">
        <references count="4">
          <reference field="1" count="1" selected="0">
            <x v="0"/>
          </reference>
          <reference field="5" count="1" selected="0">
            <x v="0"/>
          </reference>
          <reference field="11" count="1" selected="0">
            <x v="126"/>
          </reference>
          <reference field="12" count="1">
            <x v="50"/>
          </reference>
        </references>
      </pivotArea>
    </format>
    <format dxfId="1849">
      <pivotArea dataOnly="0" labelOnly="1" outline="0" fieldPosition="0">
        <references count="4">
          <reference field="1" count="1" selected="0">
            <x v="0"/>
          </reference>
          <reference field="5" count="1" selected="0">
            <x v="0"/>
          </reference>
          <reference field="11" count="1" selected="0">
            <x v="145"/>
          </reference>
          <reference field="12" count="1">
            <x v="53"/>
          </reference>
        </references>
      </pivotArea>
    </format>
    <format dxfId="1848">
      <pivotArea dataOnly="0" labelOnly="1" outline="0" fieldPosition="0">
        <references count="4">
          <reference field="1" count="1" selected="0">
            <x v="0"/>
          </reference>
          <reference field="5" count="1" selected="0">
            <x v="0"/>
          </reference>
          <reference field="11" count="1" selected="0">
            <x v="163"/>
          </reference>
          <reference field="12" count="1">
            <x v="163"/>
          </reference>
        </references>
      </pivotArea>
    </format>
    <format dxfId="1847">
      <pivotArea dataOnly="0" labelOnly="1" outline="0" fieldPosition="0">
        <references count="4">
          <reference field="1" count="1" selected="0">
            <x v="0"/>
          </reference>
          <reference field="5" count="1" selected="0">
            <x v="0"/>
          </reference>
          <reference field="11" count="1" selected="0">
            <x v="171"/>
          </reference>
          <reference field="12" count="1">
            <x v="46"/>
          </reference>
        </references>
      </pivotArea>
    </format>
    <format dxfId="1846">
      <pivotArea dataOnly="0" labelOnly="1" outline="0" fieldPosition="0">
        <references count="4">
          <reference field="1" count="1" selected="0">
            <x v="0"/>
          </reference>
          <reference field="5" count="1" selected="0">
            <x v="0"/>
          </reference>
          <reference field="11" count="1" selected="0">
            <x v="186"/>
          </reference>
          <reference field="12" count="1">
            <x v="54"/>
          </reference>
        </references>
      </pivotArea>
    </format>
    <format dxfId="1845">
      <pivotArea dataOnly="0" labelOnly="1" outline="0" fieldPosition="0">
        <references count="4">
          <reference field="1" count="1" selected="0">
            <x v="0"/>
          </reference>
          <reference field="5" count="1" selected="0">
            <x v="0"/>
          </reference>
          <reference field="11" count="1" selected="0">
            <x v="205"/>
          </reference>
          <reference field="12" count="1">
            <x v="52"/>
          </reference>
        </references>
      </pivotArea>
    </format>
    <format dxfId="1844">
      <pivotArea dataOnly="0" labelOnly="1" outline="0" fieldPosition="0">
        <references count="4">
          <reference field="1" count="1" selected="0">
            <x v="0"/>
          </reference>
          <reference field="5" count="1" selected="0">
            <x v="1"/>
          </reference>
          <reference field="11" count="1" selected="0">
            <x v="21"/>
          </reference>
          <reference field="12" count="1">
            <x v="41"/>
          </reference>
        </references>
      </pivotArea>
    </format>
    <format dxfId="1843">
      <pivotArea dataOnly="0" labelOnly="1" outline="0" fieldPosition="0">
        <references count="4">
          <reference field="1" count="1" selected="0">
            <x v="0"/>
          </reference>
          <reference field="5" count="1" selected="0">
            <x v="1"/>
          </reference>
          <reference field="11" count="1" selected="0">
            <x v="41"/>
          </reference>
          <reference field="12" count="1">
            <x v="42"/>
          </reference>
        </references>
      </pivotArea>
    </format>
    <format dxfId="1842">
      <pivotArea dataOnly="0" labelOnly="1" outline="0" fieldPosition="0">
        <references count="4">
          <reference field="1" count="1" selected="0">
            <x v="0"/>
          </reference>
          <reference field="5" count="1" selected="0">
            <x v="1"/>
          </reference>
          <reference field="11" count="1" selected="0">
            <x v="59"/>
          </reference>
          <reference field="12" count="1">
            <x v="44"/>
          </reference>
        </references>
      </pivotArea>
    </format>
    <format dxfId="1841">
      <pivotArea dataOnly="0" labelOnly="1" outline="0" fieldPosition="0">
        <references count="4">
          <reference field="1" count="1" selected="0">
            <x v="0"/>
          </reference>
          <reference field="5" count="1" selected="0">
            <x v="1"/>
          </reference>
          <reference field="11" count="1" selected="0">
            <x v="65"/>
          </reference>
          <reference field="12" count="1">
            <x v="165"/>
          </reference>
        </references>
      </pivotArea>
    </format>
    <format dxfId="1840">
      <pivotArea dataOnly="0" labelOnly="1" outline="0" fieldPosition="0">
        <references count="4">
          <reference field="1" count="1" selected="0">
            <x v="0"/>
          </reference>
          <reference field="5" count="1" selected="0">
            <x v="1"/>
          </reference>
          <reference field="11" count="1" selected="0">
            <x v="161"/>
          </reference>
          <reference field="12" count="1">
            <x v="178"/>
          </reference>
        </references>
      </pivotArea>
    </format>
    <format dxfId="1839">
      <pivotArea dataOnly="0" labelOnly="1" outline="0" fieldPosition="0">
        <references count="4">
          <reference field="1" count="1" selected="0">
            <x v="0"/>
          </reference>
          <reference field="5" count="1" selected="0">
            <x v="1"/>
          </reference>
          <reference field="11" count="1" selected="0">
            <x v="210"/>
          </reference>
          <reference field="12" count="1">
            <x v="219"/>
          </reference>
        </references>
      </pivotArea>
    </format>
    <format dxfId="1838">
      <pivotArea dataOnly="0" labelOnly="1" outline="0" fieldPosition="0">
        <references count="4">
          <reference field="1" count="1" selected="0">
            <x v="0"/>
          </reference>
          <reference field="5" count="1" selected="0">
            <x v="2"/>
          </reference>
          <reference field="11" count="1" selected="0">
            <x v="1"/>
          </reference>
          <reference field="12" count="1">
            <x v="150"/>
          </reference>
        </references>
      </pivotArea>
    </format>
    <format dxfId="1837">
      <pivotArea dataOnly="0" labelOnly="1" outline="0" fieldPosition="0">
        <references count="4">
          <reference field="1" count="1" selected="0">
            <x v="0"/>
          </reference>
          <reference field="5" count="1" selected="0">
            <x v="2"/>
          </reference>
          <reference field="11" count="1" selected="0">
            <x v="2"/>
          </reference>
          <reference field="12" count="1">
            <x v="139"/>
          </reference>
        </references>
      </pivotArea>
    </format>
    <format dxfId="1836">
      <pivotArea dataOnly="0" labelOnly="1" outline="0" fieldPosition="0">
        <references count="4">
          <reference field="1" count="1" selected="0">
            <x v="0"/>
          </reference>
          <reference field="5" count="1" selected="0">
            <x v="2"/>
          </reference>
          <reference field="11" count="1" selected="0">
            <x v="4"/>
          </reference>
          <reference field="12" count="1">
            <x v="147"/>
          </reference>
        </references>
      </pivotArea>
    </format>
    <format dxfId="1835">
      <pivotArea dataOnly="0" labelOnly="1" outline="0" fieldPosition="0">
        <references count="4">
          <reference field="1" count="1" selected="0">
            <x v="0"/>
          </reference>
          <reference field="5" count="1" selected="0">
            <x v="2"/>
          </reference>
          <reference field="11" count="1" selected="0">
            <x v="5"/>
          </reference>
          <reference field="12" count="1">
            <x v="160"/>
          </reference>
        </references>
      </pivotArea>
    </format>
    <format dxfId="1834">
      <pivotArea dataOnly="0" labelOnly="1" outline="0" fieldPosition="0">
        <references count="4">
          <reference field="1" count="1" selected="0">
            <x v="0"/>
          </reference>
          <reference field="5" count="1" selected="0">
            <x v="2"/>
          </reference>
          <reference field="11" count="1" selected="0">
            <x v="13"/>
          </reference>
          <reference field="12" count="1">
            <x v="140"/>
          </reference>
        </references>
      </pivotArea>
    </format>
    <format dxfId="1833">
      <pivotArea dataOnly="0" labelOnly="1" outline="0" fieldPosition="0">
        <references count="4">
          <reference field="1" count="1" selected="0">
            <x v="0"/>
          </reference>
          <reference field="5" count="1" selected="0">
            <x v="2"/>
          </reference>
          <reference field="11" count="1" selected="0">
            <x v="19"/>
          </reference>
          <reference field="12" count="1">
            <x v="105"/>
          </reference>
        </references>
      </pivotArea>
    </format>
    <format dxfId="1832">
      <pivotArea dataOnly="0" labelOnly="1" outline="0" fieldPosition="0">
        <references count="4">
          <reference field="1" count="1" selected="0">
            <x v="0"/>
          </reference>
          <reference field="5" count="1" selected="0">
            <x v="2"/>
          </reference>
          <reference field="11" count="1" selected="0">
            <x v="23"/>
          </reference>
          <reference field="12" count="1">
            <x v="145"/>
          </reference>
        </references>
      </pivotArea>
    </format>
    <format dxfId="1831">
      <pivotArea dataOnly="0" labelOnly="1" outline="0" fieldPosition="0">
        <references count="4">
          <reference field="1" count="1" selected="0">
            <x v="0"/>
          </reference>
          <reference field="5" count="1" selected="0">
            <x v="2"/>
          </reference>
          <reference field="11" count="1" selected="0">
            <x v="35"/>
          </reference>
          <reference field="12" count="1">
            <x v="131"/>
          </reference>
        </references>
      </pivotArea>
    </format>
    <format dxfId="1830">
      <pivotArea dataOnly="0" labelOnly="1" outline="0" fieldPosition="0">
        <references count="4">
          <reference field="1" count="1" selected="0">
            <x v="0"/>
          </reference>
          <reference field="5" count="1" selected="0">
            <x v="2"/>
          </reference>
          <reference field="11" count="1" selected="0">
            <x v="36"/>
          </reference>
          <reference field="12" count="1">
            <x v="161"/>
          </reference>
        </references>
      </pivotArea>
    </format>
    <format dxfId="1829">
      <pivotArea dataOnly="0" labelOnly="1" outline="0" fieldPosition="0">
        <references count="4">
          <reference field="1" count="1" selected="0">
            <x v="0"/>
          </reference>
          <reference field="5" count="1" selected="0">
            <x v="2"/>
          </reference>
          <reference field="11" count="1" selected="0">
            <x v="66"/>
          </reference>
          <reference field="12" count="1">
            <x v="152"/>
          </reference>
        </references>
      </pivotArea>
    </format>
    <format dxfId="1828">
      <pivotArea dataOnly="0" labelOnly="1" outline="0" fieldPosition="0">
        <references count="4">
          <reference field="1" count="1" selected="0">
            <x v="0"/>
          </reference>
          <reference field="5" count="1" selected="0">
            <x v="2"/>
          </reference>
          <reference field="11" count="1" selected="0">
            <x v="67"/>
          </reference>
          <reference field="12" count="1">
            <x v="138"/>
          </reference>
        </references>
      </pivotArea>
    </format>
    <format dxfId="1827">
      <pivotArea dataOnly="0" labelOnly="1" outline="0" fieldPosition="0">
        <references count="4">
          <reference field="1" count="1" selected="0">
            <x v="0"/>
          </reference>
          <reference field="5" count="1" selected="0">
            <x v="2"/>
          </reference>
          <reference field="11" count="1" selected="0">
            <x v="113"/>
          </reference>
          <reference field="12" count="1">
            <x v="87"/>
          </reference>
        </references>
      </pivotArea>
    </format>
    <format dxfId="1826">
      <pivotArea dataOnly="0" labelOnly="1" outline="0" fieldPosition="0">
        <references count="4">
          <reference field="1" count="1" selected="0">
            <x v="0"/>
          </reference>
          <reference field="5" count="1" selected="0">
            <x v="2"/>
          </reference>
          <reference field="11" count="1" selected="0">
            <x v="141"/>
          </reference>
          <reference field="12" count="1">
            <x v="162"/>
          </reference>
        </references>
      </pivotArea>
    </format>
    <format dxfId="1825">
      <pivotArea dataOnly="0" labelOnly="1" outline="0" fieldPosition="0">
        <references count="4">
          <reference field="1" count="1" selected="0">
            <x v="0"/>
          </reference>
          <reference field="5" count="1" selected="0">
            <x v="2"/>
          </reference>
          <reference field="11" count="1" selected="0">
            <x v="146"/>
          </reference>
          <reference field="12" count="1">
            <x v="99"/>
          </reference>
        </references>
      </pivotArea>
    </format>
    <format dxfId="1824">
      <pivotArea dataOnly="0" labelOnly="1" outline="0" fieldPosition="0">
        <references count="4">
          <reference field="1" count="1" selected="0">
            <x v="0"/>
          </reference>
          <reference field="5" count="1" selected="0">
            <x v="2"/>
          </reference>
          <reference field="11" count="1" selected="0">
            <x v="170"/>
          </reference>
          <reference field="12" count="1">
            <x v="153"/>
          </reference>
        </references>
      </pivotArea>
    </format>
    <format dxfId="1823">
      <pivotArea dataOnly="0" labelOnly="1" outline="0" fieldPosition="0">
        <references count="4">
          <reference field="1" count="1" selected="0">
            <x v="0"/>
          </reference>
          <reference field="5" count="1" selected="0">
            <x v="2"/>
          </reference>
          <reference field="11" count="1" selected="0">
            <x v="173"/>
          </reference>
          <reference field="12" count="1">
            <x v="154"/>
          </reference>
        </references>
      </pivotArea>
    </format>
    <format dxfId="1822">
      <pivotArea dataOnly="0" labelOnly="1" outline="0" fieldPosition="0">
        <references count="4">
          <reference field="1" count="1" selected="0">
            <x v="0"/>
          </reference>
          <reference field="5" count="1" selected="0">
            <x v="2"/>
          </reference>
          <reference field="11" count="1" selected="0">
            <x v="200"/>
          </reference>
          <reference field="12" count="1">
            <x v="155"/>
          </reference>
        </references>
      </pivotArea>
    </format>
    <format dxfId="1821">
      <pivotArea dataOnly="0" labelOnly="1" outline="0" fieldPosition="0">
        <references count="4">
          <reference field="1" count="1" selected="0">
            <x v="0"/>
          </reference>
          <reference field="5" count="1" selected="0">
            <x v="2"/>
          </reference>
          <reference field="11" count="1" selected="0">
            <x v="206"/>
          </reference>
          <reference field="12" count="1">
            <x v="101"/>
          </reference>
        </references>
      </pivotArea>
    </format>
    <format dxfId="1820">
      <pivotArea dataOnly="0" labelOnly="1" outline="0" fieldPosition="0">
        <references count="4">
          <reference field="1" count="1" selected="0">
            <x v="0"/>
          </reference>
          <reference field="5" count="1" selected="0">
            <x v="2"/>
          </reference>
          <reference field="11" count="1" selected="0">
            <x v="218"/>
          </reference>
          <reference field="12" count="1">
            <x v="227"/>
          </reference>
        </references>
      </pivotArea>
    </format>
    <format dxfId="1819">
      <pivotArea dataOnly="0" labelOnly="1" outline="0" fieldPosition="0">
        <references count="4">
          <reference field="1" count="1" selected="0">
            <x v="0"/>
          </reference>
          <reference field="5" count="1" selected="0">
            <x v="2"/>
          </reference>
          <reference field="11" count="1" selected="0">
            <x v="222"/>
          </reference>
          <reference field="12" count="1">
            <x v="230"/>
          </reference>
        </references>
      </pivotArea>
    </format>
    <format dxfId="1818">
      <pivotArea dataOnly="0" labelOnly="1" outline="0" fieldPosition="0">
        <references count="4">
          <reference field="1" count="1" selected="0">
            <x v="0"/>
          </reference>
          <reference field="5" count="1" selected="0">
            <x v="2"/>
          </reference>
          <reference field="11" count="1" selected="0">
            <x v="240"/>
          </reference>
          <reference field="12" count="1">
            <x v="242"/>
          </reference>
        </references>
      </pivotArea>
    </format>
    <format dxfId="1817">
      <pivotArea dataOnly="0" labelOnly="1" outline="0" fieldPosition="0">
        <references count="4">
          <reference field="1" count="1" selected="0">
            <x v="0"/>
          </reference>
          <reference field="5" count="1" selected="0">
            <x v="2"/>
          </reference>
          <reference field="11" count="1" selected="0">
            <x v="249"/>
          </reference>
          <reference field="12" count="1">
            <x v="252"/>
          </reference>
        </references>
      </pivotArea>
    </format>
    <format dxfId="1816">
      <pivotArea dataOnly="0" labelOnly="1" outline="0" fieldPosition="0">
        <references count="4">
          <reference field="1" count="1" selected="0">
            <x v="0"/>
          </reference>
          <reference field="5" count="1" selected="0">
            <x v="2"/>
          </reference>
          <reference field="11" count="1" selected="0">
            <x v="250"/>
          </reference>
          <reference field="12" count="1">
            <x v="253"/>
          </reference>
        </references>
      </pivotArea>
    </format>
    <format dxfId="1815">
      <pivotArea dataOnly="0" labelOnly="1" outline="0" fieldPosition="0">
        <references count="4">
          <reference field="1" count="1" selected="0">
            <x v="0"/>
          </reference>
          <reference field="5" count="1" selected="0">
            <x v="2"/>
          </reference>
          <reference field="11" count="1" selected="0">
            <x v="251"/>
          </reference>
          <reference field="12" count="1">
            <x v="254"/>
          </reference>
        </references>
      </pivotArea>
    </format>
    <format dxfId="1814">
      <pivotArea dataOnly="0" labelOnly="1" outline="0" fieldPosition="0">
        <references count="4">
          <reference field="1" count="1" selected="0">
            <x v="0"/>
          </reference>
          <reference field="5" count="1" selected="0">
            <x v="2"/>
          </reference>
          <reference field="11" count="1" selected="0">
            <x v="252"/>
          </reference>
          <reference field="12" count="1">
            <x v="255"/>
          </reference>
        </references>
      </pivotArea>
    </format>
    <format dxfId="1813">
      <pivotArea dataOnly="0" labelOnly="1" outline="0" fieldPosition="0">
        <references count="4">
          <reference field="1" count="1" selected="0">
            <x v="0"/>
          </reference>
          <reference field="5" count="1" selected="0">
            <x v="2"/>
          </reference>
          <reference field="11" count="1" selected="0">
            <x v="253"/>
          </reference>
          <reference field="12" count="1">
            <x v="256"/>
          </reference>
        </references>
      </pivotArea>
    </format>
    <format dxfId="1812">
      <pivotArea dataOnly="0" labelOnly="1" outline="0" fieldPosition="0">
        <references count="4">
          <reference field="1" count="1" selected="0">
            <x v="0"/>
          </reference>
          <reference field="5" count="1" selected="0">
            <x v="5"/>
          </reference>
          <reference field="11" count="1" selected="0">
            <x v="56"/>
          </reference>
          <reference field="12" count="1">
            <x v="73"/>
          </reference>
        </references>
      </pivotArea>
    </format>
    <format dxfId="1811">
      <pivotArea dataOnly="0" labelOnly="1" outline="0" fieldPosition="0">
        <references count="4">
          <reference field="1" count="1" selected="0">
            <x v="0"/>
          </reference>
          <reference field="5" count="1" selected="0">
            <x v="8"/>
          </reference>
          <reference field="11" count="1" selected="0">
            <x v="18"/>
          </reference>
          <reference field="12" count="1">
            <x v="121"/>
          </reference>
        </references>
      </pivotArea>
    </format>
    <format dxfId="1810">
      <pivotArea dataOnly="0" labelOnly="1" outline="0" fieldPosition="0">
        <references count="4">
          <reference field="1" count="1" selected="0">
            <x v="0"/>
          </reference>
          <reference field="5" count="1" selected="0">
            <x v="8"/>
          </reference>
          <reference field="11" count="1" selected="0">
            <x v="38"/>
          </reference>
          <reference field="12" count="1">
            <x v="166"/>
          </reference>
        </references>
      </pivotArea>
    </format>
    <format dxfId="1809">
      <pivotArea dataOnly="0" labelOnly="1" outline="0" fieldPosition="0">
        <references count="4">
          <reference field="1" count="1" selected="0">
            <x v="0"/>
          </reference>
          <reference field="5" count="1" selected="0">
            <x v="8"/>
          </reference>
          <reference field="11" count="1" selected="0">
            <x v="60"/>
          </reference>
          <reference field="12" count="1">
            <x v="120"/>
          </reference>
        </references>
      </pivotArea>
    </format>
    <format dxfId="1808">
      <pivotArea dataOnly="0" labelOnly="1" outline="0" fieldPosition="0">
        <references count="4">
          <reference field="1" count="1" selected="0">
            <x v="0"/>
          </reference>
          <reference field="5" count="1" selected="0">
            <x v="8"/>
          </reference>
          <reference field="11" count="1" selected="0">
            <x v="82"/>
          </reference>
          <reference field="12" count="1">
            <x v="186"/>
          </reference>
        </references>
      </pivotArea>
    </format>
    <format dxfId="1807">
      <pivotArea dataOnly="0" labelOnly="1" outline="0" fieldPosition="0">
        <references count="4">
          <reference field="1" count="1" selected="0">
            <x v="0"/>
          </reference>
          <reference field="5" count="1" selected="0">
            <x v="8"/>
          </reference>
          <reference field="11" count="1" selected="0">
            <x v="90"/>
          </reference>
          <reference field="12" count="1">
            <x v="124"/>
          </reference>
        </references>
      </pivotArea>
    </format>
    <format dxfId="1806">
      <pivotArea dataOnly="0" labelOnly="1" outline="0" fieldPosition="0">
        <references count="4">
          <reference field="1" count="1" selected="0">
            <x v="0"/>
          </reference>
          <reference field="5" count="1" selected="0">
            <x v="8"/>
          </reference>
          <reference field="11" count="1" selected="0">
            <x v="91"/>
          </reference>
          <reference field="12" count="1">
            <x v="123"/>
          </reference>
        </references>
      </pivotArea>
    </format>
    <format dxfId="1805">
      <pivotArea dataOnly="0" labelOnly="1" outline="0" fieldPosition="0">
        <references count="4">
          <reference field="1" count="1" selected="0">
            <x v="0"/>
          </reference>
          <reference field="5" count="1" selected="0">
            <x v="8"/>
          </reference>
          <reference field="11" count="1" selected="0">
            <x v="92"/>
          </reference>
          <reference field="12" count="1">
            <x v="125"/>
          </reference>
        </references>
      </pivotArea>
    </format>
    <format dxfId="1804">
      <pivotArea dataOnly="0" labelOnly="1" outline="0" fieldPosition="0">
        <references count="4">
          <reference field="1" count="1" selected="0">
            <x v="0"/>
          </reference>
          <reference field="5" count="1" selected="0">
            <x v="8"/>
          </reference>
          <reference field="11" count="1" selected="0">
            <x v="98"/>
          </reference>
          <reference field="12" count="1">
            <x v="65"/>
          </reference>
        </references>
      </pivotArea>
    </format>
    <format dxfId="1803">
      <pivotArea dataOnly="0" labelOnly="1" outline="0" fieldPosition="0">
        <references count="4">
          <reference field="1" count="1" selected="0">
            <x v="0"/>
          </reference>
          <reference field="5" count="1" selected="0">
            <x v="8"/>
          </reference>
          <reference field="11" count="1" selected="0">
            <x v="209"/>
          </reference>
          <reference field="12" count="1">
            <x v="217"/>
          </reference>
        </references>
      </pivotArea>
    </format>
    <format dxfId="1802">
      <pivotArea dataOnly="0" labelOnly="1" outline="0" fieldPosition="0">
        <references count="4">
          <reference field="1" count="1" selected="0">
            <x v="0"/>
          </reference>
          <reference field="5" count="1" selected="0">
            <x v="8"/>
          </reference>
          <reference field="11" count="1" selected="0">
            <x v="216"/>
          </reference>
          <reference field="12" count="1">
            <x v="225"/>
          </reference>
        </references>
      </pivotArea>
    </format>
    <format dxfId="1801">
      <pivotArea dataOnly="0" labelOnly="1" outline="0" fieldPosition="0">
        <references count="4">
          <reference field="1" count="1" selected="0">
            <x v="0"/>
          </reference>
          <reference field="5" count="1" selected="0">
            <x v="8"/>
          </reference>
          <reference field="11" count="1" selected="0">
            <x v="220"/>
          </reference>
          <reference field="12" count="1">
            <x v="228"/>
          </reference>
        </references>
      </pivotArea>
    </format>
    <format dxfId="1800">
      <pivotArea dataOnly="0" labelOnly="1" outline="0" fieldPosition="0">
        <references count="4">
          <reference field="1" count="1" selected="0">
            <x v="0"/>
          </reference>
          <reference field="5" count="1" selected="0">
            <x v="10"/>
          </reference>
          <reference field="11" count="1" selected="0">
            <x v="55"/>
          </reference>
          <reference field="12" count="1">
            <x v="76"/>
          </reference>
        </references>
      </pivotArea>
    </format>
    <format dxfId="1799">
      <pivotArea dataOnly="0" labelOnly="1" outline="0" fieldPosition="0">
        <references count="4">
          <reference field="1" count="1" selected="0">
            <x v="0"/>
          </reference>
          <reference field="5" count="1" selected="0">
            <x v="10"/>
          </reference>
          <reference field="11" count="1" selected="0">
            <x v="97"/>
          </reference>
          <reference field="12" count="1">
            <x v="75"/>
          </reference>
        </references>
      </pivotArea>
    </format>
    <format dxfId="1798">
      <pivotArea dataOnly="0" labelOnly="1" outline="0" fieldPosition="0">
        <references count="4">
          <reference field="1" count="1" selected="0">
            <x v="0"/>
          </reference>
          <reference field="5" count="1" selected="0">
            <x v="10"/>
          </reference>
          <reference field="11" count="1" selected="0">
            <x v="149"/>
          </reference>
          <reference field="12" count="1">
            <x v="77"/>
          </reference>
        </references>
      </pivotArea>
    </format>
    <format dxfId="1797">
      <pivotArea dataOnly="0" labelOnly="1" outline="0" fieldPosition="0">
        <references count="4">
          <reference field="1" count="1" selected="0">
            <x v="0"/>
          </reference>
          <reference field="5" count="1" selected="0">
            <x v="10"/>
          </reference>
          <reference field="11" count="1" selected="0">
            <x v="233"/>
          </reference>
          <reference field="12" count="1">
            <x v="235"/>
          </reference>
        </references>
      </pivotArea>
    </format>
    <format dxfId="1796">
      <pivotArea dataOnly="0" labelOnly="1" outline="0" fieldPosition="0">
        <references count="4">
          <reference field="1" count="1" selected="0">
            <x v="0"/>
          </reference>
          <reference field="5" count="1" selected="0">
            <x v="10"/>
          </reference>
          <reference field="11" count="1" selected="0">
            <x v="234"/>
          </reference>
          <reference field="12" count="1">
            <x v="236"/>
          </reference>
        </references>
      </pivotArea>
    </format>
    <format dxfId="1795">
      <pivotArea dataOnly="0" labelOnly="1" outline="0" fieldPosition="0">
        <references count="4">
          <reference field="1" count="1" selected="0">
            <x v="0"/>
          </reference>
          <reference field="5" count="1" selected="0">
            <x v="10"/>
          </reference>
          <reference field="11" count="1" selected="0">
            <x v="235"/>
          </reference>
          <reference field="12" count="1">
            <x v="237"/>
          </reference>
        </references>
      </pivotArea>
    </format>
    <format dxfId="1794">
      <pivotArea dataOnly="0" labelOnly="1" outline="0" fieldPosition="0">
        <references count="4">
          <reference field="1" count="1" selected="0">
            <x v="0"/>
          </reference>
          <reference field="5" count="1" selected="0">
            <x v="11"/>
          </reference>
          <reference field="11" count="1" selected="0">
            <x v="152"/>
          </reference>
          <reference field="12" count="1">
            <x v="133"/>
          </reference>
        </references>
      </pivotArea>
    </format>
    <format dxfId="1793">
      <pivotArea dataOnly="0" labelOnly="1" outline="0" fieldPosition="0">
        <references count="4">
          <reference field="1" count="1" selected="0">
            <x v="0"/>
          </reference>
          <reference field="5" count="1" selected="0">
            <x v="11"/>
          </reference>
          <reference field="11" count="1" selected="0">
            <x v="183"/>
          </reference>
          <reference field="12" count="1">
            <x v="78"/>
          </reference>
        </references>
      </pivotArea>
    </format>
    <format dxfId="1792">
      <pivotArea dataOnly="0" labelOnly="1" outline="0" fieldPosition="0">
        <references count="4">
          <reference field="1" count="1" selected="0">
            <x v="0"/>
          </reference>
          <reference field="5" count="1" selected="0">
            <x v="11"/>
          </reference>
          <reference field="11" count="1" selected="0">
            <x v="223"/>
          </reference>
          <reference field="12" count="1">
            <x v="231"/>
          </reference>
        </references>
      </pivotArea>
    </format>
    <format dxfId="1791">
      <pivotArea dataOnly="0" labelOnly="1" outline="0" fieldPosition="0">
        <references count="4">
          <reference field="1" count="1" selected="0">
            <x v="0"/>
          </reference>
          <reference field="5" count="1" selected="0">
            <x v="11"/>
          </reference>
          <reference field="11" count="1" selected="0">
            <x v="224"/>
          </reference>
          <reference field="12" count="1">
            <x v="232"/>
          </reference>
        </references>
      </pivotArea>
    </format>
    <format dxfId="1790">
      <pivotArea dataOnly="0" labelOnly="1" outline="0" fieldPosition="0">
        <references count="4">
          <reference field="1" count="1" selected="0">
            <x v="0"/>
          </reference>
          <reference field="5" count="1" selected="0">
            <x v="12"/>
          </reference>
          <reference field="11" count="1" selected="0">
            <x v="27"/>
          </reference>
          <reference field="12" count="1">
            <x v="118"/>
          </reference>
        </references>
      </pivotArea>
    </format>
    <format dxfId="1789">
      <pivotArea dataOnly="0" labelOnly="1" outline="0" fieldPosition="0">
        <references count="4">
          <reference field="1" count="1" selected="0">
            <x v="0"/>
          </reference>
          <reference field="5" count="1" selected="0">
            <x v="12"/>
          </reference>
          <reference field="11" count="1" selected="0">
            <x v="38"/>
          </reference>
          <reference field="12" count="1">
            <x v="167"/>
          </reference>
        </references>
      </pivotArea>
    </format>
    <format dxfId="1788">
      <pivotArea dataOnly="0" labelOnly="1" outline="0" fieldPosition="0">
        <references count="4">
          <reference field="1" count="1" selected="0">
            <x v="0"/>
          </reference>
          <reference field="5" count="1" selected="0">
            <x v="12"/>
          </reference>
          <reference field="11" count="1" selected="0">
            <x v="42"/>
          </reference>
          <reference field="12" count="1">
            <x v="117"/>
          </reference>
        </references>
      </pivotArea>
    </format>
    <format dxfId="1787">
      <pivotArea dataOnly="0" labelOnly="1" outline="0" fieldPosition="0">
        <references count="4">
          <reference field="1" count="1" selected="0">
            <x v="0"/>
          </reference>
          <reference field="5" count="1" selected="0">
            <x v="12"/>
          </reference>
          <reference field="11" count="1" selected="0">
            <x v="50"/>
          </reference>
          <reference field="12" count="1">
            <x v="170"/>
          </reference>
        </references>
      </pivotArea>
    </format>
    <format dxfId="1786">
      <pivotArea dataOnly="0" labelOnly="1" outline="0" fieldPosition="0">
        <references count="4">
          <reference field="1" count="1" selected="0">
            <x v="0"/>
          </reference>
          <reference field="5" count="1" selected="0">
            <x v="12"/>
          </reference>
          <reference field="11" count="1" selected="0">
            <x v="69"/>
          </reference>
          <reference field="12" count="1">
            <x v="70"/>
          </reference>
        </references>
      </pivotArea>
    </format>
    <format dxfId="1785">
      <pivotArea dataOnly="0" labelOnly="1" outline="0" fieldPosition="0">
        <references count="4">
          <reference field="1" count="1" selected="0">
            <x v="0"/>
          </reference>
          <reference field="5" count="1" selected="0">
            <x v="12"/>
          </reference>
          <reference field="11" count="1" selected="0">
            <x v="70"/>
          </reference>
          <reference field="12" count="1">
            <x v="68"/>
          </reference>
        </references>
      </pivotArea>
    </format>
    <format dxfId="1784">
      <pivotArea dataOnly="0" labelOnly="1" outline="0" fieldPosition="0">
        <references count="4">
          <reference field="1" count="1" selected="0">
            <x v="0"/>
          </reference>
          <reference field="5" count="1" selected="0">
            <x v="12"/>
          </reference>
          <reference field="11" count="1" selected="0">
            <x v="71"/>
          </reference>
          <reference field="12" count="1">
            <x v="69"/>
          </reference>
        </references>
      </pivotArea>
    </format>
    <format dxfId="1783">
      <pivotArea dataOnly="0" labelOnly="1" outline="0" fieldPosition="0">
        <references count="4">
          <reference field="1" count="1" selected="0">
            <x v="0"/>
          </reference>
          <reference field="5" count="1" selected="0">
            <x v="12"/>
          </reference>
          <reference field="11" count="1" selected="0">
            <x v="77"/>
          </reference>
          <reference field="12" count="1">
            <x v="63"/>
          </reference>
        </references>
      </pivotArea>
    </format>
    <format dxfId="1782">
      <pivotArea dataOnly="0" labelOnly="1" outline="0" fieldPosition="0">
        <references count="4">
          <reference field="1" count="1" selected="0">
            <x v="0"/>
          </reference>
          <reference field="5" count="1" selected="0">
            <x v="12"/>
          </reference>
          <reference field="11" count="1" selected="0">
            <x v="84"/>
          </reference>
          <reference field="12" count="1">
            <x v="61"/>
          </reference>
        </references>
      </pivotArea>
    </format>
    <format dxfId="1781">
      <pivotArea dataOnly="0" labelOnly="1" outline="0" fieldPosition="0">
        <references count="4">
          <reference field="1" count="1" selected="0">
            <x v="0"/>
          </reference>
          <reference field="5" count="1" selected="0">
            <x v="12"/>
          </reference>
          <reference field="11" count="1" selected="0">
            <x v="88"/>
          </reference>
          <reference field="12" count="1">
            <x v="62"/>
          </reference>
        </references>
      </pivotArea>
    </format>
    <format dxfId="1780">
      <pivotArea dataOnly="0" labelOnly="1" outline="0" fieldPosition="0">
        <references count="4">
          <reference field="1" count="1" selected="0">
            <x v="0"/>
          </reference>
          <reference field="5" count="1" selected="0">
            <x v="12"/>
          </reference>
          <reference field="11" count="1" selected="0">
            <x v="89"/>
          </reference>
          <reference field="12" count="1">
            <x v="168"/>
          </reference>
        </references>
      </pivotArea>
    </format>
    <format dxfId="1779">
      <pivotArea dataOnly="0" labelOnly="1" outline="0" fieldPosition="0">
        <references count="4">
          <reference field="1" count="1" selected="0">
            <x v="0"/>
          </reference>
          <reference field="5" count="1" selected="0">
            <x v="12"/>
          </reference>
          <reference field="11" count="1" selected="0">
            <x v="117"/>
          </reference>
          <reference field="12" count="1">
            <x v="55"/>
          </reference>
        </references>
      </pivotArea>
    </format>
    <format dxfId="1778">
      <pivotArea dataOnly="0" labelOnly="1" outline="0" fieldPosition="0">
        <references count="4">
          <reference field="1" count="1" selected="0">
            <x v="0"/>
          </reference>
          <reference field="5" count="1" selected="0">
            <x v="12"/>
          </reference>
          <reference field="11" count="1" selected="0">
            <x v="128"/>
          </reference>
          <reference field="12" count="1">
            <x v="60"/>
          </reference>
        </references>
      </pivotArea>
    </format>
    <format dxfId="1777">
      <pivotArea dataOnly="0" labelOnly="1" outline="0" fieldPosition="0">
        <references count="4">
          <reference field="1" count="1" selected="0">
            <x v="0"/>
          </reference>
          <reference field="5" count="1" selected="0">
            <x v="12"/>
          </reference>
          <reference field="11" count="1" selected="0">
            <x v="155"/>
          </reference>
          <reference field="12" count="1">
            <x v="122"/>
          </reference>
        </references>
      </pivotArea>
    </format>
    <format dxfId="1776">
      <pivotArea dataOnly="0" labelOnly="1" outline="0" fieldPosition="0">
        <references count="4">
          <reference field="1" count="1" selected="0">
            <x v="0"/>
          </reference>
          <reference field="5" count="1" selected="0">
            <x v="12"/>
          </reference>
          <reference field="11" count="1" selected="0">
            <x v="158"/>
          </reference>
          <reference field="12" count="1">
            <x v="71"/>
          </reference>
        </references>
      </pivotArea>
    </format>
    <format dxfId="1775">
      <pivotArea dataOnly="0" labelOnly="1" outline="0" fieldPosition="0">
        <references count="4">
          <reference field="1" count="1" selected="0">
            <x v="0"/>
          </reference>
          <reference field="5" count="1" selected="0">
            <x v="12"/>
          </reference>
          <reference field="11" count="1" selected="0">
            <x v="160"/>
          </reference>
          <reference field="12" count="1">
            <x v="119"/>
          </reference>
        </references>
      </pivotArea>
    </format>
    <format dxfId="1774">
      <pivotArea dataOnly="0" labelOnly="1" outline="0" fieldPosition="0">
        <references count="4">
          <reference field="1" count="1" selected="0">
            <x v="0"/>
          </reference>
          <reference field="5" count="1" selected="0">
            <x v="12"/>
          </reference>
          <reference field="11" count="1" selected="0">
            <x v="164"/>
          </reference>
          <reference field="12" count="1">
            <x v="64"/>
          </reference>
        </references>
      </pivotArea>
    </format>
    <format dxfId="1773">
      <pivotArea dataOnly="0" labelOnly="1" outline="0" fieldPosition="0">
        <references count="4">
          <reference field="1" count="1" selected="0">
            <x v="0"/>
          </reference>
          <reference field="5" count="1" selected="0">
            <x v="12"/>
          </reference>
          <reference field="11" count="1" selected="0">
            <x v="175"/>
          </reference>
          <reference field="12" count="1">
            <x v="72"/>
          </reference>
        </references>
      </pivotArea>
    </format>
    <format dxfId="1772">
      <pivotArea dataOnly="0" labelOnly="1" outline="0" fieldPosition="0">
        <references count="4">
          <reference field="1" count="1" selected="0">
            <x v="0"/>
          </reference>
          <reference field="5" count="1" selected="0">
            <x v="12"/>
          </reference>
          <reference field="11" count="1" selected="0">
            <x v="188"/>
          </reference>
          <reference field="12" count="1">
            <x v="59"/>
          </reference>
        </references>
      </pivotArea>
    </format>
    <format dxfId="1771">
      <pivotArea dataOnly="0" labelOnly="1" outline="0" fieldPosition="0">
        <references count="4">
          <reference field="1" count="1" selected="0">
            <x v="0"/>
          </reference>
          <reference field="5" count="1" selected="0">
            <x v="12"/>
          </reference>
          <reference field="11" count="1" selected="0">
            <x v="238"/>
          </reference>
          <reference field="12" count="1">
            <x v="240"/>
          </reference>
        </references>
      </pivotArea>
    </format>
    <format dxfId="1770">
      <pivotArea dataOnly="0" labelOnly="1" outline="0" fieldPosition="0">
        <references count="4">
          <reference field="1" count="1" selected="0">
            <x v="0"/>
          </reference>
          <reference field="5" count="1" selected="0">
            <x v="14"/>
          </reference>
          <reference field="11" count="1" selected="0">
            <x v="24"/>
          </reference>
          <reference field="12" count="1">
            <x v="11"/>
          </reference>
        </references>
      </pivotArea>
    </format>
    <format dxfId="1769">
      <pivotArea dataOnly="0" labelOnly="1" outline="0" fieldPosition="0">
        <references count="4">
          <reference field="1" count="1" selected="0">
            <x v="0"/>
          </reference>
          <reference field="5" count="1" selected="0">
            <x v="14"/>
          </reference>
          <reference field="11" count="1" selected="0">
            <x v="25"/>
          </reference>
          <reference field="12" count="1">
            <x v="9"/>
          </reference>
        </references>
      </pivotArea>
    </format>
    <format dxfId="1768">
      <pivotArea dataOnly="0" labelOnly="1" outline="0" fieldPosition="0">
        <references count="4">
          <reference field="1" count="1" selected="0">
            <x v="0"/>
          </reference>
          <reference field="5" count="1" selected="0">
            <x v="14"/>
          </reference>
          <reference field="11" count="1" selected="0">
            <x v="26"/>
          </reference>
          <reference field="12" count="1">
            <x v="10"/>
          </reference>
        </references>
      </pivotArea>
    </format>
    <format dxfId="1767">
      <pivotArea dataOnly="0" labelOnly="1" outline="0" fieldPosition="0">
        <references count="4">
          <reference field="1" count="1" selected="0">
            <x v="0"/>
          </reference>
          <reference field="5" count="1" selected="0">
            <x v="14"/>
          </reference>
          <reference field="11" count="1" selected="0">
            <x v="46"/>
          </reference>
          <reference field="12" count="1">
            <x v="17"/>
          </reference>
        </references>
      </pivotArea>
    </format>
    <format dxfId="1766">
      <pivotArea dataOnly="0" labelOnly="1" outline="0" fieldPosition="0">
        <references count="4">
          <reference field="1" count="1" selected="0">
            <x v="0"/>
          </reference>
          <reference field="5" count="1" selected="0">
            <x v="14"/>
          </reference>
          <reference field="11" count="1" selected="0">
            <x v="47"/>
          </reference>
          <reference field="12" count="1">
            <x v="18"/>
          </reference>
        </references>
      </pivotArea>
    </format>
    <format dxfId="1765">
      <pivotArea dataOnly="0" labelOnly="1" outline="0" fieldPosition="0">
        <references count="4">
          <reference field="1" count="1" selected="0">
            <x v="0"/>
          </reference>
          <reference field="5" count="1" selected="0">
            <x v="14"/>
          </reference>
          <reference field="11" count="1" selected="0">
            <x v="54"/>
          </reference>
          <reference field="12" count="1">
            <x v="12"/>
          </reference>
        </references>
      </pivotArea>
    </format>
    <format dxfId="1764">
      <pivotArea dataOnly="0" labelOnly="1" outline="0" fieldPosition="0">
        <references count="4">
          <reference field="1" count="1" selected="0">
            <x v="0"/>
          </reference>
          <reference field="5" count="1" selected="0">
            <x v="14"/>
          </reference>
          <reference field="11" count="1" selected="0">
            <x v="63"/>
          </reference>
          <reference field="12" count="1">
            <x v="14"/>
          </reference>
        </references>
      </pivotArea>
    </format>
    <format dxfId="1763">
      <pivotArea dataOnly="0" labelOnly="1" outline="0" fieldPosition="0">
        <references count="4">
          <reference field="1" count="1" selected="0">
            <x v="0"/>
          </reference>
          <reference field="5" count="1" selected="0">
            <x v="14"/>
          </reference>
          <reference field="11" count="1" selected="0">
            <x v="64"/>
          </reference>
          <reference field="12" count="1">
            <x v="13"/>
          </reference>
        </references>
      </pivotArea>
    </format>
    <format dxfId="1762">
      <pivotArea dataOnly="0" labelOnly="1" outline="0" fieldPosition="0">
        <references count="4">
          <reference field="1" count="1" selected="0">
            <x v="0"/>
          </reference>
          <reference field="5" count="1" selected="0">
            <x v="14"/>
          </reference>
          <reference field="11" count="1" selected="0">
            <x v="83"/>
          </reference>
          <reference field="12" count="1">
            <x v="15"/>
          </reference>
        </references>
      </pivotArea>
    </format>
    <format dxfId="1761">
      <pivotArea dataOnly="0" labelOnly="1" outline="0" fieldPosition="0">
        <references count="4">
          <reference field="1" count="1" selected="0">
            <x v="0"/>
          </reference>
          <reference field="5" count="1" selected="0">
            <x v="14"/>
          </reference>
          <reference field="11" count="1" selected="0">
            <x v="85"/>
          </reference>
          <reference field="12" count="1">
            <x v="7"/>
          </reference>
        </references>
      </pivotArea>
    </format>
    <format dxfId="1760">
      <pivotArea dataOnly="0" labelOnly="1" outline="0" fieldPosition="0">
        <references count="4">
          <reference field="1" count="1" selected="0">
            <x v="0"/>
          </reference>
          <reference field="5" count="1" selected="0">
            <x v="14"/>
          </reference>
          <reference field="11" count="1" selected="0">
            <x v="107"/>
          </reference>
          <reference field="12" count="1">
            <x v="19"/>
          </reference>
        </references>
      </pivotArea>
    </format>
    <format dxfId="1759">
      <pivotArea dataOnly="0" labelOnly="1" outline="0" fieldPosition="0">
        <references count="4">
          <reference field="1" count="1" selected="0">
            <x v="0"/>
          </reference>
          <reference field="5" count="1" selected="0">
            <x v="14"/>
          </reference>
          <reference field="11" count="1" selected="0">
            <x v="108"/>
          </reference>
          <reference field="12" count="1">
            <x v="20"/>
          </reference>
        </references>
      </pivotArea>
    </format>
    <format dxfId="1758">
      <pivotArea dataOnly="0" labelOnly="1" outline="0" fieldPosition="0">
        <references count="4">
          <reference field="1" count="1" selected="0">
            <x v="0"/>
          </reference>
          <reference field="5" count="1" selected="0">
            <x v="14"/>
          </reference>
          <reference field="11" count="1" selected="0">
            <x v="144"/>
          </reference>
          <reference field="12" count="1">
            <x v="23"/>
          </reference>
        </references>
      </pivotArea>
    </format>
    <format dxfId="1757">
      <pivotArea dataOnly="0" labelOnly="1" outline="0" fieldPosition="0">
        <references count="4">
          <reference field="1" count="1" selected="0">
            <x v="0"/>
          </reference>
          <reference field="5" count="1" selected="0">
            <x v="14"/>
          </reference>
          <reference field="11" count="1" selected="0">
            <x v="157"/>
          </reference>
          <reference field="12" count="1">
            <x v="1"/>
          </reference>
        </references>
      </pivotArea>
    </format>
    <format dxfId="1756">
      <pivotArea dataOnly="0" labelOnly="1" outline="0" fieldPosition="0">
        <references count="4">
          <reference field="1" count="1" selected="0">
            <x v="0"/>
          </reference>
          <reference field="5" count="1" selected="0">
            <x v="14"/>
          </reference>
          <reference field="11" count="1" selected="0">
            <x v="159"/>
          </reference>
          <reference field="12" count="1">
            <x v="136"/>
          </reference>
        </references>
      </pivotArea>
    </format>
    <format dxfId="1755">
      <pivotArea dataOnly="0" labelOnly="1" outline="0" fieldPosition="0">
        <references count="4">
          <reference field="1" count="1" selected="0">
            <x v="0"/>
          </reference>
          <reference field="5" count="1" selected="0">
            <x v="14"/>
          </reference>
          <reference field="11" count="1" selected="0">
            <x v="176"/>
          </reference>
          <reference field="12" count="1">
            <x v="5"/>
          </reference>
        </references>
      </pivotArea>
    </format>
    <format dxfId="1754">
      <pivotArea dataOnly="0" labelOnly="1" outline="0" fieldPosition="0">
        <references count="4">
          <reference field="1" count="1" selected="0">
            <x v="0"/>
          </reference>
          <reference field="5" count="1" selected="0">
            <x v="14"/>
          </reference>
          <reference field="11" count="1" selected="0">
            <x v="177"/>
          </reference>
          <reference field="12" count="1">
            <x v="6"/>
          </reference>
        </references>
      </pivotArea>
    </format>
    <format dxfId="1753">
      <pivotArea dataOnly="0" labelOnly="1" outline="0" fieldPosition="0">
        <references count="4">
          <reference field="1" count="1" selected="0">
            <x v="0"/>
          </reference>
          <reference field="5" count="1" selected="0">
            <x v="14"/>
          </reference>
          <reference field="11" count="1" selected="0">
            <x v="181"/>
          </reference>
          <reference field="12" count="1">
            <x v="8"/>
          </reference>
        </references>
      </pivotArea>
    </format>
    <format dxfId="1752">
      <pivotArea dataOnly="0" labelOnly="1" outline="0" fieldPosition="0">
        <references count="4">
          <reference field="1" count="1" selected="0">
            <x v="0"/>
          </reference>
          <reference field="5" count="1" selected="0">
            <x v="14"/>
          </reference>
          <reference field="11" count="1" selected="0">
            <x v="189"/>
          </reference>
          <reference field="12" count="1">
            <x v="0"/>
          </reference>
        </references>
      </pivotArea>
    </format>
    <format dxfId="1751">
      <pivotArea dataOnly="0" labelOnly="1" outline="0" fieldPosition="0">
        <references count="4">
          <reference field="1" count="1" selected="0">
            <x v="0"/>
          </reference>
          <reference field="5" count="1" selected="0">
            <x v="14"/>
          </reference>
          <reference field="11" count="1" selected="0">
            <x v="190"/>
          </reference>
          <reference field="12" count="1">
            <x v="3"/>
          </reference>
        </references>
      </pivotArea>
    </format>
    <format dxfId="1750">
      <pivotArea dataOnly="0" labelOnly="1" outline="0" fieldPosition="0">
        <references count="4">
          <reference field="1" count="1" selected="0">
            <x v="0"/>
          </reference>
          <reference field="5" count="1" selected="0">
            <x v="14"/>
          </reference>
          <reference field="11" count="1" selected="0">
            <x v="191"/>
          </reference>
          <reference field="12" count="1">
            <x v="2"/>
          </reference>
        </references>
      </pivotArea>
    </format>
    <format dxfId="1749">
      <pivotArea dataOnly="0" labelOnly="1" outline="0" fieldPosition="0">
        <references count="4">
          <reference field="1" count="1" selected="0">
            <x v="0"/>
          </reference>
          <reference field="5" count="1" selected="0">
            <x v="14"/>
          </reference>
          <reference field="11" count="1" selected="0">
            <x v="192"/>
          </reference>
          <reference field="12" count="1">
            <x v="4"/>
          </reference>
        </references>
      </pivotArea>
    </format>
    <format dxfId="1748">
      <pivotArea dataOnly="0" labelOnly="1" outline="0" fieldPosition="0">
        <references count="4">
          <reference field="1" count="1" selected="0">
            <x v="0"/>
          </reference>
          <reference field="5" count="1" selected="0">
            <x v="14"/>
          </reference>
          <reference field="11" count="1" selected="0">
            <x v="204"/>
          </reference>
          <reference field="12" count="1">
            <x v="21"/>
          </reference>
        </references>
      </pivotArea>
    </format>
    <format dxfId="1747">
      <pivotArea dataOnly="0" labelOnly="1" outline="0" fieldPosition="0">
        <references count="4">
          <reference field="1" count="1" selected="0">
            <x v="0"/>
          </reference>
          <reference field="5" count="1" selected="0">
            <x v="14"/>
          </reference>
          <reference field="11" count="1" selected="0">
            <x v="229"/>
          </reference>
          <reference field="12" count="1">
            <x v="22"/>
          </reference>
        </references>
      </pivotArea>
    </format>
    <format dxfId="1746">
      <pivotArea dataOnly="0" labelOnly="1" outline="0" fieldPosition="0">
        <references count="4">
          <reference field="1" count="1" selected="0">
            <x v="0"/>
          </reference>
          <reference field="5" count="1" selected="0">
            <x v="17"/>
          </reference>
          <reference field="11" count="1" selected="0">
            <x v="196"/>
          </reference>
          <reference field="12" count="1">
            <x v="74"/>
          </reference>
        </references>
      </pivotArea>
    </format>
    <format dxfId="1745">
      <pivotArea dataOnly="0" labelOnly="1" outline="0" fieldPosition="0">
        <references count="4">
          <reference field="1" count="1" selected="0">
            <x v="0"/>
          </reference>
          <reference field="5" count="1" selected="0">
            <x v="17"/>
          </reference>
          <reference field="11" count="1" selected="0">
            <x v="213"/>
          </reference>
          <reference field="12" count="1">
            <x v="221"/>
          </reference>
        </references>
      </pivotArea>
    </format>
    <format dxfId="1744">
      <pivotArea dataOnly="0" labelOnly="1" outline="0" fieldPosition="0">
        <references count="4">
          <reference field="1" count="1" selected="0">
            <x v="0"/>
          </reference>
          <reference field="5" count="1" selected="0">
            <x v="17"/>
          </reference>
          <reference field="11" count="1" selected="0">
            <x v="231"/>
          </reference>
          <reference field="12" count="1">
            <x v="234"/>
          </reference>
        </references>
      </pivotArea>
    </format>
    <format dxfId="1743">
      <pivotArea dataOnly="0" labelOnly="1" outline="0" fieldPosition="0">
        <references count="4">
          <reference field="1" count="1" selected="0">
            <x v="0"/>
          </reference>
          <reference field="5" count="1" selected="0">
            <x v="18"/>
          </reference>
          <reference field="11" count="1" selected="0">
            <x v="38"/>
          </reference>
          <reference field="12" count="1">
            <x v="169"/>
          </reference>
        </references>
      </pivotArea>
    </format>
    <format dxfId="1742">
      <pivotArea dataOnly="0" labelOnly="1" outline="0" fieldPosition="0">
        <references count="4">
          <reference field="1" count="1" selected="0">
            <x v="0"/>
          </reference>
          <reference field="5" count="1" selected="0">
            <x v="18"/>
          </reference>
          <reference field="11" count="1" selected="0">
            <x v="61"/>
          </reference>
          <reference field="12" count="1">
            <x v="130"/>
          </reference>
        </references>
      </pivotArea>
    </format>
    <format dxfId="1741">
      <pivotArea dataOnly="0" labelOnly="1" outline="0" fieldPosition="0">
        <references count="4">
          <reference field="1" count="1" selected="0">
            <x v="0"/>
          </reference>
          <reference field="5" count="1" selected="0">
            <x v="18"/>
          </reference>
          <reference field="11" count="1" selected="0">
            <x v="179"/>
          </reference>
          <reference field="12" count="1">
            <x v="66"/>
          </reference>
        </references>
      </pivotArea>
    </format>
    <format dxfId="1740">
      <pivotArea dataOnly="0" labelOnly="1" outline="0" fieldPosition="0">
        <references count="4">
          <reference field="1" count="1" selected="0">
            <x v="0"/>
          </reference>
          <reference field="5" count="1" selected="0">
            <x v="18"/>
          </reference>
          <reference field="11" count="1" selected="0">
            <x v="180"/>
          </reference>
          <reference field="12" count="1">
            <x v="67"/>
          </reference>
        </references>
      </pivotArea>
    </format>
    <format dxfId="1739">
      <pivotArea dataOnly="0" labelOnly="1" outline="0" fieldPosition="0">
        <references count="4">
          <reference field="1" count="1" selected="0">
            <x v="0"/>
          </reference>
          <reference field="5" count="1" selected="0">
            <x v="19"/>
          </reference>
          <reference field="11" count="1" selected="0">
            <x v="185"/>
          </reference>
          <reference field="12" count="1">
            <x v="175"/>
          </reference>
        </references>
      </pivotArea>
    </format>
    <format dxfId="1738">
      <pivotArea dataOnly="0" labelOnly="1" outline="0" fieldPosition="0">
        <references count="4">
          <reference field="1" count="1" selected="0">
            <x v="0"/>
          </reference>
          <reference field="5" count="1" selected="0">
            <x v="19"/>
          </reference>
          <reference field="11" count="1" selected="0">
            <x v="236"/>
          </reference>
          <reference field="12" count="1">
            <x v="238"/>
          </reference>
        </references>
      </pivotArea>
    </format>
    <format dxfId="1737">
      <pivotArea dataOnly="0" labelOnly="1" outline="0" fieldPosition="0">
        <references count="4">
          <reference field="1" count="1" selected="0">
            <x v="0"/>
          </reference>
          <reference field="5" count="1" selected="0">
            <x v="19"/>
          </reference>
          <reference field="11" count="1" selected="0">
            <x v="237"/>
          </reference>
          <reference field="12" count="1">
            <x v="239"/>
          </reference>
        </references>
      </pivotArea>
    </format>
    <format dxfId="1736">
      <pivotArea dataOnly="0" labelOnly="1" outline="0" fieldPosition="0">
        <references count="4">
          <reference field="1" count="1" selected="0">
            <x v="0"/>
          </reference>
          <reference field="5" count="1" selected="0">
            <x v="20"/>
          </reference>
          <reference field="11" count="1" selected="0">
            <x v="17"/>
          </reference>
          <reference field="12" count="1">
            <x v="108"/>
          </reference>
        </references>
      </pivotArea>
    </format>
    <format dxfId="1735">
      <pivotArea dataOnly="0" labelOnly="1" outline="0" fieldPosition="0">
        <references count="4">
          <reference field="1" count="1" selected="0">
            <x v="0"/>
          </reference>
          <reference field="5" count="1" selected="0">
            <x v="20"/>
          </reference>
          <reference field="11" count="1" selected="0">
            <x v="33"/>
          </reference>
          <reference field="12" count="1">
            <x v="27"/>
          </reference>
        </references>
      </pivotArea>
    </format>
    <format dxfId="1734">
      <pivotArea dataOnly="0" labelOnly="1" outline="0" fieldPosition="0">
        <references count="4">
          <reference field="1" count="1" selected="0">
            <x v="0"/>
          </reference>
          <reference field="5" count="1" selected="0">
            <x v="20"/>
          </reference>
          <reference field="11" count="1" selected="0">
            <x v="34"/>
          </reference>
          <reference field="12" count="1">
            <x v="110"/>
          </reference>
        </references>
      </pivotArea>
    </format>
    <format dxfId="1733">
      <pivotArea dataOnly="0" labelOnly="1" outline="0" fieldPosition="0">
        <references count="4">
          <reference field="1" count="1" selected="0">
            <x v="0"/>
          </reference>
          <reference field="5" count="1" selected="0">
            <x v="20"/>
          </reference>
          <reference field="11" count="1" selected="0">
            <x v="44"/>
          </reference>
          <reference field="12" count="1">
            <x v="176"/>
          </reference>
        </references>
      </pivotArea>
    </format>
    <format dxfId="1732">
      <pivotArea dataOnly="0" labelOnly="1" outline="0" fieldPosition="0">
        <references count="4">
          <reference field="1" count="1" selected="0">
            <x v="0"/>
          </reference>
          <reference field="5" count="1" selected="0">
            <x v="20"/>
          </reference>
          <reference field="11" count="1" selected="0">
            <x v="48"/>
          </reference>
          <reference field="12" count="1">
            <x v="116"/>
          </reference>
        </references>
      </pivotArea>
    </format>
    <format dxfId="1731">
      <pivotArea dataOnly="0" labelOnly="1" outline="0" fieldPosition="0">
        <references count="4">
          <reference field="1" count="1" selected="0">
            <x v="0"/>
          </reference>
          <reference field="5" count="1" selected="0">
            <x v="20"/>
          </reference>
          <reference field="11" count="1" selected="0">
            <x v="75"/>
          </reference>
          <reference field="12" count="1">
            <x v="26"/>
          </reference>
        </references>
      </pivotArea>
    </format>
    <format dxfId="1730">
      <pivotArea dataOnly="0" labelOnly="1" outline="0" fieldPosition="0">
        <references count="4">
          <reference field="1" count="1" selected="0">
            <x v="0"/>
          </reference>
          <reference field="5" count="1" selected="0">
            <x v="20"/>
          </reference>
          <reference field="11" count="1" selected="0">
            <x v="76"/>
          </reference>
          <reference field="12" count="1">
            <x v="114"/>
          </reference>
        </references>
      </pivotArea>
    </format>
    <format dxfId="1729">
      <pivotArea dataOnly="0" labelOnly="1" outline="0" fieldPosition="0">
        <references count="4">
          <reference field="1" count="1" selected="0">
            <x v="0"/>
          </reference>
          <reference field="5" count="1" selected="0">
            <x v="20"/>
          </reference>
          <reference field="11" count="1" selected="0">
            <x v="78"/>
          </reference>
          <reference field="12" count="1">
            <x v="30"/>
          </reference>
        </references>
      </pivotArea>
    </format>
    <format dxfId="1728">
      <pivotArea dataOnly="0" labelOnly="1" outline="0" fieldPosition="0">
        <references count="4">
          <reference field="1" count="1" selected="0">
            <x v="0"/>
          </reference>
          <reference field="5" count="1" selected="0">
            <x v="20"/>
          </reference>
          <reference field="11" count="1" selected="0">
            <x v="79"/>
          </reference>
          <reference field="12" count="1">
            <x v="28"/>
          </reference>
        </references>
      </pivotArea>
    </format>
    <format dxfId="1727">
      <pivotArea dataOnly="0" labelOnly="1" outline="0" fieldPosition="0">
        <references count="4">
          <reference field="1" count="1" selected="0">
            <x v="0"/>
          </reference>
          <reference field="5" count="1" selected="0">
            <x v="20"/>
          </reference>
          <reference field="11" count="1" selected="0">
            <x v="80"/>
          </reference>
          <reference field="12" count="1">
            <x v="39"/>
          </reference>
        </references>
      </pivotArea>
    </format>
    <format dxfId="1726">
      <pivotArea dataOnly="0" labelOnly="1" outline="0" fieldPosition="0">
        <references count="4">
          <reference field="1" count="1" selected="0">
            <x v="0"/>
          </reference>
          <reference field="5" count="1" selected="0">
            <x v="20"/>
          </reference>
          <reference field="11" count="1" selected="0">
            <x v="81"/>
          </reference>
          <reference field="12" count="1">
            <x v="38"/>
          </reference>
        </references>
      </pivotArea>
    </format>
    <format dxfId="1725">
      <pivotArea dataOnly="0" labelOnly="1" outline="0" fieldPosition="0">
        <references count="4">
          <reference field="1" count="1" selected="0">
            <x v="0"/>
          </reference>
          <reference field="5" count="1" selected="0">
            <x v="20"/>
          </reference>
          <reference field="11" count="1" selected="0">
            <x v="151"/>
          </reference>
          <reference field="12" count="1">
            <x v="32"/>
          </reference>
        </references>
      </pivotArea>
    </format>
    <format dxfId="1724">
      <pivotArea dataOnly="0" labelOnly="1" outline="0" fieldPosition="0">
        <references count="4">
          <reference field="1" count="1" selected="0">
            <x v="0"/>
          </reference>
          <reference field="5" count="1" selected="0">
            <x v="20"/>
          </reference>
          <reference field="11" count="1" selected="0">
            <x v="165"/>
          </reference>
          <reference field="12" count="1">
            <x v="135"/>
          </reference>
        </references>
      </pivotArea>
    </format>
    <format dxfId="1723">
      <pivotArea dataOnly="0" labelOnly="1" outline="0" fieldPosition="0">
        <references count="4">
          <reference field="1" count="1" selected="0">
            <x v="0"/>
          </reference>
          <reference field="5" count="1" selected="0">
            <x v="20"/>
          </reference>
          <reference field="11" count="1" selected="0">
            <x v="166"/>
          </reference>
          <reference field="12" count="1">
            <x v="31"/>
          </reference>
        </references>
      </pivotArea>
    </format>
    <format dxfId="1722">
      <pivotArea dataOnly="0" labelOnly="1" outline="0" fieldPosition="0">
        <references count="4">
          <reference field="1" count="1" selected="0">
            <x v="0"/>
          </reference>
          <reference field="5" count="1" selected="0">
            <x v="20"/>
          </reference>
          <reference field="11" count="1" selected="0">
            <x v="167"/>
          </reference>
          <reference field="12" count="1">
            <x v="24"/>
          </reference>
        </references>
      </pivotArea>
    </format>
    <format dxfId="1721">
      <pivotArea dataOnly="0" labelOnly="1" outline="0" fieldPosition="0">
        <references count="4">
          <reference field="1" count="1" selected="0">
            <x v="0"/>
          </reference>
          <reference field="5" count="1" selected="0">
            <x v="20"/>
          </reference>
          <reference field="11" count="1" selected="0">
            <x v="168"/>
          </reference>
          <reference field="12" count="1">
            <x v="29"/>
          </reference>
        </references>
      </pivotArea>
    </format>
    <format dxfId="1720">
      <pivotArea dataOnly="0" labelOnly="1" outline="0" fieldPosition="0">
        <references count="4">
          <reference field="1" count="1" selected="0">
            <x v="0"/>
          </reference>
          <reference field="5" count="1" selected="0">
            <x v="20"/>
          </reference>
          <reference field="11" count="1" selected="0">
            <x v="169"/>
          </reference>
          <reference field="12" count="1">
            <x v="25"/>
          </reference>
        </references>
      </pivotArea>
    </format>
    <format dxfId="1719">
      <pivotArea dataOnly="0" labelOnly="1" outline="0" fieldPosition="0">
        <references count="4">
          <reference field="1" count="1" selected="0">
            <x v="0"/>
          </reference>
          <reference field="5" count="1" selected="0">
            <x v="20"/>
          </reference>
          <reference field="11" count="1" selected="0">
            <x v="178"/>
          </reference>
          <reference field="12" count="1">
            <x v="40"/>
          </reference>
        </references>
      </pivotArea>
    </format>
    <format dxfId="1718">
      <pivotArea dataOnly="0" labelOnly="1" outline="0" fieldPosition="0">
        <references count="4">
          <reference field="1" count="1" selected="0">
            <x v="0"/>
          </reference>
          <reference field="5" count="1" selected="0">
            <x v="20"/>
          </reference>
          <reference field="11" count="1" selected="0">
            <x v="193"/>
          </reference>
          <reference field="12" count="1">
            <x v="36"/>
          </reference>
        </references>
      </pivotArea>
    </format>
    <format dxfId="1717">
      <pivotArea dataOnly="0" labelOnly="1" outline="0" fieldPosition="0">
        <references count="4">
          <reference field="1" count="1" selected="0">
            <x v="0"/>
          </reference>
          <reference field="5" count="1" selected="0">
            <x v="20"/>
          </reference>
          <reference field="11" count="1" selected="0">
            <x v="197"/>
          </reference>
          <reference field="12" count="1">
            <x v="37"/>
          </reference>
        </references>
      </pivotArea>
    </format>
    <format dxfId="1716">
      <pivotArea dataOnly="0" labelOnly="1" outline="0" fieldPosition="0">
        <references count="4">
          <reference field="1" count="1" selected="0">
            <x v="0"/>
          </reference>
          <reference field="5" count="1" selected="0">
            <x v="20"/>
          </reference>
          <reference field="11" count="1" selected="0">
            <x v="201"/>
          </reference>
          <reference field="12" count="1">
            <x v="111"/>
          </reference>
        </references>
      </pivotArea>
    </format>
    <format dxfId="1715">
      <pivotArea dataOnly="0" labelOnly="1" outline="0" fieldPosition="0">
        <references count="4">
          <reference field="1" count="1" selected="0">
            <x v="0"/>
          </reference>
          <reference field="5" count="1" selected="0">
            <x v="20"/>
          </reference>
          <reference field="11" count="1" selected="0">
            <x v="228"/>
          </reference>
          <reference field="12" count="1">
            <x v="115"/>
          </reference>
        </references>
      </pivotArea>
    </format>
    <format dxfId="1714">
      <pivotArea dataOnly="0" labelOnly="1" outline="0" fieldPosition="0">
        <references count="4">
          <reference field="1" count="1" selected="0">
            <x v="0"/>
          </reference>
          <reference field="5" count="1" selected="0">
            <x v="20"/>
          </reference>
          <reference field="11" count="1" selected="0">
            <x v="230"/>
          </reference>
          <reference field="12" count="1">
            <x v="107"/>
          </reference>
        </references>
      </pivotArea>
    </format>
    <format dxfId="1713">
      <pivotArea dataOnly="0" labelOnly="1" outline="0" fieldPosition="0">
        <references count="4">
          <reference field="1" count="1" selected="0">
            <x v="1"/>
          </reference>
          <reference field="5" count="1" selected="0">
            <x v="3"/>
          </reference>
          <reference field="11" count="1" selected="0">
            <x v="148"/>
          </reference>
          <reference field="12" count="1">
            <x v="212"/>
          </reference>
        </references>
      </pivotArea>
    </format>
    <format dxfId="1712">
      <pivotArea dataOnly="0" labelOnly="1" outline="0" fieldPosition="0">
        <references count="4">
          <reference field="1" count="1" selected="0">
            <x v="1"/>
          </reference>
          <reference field="5" count="1" selected="0">
            <x v="3"/>
          </reference>
          <reference field="11" count="1" selected="0">
            <x v="232"/>
          </reference>
          <reference field="12" count="1">
            <x v="233"/>
          </reference>
        </references>
      </pivotArea>
    </format>
    <format dxfId="1711">
      <pivotArea dataOnly="0" labelOnly="1" outline="0" fieldPosition="0">
        <references count="4">
          <reference field="1" count="1" selected="0">
            <x v="1"/>
          </reference>
          <reference field="5" count="1" selected="0">
            <x v="3"/>
          </reference>
          <reference field="11" count="1" selected="0">
            <x v="247"/>
          </reference>
          <reference field="12" count="1">
            <x v="250"/>
          </reference>
        </references>
      </pivotArea>
    </format>
    <format dxfId="1710">
      <pivotArea dataOnly="0" labelOnly="1" outline="0" fieldPosition="0">
        <references count="4">
          <reference field="1" count="1" selected="0">
            <x v="1"/>
          </reference>
          <reference field="5" count="1" selected="0">
            <x v="6"/>
          </reference>
          <reference field="11" count="1" selected="0">
            <x v="51"/>
          </reference>
          <reference field="12" count="1">
            <x v="203"/>
          </reference>
        </references>
      </pivotArea>
    </format>
    <format dxfId="1709">
      <pivotArea dataOnly="0" labelOnly="1" outline="0" fieldPosition="0">
        <references count="4">
          <reference field="1" count="1" selected="0">
            <x v="1"/>
          </reference>
          <reference field="5" count="1" selected="0">
            <x v="6"/>
          </reference>
          <reference field="11" count="1" selected="0">
            <x v="52"/>
          </reference>
          <reference field="12" count="1">
            <x v="204"/>
          </reference>
        </references>
      </pivotArea>
    </format>
    <format dxfId="1708">
      <pivotArea dataOnly="0" labelOnly="1" outline="0" fieldPosition="0">
        <references count="4">
          <reference field="1" count="1" selected="0">
            <x v="1"/>
          </reference>
          <reference field="5" count="1" selected="0">
            <x v="6"/>
          </reference>
          <reference field="11" count="1" selected="0">
            <x v="53"/>
          </reference>
          <reference field="12" count="1">
            <x v="205"/>
          </reference>
        </references>
      </pivotArea>
    </format>
    <format dxfId="1707">
      <pivotArea dataOnly="0" labelOnly="1" outline="0" fieldPosition="0">
        <references count="4">
          <reference field="1" count="1" selected="0">
            <x v="1"/>
          </reference>
          <reference field="5" count="1" selected="0">
            <x v="6"/>
          </reference>
          <reference field="11" count="1" selected="0">
            <x v="116"/>
          </reference>
          <reference field="12" count="1">
            <x v="206"/>
          </reference>
        </references>
      </pivotArea>
    </format>
    <format dxfId="1706">
      <pivotArea dataOnly="0" labelOnly="1" outline="0" fieldPosition="0">
        <references count="4">
          <reference field="1" count="1" selected="0">
            <x v="1"/>
          </reference>
          <reference field="5" count="1" selected="0">
            <x v="6"/>
          </reference>
          <reference field="11" count="1" selected="0">
            <x v="123"/>
          </reference>
          <reference field="12" count="1">
            <x v="196"/>
          </reference>
        </references>
      </pivotArea>
    </format>
    <format dxfId="1705">
      <pivotArea dataOnly="0" labelOnly="1" outline="0" fieldPosition="0">
        <references count="4">
          <reference field="1" count="1" selected="0">
            <x v="1"/>
          </reference>
          <reference field="5" count="1" selected="0">
            <x v="6"/>
          </reference>
          <reference field="11" count="1" selected="0">
            <x v="137"/>
          </reference>
          <reference field="12" count="1">
            <x v="197"/>
          </reference>
        </references>
      </pivotArea>
    </format>
    <format dxfId="1704">
      <pivotArea dataOnly="0" labelOnly="1" outline="0" fieldPosition="0">
        <references count="4">
          <reference field="1" count="1" selected="0">
            <x v="1"/>
          </reference>
          <reference field="5" count="1" selected="0">
            <x v="6"/>
          </reference>
          <reference field="11" count="1" selected="0">
            <x v="208"/>
          </reference>
          <reference field="12" count="1">
            <x v="208"/>
          </reference>
        </references>
      </pivotArea>
    </format>
    <format dxfId="1703">
      <pivotArea dataOnly="0" labelOnly="1" outline="0" fieldPosition="0">
        <references count="4">
          <reference field="1" count="1" selected="0">
            <x v="1"/>
          </reference>
          <reference field="5" count="1" selected="0">
            <x v="6"/>
          </reference>
          <reference field="11" count="1" selected="0">
            <x v="221"/>
          </reference>
          <reference field="12" count="1">
            <x v="229"/>
          </reference>
        </references>
      </pivotArea>
    </format>
    <format dxfId="1702">
      <pivotArea dataOnly="0" labelOnly="1" outline="0" fieldPosition="0">
        <references count="4">
          <reference field="1" count="1" selected="0">
            <x v="1"/>
          </reference>
          <reference field="5" count="1" selected="0">
            <x v="6"/>
          </reference>
          <reference field="11" count="1" selected="0">
            <x v="239"/>
          </reference>
          <reference field="12" count="1">
            <x v="241"/>
          </reference>
        </references>
      </pivotArea>
    </format>
    <format dxfId="1701">
      <pivotArea dataOnly="0" labelOnly="1" outline="0" fieldPosition="0">
        <references count="4">
          <reference field="1" count="1" selected="0">
            <x v="1"/>
          </reference>
          <reference field="5" count="1" selected="0">
            <x v="6"/>
          </reference>
          <reference field="11" count="1" selected="0">
            <x v="241"/>
          </reference>
          <reference field="12" count="1">
            <x v="244"/>
          </reference>
        </references>
      </pivotArea>
    </format>
    <format dxfId="1700">
      <pivotArea dataOnly="0" labelOnly="1" outline="0" fieldPosition="0">
        <references count="4">
          <reference field="1" count="1" selected="0">
            <x v="1"/>
          </reference>
          <reference field="5" count="1" selected="0">
            <x v="6"/>
          </reference>
          <reference field="11" count="1" selected="0">
            <x v="244"/>
          </reference>
          <reference field="12" count="1">
            <x v="249"/>
          </reference>
        </references>
      </pivotArea>
    </format>
    <format dxfId="1699">
      <pivotArea dataOnly="0" labelOnly="1" outline="0" fieldPosition="0">
        <references count="4">
          <reference field="1" count="1" selected="0">
            <x v="1"/>
          </reference>
          <reference field="5" count="1" selected="0">
            <x v="6"/>
          </reference>
          <reference field="11" count="1" selected="0">
            <x v="248"/>
          </reference>
          <reference field="12" count="1">
            <x v="251"/>
          </reference>
        </references>
      </pivotArea>
    </format>
    <format dxfId="1698">
      <pivotArea dataOnly="0" labelOnly="1" outline="0" fieldPosition="0">
        <references count="4">
          <reference field="1" count="1" selected="0">
            <x v="1"/>
          </reference>
          <reference field="5" count="1" selected="0">
            <x v="9"/>
          </reference>
          <reference field="11" count="1" selected="0">
            <x v="95"/>
          </reference>
          <reference field="12" count="1">
            <x v="198"/>
          </reference>
        </references>
      </pivotArea>
    </format>
    <format dxfId="1697">
      <pivotArea dataOnly="0" labelOnly="1" outline="0" fieldPosition="0">
        <references count="4">
          <reference field="1" count="1" selected="0">
            <x v="1"/>
          </reference>
          <reference field="5" count="1" selected="0">
            <x v="9"/>
          </reference>
          <reference field="11" count="1" selected="0">
            <x v="96"/>
          </reference>
          <reference field="12" count="1">
            <x v="213"/>
          </reference>
        </references>
      </pivotArea>
    </format>
    <format dxfId="1696">
      <pivotArea dataOnly="0" labelOnly="1" outline="0" fieldPosition="0">
        <references count="4">
          <reference field="1" count="1" selected="0">
            <x v="1"/>
          </reference>
          <reference field="5" count="1" selected="0">
            <x v="9"/>
          </reference>
          <reference field="11" count="1" selected="0">
            <x v="246"/>
          </reference>
          <reference field="12" count="1">
            <x v="246"/>
          </reference>
        </references>
      </pivotArea>
    </format>
    <format dxfId="1695">
      <pivotArea dataOnly="0" labelOnly="1" outline="0" fieldPosition="0">
        <references count="4">
          <reference field="1" count="1" selected="0">
            <x v="1"/>
          </reference>
          <reference field="5" count="1" selected="0">
            <x v="13"/>
          </reference>
          <reference field="11" count="1" selected="0">
            <x v="39"/>
          </reference>
          <reference field="12" count="1">
            <x v="199"/>
          </reference>
        </references>
      </pivotArea>
    </format>
    <format dxfId="1694">
      <pivotArea dataOnly="0" labelOnly="1" outline="0" fieldPosition="0">
        <references count="4">
          <reference field="1" count="1" selected="0">
            <x v="1"/>
          </reference>
          <reference field="5" count="1" selected="0">
            <x v="13"/>
          </reference>
          <reference field="11" count="1" selected="0">
            <x v="40"/>
          </reference>
          <reference field="12" count="1">
            <x v="209"/>
          </reference>
        </references>
      </pivotArea>
    </format>
    <format dxfId="1693">
      <pivotArea dataOnly="0" labelOnly="1" outline="0" fieldPosition="0">
        <references count="4">
          <reference field="1" count="1" selected="0">
            <x v="1"/>
          </reference>
          <reference field="5" count="1" selected="0">
            <x v="13"/>
          </reference>
          <reference field="11" count="1" selected="0">
            <x v="120"/>
          </reference>
          <reference field="12" count="1">
            <x v="195"/>
          </reference>
        </references>
      </pivotArea>
    </format>
    <format dxfId="1692">
      <pivotArea dataOnly="0" labelOnly="1" outline="0" fieldPosition="0">
        <references count="4">
          <reference field="1" count="1" selected="0">
            <x v="1"/>
          </reference>
          <reference field="5" count="1" selected="0">
            <x v="13"/>
          </reference>
          <reference field="11" count="1" selected="0">
            <x v="136"/>
          </reference>
          <reference field="12" count="1">
            <x v="200"/>
          </reference>
        </references>
      </pivotArea>
    </format>
    <format dxfId="1691">
      <pivotArea dataOnly="0" labelOnly="1" outline="0" fieldPosition="0">
        <references count="4">
          <reference field="1" count="1" selected="0">
            <x v="1"/>
          </reference>
          <reference field="5" count="1" selected="0">
            <x v="13"/>
          </reference>
          <reference field="11" count="1" selected="0">
            <x v="214"/>
          </reference>
          <reference field="12" count="1">
            <x v="222"/>
          </reference>
        </references>
      </pivotArea>
    </format>
    <format dxfId="1690">
      <pivotArea dataOnly="0" labelOnly="1" outline="0" fieldPosition="0">
        <references count="4">
          <reference field="1" count="1" selected="0">
            <x v="1"/>
          </reference>
          <reference field="5" count="1" selected="0">
            <x v="13"/>
          </reference>
          <reference field="11" count="1" selected="0">
            <x v="217"/>
          </reference>
          <reference field="12" count="1">
            <x v="226"/>
          </reference>
        </references>
      </pivotArea>
    </format>
    <format dxfId="1689">
      <pivotArea dataOnly="0" labelOnly="1" outline="0" fieldPosition="0">
        <references count="4">
          <reference field="1" count="1" selected="0">
            <x v="1"/>
          </reference>
          <reference field="5" count="1" selected="0">
            <x v="15"/>
          </reference>
          <reference field="11" count="1" selected="0">
            <x v="130"/>
          </reference>
          <reference field="12" count="1">
            <x v="194"/>
          </reference>
        </references>
      </pivotArea>
    </format>
    <format dxfId="1688">
      <pivotArea dataOnly="0" labelOnly="1" outline="0" fieldPosition="0">
        <references count="4">
          <reference field="1" count="1" selected="0">
            <x v="1"/>
          </reference>
          <reference field="5" count="1" selected="0">
            <x v="15"/>
          </reference>
          <reference field="11" count="1" selected="0">
            <x v="131"/>
          </reference>
          <reference field="12" count="1">
            <x v="191"/>
          </reference>
        </references>
      </pivotArea>
    </format>
    <format dxfId="1687">
      <pivotArea dataOnly="0" labelOnly="1" outline="0" fieldPosition="0">
        <references count="4">
          <reference field="1" count="1" selected="0">
            <x v="1"/>
          </reference>
          <reference field="5" count="1" selected="0">
            <x v="15"/>
          </reference>
          <reference field="11" count="1" selected="0">
            <x v="132"/>
          </reference>
          <reference field="12" count="1">
            <x v="193"/>
          </reference>
        </references>
      </pivotArea>
    </format>
    <format dxfId="1686">
      <pivotArea dataOnly="0" labelOnly="1" outline="0" fieldPosition="0">
        <references count="4">
          <reference field="1" count="1" selected="0">
            <x v="1"/>
          </reference>
          <reference field="5" count="1" selected="0">
            <x v="15"/>
          </reference>
          <reference field="11" count="1" selected="0">
            <x v="215"/>
          </reference>
          <reference field="12" count="1">
            <x v="223"/>
          </reference>
        </references>
      </pivotArea>
    </format>
    <format dxfId="1685">
      <pivotArea dataOnly="0" labelOnly="1" outline="0" fieldPosition="0">
        <references count="4">
          <reference field="1" count="1" selected="0">
            <x v="1"/>
          </reference>
          <reference field="5" count="1" selected="0">
            <x v="15"/>
          </reference>
          <reference field="11" count="1" selected="0">
            <x v="219"/>
          </reference>
          <reference field="12" count="1">
            <x v="224"/>
          </reference>
        </references>
      </pivotArea>
    </format>
    <format dxfId="1684">
      <pivotArea dataOnly="0" labelOnly="1" outline="0" fieldPosition="0">
        <references count="4">
          <reference field="1" count="1" selected="0">
            <x v="1"/>
          </reference>
          <reference field="5" count="1" selected="0">
            <x v="15"/>
          </reference>
          <reference field="11" count="1" selected="0">
            <x v="242"/>
          </reference>
          <reference field="12" count="1">
            <x v="247"/>
          </reference>
        </references>
      </pivotArea>
    </format>
    <format dxfId="1683">
      <pivotArea dataOnly="0" labelOnly="1" outline="0" fieldPosition="0">
        <references count="4">
          <reference field="1" count="1" selected="0">
            <x v="1"/>
          </reference>
          <reference field="5" count="1" selected="0">
            <x v="15"/>
          </reference>
          <reference field="11" count="1" selected="0">
            <x v="243"/>
          </reference>
          <reference field="12" count="1">
            <x v="248"/>
          </reference>
        </references>
      </pivotArea>
    </format>
    <format dxfId="1682">
      <pivotArea dataOnly="0" labelOnly="1" outline="0" fieldPosition="0">
        <references count="4">
          <reference field="1" count="1" selected="0">
            <x v="1"/>
          </reference>
          <reference field="5" count="1" selected="0">
            <x v="16"/>
          </reference>
          <reference field="11" count="1" selected="0">
            <x v="142"/>
          </reference>
          <reference field="12" count="1">
            <x v="202"/>
          </reference>
        </references>
      </pivotArea>
    </format>
    <format dxfId="1681">
      <pivotArea dataOnly="0" labelOnly="1" outline="0" fieldPosition="0">
        <references count="4">
          <reference field="1" count="1" selected="0">
            <x v="1"/>
          </reference>
          <reference field="5" count="1" selected="0">
            <x v="16"/>
          </reference>
          <reference field="11" count="1" selected="0">
            <x v="143"/>
          </reference>
          <reference field="12" count="1">
            <x v="214"/>
          </reference>
        </references>
      </pivotArea>
    </format>
    <format dxfId="1680">
      <pivotArea dataOnly="0" labelOnly="1" outline="0" fieldPosition="0">
        <references count="4">
          <reference field="1" count="1" selected="0">
            <x v="1"/>
          </reference>
          <reference field="5" count="1" selected="0">
            <x v="16"/>
          </reference>
          <reference field="11" count="1" selected="0">
            <x v="245"/>
          </reference>
          <reference field="12" count="1">
            <x v="245"/>
          </reference>
        </references>
      </pivotArea>
    </format>
    <format dxfId="1679">
      <pivotArea dataOnly="0" labelOnly="1" outline="0" fieldPosition="0">
        <references count="5">
          <reference field="1" count="1" selected="0">
            <x v="0"/>
          </reference>
          <reference field="5" count="1" selected="0">
            <x v="0"/>
          </reference>
          <reference field="11" count="1" selected="0">
            <x v="3"/>
          </reference>
          <reference field="12" count="1" selected="0">
            <x v="49"/>
          </reference>
          <reference field="21" count="1">
            <x v="0"/>
          </reference>
        </references>
      </pivotArea>
    </format>
    <format dxfId="1678">
      <pivotArea dataOnly="0" labelOnly="1" outline="0" fieldPosition="0">
        <references count="5">
          <reference field="1" count="1" selected="0">
            <x v="0"/>
          </reference>
          <reference field="5" count="1" selected="0">
            <x v="0"/>
          </reference>
          <reference field="11" count="1" selected="0">
            <x v="38"/>
          </reference>
          <reference field="12" count="1" selected="0">
            <x v="137"/>
          </reference>
          <reference field="21" count="1">
            <x v="1"/>
          </reference>
        </references>
      </pivotArea>
    </format>
    <format dxfId="1677">
      <pivotArea dataOnly="0" labelOnly="1" outline="0" fieldPosition="0">
        <references count="5">
          <reference field="1" count="1" selected="0">
            <x v="0"/>
          </reference>
          <reference field="5" count="1" selected="0">
            <x v="0"/>
          </reference>
          <reference field="11" count="1" selected="0">
            <x v="43"/>
          </reference>
          <reference field="12" count="1" selected="0">
            <x v="51"/>
          </reference>
          <reference field="21" count="1">
            <x v="0"/>
          </reference>
        </references>
      </pivotArea>
    </format>
    <format dxfId="1676">
      <pivotArea dataOnly="0" labelOnly="1" outline="0" fieldPosition="0">
        <references count="5">
          <reference field="1" count="1" selected="0">
            <x v="0"/>
          </reference>
          <reference field="5" count="1" selected="0">
            <x v="1"/>
          </reference>
          <reference field="11" count="1" selected="0">
            <x v="21"/>
          </reference>
          <reference field="12" count="1" selected="0">
            <x v="41"/>
          </reference>
          <reference field="21" count="1">
            <x v="0"/>
          </reference>
        </references>
      </pivotArea>
    </format>
    <format dxfId="1675">
      <pivotArea dataOnly="0" labelOnly="1" outline="0" fieldPosition="0">
        <references count="5">
          <reference field="1" count="1" selected="0">
            <x v="0"/>
          </reference>
          <reference field="5" count="1" selected="0">
            <x v="1"/>
          </reference>
          <reference field="11" count="1" selected="0">
            <x v="59"/>
          </reference>
          <reference field="12" count="1" selected="0">
            <x v="44"/>
          </reference>
          <reference field="21" count="1">
            <x v="1"/>
          </reference>
        </references>
      </pivotArea>
    </format>
    <format dxfId="1674">
      <pivotArea dataOnly="0" labelOnly="1" outline="0" fieldPosition="0">
        <references count="5">
          <reference field="1" count="1" selected="0">
            <x v="0"/>
          </reference>
          <reference field="5" count="1" selected="0">
            <x v="1"/>
          </reference>
          <reference field="11" count="1" selected="0">
            <x v="65"/>
          </reference>
          <reference field="12" count="1" selected="0">
            <x v="165"/>
          </reference>
          <reference field="21" count="1">
            <x v="0"/>
          </reference>
        </references>
      </pivotArea>
    </format>
    <format dxfId="1673">
      <pivotArea dataOnly="0" labelOnly="1" outline="0" fieldPosition="0">
        <references count="5">
          <reference field="1" count="1" selected="0">
            <x v="0"/>
          </reference>
          <reference field="5" count="1" selected="0">
            <x v="2"/>
          </reference>
          <reference field="11" count="1" selected="0">
            <x v="1"/>
          </reference>
          <reference field="12" count="1" selected="0">
            <x v="150"/>
          </reference>
          <reference field="21" count="1">
            <x v="0"/>
          </reference>
        </references>
      </pivotArea>
    </format>
    <format dxfId="1672">
      <pivotArea dataOnly="0" labelOnly="1" outline="0" fieldPosition="0">
        <references count="5">
          <reference field="1" count="1" selected="0">
            <x v="0"/>
          </reference>
          <reference field="5" count="1" selected="0">
            <x v="5"/>
          </reference>
          <reference field="11" count="1" selected="0">
            <x v="56"/>
          </reference>
          <reference field="12" count="1" selected="0">
            <x v="73"/>
          </reference>
          <reference field="21" count="1">
            <x v="0"/>
          </reference>
        </references>
      </pivotArea>
    </format>
    <format dxfId="1671">
      <pivotArea dataOnly="0" labelOnly="1" outline="0" fieldPosition="0">
        <references count="5">
          <reference field="1" count="1" selected="0">
            <x v="0"/>
          </reference>
          <reference field="5" count="1" selected="0">
            <x v="8"/>
          </reference>
          <reference field="11" count="1" selected="0">
            <x v="18"/>
          </reference>
          <reference field="12" count="1" selected="0">
            <x v="121"/>
          </reference>
          <reference field="21" count="1">
            <x v="0"/>
          </reference>
        </references>
      </pivotArea>
    </format>
    <format dxfId="1670">
      <pivotArea dataOnly="0" labelOnly="1" outline="0" fieldPosition="0">
        <references count="5">
          <reference field="1" count="1" selected="0">
            <x v="0"/>
          </reference>
          <reference field="5" count="1" selected="0">
            <x v="8"/>
          </reference>
          <reference field="11" count="1" selected="0">
            <x v="38"/>
          </reference>
          <reference field="12" count="1" selected="0">
            <x v="166"/>
          </reference>
          <reference field="21" count="1">
            <x v="1"/>
          </reference>
        </references>
      </pivotArea>
    </format>
    <format dxfId="1669">
      <pivotArea dataOnly="0" labelOnly="1" outline="0" fieldPosition="0">
        <references count="5">
          <reference field="1" count="1" selected="0">
            <x v="0"/>
          </reference>
          <reference field="5" count="1" selected="0">
            <x v="8"/>
          </reference>
          <reference field="11" count="1" selected="0">
            <x v="60"/>
          </reference>
          <reference field="12" count="1" selected="0">
            <x v="120"/>
          </reference>
          <reference field="21" count="1">
            <x v="0"/>
          </reference>
        </references>
      </pivotArea>
    </format>
    <format dxfId="1668">
      <pivotArea dataOnly="0" labelOnly="1" outline="0" fieldPosition="0">
        <references count="5">
          <reference field="1" count="1" selected="0">
            <x v="0"/>
          </reference>
          <reference field="5" count="1" selected="0">
            <x v="8"/>
          </reference>
          <reference field="11" count="1" selected="0">
            <x v="92"/>
          </reference>
          <reference field="12" count="1" selected="0">
            <x v="125"/>
          </reference>
          <reference field="21" count="1">
            <x v="1"/>
          </reference>
        </references>
      </pivotArea>
    </format>
    <format dxfId="1667">
      <pivotArea dataOnly="0" labelOnly="1" outline="0" fieldPosition="0">
        <references count="5">
          <reference field="1" count="1" selected="0">
            <x v="0"/>
          </reference>
          <reference field="5" count="1" selected="0">
            <x v="8"/>
          </reference>
          <reference field="11" count="1" selected="0">
            <x v="98"/>
          </reference>
          <reference field="12" count="1" selected="0">
            <x v="65"/>
          </reference>
          <reference field="21" count="1">
            <x v="0"/>
          </reference>
        </references>
      </pivotArea>
    </format>
    <format dxfId="1666">
      <pivotArea dataOnly="0" labelOnly="1" outline="0" fieldPosition="0">
        <references count="5">
          <reference field="1" count="1" selected="0">
            <x v="0"/>
          </reference>
          <reference field="5" count="1" selected="0">
            <x v="10"/>
          </reference>
          <reference field="11" count="1" selected="0">
            <x v="55"/>
          </reference>
          <reference field="12" count="1" selected="0">
            <x v="76"/>
          </reference>
          <reference field="21" count="1">
            <x v="0"/>
          </reference>
        </references>
      </pivotArea>
    </format>
    <format dxfId="1665">
      <pivotArea dataOnly="0" labelOnly="1" outline="0" fieldPosition="0">
        <references count="5">
          <reference field="1" count="1" selected="0">
            <x v="0"/>
          </reference>
          <reference field="5" count="1" selected="0">
            <x v="10"/>
          </reference>
          <reference field="11" count="1" selected="0">
            <x v="233"/>
          </reference>
          <reference field="12" count="1" selected="0">
            <x v="235"/>
          </reference>
          <reference field="21" count="1">
            <x v="1"/>
          </reference>
        </references>
      </pivotArea>
    </format>
    <format dxfId="1664">
      <pivotArea dataOnly="0" labelOnly="1" outline="0" fieldPosition="0">
        <references count="5">
          <reference field="1" count="1" selected="0">
            <x v="0"/>
          </reference>
          <reference field="5" count="1" selected="0">
            <x v="10"/>
          </reference>
          <reference field="11" count="1" selected="0">
            <x v="234"/>
          </reference>
          <reference field="12" count="1" selected="0">
            <x v="236"/>
          </reference>
          <reference field="21" count="1">
            <x v="0"/>
          </reference>
        </references>
      </pivotArea>
    </format>
    <format dxfId="1663">
      <pivotArea dataOnly="0" labelOnly="1" outline="0" fieldPosition="0">
        <references count="5">
          <reference field="1" count="1" selected="0">
            <x v="0"/>
          </reference>
          <reference field="5" count="1" selected="0">
            <x v="11"/>
          </reference>
          <reference field="11" count="1" selected="0">
            <x v="152"/>
          </reference>
          <reference field="12" count="1" selected="0">
            <x v="133"/>
          </reference>
          <reference field="21" count="1">
            <x v="0"/>
          </reference>
        </references>
      </pivotArea>
    </format>
    <format dxfId="1662">
      <pivotArea dataOnly="0" labelOnly="1" outline="0" fieldPosition="0">
        <references count="5">
          <reference field="1" count="1" selected="0">
            <x v="0"/>
          </reference>
          <reference field="5" count="1" selected="0">
            <x v="11"/>
          </reference>
          <reference field="11" count="1" selected="0">
            <x v="223"/>
          </reference>
          <reference field="12" count="1" selected="0">
            <x v="231"/>
          </reference>
          <reference field="21" count="1">
            <x v="1"/>
          </reference>
        </references>
      </pivotArea>
    </format>
    <format dxfId="1661">
      <pivotArea dataOnly="0" labelOnly="1" outline="0" fieldPosition="0">
        <references count="5">
          <reference field="1" count="1" selected="0">
            <x v="0"/>
          </reference>
          <reference field="5" count="1" selected="0">
            <x v="12"/>
          </reference>
          <reference field="11" count="1" selected="0">
            <x v="27"/>
          </reference>
          <reference field="12" count="1" selected="0">
            <x v="118"/>
          </reference>
          <reference field="21" count="1">
            <x v="0"/>
          </reference>
        </references>
      </pivotArea>
    </format>
    <format dxfId="1660">
      <pivotArea dataOnly="0" labelOnly="1" outline="0" fieldPosition="0">
        <references count="5">
          <reference field="1" count="1" selected="0">
            <x v="0"/>
          </reference>
          <reference field="5" count="1" selected="0">
            <x v="12"/>
          </reference>
          <reference field="11" count="1" selected="0">
            <x v="38"/>
          </reference>
          <reference field="12" count="1" selected="0">
            <x v="167"/>
          </reference>
          <reference field="21" count="1">
            <x v="1"/>
          </reference>
        </references>
      </pivotArea>
    </format>
    <format dxfId="1659">
      <pivotArea dataOnly="0" labelOnly="1" outline="0" fieldPosition="0">
        <references count="5">
          <reference field="1" count="1" selected="0">
            <x v="0"/>
          </reference>
          <reference field="5" count="1" selected="0">
            <x v="12"/>
          </reference>
          <reference field="11" count="1" selected="0">
            <x v="42"/>
          </reference>
          <reference field="12" count="1" selected="0">
            <x v="117"/>
          </reference>
          <reference field="21" count="1">
            <x v="0"/>
          </reference>
        </references>
      </pivotArea>
    </format>
    <format dxfId="1658">
      <pivotArea dataOnly="0" labelOnly="1" outline="0" fieldPosition="0">
        <references count="5">
          <reference field="1" count="1" selected="0">
            <x v="0"/>
          </reference>
          <reference field="5" count="1" selected="0">
            <x v="12"/>
          </reference>
          <reference field="11" count="1" selected="0">
            <x v="50"/>
          </reference>
          <reference field="12" count="1" selected="0">
            <x v="170"/>
          </reference>
          <reference field="21" count="1">
            <x v="1"/>
          </reference>
        </references>
      </pivotArea>
    </format>
    <format dxfId="1657">
      <pivotArea dataOnly="0" labelOnly="1" outline="0" fieldPosition="0">
        <references count="5">
          <reference field="1" count="1" selected="0">
            <x v="0"/>
          </reference>
          <reference field="5" count="1" selected="0">
            <x v="12"/>
          </reference>
          <reference field="11" count="1" selected="0">
            <x v="69"/>
          </reference>
          <reference field="12" count="1" selected="0">
            <x v="70"/>
          </reference>
          <reference field="21" count="1">
            <x v="0"/>
          </reference>
        </references>
      </pivotArea>
    </format>
    <format dxfId="1656">
      <pivotArea dataOnly="0" labelOnly="1" outline="0" fieldPosition="0">
        <references count="5">
          <reference field="1" count="1" selected="0">
            <x v="0"/>
          </reference>
          <reference field="5" count="1" selected="0">
            <x v="12"/>
          </reference>
          <reference field="11" count="1" selected="0">
            <x v="77"/>
          </reference>
          <reference field="12" count="1" selected="0">
            <x v="63"/>
          </reference>
          <reference field="21" count="1">
            <x v="1"/>
          </reference>
        </references>
      </pivotArea>
    </format>
    <format dxfId="1655">
      <pivotArea dataOnly="0" labelOnly="1" outline="0" fieldPosition="0">
        <references count="5">
          <reference field="1" count="1" selected="0">
            <x v="0"/>
          </reference>
          <reference field="5" count="1" selected="0">
            <x v="12"/>
          </reference>
          <reference field="11" count="1" selected="0">
            <x v="84"/>
          </reference>
          <reference field="12" count="1" selected="0">
            <x v="61"/>
          </reference>
          <reference field="21" count="1">
            <x v="0"/>
          </reference>
        </references>
      </pivotArea>
    </format>
    <format dxfId="1654">
      <pivotArea dataOnly="0" labelOnly="1" outline="0" fieldPosition="0">
        <references count="5">
          <reference field="1" count="1" selected="0">
            <x v="0"/>
          </reference>
          <reference field="5" count="1" selected="0">
            <x v="12"/>
          </reference>
          <reference field="11" count="1" selected="0">
            <x v="88"/>
          </reference>
          <reference field="12" count="1" selected="0">
            <x v="62"/>
          </reference>
          <reference field="21" count="1">
            <x v="1"/>
          </reference>
        </references>
      </pivotArea>
    </format>
    <format dxfId="1653">
      <pivotArea dataOnly="0" labelOnly="1" outline="0" fieldPosition="0">
        <references count="5">
          <reference field="1" count="1" selected="0">
            <x v="0"/>
          </reference>
          <reference field="5" count="1" selected="0">
            <x v="12"/>
          </reference>
          <reference field="11" count="1" selected="0">
            <x v="117"/>
          </reference>
          <reference field="12" count="1" selected="0">
            <x v="55"/>
          </reference>
          <reference field="21" count="1">
            <x v="0"/>
          </reference>
        </references>
      </pivotArea>
    </format>
    <format dxfId="1652">
      <pivotArea dataOnly="0" labelOnly="1" outline="0" fieldPosition="0">
        <references count="5">
          <reference field="1" count="1" selected="0">
            <x v="0"/>
          </reference>
          <reference field="5" count="1" selected="0">
            <x v="12"/>
          </reference>
          <reference field="11" count="1" selected="0">
            <x v="128"/>
          </reference>
          <reference field="12" count="1" selected="0">
            <x v="60"/>
          </reference>
          <reference field="21" count="1">
            <x v="1"/>
          </reference>
        </references>
      </pivotArea>
    </format>
    <format dxfId="1651">
      <pivotArea dataOnly="0" labelOnly="1" outline="0" fieldPosition="0">
        <references count="5">
          <reference field="1" count="1" selected="0">
            <x v="0"/>
          </reference>
          <reference field="5" count="1" selected="0">
            <x v="12"/>
          </reference>
          <reference field="11" count="1" selected="0">
            <x v="155"/>
          </reference>
          <reference field="12" count="1" selected="0">
            <x v="122"/>
          </reference>
          <reference field="21" count="1">
            <x v="0"/>
          </reference>
        </references>
      </pivotArea>
    </format>
    <format dxfId="1650">
      <pivotArea dataOnly="0" labelOnly="1" outline="0" fieldPosition="0">
        <references count="5">
          <reference field="1" count="1" selected="0">
            <x v="0"/>
          </reference>
          <reference field="5" count="1" selected="0">
            <x v="12"/>
          </reference>
          <reference field="11" count="1" selected="0">
            <x v="164"/>
          </reference>
          <reference field="12" count="1" selected="0">
            <x v="64"/>
          </reference>
          <reference field="21" count="1">
            <x v="1"/>
          </reference>
        </references>
      </pivotArea>
    </format>
    <format dxfId="1649">
      <pivotArea dataOnly="0" labelOnly="1" outline="0" fieldPosition="0">
        <references count="5">
          <reference field="1" count="1" selected="0">
            <x v="0"/>
          </reference>
          <reference field="5" count="1" selected="0">
            <x v="12"/>
          </reference>
          <reference field="11" count="1" selected="0">
            <x v="175"/>
          </reference>
          <reference field="12" count="1" selected="0">
            <x v="72"/>
          </reference>
          <reference field="21" count="1">
            <x v="0"/>
          </reference>
        </references>
      </pivotArea>
    </format>
    <format dxfId="1648">
      <pivotArea dataOnly="0" labelOnly="1" outline="0" fieldPosition="0">
        <references count="5">
          <reference field="1" count="1" selected="0">
            <x v="0"/>
          </reference>
          <reference field="5" count="1" selected="0">
            <x v="12"/>
          </reference>
          <reference field="11" count="1" selected="0">
            <x v="188"/>
          </reference>
          <reference field="12" count="1" selected="0">
            <x v="59"/>
          </reference>
          <reference field="21" count="1">
            <x v="1"/>
          </reference>
        </references>
      </pivotArea>
    </format>
    <format dxfId="1647">
      <pivotArea dataOnly="0" labelOnly="1" outline="0" fieldPosition="0">
        <references count="5">
          <reference field="1" count="1" selected="0">
            <x v="0"/>
          </reference>
          <reference field="5" count="1" selected="0">
            <x v="12"/>
          </reference>
          <reference field="11" count="1" selected="0">
            <x v="238"/>
          </reference>
          <reference field="12" count="1" selected="0">
            <x v="240"/>
          </reference>
          <reference field="21" count="1">
            <x v="2"/>
          </reference>
        </references>
      </pivotArea>
    </format>
    <format dxfId="1646">
      <pivotArea dataOnly="0" labelOnly="1" outline="0" fieldPosition="0">
        <references count="5">
          <reference field="1" count="1" selected="0">
            <x v="0"/>
          </reference>
          <reference field="5" count="1" selected="0">
            <x v="14"/>
          </reference>
          <reference field="11" count="1" selected="0">
            <x v="24"/>
          </reference>
          <reference field="12" count="1" selected="0">
            <x v="11"/>
          </reference>
          <reference field="21" count="1">
            <x v="0"/>
          </reference>
        </references>
      </pivotArea>
    </format>
    <format dxfId="1645">
      <pivotArea dataOnly="0" labelOnly="1" outline="0" fieldPosition="0">
        <references count="5">
          <reference field="1" count="1" selected="0">
            <x v="0"/>
          </reference>
          <reference field="5" count="1" selected="0">
            <x v="17"/>
          </reference>
          <reference field="11" count="1" selected="0">
            <x v="196"/>
          </reference>
          <reference field="12" count="1" selected="0">
            <x v="74"/>
          </reference>
          <reference field="21" count="1">
            <x v="1"/>
          </reference>
        </references>
      </pivotArea>
    </format>
    <format dxfId="1644">
      <pivotArea dataOnly="0" labelOnly="1" outline="0" fieldPosition="0">
        <references count="5">
          <reference field="1" count="1" selected="0">
            <x v="0"/>
          </reference>
          <reference field="5" count="1" selected="0">
            <x v="17"/>
          </reference>
          <reference field="11" count="1" selected="0">
            <x v="231"/>
          </reference>
          <reference field="12" count="1" selected="0">
            <x v="234"/>
          </reference>
          <reference field="21" count="1">
            <x v="0"/>
          </reference>
        </references>
      </pivotArea>
    </format>
    <format dxfId="1643">
      <pivotArea dataOnly="0" labelOnly="1" outline="0" fieldPosition="0">
        <references count="5">
          <reference field="1" count="1" selected="0">
            <x v="0"/>
          </reference>
          <reference field="5" count="1" selected="0">
            <x v="18"/>
          </reference>
          <reference field="11" count="1" selected="0">
            <x v="38"/>
          </reference>
          <reference field="12" count="1" selected="0">
            <x v="169"/>
          </reference>
          <reference field="21" count="1">
            <x v="1"/>
          </reference>
        </references>
      </pivotArea>
    </format>
    <format dxfId="1642">
      <pivotArea dataOnly="0" labelOnly="1" outline="0" fieldPosition="0">
        <references count="5">
          <reference field="1" count="1" selected="0">
            <x v="0"/>
          </reference>
          <reference field="5" count="1" selected="0">
            <x v="18"/>
          </reference>
          <reference field="11" count="1" selected="0">
            <x v="179"/>
          </reference>
          <reference field="12" count="1" selected="0">
            <x v="66"/>
          </reference>
          <reference field="21" count="1">
            <x v="0"/>
          </reference>
        </references>
      </pivotArea>
    </format>
    <format dxfId="1641">
      <pivotArea dataOnly="0" labelOnly="1" outline="0" fieldPosition="0">
        <references count="5">
          <reference field="1" count="1" selected="0">
            <x v="0"/>
          </reference>
          <reference field="5" count="1" selected="0">
            <x v="19"/>
          </reference>
          <reference field="11" count="1" selected="0">
            <x v="185"/>
          </reference>
          <reference field="12" count="1" selected="0">
            <x v="175"/>
          </reference>
          <reference field="21" count="1">
            <x v="0"/>
          </reference>
        </references>
      </pivotArea>
    </format>
    <format dxfId="1640">
      <pivotArea dataOnly="0" labelOnly="1" outline="0" fieldPosition="0">
        <references count="5">
          <reference field="1" count="1" selected="0">
            <x v="0"/>
          </reference>
          <reference field="5" count="1" selected="0">
            <x v="20"/>
          </reference>
          <reference field="11" count="1" selected="0">
            <x v="17"/>
          </reference>
          <reference field="12" count="1" selected="0">
            <x v="108"/>
          </reference>
          <reference field="21" count="1">
            <x v="0"/>
          </reference>
        </references>
      </pivotArea>
    </format>
    <format dxfId="1639">
      <pivotArea dataOnly="0" labelOnly="1" outline="0" fieldPosition="0">
        <references count="5">
          <reference field="1" count="1" selected="0">
            <x v="0"/>
          </reference>
          <reference field="5" count="1" selected="0">
            <x v="20"/>
          </reference>
          <reference field="11" count="1" selected="0">
            <x v="44"/>
          </reference>
          <reference field="12" count="1" selected="0">
            <x v="176"/>
          </reference>
          <reference field="21" count="1">
            <x v="2"/>
          </reference>
        </references>
      </pivotArea>
    </format>
    <format dxfId="1638">
      <pivotArea dataOnly="0" labelOnly="1" outline="0" fieldPosition="0">
        <references count="5">
          <reference field="1" count="1" selected="0">
            <x v="0"/>
          </reference>
          <reference field="5" count="1" selected="0">
            <x v="20"/>
          </reference>
          <reference field="11" count="1" selected="0">
            <x v="48"/>
          </reference>
          <reference field="12" count="1" selected="0">
            <x v="116"/>
          </reference>
          <reference field="21" count="1">
            <x v="0"/>
          </reference>
        </references>
      </pivotArea>
    </format>
    <format dxfId="1637">
      <pivotArea dataOnly="0" labelOnly="1" outline="0" fieldPosition="0">
        <references count="5">
          <reference field="1" count="1" selected="0">
            <x v="1"/>
          </reference>
          <reference field="5" count="1" selected="0">
            <x v="3"/>
          </reference>
          <reference field="11" count="1" selected="0">
            <x v="148"/>
          </reference>
          <reference field="12" count="1" selected="0">
            <x v="212"/>
          </reference>
          <reference field="21" count="1">
            <x v="1"/>
          </reference>
        </references>
      </pivotArea>
    </format>
    <format dxfId="1636">
      <pivotArea dataOnly="0" labelOnly="1" outline="0" fieldPosition="0">
        <references count="5">
          <reference field="1" count="1" selected="0">
            <x v="1"/>
          </reference>
          <reference field="5" count="1" selected="0">
            <x v="3"/>
          </reference>
          <reference field="11" count="1" selected="0">
            <x v="232"/>
          </reference>
          <reference field="12" count="1" selected="0">
            <x v="233"/>
          </reference>
          <reference field="21" count="1">
            <x v="0"/>
          </reference>
        </references>
      </pivotArea>
    </format>
    <format dxfId="1635">
      <pivotArea dataOnly="0" labelOnly="1" outline="0" fieldPosition="0">
        <references count="5">
          <reference field="1" count="1" selected="0">
            <x v="1"/>
          </reference>
          <reference field="5" count="1" selected="0">
            <x v="6"/>
          </reference>
          <reference field="11" count="1" selected="0">
            <x v="51"/>
          </reference>
          <reference field="12" count="1" selected="0">
            <x v="203"/>
          </reference>
          <reference field="21" count="1">
            <x v="0"/>
          </reference>
        </references>
      </pivotArea>
    </format>
    <format dxfId="1634">
      <pivotArea dataOnly="0" labelOnly="1" outline="0" fieldPosition="0">
        <references count="5">
          <reference field="1" count="1" selected="0">
            <x v="1"/>
          </reference>
          <reference field="5" count="1" selected="0">
            <x v="9"/>
          </reference>
          <reference field="11" count="1" selected="0">
            <x v="95"/>
          </reference>
          <reference field="12" count="1" selected="0">
            <x v="198"/>
          </reference>
          <reference field="21" count="1">
            <x v="0"/>
          </reference>
        </references>
      </pivotArea>
    </format>
    <format dxfId="1633">
      <pivotArea dataOnly="0" labelOnly="1" outline="0" fieldPosition="0">
        <references count="5">
          <reference field="1" count="1" selected="0">
            <x v="1"/>
          </reference>
          <reference field="5" count="1" selected="0">
            <x v="13"/>
          </reference>
          <reference field="11" count="1" selected="0">
            <x v="39"/>
          </reference>
          <reference field="12" count="1" selected="0">
            <x v="199"/>
          </reference>
          <reference field="21" count="1">
            <x v="1"/>
          </reference>
        </references>
      </pivotArea>
    </format>
    <format dxfId="1632">
      <pivotArea dataOnly="0" labelOnly="1" outline="0" fieldPosition="0">
        <references count="5">
          <reference field="1" count="1" selected="0">
            <x v="1"/>
          </reference>
          <reference field="5" count="1" selected="0">
            <x v="13"/>
          </reference>
          <reference field="11" count="1" selected="0">
            <x v="214"/>
          </reference>
          <reference field="12" count="1" selected="0">
            <x v="222"/>
          </reference>
          <reference field="21" count="1">
            <x v="0"/>
          </reference>
        </references>
      </pivotArea>
    </format>
    <format dxfId="1631">
      <pivotArea dataOnly="0" labelOnly="1" outline="0" fieldPosition="0">
        <references count="5">
          <reference field="1" count="1" selected="0">
            <x v="1"/>
          </reference>
          <reference field="5" count="1" selected="0">
            <x v="15"/>
          </reference>
          <reference field="11" count="1" selected="0">
            <x v="130"/>
          </reference>
          <reference field="12" count="1" selected="0">
            <x v="194"/>
          </reference>
          <reference field="21" count="1">
            <x v="0"/>
          </reference>
        </references>
      </pivotArea>
    </format>
    <format dxfId="1630">
      <pivotArea dataOnly="0" labelOnly="1" outline="0" fieldPosition="0">
        <references count="5">
          <reference field="1" count="1" selected="0">
            <x v="1"/>
          </reference>
          <reference field="5" count="1" selected="0">
            <x v="16"/>
          </reference>
          <reference field="11" count="1" selected="0">
            <x v="142"/>
          </reference>
          <reference field="12" count="1" selected="0">
            <x v="202"/>
          </reference>
          <reference field="21" count="1">
            <x v="0"/>
          </reference>
        </references>
      </pivotArea>
    </format>
    <format dxfId="1629">
      <pivotArea dataOnly="0" labelOnly="1" outline="0" fieldPosition="0">
        <references count="5">
          <reference field="1" count="1" selected="0">
            <x v="1"/>
          </reference>
          <reference field="5" count="1" selected="0">
            <x v="16"/>
          </reference>
          <reference field="11" count="1" selected="0">
            <x v="143"/>
          </reference>
          <reference field="12" count="1" selected="0">
            <x v="214"/>
          </reference>
          <reference field="21" count="1">
            <x v="1"/>
          </reference>
        </references>
      </pivotArea>
    </format>
    <format dxfId="1628">
      <pivotArea dataOnly="0" labelOnly="1" outline="0" fieldPosition="0">
        <references count="5">
          <reference field="1" count="1" selected="0">
            <x v="1"/>
          </reference>
          <reference field="5" count="1" selected="0">
            <x v="16"/>
          </reference>
          <reference field="11" count="1" selected="0">
            <x v="245"/>
          </reference>
          <reference field="12" count="1" selected="0">
            <x v="245"/>
          </reference>
          <reference field="21" count="1">
            <x v="0"/>
          </reference>
        </references>
      </pivotArea>
    </format>
    <format dxfId="1627">
      <pivotArea dataOnly="0" labelOnly="1" outline="0" fieldPosition="0">
        <references count="6">
          <reference field="1" count="1" selected="0">
            <x v="0"/>
          </reference>
          <reference field="5" count="1" selected="0">
            <x v="0"/>
          </reference>
          <reference field="11" count="1" selected="0">
            <x v="3"/>
          </reference>
          <reference field="12" count="1" selected="0">
            <x v="49"/>
          </reference>
          <reference field="21" count="1" selected="0">
            <x v="0"/>
          </reference>
          <reference field="25" count="1">
            <x v="1"/>
          </reference>
        </references>
      </pivotArea>
    </format>
    <format dxfId="1626">
      <pivotArea dataOnly="0" labelOnly="1" outline="0" fieldPosition="0">
        <references count="6">
          <reference field="1" count="1" selected="0">
            <x v="0"/>
          </reference>
          <reference field="5" count="1" selected="0">
            <x v="0"/>
          </reference>
          <reference field="11" count="1" selected="0">
            <x v="7"/>
          </reference>
          <reference field="12" count="1" selected="0">
            <x v="164"/>
          </reference>
          <reference field="21" count="1" selected="0">
            <x v="0"/>
          </reference>
          <reference field="25" count="1">
            <x v="0"/>
          </reference>
        </references>
      </pivotArea>
    </format>
    <format dxfId="1625">
      <pivotArea dataOnly="0" labelOnly="1" outline="0" fieldPosition="0">
        <references count="6">
          <reference field="1" count="1" selected="0">
            <x v="0"/>
          </reference>
          <reference field="5" count="1" selected="0">
            <x v="0"/>
          </reference>
          <reference field="11" count="1" selected="0">
            <x v="38"/>
          </reference>
          <reference field="12" count="1" selected="0">
            <x v="137"/>
          </reference>
          <reference field="21" count="1" selected="0">
            <x v="1"/>
          </reference>
          <reference field="25" count="1">
            <x v="4"/>
          </reference>
        </references>
      </pivotArea>
    </format>
    <format dxfId="1624">
      <pivotArea dataOnly="0" labelOnly="1" outline="0" fieldPosition="0">
        <references count="6">
          <reference field="1" count="1" selected="0">
            <x v="0"/>
          </reference>
          <reference field="5" count="1" selected="0">
            <x v="0"/>
          </reference>
          <reference field="11" count="1" selected="0">
            <x v="43"/>
          </reference>
          <reference field="12" count="1" selected="0">
            <x v="51"/>
          </reference>
          <reference field="21" count="1" selected="0">
            <x v="0"/>
          </reference>
          <reference field="25" count="1">
            <x v="0"/>
          </reference>
        </references>
      </pivotArea>
    </format>
    <format dxfId="1623">
      <pivotArea dataOnly="0" labelOnly="1" outline="0" fieldPosition="0">
        <references count="6">
          <reference field="1" count="1" selected="0">
            <x v="0"/>
          </reference>
          <reference field="5" count="1" selected="0">
            <x v="0"/>
          </reference>
          <reference field="11" count="1" selected="0">
            <x v="68"/>
          </reference>
          <reference field="12" count="1" selected="0">
            <x v="48"/>
          </reference>
          <reference field="21" count="1" selected="0">
            <x v="0"/>
          </reference>
          <reference field="25" count="1">
            <x v="3"/>
          </reference>
        </references>
      </pivotArea>
    </format>
    <format dxfId="1622">
      <pivotArea dataOnly="0" labelOnly="1" outline="0" fieldPosition="0">
        <references count="6">
          <reference field="1" count="1" selected="0">
            <x v="0"/>
          </reference>
          <reference field="5" count="1" selected="0">
            <x v="0"/>
          </reference>
          <reference field="11" count="1" selected="0">
            <x v="145"/>
          </reference>
          <reference field="12" count="1" selected="0">
            <x v="53"/>
          </reference>
          <reference field="21" count="1" selected="0">
            <x v="0"/>
          </reference>
          <reference field="25" count="1">
            <x v="1"/>
          </reference>
        </references>
      </pivotArea>
    </format>
    <format dxfId="1621">
      <pivotArea dataOnly="0" labelOnly="1" outline="0" fieldPosition="0">
        <references count="6">
          <reference field="1" count="1" selected="0">
            <x v="0"/>
          </reference>
          <reference field="5" count="1" selected="0">
            <x v="0"/>
          </reference>
          <reference field="11" count="1" selected="0">
            <x v="163"/>
          </reference>
          <reference field="12" count="1" selected="0">
            <x v="163"/>
          </reference>
          <reference field="21" count="1" selected="0">
            <x v="0"/>
          </reference>
          <reference field="25" count="1">
            <x v="0"/>
          </reference>
        </references>
      </pivotArea>
    </format>
    <format dxfId="1620">
      <pivotArea dataOnly="0" labelOnly="1" outline="0" fieldPosition="0">
        <references count="6">
          <reference field="1" count="1" selected="0">
            <x v="0"/>
          </reference>
          <reference field="5" count="1" selected="0">
            <x v="0"/>
          </reference>
          <reference field="11" count="1" selected="0">
            <x v="186"/>
          </reference>
          <reference field="12" count="1" selected="0">
            <x v="54"/>
          </reference>
          <reference field="21" count="1" selected="0">
            <x v="0"/>
          </reference>
          <reference field="25" count="1">
            <x v="3"/>
          </reference>
        </references>
      </pivotArea>
    </format>
    <format dxfId="1619">
      <pivotArea dataOnly="0" labelOnly="1" outline="0" fieldPosition="0">
        <references count="6">
          <reference field="1" count="1" selected="0">
            <x v="0"/>
          </reference>
          <reference field="5" count="1" selected="0">
            <x v="1"/>
          </reference>
          <reference field="11" count="1" selected="0">
            <x v="21"/>
          </reference>
          <reference field="12" count="1" selected="0">
            <x v="41"/>
          </reference>
          <reference field="21" count="1" selected="0">
            <x v="0"/>
          </reference>
          <reference field="25" count="1">
            <x v="3"/>
          </reference>
        </references>
      </pivotArea>
    </format>
    <format dxfId="1618">
      <pivotArea dataOnly="0" labelOnly="1" outline="0" fieldPosition="0">
        <references count="6">
          <reference field="1" count="1" selected="0">
            <x v="0"/>
          </reference>
          <reference field="5" count="1" selected="0">
            <x v="1"/>
          </reference>
          <reference field="11" count="1" selected="0">
            <x v="41"/>
          </reference>
          <reference field="12" count="1" selected="0">
            <x v="42"/>
          </reference>
          <reference field="21" count="1" selected="0">
            <x v="0"/>
          </reference>
          <reference field="25" count="1">
            <x v="0"/>
          </reference>
        </references>
      </pivotArea>
    </format>
    <format dxfId="1617">
      <pivotArea dataOnly="0" labelOnly="1" outline="0" fieldPosition="0">
        <references count="6">
          <reference field="1" count="1" selected="0">
            <x v="0"/>
          </reference>
          <reference field="5" count="1" selected="0">
            <x v="1"/>
          </reference>
          <reference field="11" count="1" selected="0">
            <x v="59"/>
          </reference>
          <reference field="12" count="1" selected="0">
            <x v="44"/>
          </reference>
          <reference field="21" count="1" selected="0">
            <x v="1"/>
          </reference>
          <reference field="25" count="1">
            <x v="4"/>
          </reference>
        </references>
      </pivotArea>
    </format>
    <format dxfId="1616">
      <pivotArea dataOnly="0" labelOnly="1" outline="0" fieldPosition="0">
        <references count="6">
          <reference field="1" count="1" selected="0">
            <x v="0"/>
          </reference>
          <reference field="5" count="1" selected="0">
            <x v="1"/>
          </reference>
          <reference field="11" count="1" selected="0">
            <x v="65"/>
          </reference>
          <reference field="12" count="1" selected="0">
            <x v="165"/>
          </reference>
          <reference field="21" count="1" selected="0">
            <x v="0"/>
          </reference>
          <reference field="25" count="1">
            <x v="3"/>
          </reference>
        </references>
      </pivotArea>
    </format>
    <format dxfId="1615">
      <pivotArea dataOnly="0" labelOnly="1" outline="0" fieldPosition="0">
        <references count="6">
          <reference field="1" count="1" selected="0">
            <x v="0"/>
          </reference>
          <reference field="5" count="1" selected="0">
            <x v="1"/>
          </reference>
          <reference field="11" count="1" selected="0">
            <x v="161"/>
          </reference>
          <reference field="12" count="1" selected="0">
            <x v="178"/>
          </reference>
          <reference field="21" count="1" selected="0">
            <x v="0"/>
          </reference>
          <reference field="25" count="1">
            <x v="2"/>
          </reference>
        </references>
      </pivotArea>
    </format>
    <format dxfId="1614">
      <pivotArea dataOnly="0" labelOnly="1" outline="0" fieldPosition="0">
        <references count="6">
          <reference field="1" count="1" selected="0">
            <x v="0"/>
          </reference>
          <reference field="5" count="1" selected="0">
            <x v="2"/>
          </reference>
          <reference field="11" count="1" selected="0">
            <x v="1"/>
          </reference>
          <reference field="12" count="1" selected="0">
            <x v="150"/>
          </reference>
          <reference field="21" count="1" selected="0">
            <x v="0"/>
          </reference>
          <reference field="25" count="1">
            <x v="0"/>
          </reference>
        </references>
      </pivotArea>
    </format>
    <format dxfId="1613">
      <pivotArea dataOnly="0" labelOnly="1" outline="0" fieldPosition="0">
        <references count="6">
          <reference field="1" count="1" selected="0">
            <x v="0"/>
          </reference>
          <reference field="5" count="1" selected="0">
            <x v="2"/>
          </reference>
          <reference field="11" count="1" selected="0">
            <x v="2"/>
          </reference>
          <reference field="12" count="1" selected="0">
            <x v="139"/>
          </reference>
          <reference field="21" count="1" selected="0">
            <x v="0"/>
          </reference>
          <reference field="25" count="1">
            <x v="2"/>
          </reference>
        </references>
      </pivotArea>
    </format>
    <format dxfId="1612">
      <pivotArea dataOnly="0" labelOnly="1" outline="0" fieldPosition="0">
        <references count="6">
          <reference field="1" count="1" selected="0">
            <x v="0"/>
          </reference>
          <reference field="5" count="1" selected="0">
            <x v="2"/>
          </reference>
          <reference field="11" count="1" selected="0">
            <x v="4"/>
          </reference>
          <reference field="12" count="1" selected="0">
            <x v="147"/>
          </reference>
          <reference field="21" count="1" selected="0">
            <x v="0"/>
          </reference>
          <reference field="25" count="1">
            <x v="3"/>
          </reference>
        </references>
      </pivotArea>
    </format>
    <format dxfId="1611">
      <pivotArea dataOnly="0" labelOnly="1" outline="0" fieldPosition="0">
        <references count="6">
          <reference field="1" count="1" selected="0">
            <x v="0"/>
          </reference>
          <reference field="5" count="1" selected="0">
            <x v="2"/>
          </reference>
          <reference field="11" count="1" selected="0">
            <x v="13"/>
          </reference>
          <reference field="12" count="1" selected="0">
            <x v="140"/>
          </reference>
          <reference field="21" count="1" selected="0">
            <x v="0"/>
          </reference>
          <reference field="25" count="1">
            <x v="0"/>
          </reference>
        </references>
      </pivotArea>
    </format>
    <format dxfId="1610">
      <pivotArea dataOnly="0" labelOnly="1" outline="0" fieldPosition="0">
        <references count="6">
          <reference field="1" count="1" selected="0">
            <x v="0"/>
          </reference>
          <reference field="5" count="1" selected="0">
            <x v="2"/>
          </reference>
          <reference field="11" count="1" selected="0">
            <x v="19"/>
          </reference>
          <reference field="12" count="1" selected="0">
            <x v="105"/>
          </reference>
          <reference field="21" count="1" selected="0">
            <x v="0"/>
          </reference>
          <reference field="25" count="1">
            <x v="3"/>
          </reference>
        </references>
      </pivotArea>
    </format>
    <format dxfId="1609">
      <pivotArea dataOnly="0" labelOnly="1" outline="0" fieldPosition="0">
        <references count="6">
          <reference field="1" count="1" selected="0">
            <x v="0"/>
          </reference>
          <reference field="5" count="1" selected="0">
            <x v="2"/>
          </reference>
          <reference field="11" count="1" selected="0">
            <x v="35"/>
          </reference>
          <reference field="12" count="1" selected="0">
            <x v="131"/>
          </reference>
          <reference field="21" count="1" selected="0">
            <x v="0"/>
          </reference>
          <reference field="25" count="1">
            <x v="0"/>
          </reference>
        </references>
      </pivotArea>
    </format>
    <format dxfId="1608">
      <pivotArea dataOnly="0" labelOnly="1" outline="0" fieldPosition="0">
        <references count="6">
          <reference field="1" count="1" selected="0">
            <x v="0"/>
          </reference>
          <reference field="5" count="1" selected="0">
            <x v="2"/>
          </reference>
          <reference field="11" count="1" selected="0">
            <x v="36"/>
          </reference>
          <reference field="12" count="1" selected="0">
            <x v="161"/>
          </reference>
          <reference field="21" count="1" selected="0">
            <x v="0"/>
          </reference>
          <reference field="25" count="1">
            <x v="3"/>
          </reference>
        </references>
      </pivotArea>
    </format>
    <format dxfId="1607">
      <pivotArea dataOnly="0" labelOnly="1" outline="0" fieldPosition="0">
        <references count="6">
          <reference field="1" count="1" selected="0">
            <x v="0"/>
          </reference>
          <reference field="5" count="1" selected="0">
            <x v="2"/>
          </reference>
          <reference field="11" count="1" selected="0">
            <x v="146"/>
          </reference>
          <reference field="12" count="1" selected="0">
            <x v="99"/>
          </reference>
          <reference field="21" count="1" selected="0">
            <x v="0"/>
          </reference>
          <reference field="25" count="1">
            <x v="2"/>
          </reference>
        </references>
      </pivotArea>
    </format>
    <format dxfId="1606">
      <pivotArea dataOnly="0" labelOnly="1" outline="0" fieldPosition="0">
        <references count="6">
          <reference field="1" count="1" selected="0">
            <x v="0"/>
          </reference>
          <reference field="5" count="1" selected="0">
            <x v="2"/>
          </reference>
          <reference field="11" count="1" selected="0">
            <x v="170"/>
          </reference>
          <reference field="12" count="1" selected="0">
            <x v="153"/>
          </reference>
          <reference field="21" count="1" selected="0">
            <x v="0"/>
          </reference>
          <reference field="25" count="1">
            <x v="3"/>
          </reference>
        </references>
      </pivotArea>
    </format>
    <format dxfId="1605">
      <pivotArea dataOnly="0" labelOnly="1" outline="0" fieldPosition="0">
        <references count="6">
          <reference field="1" count="1" selected="0">
            <x v="0"/>
          </reference>
          <reference field="5" count="1" selected="0">
            <x v="2"/>
          </reference>
          <reference field="11" count="1" selected="0">
            <x v="173"/>
          </reference>
          <reference field="12" count="1" selected="0">
            <x v="154"/>
          </reference>
          <reference field="21" count="1" selected="0">
            <x v="0"/>
          </reference>
          <reference field="25" count="1">
            <x v="0"/>
          </reference>
        </references>
      </pivotArea>
    </format>
    <format dxfId="1604">
      <pivotArea dataOnly="0" labelOnly="1" outline="0" fieldPosition="0">
        <references count="6">
          <reference field="1" count="1" selected="0">
            <x v="0"/>
          </reference>
          <reference field="5" count="1" selected="0">
            <x v="2"/>
          </reference>
          <reference field="11" count="1" selected="0">
            <x v="240"/>
          </reference>
          <reference field="12" count="1" selected="0">
            <x v="242"/>
          </reference>
          <reference field="21" count="1" selected="0">
            <x v="0"/>
          </reference>
          <reference field="25" count="1">
            <x v="4"/>
          </reference>
        </references>
      </pivotArea>
    </format>
    <format dxfId="1603">
      <pivotArea dataOnly="0" labelOnly="1" outline="0" fieldPosition="0">
        <references count="6">
          <reference field="1" count="1" selected="0">
            <x v="0"/>
          </reference>
          <reference field="5" count="1" selected="0">
            <x v="5"/>
          </reference>
          <reference field="11" count="1" selected="0">
            <x v="56"/>
          </reference>
          <reference field="12" count="1" selected="0">
            <x v="73"/>
          </reference>
          <reference field="21" count="1" selected="0">
            <x v="0"/>
          </reference>
          <reference field="25" count="1">
            <x v="4"/>
          </reference>
        </references>
      </pivotArea>
    </format>
    <format dxfId="1602">
      <pivotArea dataOnly="0" labelOnly="1" outline="0" fieldPosition="0">
        <references count="6">
          <reference field="1" count="1" selected="0">
            <x v="0"/>
          </reference>
          <reference field="5" count="1" selected="0">
            <x v="8"/>
          </reference>
          <reference field="11" count="1" selected="0">
            <x v="18"/>
          </reference>
          <reference field="12" count="1" selected="0">
            <x v="121"/>
          </reference>
          <reference field="21" count="1" selected="0">
            <x v="0"/>
          </reference>
          <reference field="25" count="1">
            <x v="1"/>
          </reference>
        </references>
      </pivotArea>
    </format>
    <format dxfId="1601">
      <pivotArea dataOnly="0" labelOnly="1" outline="0" fieldPosition="0">
        <references count="6">
          <reference field="1" count="1" selected="0">
            <x v="0"/>
          </reference>
          <reference field="5" count="1" selected="0">
            <x v="8"/>
          </reference>
          <reference field="11" count="1" selected="0">
            <x v="38"/>
          </reference>
          <reference field="12" count="1" selected="0">
            <x v="166"/>
          </reference>
          <reference field="21" count="1" selected="0">
            <x v="1"/>
          </reference>
          <reference field="25" count="1">
            <x v="4"/>
          </reference>
        </references>
      </pivotArea>
    </format>
    <format dxfId="1600">
      <pivotArea dataOnly="0" labelOnly="1" outline="0" fieldPosition="0">
        <references count="6">
          <reference field="1" count="1" selected="0">
            <x v="0"/>
          </reference>
          <reference field="5" count="1" selected="0">
            <x v="8"/>
          </reference>
          <reference field="11" count="1" selected="0">
            <x v="60"/>
          </reference>
          <reference field="12" count="1" selected="0">
            <x v="120"/>
          </reference>
          <reference field="21" count="1" selected="0">
            <x v="0"/>
          </reference>
          <reference field="25" count="1">
            <x v="1"/>
          </reference>
        </references>
      </pivotArea>
    </format>
    <format dxfId="1599">
      <pivotArea dataOnly="0" labelOnly="1" outline="0" fieldPosition="0">
        <references count="6">
          <reference field="1" count="1" selected="0">
            <x v="0"/>
          </reference>
          <reference field="5" count="1" selected="0">
            <x v="8"/>
          </reference>
          <reference field="11" count="1" selected="0">
            <x v="82"/>
          </reference>
          <reference field="12" count="1" selected="0">
            <x v="186"/>
          </reference>
          <reference field="21" count="1" selected="0">
            <x v="0"/>
          </reference>
          <reference field="25" count="1">
            <x v="0"/>
          </reference>
        </references>
      </pivotArea>
    </format>
    <format dxfId="1598">
      <pivotArea dataOnly="0" labelOnly="1" outline="0" fieldPosition="0">
        <references count="6">
          <reference field="1" count="1" selected="0">
            <x v="0"/>
          </reference>
          <reference field="5" count="1" selected="0">
            <x v="8"/>
          </reference>
          <reference field="11" count="1" selected="0">
            <x v="91"/>
          </reference>
          <reference field="12" count="1" selected="0">
            <x v="123"/>
          </reference>
          <reference field="21" count="1" selected="0">
            <x v="0"/>
          </reference>
          <reference field="25" count="1">
            <x v="1"/>
          </reference>
        </references>
      </pivotArea>
    </format>
    <format dxfId="1597">
      <pivotArea dataOnly="0" labelOnly="1" outline="0" fieldPosition="0">
        <references count="6">
          <reference field="1" count="1" selected="0">
            <x v="0"/>
          </reference>
          <reference field="5" count="1" selected="0">
            <x v="8"/>
          </reference>
          <reference field="11" count="1" selected="0">
            <x v="92"/>
          </reference>
          <reference field="12" count="1" selected="0">
            <x v="125"/>
          </reference>
          <reference field="21" count="1" selected="0">
            <x v="1"/>
          </reference>
          <reference field="25" count="1">
            <x v="4"/>
          </reference>
        </references>
      </pivotArea>
    </format>
    <format dxfId="1596">
      <pivotArea dataOnly="0" labelOnly="1" outline="0" fieldPosition="0">
        <references count="6">
          <reference field="1" count="1" selected="0">
            <x v="0"/>
          </reference>
          <reference field="5" count="1" selected="0">
            <x v="8"/>
          </reference>
          <reference field="11" count="1" selected="0">
            <x v="98"/>
          </reference>
          <reference field="12" count="1" selected="0">
            <x v="65"/>
          </reference>
          <reference field="21" count="1" selected="0">
            <x v="0"/>
          </reference>
          <reference field="25" count="1">
            <x v="0"/>
          </reference>
        </references>
      </pivotArea>
    </format>
    <format dxfId="1595">
      <pivotArea dataOnly="0" labelOnly="1" outline="0" fieldPosition="0">
        <references count="6">
          <reference field="1" count="1" selected="0">
            <x v="0"/>
          </reference>
          <reference field="5" count="1" selected="0">
            <x v="8"/>
          </reference>
          <reference field="11" count="1" selected="0">
            <x v="209"/>
          </reference>
          <reference field="12" count="1" selected="0">
            <x v="217"/>
          </reference>
          <reference field="21" count="1" selected="0">
            <x v="0"/>
          </reference>
          <reference field="25" count="1">
            <x v="1"/>
          </reference>
        </references>
      </pivotArea>
    </format>
    <format dxfId="1594">
      <pivotArea dataOnly="0" labelOnly="1" outline="0" fieldPosition="0">
        <references count="6">
          <reference field="1" count="1" selected="0">
            <x v="0"/>
          </reference>
          <reference field="5" count="1" selected="0">
            <x v="8"/>
          </reference>
          <reference field="11" count="1" selected="0">
            <x v="220"/>
          </reference>
          <reference field="12" count="1" selected="0">
            <x v="228"/>
          </reference>
          <reference field="21" count="1" selected="0">
            <x v="0"/>
          </reference>
          <reference field="25" count="1">
            <x v="0"/>
          </reference>
        </references>
      </pivotArea>
    </format>
    <format dxfId="1593">
      <pivotArea dataOnly="0" labelOnly="1" outline="0" fieldPosition="0">
        <references count="6">
          <reference field="1" count="1" selected="0">
            <x v="0"/>
          </reference>
          <reference field="5" count="1" selected="0">
            <x v="10"/>
          </reference>
          <reference field="11" count="1" selected="0">
            <x v="55"/>
          </reference>
          <reference field="12" count="1" selected="0">
            <x v="76"/>
          </reference>
          <reference field="21" count="1" selected="0">
            <x v="0"/>
          </reference>
          <reference field="25" count="1">
            <x v="0"/>
          </reference>
        </references>
      </pivotArea>
    </format>
    <format dxfId="1592">
      <pivotArea dataOnly="0" labelOnly="1" outline="0" fieldPosition="0">
        <references count="6">
          <reference field="1" count="1" selected="0">
            <x v="0"/>
          </reference>
          <reference field="5" count="1" selected="0">
            <x v="10"/>
          </reference>
          <reference field="11" count="1" selected="0">
            <x v="233"/>
          </reference>
          <reference field="12" count="1" selected="0">
            <x v="235"/>
          </reference>
          <reference field="21" count="1" selected="0">
            <x v="1"/>
          </reference>
          <reference field="25" count="1">
            <x v="4"/>
          </reference>
        </references>
      </pivotArea>
    </format>
    <format dxfId="1591">
      <pivotArea dataOnly="0" labelOnly="1" outline="0" fieldPosition="0">
        <references count="6">
          <reference field="1" count="1" selected="0">
            <x v="0"/>
          </reference>
          <reference field="5" count="1" selected="0">
            <x v="10"/>
          </reference>
          <reference field="11" count="1" selected="0">
            <x v="234"/>
          </reference>
          <reference field="12" count="1" selected="0">
            <x v="236"/>
          </reference>
          <reference field="21" count="1" selected="0">
            <x v="0"/>
          </reference>
          <reference field="25" count="1">
            <x v="0"/>
          </reference>
        </references>
      </pivotArea>
    </format>
    <format dxfId="1590">
      <pivotArea dataOnly="0" labelOnly="1" outline="0" fieldPosition="0">
        <references count="6">
          <reference field="1" count="1" selected="0">
            <x v="0"/>
          </reference>
          <reference field="5" count="1" selected="0">
            <x v="10"/>
          </reference>
          <reference field="11" count="1" selected="0">
            <x v="235"/>
          </reference>
          <reference field="12" count="1" selected="0">
            <x v="237"/>
          </reference>
          <reference field="21" count="1" selected="0">
            <x v="0"/>
          </reference>
          <reference field="25" count="1">
            <x v="2"/>
          </reference>
        </references>
      </pivotArea>
    </format>
    <format dxfId="1589">
      <pivotArea dataOnly="0" labelOnly="1" outline="0" fieldPosition="0">
        <references count="6">
          <reference field="1" count="1" selected="0">
            <x v="0"/>
          </reference>
          <reference field="5" count="1" selected="0">
            <x v="11"/>
          </reference>
          <reference field="11" count="1" selected="0">
            <x v="152"/>
          </reference>
          <reference field="12" count="1" selected="0">
            <x v="133"/>
          </reference>
          <reference field="21" count="1" selected="0">
            <x v="0"/>
          </reference>
          <reference field="25" count="1">
            <x v="0"/>
          </reference>
        </references>
      </pivotArea>
    </format>
    <format dxfId="1588">
      <pivotArea dataOnly="0" labelOnly="1" outline="0" fieldPosition="0">
        <references count="6">
          <reference field="1" count="1" selected="0">
            <x v="0"/>
          </reference>
          <reference field="5" count="1" selected="0">
            <x v="11"/>
          </reference>
          <reference field="11" count="1" selected="0">
            <x v="183"/>
          </reference>
          <reference field="12" count="1" selected="0">
            <x v="78"/>
          </reference>
          <reference field="21" count="1" selected="0">
            <x v="0"/>
          </reference>
          <reference field="25" count="1">
            <x v="2"/>
          </reference>
        </references>
      </pivotArea>
    </format>
    <format dxfId="1587">
      <pivotArea dataOnly="0" labelOnly="1" outline="0" fieldPosition="0">
        <references count="6">
          <reference field="1" count="1" selected="0">
            <x v="0"/>
          </reference>
          <reference field="5" count="1" selected="0">
            <x v="11"/>
          </reference>
          <reference field="11" count="1" selected="0">
            <x v="223"/>
          </reference>
          <reference field="12" count="1" selected="0">
            <x v="231"/>
          </reference>
          <reference field="21" count="1" selected="0">
            <x v="1"/>
          </reference>
          <reference field="25" count="1">
            <x v="4"/>
          </reference>
        </references>
      </pivotArea>
    </format>
    <format dxfId="1586">
      <pivotArea dataOnly="0" labelOnly="1" outline="0" fieldPosition="0">
        <references count="6">
          <reference field="1" count="1" selected="0">
            <x v="0"/>
          </reference>
          <reference field="5" count="1" selected="0">
            <x v="12"/>
          </reference>
          <reference field="11" count="1" selected="0">
            <x v="27"/>
          </reference>
          <reference field="12" count="1" selected="0">
            <x v="118"/>
          </reference>
          <reference field="21" count="1" selected="0">
            <x v="0"/>
          </reference>
          <reference field="25" count="1">
            <x v="2"/>
          </reference>
        </references>
      </pivotArea>
    </format>
    <format dxfId="1585">
      <pivotArea dataOnly="0" labelOnly="1" outline="0" fieldPosition="0">
        <references count="6">
          <reference field="1" count="1" selected="0">
            <x v="0"/>
          </reference>
          <reference field="5" count="1" selected="0">
            <x v="12"/>
          </reference>
          <reference field="11" count="1" selected="0">
            <x v="38"/>
          </reference>
          <reference field="12" count="1" selected="0">
            <x v="167"/>
          </reference>
          <reference field="21" count="1" selected="0">
            <x v="1"/>
          </reference>
          <reference field="25" count="1">
            <x v="4"/>
          </reference>
        </references>
      </pivotArea>
    </format>
    <format dxfId="1584">
      <pivotArea dataOnly="0" labelOnly="1" outline="0" fieldPosition="0">
        <references count="6">
          <reference field="1" count="1" selected="0">
            <x v="0"/>
          </reference>
          <reference field="5" count="1" selected="0">
            <x v="12"/>
          </reference>
          <reference field="11" count="1" selected="0">
            <x v="42"/>
          </reference>
          <reference field="12" count="1" selected="0">
            <x v="117"/>
          </reference>
          <reference field="21" count="1" selected="0">
            <x v="0"/>
          </reference>
          <reference field="25" count="1">
            <x v="2"/>
          </reference>
        </references>
      </pivotArea>
    </format>
    <format dxfId="1583">
      <pivotArea dataOnly="0" labelOnly="1" outline="0" fieldPosition="0">
        <references count="6">
          <reference field="1" count="1" selected="0">
            <x v="0"/>
          </reference>
          <reference field="5" count="1" selected="0">
            <x v="12"/>
          </reference>
          <reference field="11" count="1" selected="0">
            <x v="50"/>
          </reference>
          <reference field="12" count="1" selected="0">
            <x v="170"/>
          </reference>
          <reference field="21" count="1" selected="0">
            <x v="1"/>
          </reference>
          <reference field="25" count="1">
            <x v="4"/>
          </reference>
        </references>
      </pivotArea>
    </format>
    <format dxfId="1582">
      <pivotArea dataOnly="0" labelOnly="1" outline="0" fieldPosition="0">
        <references count="6">
          <reference field="1" count="1" selected="0">
            <x v="0"/>
          </reference>
          <reference field="5" count="1" selected="0">
            <x v="12"/>
          </reference>
          <reference field="11" count="1" selected="0">
            <x v="69"/>
          </reference>
          <reference field="12" count="1" selected="0">
            <x v="70"/>
          </reference>
          <reference field="21" count="1" selected="0">
            <x v="0"/>
          </reference>
          <reference field="25" count="1">
            <x v="0"/>
          </reference>
        </references>
      </pivotArea>
    </format>
    <format dxfId="1581">
      <pivotArea dataOnly="0" labelOnly="1" outline="0" fieldPosition="0">
        <references count="6">
          <reference field="1" count="1" selected="0">
            <x v="0"/>
          </reference>
          <reference field="5" count="1" selected="0">
            <x v="12"/>
          </reference>
          <reference field="11" count="1" selected="0">
            <x v="70"/>
          </reference>
          <reference field="12" count="1" selected="0">
            <x v="68"/>
          </reference>
          <reference field="21" count="1" selected="0">
            <x v="0"/>
          </reference>
          <reference field="25" count="1">
            <x v="1"/>
          </reference>
        </references>
      </pivotArea>
    </format>
    <format dxfId="1580">
      <pivotArea dataOnly="0" labelOnly="1" outline="0" fieldPosition="0">
        <references count="6">
          <reference field="1" count="1" selected="0">
            <x v="0"/>
          </reference>
          <reference field="5" count="1" selected="0">
            <x v="12"/>
          </reference>
          <reference field="11" count="1" selected="0">
            <x v="71"/>
          </reference>
          <reference field="12" count="1" selected="0">
            <x v="69"/>
          </reference>
          <reference field="21" count="1" selected="0">
            <x v="0"/>
          </reference>
          <reference field="25" count="1">
            <x v="0"/>
          </reference>
        </references>
      </pivotArea>
    </format>
    <format dxfId="1579">
      <pivotArea dataOnly="0" labelOnly="1" outline="0" fieldPosition="0">
        <references count="6">
          <reference field="1" count="1" selected="0">
            <x v="0"/>
          </reference>
          <reference field="5" count="1" selected="0">
            <x v="12"/>
          </reference>
          <reference field="11" count="1" selected="0">
            <x v="77"/>
          </reference>
          <reference field="12" count="1" selected="0">
            <x v="63"/>
          </reference>
          <reference field="21" count="1" selected="0">
            <x v="1"/>
          </reference>
          <reference field="25" count="1">
            <x v="4"/>
          </reference>
        </references>
      </pivotArea>
    </format>
    <format dxfId="1578">
      <pivotArea dataOnly="0" labelOnly="1" outline="0" fieldPosition="0">
        <references count="6">
          <reference field="1" count="1" selected="0">
            <x v="0"/>
          </reference>
          <reference field="5" count="1" selected="0">
            <x v="12"/>
          </reference>
          <reference field="11" count="1" selected="0">
            <x v="84"/>
          </reference>
          <reference field="12" count="1" selected="0">
            <x v="61"/>
          </reference>
          <reference field="21" count="1" selected="0">
            <x v="0"/>
          </reference>
          <reference field="25" count="1">
            <x v="1"/>
          </reference>
        </references>
      </pivotArea>
    </format>
    <format dxfId="1577">
      <pivotArea dataOnly="0" labelOnly="1" outline="0" fieldPosition="0">
        <references count="6">
          <reference field="1" count="1" selected="0">
            <x v="0"/>
          </reference>
          <reference field="5" count="1" selected="0">
            <x v="12"/>
          </reference>
          <reference field="11" count="1" selected="0">
            <x v="88"/>
          </reference>
          <reference field="12" count="1" selected="0">
            <x v="62"/>
          </reference>
          <reference field="21" count="1" selected="0">
            <x v="1"/>
          </reference>
          <reference field="25" count="1">
            <x v="4"/>
          </reference>
        </references>
      </pivotArea>
    </format>
    <format dxfId="1576">
      <pivotArea dataOnly="0" labelOnly="1" outline="0" fieldPosition="0">
        <references count="6">
          <reference field="1" count="1" selected="0">
            <x v="0"/>
          </reference>
          <reference field="5" count="1" selected="0">
            <x v="12"/>
          </reference>
          <reference field="11" count="1" selected="0">
            <x v="117"/>
          </reference>
          <reference field="12" count="1" selected="0">
            <x v="55"/>
          </reference>
          <reference field="21" count="1" selected="0">
            <x v="0"/>
          </reference>
          <reference field="25" count="1">
            <x v="0"/>
          </reference>
        </references>
      </pivotArea>
    </format>
    <format dxfId="1575">
      <pivotArea dataOnly="0" labelOnly="1" outline="0" fieldPosition="0">
        <references count="6">
          <reference field="1" count="1" selected="0">
            <x v="0"/>
          </reference>
          <reference field="5" count="1" selected="0">
            <x v="12"/>
          </reference>
          <reference field="11" count="1" selected="0">
            <x v="128"/>
          </reference>
          <reference field="12" count="1" selected="0">
            <x v="60"/>
          </reference>
          <reference field="21" count="1" selected="0">
            <x v="1"/>
          </reference>
          <reference field="25" count="1">
            <x v="4"/>
          </reference>
        </references>
      </pivotArea>
    </format>
    <format dxfId="1574">
      <pivotArea dataOnly="0" labelOnly="1" outline="0" fieldPosition="0">
        <references count="6">
          <reference field="1" count="1" selected="0">
            <x v="0"/>
          </reference>
          <reference field="5" count="1" selected="0">
            <x v="12"/>
          </reference>
          <reference field="11" count="1" selected="0">
            <x v="155"/>
          </reference>
          <reference field="12" count="1" selected="0">
            <x v="122"/>
          </reference>
          <reference field="21" count="1" selected="0">
            <x v="0"/>
          </reference>
          <reference field="25" count="1">
            <x v="1"/>
          </reference>
        </references>
      </pivotArea>
    </format>
    <format dxfId="1573">
      <pivotArea dataOnly="0" labelOnly="1" outline="0" fieldPosition="0">
        <references count="6">
          <reference field="1" count="1" selected="0">
            <x v="0"/>
          </reference>
          <reference field="5" count="1" selected="0">
            <x v="12"/>
          </reference>
          <reference field="11" count="1" selected="0">
            <x v="158"/>
          </reference>
          <reference field="12" count="1" selected="0">
            <x v="71"/>
          </reference>
          <reference field="21" count="1" selected="0">
            <x v="0"/>
          </reference>
          <reference field="25" count="1">
            <x v="0"/>
          </reference>
        </references>
      </pivotArea>
    </format>
    <format dxfId="1572">
      <pivotArea dataOnly="0" labelOnly="1" outline="0" fieldPosition="0">
        <references count="6">
          <reference field="1" count="1" selected="0">
            <x v="0"/>
          </reference>
          <reference field="5" count="1" selected="0">
            <x v="12"/>
          </reference>
          <reference field="11" count="1" selected="0">
            <x v="160"/>
          </reference>
          <reference field="12" count="1" selected="0">
            <x v="119"/>
          </reference>
          <reference field="21" count="1" selected="0">
            <x v="0"/>
          </reference>
          <reference field="25" count="1">
            <x v="1"/>
          </reference>
        </references>
      </pivotArea>
    </format>
    <format dxfId="1571">
      <pivotArea dataOnly="0" labelOnly="1" outline="0" fieldPosition="0">
        <references count="6">
          <reference field="1" count="1" selected="0">
            <x v="0"/>
          </reference>
          <reference field="5" count="1" selected="0">
            <x v="12"/>
          </reference>
          <reference field="11" count="1" selected="0">
            <x v="164"/>
          </reference>
          <reference field="12" count="1" selected="0">
            <x v="64"/>
          </reference>
          <reference field="21" count="1" selected="0">
            <x v="1"/>
          </reference>
          <reference field="25" count="1">
            <x v="4"/>
          </reference>
        </references>
      </pivotArea>
    </format>
    <format dxfId="1570">
      <pivotArea dataOnly="0" labelOnly="1" outline="0" fieldPosition="0">
        <references count="6">
          <reference field="1" count="1" selected="0">
            <x v="0"/>
          </reference>
          <reference field="5" count="1" selected="0">
            <x v="12"/>
          </reference>
          <reference field="11" count="1" selected="0">
            <x v="175"/>
          </reference>
          <reference field="12" count="1" selected="0">
            <x v="72"/>
          </reference>
          <reference field="21" count="1" selected="0">
            <x v="0"/>
          </reference>
          <reference field="25" count="1">
            <x v="0"/>
          </reference>
        </references>
      </pivotArea>
    </format>
    <format dxfId="1569">
      <pivotArea dataOnly="0" labelOnly="1" outline="0" fieldPosition="0">
        <references count="6">
          <reference field="1" count="1" selected="0">
            <x v="0"/>
          </reference>
          <reference field="5" count="1" selected="0">
            <x v="12"/>
          </reference>
          <reference field="11" count="1" selected="0">
            <x v="188"/>
          </reference>
          <reference field="12" count="1" selected="0">
            <x v="59"/>
          </reference>
          <reference field="21" count="1" selected="0">
            <x v="1"/>
          </reference>
          <reference field="25" count="1">
            <x v="4"/>
          </reference>
        </references>
      </pivotArea>
    </format>
    <format dxfId="1568">
      <pivotArea dataOnly="0" labelOnly="1" outline="0" fieldPosition="0">
        <references count="6">
          <reference field="1" count="1" selected="0">
            <x v="0"/>
          </reference>
          <reference field="5" count="1" selected="0">
            <x v="14"/>
          </reference>
          <reference field="11" count="1" selected="0">
            <x v="24"/>
          </reference>
          <reference field="12" count="1" selected="0">
            <x v="11"/>
          </reference>
          <reference field="21" count="1" selected="0">
            <x v="0"/>
          </reference>
          <reference field="25" count="1">
            <x v="0"/>
          </reference>
        </references>
      </pivotArea>
    </format>
    <format dxfId="1567">
      <pivotArea dataOnly="0" labelOnly="1" outline="0" fieldPosition="0">
        <references count="6">
          <reference field="1" count="1" selected="0">
            <x v="0"/>
          </reference>
          <reference field="5" count="1" selected="0">
            <x v="14"/>
          </reference>
          <reference field="11" count="1" selected="0">
            <x v="47"/>
          </reference>
          <reference field="12" count="1" selected="0">
            <x v="18"/>
          </reference>
          <reference field="21" count="1" selected="0">
            <x v="0"/>
          </reference>
          <reference field="25" count="1">
            <x v="2"/>
          </reference>
        </references>
      </pivotArea>
    </format>
    <format dxfId="1566">
      <pivotArea dataOnly="0" labelOnly="1" outline="0" fieldPosition="0">
        <references count="6">
          <reference field="1" count="1" selected="0">
            <x v="0"/>
          </reference>
          <reference field="5" count="1" selected="0">
            <x v="14"/>
          </reference>
          <reference field="11" count="1" selected="0">
            <x v="54"/>
          </reference>
          <reference field="12" count="1" selected="0">
            <x v="12"/>
          </reference>
          <reference field="21" count="1" selected="0">
            <x v="0"/>
          </reference>
          <reference field="25" count="1">
            <x v="0"/>
          </reference>
        </references>
      </pivotArea>
    </format>
    <format dxfId="1565">
      <pivotArea dataOnly="0" labelOnly="1" outline="0" fieldPosition="0">
        <references count="6">
          <reference field="1" count="1" selected="0">
            <x v="0"/>
          </reference>
          <reference field="5" count="1" selected="0">
            <x v="14"/>
          </reference>
          <reference field="11" count="1" selected="0">
            <x v="107"/>
          </reference>
          <reference field="12" count="1" selected="0">
            <x v="19"/>
          </reference>
          <reference field="21" count="1" selected="0">
            <x v="0"/>
          </reference>
          <reference field="25" count="1">
            <x v="3"/>
          </reference>
        </references>
      </pivotArea>
    </format>
    <format dxfId="1564">
      <pivotArea dataOnly="0" labelOnly="1" outline="0" fieldPosition="0">
        <references count="6">
          <reference field="1" count="1" selected="0">
            <x v="0"/>
          </reference>
          <reference field="5" count="1" selected="0">
            <x v="14"/>
          </reference>
          <reference field="11" count="1" selected="0">
            <x v="144"/>
          </reference>
          <reference field="12" count="1" selected="0">
            <x v="23"/>
          </reference>
          <reference field="21" count="1" selected="0">
            <x v="0"/>
          </reference>
          <reference field="25" count="1">
            <x v="2"/>
          </reference>
        </references>
      </pivotArea>
    </format>
    <format dxfId="1563">
      <pivotArea dataOnly="0" labelOnly="1" outline="0" fieldPosition="0">
        <references count="6">
          <reference field="1" count="1" selected="0">
            <x v="0"/>
          </reference>
          <reference field="5" count="1" selected="0">
            <x v="14"/>
          </reference>
          <reference field="11" count="1" selected="0">
            <x v="157"/>
          </reference>
          <reference field="12" count="1" selected="0">
            <x v="1"/>
          </reference>
          <reference field="21" count="1" selected="0">
            <x v="0"/>
          </reference>
          <reference field="25" count="1">
            <x v="0"/>
          </reference>
        </references>
      </pivotArea>
    </format>
    <format dxfId="1562">
      <pivotArea dataOnly="0" labelOnly="1" outline="0" fieldPosition="0">
        <references count="6">
          <reference field="1" count="1" selected="0">
            <x v="0"/>
          </reference>
          <reference field="5" count="1" selected="0">
            <x v="14"/>
          </reference>
          <reference field="11" count="1" selected="0">
            <x v="159"/>
          </reference>
          <reference field="12" count="1" selected="0">
            <x v="136"/>
          </reference>
          <reference field="21" count="1" selected="0">
            <x v="0"/>
          </reference>
          <reference field="25" count="1">
            <x v="2"/>
          </reference>
        </references>
      </pivotArea>
    </format>
    <format dxfId="1561">
      <pivotArea dataOnly="0" labelOnly="1" outline="0" fieldPosition="0">
        <references count="6">
          <reference field="1" count="1" selected="0">
            <x v="0"/>
          </reference>
          <reference field="5" count="1" selected="0">
            <x v="14"/>
          </reference>
          <reference field="11" count="1" selected="0">
            <x v="176"/>
          </reference>
          <reference field="12" count="1" selected="0">
            <x v="5"/>
          </reference>
          <reference field="21" count="1" selected="0">
            <x v="0"/>
          </reference>
          <reference field="25" count="1">
            <x v="0"/>
          </reference>
        </references>
      </pivotArea>
    </format>
    <format dxfId="1560">
      <pivotArea dataOnly="0" labelOnly="1" outline="0" fieldPosition="0">
        <references count="6">
          <reference field="1" count="1" selected="0">
            <x v="0"/>
          </reference>
          <reference field="5" count="1" selected="0">
            <x v="14"/>
          </reference>
          <reference field="11" count="1" selected="0">
            <x v="177"/>
          </reference>
          <reference field="12" count="1" selected="0">
            <x v="6"/>
          </reference>
          <reference field="21" count="1" selected="0">
            <x v="0"/>
          </reference>
          <reference field="25" count="1">
            <x v="3"/>
          </reference>
        </references>
      </pivotArea>
    </format>
    <format dxfId="1559">
      <pivotArea dataOnly="0" labelOnly="1" outline="0" fieldPosition="0">
        <references count="6">
          <reference field="1" count="1" selected="0">
            <x v="0"/>
          </reference>
          <reference field="5" count="1" selected="0">
            <x v="14"/>
          </reference>
          <reference field="11" count="1" selected="0">
            <x v="181"/>
          </reference>
          <reference field="12" count="1" selected="0">
            <x v="8"/>
          </reference>
          <reference field="21" count="1" selected="0">
            <x v="0"/>
          </reference>
          <reference field="25" count="1">
            <x v="0"/>
          </reference>
        </references>
      </pivotArea>
    </format>
    <format dxfId="1558">
      <pivotArea dataOnly="0" labelOnly="1" outline="0" fieldPosition="0">
        <references count="6">
          <reference field="1" count="1" selected="0">
            <x v="0"/>
          </reference>
          <reference field="5" count="1" selected="0">
            <x v="14"/>
          </reference>
          <reference field="11" count="1" selected="0">
            <x v="190"/>
          </reference>
          <reference field="12" count="1" selected="0">
            <x v="3"/>
          </reference>
          <reference field="21" count="1" selected="0">
            <x v="0"/>
          </reference>
          <reference field="25" count="1">
            <x v="3"/>
          </reference>
        </references>
      </pivotArea>
    </format>
    <format dxfId="1557">
      <pivotArea dataOnly="0" labelOnly="1" outline="0" fieldPosition="0">
        <references count="6">
          <reference field="1" count="1" selected="0">
            <x v="0"/>
          </reference>
          <reference field="5" count="1" selected="0">
            <x v="14"/>
          </reference>
          <reference field="11" count="1" selected="0">
            <x v="191"/>
          </reference>
          <reference field="12" count="1" selected="0">
            <x v="2"/>
          </reference>
          <reference field="21" count="1" selected="0">
            <x v="0"/>
          </reference>
          <reference field="25" count="1">
            <x v="0"/>
          </reference>
        </references>
      </pivotArea>
    </format>
    <format dxfId="1556">
      <pivotArea dataOnly="0" labelOnly="1" outline="0" fieldPosition="0">
        <references count="6">
          <reference field="1" count="1" selected="0">
            <x v="0"/>
          </reference>
          <reference field="5" count="1" selected="0">
            <x v="14"/>
          </reference>
          <reference field="11" count="1" selected="0">
            <x v="204"/>
          </reference>
          <reference field="12" count="1" selected="0">
            <x v="21"/>
          </reference>
          <reference field="21" count="1" selected="0">
            <x v="0"/>
          </reference>
          <reference field="25" count="1">
            <x v="3"/>
          </reference>
        </references>
      </pivotArea>
    </format>
    <format dxfId="1555">
      <pivotArea dataOnly="0" labelOnly="1" outline="0" fieldPosition="0">
        <references count="6">
          <reference field="1" count="1" selected="0">
            <x v="0"/>
          </reference>
          <reference field="5" count="1" selected="0">
            <x v="17"/>
          </reference>
          <reference field="11" count="1" selected="0">
            <x v="196"/>
          </reference>
          <reference field="12" count="1" selected="0">
            <x v="74"/>
          </reference>
          <reference field="21" count="1" selected="0">
            <x v="1"/>
          </reference>
          <reference field="25" count="1">
            <x v="4"/>
          </reference>
        </references>
      </pivotArea>
    </format>
    <format dxfId="1554">
      <pivotArea dataOnly="0" labelOnly="1" outline="0" fieldPosition="0">
        <references count="6">
          <reference field="1" count="1" selected="0">
            <x v="0"/>
          </reference>
          <reference field="5" count="1" selected="0">
            <x v="17"/>
          </reference>
          <reference field="11" count="1" selected="0">
            <x v="231"/>
          </reference>
          <reference field="12" count="1" selected="0">
            <x v="234"/>
          </reference>
          <reference field="21" count="1" selected="0">
            <x v="0"/>
          </reference>
          <reference field="25" count="1">
            <x v="0"/>
          </reference>
        </references>
      </pivotArea>
    </format>
    <format dxfId="1553">
      <pivotArea dataOnly="0" labelOnly="1" outline="0" fieldPosition="0">
        <references count="6">
          <reference field="1" count="1" selected="0">
            <x v="0"/>
          </reference>
          <reference field="5" count="1" selected="0">
            <x v="18"/>
          </reference>
          <reference field="11" count="1" selected="0">
            <x v="38"/>
          </reference>
          <reference field="12" count="1" selected="0">
            <x v="169"/>
          </reference>
          <reference field="21" count="1" selected="0">
            <x v="1"/>
          </reference>
          <reference field="25" count="1">
            <x v="4"/>
          </reference>
        </references>
      </pivotArea>
    </format>
    <format dxfId="1552">
      <pivotArea dataOnly="0" labelOnly="1" outline="0" fieldPosition="0">
        <references count="6">
          <reference field="1" count="1" selected="0">
            <x v="0"/>
          </reference>
          <reference field="5" count="1" selected="0">
            <x v="18"/>
          </reference>
          <reference field="11" count="1" selected="0">
            <x v="179"/>
          </reference>
          <reference field="12" count="1" selected="0">
            <x v="66"/>
          </reference>
          <reference field="21" count="1" selected="0">
            <x v="0"/>
          </reference>
          <reference field="25" count="1">
            <x v="0"/>
          </reference>
        </references>
      </pivotArea>
    </format>
    <format dxfId="1551">
      <pivotArea dataOnly="0" labelOnly="1" outline="0" fieldPosition="0">
        <references count="6">
          <reference field="1" count="1" selected="0">
            <x v="0"/>
          </reference>
          <reference field="5" count="1" selected="0">
            <x v="18"/>
          </reference>
          <reference field="11" count="1" selected="0">
            <x v="180"/>
          </reference>
          <reference field="12" count="1" selected="0">
            <x v="67"/>
          </reference>
          <reference field="21" count="1" selected="0">
            <x v="0"/>
          </reference>
          <reference field="25" count="1">
            <x v="1"/>
          </reference>
        </references>
      </pivotArea>
    </format>
    <format dxfId="1550">
      <pivotArea dataOnly="0" labelOnly="1" outline="0" fieldPosition="0">
        <references count="6">
          <reference field="1" count="1" selected="0">
            <x v="0"/>
          </reference>
          <reference field="5" count="1" selected="0">
            <x v="19"/>
          </reference>
          <reference field="11" count="1" selected="0">
            <x v="185"/>
          </reference>
          <reference field="12" count="1" selected="0">
            <x v="175"/>
          </reference>
          <reference field="21" count="1" selected="0">
            <x v="0"/>
          </reference>
          <reference field="25" count="1">
            <x v="4"/>
          </reference>
        </references>
      </pivotArea>
    </format>
    <format dxfId="1549">
      <pivotArea dataOnly="0" labelOnly="1" outline="0" fieldPosition="0">
        <references count="6">
          <reference field="1" count="1" selected="0">
            <x v="0"/>
          </reference>
          <reference field="5" count="1" selected="0">
            <x v="20"/>
          </reference>
          <reference field="11" count="1" selected="0">
            <x v="17"/>
          </reference>
          <reference field="12" count="1" selected="0">
            <x v="108"/>
          </reference>
          <reference field="21" count="1" selected="0">
            <x v="0"/>
          </reference>
          <reference field="25" count="1">
            <x v="2"/>
          </reference>
        </references>
      </pivotArea>
    </format>
    <format dxfId="1548">
      <pivotArea dataOnly="0" labelOnly="1" outline="0" fieldPosition="0">
        <references count="6">
          <reference field="1" count="1" selected="0">
            <x v="0"/>
          </reference>
          <reference field="5" count="1" selected="0">
            <x v="20"/>
          </reference>
          <reference field="11" count="1" selected="0">
            <x v="33"/>
          </reference>
          <reference field="12" count="1" selected="0">
            <x v="27"/>
          </reference>
          <reference field="21" count="1" selected="0">
            <x v="0"/>
          </reference>
          <reference field="25" count="1">
            <x v="3"/>
          </reference>
        </references>
      </pivotArea>
    </format>
    <format dxfId="1547">
      <pivotArea dataOnly="0" labelOnly="1" outline="0" fieldPosition="0">
        <references count="6">
          <reference field="1" count="1" selected="0">
            <x v="0"/>
          </reference>
          <reference field="5" count="1" selected="0">
            <x v="20"/>
          </reference>
          <reference field="11" count="1" selected="0">
            <x v="34"/>
          </reference>
          <reference field="12" count="1" selected="0">
            <x v="110"/>
          </reference>
          <reference field="21" count="1" selected="0">
            <x v="0"/>
          </reference>
          <reference field="25" count="1">
            <x v="0"/>
          </reference>
        </references>
      </pivotArea>
    </format>
    <format dxfId="1546">
      <pivotArea dataOnly="0" labelOnly="1" outline="0" fieldPosition="0">
        <references count="6">
          <reference field="1" count="1" selected="0">
            <x v="0"/>
          </reference>
          <reference field="5" count="1" selected="0">
            <x v="20"/>
          </reference>
          <reference field="11" count="1" selected="0">
            <x v="44"/>
          </reference>
          <reference field="12" count="1" selected="0">
            <x v="176"/>
          </reference>
          <reference field="21" count="1" selected="0">
            <x v="2"/>
          </reference>
          <reference field="25" count="1">
            <x v="4"/>
          </reference>
        </references>
      </pivotArea>
    </format>
    <format dxfId="1545">
      <pivotArea dataOnly="0" labelOnly="1" outline="0" fieldPosition="0">
        <references count="6">
          <reference field="1" count="1" selected="0">
            <x v="0"/>
          </reference>
          <reference field="5" count="1" selected="0">
            <x v="20"/>
          </reference>
          <reference field="11" count="1" selected="0">
            <x v="48"/>
          </reference>
          <reference field="12" count="1" selected="0">
            <x v="116"/>
          </reference>
          <reference field="21" count="1" selected="0">
            <x v="0"/>
          </reference>
          <reference field="25" count="1">
            <x v="2"/>
          </reference>
        </references>
      </pivotArea>
    </format>
    <format dxfId="1544">
      <pivotArea dataOnly="0" labelOnly="1" outline="0" fieldPosition="0">
        <references count="6">
          <reference field="1" count="1" selected="0">
            <x v="0"/>
          </reference>
          <reference field="5" count="1" selected="0">
            <x v="20"/>
          </reference>
          <reference field="11" count="1" selected="0">
            <x v="75"/>
          </reference>
          <reference field="12" count="1" selected="0">
            <x v="26"/>
          </reference>
          <reference field="21" count="1" selected="0">
            <x v="0"/>
          </reference>
          <reference field="25" count="1">
            <x v="0"/>
          </reference>
        </references>
      </pivotArea>
    </format>
    <format dxfId="1543">
      <pivotArea dataOnly="0" labelOnly="1" outline="0" fieldPosition="0">
        <references count="6">
          <reference field="1" count="1" selected="0">
            <x v="0"/>
          </reference>
          <reference field="5" count="1" selected="0">
            <x v="20"/>
          </reference>
          <reference field="11" count="1" selected="0">
            <x v="76"/>
          </reference>
          <reference field="12" count="1" selected="0">
            <x v="114"/>
          </reference>
          <reference field="21" count="1" selected="0">
            <x v="0"/>
          </reference>
          <reference field="25" count="1">
            <x v="2"/>
          </reference>
        </references>
      </pivotArea>
    </format>
    <format dxfId="1542">
      <pivotArea dataOnly="0" labelOnly="1" outline="0" fieldPosition="0">
        <references count="6">
          <reference field="1" count="1" selected="0">
            <x v="0"/>
          </reference>
          <reference field="5" count="1" selected="0">
            <x v="20"/>
          </reference>
          <reference field="11" count="1" selected="0">
            <x v="78"/>
          </reference>
          <reference field="12" count="1" selected="0">
            <x v="30"/>
          </reference>
          <reference field="21" count="1" selected="0">
            <x v="0"/>
          </reference>
          <reference field="25" count="1">
            <x v="3"/>
          </reference>
        </references>
      </pivotArea>
    </format>
    <format dxfId="1541">
      <pivotArea dataOnly="0" labelOnly="1" outline="0" fieldPosition="0">
        <references count="6">
          <reference field="1" count="1" selected="0">
            <x v="0"/>
          </reference>
          <reference field="5" count="1" selected="0">
            <x v="20"/>
          </reference>
          <reference field="11" count="1" selected="0">
            <x v="79"/>
          </reference>
          <reference field="12" count="1" selected="0">
            <x v="28"/>
          </reference>
          <reference field="21" count="1" selected="0">
            <x v="0"/>
          </reference>
          <reference field="25" count="1">
            <x v="2"/>
          </reference>
        </references>
      </pivotArea>
    </format>
    <format dxfId="1540">
      <pivotArea dataOnly="0" labelOnly="1" outline="0" fieldPosition="0">
        <references count="6">
          <reference field="1" count="1" selected="0">
            <x v="0"/>
          </reference>
          <reference field="5" count="1" selected="0">
            <x v="20"/>
          </reference>
          <reference field="11" count="1" selected="0">
            <x v="80"/>
          </reference>
          <reference field="12" count="1" selected="0">
            <x v="39"/>
          </reference>
          <reference field="21" count="1" selected="0">
            <x v="0"/>
          </reference>
          <reference field="25" count="1">
            <x v="0"/>
          </reference>
        </references>
      </pivotArea>
    </format>
    <format dxfId="1539">
      <pivotArea dataOnly="0" labelOnly="1" outline="0" fieldPosition="0">
        <references count="6">
          <reference field="1" count="1" selected="0">
            <x v="0"/>
          </reference>
          <reference field="5" count="1" selected="0">
            <x v="20"/>
          </reference>
          <reference field="11" count="1" selected="0">
            <x v="151"/>
          </reference>
          <reference field="12" count="1" selected="0">
            <x v="32"/>
          </reference>
          <reference field="21" count="1" selected="0">
            <x v="0"/>
          </reference>
          <reference field="25" count="1">
            <x v="3"/>
          </reference>
        </references>
      </pivotArea>
    </format>
    <format dxfId="1538">
      <pivotArea dataOnly="0" labelOnly="1" outline="0" fieldPosition="0">
        <references count="6">
          <reference field="1" count="1" selected="0">
            <x v="0"/>
          </reference>
          <reference field="5" count="1" selected="0">
            <x v="20"/>
          </reference>
          <reference field="11" count="1" selected="0">
            <x v="165"/>
          </reference>
          <reference field="12" count="1" selected="0">
            <x v="135"/>
          </reference>
          <reference field="21" count="1" selected="0">
            <x v="0"/>
          </reference>
          <reference field="25" count="1">
            <x v="2"/>
          </reference>
        </references>
      </pivotArea>
    </format>
    <format dxfId="1537">
      <pivotArea dataOnly="0" labelOnly="1" outline="0" fieldPosition="0">
        <references count="6">
          <reference field="1" count="1" selected="0">
            <x v="0"/>
          </reference>
          <reference field="5" count="1" selected="0">
            <x v="20"/>
          </reference>
          <reference field="11" count="1" selected="0">
            <x v="166"/>
          </reference>
          <reference field="12" count="1" selected="0">
            <x v="31"/>
          </reference>
          <reference field="21" count="1" selected="0">
            <x v="0"/>
          </reference>
          <reference field="25" count="1">
            <x v="3"/>
          </reference>
        </references>
      </pivotArea>
    </format>
    <format dxfId="1536">
      <pivotArea dataOnly="0" labelOnly="1" outline="0" fieldPosition="0">
        <references count="6">
          <reference field="1" count="1" selected="0">
            <x v="0"/>
          </reference>
          <reference field="5" count="1" selected="0">
            <x v="20"/>
          </reference>
          <reference field="11" count="1" selected="0">
            <x v="167"/>
          </reference>
          <reference field="12" count="1" selected="0">
            <x v="24"/>
          </reference>
          <reference field="21" count="1" selected="0">
            <x v="0"/>
          </reference>
          <reference field="25" count="1">
            <x v="0"/>
          </reference>
        </references>
      </pivotArea>
    </format>
    <format dxfId="1535">
      <pivotArea dataOnly="0" labelOnly="1" outline="0" fieldPosition="0">
        <references count="6">
          <reference field="1" count="1" selected="0">
            <x v="0"/>
          </reference>
          <reference field="5" count="1" selected="0">
            <x v="20"/>
          </reference>
          <reference field="11" count="1" selected="0">
            <x v="168"/>
          </reference>
          <reference field="12" count="1" selected="0">
            <x v="29"/>
          </reference>
          <reference field="21" count="1" selected="0">
            <x v="0"/>
          </reference>
          <reference field="25" count="1">
            <x v="3"/>
          </reference>
        </references>
      </pivotArea>
    </format>
    <format dxfId="1534">
      <pivotArea dataOnly="0" labelOnly="1" outline="0" fieldPosition="0">
        <references count="6">
          <reference field="1" count="1" selected="0">
            <x v="0"/>
          </reference>
          <reference field="5" count="1" selected="0">
            <x v="20"/>
          </reference>
          <reference field="11" count="1" selected="0">
            <x v="178"/>
          </reference>
          <reference field="12" count="1" selected="0">
            <x v="40"/>
          </reference>
          <reference field="21" count="1" selected="0">
            <x v="0"/>
          </reference>
          <reference field="25" count="1">
            <x v="0"/>
          </reference>
        </references>
      </pivotArea>
    </format>
    <format dxfId="1533">
      <pivotArea dataOnly="0" labelOnly="1" outline="0" fieldPosition="0">
        <references count="6">
          <reference field="1" count="1" selected="0">
            <x v="0"/>
          </reference>
          <reference field="5" count="1" selected="0">
            <x v="20"/>
          </reference>
          <reference field="11" count="1" selected="0">
            <x v="193"/>
          </reference>
          <reference field="12" count="1" selected="0">
            <x v="36"/>
          </reference>
          <reference field="21" count="1" selected="0">
            <x v="0"/>
          </reference>
          <reference field="25" count="1">
            <x v="3"/>
          </reference>
        </references>
      </pivotArea>
    </format>
    <format dxfId="1532">
      <pivotArea dataOnly="0" labelOnly="1" outline="0" fieldPosition="0">
        <references count="6">
          <reference field="1" count="1" selected="0">
            <x v="0"/>
          </reference>
          <reference field="5" count="1" selected="0">
            <x v="20"/>
          </reference>
          <reference field="11" count="1" selected="0">
            <x v="201"/>
          </reference>
          <reference field="12" count="1" selected="0">
            <x v="111"/>
          </reference>
          <reference field="21" count="1" selected="0">
            <x v="0"/>
          </reference>
          <reference field="25" count="1">
            <x v="2"/>
          </reference>
        </references>
      </pivotArea>
    </format>
    <format dxfId="1531">
      <pivotArea dataOnly="0" labelOnly="1" outline="0" fieldPosition="0">
        <references count="6">
          <reference field="1" count="1" selected="0">
            <x v="0"/>
          </reference>
          <reference field="5" count="1" selected="0">
            <x v="20"/>
          </reference>
          <reference field="11" count="1" selected="0">
            <x v="228"/>
          </reference>
          <reference field="12" count="1" selected="0">
            <x v="115"/>
          </reference>
          <reference field="21" count="1" selected="0">
            <x v="0"/>
          </reference>
          <reference field="25" count="1">
            <x v="0"/>
          </reference>
        </references>
      </pivotArea>
    </format>
    <format dxfId="1530">
      <pivotArea dataOnly="0" labelOnly="1" outline="0" fieldPosition="0">
        <references count="6">
          <reference field="1" count="1" selected="0">
            <x v="1"/>
          </reference>
          <reference field="5" count="1" selected="0">
            <x v="3"/>
          </reference>
          <reference field="11" count="1" selected="0">
            <x v="148"/>
          </reference>
          <reference field="12" count="1" selected="0">
            <x v="212"/>
          </reference>
          <reference field="21" count="1" selected="0">
            <x v="1"/>
          </reference>
          <reference field="25" count="1">
            <x v="4"/>
          </reference>
        </references>
      </pivotArea>
    </format>
    <format dxfId="1529">
      <pivotArea dataOnly="0" labelOnly="1" outline="0" fieldPosition="0">
        <references count="6">
          <reference field="1" count="1" selected="0">
            <x v="1"/>
          </reference>
          <reference field="5" count="1" selected="0">
            <x v="3"/>
          </reference>
          <reference field="11" count="1" selected="0">
            <x v="232"/>
          </reference>
          <reference field="12" count="1" selected="0">
            <x v="233"/>
          </reference>
          <reference field="21" count="1" selected="0">
            <x v="0"/>
          </reference>
          <reference field="25" count="1">
            <x v="0"/>
          </reference>
        </references>
      </pivotArea>
    </format>
    <format dxfId="1528">
      <pivotArea dataOnly="0" labelOnly="1" outline="0" fieldPosition="0">
        <references count="6">
          <reference field="1" count="1" selected="0">
            <x v="1"/>
          </reference>
          <reference field="5" count="1" selected="0">
            <x v="3"/>
          </reference>
          <reference field="11" count="1" selected="0">
            <x v="247"/>
          </reference>
          <reference field="12" count="1" selected="0">
            <x v="250"/>
          </reference>
          <reference field="21" count="1" selected="0">
            <x v="0"/>
          </reference>
          <reference field="25" count="1">
            <x v="4"/>
          </reference>
        </references>
      </pivotArea>
    </format>
    <format dxfId="1527">
      <pivotArea dataOnly="0" labelOnly="1" outline="0" fieldPosition="0">
        <references count="6">
          <reference field="1" count="1" selected="0">
            <x v="1"/>
          </reference>
          <reference field="5" count="1" selected="0">
            <x v="6"/>
          </reference>
          <reference field="11" count="1" selected="0">
            <x v="51"/>
          </reference>
          <reference field="12" count="1" selected="0">
            <x v="203"/>
          </reference>
          <reference field="21" count="1" selected="0">
            <x v="0"/>
          </reference>
          <reference field="25" count="1">
            <x v="0"/>
          </reference>
        </references>
      </pivotArea>
    </format>
    <format dxfId="1526">
      <pivotArea dataOnly="0" labelOnly="1" outline="0" fieldPosition="0">
        <references count="6">
          <reference field="1" count="1" selected="0">
            <x v="1"/>
          </reference>
          <reference field="5" count="1" selected="0">
            <x v="6"/>
          </reference>
          <reference field="11" count="1" selected="0">
            <x v="53"/>
          </reference>
          <reference field="12" count="1" selected="0">
            <x v="205"/>
          </reference>
          <reference field="21" count="1" selected="0">
            <x v="0"/>
          </reference>
          <reference field="25" count="1">
            <x v="5"/>
          </reference>
        </references>
      </pivotArea>
    </format>
    <format dxfId="1525">
      <pivotArea dataOnly="0" labelOnly="1" outline="0" fieldPosition="0">
        <references count="6">
          <reference field="1" count="1" selected="0">
            <x v="1"/>
          </reference>
          <reference field="5" count="1" selected="0">
            <x v="6"/>
          </reference>
          <reference field="11" count="1" selected="0">
            <x v="116"/>
          </reference>
          <reference field="12" count="1" selected="0">
            <x v="206"/>
          </reference>
          <reference field="21" count="1" selected="0">
            <x v="0"/>
          </reference>
          <reference field="25" count="1">
            <x v="0"/>
          </reference>
        </references>
      </pivotArea>
    </format>
    <format dxfId="1524">
      <pivotArea dataOnly="0" labelOnly="1" outline="0" fieldPosition="0">
        <references count="6">
          <reference field="1" count="1" selected="0">
            <x v="1"/>
          </reference>
          <reference field="5" count="1" selected="0">
            <x v="6"/>
          </reference>
          <reference field="11" count="1" selected="0">
            <x v="221"/>
          </reference>
          <reference field="12" count="1" selected="0">
            <x v="229"/>
          </reference>
          <reference field="21" count="1" selected="0">
            <x v="0"/>
          </reference>
          <reference field="25" count="1">
            <x v="5"/>
          </reference>
        </references>
      </pivotArea>
    </format>
    <format dxfId="1523">
      <pivotArea dataOnly="0" labelOnly="1" outline="0" fieldPosition="0">
        <references count="6">
          <reference field="1" count="1" selected="0">
            <x v="1"/>
          </reference>
          <reference field="5" count="1" selected="0">
            <x v="6"/>
          </reference>
          <reference field="11" count="1" selected="0">
            <x v="239"/>
          </reference>
          <reference field="12" count="1" selected="0">
            <x v="241"/>
          </reference>
          <reference field="21" count="1" selected="0">
            <x v="0"/>
          </reference>
          <reference field="25" count="1">
            <x v="4"/>
          </reference>
        </references>
      </pivotArea>
    </format>
    <format dxfId="1522">
      <pivotArea dataOnly="0" labelOnly="1" outline="0" fieldPosition="0">
        <references count="6">
          <reference field="1" count="1" selected="0">
            <x v="1"/>
          </reference>
          <reference field="5" count="1" selected="0">
            <x v="9"/>
          </reference>
          <reference field="11" count="1" selected="0">
            <x v="95"/>
          </reference>
          <reference field="12" count="1" selected="0">
            <x v="198"/>
          </reference>
          <reference field="21" count="1" selected="0">
            <x v="0"/>
          </reference>
          <reference field="25" count="1">
            <x v="0"/>
          </reference>
        </references>
      </pivotArea>
    </format>
    <format dxfId="1521">
      <pivotArea dataOnly="0" labelOnly="1" outline="0" fieldPosition="0">
        <references count="6">
          <reference field="1" count="1" selected="0">
            <x v="1"/>
          </reference>
          <reference field="5" count="1" selected="0">
            <x v="9"/>
          </reference>
          <reference field="11" count="1" selected="0">
            <x v="96"/>
          </reference>
          <reference field="12" count="1" selected="0">
            <x v="213"/>
          </reference>
          <reference field="21" count="1" selected="0">
            <x v="0"/>
          </reference>
          <reference field="25" count="1">
            <x v="5"/>
          </reference>
        </references>
      </pivotArea>
    </format>
    <format dxfId="1520">
      <pivotArea dataOnly="0" labelOnly="1" outline="0" fieldPosition="0">
        <references count="6">
          <reference field="1" count="1" selected="0">
            <x v="1"/>
          </reference>
          <reference field="5" count="1" selected="0">
            <x v="9"/>
          </reference>
          <reference field="11" count="1" selected="0">
            <x v="246"/>
          </reference>
          <reference field="12" count="1" selected="0">
            <x v="246"/>
          </reference>
          <reference field="21" count="1" selected="0">
            <x v="0"/>
          </reference>
          <reference field="25" count="1">
            <x v="4"/>
          </reference>
        </references>
      </pivotArea>
    </format>
    <format dxfId="1519">
      <pivotArea dataOnly="0" labelOnly="1" outline="0" fieldPosition="0">
        <references count="6">
          <reference field="1" count="1" selected="0">
            <x v="1"/>
          </reference>
          <reference field="5" count="1" selected="0">
            <x v="13"/>
          </reference>
          <reference field="11" count="1" selected="0">
            <x v="39"/>
          </reference>
          <reference field="12" count="1" selected="0">
            <x v="199"/>
          </reference>
          <reference field="21" count="1" selected="0">
            <x v="1"/>
          </reference>
          <reference field="25" count="1">
            <x v="4"/>
          </reference>
        </references>
      </pivotArea>
    </format>
    <format dxfId="1518">
      <pivotArea dataOnly="0" labelOnly="1" outline="0" fieldPosition="0">
        <references count="6">
          <reference field="1" count="1" selected="0">
            <x v="1"/>
          </reference>
          <reference field="5" count="1" selected="0">
            <x v="13"/>
          </reference>
          <reference field="11" count="1" selected="0">
            <x v="214"/>
          </reference>
          <reference field="12" count="1" selected="0">
            <x v="222"/>
          </reference>
          <reference field="21" count="1" selected="0">
            <x v="0"/>
          </reference>
          <reference field="25" count="1">
            <x v="0"/>
          </reference>
        </references>
      </pivotArea>
    </format>
    <format dxfId="1517">
      <pivotArea dataOnly="0" labelOnly="1" outline="0" fieldPosition="0">
        <references count="6">
          <reference field="1" count="1" selected="0">
            <x v="1"/>
          </reference>
          <reference field="5" count="1" selected="0">
            <x v="13"/>
          </reference>
          <reference field="11" count="1" selected="0">
            <x v="217"/>
          </reference>
          <reference field="12" count="1" selected="0">
            <x v="226"/>
          </reference>
          <reference field="21" count="1" selected="0">
            <x v="0"/>
          </reference>
          <reference field="25" count="1">
            <x v="5"/>
          </reference>
        </references>
      </pivotArea>
    </format>
    <format dxfId="1516">
      <pivotArea dataOnly="0" labelOnly="1" outline="0" fieldPosition="0">
        <references count="6">
          <reference field="1" count="1" selected="0">
            <x v="1"/>
          </reference>
          <reference field="5" count="1" selected="0">
            <x v="15"/>
          </reference>
          <reference field="11" count="1" selected="0">
            <x v="130"/>
          </reference>
          <reference field="12" count="1" selected="0">
            <x v="194"/>
          </reference>
          <reference field="21" count="1" selected="0">
            <x v="0"/>
          </reference>
          <reference field="25" count="1">
            <x v="0"/>
          </reference>
        </references>
      </pivotArea>
    </format>
    <format dxfId="1515">
      <pivotArea dataOnly="0" labelOnly="1" outline="0" fieldPosition="0">
        <references count="6">
          <reference field="1" count="1" selected="0">
            <x v="1"/>
          </reference>
          <reference field="5" count="1" selected="0">
            <x v="15"/>
          </reference>
          <reference field="11" count="1" selected="0">
            <x v="132"/>
          </reference>
          <reference field="12" count="1" selected="0">
            <x v="193"/>
          </reference>
          <reference field="21" count="1" selected="0">
            <x v="0"/>
          </reference>
          <reference field="25" count="1">
            <x v="5"/>
          </reference>
        </references>
      </pivotArea>
    </format>
    <format dxfId="1514">
      <pivotArea dataOnly="0" labelOnly="1" outline="0" fieldPosition="0">
        <references count="6">
          <reference field="1" count="1" selected="0">
            <x v="1"/>
          </reference>
          <reference field="5" count="1" selected="0">
            <x v="15"/>
          </reference>
          <reference field="11" count="1" selected="0">
            <x v="215"/>
          </reference>
          <reference field="12" count="1" selected="0">
            <x v="223"/>
          </reference>
          <reference field="21" count="1" selected="0">
            <x v="0"/>
          </reference>
          <reference field="25" count="1">
            <x v="0"/>
          </reference>
        </references>
      </pivotArea>
    </format>
    <format dxfId="1513">
      <pivotArea dataOnly="0" labelOnly="1" outline="0" fieldPosition="0">
        <references count="6">
          <reference field="1" count="1" selected="0">
            <x v="1"/>
          </reference>
          <reference field="5" count="1" selected="0">
            <x v="15"/>
          </reference>
          <reference field="11" count="1" selected="0">
            <x v="242"/>
          </reference>
          <reference field="12" count="1" selected="0">
            <x v="247"/>
          </reference>
          <reference field="21" count="1" selected="0">
            <x v="0"/>
          </reference>
          <reference field="25" count="1">
            <x v="4"/>
          </reference>
        </references>
      </pivotArea>
    </format>
    <format dxfId="1512">
      <pivotArea dataOnly="0" labelOnly="1" outline="0" fieldPosition="0">
        <references count="6">
          <reference field="1" count="1" selected="0">
            <x v="1"/>
          </reference>
          <reference field="5" count="1" selected="0">
            <x v="16"/>
          </reference>
          <reference field="11" count="1" selected="0">
            <x v="142"/>
          </reference>
          <reference field="12" count="1" selected="0">
            <x v="202"/>
          </reference>
          <reference field="21" count="1" selected="0">
            <x v="0"/>
          </reference>
          <reference field="25" count="1">
            <x v="0"/>
          </reference>
        </references>
      </pivotArea>
    </format>
    <format dxfId="1511">
      <pivotArea dataOnly="0" labelOnly="1" outline="0" fieldPosition="0">
        <references count="6">
          <reference field="1" count="1" selected="0">
            <x v="1"/>
          </reference>
          <reference field="5" count="1" selected="0">
            <x v="16"/>
          </reference>
          <reference field="11" count="1" selected="0">
            <x v="143"/>
          </reference>
          <reference field="12" count="1" selected="0">
            <x v="214"/>
          </reference>
          <reference field="21" count="1" selected="0">
            <x v="1"/>
          </reference>
          <reference field="25" count="1">
            <x v="4"/>
          </reference>
        </references>
      </pivotArea>
    </format>
    <format dxfId="1510">
      <pivotArea dataOnly="0" labelOnly="1" outline="0" fieldPosition="0">
        <references count="7">
          <reference field="1" count="1" selected="0">
            <x v="0"/>
          </reference>
          <reference field="5" count="1" selected="0">
            <x v="0"/>
          </reference>
          <reference field="11" count="1" selected="0">
            <x v="3"/>
          </reference>
          <reference field="12" count="1" selected="0">
            <x v="49"/>
          </reference>
          <reference field="19" count="1">
            <x v="0"/>
          </reference>
          <reference field="21" count="1" selected="0">
            <x v="0"/>
          </reference>
          <reference field="25" count="1" selected="0">
            <x v="1"/>
          </reference>
        </references>
      </pivotArea>
    </format>
    <format dxfId="1509">
      <pivotArea dataOnly="0" labelOnly="1" outline="0" fieldPosition="0">
        <references count="7">
          <reference field="1" count="1" selected="0">
            <x v="0"/>
          </reference>
          <reference field="5" count="1" selected="0">
            <x v="0"/>
          </reference>
          <reference field="11" count="1" selected="0">
            <x v="7"/>
          </reference>
          <reference field="12" count="1" selected="0">
            <x v="164"/>
          </reference>
          <reference field="19" count="1">
            <x v="0"/>
          </reference>
          <reference field="21" count="1" selected="0">
            <x v="0"/>
          </reference>
          <reference field="25" count="1" selected="0">
            <x v="0"/>
          </reference>
        </references>
      </pivotArea>
    </format>
    <format dxfId="1508">
      <pivotArea dataOnly="0" labelOnly="1" outline="0" fieldPosition="0">
        <references count="7">
          <reference field="1" count="1" selected="0">
            <x v="0"/>
          </reference>
          <reference field="5" count="1" selected="0">
            <x v="0"/>
          </reference>
          <reference field="11" count="1" selected="0">
            <x v="38"/>
          </reference>
          <reference field="12" count="1" selected="0">
            <x v="137"/>
          </reference>
          <reference field="19" count="1">
            <x v="0"/>
          </reference>
          <reference field="21" count="1" selected="0">
            <x v="1"/>
          </reference>
          <reference field="25" count="1" selected="0">
            <x v="4"/>
          </reference>
        </references>
      </pivotArea>
    </format>
    <format dxfId="1507">
      <pivotArea dataOnly="0" labelOnly="1" outline="0" fieldPosition="0">
        <references count="7">
          <reference field="1" count="1" selected="0">
            <x v="0"/>
          </reference>
          <reference field="5" count="1" selected="0">
            <x v="0"/>
          </reference>
          <reference field="11" count="1" selected="0">
            <x v="43"/>
          </reference>
          <reference field="12" count="1" selected="0">
            <x v="51"/>
          </reference>
          <reference field="19" count="1">
            <x v="0"/>
          </reference>
          <reference field="21" count="1" selected="0">
            <x v="0"/>
          </reference>
          <reference field="25" count="1" selected="0">
            <x v="0"/>
          </reference>
        </references>
      </pivotArea>
    </format>
    <format dxfId="1506">
      <pivotArea dataOnly="0" labelOnly="1" outline="0" fieldPosition="0">
        <references count="7">
          <reference field="1" count="1" selected="0">
            <x v="0"/>
          </reference>
          <reference field="5" count="1" selected="0">
            <x v="0"/>
          </reference>
          <reference field="11" count="1" selected="0">
            <x v="68"/>
          </reference>
          <reference field="12" count="1" selected="0">
            <x v="48"/>
          </reference>
          <reference field="19" count="1">
            <x v="0"/>
          </reference>
          <reference field="21" count="1" selected="0">
            <x v="0"/>
          </reference>
          <reference field="25" count="1" selected="0">
            <x v="3"/>
          </reference>
        </references>
      </pivotArea>
    </format>
    <format dxfId="1505">
      <pivotArea dataOnly="0" labelOnly="1" outline="0" fieldPosition="0">
        <references count="7">
          <reference field="1" count="1" selected="0">
            <x v="0"/>
          </reference>
          <reference field="5" count="1" selected="0">
            <x v="0"/>
          </reference>
          <reference field="11" count="1" selected="0">
            <x v="126"/>
          </reference>
          <reference field="12" count="1" selected="0">
            <x v="50"/>
          </reference>
          <reference field="19" count="1">
            <x v="0"/>
          </reference>
          <reference field="21" count="1" selected="0">
            <x v="0"/>
          </reference>
          <reference field="25" count="1" selected="0">
            <x v="3"/>
          </reference>
        </references>
      </pivotArea>
    </format>
    <format dxfId="1504">
      <pivotArea dataOnly="0" labelOnly="1" outline="0" fieldPosition="0">
        <references count="7">
          <reference field="1" count="1" selected="0">
            <x v="0"/>
          </reference>
          <reference field="5" count="1" selected="0">
            <x v="0"/>
          </reference>
          <reference field="11" count="1" selected="0">
            <x v="145"/>
          </reference>
          <reference field="12" count="1" selected="0">
            <x v="53"/>
          </reference>
          <reference field="19" count="1">
            <x v="0"/>
          </reference>
          <reference field="21" count="1" selected="0">
            <x v="0"/>
          </reference>
          <reference field="25" count="1" selected="0">
            <x v="1"/>
          </reference>
        </references>
      </pivotArea>
    </format>
    <format dxfId="1503">
      <pivotArea dataOnly="0" labelOnly="1" outline="0" fieldPosition="0">
        <references count="7">
          <reference field="1" count="1" selected="0">
            <x v="0"/>
          </reference>
          <reference field="5" count="1" selected="0">
            <x v="0"/>
          </reference>
          <reference field="11" count="1" selected="0">
            <x v="163"/>
          </reference>
          <reference field="12" count="1" selected="0">
            <x v="163"/>
          </reference>
          <reference field="19" count="1">
            <x v="0"/>
          </reference>
          <reference field="21" count="1" selected="0">
            <x v="0"/>
          </reference>
          <reference field="25" count="1" selected="0">
            <x v="0"/>
          </reference>
        </references>
      </pivotArea>
    </format>
    <format dxfId="1502">
      <pivotArea dataOnly="0" labelOnly="1" outline="0" fieldPosition="0">
        <references count="7">
          <reference field="1" count="1" selected="0">
            <x v="0"/>
          </reference>
          <reference field="5" count="1" selected="0">
            <x v="0"/>
          </reference>
          <reference field="11" count="1" selected="0">
            <x v="171"/>
          </reference>
          <reference field="12" count="1" selected="0">
            <x v="46"/>
          </reference>
          <reference field="19" count="1">
            <x v="0"/>
          </reference>
          <reference field="21" count="1" selected="0">
            <x v="0"/>
          </reference>
          <reference field="25" count="1" selected="0">
            <x v="0"/>
          </reference>
        </references>
      </pivotArea>
    </format>
    <format dxfId="1501">
      <pivotArea dataOnly="0" labelOnly="1" outline="0" fieldPosition="0">
        <references count="7">
          <reference field="1" count="1" selected="0">
            <x v="0"/>
          </reference>
          <reference field="5" count="1" selected="0">
            <x v="0"/>
          </reference>
          <reference field="11" count="1" selected="0">
            <x v="186"/>
          </reference>
          <reference field="12" count="1" selected="0">
            <x v="54"/>
          </reference>
          <reference field="19" count="1">
            <x v="0"/>
          </reference>
          <reference field="21" count="1" selected="0">
            <x v="0"/>
          </reference>
          <reference field="25" count="1" selected="0">
            <x v="3"/>
          </reference>
        </references>
      </pivotArea>
    </format>
    <format dxfId="1500">
      <pivotArea dataOnly="0" labelOnly="1" outline="0" fieldPosition="0">
        <references count="7">
          <reference field="1" count="1" selected="0">
            <x v="0"/>
          </reference>
          <reference field="5" count="1" selected="0">
            <x v="0"/>
          </reference>
          <reference field="11" count="1" selected="0">
            <x v="205"/>
          </reference>
          <reference field="12" count="1" selected="0">
            <x v="52"/>
          </reference>
          <reference field="19" count="1">
            <x v="0"/>
          </reference>
          <reference field="21" count="1" selected="0">
            <x v="0"/>
          </reference>
          <reference field="25" count="1" selected="0">
            <x v="3"/>
          </reference>
        </references>
      </pivotArea>
    </format>
    <format dxfId="1499">
      <pivotArea dataOnly="0" labelOnly="1" outline="0" fieldPosition="0">
        <references count="7">
          <reference field="1" count="1" selected="0">
            <x v="0"/>
          </reference>
          <reference field="5" count="1" selected="0">
            <x v="1"/>
          </reference>
          <reference field="11" count="1" selected="0">
            <x v="21"/>
          </reference>
          <reference field="12" count="1" selected="0">
            <x v="41"/>
          </reference>
          <reference field="19" count="1">
            <x v="0"/>
          </reference>
          <reference field="21" count="1" selected="0">
            <x v="0"/>
          </reference>
          <reference field="25" count="1" selected="0">
            <x v="3"/>
          </reference>
        </references>
      </pivotArea>
    </format>
    <format dxfId="1498">
      <pivotArea dataOnly="0" labelOnly="1" outline="0" fieldPosition="0">
        <references count="7">
          <reference field="1" count="1" selected="0">
            <x v="0"/>
          </reference>
          <reference field="5" count="1" selected="0">
            <x v="1"/>
          </reference>
          <reference field="11" count="1" selected="0">
            <x v="41"/>
          </reference>
          <reference field="12" count="1" selected="0">
            <x v="42"/>
          </reference>
          <reference field="19" count="1">
            <x v="1"/>
          </reference>
          <reference field="21" count="1" selected="0">
            <x v="0"/>
          </reference>
          <reference field="25" count="1" selected="0">
            <x v="0"/>
          </reference>
        </references>
      </pivotArea>
    </format>
    <format dxfId="1497">
      <pivotArea dataOnly="0" labelOnly="1" outline="0" fieldPosition="0">
        <references count="7">
          <reference field="1" count="1" selected="0">
            <x v="0"/>
          </reference>
          <reference field="5" count="1" selected="0">
            <x v="1"/>
          </reference>
          <reference field="11" count="1" selected="0">
            <x v="59"/>
          </reference>
          <reference field="12" count="1" selected="0">
            <x v="44"/>
          </reference>
          <reference field="19" count="1">
            <x v="0"/>
          </reference>
          <reference field="21" count="1" selected="0">
            <x v="1"/>
          </reference>
          <reference field="25" count="1" selected="0">
            <x v="4"/>
          </reference>
        </references>
      </pivotArea>
    </format>
    <format dxfId="1496">
      <pivotArea dataOnly="0" labelOnly="1" outline="0" fieldPosition="0">
        <references count="7">
          <reference field="1" count="1" selected="0">
            <x v="0"/>
          </reference>
          <reference field="5" count="1" selected="0">
            <x v="1"/>
          </reference>
          <reference field="11" count="1" selected="0">
            <x v="65"/>
          </reference>
          <reference field="12" count="1" selected="0">
            <x v="165"/>
          </reference>
          <reference field="19" count="1">
            <x v="0"/>
          </reference>
          <reference field="21" count="1" selected="0">
            <x v="0"/>
          </reference>
          <reference field="25" count="1" selected="0">
            <x v="3"/>
          </reference>
        </references>
      </pivotArea>
    </format>
    <format dxfId="1495">
      <pivotArea dataOnly="0" labelOnly="1" outline="0" fieldPosition="0">
        <references count="7">
          <reference field="1" count="1" selected="0">
            <x v="0"/>
          </reference>
          <reference field="5" count="1" selected="0">
            <x v="1"/>
          </reference>
          <reference field="11" count="1" selected="0">
            <x v="161"/>
          </reference>
          <reference field="12" count="1" selected="0">
            <x v="178"/>
          </reference>
          <reference field="19" count="1">
            <x v="0"/>
          </reference>
          <reference field="21" count="1" selected="0">
            <x v="0"/>
          </reference>
          <reference field="25" count="1" selected="0">
            <x v="2"/>
          </reference>
        </references>
      </pivotArea>
    </format>
    <format dxfId="1494">
      <pivotArea dataOnly="0" labelOnly="1" outline="0" fieldPosition="0">
        <references count="7">
          <reference field="1" count="1" selected="0">
            <x v="0"/>
          </reference>
          <reference field="5" count="1" selected="0">
            <x v="1"/>
          </reference>
          <reference field="11" count="1" selected="0">
            <x v="210"/>
          </reference>
          <reference field="12" count="1" selected="0">
            <x v="219"/>
          </reference>
          <reference field="19" count="1">
            <x v="0"/>
          </reference>
          <reference field="21" count="1" selected="0">
            <x v="0"/>
          </reference>
          <reference field="25" count="1" selected="0">
            <x v="2"/>
          </reference>
        </references>
      </pivotArea>
    </format>
    <format dxfId="1493">
      <pivotArea dataOnly="0" labelOnly="1" outline="0" fieldPosition="0">
        <references count="7">
          <reference field="1" count="1" selected="0">
            <x v="0"/>
          </reference>
          <reference field="5" count="1" selected="0">
            <x v="2"/>
          </reference>
          <reference field="11" count="1" selected="0">
            <x v="1"/>
          </reference>
          <reference field="12" count="1" selected="0">
            <x v="150"/>
          </reference>
          <reference field="19" count="1">
            <x v="0"/>
          </reference>
          <reference field="21" count="1" selected="0">
            <x v="0"/>
          </reference>
          <reference field="25" count="1" selected="0">
            <x v="0"/>
          </reference>
        </references>
      </pivotArea>
    </format>
    <format dxfId="1492">
      <pivotArea dataOnly="0" labelOnly="1" outline="0" fieldPosition="0">
        <references count="7">
          <reference field="1" count="1" selected="0">
            <x v="0"/>
          </reference>
          <reference field="5" count="1" selected="0">
            <x v="2"/>
          </reference>
          <reference field="11" count="1" selected="0">
            <x v="2"/>
          </reference>
          <reference field="12" count="1" selected="0">
            <x v="139"/>
          </reference>
          <reference field="19" count="1">
            <x v="0"/>
          </reference>
          <reference field="21" count="1" selected="0">
            <x v="0"/>
          </reference>
          <reference field="25" count="1" selected="0">
            <x v="2"/>
          </reference>
        </references>
      </pivotArea>
    </format>
    <format dxfId="1491">
      <pivotArea dataOnly="0" labelOnly="1" outline="0" fieldPosition="0">
        <references count="7">
          <reference field="1" count="1" selected="0">
            <x v="0"/>
          </reference>
          <reference field="5" count="1" selected="0">
            <x v="2"/>
          </reference>
          <reference field="11" count="1" selected="0">
            <x v="4"/>
          </reference>
          <reference field="12" count="1" selected="0">
            <x v="147"/>
          </reference>
          <reference field="19" count="1">
            <x v="0"/>
          </reference>
          <reference field="21" count="1" selected="0">
            <x v="0"/>
          </reference>
          <reference field="25" count="1" selected="0">
            <x v="3"/>
          </reference>
        </references>
      </pivotArea>
    </format>
    <format dxfId="1490">
      <pivotArea dataOnly="0" labelOnly="1" outline="0" fieldPosition="0">
        <references count="7">
          <reference field="1" count="1" selected="0">
            <x v="0"/>
          </reference>
          <reference field="5" count="1" selected="0">
            <x v="2"/>
          </reference>
          <reference field="11" count="1" selected="0">
            <x v="5"/>
          </reference>
          <reference field="12" count="1" selected="0">
            <x v="160"/>
          </reference>
          <reference field="19" count="1">
            <x v="0"/>
          </reference>
          <reference field="21" count="1" selected="0">
            <x v="0"/>
          </reference>
          <reference field="25" count="1" selected="0">
            <x v="3"/>
          </reference>
        </references>
      </pivotArea>
    </format>
    <format dxfId="1489">
      <pivotArea dataOnly="0" labelOnly="1" outline="0" fieldPosition="0">
        <references count="7">
          <reference field="1" count="1" selected="0">
            <x v="0"/>
          </reference>
          <reference field="5" count="1" selected="0">
            <x v="2"/>
          </reference>
          <reference field="11" count="1" selected="0">
            <x v="13"/>
          </reference>
          <reference field="12" count="1" selected="0">
            <x v="140"/>
          </reference>
          <reference field="19" count="1">
            <x v="0"/>
          </reference>
          <reference field="21" count="1" selected="0">
            <x v="0"/>
          </reference>
          <reference field="25" count="1" selected="0">
            <x v="0"/>
          </reference>
        </references>
      </pivotArea>
    </format>
    <format dxfId="1488">
      <pivotArea dataOnly="0" labelOnly="1" outline="0" fieldPosition="0">
        <references count="7">
          <reference field="1" count="1" selected="0">
            <x v="0"/>
          </reference>
          <reference field="5" count="1" selected="0">
            <x v="2"/>
          </reference>
          <reference field="11" count="1" selected="0">
            <x v="19"/>
          </reference>
          <reference field="12" count="1" selected="0">
            <x v="105"/>
          </reference>
          <reference field="19" count="1">
            <x v="0"/>
          </reference>
          <reference field="21" count="1" selected="0">
            <x v="0"/>
          </reference>
          <reference field="25" count="1" selected="0">
            <x v="3"/>
          </reference>
        </references>
      </pivotArea>
    </format>
    <format dxfId="1487">
      <pivotArea dataOnly="0" labelOnly="1" outline="0" fieldPosition="0">
        <references count="7">
          <reference field="1" count="1" selected="0">
            <x v="0"/>
          </reference>
          <reference field="5" count="1" selected="0">
            <x v="2"/>
          </reference>
          <reference field="11" count="1" selected="0">
            <x v="23"/>
          </reference>
          <reference field="12" count="1" selected="0">
            <x v="145"/>
          </reference>
          <reference field="19" count="1">
            <x v="0"/>
          </reference>
          <reference field="21" count="1" selected="0">
            <x v="0"/>
          </reference>
          <reference field="25" count="1" selected="0">
            <x v="3"/>
          </reference>
        </references>
      </pivotArea>
    </format>
    <format dxfId="1486">
      <pivotArea dataOnly="0" labelOnly="1" outline="0" fieldPosition="0">
        <references count="7">
          <reference field="1" count="1" selected="0">
            <x v="0"/>
          </reference>
          <reference field="5" count="1" selected="0">
            <x v="2"/>
          </reference>
          <reference field="11" count="1" selected="0">
            <x v="35"/>
          </reference>
          <reference field="12" count="1" selected="0">
            <x v="131"/>
          </reference>
          <reference field="19" count="1">
            <x v="0"/>
          </reference>
          <reference field="21" count="1" selected="0">
            <x v="0"/>
          </reference>
          <reference field="25" count="1" selected="0">
            <x v="0"/>
          </reference>
        </references>
      </pivotArea>
    </format>
    <format dxfId="1485">
      <pivotArea dataOnly="0" labelOnly="1" outline="0" fieldPosition="0">
        <references count="7">
          <reference field="1" count="1" selected="0">
            <x v="0"/>
          </reference>
          <reference field="5" count="1" selected="0">
            <x v="2"/>
          </reference>
          <reference field="11" count="1" selected="0">
            <x v="36"/>
          </reference>
          <reference field="12" count="1" selected="0">
            <x v="161"/>
          </reference>
          <reference field="19" count="1">
            <x v="0"/>
          </reference>
          <reference field="21" count="1" selected="0">
            <x v="0"/>
          </reference>
          <reference field="25" count="1" selected="0">
            <x v="3"/>
          </reference>
        </references>
      </pivotArea>
    </format>
    <format dxfId="1484">
      <pivotArea dataOnly="0" labelOnly="1" outline="0" fieldPosition="0">
        <references count="7">
          <reference field="1" count="1" selected="0">
            <x v="0"/>
          </reference>
          <reference field="5" count="1" selected="0">
            <x v="2"/>
          </reference>
          <reference field="11" count="1" selected="0">
            <x v="66"/>
          </reference>
          <reference field="12" count="1" selected="0">
            <x v="152"/>
          </reference>
          <reference field="19" count="1">
            <x v="0"/>
          </reference>
          <reference field="21" count="1" selected="0">
            <x v="0"/>
          </reference>
          <reference field="25" count="1" selected="0">
            <x v="3"/>
          </reference>
        </references>
      </pivotArea>
    </format>
    <format dxfId="1483">
      <pivotArea dataOnly="0" labelOnly="1" outline="0" fieldPosition="0">
        <references count="7">
          <reference field="1" count="1" selected="0">
            <x v="0"/>
          </reference>
          <reference field="5" count="1" selected="0">
            <x v="2"/>
          </reference>
          <reference field="11" count="1" selected="0">
            <x v="67"/>
          </reference>
          <reference field="12" count="1" selected="0">
            <x v="138"/>
          </reference>
          <reference field="19" count="1">
            <x v="0"/>
          </reference>
          <reference field="21" count="1" selected="0">
            <x v="0"/>
          </reference>
          <reference field="25" count="1" selected="0">
            <x v="3"/>
          </reference>
        </references>
      </pivotArea>
    </format>
    <format dxfId="1482">
      <pivotArea dataOnly="0" labelOnly="1" outline="0" fieldPosition="0">
        <references count="7">
          <reference field="1" count="1" selected="0">
            <x v="0"/>
          </reference>
          <reference field="5" count="1" selected="0">
            <x v="2"/>
          </reference>
          <reference field="11" count="1" selected="0">
            <x v="113"/>
          </reference>
          <reference field="12" count="1" selected="0">
            <x v="87"/>
          </reference>
          <reference field="19" count="1">
            <x v="0"/>
          </reference>
          <reference field="21" count="1" selected="0">
            <x v="0"/>
          </reference>
          <reference field="25" count="1" selected="0">
            <x v="3"/>
          </reference>
        </references>
      </pivotArea>
    </format>
    <format dxfId="1481">
      <pivotArea dataOnly="0" labelOnly="1" outline="0" fieldPosition="0">
        <references count="7">
          <reference field="1" count="1" selected="0">
            <x v="0"/>
          </reference>
          <reference field="5" count="1" selected="0">
            <x v="2"/>
          </reference>
          <reference field="11" count="1" selected="0">
            <x v="141"/>
          </reference>
          <reference field="12" count="1" selected="0">
            <x v="162"/>
          </reference>
          <reference field="19" count="1">
            <x v="0"/>
          </reference>
          <reference field="21" count="1" selected="0">
            <x v="0"/>
          </reference>
          <reference field="25" count="1" selected="0">
            <x v="3"/>
          </reference>
        </references>
      </pivotArea>
    </format>
    <format dxfId="1480">
      <pivotArea dataOnly="0" labelOnly="1" outline="0" fieldPosition="0">
        <references count="7">
          <reference field="1" count="1" selected="0">
            <x v="0"/>
          </reference>
          <reference field="5" count="1" selected="0">
            <x v="2"/>
          </reference>
          <reference field="11" count="1" selected="0">
            <x v="146"/>
          </reference>
          <reference field="12" count="1" selected="0">
            <x v="99"/>
          </reference>
          <reference field="19" count="1">
            <x v="0"/>
          </reference>
          <reference field="21" count="1" selected="0">
            <x v="0"/>
          </reference>
          <reference field="25" count="1" selected="0">
            <x v="2"/>
          </reference>
        </references>
      </pivotArea>
    </format>
    <format dxfId="1479">
      <pivotArea dataOnly="0" labelOnly="1" outline="0" fieldPosition="0">
        <references count="7">
          <reference field="1" count="1" selected="0">
            <x v="0"/>
          </reference>
          <reference field="5" count="1" selected="0">
            <x v="2"/>
          </reference>
          <reference field="11" count="1" selected="0">
            <x v="170"/>
          </reference>
          <reference field="12" count="1" selected="0">
            <x v="153"/>
          </reference>
          <reference field="19" count="1">
            <x v="0"/>
          </reference>
          <reference field="21" count="1" selected="0">
            <x v="0"/>
          </reference>
          <reference field="25" count="1" selected="0">
            <x v="3"/>
          </reference>
        </references>
      </pivotArea>
    </format>
    <format dxfId="1478">
      <pivotArea dataOnly="0" labelOnly="1" outline="0" fieldPosition="0">
        <references count="7">
          <reference field="1" count="1" selected="0">
            <x v="0"/>
          </reference>
          <reference field="5" count="1" selected="0">
            <x v="2"/>
          </reference>
          <reference field="11" count="1" selected="0">
            <x v="173"/>
          </reference>
          <reference field="12" count="1" selected="0">
            <x v="154"/>
          </reference>
          <reference field="19" count="1">
            <x v="0"/>
          </reference>
          <reference field="21" count="1" selected="0">
            <x v="0"/>
          </reference>
          <reference field="25" count="1" selected="0">
            <x v="0"/>
          </reference>
        </references>
      </pivotArea>
    </format>
    <format dxfId="1477">
      <pivotArea dataOnly="0" labelOnly="1" outline="0" fieldPosition="0">
        <references count="7">
          <reference field="1" count="1" selected="0">
            <x v="0"/>
          </reference>
          <reference field="5" count="1" selected="0">
            <x v="2"/>
          </reference>
          <reference field="11" count="1" selected="0">
            <x v="200"/>
          </reference>
          <reference field="12" count="1" selected="0">
            <x v="155"/>
          </reference>
          <reference field="19" count="1">
            <x v="0"/>
          </reference>
          <reference field="21" count="1" selected="0">
            <x v="0"/>
          </reference>
          <reference field="25" count="1" selected="0">
            <x v="0"/>
          </reference>
        </references>
      </pivotArea>
    </format>
    <format dxfId="1476">
      <pivotArea dataOnly="0" labelOnly="1" outline="0" fieldPosition="0">
        <references count="7">
          <reference field="1" count="1" selected="0">
            <x v="0"/>
          </reference>
          <reference field="5" count="1" selected="0">
            <x v="2"/>
          </reference>
          <reference field="11" count="1" selected="0">
            <x v="206"/>
          </reference>
          <reference field="12" count="1" selected="0">
            <x v="101"/>
          </reference>
          <reference field="19" count="1">
            <x v="0"/>
          </reference>
          <reference field="21" count="1" selected="0">
            <x v="0"/>
          </reference>
          <reference field="25" count="1" selected="0">
            <x v="0"/>
          </reference>
        </references>
      </pivotArea>
    </format>
    <format dxfId="1475">
      <pivotArea dataOnly="0" labelOnly="1" outline="0" fieldPosition="0">
        <references count="7">
          <reference field="1" count="1" selected="0">
            <x v="0"/>
          </reference>
          <reference field="5" count="1" selected="0">
            <x v="2"/>
          </reference>
          <reference field="11" count="1" selected="0">
            <x v="218"/>
          </reference>
          <reference field="12" count="1" selected="0">
            <x v="227"/>
          </reference>
          <reference field="19" count="1">
            <x v="0"/>
          </reference>
          <reference field="21" count="1" selected="0">
            <x v="0"/>
          </reference>
          <reference field="25" count="1" selected="0">
            <x v="0"/>
          </reference>
        </references>
      </pivotArea>
    </format>
    <format dxfId="1474">
      <pivotArea dataOnly="0" labelOnly="1" outline="0" fieldPosition="0">
        <references count="7">
          <reference field="1" count="1" selected="0">
            <x v="0"/>
          </reference>
          <reference field="5" count="1" selected="0">
            <x v="2"/>
          </reference>
          <reference field="11" count="1" selected="0">
            <x v="222"/>
          </reference>
          <reference field="12" count="1" selected="0">
            <x v="230"/>
          </reference>
          <reference field="19" count="1">
            <x v="0"/>
          </reference>
          <reference field="21" count="1" selected="0">
            <x v="0"/>
          </reference>
          <reference field="25" count="1" selected="0">
            <x v="0"/>
          </reference>
        </references>
      </pivotArea>
    </format>
    <format dxfId="1473">
      <pivotArea dataOnly="0" labelOnly="1" outline="0" fieldPosition="0">
        <references count="7">
          <reference field="1" count="1" selected="0">
            <x v="0"/>
          </reference>
          <reference field="5" count="1" selected="0">
            <x v="2"/>
          </reference>
          <reference field="11" count="1" selected="0">
            <x v="240"/>
          </reference>
          <reference field="12" count="1" selected="0">
            <x v="242"/>
          </reference>
          <reference field="19" count="1">
            <x v="0"/>
          </reference>
          <reference field="21" count="1" selected="0">
            <x v="0"/>
          </reference>
          <reference field="25" count="1" selected="0">
            <x v="4"/>
          </reference>
        </references>
      </pivotArea>
    </format>
    <format dxfId="1472">
      <pivotArea dataOnly="0" labelOnly="1" outline="0" fieldPosition="0">
        <references count="7">
          <reference field="1" count="1" selected="0">
            <x v="0"/>
          </reference>
          <reference field="5" count="1" selected="0">
            <x v="2"/>
          </reference>
          <reference field="11" count="1" selected="0">
            <x v="249"/>
          </reference>
          <reference field="12" count="1" selected="0">
            <x v="252"/>
          </reference>
          <reference field="19" count="1">
            <x v="0"/>
          </reference>
          <reference field="21" count="1" selected="0">
            <x v="0"/>
          </reference>
          <reference field="25" count="1" selected="0">
            <x v="4"/>
          </reference>
        </references>
      </pivotArea>
    </format>
    <format dxfId="1471">
      <pivotArea dataOnly="0" labelOnly="1" outline="0" fieldPosition="0">
        <references count="7">
          <reference field="1" count="1" selected="0">
            <x v="0"/>
          </reference>
          <reference field="5" count="1" selected="0">
            <x v="2"/>
          </reference>
          <reference field="11" count="1" selected="0">
            <x v="250"/>
          </reference>
          <reference field="12" count="1" selected="0">
            <x v="253"/>
          </reference>
          <reference field="19" count="1">
            <x v="0"/>
          </reference>
          <reference field="21" count="1" selected="0">
            <x v="0"/>
          </reference>
          <reference field="25" count="1" selected="0">
            <x v="4"/>
          </reference>
        </references>
      </pivotArea>
    </format>
    <format dxfId="1470">
      <pivotArea dataOnly="0" labelOnly="1" outline="0" fieldPosition="0">
        <references count="7">
          <reference field="1" count="1" selected="0">
            <x v="0"/>
          </reference>
          <reference field="5" count="1" selected="0">
            <x v="2"/>
          </reference>
          <reference field="11" count="1" selected="0">
            <x v="251"/>
          </reference>
          <reference field="12" count="1" selected="0">
            <x v="254"/>
          </reference>
          <reference field="19" count="1">
            <x v="0"/>
          </reference>
          <reference field="21" count="1" selected="0">
            <x v="0"/>
          </reference>
          <reference field="25" count="1" selected="0">
            <x v="4"/>
          </reference>
        </references>
      </pivotArea>
    </format>
    <format dxfId="1469">
      <pivotArea dataOnly="0" labelOnly="1" outline="0" fieldPosition="0">
        <references count="7">
          <reference field="1" count="1" selected="0">
            <x v="0"/>
          </reference>
          <reference field="5" count="1" selected="0">
            <x v="2"/>
          </reference>
          <reference field="11" count="1" selected="0">
            <x v="252"/>
          </reference>
          <reference field="12" count="1" selected="0">
            <x v="255"/>
          </reference>
          <reference field="19" count="1">
            <x v="0"/>
          </reference>
          <reference field="21" count="1" selected="0">
            <x v="0"/>
          </reference>
          <reference field="25" count="1" selected="0">
            <x v="4"/>
          </reference>
        </references>
      </pivotArea>
    </format>
    <format dxfId="1468">
      <pivotArea dataOnly="0" labelOnly="1" outline="0" fieldPosition="0">
        <references count="7">
          <reference field="1" count="1" selected="0">
            <x v="0"/>
          </reference>
          <reference field="5" count="1" selected="0">
            <x v="2"/>
          </reference>
          <reference field="11" count="1" selected="0">
            <x v="253"/>
          </reference>
          <reference field="12" count="1" selected="0">
            <x v="256"/>
          </reference>
          <reference field="19" count="1">
            <x v="0"/>
          </reference>
          <reference field="21" count="1" selected="0">
            <x v="0"/>
          </reference>
          <reference field="25" count="1" selected="0">
            <x v="4"/>
          </reference>
        </references>
      </pivotArea>
    </format>
    <format dxfId="1467">
      <pivotArea dataOnly="0" labelOnly="1" outline="0" fieldPosition="0">
        <references count="7">
          <reference field="1" count="1" selected="0">
            <x v="0"/>
          </reference>
          <reference field="5" count="1" selected="0">
            <x v="5"/>
          </reference>
          <reference field="11" count="1" selected="0">
            <x v="56"/>
          </reference>
          <reference field="12" count="1" selected="0">
            <x v="73"/>
          </reference>
          <reference field="19" count="1">
            <x v="0"/>
          </reference>
          <reference field="21" count="1" selected="0">
            <x v="0"/>
          </reference>
          <reference field="25" count="1" selected="0">
            <x v="4"/>
          </reference>
        </references>
      </pivotArea>
    </format>
    <format dxfId="1466">
      <pivotArea dataOnly="0" labelOnly="1" outline="0" fieldPosition="0">
        <references count="7">
          <reference field="1" count="1" selected="0">
            <x v="0"/>
          </reference>
          <reference field="5" count="1" selected="0">
            <x v="8"/>
          </reference>
          <reference field="11" count="1" selected="0">
            <x v="18"/>
          </reference>
          <reference field="12" count="1" selected="0">
            <x v="121"/>
          </reference>
          <reference field="19" count="1">
            <x v="1"/>
          </reference>
          <reference field="21" count="1" selected="0">
            <x v="0"/>
          </reference>
          <reference field="25" count="1" selected="0">
            <x v="1"/>
          </reference>
        </references>
      </pivotArea>
    </format>
    <format dxfId="1465">
      <pivotArea dataOnly="0" labelOnly="1" outline="0" fieldPosition="0">
        <references count="7">
          <reference field="1" count="1" selected="0">
            <x v="0"/>
          </reference>
          <reference field="5" count="1" selected="0">
            <x v="8"/>
          </reference>
          <reference field="11" count="1" selected="0">
            <x v="38"/>
          </reference>
          <reference field="12" count="1" selected="0">
            <x v="166"/>
          </reference>
          <reference field="19" count="1">
            <x v="0"/>
          </reference>
          <reference field="21" count="1" selected="0">
            <x v="1"/>
          </reference>
          <reference field="25" count="1" selected="0">
            <x v="4"/>
          </reference>
        </references>
      </pivotArea>
    </format>
    <format dxfId="1464">
      <pivotArea dataOnly="0" labelOnly="1" outline="0" fieldPosition="0">
        <references count="7">
          <reference field="1" count="1" selected="0">
            <x v="0"/>
          </reference>
          <reference field="5" count="1" selected="0">
            <x v="8"/>
          </reference>
          <reference field="11" count="1" selected="0">
            <x v="60"/>
          </reference>
          <reference field="12" count="1" selected="0">
            <x v="120"/>
          </reference>
          <reference field="19" count="1">
            <x v="1"/>
          </reference>
          <reference field="21" count="1" selected="0">
            <x v="0"/>
          </reference>
          <reference field="25" count="1" selected="0">
            <x v="1"/>
          </reference>
        </references>
      </pivotArea>
    </format>
    <format dxfId="1463">
      <pivotArea dataOnly="0" labelOnly="1" outline="0" fieldPosition="0">
        <references count="7">
          <reference field="1" count="1" selected="0">
            <x v="0"/>
          </reference>
          <reference field="5" count="1" selected="0">
            <x v="8"/>
          </reference>
          <reference field="11" count="1" selected="0">
            <x v="82"/>
          </reference>
          <reference field="12" count="1" selected="0">
            <x v="186"/>
          </reference>
          <reference field="19" count="1">
            <x v="0"/>
          </reference>
          <reference field="21" count="1" selected="0">
            <x v="0"/>
          </reference>
          <reference field="25" count="1" selected="0">
            <x v="0"/>
          </reference>
        </references>
      </pivotArea>
    </format>
    <format dxfId="1462">
      <pivotArea dataOnly="0" labelOnly="1" outline="0" fieldPosition="0">
        <references count="7">
          <reference field="1" count="1" selected="0">
            <x v="0"/>
          </reference>
          <reference field="5" count="1" selected="0">
            <x v="8"/>
          </reference>
          <reference field="11" count="1" selected="0">
            <x v="90"/>
          </reference>
          <reference field="12" count="1" selected="0">
            <x v="124"/>
          </reference>
          <reference field="19" count="1">
            <x v="0"/>
          </reference>
          <reference field="21" count="1" selected="0">
            <x v="0"/>
          </reference>
          <reference field="25" count="1" selected="0">
            <x v="0"/>
          </reference>
        </references>
      </pivotArea>
    </format>
    <format dxfId="1461">
      <pivotArea dataOnly="0" labelOnly="1" outline="0" fieldPosition="0">
        <references count="7">
          <reference field="1" count="1" selected="0">
            <x v="0"/>
          </reference>
          <reference field="5" count="1" selected="0">
            <x v="8"/>
          </reference>
          <reference field="11" count="1" selected="0">
            <x v="91"/>
          </reference>
          <reference field="12" count="1" selected="0">
            <x v="123"/>
          </reference>
          <reference field="19" count="1">
            <x v="0"/>
          </reference>
          <reference field="21" count="1" selected="0">
            <x v="0"/>
          </reference>
          <reference field="25" count="1" selected="0">
            <x v="1"/>
          </reference>
        </references>
      </pivotArea>
    </format>
    <format dxfId="1460">
      <pivotArea dataOnly="0" labelOnly="1" outline="0" fieldPosition="0">
        <references count="7">
          <reference field="1" count="1" selected="0">
            <x v="0"/>
          </reference>
          <reference field="5" count="1" selected="0">
            <x v="8"/>
          </reference>
          <reference field="11" count="1" selected="0">
            <x v="92"/>
          </reference>
          <reference field="12" count="1" selected="0">
            <x v="125"/>
          </reference>
          <reference field="19" count="1">
            <x v="0"/>
          </reference>
          <reference field="21" count="1" selected="0">
            <x v="1"/>
          </reference>
          <reference field="25" count="1" selected="0">
            <x v="4"/>
          </reference>
        </references>
      </pivotArea>
    </format>
    <format dxfId="1459">
      <pivotArea dataOnly="0" labelOnly="1" outline="0" fieldPosition="0">
        <references count="7">
          <reference field="1" count="1" selected="0">
            <x v="0"/>
          </reference>
          <reference field="5" count="1" selected="0">
            <x v="8"/>
          </reference>
          <reference field="11" count="1" selected="0">
            <x v="98"/>
          </reference>
          <reference field="12" count="1" selected="0">
            <x v="65"/>
          </reference>
          <reference field="19" count="1">
            <x v="0"/>
          </reference>
          <reference field="21" count="1" selected="0">
            <x v="0"/>
          </reference>
          <reference field="25" count="1" selected="0">
            <x v="0"/>
          </reference>
        </references>
      </pivotArea>
    </format>
    <format dxfId="1458">
      <pivotArea dataOnly="0" labelOnly="1" outline="0" fieldPosition="0">
        <references count="7">
          <reference field="1" count="1" selected="0">
            <x v="0"/>
          </reference>
          <reference field="5" count="1" selected="0">
            <x v="8"/>
          </reference>
          <reference field="11" count="1" selected="0">
            <x v="209"/>
          </reference>
          <reference field="12" count="1" selected="0">
            <x v="217"/>
          </reference>
          <reference field="19" count="1">
            <x v="0"/>
          </reference>
          <reference field="21" count="1" selected="0">
            <x v="0"/>
          </reference>
          <reference field="25" count="1" selected="0">
            <x v="1"/>
          </reference>
        </references>
      </pivotArea>
    </format>
    <format dxfId="1457">
      <pivotArea dataOnly="0" labelOnly="1" outline="0" fieldPosition="0">
        <references count="7">
          <reference field="1" count="1" selected="0">
            <x v="0"/>
          </reference>
          <reference field="5" count="1" selected="0">
            <x v="8"/>
          </reference>
          <reference field="11" count="1" selected="0">
            <x v="216"/>
          </reference>
          <reference field="12" count="1" selected="0">
            <x v="225"/>
          </reference>
          <reference field="19" count="1">
            <x v="0"/>
          </reference>
          <reference field="21" count="1" selected="0">
            <x v="0"/>
          </reference>
          <reference field="25" count="1" selected="0">
            <x v="1"/>
          </reference>
        </references>
      </pivotArea>
    </format>
    <format dxfId="1456">
      <pivotArea dataOnly="0" labelOnly="1" outline="0" fieldPosition="0">
        <references count="7">
          <reference field="1" count="1" selected="0">
            <x v="0"/>
          </reference>
          <reference field="5" count="1" selected="0">
            <x v="8"/>
          </reference>
          <reference field="11" count="1" selected="0">
            <x v="220"/>
          </reference>
          <reference field="12" count="1" selected="0">
            <x v="228"/>
          </reference>
          <reference field="19" count="1">
            <x v="0"/>
          </reference>
          <reference field="21" count="1" selected="0">
            <x v="0"/>
          </reference>
          <reference field="25" count="1" selected="0">
            <x v="0"/>
          </reference>
        </references>
      </pivotArea>
    </format>
    <format dxfId="1455">
      <pivotArea dataOnly="0" labelOnly="1" outline="0" fieldPosition="0">
        <references count="7">
          <reference field="1" count="1" selected="0">
            <x v="0"/>
          </reference>
          <reference field="5" count="1" selected="0">
            <x v="10"/>
          </reference>
          <reference field="11" count="1" selected="0">
            <x v="55"/>
          </reference>
          <reference field="12" count="1" selected="0">
            <x v="76"/>
          </reference>
          <reference field="19" count="1">
            <x v="0"/>
          </reference>
          <reference field="21" count="1" selected="0">
            <x v="0"/>
          </reference>
          <reference field="25" count="1" selected="0">
            <x v="0"/>
          </reference>
        </references>
      </pivotArea>
    </format>
    <format dxfId="1454">
      <pivotArea dataOnly="0" labelOnly="1" outline="0" fieldPosition="0">
        <references count="7">
          <reference field="1" count="1" selected="0">
            <x v="0"/>
          </reference>
          <reference field="5" count="1" selected="0">
            <x v="10"/>
          </reference>
          <reference field="11" count="1" selected="0">
            <x v="97"/>
          </reference>
          <reference field="12" count="1" selected="0">
            <x v="75"/>
          </reference>
          <reference field="19" count="1">
            <x v="0"/>
          </reference>
          <reference field="21" count="1" selected="0">
            <x v="0"/>
          </reference>
          <reference field="25" count="1" selected="0">
            <x v="0"/>
          </reference>
        </references>
      </pivotArea>
    </format>
    <format dxfId="1453">
      <pivotArea dataOnly="0" labelOnly="1" outline="0" fieldPosition="0">
        <references count="7">
          <reference field="1" count="1" selected="0">
            <x v="0"/>
          </reference>
          <reference field="5" count="1" selected="0">
            <x v="10"/>
          </reference>
          <reference field="11" count="1" selected="0">
            <x v="149"/>
          </reference>
          <reference field="12" count="1" selected="0">
            <x v="77"/>
          </reference>
          <reference field="19" count="1">
            <x v="0"/>
          </reference>
          <reference field="21" count="1" selected="0">
            <x v="0"/>
          </reference>
          <reference field="25" count="1" selected="0">
            <x v="0"/>
          </reference>
        </references>
      </pivotArea>
    </format>
    <format dxfId="1452">
      <pivotArea dataOnly="0" labelOnly="1" outline="0" fieldPosition="0">
        <references count="7">
          <reference field="1" count="1" selected="0">
            <x v="0"/>
          </reference>
          <reference field="5" count="1" selected="0">
            <x v="10"/>
          </reference>
          <reference field="11" count="1" selected="0">
            <x v="233"/>
          </reference>
          <reference field="12" count="1" selected="0">
            <x v="235"/>
          </reference>
          <reference field="19" count="1">
            <x v="0"/>
          </reference>
          <reference field="21" count="1" selected="0">
            <x v="1"/>
          </reference>
          <reference field="25" count="1" selected="0">
            <x v="4"/>
          </reference>
        </references>
      </pivotArea>
    </format>
    <format dxfId="1451">
      <pivotArea dataOnly="0" labelOnly="1" outline="0" fieldPosition="0">
        <references count="7">
          <reference field="1" count="1" selected="0">
            <x v="0"/>
          </reference>
          <reference field="5" count="1" selected="0">
            <x v="10"/>
          </reference>
          <reference field="11" count="1" selected="0">
            <x v="234"/>
          </reference>
          <reference field="12" count="1" selected="0">
            <x v="236"/>
          </reference>
          <reference field="19" count="1">
            <x v="0"/>
          </reference>
          <reference field="21" count="1" selected="0">
            <x v="0"/>
          </reference>
          <reference field="25" count="1" selected="0">
            <x v="0"/>
          </reference>
        </references>
      </pivotArea>
    </format>
    <format dxfId="1450">
      <pivotArea dataOnly="0" labelOnly="1" outline="0" fieldPosition="0">
        <references count="7">
          <reference field="1" count="1" selected="0">
            <x v="0"/>
          </reference>
          <reference field="5" count="1" selected="0">
            <x v="10"/>
          </reference>
          <reference field="11" count="1" selected="0">
            <x v="235"/>
          </reference>
          <reference field="12" count="1" selected="0">
            <x v="237"/>
          </reference>
          <reference field="19" count="1">
            <x v="0"/>
          </reference>
          <reference field="21" count="1" selected="0">
            <x v="0"/>
          </reference>
          <reference field="25" count="1" selected="0">
            <x v="2"/>
          </reference>
        </references>
      </pivotArea>
    </format>
    <format dxfId="1449">
      <pivotArea dataOnly="0" labelOnly="1" outline="0" fieldPosition="0">
        <references count="7">
          <reference field="1" count="1" selected="0">
            <x v="0"/>
          </reference>
          <reference field="5" count="1" selected="0">
            <x v="11"/>
          </reference>
          <reference field="11" count="1" selected="0">
            <x v="152"/>
          </reference>
          <reference field="12" count="1" selected="0">
            <x v="133"/>
          </reference>
          <reference field="19" count="1">
            <x v="0"/>
          </reference>
          <reference field="21" count="1" selected="0">
            <x v="0"/>
          </reference>
          <reference field="25" count="1" selected="0">
            <x v="0"/>
          </reference>
        </references>
      </pivotArea>
    </format>
    <format dxfId="1448">
      <pivotArea dataOnly="0" labelOnly="1" outline="0" fieldPosition="0">
        <references count="7">
          <reference field="1" count="1" selected="0">
            <x v="0"/>
          </reference>
          <reference field="5" count="1" selected="0">
            <x v="11"/>
          </reference>
          <reference field="11" count="1" selected="0">
            <x v="183"/>
          </reference>
          <reference field="12" count="1" selected="0">
            <x v="78"/>
          </reference>
          <reference field="19" count="1">
            <x v="0"/>
          </reference>
          <reference field="21" count="1" selected="0">
            <x v="0"/>
          </reference>
          <reference field="25" count="1" selected="0">
            <x v="2"/>
          </reference>
        </references>
      </pivotArea>
    </format>
    <format dxfId="1447">
      <pivotArea dataOnly="0" labelOnly="1" outline="0" fieldPosition="0">
        <references count="7">
          <reference field="1" count="1" selected="0">
            <x v="0"/>
          </reference>
          <reference field="5" count="1" selected="0">
            <x v="11"/>
          </reference>
          <reference field="11" count="1" selected="0">
            <x v="223"/>
          </reference>
          <reference field="12" count="1" selected="0">
            <x v="231"/>
          </reference>
          <reference field="19" count="1">
            <x v="0"/>
          </reference>
          <reference field="21" count="1" selected="0">
            <x v="1"/>
          </reference>
          <reference field="25" count="1" selected="0">
            <x v="4"/>
          </reference>
        </references>
      </pivotArea>
    </format>
    <format dxfId="1446">
      <pivotArea dataOnly="0" labelOnly="1" outline="0" fieldPosition="0">
        <references count="7">
          <reference field="1" count="1" selected="0">
            <x v="0"/>
          </reference>
          <reference field="5" count="1" selected="0">
            <x v="11"/>
          </reference>
          <reference field="11" count="1" selected="0">
            <x v="224"/>
          </reference>
          <reference field="12" count="1" selected="0">
            <x v="232"/>
          </reference>
          <reference field="19" count="1">
            <x v="0"/>
          </reference>
          <reference field="21" count="1" selected="0">
            <x v="1"/>
          </reference>
          <reference field="25" count="1" selected="0">
            <x v="4"/>
          </reference>
        </references>
      </pivotArea>
    </format>
    <format dxfId="1445">
      <pivotArea dataOnly="0" labelOnly="1" outline="0" fieldPosition="0">
        <references count="7">
          <reference field="1" count="1" selected="0">
            <x v="0"/>
          </reference>
          <reference field="5" count="1" selected="0">
            <x v="12"/>
          </reference>
          <reference field="11" count="1" selected="0">
            <x v="27"/>
          </reference>
          <reference field="12" count="1" selected="0">
            <x v="118"/>
          </reference>
          <reference field="19" count="1">
            <x v="1"/>
          </reference>
          <reference field="21" count="1" selected="0">
            <x v="0"/>
          </reference>
          <reference field="25" count="1" selected="0">
            <x v="2"/>
          </reference>
        </references>
      </pivotArea>
    </format>
    <format dxfId="1444">
      <pivotArea dataOnly="0" labelOnly="1" outline="0" fieldPosition="0">
        <references count="7">
          <reference field="1" count="1" selected="0">
            <x v="0"/>
          </reference>
          <reference field="5" count="1" selected="0">
            <x v="12"/>
          </reference>
          <reference field="11" count="1" selected="0">
            <x v="38"/>
          </reference>
          <reference field="12" count="1" selected="0">
            <x v="167"/>
          </reference>
          <reference field="19" count="1">
            <x v="0"/>
          </reference>
          <reference field="21" count="1" selected="0">
            <x v="1"/>
          </reference>
          <reference field="25" count="1" selected="0">
            <x v="4"/>
          </reference>
        </references>
      </pivotArea>
    </format>
    <format dxfId="1443">
      <pivotArea dataOnly="0" labelOnly="1" outline="0" fieldPosition="0">
        <references count="7">
          <reference field="1" count="1" selected="0">
            <x v="0"/>
          </reference>
          <reference field="5" count="1" selected="0">
            <x v="12"/>
          </reference>
          <reference field="11" count="1" selected="0">
            <x v="42"/>
          </reference>
          <reference field="12" count="1" selected="0">
            <x v="117"/>
          </reference>
          <reference field="19" count="1">
            <x v="1"/>
          </reference>
          <reference field="21" count="1" selected="0">
            <x v="0"/>
          </reference>
          <reference field="25" count="1" selected="0">
            <x v="2"/>
          </reference>
        </references>
      </pivotArea>
    </format>
    <format dxfId="1442">
      <pivotArea dataOnly="0" labelOnly="1" outline="0" fieldPosition="0">
        <references count="7">
          <reference field="1" count="1" selected="0">
            <x v="0"/>
          </reference>
          <reference field="5" count="1" selected="0">
            <x v="12"/>
          </reference>
          <reference field="11" count="1" selected="0">
            <x v="50"/>
          </reference>
          <reference field="12" count="1" selected="0">
            <x v="170"/>
          </reference>
          <reference field="19" count="1">
            <x v="0"/>
          </reference>
          <reference field="21" count="1" selected="0">
            <x v="1"/>
          </reference>
          <reference field="25" count="1" selected="0">
            <x v="4"/>
          </reference>
        </references>
      </pivotArea>
    </format>
    <format dxfId="1441">
      <pivotArea dataOnly="0" labelOnly="1" outline="0" fieldPosition="0">
        <references count="7">
          <reference field="1" count="1" selected="0">
            <x v="0"/>
          </reference>
          <reference field="5" count="1" selected="0">
            <x v="12"/>
          </reference>
          <reference field="11" count="1" selected="0">
            <x v="69"/>
          </reference>
          <reference field="12" count="1" selected="0">
            <x v="70"/>
          </reference>
          <reference field="19" count="1">
            <x v="0"/>
          </reference>
          <reference field="21" count="1" selected="0">
            <x v="0"/>
          </reference>
          <reference field="25" count="1" selected="0">
            <x v="0"/>
          </reference>
        </references>
      </pivotArea>
    </format>
    <format dxfId="1440">
      <pivotArea dataOnly="0" labelOnly="1" outline="0" fieldPosition="0">
        <references count="7">
          <reference field="1" count="1" selected="0">
            <x v="0"/>
          </reference>
          <reference field="5" count="1" selected="0">
            <x v="12"/>
          </reference>
          <reference field="11" count="1" selected="0">
            <x v="70"/>
          </reference>
          <reference field="12" count="1" selected="0">
            <x v="68"/>
          </reference>
          <reference field="19" count="1">
            <x v="0"/>
          </reference>
          <reference field="21" count="1" selected="0">
            <x v="0"/>
          </reference>
          <reference field="25" count="1" selected="0">
            <x v="1"/>
          </reference>
        </references>
      </pivotArea>
    </format>
    <format dxfId="1439">
      <pivotArea dataOnly="0" labelOnly="1" outline="0" fieldPosition="0">
        <references count="7">
          <reference field="1" count="1" selected="0">
            <x v="0"/>
          </reference>
          <reference field="5" count="1" selected="0">
            <x v="12"/>
          </reference>
          <reference field="11" count="1" selected="0">
            <x v="71"/>
          </reference>
          <reference field="12" count="1" selected="0">
            <x v="69"/>
          </reference>
          <reference field="19" count="1">
            <x v="0"/>
          </reference>
          <reference field="21" count="1" selected="0">
            <x v="0"/>
          </reference>
          <reference field="25" count="1" selected="0">
            <x v="0"/>
          </reference>
        </references>
      </pivotArea>
    </format>
    <format dxfId="1438">
      <pivotArea dataOnly="0" labelOnly="1" outline="0" fieldPosition="0">
        <references count="7">
          <reference field="1" count="1" selected="0">
            <x v="0"/>
          </reference>
          <reference field="5" count="1" selected="0">
            <x v="12"/>
          </reference>
          <reference field="11" count="1" selected="0">
            <x v="77"/>
          </reference>
          <reference field="12" count="1" selected="0">
            <x v="63"/>
          </reference>
          <reference field="19" count="1">
            <x v="0"/>
          </reference>
          <reference field="21" count="1" selected="0">
            <x v="1"/>
          </reference>
          <reference field="25" count="1" selected="0">
            <x v="4"/>
          </reference>
        </references>
      </pivotArea>
    </format>
    <format dxfId="1437">
      <pivotArea dataOnly="0" labelOnly="1" outline="0" fieldPosition="0">
        <references count="7">
          <reference field="1" count="1" selected="0">
            <x v="0"/>
          </reference>
          <reference field="5" count="1" selected="0">
            <x v="12"/>
          </reference>
          <reference field="11" count="1" selected="0">
            <x v="84"/>
          </reference>
          <reference field="12" count="1" selected="0">
            <x v="61"/>
          </reference>
          <reference field="19" count="1">
            <x v="0"/>
          </reference>
          <reference field="21" count="1" selected="0">
            <x v="0"/>
          </reference>
          <reference field="25" count="1" selected="0">
            <x v="1"/>
          </reference>
        </references>
      </pivotArea>
    </format>
    <format dxfId="1436">
      <pivotArea dataOnly="0" labelOnly="1" outline="0" fieldPosition="0">
        <references count="7">
          <reference field="1" count="1" selected="0">
            <x v="0"/>
          </reference>
          <reference field="5" count="1" selected="0">
            <x v="12"/>
          </reference>
          <reference field="11" count="1" selected="0">
            <x v="88"/>
          </reference>
          <reference field="12" count="1" selected="0">
            <x v="62"/>
          </reference>
          <reference field="19" count="1">
            <x v="0"/>
          </reference>
          <reference field="21" count="1" selected="0">
            <x v="1"/>
          </reference>
          <reference field="25" count="1" selected="0">
            <x v="4"/>
          </reference>
        </references>
      </pivotArea>
    </format>
    <format dxfId="1435">
      <pivotArea dataOnly="0" labelOnly="1" outline="0" fieldPosition="0">
        <references count="7">
          <reference field="1" count="1" selected="0">
            <x v="0"/>
          </reference>
          <reference field="5" count="1" selected="0">
            <x v="12"/>
          </reference>
          <reference field="11" count="1" selected="0">
            <x v="89"/>
          </reference>
          <reference field="12" count="1" selected="0">
            <x v="168"/>
          </reference>
          <reference field="19" count="1">
            <x v="0"/>
          </reference>
          <reference field="21" count="1" selected="0">
            <x v="1"/>
          </reference>
          <reference field="25" count="1" selected="0">
            <x v="4"/>
          </reference>
        </references>
      </pivotArea>
    </format>
    <format dxfId="1434">
      <pivotArea dataOnly="0" labelOnly="1" outline="0" fieldPosition="0">
        <references count="7">
          <reference field="1" count="1" selected="0">
            <x v="0"/>
          </reference>
          <reference field="5" count="1" selected="0">
            <x v="12"/>
          </reference>
          <reference field="11" count="1" selected="0">
            <x v="117"/>
          </reference>
          <reference field="12" count="1" selected="0">
            <x v="55"/>
          </reference>
          <reference field="19" count="1">
            <x v="0"/>
          </reference>
          <reference field="21" count="1" selected="0">
            <x v="0"/>
          </reference>
          <reference field="25" count="1" selected="0">
            <x v="0"/>
          </reference>
        </references>
      </pivotArea>
    </format>
    <format dxfId="1433">
      <pivotArea dataOnly="0" labelOnly="1" outline="0" fieldPosition="0">
        <references count="7">
          <reference field="1" count="1" selected="0">
            <x v="0"/>
          </reference>
          <reference field="5" count="1" selected="0">
            <x v="12"/>
          </reference>
          <reference field="11" count="1" selected="0">
            <x v="128"/>
          </reference>
          <reference field="12" count="1" selected="0">
            <x v="60"/>
          </reference>
          <reference field="19" count="1">
            <x v="0"/>
          </reference>
          <reference field="21" count="1" selected="0">
            <x v="1"/>
          </reference>
          <reference field="25" count="1" selected="0">
            <x v="4"/>
          </reference>
        </references>
      </pivotArea>
    </format>
    <format dxfId="1432">
      <pivotArea dataOnly="0" labelOnly="1" outline="0" fieldPosition="0">
        <references count="7">
          <reference field="1" count="1" selected="0">
            <x v="0"/>
          </reference>
          <reference field="5" count="1" selected="0">
            <x v="12"/>
          </reference>
          <reference field="11" count="1" selected="0">
            <x v="155"/>
          </reference>
          <reference field="12" count="1" selected="0">
            <x v="122"/>
          </reference>
          <reference field="19" count="1">
            <x v="1"/>
          </reference>
          <reference field="21" count="1" selected="0">
            <x v="0"/>
          </reference>
          <reference field="25" count="1" selected="0">
            <x v="1"/>
          </reference>
        </references>
      </pivotArea>
    </format>
    <format dxfId="1431">
      <pivotArea dataOnly="0" labelOnly="1" outline="0" fieldPosition="0">
        <references count="7">
          <reference field="1" count="1" selected="0">
            <x v="0"/>
          </reference>
          <reference field="5" count="1" selected="0">
            <x v="12"/>
          </reference>
          <reference field="11" count="1" selected="0">
            <x v="158"/>
          </reference>
          <reference field="12" count="1" selected="0">
            <x v="71"/>
          </reference>
          <reference field="19" count="1">
            <x v="0"/>
          </reference>
          <reference field="21" count="1" selected="0">
            <x v="0"/>
          </reference>
          <reference field="25" count="1" selected="0">
            <x v="0"/>
          </reference>
        </references>
      </pivotArea>
    </format>
    <format dxfId="1430">
      <pivotArea dataOnly="0" labelOnly="1" outline="0" fieldPosition="0">
        <references count="7">
          <reference field="1" count="1" selected="0">
            <x v="0"/>
          </reference>
          <reference field="5" count="1" selected="0">
            <x v="12"/>
          </reference>
          <reference field="11" count="1" selected="0">
            <x v="160"/>
          </reference>
          <reference field="12" count="1" selected="0">
            <x v="119"/>
          </reference>
          <reference field="19" count="1">
            <x v="1"/>
          </reference>
          <reference field="21" count="1" selected="0">
            <x v="0"/>
          </reference>
          <reference field="25" count="1" selected="0">
            <x v="1"/>
          </reference>
        </references>
      </pivotArea>
    </format>
    <format dxfId="1429">
      <pivotArea dataOnly="0" labelOnly="1" outline="0" fieldPosition="0">
        <references count="7">
          <reference field="1" count="1" selected="0">
            <x v="0"/>
          </reference>
          <reference field="5" count="1" selected="0">
            <x v="12"/>
          </reference>
          <reference field="11" count="1" selected="0">
            <x v="164"/>
          </reference>
          <reference field="12" count="1" selected="0">
            <x v="64"/>
          </reference>
          <reference field="19" count="1">
            <x v="0"/>
          </reference>
          <reference field="21" count="1" selected="0">
            <x v="1"/>
          </reference>
          <reference field="25" count="1" selected="0">
            <x v="4"/>
          </reference>
        </references>
      </pivotArea>
    </format>
    <format dxfId="1428">
      <pivotArea dataOnly="0" labelOnly="1" outline="0" fieldPosition="0">
        <references count="7">
          <reference field="1" count="1" selected="0">
            <x v="0"/>
          </reference>
          <reference field="5" count="1" selected="0">
            <x v="12"/>
          </reference>
          <reference field="11" count="1" selected="0">
            <x v="175"/>
          </reference>
          <reference field="12" count="1" selected="0">
            <x v="72"/>
          </reference>
          <reference field="19" count="1">
            <x v="0"/>
          </reference>
          <reference field="21" count="1" selected="0">
            <x v="0"/>
          </reference>
          <reference field="25" count="1" selected="0">
            <x v="0"/>
          </reference>
        </references>
      </pivotArea>
    </format>
    <format dxfId="1427">
      <pivotArea dataOnly="0" labelOnly="1" outline="0" fieldPosition="0">
        <references count="7">
          <reference field="1" count="1" selected="0">
            <x v="0"/>
          </reference>
          <reference field="5" count="1" selected="0">
            <x v="12"/>
          </reference>
          <reference field="11" count="1" selected="0">
            <x v="188"/>
          </reference>
          <reference field="12" count="1" selected="0">
            <x v="59"/>
          </reference>
          <reference field="19" count="1">
            <x v="0"/>
          </reference>
          <reference field="21" count="1" selected="0">
            <x v="1"/>
          </reference>
          <reference field="25" count="1" selected="0">
            <x v="4"/>
          </reference>
        </references>
      </pivotArea>
    </format>
    <format dxfId="1426">
      <pivotArea dataOnly="0" labelOnly="1" outline="0" fieldPosition="0">
        <references count="7">
          <reference field="1" count="1" selected="0">
            <x v="0"/>
          </reference>
          <reference field="5" count="1" selected="0">
            <x v="12"/>
          </reference>
          <reference field="11" count="1" selected="0">
            <x v="238"/>
          </reference>
          <reference field="12" count="1" selected="0">
            <x v="240"/>
          </reference>
          <reference field="19" count="1">
            <x v="0"/>
          </reference>
          <reference field="21" count="1" selected="0">
            <x v="2"/>
          </reference>
          <reference field="25" count="1" selected="0">
            <x v="4"/>
          </reference>
        </references>
      </pivotArea>
    </format>
    <format dxfId="1425">
      <pivotArea dataOnly="0" labelOnly="1" outline="0" fieldPosition="0">
        <references count="7">
          <reference field="1" count="1" selected="0">
            <x v="0"/>
          </reference>
          <reference field="5" count="1" selected="0">
            <x v="14"/>
          </reference>
          <reference field="11" count="1" selected="0">
            <x v="24"/>
          </reference>
          <reference field="12" count="1" selected="0">
            <x v="11"/>
          </reference>
          <reference field="19" count="1">
            <x v="0"/>
          </reference>
          <reference field="21" count="1" selected="0">
            <x v="0"/>
          </reference>
          <reference field="25" count="1" selected="0">
            <x v="0"/>
          </reference>
        </references>
      </pivotArea>
    </format>
    <format dxfId="1424">
      <pivotArea dataOnly="0" labelOnly="1" outline="0" fieldPosition="0">
        <references count="7">
          <reference field="1" count="1" selected="0">
            <x v="0"/>
          </reference>
          <reference field="5" count="1" selected="0">
            <x v="14"/>
          </reference>
          <reference field="11" count="1" selected="0">
            <x v="25"/>
          </reference>
          <reference field="12" count="1" selected="0">
            <x v="9"/>
          </reference>
          <reference field="19" count="1">
            <x v="0"/>
          </reference>
          <reference field="21" count="1" selected="0">
            <x v="0"/>
          </reference>
          <reference field="25" count="1" selected="0">
            <x v="0"/>
          </reference>
        </references>
      </pivotArea>
    </format>
    <format dxfId="1423">
      <pivotArea dataOnly="0" labelOnly="1" outline="0" fieldPosition="0">
        <references count="7">
          <reference field="1" count="1" selected="0">
            <x v="0"/>
          </reference>
          <reference field="5" count="1" selected="0">
            <x v="14"/>
          </reference>
          <reference field="11" count="1" selected="0">
            <x v="26"/>
          </reference>
          <reference field="12" count="1" selected="0">
            <x v="10"/>
          </reference>
          <reference field="19" count="1">
            <x v="0"/>
          </reference>
          <reference field="21" count="1" selected="0">
            <x v="0"/>
          </reference>
          <reference field="25" count="1" selected="0">
            <x v="0"/>
          </reference>
        </references>
      </pivotArea>
    </format>
    <format dxfId="1422">
      <pivotArea dataOnly="0" labelOnly="1" outline="0" fieldPosition="0">
        <references count="7">
          <reference field="1" count="1" selected="0">
            <x v="0"/>
          </reference>
          <reference field="5" count="1" selected="0">
            <x v="14"/>
          </reference>
          <reference field="11" count="1" selected="0">
            <x v="46"/>
          </reference>
          <reference field="12" count="1" selected="0">
            <x v="17"/>
          </reference>
          <reference field="19" count="1">
            <x v="0"/>
          </reference>
          <reference field="21" count="1" selected="0">
            <x v="0"/>
          </reference>
          <reference field="25" count="1" selected="0">
            <x v="0"/>
          </reference>
        </references>
      </pivotArea>
    </format>
    <format dxfId="1421">
      <pivotArea dataOnly="0" labelOnly="1" outline="0" fieldPosition="0">
        <references count="7">
          <reference field="1" count="1" selected="0">
            <x v="0"/>
          </reference>
          <reference field="5" count="1" selected="0">
            <x v="14"/>
          </reference>
          <reference field="11" count="1" selected="0">
            <x v="47"/>
          </reference>
          <reference field="12" count="1" selected="0">
            <x v="18"/>
          </reference>
          <reference field="19" count="1">
            <x v="0"/>
          </reference>
          <reference field="21" count="1" selected="0">
            <x v="0"/>
          </reference>
          <reference field="25" count="1" selected="0">
            <x v="2"/>
          </reference>
        </references>
      </pivotArea>
    </format>
    <format dxfId="1420">
      <pivotArea dataOnly="0" labelOnly="1" outline="0" fieldPosition="0">
        <references count="7">
          <reference field="1" count="1" selected="0">
            <x v="0"/>
          </reference>
          <reference field="5" count="1" selected="0">
            <x v="14"/>
          </reference>
          <reference field="11" count="1" selected="0">
            <x v="54"/>
          </reference>
          <reference field="12" count="1" selected="0">
            <x v="12"/>
          </reference>
          <reference field="19" count="1">
            <x v="0"/>
          </reference>
          <reference field="21" count="1" selected="0">
            <x v="0"/>
          </reference>
          <reference field="25" count="1" selected="0">
            <x v="0"/>
          </reference>
        </references>
      </pivotArea>
    </format>
    <format dxfId="1419">
      <pivotArea dataOnly="0" labelOnly="1" outline="0" fieldPosition="0">
        <references count="7">
          <reference field="1" count="1" selected="0">
            <x v="0"/>
          </reference>
          <reference field="5" count="1" selected="0">
            <x v="14"/>
          </reference>
          <reference field="11" count="1" selected="0">
            <x v="63"/>
          </reference>
          <reference field="12" count="1" selected="0">
            <x v="14"/>
          </reference>
          <reference field="19" count="1">
            <x v="0"/>
          </reference>
          <reference field="21" count="1" selected="0">
            <x v="0"/>
          </reference>
          <reference field="25" count="1" selected="0">
            <x v="0"/>
          </reference>
        </references>
      </pivotArea>
    </format>
    <format dxfId="1418">
      <pivotArea dataOnly="0" labelOnly="1" outline="0" fieldPosition="0">
        <references count="7">
          <reference field="1" count="1" selected="0">
            <x v="0"/>
          </reference>
          <reference field="5" count="1" selected="0">
            <x v="14"/>
          </reference>
          <reference field="11" count="1" selected="0">
            <x v="64"/>
          </reference>
          <reference field="12" count="1" selected="0">
            <x v="13"/>
          </reference>
          <reference field="19" count="1">
            <x v="0"/>
          </reference>
          <reference field="21" count="1" selected="0">
            <x v="0"/>
          </reference>
          <reference field="25" count="1" selected="0">
            <x v="0"/>
          </reference>
        </references>
      </pivotArea>
    </format>
    <format dxfId="1417">
      <pivotArea dataOnly="0" labelOnly="1" outline="0" fieldPosition="0">
        <references count="7">
          <reference field="1" count="1" selected="0">
            <x v="0"/>
          </reference>
          <reference field="5" count="1" selected="0">
            <x v="14"/>
          </reference>
          <reference field="11" count="1" selected="0">
            <x v="83"/>
          </reference>
          <reference field="12" count="1" selected="0">
            <x v="15"/>
          </reference>
          <reference field="19" count="1">
            <x v="0"/>
          </reference>
          <reference field="21" count="1" selected="0">
            <x v="0"/>
          </reference>
          <reference field="25" count="1" selected="0">
            <x v="0"/>
          </reference>
        </references>
      </pivotArea>
    </format>
    <format dxfId="1416">
      <pivotArea dataOnly="0" labelOnly="1" outline="0" fieldPosition="0">
        <references count="7">
          <reference field="1" count="1" selected="0">
            <x v="0"/>
          </reference>
          <reference field="5" count="1" selected="0">
            <x v="14"/>
          </reference>
          <reference field="11" count="1" selected="0">
            <x v="85"/>
          </reference>
          <reference field="12" count="1" selected="0">
            <x v="7"/>
          </reference>
          <reference field="19" count="1">
            <x v="0"/>
          </reference>
          <reference field="21" count="1" selected="0">
            <x v="0"/>
          </reference>
          <reference field="25" count="1" selected="0">
            <x v="0"/>
          </reference>
        </references>
      </pivotArea>
    </format>
    <format dxfId="1415">
      <pivotArea dataOnly="0" labelOnly="1" outline="0" fieldPosition="0">
        <references count="7">
          <reference field="1" count="1" selected="0">
            <x v="0"/>
          </reference>
          <reference field="5" count="1" selected="0">
            <x v="14"/>
          </reference>
          <reference field="11" count="1" selected="0">
            <x v="107"/>
          </reference>
          <reference field="12" count="1" selected="0">
            <x v="19"/>
          </reference>
          <reference field="19" count="1">
            <x v="0"/>
          </reference>
          <reference field="21" count="1" selected="0">
            <x v="0"/>
          </reference>
          <reference field="25" count="1" selected="0">
            <x v="3"/>
          </reference>
        </references>
      </pivotArea>
    </format>
    <format dxfId="1414">
      <pivotArea dataOnly="0" labelOnly="1" outline="0" fieldPosition="0">
        <references count="7">
          <reference field="1" count="1" selected="0">
            <x v="0"/>
          </reference>
          <reference field="5" count="1" selected="0">
            <x v="14"/>
          </reference>
          <reference field="11" count="1" selected="0">
            <x v="108"/>
          </reference>
          <reference field="12" count="1" selected="0">
            <x v="20"/>
          </reference>
          <reference field="19" count="1">
            <x v="0"/>
          </reference>
          <reference field="21" count="1" selected="0">
            <x v="0"/>
          </reference>
          <reference field="25" count="1" selected="0">
            <x v="3"/>
          </reference>
        </references>
      </pivotArea>
    </format>
    <format dxfId="1413">
      <pivotArea dataOnly="0" labelOnly="1" outline="0" fieldPosition="0">
        <references count="7">
          <reference field="1" count="1" selected="0">
            <x v="0"/>
          </reference>
          <reference field="5" count="1" selected="0">
            <x v="14"/>
          </reference>
          <reference field="11" count="1" selected="0">
            <x v="144"/>
          </reference>
          <reference field="12" count="1" selected="0">
            <x v="23"/>
          </reference>
          <reference field="19" count="1">
            <x v="0"/>
          </reference>
          <reference field="21" count="1" selected="0">
            <x v="0"/>
          </reference>
          <reference field="25" count="1" selected="0">
            <x v="2"/>
          </reference>
        </references>
      </pivotArea>
    </format>
    <format dxfId="1412">
      <pivotArea dataOnly="0" labelOnly="1" outline="0" fieldPosition="0">
        <references count="7">
          <reference field="1" count="1" selected="0">
            <x v="0"/>
          </reference>
          <reference field="5" count="1" selected="0">
            <x v="14"/>
          </reference>
          <reference field="11" count="1" selected="0">
            <x v="157"/>
          </reference>
          <reference field="12" count="1" selected="0">
            <x v="1"/>
          </reference>
          <reference field="19" count="1">
            <x v="0"/>
          </reference>
          <reference field="21" count="1" selected="0">
            <x v="0"/>
          </reference>
          <reference field="25" count="1" selected="0">
            <x v="0"/>
          </reference>
        </references>
      </pivotArea>
    </format>
    <format dxfId="1411">
      <pivotArea dataOnly="0" labelOnly="1" outline="0" fieldPosition="0">
        <references count="7">
          <reference field="1" count="1" selected="0">
            <x v="0"/>
          </reference>
          <reference field="5" count="1" selected="0">
            <x v="14"/>
          </reference>
          <reference field="11" count="1" selected="0">
            <x v="159"/>
          </reference>
          <reference field="12" count="1" selected="0">
            <x v="136"/>
          </reference>
          <reference field="19" count="1">
            <x v="0"/>
          </reference>
          <reference field="21" count="1" selected="0">
            <x v="0"/>
          </reference>
          <reference field="25" count="1" selected="0">
            <x v="2"/>
          </reference>
        </references>
      </pivotArea>
    </format>
    <format dxfId="1410">
      <pivotArea dataOnly="0" labelOnly="1" outline="0" fieldPosition="0">
        <references count="7">
          <reference field="1" count="1" selected="0">
            <x v="0"/>
          </reference>
          <reference field="5" count="1" selected="0">
            <x v="14"/>
          </reference>
          <reference field="11" count="1" selected="0">
            <x v="176"/>
          </reference>
          <reference field="12" count="1" selected="0">
            <x v="5"/>
          </reference>
          <reference field="19" count="1">
            <x v="0"/>
          </reference>
          <reference field="21" count="1" selected="0">
            <x v="0"/>
          </reference>
          <reference field="25" count="1" selected="0">
            <x v="0"/>
          </reference>
        </references>
      </pivotArea>
    </format>
    <format dxfId="1409">
      <pivotArea dataOnly="0" labelOnly="1" outline="0" fieldPosition="0">
        <references count="7">
          <reference field="1" count="1" selected="0">
            <x v="0"/>
          </reference>
          <reference field="5" count="1" selected="0">
            <x v="14"/>
          </reference>
          <reference field="11" count="1" selected="0">
            <x v="177"/>
          </reference>
          <reference field="12" count="1" selected="0">
            <x v="6"/>
          </reference>
          <reference field="19" count="1">
            <x v="0"/>
          </reference>
          <reference field="21" count="1" selected="0">
            <x v="0"/>
          </reference>
          <reference field="25" count="1" selected="0">
            <x v="3"/>
          </reference>
        </references>
      </pivotArea>
    </format>
    <format dxfId="1408">
      <pivotArea dataOnly="0" labelOnly="1" outline="0" fieldPosition="0">
        <references count="7">
          <reference field="1" count="1" selected="0">
            <x v="0"/>
          </reference>
          <reference field="5" count="1" selected="0">
            <x v="14"/>
          </reference>
          <reference field="11" count="1" selected="0">
            <x v="181"/>
          </reference>
          <reference field="12" count="1" selected="0">
            <x v="8"/>
          </reference>
          <reference field="19" count="1">
            <x v="0"/>
          </reference>
          <reference field="21" count="1" selected="0">
            <x v="0"/>
          </reference>
          <reference field="25" count="1" selected="0">
            <x v="0"/>
          </reference>
        </references>
      </pivotArea>
    </format>
    <format dxfId="1407">
      <pivotArea dataOnly="0" labelOnly="1" outline="0" fieldPosition="0">
        <references count="7">
          <reference field="1" count="1" selected="0">
            <x v="0"/>
          </reference>
          <reference field="5" count="1" selected="0">
            <x v="14"/>
          </reference>
          <reference field="11" count="1" selected="0">
            <x v="189"/>
          </reference>
          <reference field="12" count="1" selected="0">
            <x v="0"/>
          </reference>
          <reference field="19" count="1">
            <x v="0"/>
          </reference>
          <reference field="21" count="1" selected="0">
            <x v="0"/>
          </reference>
          <reference field="25" count="1" selected="0">
            <x v="0"/>
          </reference>
        </references>
      </pivotArea>
    </format>
    <format dxfId="1406">
      <pivotArea dataOnly="0" labelOnly="1" outline="0" fieldPosition="0">
        <references count="7">
          <reference field="1" count="1" selected="0">
            <x v="0"/>
          </reference>
          <reference field="5" count="1" selected="0">
            <x v="14"/>
          </reference>
          <reference field="11" count="1" selected="0">
            <x v="190"/>
          </reference>
          <reference field="12" count="1" selected="0">
            <x v="3"/>
          </reference>
          <reference field="19" count="1">
            <x v="0"/>
          </reference>
          <reference field="21" count="1" selected="0">
            <x v="0"/>
          </reference>
          <reference field="25" count="1" selected="0">
            <x v="3"/>
          </reference>
        </references>
      </pivotArea>
    </format>
    <format dxfId="1405">
      <pivotArea dataOnly="0" labelOnly="1" outline="0" fieldPosition="0">
        <references count="7">
          <reference field="1" count="1" selected="0">
            <x v="0"/>
          </reference>
          <reference field="5" count="1" selected="0">
            <x v="14"/>
          </reference>
          <reference field="11" count="1" selected="0">
            <x v="191"/>
          </reference>
          <reference field="12" count="1" selected="0">
            <x v="2"/>
          </reference>
          <reference field="19" count="1">
            <x v="0"/>
          </reference>
          <reference field="21" count="1" selected="0">
            <x v="0"/>
          </reference>
          <reference field="25" count="1" selected="0">
            <x v="0"/>
          </reference>
        </references>
      </pivotArea>
    </format>
    <format dxfId="1404">
      <pivotArea dataOnly="0" labelOnly="1" outline="0" fieldPosition="0">
        <references count="7">
          <reference field="1" count="1" selected="0">
            <x v="0"/>
          </reference>
          <reference field="5" count="1" selected="0">
            <x v="14"/>
          </reference>
          <reference field="11" count="1" selected="0">
            <x v="192"/>
          </reference>
          <reference field="12" count="1" selected="0">
            <x v="4"/>
          </reference>
          <reference field="19" count="1">
            <x v="0"/>
          </reference>
          <reference field="21" count="1" selected="0">
            <x v="0"/>
          </reference>
          <reference field="25" count="1" selected="0">
            <x v="0"/>
          </reference>
        </references>
      </pivotArea>
    </format>
    <format dxfId="1403">
      <pivotArea dataOnly="0" labelOnly="1" outline="0" fieldPosition="0">
        <references count="7">
          <reference field="1" count="1" selected="0">
            <x v="0"/>
          </reference>
          <reference field="5" count="1" selected="0">
            <x v="14"/>
          </reference>
          <reference field="11" count="1" selected="0">
            <x v="204"/>
          </reference>
          <reference field="12" count="1" selected="0">
            <x v="21"/>
          </reference>
          <reference field="19" count="1">
            <x v="0"/>
          </reference>
          <reference field="21" count="1" selected="0">
            <x v="0"/>
          </reference>
          <reference field="25" count="1" selected="0">
            <x v="3"/>
          </reference>
        </references>
      </pivotArea>
    </format>
    <format dxfId="1402">
      <pivotArea dataOnly="0" labelOnly="1" outline="0" fieldPosition="0">
        <references count="7">
          <reference field="1" count="1" selected="0">
            <x v="0"/>
          </reference>
          <reference field="5" count="1" selected="0">
            <x v="14"/>
          </reference>
          <reference field="11" count="1" selected="0">
            <x v="229"/>
          </reference>
          <reference field="12" count="1" selected="0">
            <x v="22"/>
          </reference>
          <reference field="19" count="1">
            <x v="0"/>
          </reference>
          <reference field="21" count="1" selected="0">
            <x v="0"/>
          </reference>
          <reference field="25" count="1" selected="0">
            <x v="3"/>
          </reference>
        </references>
      </pivotArea>
    </format>
    <format dxfId="1401">
      <pivotArea dataOnly="0" labelOnly="1" outline="0" fieldPosition="0">
        <references count="7">
          <reference field="1" count="1" selected="0">
            <x v="0"/>
          </reference>
          <reference field="5" count="1" selected="0">
            <x v="17"/>
          </reference>
          <reference field="11" count="1" selected="0">
            <x v="196"/>
          </reference>
          <reference field="12" count="1" selected="0">
            <x v="74"/>
          </reference>
          <reference field="19" count="1">
            <x v="0"/>
          </reference>
          <reference field="21" count="1" selected="0">
            <x v="1"/>
          </reference>
          <reference field="25" count="1" selected="0">
            <x v="4"/>
          </reference>
        </references>
      </pivotArea>
    </format>
    <format dxfId="1400">
      <pivotArea dataOnly="0" labelOnly="1" outline="0" fieldPosition="0">
        <references count="7">
          <reference field="1" count="1" selected="0">
            <x v="0"/>
          </reference>
          <reference field="5" count="1" selected="0">
            <x v="17"/>
          </reference>
          <reference field="11" count="1" selected="0">
            <x v="213"/>
          </reference>
          <reference field="12" count="1" selected="0">
            <x v="221"/>
          </reference>
          <reference field="19" count="1">
            <x v="0"/>
          </reference>
          <reference field="21" count="1" selected="0">
            <x v="1"/>
          </reference>
          <reference field="25" count="1" selected="0">
            <x v="4"/>
          </reference>
        </references>
      </pivotArea>
    </format>
    <format dxfId="1399">
      <pivotArea dataOnly="0" labelOnly="1" outline="0" fieldPosition="0">
        <references count="7">
          <reference field="1" count="1" selected="0">
            <x v="0"/>
          </reference>
          <reference field="5" count="1" selected="0">
            <x v="17"/>
          </reference>
          <reference field="11" count="1" selected="0">
            <x v="231"/>
          </reference>
          <reference field="12" count="1" selected="0">
            <x v="234"/>
          </reference>
          <reference field="19" count="1">
            <x v="0"/>
          </reference>
          <reference field="21" count="1" selected="0">
            <x v="0"/>
          </reference>
          <reference field="25" count="1" selected="0">
            <x v="0"/>
          </reference>
        </references>
      </pivotArea>
    </format>
    <format dxfId="1398">
      <pivotArea dataOnly="0" labelOnly="1" outline="0" fieldPosition="0">
        <references count="7">
          <reference field="1" count="1" selected="0">
            <x v="0"/>
          </reference>
          <reference field="5" count="1" selected="0">
            <x v="18"/>
          </reference>
          <reference field="11" count="1" selected="0">
            <x v="38"/>
          </reference>
          <reference field="12" count="1" selected="0">
            <x v="169"/>
          </reference>
          <reference field="19" count="1">
            <x v="0"/>
          </reference>
          <reference field="21" count="1" selected="0">
            <x v="1"/>
          </reference>
          <reference field="25" count="1" selected="0">
            <x v="4"/>
          </reference>
        </references>
      </pivotArea>
    </format>
    <format dxfId="1397">
      <pivotArea dataOnly="0" labelOnly="1" outline="0" fieldPosition="0">
        <references count="7">
          <reference field="1" count="1" selected="0">
            <x v="0"/>
          </reference>
          <reference field="5" count="1" selected="0">
            <x v="18"/>
          </reference>
          <reference field="11" count="1" selected="0">
            <x v="61"/>
          </reference>
          <reference field="12" count="1" selected="0">
            <x v="130"/>
          </reference>
          <reference field="19" count="1">
            <x v="1"/>
          </reference>
          <reference field="21" count="1" selected="0">
            <x v="1"/>
          </reference>
          <reference field="25" count="1" selected="0">
            <x v="4"/>
          </reference>
        </references>
      </pivotArea>
    </format>
    <format dxfId="1396">
      <pivotArea dataOnly="0" labelOnly="1" outline="0" fieldPosition="0">
        <references count="7">
          <reference field="1" count="1" selected="0">
            <x v="0"/>
          </reference>
          <reference field="5" count="1" selected="0">
            <x v="18"/>
          </reference>
          <reference field="11" count="1" selected="0">
            <x v="179"/>
          </reference>
          <reference field="12" count="1" selected="0">
            <x v="66"/>
          </reference>
          <reference field="19" count="1">
            <x v="0"/>
          </reference>
          <reference field="21" count="1" selected="0">
            <x v="0"/>
          </reference>
          <reference field="25" count="1" selected="0">
            <x v="0"/>
          </reference>
        </references>
      </pivotArea>
    </format>
    <format dxfId="1395">
      <pivotArea dataOnly="0" labelOnly="1" outline="0" fieldPosition="0">
        <references count="7">
          <reference field="1" count="1" selected="0">
            <x v="0"/>
          </reference>
          <reference field="5" count="1" selected="0">
            <x v="18"/>
          </reference>
          <reference field="11" count="1" selected="0">
            <x v="180"/>
          </reference>
          <reference field="12" count="1" selected="0">
            <x v="67"/>
          </reference>
          <reference field="19" count="1">
            <x v="0"/>
          </reference>
          <reference field="21" count="1" selected="0">
            <x v="0"/>
          </reference>
          <reference field="25" count="1" selected="0">
            <x v="1"/>
          </reference>
        </references>
      </pivotArea>
    </format>
    <format dxfId="1394">
      <pivotArea dataOnly="0" labelOnly="1" outline="0" fieldPosition="0">
        <references count="7">
          <reference field="1" count="1" selected="0">
            <x v="0"/>
          </reference>
          <reference field="5" count="1" selected="0">
            <x v="19"/>
          </reference>
          <reference field="11" count="1" selected="0">
            <x v="185"/>
          </reference>
          <reference field="12" count="1" selected="0">
            <x v="175"/>
          </reference>
          <reference field="19" count="1">
            <x v="0"/>
          </reference>
          <reference field="21" count="1" selected="0">
            <x v="0"/>
          </reference>
          <reference field="25" count="1" selected="0">
            <x v="4"/>
          </reference>
        </references>
      </pivotArea>
    </format>
    <format dxfId="1393">
      <pivotArea dataOnly="0" labelOnly="1" outline="0" fieldPosition="0">
        <references count="7">
          <reference field="1" count="1" selected="0">
            <x v="0"/>
          </reference>
          <reference field="5" count="1" selected="0">
            <x v="19"/>
          </reference>
          <reference field="11" count="1" selected="0">
            <x v="236"/>
          </reference>
          <reference field="12" count="1" selected="0">
            <x v="238"/>
          </reference>
          <reference field="19" count="1">
            <x v="0"/>
          </reference>
          <reference field="21" count="1" selected="0">
            <x v="0"/>
          </reference>
          <reference field="25" count="1" selected="0">
            <x v="4"/>
          </reference>
        </references>
      </pivotArea>
    </format>
    <format dxfId="1392">
      <pivotArea dataOnly="0" labelOnly="1" outline="0" fieldPosition="0">
        <references count="7">
          <reference field="1" count="1" selected="0">
            <x v="0"/>
          </reference>
          <reference field="5" count="1" selected="0">
            <x v="19"/>
          </reference>
          <reference field="11" count="1" selected="0">
            <x v="237"/>
          </reference>
          <reference field="12" count="1" selected="0">
            <x v="239"/>
          </reference>
          <reference field="19" count="1">
            <x v="0"/>
          </reference>
          <reference field="21" count="1" selected="0">
            <x v="0"/>
          </reference>
          <reference field="25" count="1" selected="0">
            <x v="4"/>
          </reference>
        </references>
      </pivotArea>
    </format>
    <format dxfId="1391">
      <pivotArea dataOnly="0" labelOnly="1" outline="0" fieldPosition="0">
        <references count="7">
          <reference field="1" count="1" selected="0">
            <x v="0"/>
          </reference>
          <reference field="5" count="1" selected="0">
            <x v="20"/>
          </reference>
          <reference field="11" count="1" selected="0">
            <x v="17"/>
          </reference>
          <reference field="12" count="1" selected="0">
            <x v="108"/>
          </reference>
          <reference field="19" count="1">
            <x v="1"/>
          </reference>
          <reference field="21" count="1" selected="0">
            <x v="0"/>
          </reference>
          <reference field="25" count="1" selected="0">
            <x v="2"/>
          </reference>
        </references>
      </pivotArea>
    </format>
    <format dxfId="1390">
      <pivotArea dataOnly="0" labelOnly="1" outline="0" fieldPosition="0">
        <references count="7">
          <reference field="1" count="1" selected="0">
            <x v="0"/>
          </reference>
          <reference field="5" count="1" selected="0">
            <x v="20"/>
          </reference>
          <reference field="11" count="1" selected="0">
            <x v="33"/>
          </reference>
          <reference field="12" count="1" selected="0">
            <x v="27"/>
          </reference>
          <reference field="19" count="1">
            <x v="0"/>
          </reference>
          <reference field="21" count="1" selected="0">
            <x v="0"/>
          </reference>
          <reference field="25" count="1" selected="0">
            <x v="3"/>
          </reference>
        </references>
      </pivotArea>
    </format>
    <format dxfId="1389">
      <pivotArea dataOnly="0" labelOnly="1" outline="0" fieldPosition="0">
        <references count="7">
          <reference field="1" count="1" selected="0">
            <x v="0"/>
          </reference>
          <reference field="5" count="1" selected="0">
            <x v="20"/>
          </reference>
          <reference field="11" count="1" selected="0">
            <x v="34"/>
          </reference>
          <reference field="12" count="1" selected="0">
            <x v="110"/>
          </reference>
          <reference field="19" count="1">
            <x v="1"/>
          </reference>
          <reference field="21" count="1" selected="0">
            <x v="0"/>
          </reference>
          <reference field="25" count="1" selected="0">
            <x v="0"/>
          </reference>
        </references>
      </pivotArea>
    </format>
    <format dxfId="1388">
      <pivotArea dataOnly="0" labelOnly="1" outline="0" fieldPosition="0">
        <references count="7">
          <reference field="1" count="1" selected="0">
            <x v="0"/>
          </reference>
          <reference field="5" count="1" selected="0">
            <x v="20"/>
          </reference>
          <reference field="11" count="1" selected="0">
            <x v="44"/>
          </reference>
          <reference field="12" count="1" selected="0">
            <x v="176"/>
          </reference>
          <reference field="19" count="1">
            <x v="1"/>
          </reference>
          <reference field="21" count="1" selected="0">
            <x v="2"/>
          </reference>
          <reference field="25" count="1" selected="0">
            <x v="4"/>
          </reference>
        </references>
      </pivotArea>
    </format>
    <format dxfId="1387">
      <pivotArea dataOnly="0" labelOnly="1" outline="0" fieldPosition="0">
        <references count="7">
          <reference field="1" count="1" selected="0">
            <x v="0"/>
          </reference>
          <reference field="5" count="1" selected="0">
            <x v="20"/>
          </reference>
          <reference field="11" count="1" selected="0">
            <x v="48"/>
          </reference>
          <reference field="12" count="1" selected="0">
            <x v="116"/>
          </reference>
          <reference field="19" count="1">
            <x v="1"/>
          </reference>
          <reference field="21" count="1" selected="0">
            <x v="0"/>
          </reference>
          <reference field="25" count="1" selected="0">
            <x v="2"/>
          </reference>
        </references>
      </pivotArea>
    </format>
    <format dxfId="1386">
      <pivotArea dataOnly="0" labelOnly="1" outline="0" fieldPosition="0">
        <references count="7">
          <reference field="1" count="1" selected="0">
            <x v="0"/>
          </reference>
          <reference field="5" count="1" selected="0">
            <x v="20"/>
          </reference>
          <reference field="11" count="1" selected="0">
            <x v="75"/>
          </reference>
          <reference field="12" count="1" selected="0">
            <x v="26"/>
          </reference>
          <reference field="19" count="1">
            <x v="0"/>
          </reference>
          <reference field="21" count="1" selected="0">
            <x v="0"/>
          </reference>
          <reference field="25" count="1" selected="0">
            <x v="0"/>
          </reference>
        </references>
      </pivotArea>
    </format>
    <format dxfId="1385">
      <pivotArea dataOnly="0" labelOnly="1" outline="0" fieldPosition="0">
        <references count="7">
          <reference field="1" count="1" selected="0">
            <x v="0"/>
          </reference>
          <reference field="5" count="1" selected="0">
            <x v="20"/>
          </reference>
          <reference field="11" count="1" selected="0">
            <x v="76"/>
          </reference>
          <reference field="12" count="1" selected="0">
            <x v="114"/>
          </reference>
          <reference field="19" count="1">
            <x v="1"/>
          </reference>
          <reference field="21" count="1" selected="0">
            <x v="0"/>
          </reference>
          <reference field="25" count="1" selected="0">
            <x v="2"/>
          </reference>
        </references>
      </pivotArea>
    </format>
    <format dxfId="1384">
      <pivotArea dataOnly="0" labelOnly="1" outline="0" fieldPosition="0">
        <references count="7">
          <reference field="1" count="1" selected="0">
            <x v="0"/>
          </reference>
          <reference field="5" count="1" selected="0">
            <x v="20"/>
          </reference>
          <reference field="11" count="1" selected="0">
            <x v="78"/>
          </reference>
          <reference field="12" count="1" selected="0">
            <x v="30"/>
          </reference>
          <reference field="19" count="1">
            <x v="0"/>
          </reference>
          <reference field="21" count="1" selected="0">
            <x v="0"/>
          </reference>
          <reference field="25" count="1" selected="0">
            <x v="3"/>
          </reference>
        </references>
      </pivotArea>
    </format>
    <format dxfId="1383">
      <pivotArea dataOnly="0" labelOnly="1" outline="0" fieldPosition="0">
        <references count="7">
          <reference field="1" count="1" selected="0">
            <x v="0"/>
          </reference>
          <reference field="5" count="1" selected="0">
            <x v="20"/>
          </reference>
          <reference field="11" count="1" selected="0">
            <x v="79"/>
          </reference>
          <reference field="12" count="1" selected="0">
            <x v="28"/>
          </reference>
          <reference field="19" count="1">
            <x v="0"/>
          </reference>
          <reference field="21" count="1" selected="0">
            <x v="0"/>
          </reference>
          <reference field="25" count="1" selected="0">
            <x v="2"/>
          </reference>
        </references>
      </pivotArea>
    </format>
    <format dxfId="1382">
      <pivotArea dataOnly="0" labelOnly="1" outline="0" fieldPosition="0">
        <references count="7">
          <reference field="1" count="1" selected="0">
            <x v="0"/>
          </reference>
          <reference field="5" count="1" selected="0">
            <x v="20"/>
          </reference>
          <reference field="11" count="1" selected="0">
            <x v="80"/>
          </reference>
          <reference field="12" count="1" selected="0">
            <x v="39"/>
          </reference>
          <reference field="19" count="1">
            <x v="0"/>
          </reference>
          <reference field="21" count="1" selected="0">
            <x v="0"/>
          </reference>
          <reference field="25" count="1" selected="0">
            <x v="0"/>
          </reference>
        </references>
      </pivotArea>
    </format>
    <format dxfId="1381">
      <pivotArea dataOnly="0" labelOnly="1" outline="0" fieldPosition="0">
        <references count="7">
          <reference field="1" count="1" selected="0">
            <x v="0"/>
          </reference>
          <reference field="5" count="1" selected="0">
            <x v="20"/>
          </reference>
          <reference field="11" count="1" selected="0">
            <x v="81"/>
          </reference>
          <reference field="12" count="1" selected="0">
            <x v="38"/>
          </reference>
          <reference field="19" count="1">
            <x v="0"/>
          </reference>
          <reference field="21" count="1" selected="0">
            <x v="0"/>
          </reference>
          <reference field="25" count="1" selected="0">
            <x v="0"/>
          </reference>
        </references>
      </pivotArea>
    </format>
    <format dxfId="1380">
      <pivotArea dataOnly="0" labelOnly="1" outline="0" fieldPosition="0">
        <references count="7">
          <reference field="1" count="1" selected="0">
            <x v="0"/>
          </reference>
          <reference field="5" count="1" selected="0">
            <x v="20"/>
          </reference>
          <reference field="11" count="1" selected="0">
            <x v="151"/>
          </reference>
          <reference field="12" count="1" selected="0">
            <x v="32"/>
          </reference>
          <reference field="19" count="1">
            <x v="0"/>
          </reference>
          <reference field="21" count="1" selected="0">
            <x v="0"/>
          </reference>
          <reference field="25" count="1" selected="0">
            <x v="3"/>
          </reference>
        </references>
      </pivotArea>
    </format>
    <format dxfId="1379">
      <pivotArea dataOnly="0" labelOnly="1" outline="0" fieldPosition="0">
        <references count="7">
          <reference field="1" count="1" selected="0">
            <x v="0"/>
          </reference>
          <reference field="5" count="1" selected="0">
            <x v="20"/>
          </reference>
          <reference field="11" count="1" selected="0">
            <x v="165"/>
          </reference>
          <reference field="12" count="1" selected="0">
            <x v="135"/>
          </reference>
          <reference field="19" count="1">
            <x v="1"/>
          </reference>
          <reference field="21" count="1" selected="0">
            <x v="0"/>
          </reference>
          <reference field="25" count="1" selected="0">
            <x v="2"/>
          </reference>
        </references>
      </pivotArea>
    </format>
    <format dxfId="1378">
      <pivotArea dataOnly="0" labelOnly="1" outline="0" fieldPosition="0">
        <references count="7">
          <reference field="1" count="1" selected="0">
            <x v="0"/>
          </reference>
          <reference field="5" count="1" selected="0">
            <x v="20"/>
          </reference>
          <reference field="11" count="1" selected="0">
            <x v="166"/>
          </reference>
          <reference field="12" count="1" selected="0">
            <x v="31"/>
          </reference>
          <reference field="19" count="1">
            <x v="0"/>
          </reference>
          <reference field="21" count="1" selected="0">
            <x v="0"/>
          </reference>
          <reference field="25" count="1" selected="0">
            <x v="3"/>
          </reference>
        </references>
      </pivotArea>
    </format>
    <format dxfId="1377">
      <pivotArea dataOnly="0" labelOnly="1" outline="0" fieldPosition="0">
        <references count="7">
          <reference field="1" count="1" selected="0">
            <x v="0"/>
          </reference>
          <reference field="5" count="1" selected="0">
            <x v="20"/>
          </reference>
          <reference field="11" count="1" selected="0">
            <x v="167"/>
          </reference>
          <reference field="12" count="1" selected="0">
            <x v="24"/>
          </reference>
          <reference field="19" count="1">
            <x v="0"/>
          </reference>
          <reference field="21" count="1" selected="0">
            <x v="0"/>
          </reference>
          <reference field="25" count="1" selected="0">
            <x v="0"/>
          </reference>
        </references>
      </pivotArea>
    </format>
    <format dxfId="1376">
      <pivotArea dataOnly="0" labelOnly="1" outline="0" fieldPosition="0">
        <references count="7">
          <reference field="1" count="1" selected="0">
            <x v="0"/>
          </reference>
          <reference field="5" count="1" selected="0">
            <x v="20"/>
          </reference>
          <reference field="11" count="1" selected="0">
            <x v="168"/>
          </reference>
          <reference field="12" count="1" selected="0">
            <x v="29"/>
          </reference>
          <reference field="19" count="1">
            <x v="0"/>
          </reference>
          <reference field="21" count="1" selected="0">
            <x v="0"/>
          </reference>
          <reference field="25" count="1" selected="0">
            <x v="3"/>
          </reference>
        </references>
      </pivotArea>
    </format>
    <format dxfId="1375">
      <pivotArea dataOnly="0" labelOnly="1" outline="0" fieldPosition="0">
        <references count="7">
          <reference field="1" count="1" selected="0">
            <x v="0"/>
          </reference>
          <reference field="5" count="1" selected="0">
            <x v="20"/>
          </reference>
          <reference field="11" count="1" selected="0">
            <x v="169"/>
          </reference>
          <reference field="12" count="1" selected="0">
            <x v="25"/>
          </reference>
          <reference field="19" count="1">
            <x v="0"/>
          </reference>
          <reference field="21" count="1" selected="0">
            <x v="0"/>
          </reference>
          <reference field="25" count="1" selected="0">
            <x v="3"/>
          </reference>
        </references>
      </pivotArea>
    </format>
    <format dxfId="1374">
      <pivotArea dataOnly="0" labelOnly="1" outline="0" fieldPosition="0">
        <references count="7">
          <reference field="1" count="1" selected="0">
            <x v="0"/>
          </reference>
          <reference field="5" count="1" selected="0">
            <x v="20"/>
          </reference>
          <reference field="11" count="1" selected="0">
            <x v="178"/>
          </reference>
          <reference field="12" count="1" selected="0">
            <x v="40"/>
          </reference>
          <reference field="19" count="1">
            <x v="0"/>
          </reference>
          <reference field="21" count="1" selected="0">
            <x v="0"/>
          </reference>
          <reference field="25" count="1" selected="0">
            <x v="0"/>
          </reference>
        </references>
      </pivotArea>
    </format>
    <format dxfId="1373">
      <pivotArea dataOnly="0" labelOnly="1" outline="0" fieldPosition="0">
        <references count="7">
          <reference field="1" count="1" selected="0">
            <x v="0"/>
          </reference>
          <reference field="5" count="1" selected="0">
            <x v="20"/>
          </reference>
          <reference field="11" count="1" selected="0">
            <x v="193"/>
          </reference>
          <reference field="12" count="1" selected="0">
            <x v="36"/>
          </reference>
          <reference field="19" count="1">
            <x v="0"/>
          </reference>
          <reference field="21" count="1" selected="0">
            <x v="0"/>
          </reference>
          <reference field="25" count="1" selected="0">
            <x v="3"/>
          </reference>
        </references>
      </pivotArea>
    </format>
    <format dxfId="1372">
      <pivotArea dataOnly="0" labelOnly="1" outline="0" fieldPosition="0">
        <references count="7">
          <reference field="1" count="1" selected="0">
            <x v="0"/>
          </reference>
          <reference field="5" count="1" selected="0">
            <x v="20"/>
          </reference>
          <reference field="11" count="1" selected="0">
            <x v="197"/>
          </reference>
          <reference field="12" count="1" selected="0">
            <x v="37"/>
          </reference>
          <reference field="19" count="1">
            <x v="0"/>
          </reference>
          <reference field="21" count="1" selected="0">
            <x v="0"/>
          </reference>
          <reference field="25" count="1" selected="0">
            <x v="3"/>
          </reference>
        </references>
      </pivotArea>
    </format>
    <format dxfId="1371">
      <pivotArea dataOnly="0" labelOnly="1" outline="0" fieldPosition="0">
        <references count="7">
          <reference field="1" count="1" selected="0">
            <x v="0"/>
          </reference>
          <reference field="5" count="1" selected="0">
            <x v="20"/>
          </reference>
          <reference field="11" count="1" selected="0">
            <x v="201"/>
          </reference>
          <reference field="12" count="1" selected="0">
            <x v="111"/>
          </reference>
          <reference field="19" count="1">
            <x v="1"/>
          </reference>
          <reference field="21" count="1" selected="0">
            <x v="0"/>
          </reference>
          <reference field="25" count="1" selected="0">
            <x v="2"/>
          </reference>
        </references>
      </pivotArea>
    </format>
    <format dxfId="1370">
      <pivotArea dataOnly="0" labelOnly="1" outline="0" fieldPosition="0">
        <references count="7">
          <reference field="1" count="1" selected="0">
            <x v="0"/>
          </reference>
          <reference field="5" count="1" selected="0">
            <x v="20"/>
          </reference>
          <reference field="11" count="1" selected="0">
            <x v="228"/>
          </reference>
          <reference field="12" count="1" selected="0">
            <x v="115"/>
          </reference>
          <reference field="19" count="1">
            <x v="1"/>
          </reference>
          <reference field="21" count="1" selected="0">
            <x v="0"/>
          </reference>
          <reference field="25" count="1" selected="0">
            <x v="0"/>
          </reference>
        </references>
      </pivotArea>
    </format>
    <format dxfId="1369">
      <pivotArea dataOnly="0" labelOnly="1" outline="0" fieldPosition="0">
        <references count="7">
          <reference field="1" count="1" selected="0">
            <x v="0"/>
          </reference>
          <reference field="5" count="1" selected="0">
            <x v="20"/>
          </reference>
          <reference field="11" count="1" selected="0">
            <x v="230"/>
          </reference>
          <reference field="12" count="1" selected="0">
            <x v="107"/>
          </reference>
          <reference field="19" count="1">
            <x v="1"/>
          </reference>
          <reference field="21" count="1" selected="0">
            <x v="0"/>
          </reference>
          <reference field="25" count="1" selected="0">
            <x v="0"/>
          </reference>
        </references>
      </pivotArea>
    </format>
    <format dxfId="1368">
      <pivotArea dataOnly="0" labelOnly="1" outline="0" fieldPosition="0">
        <references count="7">
          <reference field="1" count="1" selected="0">
            <x v="1"/>
          </reference>
          <reference field="5" count="1" selected="0">
            <x v="3"/>
          </reference>
          <reference field="11" count="1" selected="0">
            <x v="148"/>
          </reference>
          <reference field="12" count="1" selected="0">
            <x v="212"/>
          </reference>
          <reference field="19" count="1">
            <x v="1"/>
          </reference>
          <reference field="21" count="1" selected="0">
            <x v="1"/>
          </reference>
          <reference field="25" count="1" selected="0">
            <x v="4"/>
          </reference>
        </references>
      </pivotArea>
    </format>
    <format dxfId="1367">
      <pivotArea dataOnly="0" labelOnly="1" outline="0" fieldPosition="0">
        <references count="7">
          <reference field="1" count="1" selected="0">
            <x v="1"/>
          </reference>
          <reference field="5" count="1" selected="0">
            <x v="3"/>
          </reference>
          <reference field="11" count="1" selected="0">
            <x v="232"/>
          </reference>
          <reference field="12" count="1" selected="0">
            <x v="233"/>
          </reference>
          <reference field="19" count="1">
            <x v="0"/>
          </reference>
          <reference field="21" count="1" selected="0">
            <x v="0"/>
          </reference>
          <reference field="25" count="1" selected="0">
            <x v="0"/>
          </reference>
        </references>
      </pivotArea>
    </format>
    <format dxfId="1366">
      <pivotArea dataOnly="0" labelOnly="1" outline="0" fieldPosition="0">
        <references count="7">
          <reference field="1" count="1" selected="0">
            <x v="1"/>
          </reference>
          <reference field="5" count="1" selected="0">
            <x v="3"/>
          </reference>
          <reference field="11" count="1" selected="0">
            <x v="247"/>
          </reference>
          <reference field="12" count="1" selected="0">
            <x v="250"/>
          </reference>
          <reference field="19" count="1">
            <x v="0"/>
          </reference>
          <reference field="21" count="1" selected="0">
            <x v="0"/>
          </reference>
          <reference field="25" count="1" selected="0">
            <x v="4"/>
          </reference>
        </references>
      </pivotArea>
    </format>
    <format dxfId="1365">
      <pivotArea dataOnly="0" labelOnly="1" outline="0" fieldPosition="0">
        <references count="7">
          <reference field="1" count="1" selected="0">
            <x v="1"/>
          </reference>
          <reference field="5" count="1" selected="0">
            <x v="6"/>
          </reference>
          <reference field="11" count="1" selected="0">
            <x v="51"/>
          </reference>
          <reference field="12" count="1" selected="0">
            <x v="203"/>
          </reference>
          <reference field="19" count="1">
            <x v="0"/>
          </reference>
          <reference field="21" count="1" selected="0">
            <x v="0"/>
          </reference>
          <reference field="25" count="1" selected="0">
            <x v="0"/>
          </reference>
        </references>
      </pivotArea>
    </format>
    <format dxfId="1364">
      <pivotArea dataOnly="0" labelOnly="1" outline="0" fieldPosition="0">
        <references count="7">
          <reference field="1" count="1" selected="0">
            <x v="1"/>
          </reference>
          <reference field="5" count="1" selected="0">
            <x v="6"/>
          </reference>
          <reference field="11" count="1" selected="0">
            <x v="52"/>
          </reference>
          <reference field="12" count="1" selected="0">
            <x v="204"/>
          </reference>
          <reference field="19" count="1">
            <x v="0"/>
          </reference>
          <reference field="21" count="1" selected="0">
            <x v="0"/>
          </reference>
          <reference field="25" count="1" selected="0">
            <x v="0"/>
          </reference>
        </references>
      </pivotArea>
    </format>
    <format dxfId="1363">
      <pivotArea dataOnly="0" labelOnly="1" outline="0" fieldPosition="0">
        <references count="7">
          <reference field="1" count="1" selected="0">
            <x v="1"/>
          </reference>
          <reference field="5" count="1" selected="0">
            <x v="6"/>
          </reference>
          <reference field="11" count="1" selected="0">
            <x v="53"/>
          </reference>
          <reference field="12" count="1" selected="0">
            <x v="205"/>
          </reference>
          <reference field="19" count="1">
            <x v="0"/>
          </reference>
          <reference field="21" count="1" selected="0">
            <x v="0"/>
          </reference>
          <reference field="25" count="1" selected="0">
            <x v="5"/>
          </reference>
        </references>
      </pivotArea>
    </format>
    <format dxfId="1362">
      <pivotArea dataOnly="0" labelOnly="1" outline="0" fieldPosition="0">
        <references count="7">
          <reference field="1" count="1" selected="0">
            <x v="1"/>
          </reference>
          <reference field="5" count="1" selected="0">
            <x v="6"/>
          </reference>
          <reference field="11" count="1" selected="0">
            <x v="116"/>
          </reference>
          <reference field="12" count="1" selected="0">
            <x v="206"/>
          </reference>
          <reference field="19" count="1">
            <x v="0"/>
          </reference>
          <reference field="21" count="1" selected="0">
            <x v="0"/>
          </reference>
          <reference field="25" count="1" selected="0">
            <x v="0"/>
          </reference>
        </references>
      </pivotArea>
    </format>
    <format dxfId="1361">
      <pivotArea dataOnly="0" labelOnly="1" outline="0" fieldPosition="0">
        <references count="7">
          <reference field="1" count="1" selected="0">
            <x v="1"/>
          </reference>
          <reference field="5" count="1" selected="0">
            <x v="6"/>
          </reference>
          <reference field="11" count="1" selected="0">
            <x v="123"/>
          </reference>
          <reference field="12" count="1" selected="0">
            <x v="196"/>
          </reference>
          <reference field="19" count="1">
            <x v="0"/>
          </reference>
          <reference field="21" count="1" selected="0">
            <x v="0"/>
          </reference>
          <reference field="25" count="1" selected="0">
            <x v="0"/>
          </reference>
        </references>
      </pivotArea>
    </format>
    <format dxfId="1360">
      <pivotArea dataOnly="0" labelOnly="1" outline="0" fieldPosition="0">
        <references count="7">
          <reference field="1" count="1" selected="0">
            <x v="1"/>
          </reference>
          <reference field="5" count="1" selected="0">
            <x v="6"/>
          </reference>
          <reference field="11" count="1" selected="0">
            <x v="137"/>
          </reference>
          <reference field="12" count="1" selected="0">
            <x v="197"/>
          </reference>
          <reference field="19" count="1">
            <x v="0"/>
          </reference>
          <reference field="21" count="1" selected="0">
            <x v="0"/>
          </reference>
          <reference field="25" count="1" selected="0">
            <x v="0"/>
          </reference>
        </references>
      </pivotArea>
    </format>
    <format dxfId="1359">
      <pivotArea dataOnly="0" labelOnly="1" outline="0" fieldPosition="0">
        <references count="7">
          <reference field="1" count="1" selected="0">
            <x v="1"/>
          </reference>
          <reference field="5" count="1" selected="0">
            <x v="6"/>
          </reference>
          <reference field="11" count="1" selected="0">
            <x v="208"/>
          </reference>
          <reference field="12" count="1" selected="0">
            <x v="208"/>
          </reference>
          <reference field="19" count="1">
            <x v="0"/>
          </reference>
          <reference field="21" count="1" selected="0">
            <x v="0"/>
          </reference>
          <reference field="25" count="1" selected="0">
            <x v="0"/>
          </reference>
        </references>
      </pivotArea>
    </format>
    <format dxfId="1358">
      <pivotArea dataOnly="0" labelOnly="1" outline="0" fieldPosition="0">
        <references count="7">
          <reference field="1" count="1" selected="0">
            <x v="1"/>
          </reference>
          <reference field="5" count="1" selected="0">
            <x v="6"/>
          </reference>
          <reference field="11" count="1" selected="0">
            <x v="221"/>
          </reference>
          <reference field="12" count="1" selected="0">
            <x v="229"/>
          </reference>
          <reference field="19" count="1">
            <x v="0"/>
          </reference>
          <reference field="21" count="1" selected="0">
            <x v="0"/>
          </reference>
          <reference field="25" count="1" selected="0">
            <x v="5"/>
          </reference>
        </references>
      </pivotArea>
    </format>
    <format dxfId="1357">
      <pivotArea dataOnly="0" labelOnly="1" outline="0" fieldPosition="0">
        <references count="7">
          <reference field="1" count="1" selected="0">
            <x v="1"/>
          </reference>
          <reference field="5" count="1" selected="0">
            <x v="6"/>
          </reference>
          <reference field="11" count="1" selected="0">
            <x v="239"/>
          </reference>
          <reference field="12" count="1" selected="0">
            <x v="241"/>
          </reference>
          <reference field="19" count="1">
            <x v="0"/>
          </reference>
          <reference field="21" count="1" selected="0">
            <x v="0"/>
          </reference>
          <reference field="25" count="1" selected="0">
            <x v="4"/>
          </reference>
        </references>
      </pivotArea>
    </format>
    <format dxfId="1356">
      <pivotArea dataOnly="0" labelOnly="1" outline="0" fieldPosition="0">
        <references count="7">
          <reference field="1" count="1" selected="0">
            <x v="1"/>
          </reference>
          <reference field="5" count="1" selected="0">
            <x v="6"/>
          </reference>
          <reference field="11" count="1" selected="0">
            <x v="241"/>
          </reference>
          <reference field="12" count="1" selected="0">
            <x v="244"/>
          </reference>
          <reference field="19" count="1">
            <x v="0"/>
          </reference>
          <reference field="21" count="1" selected="0">
            <x v="0"/>
          </reference>
          <reference field="25" count="1" selected="0">
            <x v="4"/>
          </reference>
        </references>
      </pivotArea>
    </format>
    <format dxfId="1355">
      <pivotArea dataOnly="0" labelOnly="1" outline="0" fieldPosition="0">
        <references count="7">
          <reference field="1" count="1" selected="0">
            <x v="1"/>
          </reference>
          <reference field="5" count="1" selected="0">
            <x v="6"/>
          </reference>
          <reference field="11" count="1" selected="0">
            <x v="244"/>
          </reference>
          <reference field="12" count="1" selected="0">
            <x v="249"/>
          </reference>
          <reference field="19" count="1">
            <x v="0"/>
          </reference>
          <reference field="21" count="1" selected="0">
            <x v="0"/>
          </reference>
          <reference field="25" count="1" selected="0">
            <x v="4"/>
          </reference>
        </references>
      </pivotArea>
    </format>
    <format dxfId="1354">
      <pivotArea dataOnly="0" labelOnly="1" outline="0" fieldPosition="0">
        <references count="7">
          <reference field="1" count="1" selected="0">
            <x v="1"/>
          </reference>
          <reference field="5" count="1" selected="0">
            <x v="6"/>
          </reference>
          <reference field="11" count="1" selected="0">
            <x v="248"/>
          </reference>
          <reference field="12" count="1" selected="0">
            <x v="251"/>
          </reference>
          <reference field="19" count="1">
            <x v="0"/>
          </reference>
          <reference field="21" count="1" selected="0">
            <x v="0"/>
          </reference>
          <reference field="25" count="1" selected="0">
            <x v="4"/>
          </reference>
        </references>
      </pivotArea>
    </format>
    <format dxfId="1353">
      <pivotArea dataOnly="0" labelOnly="1" outline="0" fieldPosition="0">
        <references count="7">
          <reference field="1" count="1" selected="0">
            <x v="1"/>
          </reference>
          <reference field="5" count="1" selected="0">
            <x v="9"/>
          </reference>
          <reference field="11" count="1" selected="0">
            <x v="95"/>
          </reference>
          <reference field="12" count="1" selected="0">
            <x v="198"/>
          </reference>
          <reference field="19" count="1">
            <x v="0"/>
          </reference>
          <reference field="21" count="1" selected="0">
            <x v="0"/>
          </reference>
          <reference field="25" count="1" selected="0">
            <x v="0"/>
          </reference>
        </references>
      </pivotArea>
    </format>
    <format dxfId="1352">
      <pivotArea dataOnly="0" labelOnly="1" outline="0" fieldPosition="0">
        <references count="7">
          <reference field="1" count="1" selected="0">
            <x v="1"/>
          </reference>
          <reference field="5" count="1" selected="0">
            <x v="9"/>
          </reference>
          <reference field="11" count="1" selected="0">
            <x v="96"/>
          </reference>
          <reference field="12" count="1" selected="0">
            <x v="213"/>
          </reference>
          <reference field="19" count="1">
            <x v="0"/>
          </reference>
          <reference field="21" count="1" selected="0">
            <x v="0"/>
          </reference>
          <reference field="25" count="1" selected="0">
            <x v="5"/>
          </reference>
        </references>
      </pivotArea>
    </format>
    <format dxfId="1351">
      <pivotArea dataOnly="0" labelOnly="1" outline="0" fieldPosition="0">
        <references count="7">
          <reference field="1" count="1" selected="0">
            <x v="1"/>
          </reference>
          <reference field="5" count="1" selected="0">
            <x v="9"/>
          </reference>
          <reference field="11" count="1" selected="0">
            <x v="246"/>
          </reference>
          <reference field="12" count="1" selected="0">
            <x v="246"/>
          </reference>
          <reference field="19" count="1">
            <x v="0"/>
          </reference>
          <reference field="21" count="1" selected="0">
            <x v="0"/>
          </reference>
          <reference field="25" count="1" selected="0">
            <x v="4"/>
          </reference>
        </references>
      </pivotArea>
    </format>
    <format dxfId="1350">
      <pivotArea dataOnly="0" labelOnly="1" outline="0" fieldPosition="0">
        <references count="7">
          <reference field="1" count="1" selected="0">
            <x v="1"/>
          </reference>
          <reference field="5" count="1" selected="0">
            <x v="13"/>
          </reference>
          <reference field="11" count="1" selected="0">
            <x v="39"/>
          </reference>
          <reference field="12" count="1" selected="0">
            <x v="199"/>
          </reference>
          <reference field="19" count="1">
            <x v="0"/>
          </reference>
          <reference field="21" count="1" selected="0">
            <x v="1"/>
          </reference>
          <reference field="25" count="1" selected="0">
            <x v="4"/>
          </reference>
        </references>
      </pivotArea>
    </format>
    <format dxfId="1349">
      <pivotArea dataOnly="0" labelOnly="1" outline="0" fieldPosition="0">
        <references count="7">
          <reference field="1" count="1" selected="0">
            <x v="1"/>
          </reference>
          <reference field="5" count="1" selected="0">
            <x v="13"/>
          </reference>
          <reference field="11" count="1" selected="0">
            <x v="40"/>
          </reference>
          <reference field="12" count="1" selected="0">
            <x v="209"/>
          </reference>
          <reference field="19" count="1">
            <x v="1"/>
          </reference>
          <reference field="21" count="1" selected="0">
            <x v="1"/>
          </reference>
          <reference field="25" count="1" selected="0">
            <x v="4"/>
          </reference>
        </references>
      </pivotArea>
    </format>
    <format dxfId="1348">
      <pivotArea dataOnly="0" labelOnly="1" outline="0" fieldPosition="0">
        <references count="7">
          <reference field="1" count="1" selected="0">
            <x v="1"/>
          </reference>
          <reference field="5" count="1" selected="0">
            <x v="13"/>
          </reference>
          <reference field="11" count="1" selected="0">
            <x v="120"/>
          </reference>
          <reference field="12" count="1" selected="0">
            <x v="195"/>
          </reference>
          <reference field="19" count="1">
            <x v="1"/>
          </reference>
          <reference field="21" count="1" selected="0">
            <x v="1"/>
          </reference>
          <reference field="25" count="1" selected="0">
            <x v="4"/>
          </reference>
        </references>
      </pivotArea>
    </format>
    <format dxfId="1347">
      <pivotArea dataOnly="0" labelOnly="1" outline="0" fieldPosition="0">
        <references count="7">
          <reference field="1" count="1" selected="0">
            <x v="1"/>
          </reference>
          <reference field="5" count="1" selected="0">
            <x v="13"/>
          </reference>
          <reference field="11" count="1" selected="0">
            <x v="136"/>
          </reference>
          <reference field="12" count="1" selected="0">
            <x v="200"/>
          </reference>
          <reference field="19" count="1">
            <x v="0"/>
          </reference>
          <reference field="21" count="1" selected="0">
            <x v="1"/>
          </reference>
          <reference field="25" count="1" selected="0">
            <x v="4"/>
          </reference>
        </references>
      </pivotArea>
    </format>
    <format dxfId="1346">
      <pivotArea dataOnly="0" labelOnly="1" outline="0" fieldPosition="0">
        <references count="7">
          <reference field="1" count="1" selected="0">
            <x v="1"/>
          </reference>
          <reference field="5" count="1" selected="0">
            <x v="13"/>
          </reference>
          <reference field="11" count="1" selected="0">
            <x v="214"/>
          </reference>
          <reference field="12" count="1" selected="0">
            <x v="222"/>
          </reference>
          <reference field="19" count="1">
            <x v="0"/>
          </reference>
          <reference field="21" count="1" selected="0">
            <x v="0"/>
          </reference>
          <reference field="25" count="1" selected="0">
            <x v="0"/>
          </reference>
        </references>
      </pivotArea>
    </format>
    <format dxfId="1345">
      <pivotArea dataOnly="0" labelOnly="1" outline="0" fieldPosition="0">
        <references count="7">
          <reference field="1" count="1" selected="0">
            <x v="1"/>
          </reference>
          <reference field="5" count="1" selected="0">
            <x v="13"/>
          </reference>
          <reference field="11" count="1" selected="0">
            <x v="217"/>
          </reference>
          <reference field="12" count="1" selected="0">
            <x v="226"/>
          </reference>
          <reference field="19" count="1">
            <x v="0"/>
          </reference>
          <reference field="21" count="1" selected="0">
            <x v="0"/>
          </reference>
          <reference field="25" count="1" selected="0">
            <x v="5"/>
          </reference>
        </references>
      </pivotArea>
    </format>
    <format dxfId="1344">
      <pivotArea dataOnly="0" labelOnly="1" outline="0" fieldPosition="0">
        <references count="7">
          <reference field="1" count="1" selected="0">
            <x v="1"/>
          </reference>
          <reference field="5" count="1" selected="0">
            <x v="15"/>
          </reference>
          <reference field="11" count="1" selected="0">
            <x v="130"/>
          </reference>
          <reference field="12" count="1" selected="0">
            <x v="194"/>
          </reference>
          <reference field="19" count="1">
            <x v="0"/>
          </reference>
          <reference field="21" count="1" selected="0">
            <x v="0"/>
          </reference>
          <reference field="25" count="1" selected="0">
            <x v="0"/>
          </reference>
        </references>
      </pivotArea>
    </format>
    <format dxfId="1343">
      <pivotArea dataOnly="0" labelOnly="1" outline="0" fieldPosition="0">
        <references count="7">
          <reference field="1" count="1" selected="0">
            <x v="1"/>
          </reference>
          <reference field="5" count="1" selected="0">
            <x v="15"/>
          </reference>
          <reference field="11" count="1" selected="0">
            <x v="131"/>
          </reference>
          <reference field="12" count="1" selected="0">
            <x v="191"/>
          </reference>
          <reference field="19" count="1">
            <x v="0"/>
          </reference>
          <reference field="21" count="1" selected="0">
            <x v="0"/>
          </reference>
          <reference field="25" count="1" selected="0">
            <x v="0"/>
          </reference>
        </references>
      </pivotArea>
    </format>
    <format dxfId="1342">
      <pivotArea dataOnly="0" labelOnly="1" outline="0" fieldPosition="0">
        <references count="7">
          <reference field="1" count="1" selected="0">
            <x v="1"/>
          </reference>
          <reference field="5" count="1" selected="0">
            <x v="15"/>
          </reference>
          <reference field="11" count="1" selected="0">
            <x v="132"/>
          </reference>
          <reference field="12" count="1" selected="0">
            <x v="193"/>
          </reference>
          <reference field="19" count="1">
            <x v="0"/>
          </reference>
          <reference field="21" count="1" selected="0">
            <x v="0"/>
          </reference>
          <reference field="25" count="1" selected="0">
            <x v="5"/>
          </reference>
        </references>
      </pivotArea>
    </format>
    <format dxfId="1341">
      <pivotArea dataOnly="0" labelOnly="1" outline="0" fieldPosition="0">
        <references count="7">
          <reference field="1" count="1" selected="0">
            <x v="1"/>
          </reference>
          <reference field="5" count="1" selected="0">
            <x v="15"/>
          </reference>
          <reference field="11" count="1" selected="0">
            <x v="215"/>
          </reference>
          <reference field="12" count="1" selected="0">
            <x v="223"/>
          </reference>
          <reference field="19" count="1">
            <x v="0"/>
          </reference>
          <reference field="21" count="1" selected="0">
            <x v="0"/>
          </reference>
          <reference field="25" count="1" selected="0">
            <x v="0"/>
          </reference>
        </references>
      </pivotArea>
    </format>
    <format dxfId="1340">
      <pivotArea dataOnly="0" labelOnly="1" outline="0" fieldPosition="0">
        <references count="7">
          <reference field="1" count="1" selected="0">
            <x v="1"/>
          </reference>
          <reference field="5" count="1" selected="0">
            <x v="15"/>
          </reference>
          <reference field="11" count="1" selected="0">
            <x v="219"/>
          </reference>
          <reference field="12" count="1" selected="0">
            <x v="224"/>
          </reference>
          <reference field="19" count="1">
            <x v="0"/>
          </reference>
          <reference field="21" count="1" selected="0">
            <x v="0"/>
          </reference>
          <reference field="25" count="1" selected="0">
            <x v="0"/>
          </reference>
        </references>
      </pivotArea>
    </format>
    <format dxfId="1339">
      <pivotArea dataOnly="0" labelOnly="1" outline="0" fieldPosition="0">
        <references count="7">
          <reference field="1" count="1" selected="0">
            <x v="1"/>
          </reference>
          <reference field="5" count="1" selected="0">
            <x v="15"/>
          </reference>
          <reference field="11" count="1" selected="0">
            <x v="242"/>
          </reference>
          <reference field="12" count="1" selected="0">
            <x v="247"/>
          </reference>
          <reference field="19" count="1">
            <x v="0"/>
          </reference>
          <reference field="21" count="1" selected="0">
            <x v="0"/>
          </reference>
          <reference field="25" count="1" selected="0">
            <x v="4"/>
          </reference>
        </references>
      </pivotArea>
    </format>
    <format dxfId="1338">
      <pivotArea dataOnly="0" labelOnly="1" outline="0" fieldPosition="0">
        <references count="7">
          <reference field="1" count="1" selected="0">
            <x v="1"/>
          </reference>
          <reference field="5" count="1" selected="0">
            <x v="15"/>
          </reference>
          <reference field="11" count="1" selected="0">
            <x v="243"/>
          </reference>
          <reference field="12" count="1" selected="0">
            <x v="248"/>
          </reference>
          <reference field="19" count="1">
            <x v="0"/>
          </reference>
          <reference field="21" count="1" selected="0">
            <x v="0"/>
          </reference>
          <reference field="25" count="1" selected="0">
            <x v="4"/>
          </reference>
        </references>
      </pivotArea>
    </format>
    <format dxfId="1337">
      <pivotArea dataOnly="0" labelOnly="1" outline="0" fieldPosition="0">
        <references count="7">
          <reference field="1" count="1" selected="0">
            <x v="1"/>
          </reference>
          <reference field="5" count="1" selected="0">
            <x v="16"/>
          </reference>
          <reference field="11" count="1" selected="0">
            <x v="142"/>
          </reference>
          <reference field="12" count="1" selected="0">
            <x v="202"/>
          </reference>
          <reference field="19" count="1">
            <x v="0"/>
          </reference>
          <reference field="21" count="1" selected="0">
            <x v="0"/>
          </reference>
          <reference field="25" count="1" selected="0">
            <x v="0"/>
          </reference>
        </references>
      </pivotArea>
    </format>
    <format dxfId="1336">
      <pivotArea dataOnly="0" labelOnly="1" outline="0" fieldPosition="0">
        <references count="7">
          <reference field="1" count="1" selected="0">
            <x v="1"/>
          </reference>
          <reference field="5" count="1" selected="0">
            <x v="16"/>
          </reference>
          <reference field="11" count="1" selected="0">
            <x v="143"/>
          </reference>
          <reference field="12" count="1" selected="0">
            <x v="214"/>
          </reference>
          <reference field="19" count="1">
            <x v="0"/>
          </reference>
          <reference field="21" count="1" selected="0">
            <x v="1"/>
          </reference>
          <reference field="25" count="1" selected="0">
            <x v="4"/>
          </reference>
        </references>
      </pivotArea>
    </format>
    <format dxfId="1335">
      <pivotArea dataOnly="0" labelOnly="1" outline="0" fieldPosition="0">
        <references count="7">
          <reference field="1" count="1" selected="0">
            <x v="1"/>
          </reference>
          <reference field="5" count="1" selected="0">
            <x v="16"/>
          </reference>
          <reference field="11" count="1" selected="0">
            <x v="245"/>
          </reference>
          <reference field="12" count="1" selected="0">
            <x v="245"/>
          </reference>
          <reference field="19" count="1">
            <x v="0"/>
          </reference>
          <reference field="21" count="1" selected="0">
            <x v="0"/>
          </reference>
          <reference field="25" count="1" selected="0">
            <x v="4"/>
          </reference>
        </references>
      </pivotArea>
    </format>
    <format dxfId="1334">
      <pivotArea dataOnly="0" labelOnly="1" outline="0" fieldPosition="0">
        <references count="1">
          <reference field="4294967294" count="3">
            <x v="0"/>
            <x v="1"/>
            <x v="2"/>
          </reference>
        </references>
      </pivotArea>
    </format>
    <format dxfId="1333">
      <pivotArea field="1" type="button" dataOnly="0" labelOnly="1" outline="0" axis="axisRow" fieldPosition="0"/>
    </format>
    <format dxfId="1332">
      <pivotArea field="5" type="button" dataOnly="0" labelOnly="1" outline="0" axis="axisRow" fieldPosition="1"/>
    </format>
    <format dxfId="1331">
      <pivotArea field="11" type="button" dataOnly="0" labelOnly="1" outline="0" axis="axisRow" fieldPosition="2"/>
    </format>
    <format dxfId="1330">
      <pivotArea field="12" type="button" dataOnly="0" labelOnly="1" outline="0" axis="axisRow" fieldPosition="3"/>
    </format>
    <format dxfId="1329">
      <pivotArea field="21" type="button" dataOnly="0" labelOnly="1" outline="0" axis="axisRow" fieldPosition="4"/>
    </format>
    <format dxfId="1328">
      <pivotArea field="25" type="button" dataOnly="0" labelOnly="1" outline="0" axis="axisRow" fieldPosition="5"/>
    </format>
    <format dxfId="1327">
      <pivotArea field="19" type="button" dataOnly="0" labelOnly="1" outline="0" axis="axisRow" fieldPosition="6"/>
    </format>
    <format dxfId="1326">
      <pivotArea dataOnly="0" labelOnly="1" outline="0" fieldPosition="0">
        <references count="1">
          <reference field="4294967294" count="3">
            <x v="0"/>
            <x v="1"/>
            <x v="2"/>
          </reference>
        </references>
      </pivotArea>
    </format>
  </formats>
  <pivotTableStyleInfo name="PivotStyleMedium2"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1" cacheId="18" applyNumberFormats="0" applyBorderFormats="0" applyFontFormats="0" applyPatternFormats="0" applyAlignmentFormats="0" applyWidthHeightFormats="1" dataCaption="Values" updatedVersion="5" minRefreshableVersion="3" showDrill="0" useAutoFormatting="1" rowGrandTotals="0" colGrandTotals="0" itemPrintTitles="1" createdVersion="4" indent="0" compact="0" compactData="0" multipleFieldFilters="0">
  <location ref="A3:H154" firstHeaderRow="0" firstDataRow="1" firstDataCol="6" rowPageCount="1" colPageCount="1"/>
  <pivotFields count="37">
    <pivotField axis="axisPage" compact="0" outline="0" multipleItemSelectionAllowed="1" showAll="0" defaultSubtotal="0">
      <items count="2">
        <item h="1"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78">
        <item x="16"/>
        <item x="147"/>
        <item x="138"/>
        <item x="48"/>
        <item x="145"/>
        <item x="155"/>
        <item x="34"/>
        <item x="163"/>
        <item x="43"/>
        <item x="45"/>
        <item x="57"/>
        <item x="58"/>
        <item x="73"/>
        <item x="139"/>
        <item x="79"/>
        <item x="80"/>
        <item x="81"/>
        <item x="108"/>
        <item x="121"/>
        <item x="82"/>
        <item x="105"/>
        <item x="83"/>
        <item x="41"/>
        <item x="84"/>
        <item x="140"/>
        <item x="11"/>
        <item x="9"/>
        <item x="10"/>
        <item x="118"/>
        <item x="85"/>
        <item x="86"/>
        <item x="222"/>
        <item x="226"/>
        <item x="90"/>
        <item x="27"/>
        <item x="110"/>
        <item x="131"/>
        <item x="160"/>
        <item x="92"/>
        <item x="136"/>
        <item x="96"/>
        <item x="186"/>
        <item x="194"/>
        <item x="42"/>
        <item x="117"/>
        <item x="50"/>
        <item x="173"/>
        <item x="94"/>
        <item x="192"/>
        <item x="17"/>
        <item x="18"/>
        <item x="116"/>
        <item x="97"/>
        <item x="167"/>
        <item x="171"/>
        <item x="174"/>
        <item x="176"/>
        <item x="12"/>
        <item x="76"/>
        <item x="102"/>
        <item x="103"/>
        <item x="132"/>
        <item x="44"/>
        <item x="120"/>
        <item x="130"/>
        <item x="106"/>
        <item x="14"/>
        <item x="13"/>
        <item x="165"/>
        <item x="150"/>
        <item x="137"/>
        <item x="47"/>
        <item x="70"/>
        <item x="68"/>
        <item x="69"/>
        <item x="107"/>
        <item x="109"/>
        <item x="112"/>
        <item x="26"/>
        <item x="114"/>
        <item x="63"/>
        <item x="30"/>
        <item x="28"/>
        <item x="39"/>
        <item x="38"/>
        <item x="183"/>
        <item x="188"/>
        <item x="15"/>
        <item x="61"/>
        <item x="7"/>
        <item x="113"/>
        <item x="126"/>
        <item x="62"/>
        <item x="166"/>
        <item x="124"/>
        <item x="195"/>
        <item x="123"/>
        <item x="193"/>
        <item x="125"/>
        <item x="127"/>
        <item x="128"/>
        <item x="95"/>
        <item x="220"/>
        <item x="75"/>
        <item x="65"/>
        <item x="129"/>
        <item x="141"/>
        <item x="142"/>
        <item x="143"/>
        <item x="144"/>
        <item x="146"/>
        <item x="148"/>
        <item x="149"/>
        <item x="19"/>
        <item x="20"/>
        <item x="151"/>
        <item x="156"/>
        <item x="157"/>
        <item x="158"/>
        <item x="87"/>
        <item x="159"/>
        <item x="164"/>
        <item x="179"/>
        <item x="55"/>
        <item x="169"/>
        <item x="100"/>
        <item x="89"/>
        <item x="177"/>
        <item x="178"/>
        <item x="91"/>
        <item x="233"/>
        <item x="184"/>
        <item x="180"/>
        <item x="228"/>
        <item x="232"/>
        <item x="49"/>
        <item x="181"/>
        <item x="60"/>
        <item x="182"/>
        <item x="88"/>
        <item x="35"/>
        <item x="229"/>
        <item x="56"/>
        <item x="206"/>
        <item x="54"/>
        <item x="217"/>
        <item x="98"/>
        <item x="93"/>
        <item x="187"/>
        <item x="189"/>
        <item x="191"/>
        <item x="161"/>
        <item x="170"/>
        <item x="221"/>
        <item x="230"/>
        <item x="23"/>
        <item x="52"/>
        <item x="99"/>
        <item x="208"/>
        <item x="218"/>
        <item x="77"/>
        <item x="210"/>
        <item x="32"/>
        <item x="133"/>
        <item x="219"/>
        <item x="223"/>
        <item x="122"/>
        <item x="224"/>
        <item x="1"/>
        <item x="71"/>
        <item x="135"/>
        <item x="119"/>
        <item x="175"/>
        <item x="225"/>
        <item x="162"/>
        <item x="64"/>
        <item x="134"/>
        <item x="31"/>
        <item x="24"/>
        <item x="29"/>
        <item x="25"/>
        <item x="152"/>
        <item x="46"/>
        <item x="227"/>
        <item x="153"/>
        <item x="231"/>
        <item x="190"/>
        <item x="72"/>
        <item x="5"/>
        <item x="6"/>
        <item x="40"/>
        <item x="66"/>
        <item x="67"/>
        <item x="8"/>
        <item x="239"/>
        <item x="78"/>
        <item x="240"/>
        <item x="172"/>
        <item x="53"/>
        <item x="256"/>
        <item x="59"/>
        <item x="0"/>
        <item x="3"/>
        <item x="2"/>
        <item x="4"/>
        <item x="36"/>
        <item x="262"/>
        <item x="263"/>
        <item x="264"/>
        <item x="74"/>
        <item x="37"/>
        <item x="265"/>
        <item x="266"/>
        <item x="154"/>
        <item x="111"/>
        <item x="268"/>
        <item x="269"/>
        <item x="21"/>
        <item x="51"/>
        <item x="101"/>
        <item x="271"/>
        <item x="185"/>
        <item x="196"/>
        <item x="197"/>
        <item x="198"/>
        <item x="168"/>
        <item x="216"/>
        <item x="104"/>
        <item x="115"/>
        <item x="22"/>
        <item x="270"/>
        <item x="199"/>
        <item x="234"/>
        <item x="200"/>
        <item x="201"/>
        <item x="202"/>
        <item x="203"/>
        <item x="204"/>
        <item x="205"/>
        <item x="235"/>
        <item x="207"/>
        <item x="236"/>
        <item x="241"/>
        <item x="242"/>
        <item x="243"/>
        <item x="237"/>
        <item x="238"/>
        <item x="244"/>
        <item x="245"/>
        <item x="33"/>
        <item x="209"/>
        <item x="261"/>
        <item x="211"/>
        <item x="212"/>
        <item x="246"/>
        <item x="247"/>
        <item x="248"/>
        <item x="249"/>
        <item x="250"/>
        <item x="251"/>
        <item x="252"/>
        <item x="253"/>
        <item x="254"/>
        <item x="255"/>
        <item x="257"/>
        <item x="258"/>
        <item x="259"/>
        <item x="260"/>
        <item x="267"/>
        <item x="272"/>
        <item x="273"/>
        <item x="274"/>
        <item x="275"/>
        <item x="276"/>
        <item x="213"/>
        <item x="214"/>
        <item x="215"/>
        <item x="277"/>
      </items>
      <extLst>
        <ext xmlns:x14="http://schemas.microsoft.com/office/spreadsheetml/2009/9/main" uri="{2946ED86-A175-432a-8AC1-64E0C546D7DE}">
          <x14:pivotField fillDownLabels="1"/>
        </ext>
      </extLst>
    </pivotField>
    <pivotField name="CpPcode" axis="axisRow" compact="0" outline="0" showAll="0" defaultSubtotal="0">
      <items count="281">
        <item x="0"/>
        <item x="1"/>
        <item x="2"/>
        <item x="3"/>
        <item x="4"/>
        <item x="5"/>
        <item x="6"/>
        <item x="7"/>
        <item x="8"/>
        <item x="9"/>
        <item x="10"/>
        <item x="11"/>
        <item x="12"/>
        <item x="13"/>
        <item x="14"/>
        <item x="15"/>
        <item x="184"/>
        <item x="17"/>
        <item x="18"/>
        <item x="19"/>
        <item x="20"/>
        <item x="21"/>
        <item x="22"/>
        <item x="23"/>
        <item x="24"/>
        <item x="25"/>
        <item x="26"/>
        <item x="27"/>
        <item x="28"/>
        <item x="29"/>
        <item x="30"/>
        <item x="31"/>
        <item x="32"/>
        <item x="219"/>
        <item x="171"/>
        <item x="268"/>
        <item x="36"/>
        <item x="37"/>
        <item x="38"/>
        <item x="39"/>
        <item x="40"/>
        <item x="41"/>
        <item x="42"/>
        <item x="271"/>
        <item x="44"/>
        <item x="90"/>
        <item x="46"/>
        <item x="97"/>
        <item x="47"/>
        <item x="48"/>
        <item x="49"/>
        <item x="50"/>
        <item x="51"/>
        <item x="52"/>
        <item x="53"/>
        <item x="55"/>
        <item x="172"/>
        <item x="128"/>
        <item x="227"/>
        <item x="59"/>
        <item x="60"/>
        <item x="61"/>
        <item x="62"/>
        <item x="63"/>
        <item x="64"/>
        <item x="65"/>
        <item x="66"/>
        <item x="67"/>
        <item x="68"/>
        <item x="69"/>
        <item x="70"/>
        <item x="71"/>
        <item x="72"/>
        <item x="102"/>
        <item x="74"/>
        <item x="75"/>
        <item x="76"/>
        <item x="77"/>
        <item x="78"/>
        <item x="211"/>
        <item x="222"/>
        <item x="226"/>
        <item x="158"/>
        <item x="157"/>
        <item x="83"/>
        <item x="159"/>
        <item x="156"/>
        <item x="87"/>
        <item x="45"/>
        <item x="141"/>
        <item x="129"/>
        <item x="146"/>
        <item x="142"/>
        <item x="149"/>
        <item x="143"/>
        <item x="144"/>
        <item x="148"/>
        <item x="266"/>
        <item x="228"/>
        <item x="99"/>
        <item x="234"/>
        <item x="101"/>
        <item x="151"/>
        <item x="109"/>
        <item x="230"/>
        <item x="105"/>
        <item x="259"/>
        <item x="273"/>
        <item x="108"/>
        <item x="81"/>
        <item x="110"/>
        <item x="111"/>
        <item x="104"/>
        <item x="127"/>
        <item x="114"/>
        <item x="115"/>
        <item x="116"/>
        <item x="117"/>
        <item x="118"/>
        <item x="119"/>
        <item x="120"/>
        <item x="121"/>
        <item x="122"/>
        <item x="123"/>
        <item x="124"/>
        <item x="125"/>
        <item x="107"/>
        <item x="185"/>
        <item x="194"/>
        <item x="106"/>
        <item x="130"/>
        <item x="131"/>
        <item x="132"/>
        <item x="133"/>
        <item x="84"/>
        <item x="134"/>
        <item x="135"/>
        <item x="136"/>
        <item x="137"/>
        <item x="138"/>
        <item x="139"/>
        <item x="43"/>
        <item x="16"/>
        <item x="80"/>
        <item x="34"/>
        <item x="140"/>
        <item x="272"/>
        <item x="145"/>
        <item x="183"/>
        <item x="164"/>
        <item x="147"/>
        <item x="85"/>
        <item x="150"/>
        <item x="152"/>
        <item x="153"/>
        <item x="154"/>
        <item x="269"/>
        <item x="86"/>
        <item x="79"/>
        <item x="92"/>
        <item x="155"/>
        <item x="160"/>
        <item x="161"/>
        <item x="162"/>
        <item x="163"/>
        <item x="165"/>
        <item x="166"/>
        <item x="167"/>
        <item x="168"/>
        <item x="169"/>
        <item x="170"/>
        <item x="274"/>
        <item x="103"/>
        <item x="181"/>
        <item x="190"/>
        <item x="175"/>
        <item x="176"/>
        <item x="192"/>
        <item x="178"/>
        <item x="267"/>
        <item x="113"/>
        <item x="126"/>
        <item x="73"/>
        <item x="57"/>
        <item x="58"/>
        <item x="94"/>
        <item x="186"/>
        <item x="242"/>
        <item x="213"/>
        <item x="112"/>
        <item x="243"/>
        <item x="191"/>
        <item x="265"/>
        <item x="193"/>
        <item x="82"/>
        <item x="195"/>
        <item x="196"/>
        <item x="197"/>
        <item x="198"/>
        <item x="35"/>
        <item x="54"/>
        <item x="56"/>
        <item x="88"/>
        <item x="89"/>
        <item x="91"/>
        <item x="93"/>
        <item x="95"/>
        <item x="96"/>
        <item x="98"/>
        <item x="100"/>
        <item x="173"/>
        <item x="174"/>
        <item x="177"/>
        <item x="179"/>
        <item x="182"/>
        <item x="187"/>
        <item x="188"/>
        <item x="189"/>
        <item x="209"/>
        <item x="220"/>
        <item x="221"/>
        <item x="223"/>
        <item x="224"/>
        <item x="225"/>
        <item x="229"/>
        <item x="231"/>
        <item x="232"/>
        <item x="233"/>
        <item x="235"/>
        <item x="236"/>
        <item x="199"/>
        <item x="200"/>
        <item x="201"/>
        <item x="237"/>
        <item x="202"/>
        <item x="203"/>
        <item x="204"/>
        <item x="205"/>
        <item x="206"/>
        <item x="207"/>
        <item x="208"/>
        <item x="238"/>
        <item x="210"/>
        <item x="180"/>
        <item x="239"/>
        <item x="240"/>
        <item x="241"/>
        <item x="244"/>
        <item x="245"/>
        <item x="246"/>
        <item x="247"/>
        <item x="248"/>
        <item x="33"/>
        <item x="212"/>
        <item x="264"/>
        <item x="214"/>
        <item x="215"/>
        <item x="249"/>
        <item x="250"/>
        <item x="251"/>
        <item x="252"/>
        <item x="253"/>
        <item x="254"/>
        <item x="255"/>
        <item x="256"/>
        <item x="257"/>
        <item x="258"/>
        <item x="260"/>
        <item x="261"/>
        <item x="262"/>
        <item x="263"/>
        <item x="270"/>
        <item x="275"/>
        <item x="276"/>
        <item x="277"/>
        <item x="278"/>
        <item x="279"/>
        <item x="216"/>
        <item x="217"/>
        <item x="218"/>
        <item x="280"/>
      </items>
      <extLst>
        <ext xmlns:x14="http://schemas.microsoft.com/office/spreadsheetml/2009/9/main" uri="{2946ED86-A175-432a-8AC1-64E0C546D7DE}">
          <x14:pivotField fillDownLabels="1"/>
        </ext>
      </extLst>
    </pivotField>
    <pivotField axis="axisRow" compact="0" outline="0" showAll="0" defaultSubtotal="0">
      <items count="206">
        <item x="126"/>
        <item x="128"/>
        <item x="92"/>
        <item x="130"/>
        <item x="202"/>
        <item x="88"/>
        <item x="113"/>
        <item x="166"/>
        <item x="183"/>
        <item x="204"/>
        <item x="132"/>
        <item x="120"/>
        <item x="133"/>
        <item x="131"/>
        <item x="77"/>
        <item x="134"/>
        <item x="43"/>
        <item x="86"/>
        <item x="127"/>
        <item x="124"/>
        <item x="122"/>
        <item x="123"/>
        <item x="129"/>
        <item x="74"/>
        <item x="155"/>
        <item x="125"/>
        <item x="136"/>
        <item x="16"/>
        <item x="116"/>
        <item x="72"/>
        <item x="73"/>
        <item x="114"/>
        <item x="141"/>
        <item x="62"/>
        <item x="153"/>
        <item x="70"/>
        <item x="69"/>
        <item x="71"/>
        <item x="181"/>
        <item x="82"/>
        <item x="161"/>
        <item x="152"/>
        <item x="84"/>
        <item x="157"/>
        <item x="52"/>
        <item x="119"/>
        <item x="45"/>
        <item x="48"/>
        <item x="49"/>
        <item x="47"/>
        <item x="200"/>
        <item x="46"/>
        <item x="50"/>
        <item x="135"/>
        <item x="140"/>
        <item x="19"/>
        <item x="20"/>
        <item x="61"/>
        <item x="138"/>
        <item x="51"/>
        <item x="58"/>
        <item x="57"/>
        <item x="142"/>
        <item x="53"/>
        <item x="32"/>
        <item x="112"/>
        <item x="144"/>
        <item x="184"/>
        <item x="139"/>
        <item x="17"/>
        <item x="156"/>
        <item x="2"/>
        <item x="18"/>
        <item x="10"/>
        <item x="4"/>
        <item x="9"/>
        <item x="11"/>
        <item x="0"/>
        <item x="3"/>
        <item x="1"/>
        <item x="182"/>
        <item x="5"/>
        <item x="13"/>
        <item x="21"/>
        <item x="145"/>
        <item x="27"/>
        <item x="12"/>
        <item x="56"/>
        <item x="14"/>
        <item x="59"/>
        <item x="15"/>
        <item x="68"/>
        <item x="55"/>
        <item x="6"/>
        <item x="7"/>
        <item x="8"/>
        <item x="143"/>
        <item x="38"/>
        <item x="36"/>
        <item x="60"/>
        <item x="25"/>
        <item x="30"/>
        <item x="118"/>
        <item x="39"/>
        <item x="29"/>
        <item x="28"/>
        <item x="201"/>
        <item x="24"/>
        <item x="31"/>
        <item x="37"/>
        <item x="26"/>
        <item x="103"/>
        <item x="148"/>
        <item x="96"/>
        <item x="111"/>
        <item x="91"/>
        <item x="164"/>
        <item x="101"/>
        <item x="147"/>
        <item x="102"/>
        <item x="165"/>
        <item x="108"/>
        <item x="177"/>
        <item x="93"/>
        <item x="97"/>
        <item x="110"/>
        <item x="109"/>
        <item x="167"/>
        <item x="90"/>
        <item x="76"/>
        <item x="106"/>
        <item x="105"/>
        <item x="107"/>
        <item x="35"/>
        <item x="54"/>
        <item x="176"/>
        <item x="78"/>
        <item x="186"/>
        <item x="187"/>
        <item x="67"/>
        <item x="98"/>
        <item x="99"/>
        <item x="64"/>
        <item x="115"/>
        <item x="65"/>
        <item x="66"/>
        <item x="63"/>
        <item x="100"/>
        <item x="104"/>
        <item x="203"/>
        <item x="154"/>
        <item x="95"/>
        <item x="81"/>
        <item x="159"/>
        <item x="75"/>
        <item x="146"/>
        <item x="185"/>
        <item x="188"/>
        <item x="94"/>
        <item x="149"/>
        <item x="151"/>
        <item x="117"/>
        <item x="40"/>
        <item x="79"/>
        <item x="160"/>
        <item x="83"/>
        <item x="85"/>
        <item x="89"/>
        <item x="158"/>
        <item x="80"/>
        <item x="87"/>
        <item x="180"/>
        <item x="44"/>
        <item x="42"/>
        <item x="34"/>
        <item x="169"/>
        <item x="170"/>
        <item x="162"/>
        <item x="41"/>
        <item x="137"/>
        <item x="150"/>
        <item x="163"/>
        <item x="23"/>
        <item x="171"/>
        <item x="190"/>
        <item x="173"/>
        <item x="174"/>
        <item x="175"/>
        <item x="191"/>
        <item x="168"/>
        <item x="192"/>
        <item x="195"/>
        <item x="194"/>
        <item x="198"/>
        <item x="189"/>
        <item x="193"/>
        <item x="172"/>
        <item x="197"/>
        <item x="33"/>
        <item x="22"/>
        <item x="196"/>
        <item x="199"/>
        <item x="205"/>
        <item x="121"/>
        <item x="178"/>
        <item x="179"/>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name="Accomodation" axis="axisRow" compact="0" outline="0" showAll="0" defaultSubtotal="0">
      <items count="5">
        <item x="4"/>
        <item x="0"/>
        <item h="1" x="1"/>
        <item h="1" x="3"/>
        <item h="1"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name="ResponsibleAgency" axis="axisRow" compact="0" outline="0" showAll="0" defaultSubtotal="0">
      <items count="6">
        <item x="0"/>
        <item x="4"/>
        <item x="3"/>
        <item x="1"/>
        <item x="2"/>
        <item x="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6">
    <field x="11"/>
    <field x="12"/>
    <field x="13"/>
    <field x="19"/>
    <field x="21"/>
    <field x="25"/>
  </rowFields>
  <rowItems count="151">
    <i>
      <x v="2"/>
      <x v="139"/>
      <x v="203"/>
      <x/>
      <x v="1"/>
      <x v="2"/>
    </i>
    <i>
      <x v="3"/>
      <x v="49"/>
      <x v="49"/>
      <x/>
      <x v="1"/>
      <x v="1"/>
    </i>
    <i>
      <x v="4"/>
      <x v="147"/>
      <x v="19"/>
      <x/>
      <x v="1"/>
      <x v="3"/>
    </i>
    <i>
      <x v="5"/>
      <x v="160"/>
      <x v="13"/>
      <x/>
      <x v="1"/>
      <x v="3"/>
    </i>
    <i>
      <x v="7"/>
      <x v="164"/>
      <x v="53"/>
      <x/>
      <x v="1"/>
      <x/>
    </i>
    <i>
      <x v="13"/>
      <x v="140"/>
      <x v="20"/>
      <x/>
      <x v="1"/>
      <x/>
    </i>
    <i>
      <x v="17"/>
      <x v="108"/>
      <x v="158"/>
      <x v="1"/>
      <x v="1"/>
      <x v="2"/>
    </i>
    <i>
      <x v="18"/>
      <x v="121"/>
      <x v="130"/>
      <x v="1"/>
      <x v="1"/>
      <x v="1"/>
    </i>
    <i>
      <x v="20"/>
      <x v="105"/>
      <x v="2"/>
      <x/>
      <x v="1"/>
      <x v="3"/>
    </i>
    <i>
      <x v="22"/>
      <x v="41"/>
      <x v="178"/>
      <x/>
      <x v="1"/>
      <x v="3"/>
    </i>
    <i>
      <x v="24"/>
      <x v="145"/>
      <x v="21"/>
      <x/>
      <x v="1"/>
      <x v="3"/>
    </i>
    <i>
      <x v="25"/>
      <x v="11"/>
      <x v="76"/>
      <x/>
      <x v="1"/>
      <x/>
    </i>
    <i>
      <x v="26"/>
      <x v="9"/>
      <x v="75"/>
      <x/>
      <x v="1"/>
      <x/>
    </i>
    <i>
      <x v="27"/>
      <x v="10"/>
      <x v="73"/>
      <x/>
      <x v="1"/>
      <x/>
    </i>
    <i>
      <x v="28"/>
      <x v="118"/>
      <x v="111"/>
      <x v="1"/>
      <x v="1"/>
      <x v="2"/>
    </i>
    <i>
      <x v="34"/>
      <x v="27"/>
      <x v="85"/>
      <x/>
      <x v="1"/>
      <x v="3"/>
    </i>
    <i>
      <x v="35"/>
      <x v="110"/>
      <x v="151"/>
      <x v="1"/>
      <x v="1"/>
      <x/>
    </i>
    <i>
      <x v="36"/>
      <x v="131"/>
      <x v="31"/>
      <x/>
      <x v="1"/>
      <x/>
    </i>
    <i>
      <x v="37"/>
      <x v="161"/>
      <x v="12"/>
      <x/>
      <x v="1"/>
      <x v="3"/>
    </i>
    <i>
      <x v="42"/>
      <x v="197"/>
      <x v="7"/>
      <x/>
      <x v="1"/>
      <x/>
    </i>
    <i>
      <x v="43"/>
      <x v="42"/>
      <x v="173"/>
      <x v="1"/>
      <x v="1"/>
      <x/>
    </i>
    <i>
      <x v="44"/>
      <x v="117"/>
      <x v="119"/>
      <x v="1"/>
      <x v="1"/>
      <x v="2"/>
    </i>
    <i>
      <x v="45"/>
      <x v="51"/>
      <x v="48"/>
      <x/>
      <x v="1"/>
      <x/>
    </i>
    <i>
      <x v="46"/>
      <x v="176"/>
      <x v="112"/>
      <x v="1"/>
      <x/>
      <x v="4"/>
    </i>
    <i>
      <x v="49"/>
      <x v="17"/>
      <x v="69"/>
      <x/>
      <x v="1"/>
      <x/>
    </i>
    <i>
      <x v="50"/>
      <x v="18"/>
      <x v="72"/>
      <x/>
      <x v="1"/>
      <x v="2"/>
    </i>
    <i>
      <x v="51"/>
      <x v="116"/>
      <x v="117"/>
      <x v="1"/>
      <x v="1"/>
      <x v="2"/>
    </i>
    <i>
      <x v="55"/>
      <x v="212"/>
      <x v="159"/>
      <x/>
      <x v="1"/>
      <x/>
    </i>
    <i>
      <x v="56"/>
      <x v="213"/>
      <x v="160"/>
      <x/>
      <x v="1"/>
      <x v="5"/>
    </i>
    <i>
      <x v="57"/>
      <x v="12"/>
      <x v="86"/>
      <x/>
      <x v="1"/>
      <x/>
    </i>
    <i>
      <x v="58"/>
      <x v="76"/>
      <x v="35"/>
      <x/>
      <x v="1"/>
      <x/>
    </i>
    <i>
      <x v="63"/>
      <x v="120"/>
      <x v="131"/>
      <x v="1"/>
      <x v="1"/>
      <x v="1"/>
    </i>
    <i>
      <x v="66"/>
      <x v="14"/>
      <x v="88"/>
      <x/>
      <x v="1"/>
      <x/>
    </i>
    <i>
      <x v="67"/>
      <x v="13"/>
      <x v="82"/>
      <x/>
      <x v="1"/>
      <x/>
    </i>
    <i>
      <x v="68"/>
      <x v="165"/>
      <x v="179"/>
      <x/>
      <x v="1"/>
      <x v="3"/>
    </i>
    <i>
      <x v="69"/>
      <x v="152"/>
      <x/>
      <x/>
      <x v="1"/>
      <x v="3"/>
    </i>
    <i>
      <x v="70"/>
      <x v="138"/>
      <x v="11"/>
      <x/>
      <x v="1"/>
      <x v="3"/>
    </i>
    <i>
      <x v="71"/>
      <x v="48"/>
      <x v="51"/>
      <x/>
      <x v="1"/>
      <x v="3"/>
    </i>
    <i>
      <x v="72"/>
      <x v="70"/>
      <x v="144"/>
      <x/>
      <x v="1"/>
      <x/>
    </i>
    <i>
      <x v="73"/>
      <x v="68"/>
      <x v="146"/>
      <x/>
      <x v="1"/>
      <x v="1"/>
    </i>
    <i>
      <x v="74"/>
      <x v="69"/>
      <x v="142"/>
      <x/>
      <x v="1"/>
      <x/>
    </i>
    <i>
      <x v="78"/>
      <x v="26"/>
      <x v="110"/>
      <x/>
      <x v="1"/>
      <x/>
    </i>
    <i>
      <x v="79"/>
      <x v="114"/>
      <x v="141"/>
      <x v="1"/>
      <x v="1"/>
      <x v="2"/>
    </i>
    <i>
      <x v="81"/>
      <x v="30"/>
      <x v="101"/>
      <x/>
      <x v="1"/>
      <x v="3"/>
    </i>
    <i>
      <x v="82"/>
      <x v="28"/>
      <x v="105"/>
      <x/>
      <x v="1"/>
      <x v="2"/>
    </i>
    <i>
      <x v="83"/>
      <x v="39"/>
      <x v="103"/>
      <x/>
      <x v="1"/>
      <x/>
    </i>
    <i>
      <x v="84"/>
      <x v="38"/>
      <x v="97"/>
      <x/>
      <x v="1"/>
      <x/>
    </i>
    <i>
      <x v="85"/>
      <x v="186"/>
      <x v="43"/>
      <x/>
      <x v="1"/>
      <x/>
    </i>
    <i>
      <x v="86"/>
      <x v="191"/>
      <x v="177"/>
      <x/>
      <x v="1"/>
      <x v="1"/>
    </i>
    <i>
      <x v="87"/>
      <x v="15"/>
      <x v="90"/>
      <x/>
      <x v="1"/>
      <x/>
    </i>
    <i>
      <x v="88"/>
      <x v="61"/>
      <x v="61"/>
      <x/>
      <x v="1"/>
      <x v="1"/>
    </i>
    <i>
      <x v="89"/>
      <x v="7"/>
      <x v="94"/>
      <x/>
      <x v="1"/>
      <x/>
    </i>
    <i>
      <x v="94"/>
      <x v="124"/>
      <x v="126"/>
      <x/>
      <x v="1"/>
      <x/>
    </i>
    <i>
      <x v="95"/>
      <x v="198"/>
      <x v="127"/>
      <x/>
      <x v="1"/>
      <x/>
    </i>
    <i>
      <x v="96"/>
      <x v="123"/>
      <x v="121"/>
      <x/>
      <x v="1"/>
      <x v="1"/>
    </i>
    <i>
      <x v="97"/>
      <x v="196"/>
      <x v="120"/>
      <x/>
      <x v="1"/>
      <x v="1"/>
    </i>
    <i>
      <x v="101"/>
      <x v="206"/>
      <x v="39"/>
      <x/>
      <x v="1"/>
      <x/>
    </i>
    <i>
      <x v="102"/>
      <x v="221"/>
      <x v="38"/>
      <x/>
      <x v="1"/>
      <x v="5"/>
    </i>
    <i>
      <x v="103"/>
      <x v="75"/>
      <x v="36"/>
      <x/>
      <x v="1"/>
      <x/>
    </i>
    <i>
      <x v="104"/>
      <x v="65"/>
      <x v="57"/>
      <x/>
      <x v="1"/>
      <x/>
    </i>
    <i>
      <x v="113"/>
      <x v="19"/>
      <x v="55"/>
      <x/>
      <x v="1"/>
      <x v="3"/>
    </i>
    <i>
      <x v="114"/>
      <x v="20"/>
      <x v="56"/>
      <x/>
      <x v="1"/>
      <x v="3"/>
    </i>
    <i>
      <x v="119"/>
      <x v="87"/>
      <x v="14"/>
      <x/>
      <x v="1"/>
      <x v="3"/>
    </i>
    <i>
      <x v="122"/>
      <x v="214"/>
      <x v="150"/>
      <x/>
      <x v="1"/>
      <x/>
    </i>
    <i>
      <x v="123"/>
      <x v="55"/>
      <x v="63"/>
      <x/>
      <x v="1"/>
      <x/>
    </i>
    <i>
      <x v="129"/>
      <x v="204"/>
      <x v="169"/>
      <x/>
      <x v="1"/>
      <x/>
    </i>
    <i>
      <x v="130"/>
      <x v="229"/>
      <x v="194"/>
      <x/>
      <x v="1"/>
      <x v="5"/>
    </i>
    <i>
      <x v="133"/>
      <x v="225"/>
      <x v="156"/>
      <x/>
      <x v="1"/>
      <x/>
    </i>
    <i>
      <x v="134"/>
      <x v="228"/>
      <x v="157"/>
      <x/>
      <x v="1"/>
      <x v="5"/>
    </i>
    <i>
      <x v="135"/>
      <x v="50"/>
      <x v="47"/>
      <x/>
      <x v="1"/>
      <x v="3"/>
    </i>
    <i>
      <x v="139"/>
      <x v="202"/>
      <x v="136"/>
      <x/>
      <x v="1"/>
      <x/>
    </i>
    <i>
      <x v="140"/>
      <x v="199"/>
      <x v="133"/>
      <x/>
      <x v="1"/>
      <x/>
    </i>
    <i>
      <x v="141"/>
      <x v="226"/>
      <x v="137"/>
      <x/>
      <x v="1"/>
      <x/>
    </i>
    <i>
      <x v="142"/>
      <x v="201"/>
      <x v="134"/>
      <x/>
      <x v="1"/>
      <x v="5"/>
    </i>
    <i>
      <x v="145"/>
      <x v="219"/>
      <x v="205"/>
      <x v="1"/>
      <x v="1"/>
      <x v="4"/>
    </i>
    <i>
      <x v="147"/>
      <x v="205"/>
      <x v="152"/>
      <x/>
      <x v="1"/>
      <x/>
    </i>
    <i>
      <x v="151"/>
      <x v="162"/>
      <x v="15"/>
      <x/>
      <x v="1"/>
      <x v="3"/>
    </i>
    <i>
      <x v="152"/>
      <x v="210"/>
      <x v="84"/>
      <x/>
      <x v="1"/>
      <x/>
    </i>
    <i>
      <x v="154"/>
      <x v="227"/>
      <x v="138"/>
      <x/>
      <x v="1"/>
      <x/>
    </i>
    <i>
      <x v="155"/>
      <x v="23"/>
      <x v="182"/>
      <x/>
      <x v="1"/>
      <x v="2"/>
    </i>
    <i>
      <x v="156"/>
      <x v="53"/>
      <x v="59"/>
      <x/>
      <x v="1"/>
      <x v="1"/>
    </i>
    <i>
      <x v="157"/>
      <x v="99"/>
      <x v="17"/>
      <x/>
      <x v="1"/>
      <x v="2"/>
    </i>
    <i>
      <x v="160"/>
      <x v="77"/>
      <x v="37"/>
      <x/>
      <x v="1"/>
      <x/>
    </i>
    <i>
      <x v="162"/>
      <x v="32"/>
      <x v="64"/>
      <x/>
      <x v="1"/>
      <x v="3"/>
    </i>
    <i>
      <x v="163"/>
      <x v="133"/>
      <x v="28"/>
      <x/>
      <x v="1"/>
      <x/>
    </i>
    <i>
      <x v="166"/>
      <x v="122"/>
      <x v="132"/>
      <x v="1"/>
      <x v="1"/>
      <x v="1"/>
    </i>
    <i>
      <x v="168"/>
      <x v="1"/>
      <x v="79"/>
      <x/>
      <x v="1"/>
      <x/>
    </i>
    <i>
      <x v="169"/>
      <x v="71"/>
      <x v="145"/>
      <x/>
      <x v="1"/>
      <x/>
    </i>
    <i>
      <x v="170"/>
      <x v="136"/>
      <x v="102"/>
      <x/>
      <x v="1"/>
      <x v="2"/>
    </i>
    <i>
      <x v="171"/>
      <x v="119"/>
      <x v="148"/>
      <x v="1"/>
      <x v="1"/>
      <x v="1"/>
    </i>
    <i>
      <x v="172"/>
      <x v="178"/>
      <x v="180"/>
      <x/>
      <x v="1"/>
      <x v="2"/>
    </i>
    <i>
      <x v="174"/>
      <x v="163"/>
      <x v="53"/>
      <x/>
      <x v="1"/>
      <x/>
    </i>
    <i>
      <x v="176"/>
      <x v="135"/>
      <x v="161"/>
      <x v="1"/>
      <x v="1"/>
      <x v="2"/>
    </i>
    <i>
      <x v="177"/>
      <x v="31"/>
      <x v="108"/>
      <x/>
      <x v="1"/>
      <x v="3"/>
    </i>
    <i>
      <x v="178"/>
      <x v="24"/>
      <x v="107"/>
      <x/>
      <x v="1"/>
      <x/>
    </i>
    <i>
      <x v="179"/>
      <x v="29"/>
      <x v="104"/>
      <x/>
      <x v="1"/>
      <x v="3"/>
    </i>
    <i>
      <x v="180"/>
      <x v="25"/>
      <x v="100"/>
      <x/>
      <x v="1"/>
      <x v="3"/>
    </i>
    <i>
      <x v="181"/>
      <x v="153"/>
      <x v="1"/>
      <x/>
      <x v="1"/>
      <x v="3"/>
    </i>
    <i>
      <x v="182"/>
      <x v="46"/>
      <x v="46"/>
      <x/>
      <x v="1"/>
      <x/>
    </i>
    <i>
      <x v="184"/>
      <x v="154"/>
      <x v="22"/>
      <x/>
      <x v="1"/>
      <x/>
    </i>
    <i>
      <x v="186"/>
      <x v="193"/>
      <x v="181"/>
      <x/>
      <x v="1"/>
      <x v="2"/>
    </i>
    <i>
      <x v="187"/>
      <x v="72"/>
      <x v="139"/>
      <x/>
      <x v="1"/>
      <x/>
    </i>
    <i>
      <x v="188"/>
      <x v="5"/>
      <x v="81"/>
      <x/>
      <x v="1"/>
      <x/>
    </i>
    <i>
      <x v="189"/>
      <x v="6"/>
      <x v="93"/>
      <x/>
      <x v="1"/>
      <x v="3"/>
    </i>
    <i>
      <x v="190"/>
      <x v="40"/>
      <x v="162"/>
      <x/>
      <x v="1"/>
      <x/>
    </i>
    <i>
      <x v="191"/>
      <x v="66"/>
      <x v="33"/>
      <x/>
      <x v="1"/>
      <x/>
    </i>
    <i>
      <x v="192"/>
      <x v="67"/>
      <x v="33"/>
      <x/>
      <x v="1"/>
      <x v="1"/>
    </i>
    <i>
      <x v="193"/>
      <x v="8"/>
      <x v="95"/>
      <x/>
      <x v="1"/>
      <x/>
    </i>
    <i>
      <x v="195"/>
      <x v="78"/>
      <x v="29"/>
      <x/>
      <x v="1"/>
      <x v="2"/>
    </i>
    <i>
      <x v="197"/>
      <x v="175"/>
      <x v="118"/>
      <x/>
      <x v="1"/>
      <x v="4"/>
    </i>
    <i>
      <x v="198"/>
      <x v="54"/>
      <x v="44"/>
      <x/>
      <x v="1"/>
      <x v="3"/>
    </i>
    <i>
      <x v="201"/>
      <x/>
      <x v="77"/>
      <x/>
      <x v="1"/>
      <x/>
    </i>
    <i>
      <x v="202"/>
      <x v="3"/>
      <x v="78"/>
      <x/>
      <x v="1"/>
      <x v="3"/>
    </i>
    <i>
      <x v="203"/>
      <x v="2"/>
      <x v="71"/>
      <x/>
      <x v="1"/>
      <x/>
    </i>
    <i>
      <x v="204"/>
      <x v="4"/>
      <x v="74"/>
      <x/>
      <x v="1"/>
      <x/>
    </i>
    <i>
      <x v="205"/>
      <x v="36"/>
      <x v="98"/>
      <x/>
      <x v="1"/>
      <x v="3"/>
    </i>
    <i>
      <x v="210"/>
      <x v="37"/>
      <x v="109"/>
      <x/>
      <x v="1"/>
      <x v="3"/>
    </i>
    <i>
      <x v="213"/>
      <x v="155"/>
      <x v="3"/>
      <x/>
      <x v="1"/>
      <x/>
    </i>
    <i>
      <x v="214"/>
      <x v="111"/>
      <x v="113"/>
      <x v="1"/>
      <x v="1"/>
      <x v="2"/>
    </i>
    <i>
      <x v="217"/>
      <x v="21"/>
      <x v="83"/>
      <x/>
      <x v="1"/>
      <x v="3"/>
    </i>
    <i>
      <x v="218"/>
      <x v="52"/>
      <x v="52"/>
      <x/>
      <x v="1"/>
      <x v="3"/>
    </i>
    <i>
      <x v="219"/>
      <x v="101"/>
      <x v="5"/>
      <x/>
      <x v="1"/>
      <x/>
    </i>
    <i>
      <x v="221"/>
      <x v="216"/>
      <x v="153"/>
      <x/>
      <x v="1"/>
      <x/>
    </i>
    <i>
      <x v="228"/>
      <x v="115"/>
      <x v="147"/>
      <x v="1"/>
      <x v="1"/>
      <x/>
    </i>
    <i>
      <x v="229"/>
      <x v="22"/>
      <x v="199"/>
      <x/>
      <x v="1"/>
      <x v="3"/>
    </i>
    <i>
      <x v="231"/>
      <x v="234"/>
      <x v="183"/>
      <x/>
      <x v="1"/>
      <x/>
    </i>
    <i>
      <x v="232"/>
      <x v="233"/>
      <x v="184"/>
      <x/>
      <x v="1"/>
      <x/>
    </i>
    <i>
      <x v="234"/>
      <x v="236"/>
      <x v="196"/>
      <x/>
      <x v="1"/>
      <x/>
    </i>
    <i>
      <x v="235"/>
      <x v="237"/>
      <x v="36"/>
      <x/>
      <x v="1"/>
      <x v="4"/>
    </i>
    <i>
      <x v="236"/>
      <x v="238"/>
      <x v="185"/>
      <x v="1"/>
      <x v="1"/>
      <x/>
    </i>
    <i>
      <x v="237"/>
      <x v="239"/>
      <x v="186"/>
      <x v="1"/>
      <x v="1"/>
      <x/>
    </i>
    <i>
      <x v="239"/>
      <x v="241"/>
      <x v="188"/>
      <x/>
      <x v="1"/>
      <x v="4"/>
    </i>
    <i>
      <x v="241"/>
      <x v="244"/>
      <x v="190"/>
      <x/>
      <x v="1"/>
      <x/>
    </i>
    <i>
      <x v="243"/>
      <x v="248"/>
      <x v="191"/>
      <x/>
      <x v="1"/>
      <x v="4"/>
    </i>
    <i>
      <x v="244"/>
      <x v="249"/>
      <x v="200"/>
      <x/>
      <x v="1"/>
      <x v="4"/>
    </i>
    <i>
      <x v="245"/>
      <x v="245"/>
      <x v="195"/>
      <x/>
      <x v="1"/>
      <x v="4"/>
    </i>
    <i>
      <x v="246"/>
      <x v="246"/>
      <x v="174"/>
      <x/>
      <x v="1"/>
      <x v="4"/>
    </i>
    <i>
      <x v="248"/>
      <x v="251"/>
      <x v="193"/>
      <x/>
      <x v="1"/>
      <x v="4"/>
    </i>
    <i>
      <x v="250"/>
      <x v="253"/>
      <x v="198"/>
      <x/>
      <x v="1"/>
      <x/>
    </i>
    <i>
      <x v="252"/>
      <x v="255"/>
      <x v="198"/>
      <x/>
      <x v="1"/>
      <x v="2"/>
    </i>
    <i>
      <x v="253"/>
      <x v="256"/>
      <x v="198"/>
      <x/>
      <x v="1"/>
      <x v="2"/>
    </i>
    <i>
      <x v="255"/>
      <x v="258"/>
      <x v="174"/>
      <x/>
      <x v="1"/>
      <x v="4"/>
    </i>
    <i>
      <x v="258"/>
      <x v="261"/>
      <x v="174"/>
      <x/>
      <x v="1"/>
      <x v="4"/>
    </i>
    <i>
      <x v="270"/>
      <x v="273"/>
      <x v="202"/>
      <x/>
      <x v="1"/>
      <x v="4"/>
    </i>
    <i>
      <x v="271"/>
      <x v="274"/>
      <x v="160"/>
      <x/>
      <x v="1"/>
      <x v="4"/>
    </i>
    <i>
      <x v="272"/>
      <x v="275"/>
      <x v="174"/>
      <x/>
      <x v="1"/>
      <x v="4"/>
    </i>
    <i>
      <x v="273"/>
      <x v="276"/>
      <x v="164"/>
      <x/>
      <x v="1"/>
      <x v="4"/>
    </i>
    <i>
      <x v="274"/>
      <x v="277"/>
      <x v="204"/>
      <x/>
      <x v="1"/>
      <x v="4"/>
    </i>
    <i>
      <x v="275"/>
      <x v="278"/>
      <x v="174"/>
      <x v="1"/>
      <x v="1"/>
      <x/>
    </i>
    <i>
      <x v="276"/>
      <x v="279"/>
      <x v="174"/>
      <x/>
      <x v="1"/>
      <x/>
    </i>
    <i>
      <x v="277"/>
      <x v="280"/>
      <x v="201"/>
      <x/>
      <x v="1"/>
      <x v="4"/>
    </i>
  </rowItems>
  <colFields count="1">
    <field x="-2"/>
  </colFields>
  <colItems count="2">
    <i>
      <x/>
    </i>
    <i i="1">
      <x v="1"/>
    </i>
  </colItems>
  <pageFields count="1">
    <pageField fld="0" hier="-1"/>
  </pageFields>
  <dataFields count="2">
    <dataField name="HouseHold" fld="16" baseField="11" baseItem="0"/>
    <dataField name="Individual" fld="17" baseField="1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9.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showDrill="0" useAutoFormatting="1" rowGrandTotals="0" colGrandTotals="0" itemPrintTitles="1" createdVersion="4" indent="0" compact="0" compactData="0" multipleFieldFilters="0">
  <location ref="A3:D23" firstHeaderRow="1" firstDataRow="1" firstDataCol="4" rowPageCount="1" colPageCount="1"/>
  <pivotFields count="24">
    <pivotField compact="0" outline="0" showAll="0" defaultSubtotal="0"/>
    <pivotField axis="axisRow" compact="0" outline="0" showAll="0" defaultSubtotal="0">
      <items count="18">
        <item h="1" x="10"/>
        <item h="1" x="13"/>
        <item h="1" x="8"/>
        <item h="1" x="15"/>
        <item h="1" x="0"/>
        <item h="1" x="14"/>
        <item h="1" x="11"/>
        <item h="1" x="5"/>
        <item x="6"/>
        <item h="1" x="17"/>
        <item h="1" x="7"/>
        <item h="1" x="2"/>
        <item h="1" x="4"/>
        <item h="1" x="9"/>
        <item h="1" x="12"/>
        <item h="1" x="16"/>
        <item h="1" x="3"/>
        <item h="1" x="1"/>
      </items>
    </pivotField>
    <pivotField compact="0" outline="0" showAll="0" defaultSubtotal="0"/>
    <pivotField compact="0" outline="0" showAll="0" defaultSubtotal="0"/>
    <pivotField axis="axisRow" compact="0" outline="0" showAll="0" defaultSubtotal="0">
      <items count="17">
        <item x="5"/>
        <item x="8"/>
        <item x="2"/>
        <item x="6"/>
        <item x="4"/>
        <item x="3"/>
        <item x="11"/>
        <item x="15"/>
        <item x="7"/>
        <item x="12"/>
        <item x="1"/>
        <item x="9"/>
        <item x="14"/>
        <item x="16"/>
        <item x="0"/>
        <item x="10"/>
        <item x="13"/>
      </items>
    </pivotField>
    <pivotField axis="axisRow" compact="0" outline="0" showAll="0" defaultSubtotal="0">
      <items count="148">
        <item x="83"/>
        <item x="15"/>
        <item x="22"/>
        <item x="10"/>
        <item x="111"/>
        <item x="84"/>
        <item x="68"/>
        <item x="20"/>
        <item x="66"/>
        <item x="67"/>
        <item x="23"/>
        <item x="27"/>
        <item x="24"/>
        <item x="6"/>
        <item x="112"/>
        <item x="42"/>
        <item x="75"/>
        <item x="37"/>
        <item x="85"/>
        <item x="100"/>
        <item x="56"/>
        <item x="113"/>
        <item x="43"/>
        <item x="115"/>
        <item x="53"/>
        <item x="116"/>
        <item x="118"/>
        <item x="119"/>
        <item x="101"/>
        <item x="102"/>
        <item x="86"/>
        <item x="32"/>
        <item x="103"/>
        <item x="55"/>
        <item x="26"/>
        <item x="28"/>
        <item x="69"/>
        <item x="29"/>
        <item x="104"/>
        <item x="74"/>
        <item x="34"/>
        <item x="124"/>
        <item x="1"/>
        <item x="125"/>
        <item x="126"/>
        <item x="87"/>
        <item x="0"/>
        <item x="3"/>
        <item x="45"/>
        <item x="50"/>
        <item x="127"/>
        <item x="105"/>
        <item x="76"/>
        <item x="106"/>
        <item x="107"/>
        <item x="30"/>
        <item x="128"/>
        <item x="5"/>
        <item x="108"/>
        <item x="77"/>
        <item x="129"/>
        <item x="31"/>
        <item x="21"/>
        <item x="89"/>
        <item x="80"/>
        <item x="131"/>
        <item x="109"/>
        <item x="132"/>
        <item x="78"/>
        <item x="110"/>
        <item x="114"/>
        <item x="117"/>
        <item x="134"/>
        <item x="71"/>
        <item x="120"/>
        <item x="18"/>
        <item x="135"/>
        <item x="121"/>
        <item x="122"/>
        <item x="72"/>
        <item x="123"/>
        <item x="90"/>
        <item x="51"/>
        <item x="91"/>
        <item x="7"/>
        <item x="33"/>
        <item x="2"/>
        <item x="16"/>
        <item x="17"/>
        <item x="81"/>
        <item x="52"/>
        <item x="25"/>
        <item x="46"/>
        <item x="79"/>
        <item x="12"/>
        <item x="92"/>
        <item x="9"/>
        <item x="136"/>
        <item x="98"/>
        <item x="35"/>
        <item x="58"/>
        <item x="40"/>
        <item x="137"/>
        <item x="138"/>
        <item x="59"/>
        <item x="139"/>
        <item x="93"/>
        <item x="47"/>
        <item x="141"/>
        <item x="48"/>
        <item x="49"/>
        <item x="73"/>
        <item x="142"/>
        <item x="94"/>
        <item x="140"/>
        <item x="143"/>
        <item x="99"/>
        <item x="144"/>
        <item x="95"/>
        <item x="145"/>
        <item x="96"/>
        <item x="146"/>
        <item x="147"/>
        <item x="82"/>
        <item x="130"/>
        <item x="70"/>
        <item x="133"/>
        <item x="60"/>
        <item x="63"/>
        <item x="65"/>
        <item x="39"/>
        <item x="64"/>
        <item x="41"/>
        <item x="97"/>
        <item x="88"/>
        <item x="62"/>
        <item x="11"/>
        <item x="57"/>
        <item x="44"/>
        <item x="61"/>
        <item x="54"/>
        <item x="38"/>
        <item x="14"/>
        <item x="36"/>
        <item x="19"/>
        <item x="13"/>
        <item x="8"/>
        <item x="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46">
        <item x="136"/>
        <item x="47"/>
        <item x="7"/>
        <item x="48"/>
        <item x="141"/>
        <item x="49"/>
        <item x="58"/>
        <item x="106"/>
        <item x="59"/>
        <item x="112"/>
        <item x="6"/>
        <item x="101"/>
        <item x="55"/>
        <item x="103"/>
        <item x="105"/>
        <item x="43"/>
        <item x="115"/>
        <item x="31"/>
        <item x="21"/>
        <item x="144"/>
        <item x="18"/>
        <item x="46"/>
        <item x="12"/>
        <item x="1"/>
        <item x="75"/>
        <item x="0"/>
        <item x="79"/>
        <item x="87"/>
        <item x="25"/>
        <item x="72"/>
        <item x="140"/>
        <item x="73"/>
        <item x="94"/>
        <item x="45"/>
        <item x="3"/>
        <item x="40"/>
        <item x="27"/>
        <item x="9"/>
        <item x="29"/>
        <item x="15"/>
        <item x="78"/>
        <item x="113"/>
        <item x="96"/>
        <item x="135"/>
        <item x="93"/>
        <item x="80"/>
        <item x="131"/>
        <item x="128"/>
        <item x="91"/>
        <item x="76"/>
        <item x="126"/>
        <item x="77"/>
        <item x="137"/>
        <item x="138"/>
        <item x="74"/>
        <item x="34"/>
        <item x="104"/>
        <item x="33"/>
        <item x="35"/>
        <item x="108"/>
        <item x="102"/>
        <item x="122"/>
        <item x="139"/>
        <item x="90"/>
        <item x="89"/>
        <item x="129"/>
        <item x="121"/>
        <item x="145"/>
        <item x="23"/>
        <item x="20"/>
        <item x="37"/>
        <item x="95"/>
        <item x="125"/>
        <item x="53"/>
        <item x="56"/>
        <item x="42"/>
        <item x="16"/>
        <item x="32"/>
        <item x="66"/>
        <item x="51"/>
        <item x="30"/>
        <item x="107"/>
        <item x="124"/>
        <item x="123"/>
        <item x="52"/>
        <item x="2"/>
        <item x="69"/>
        <item x="84"/>
        <item x="24"/>
        <item x="22"/>
        <item x="83"/>
        <item x="28"/>
        <item x="92"/>
        <item x="98"/>
        <item x="99"/>
        <item x="143"/>
        <item x="68"/>
        <item x="10"/>
        <item x="85"/>
        <item x="71"/>
        <item x="81"/>
        <item x="111"/>
        <item x="26"/>
        <item x="86"/>
        <item x="132"/>
        <item x="134"/>
        <item x="17"/>
        <item x="50"/>
        <item x="127"/>
        <item x="142"/>
        <item x="67"/>
        <item x="114"/>
        <item x="110"/>
        <item x="109"/>
        <item x="117"/>
        <item x="5"/>
        <item x="100"/>
        <item x="120"/>
        <item x="116"/>
        <item x="118"/>
        <item x="119"/>
        <item x="82"/>
        <item x="130"/>
        <item x="70"/>
        <item x="133"/>
        <item x="60"/>
        <item x="63"/>
        <item x="65"/>
        <item x="97"/>
        <item x="39"/>
        <item x="64"/>
        <item x="41"/>
        <item x="88"/>
        <item x="62"/>
        <item x="11"/>
        <item x="57"/>
        <item x="44"/>
        <item x="61"/>
        <item x="54"/>
        <item x="38"/>
        <item x="14"/>
        <item x="36"/>
        <item x="19"/>
        <item x="13"/>
        <item x="8"/>
        <item x="4"/>
      </items>
    </pivotField>
    <pivotField axis="axisPage" compact="0" outline="0" multipleItemSelectionAllowed="1" showAll="0" defaultSubtotal="0">
      <items count="3">
        <item h="1" x="2"/>
        <item h="1" x="1"/>
        <item x="0"/>
      </items>
    </pivotField>
    <pivotField compact="0" outline="0" showAll="0" defaultSubtotal="0"/>
    <pivotField compact="0" outline="0" showAll="0" defaultSubtotal="0"/>
    <pivotField compact="0" outline="0" showAll="0" defaultSubtotal="0"/>
  </pivotFields>
  <rowFields count="4">
    <field x="1"/>
    <field x="4"/>
    <field x="5"/>
    <field x="19"/>
  </rowFields>
  <rowItems count="20">
    <i>
      <x v="8"/>
      <x/>
      <x v="21"/>
      <x v="41"/>
    </i>
    <i r="2">
      <x v="37"/>
      <x v="38"/>
    </i>
    <i r="2">
      <x v="89"/>
      <x v="100"/>
    </i>
    <i r="2">
      <x v="96"/>
      <x v="37"/>
    </i>
    <i r="2">
      <x v="120"/>
      <x v="42"/>
    </i>
    <i r="1">
      <x v="3"/>
      <x v="26"/>
      <x v="119"/>
    </i>
    <i r="2">
      <x v="27"/>
      <x v="120"/>
    </i>
    <i r="2">
      <x v="129"/>
      <x v="127"/>
    </i>
    <i r="1">
      <x v="4"/>
      <x v="54"/>
      <x v="81"/>
    </i>
    <i r="2">
      <x v="59"/>
      <x v="51"/>
    </i>
    <i r="1">
      <x v="8"/>
      <x v="52"/>
      <x v="49"/>
    </i>
    <i r="2">
      <x v="64"/>
      <x v="45"/>
    </i>
    <i r="1">
      <x v="9"/>
      <x v="125"/>
      <x v="123"/>
    </i>
    <i r="2">
      <x v="126"/>
      <x v="124"/>
    </i>
    <i r="2">
      <x v="139"/>
      <x v="137"/>
    </i>
    <i r="1">
      <x v="11"/>
      <x v="127"/>
      <x v="125"/>
    </i>
    <i r="2">
      <x v="128"/>
      <x v="126"/>
    </i>
    <i r="1">
      <x v="13"/>
      <x v="102"/>
      <x v="52"/>
    </i>
    <i r="1">
      <x v="14"/>
      <x v="118"/>
      <x v="71"/>
    </i>
    <i r="1">
      <x v="16"/>
      <x v="135"/>
      <x v="133"/>
    </i>
  </rowItems>
  <colItems count="1">
    <i/>
  </colItems>
  <pageFields count="1">
    <pageField fld="20" hier="-1"/>
  </pageField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CampList" displayName="CampList" ref="A4:AK285" tableType="xml" totalsRowShown="0" headerRowDxfId="2004" dataDxfId="2003" headerRowCellStyle="Normal_Sheet11">
  <autoFilter ref="A4:AK285">
    <filterColumn colId="0">
      <filters>
        <filter val="Open"/>
      </filters>
    </filterColumn>
  </autoFilter>
  <sortState ref="A29:AK222">
    <sortCondition ref="M4:M285"/>
  </sortState>
  <tableColumns count="37">
    <tableColumn id="24" uniqueName="Status" name="Status" dataDxfId="2002" dataCellStyle="Normal_Sheet3_1">
      <xmlColumnPr mapId="11" xpath="/dataroot/Camp_x005f_x0020_List/Status" xmlDataType="string"/>
    </tableColumn>
    <tableColumn id="2" uniqueName="State" name="State" dataDxfId="2001">
      <xmlColumnPr mapId="11" xpath="/dataroot/Camp_x005f_x0020_List/State" xmlDataType="string"/>
    </tableColumn>
    <tableColumn id="12" uniqueName="S_Pcode" name="S_Pcode" dataDxfId="2000">
      <xmlColumnPr mapId="11" xpath="/dataroot/Camp_x005f_x0020_List/S_Pcode" xmlDataType="string"/>
    </tableColumn>
    <tableColumn id="23" uniqueName="District" name="District" dataDxfId="1999">
      <xmlColumnPr mapId="11" xpath="/dataroot/Camp_x005f_x0020_List/District" xmlDataType="string"/>
    </tableColumn>
    <tableColumn id="19" uniqueName="D_Pcode" name="D_Pcode" dataDxfId="1998">
      <xmlColumnPr mapId="11" xpath="/dataroot/Camp_x005f_x0020_List/D_Pcode" xmlDataType="string"/>
    </tableColumn>
    <tableColumn id="3" uniqueName="Township" name="Township" dataDxfId="1997">
      <xmlColumnPr mapId="11" xpath="/dataroot/Camp_x005f_x0020_List/Township" xmlDataType="string"/>
    </tableColumn>
    <tableColumn id="13" uniqueName="T_Pcode" name="T_Pcode" dataDxfId="1996">
      <xmlColumnPr mapId="11" xpath="/dataroot/Camp_x005f_x0020_List/T_Pcode" xmlDataType="string"/>
    </tableColumn>
    <tableColumn id="14" uniqueName="VillageTracKTown" name="VillageTracKTown" dataDxfId="1995">
      <xmlColumnPr mapId="11" xpath="/dataroot/Camp_x005f_x0020_List/VillageTracKTown" xmlDataType="string"/>
    </tableColumn>
    <tableColumn id="15" uniqueName="VTT_Pcode" name="VTT_Pcode" dataDxfId="1994">
      <xmlColumnPr mapId="11" xpath="/dataroot/Camp_x005f_x0020_List/VTT_Pcode" xmlDataType="string"/>
    </tableColumn>
    <tableColumn id="16" uniqueName="VillageWard_Name" name="VillageWard_Name" dataDxfId="1993">
      <xmlColumnPr mapId="11" xpath="/dataroot/Camp_x005f_x0020_List/VillageWard_Name" xmlDataType="string"/>
    </tableColumn>
    <tableColumn id="17" uniqueName="VW_Pcode" name="VW_Pcode" dataDxfId="1992">
      <xmlColumnPr mapId="11" xpath="/dataroot/Camp_x005f_x0020_List/VW_Pcode" xmlDataType="string"/>
    </tableColumn>
    <tableColumn id="4" uniqueName="Camp" name="Camp" dataDxfId="1991">
      <xmlColumnPr mapId="11" xpath="/dataroot/Camp_x005f_x0020_List/Camp" xmlDataType="string"/>
    </tableColumn>
    <tableColumn id="5" uniqueName="CP_Pcode" name="CP_Pcode" dataDxfId="1990">
      <xmlColumnPr mapId="11" xpath="/dataroot/Camp_x005f_x0020_List/CP_Pcode" xmlDataType="string"/>
    </tableColumn>
    <tableColumn id="6" uniqueName="Longitude" name="Longitude" dataDxfId="1989">
      <xmlColumnPr mapId="11" xpath="/dataroot/Camp_x005f_x0020_List/Longitude" xmlDataType="double"/>
    </tableColumn>
    <tableColumn id="7" uniqueName="Latitude" name="Latitude" dataDxfId="1988">
      <xmlColumnPr mapId="11" xpath="/dataroot/Camp_x005f_x0020_List/Latitude" xmlDataType="double"/>
    </tableColumn>
    <tableColumn id="25" uniqueName="Altitude" name="Altitude" dataDxfId="1987">
      <xmlColumnPr mapId="11" xpath="/dataroot/Camp_x005f_x0020_List/Altitude" xmlDataType="double"/>
    </tableColumn>
    <tableColumn id="8" uniqueName="HH" name="HH" dataDxfId="1986">
      <xmlColumnPr mapId="11" xpath="/dataroot/Camp_x005f_x0020_List/HH" xmlDataType="double"/>
    </tableColumn>
    <tableColumn id="9" uniqueName="Total" name="Total" dataDxfId="1985">
      <xmlColumnPr mapId="11" xpath="/dataroot/Camp_x005f_x0020_List/Total" xmlDataType="double"/>
    </tableColumn>
    <tableColumn id="11" uniqueName="Avg" name="Avg" dataDxfId="1984">
      <calculatedColumnFormula>IF(CampList[[#This Row],[HH]]&gt;0,CampList[[#This Row],[Total]]/CampList[[#This Row],[HH]],"NA")</calculatedColumnFormula>
      <xmlColumnPr mapId="11" xpath="/dataroot/Camp_x005f_x0020_List/Avg" xmlDataType="string"/>
    </tableColumn>
    <tableColumn id="28" uniqueName="Accessibility" name="Accessibility" dataDxfId="1983">
      <xmlColumnPr mapId="11" xpath="/dataroot/Camp_x005f_x0020_List/Accessibility" xmlDataType="string"/>
    </tableColumn>
    <tableColumn id="1" uniqueName="Affected Population" name="Affected Population" dataDxfId="1982">
      <xmlColumnPr mapId="11" xpath="/dataroot/Camp_x005f_x0020_List/Affected_x005f_x0020_Population" xmlDataType="string"/>
    </tableColumn>
    <tableColumn id="29" uniqueName="Type of Accomodation" name="Type of Accomodation" dataDxfId="1981">
      <xmlColumnPr mapId="11" xpath="/dataroot/Camp_x005f_x0020_List/Type_x005f_x0020_of_x005f_x0020_Accomodation" xmlDataType="string"/>
    </tableColumn>
    <tableColumn id="30" uniqueName="Type of Location" name="Type of Location" dataDxfId="1980">
      <xmlColumnPr mapId="11" xpath="/dataroot/Camp_x005f_x0020_List/Type_x005f_x0020_of_x005f_x0020_Location" xmlDataType="string"/>
    </tableColumn>
    <tableColumn id="31" uniqueName="Opening Date" name="Opening Date" dataDxfId="1979">
      <xmlColumnPr mapId="11" xpath="/dataroot/Camp_x005f_x0020_List/Opening_x005f_x0020_Date" xmlDataType="dateTime"/>
    </tableColumn>
    <tableColumn id="22" uniqueName="CM/FP" name="CM/FP" dataDxfId="1978">
      <xmlColumnPr mapId="11" xpath="/dataroot/Camp_x005f_x0020_List/CM_x005f_x002F_FP" xmlDataType="double"/>
    </tableColumn>
    <tableColumn id="26" uniqueName="Responsible Agency" name="Responsible Agency" dataDxfId="1977">
      <xmlColumnPr mapId="11" xpath="/dataroot/Camp_x005f_x0020_List/Responsible_x005f_x0020_Agency" xmlDataType="string"/>
    </tableColumn>
    <tableColumn id="18" uniqueName="Source" name="Source" dataDxfId="1976">
      <xmlColumnPr mapId="11" xpath="/dataroot/Camp_x005f_x0020_List/Source" xmlDataType="string"/>
    </tableColumn>
    <tableColumn id="20" uniqueName="Method" name="Method" dataDxfId="1975">
      <xmlColumnPr mapId="11" xpath="/dataroot/Camp_x005f_x0020_List/Method" xmlDataType="string"/>
    </tableColumn>
    <tableColumn id="10" uniqueName="Update Date" name="Update Date" dataDxfId="1974">
      <xmlColumnPr mapId="11" xpath="/dataroot/Camp_x005f_x0020_List/Update_x005f_x0020_Date" xmlDataType="dateTime"/>
    </tableColumn>
    <tableColumn id="21" uniqueName="Comment" name="Comment" dataDxfId="1973">
      <xmlColumnPr mapId="11" xpath="/dataroot/Camp_x005f_x0020_List/Comment" xmlDataType="string"/>
    </tableColumn>
    <tableColumn id="32" uniqueName="Priority" name="Priority" dataDxfId="1972">
      <xmlColumnPr mapId="11" xpath="/dataroot/Camp_x005f_x0020_List/Priority" xmlDataType="string"/>
    </tableColumn>
    <tableColumn id="27" uniqueName="Shelter Gap" name="Shelter Gap" dataDxfId="1971">
      <calculatedColumnFormula>IF(CampList[[#This Row],[Type of Accomodation]]="camp",MAX(0,CampList[[#This Row],[HH]]-SUMIF(Table_Shelter[Pcode],CampList[[#This Row],[CP_Pcode]],Table_Shelter[HH Covered2])),0)</calculatedColumnFormula>
      <xmlColumnPr mapId="11" xpath="/dataroot/Camp_x005f_x0020_List/Shelter_x005f_x0020_Gap" xmlDataType="double"/>
    </tableColumn>
    <tableColumn id="33" uniqueName="Land Status" name="Land Status" dataDxfId="1970">
      <xmlColumnPr mapId="11" xpath="/dataroot/Camp_x005f_x0020_List/Land_x005f_x0020_Status" xmlDataType="string"/>
    </tableColumn>
    <tableColumn id="34" uniqueName="Shelter Possible" name="Shelter Possible" dataDxfId="1969">
      <calculatedColumnFormula>MIN(CampList[[#This Row],[Shelter Gap]],CampList[[#This Row],[Land Status]])</calculatedColumnFormula>
      <xmlColumnPr mapId="11" xpath="/dataroot/Camp_x005f_x0020_List/Shelter_x005f_x0020_Possible" xmlDataType="double"/>
    </tableColumn>
    <tableColumn id="35" uniqueName="Nearest_Town" name="Nearest_Town" dataDxfId="1968">
      <calculatedColumnFormula>IFERROR(OFFSET(DistanceToCamp[Nearest Town],MATCH(CampList[[#This Row],[CP_Pcode]],DistanceToCamp[CP_Pcode],0)-1,0,1,1),"")</calculatedColumnFormula>
      <xmlColumnPr mapId="11" xpath="/dataroot/Camp_x005f_x0020_List/Nearest_Town" xmlDataType="string"/>
    </tableColumn>
    <tableColumn id="36" uniqueName="Distance" name="Distance" dataDxfId="1967" dataCellStyle="Comma">
      <calculatedColumnFormula>IFERROR(OFFSET(DistanceToCamp[distance],MATCH(CampList[[#This Row],[CP_Pcode]],DistanceToCamp[CP_Pcode],0)-1,0,1,1),"")</calculatedColumnFormula>
      <xmlColumnPr mapId="11" xpath="/dataroot/Camp_x005f_x0020_List/Distance" xmlDataType="string"/>
    </tableColumn>
    <tableColumn id="37" uniqueName="Distance_Cat" name="Distance_Cat" dataDxfId="1966">
      <calculatedColumnFormula>IFERROR(INT(CampList[[#This Row],[Distance]]/5)+1,"")</calculatedColumnFormula>
      <xmlColumnPr mapId="11" xpath="/dataroot/Camp_x005f_x0020_List/Distance_Cat" xmlDataType="string"/>
    </tableColumn>
  </tableColumns>
  <tableStyleInfo name="TableStyleMedium2" showFirstColumn="0" showLastColumn="0" showRowStripes="1" showColumnStripes="0"/>
</table>
</file>

<file path=xl/tables/table10.xml><?xml version="1.0" encoding="utf-8"?>
<table xmlns="http://schemas.openxmlformats.org/spreadsheetml/2006/main" id="5" name="Table5" displayName="Table5" ref="L1:L24" totalsRowShown="0" headerRowDxfId="688" dataDxfId="687">
  <autoFilter ref="L1:L24"/>
  <tableColumns count="1">
    <tableColumn id="1" name="Kachin" dataDxfId="686"/>
  </tableColumns>
  <tableStyleInfo name="TableStyleMedium2" showFirstColumn="0" showLastColumn="0" showRowStripes="1" showColumnStripes="0"/>
</table>
</file>

<file path=xl/tables/table11.xml><?xml version="1.0" encoding="utf-8"?>
<table xmlns="http://schemas.openxmlformats.org/spreadsheetml/2006/main" id="6" name="Table6" displayName="Table6" ref="N1:N7" totalsRowShown="0" headerRowDxfId="685" dataDxfId="684">
  <autoFilter ref="N1:N7"/>
  <tableColumns count="1">
    <tableColumn id="1" name="Shan_North" dataDxfId="683"/>
  </tableColumns>
  <tableStyleInfo name="TableStyleMedium2" showFirstColumn="0" showLastColumn="0" showRowStripes="1" showColumnStripes="0"/>
</table>
</file>

<file path=xl/tables/table2.xml><?xml version="1.0" encoding="utf-8"?>
<table xmlns="http://schemas.openxmlformats.org/spreadsheetml/2006/main" id="9" name="DistanceToCamp" displayName="DistanceToCamp" ref="A1:C183" totalsRowShown="0">
  <autoFilter ref="A1:C183"/>
  <sortState ref="A2:C166">
    <sortCondition ref="A1:A166"/>
  </sortState>
  <tableColumns count="3">
    <tableColumn id="1" name="CP_Pcode" dataDxfId="1965"/>
    <tableColumn id="2" name="Nearest Town" dataDxfId="1964"/>
    <tableColumn id="3" name="distance" dataDxfId="1963"/>
  </tableColumns>
  <tableStyleInfo name="TableStyleMedium2" showFirstColumn="0" showLastColumn="0" showRowStripes="1" showColumnStripes="0"/>
</table>
</file>

<file path=xl/tables/table3.xml><?xml version="1.0" encoding="utf-8"?>
<table xmlns="http://schemas.openxmlformats.org/spreadsheetml/2006/main" id="7" name="Table58" displayName="Table58" ref="T2:AG26" totalsRowCount="1" headerRowDxfId="1320" dataDxfId="1318" totalsRowDxfId="1316" headerRowBorderDxfId="1319" tableBorderDxfId="1317" totalsRowBorderDxfId="1315" dataCellStyle="Percent">
  <autoFilter ref="T2:AG25"/>
  <tableColumns count="14">
    <tableColumn id="1" name="Pcode" dataDxfId="1314" totalsRowDxfId="1313"/>
    <tableColumn id="2" name="Township" totalsRowLabel="Kachin/Shan" dataDxfId="1312" totalsRowDxfId="1311"/>
    <tableColumn id="3" name="Long." totalsRowLabel="96.00" dataDxfId="1310" totalsRowDxfId="1309"/>
    <tableColumn id="4" name="Lat." totalsRowLabel="27.00" dataDxfId="1308" totalsRowDxfId="1307"/>
    <tableColumn id="5" name="HS" totalsRowFunction="sum" dataDxfId="1306" totalsRowDxfId="1305">
      <calculatedColumnFormula>'CCCM Dashboard'!C16</calculatedColumnFormula>
    </tableColumn>
    <tableColumn id="6" name="Pop" totalsRowFunction="sum" dataDxfId="1304" totalsRowDxfId="1303" dataCellStyle="Comma">
      <calculatedColumnFormula>'CCCM Dashboard'!D16</calculatedColumnFormula>
    </tableColumn>
    <tableColumn id="7" name="N_cps" totalsRowFunction="custom" dataDxfId="1302" totalsRowDxfId="1301">
      <calculatedColumnFormula>CONCATENATE(AG2," cp",IF(AG2&gt;1,"s",""))</calculatedColumnFormula>
      <totalsRowFormula>CONCATENATE(Table58[[#Totals],[Column1]]," camps")</totalsRowFormula>
    </tableColumn>
    <tableColumn id="8" name="Coverage" totalsRowFunction="custom" dataDxfId="1300" totalsRowDxfId="1299" dataCellStyle="Percent">
      <calculatedColumnFormula>'Shelter Progress'!N7</calculatedColumnFormula>
      <totalsRowFormula>SUMPRODUCT(Table58[Pop]*Table58[Coverage])/Table58[[#Totals],[Pop]]</totalsRowFormula>
    </tableColumn>
    <tableColumn id="9" name="Hygiene" totalsRowFunction="custom" dataDxfId="1298" totalsRowDxfId="1297" dataCellStyle="Percent">
      <totalsRowFormula>SUMPRODUCT(Table58[Pop]*Table58[Hygiene])/Table58[[#Totals],[Pop]]</totalsRowFormula>
    </tableColumn>
    <tableColumn id="10" name="Core" totalsRowFunction="custom" dataDxfId="1296" totalsRowDxfId="1295" dataCellStyle="Percent">
      <totalsRowFormula>SUMPRODUCT(Table58[Pop]*Table58[Core])/Table58[[#Totals],[Pop]]</totalsRowFormula>
    </tableColumn>
    <tableColumn id="11" name="Sanitary" totalsRowFunction="custom" dataDxfId="1294" totalsRowDxfId="1293" dataCellStyle="Percent">
      <totalsRowFormula>SUMPRODUCT(Table58[Pop]*Table58[Sanitary])/Table58[[#Totals],[Pop]]</totalsRowFormula>
    </tableColumn>
    <tableColumn id="12" name="Y" totalsRowFunction="custom" dataDxfId="1292" totalsRowDxfId="1291">
      <calculatedColumnFormula>$S$3-ROUND((W3-$S$1)*$S$5,0)</calculatedColumnFormula>
      <totalsRowFormula>1000-ROUND((W26-23.5)*$S$5,0)</totalsRowFormula>
    </tableColumn>
    <tableColumn id="13" name="X" totalsRowFunction="custom" dataDxfId="1290" totalsRowDxfId="1289">
      <calculatedColumnFormula>ROUND((V3-$S$2)*$S$5,0)+$S$4</calculatedColumnFormula>
      <totalsRowFormula>ROUND((V26-96.5)*$S$5,0)+100</totalsRowFormula>
    </tableColumn>
    <tableColumn id="14" name="Column1" totalsRowFunction="sum" dataDxfId="1288" totalsRowDxfId="1287" dataCellStyle="Comma">
      <calculatedColumnFormula>'CCCM Dashboard'!E16</calculatedColumnFormula>
    </tableColumn>
  </tableColumns>
  <tableStyleInfo name="TableStyleMedium10" showFirstColumn="0" showLastColumn="0" showRowStripes="1" showColumnStripes="0"/>
</table>
</file>

<file path=xl/tables/table4.xml><?xml version="1.0" encoding="utf-8"?>
<table xmlns="http://schemas.openxmlformats.org/spreadsheetml/2006/main" id="4" name="Table_Shelter" displayName="Table_Shelter" ref="A4:X385" tableType="xml" totalsRowShown="0" headerRowDxfId="1210" dataDxfId="1208" headerRowBorderDxfId="1209" tableBorderDxfId="1207" totalsRowBorderDxfId="1206">
  <autoFilter ref="A4:X385"/>
  <sortState ref="A5:X385">
    <sortCondition descending="1" ref="A4:A385"/>
  </sortState>
  <tableColumns count="24">
    <tableColumn id="1" uniqueName="Update Date" name="Update Date" dataDxfId="1205">
      <xmlColumnPr mapId="9" xpath="/dataroot/Shelter_x005f_x0020_Tracking/Update_x005f_x0020_Date" xmlDataType="dateTime"/>
    </tableColumn>
    <tableColumn id="2" uniqueName="Organization" name="Organization" dataDxfId="1204">
      <xmlColumnPr mapId="9" xpath="/dataroot/Shelter_x005f_x0020_Tracking/Organization" xmlDataType="string"/>
    </tableColumn>
    <tableColumn id="3" uniqueName="ImplementingPartner" name="Implementing  Partner" dataDxfId="1203">
      <xmlColumnPr mapId="9" xpath="/dataroot/Shelter_x005f_x0020_Tracking/ImplementingPartner" xmlDataType="string"/>
    </tableColumn>
    <tableColumn id="4" uniqueName="State" name="State" dataDxfId="1202" dataCellStyle="Normal_Sheet3">
      <xmlColumnPr mapId="9" xpath="/dataroot/Shelter_x005f_x0020_Tracking/State" xmlDataType="string"/>
    </tableColumn>
    <tableColumn id="5" uniqueName="Township" name="Township" dataDxfId="1201">
      <xmlColumnPr mapId="9" xpath="/dataroot/Shelter_x005f_x0020_Tracking/Township" xmlDataType="string"/>
    </tableColumn>
    <tableColumn id="6" uniqueName="CampName" name="CampName" dataDxfId="1200">
      <xmlColumnPr mapId="9" xpath="/dataroot/Shelter_x005f_x0020_Tracking/CampName" xmlDataType="string"/>
    </tableColumn>
    <tableColumn id="7" uniqueName="HHperShelter" name="HH per Shelter" dataDxfId="1199">
      <xmlColumnPr mapId="9" xpath="/dataroot/Shelter_x005f_x0020_Tracking/HHperShelter" xmlDataType="double"/>
    </tableColumn>
    <tableColumn id="8" uniqueName="#ofFamilyTentPlanned(Target)" name="# of Family Tent Planned(Target)" dataDxfId="1198">
      <xmlColumnPr mapId="9" xpath="/dataroot/Shelter_x005f_x0020_Tracking/_x005f_x0023_ofFamilyTentPlanned_x005f_x0028_Target_x005f_x0029_" xmlDataType="double"/>
    </tableColumn>
    <tableColumn id="9" uniqueName="#ofFamilyTentDistributed" name="# of Family Tent Distributed" dataDxfId="1197">
      <xmlColumnPr mapId="9" xpath="/dataroot/Shelter_x005f_x0020_Tracking/_x005f_x0023_ofFamilyTentDistributed" xmlDataType="double"/>
    </tableColumn>
    <tableColumn id="10" uniqueName="#ofTemporaryShelterUnitsPlanned(Target)" name="# of Temporary Shelter Units Planned (Target)" dataDxfId="1196">
      <xmlColumnPr mapId="9" xpath="/dataroot/Shelter_x005f_x0020_Tracking/_x005f_x0023_ofTemporaryShelterUnitsPlanned_x005f_x0028_Target_x005f_x0029_" xmlDataType="double"/>
    </tableColumn>
    <tableColumn id="11" uniqueName="#ofTemporaryShelterUnitsBuilt" name="# of Temporary Shelter Units Built" dataDxfId="1195">
      <xmlColumnPr mapId="9" xpath="/dataroot/Shelter_x005f_x0020_Tracking/_x005f_x0023_ofTemporaryShelterUnitsBuilt" xmlDataType="double"/>
    </tableColumn>
    <tableColumn id="12" uniqueName="#ofTemporaryShelterUnderConstruction" name="# of Temporary Shelter Under  Construction" dataDxfId="1194">
      <xmlColumnPr mapId="9" xpath="/dataroot/Shelter_x005f_x0020_Tracking/_x005f_x0023_ofTemporaryShelterUnderConstruction" xmlDataType="string"/>
    </tableColumn>
    <tableColumn id="13" uniqueName="#ofPermanentHousePlanned(Target)" name="# of Permanent House Planned (Target)" dataDxfId="1193">
      <xmlColumnPr mapId="9" xpath="/dataroot/Shelter_x005f_x0020_Tracking/_x005f_x0023_ofPermanentHousePlanned_x005f_x0028_Target_x005f_x0029_" xmlDataType="string"/>
    </tableColumn>
    <tableColumn id="14" uniqueName="#ofPermanentHouseBuilt" name="# of Permanent House Built" dataDxfId="1192">
      <xmlColumnPr mapId="9" xpath="/dataroot/Shelter_x005f_x0020_Tracking/_x005f_x0023_ofPermanentHouseBuilt" xmlDataType="string"/>
    </tableColumn>
    <tableColumn id="15" uniqueName="#ofPermanentHouseUnderConstruction" name="# of Permanent House Under Construction" dataDxfId="1191">
      <xmlColumnPr mapId="9" xpath="/dataroot/Shelter_x005f_x0020_Tracking/_x005f_x0023_ofPermanentHouseUnderConstruction" xmlDataType="string"/>
    </tableColumn>
    <tableColumn id="24" uniqueName="24" name="HH Covered" dataDxfId="1190">
      <calculatedColumnFormula>IFERROR(IF(VLOOKUP(Table_Shelter[[#This Row],[CampName]],CL,5,0)&lt;Table_Shelter[[#This Row],[HH Covered2]],VLOOKUP(Table_Shelter[[#This Row],[CampName]],CL,5,0),Table_Shelter[[#This Row],[HH Covered2]]),"")</calculatedColumnFormula>
    </tableColumn>
    <tableColumn id="16" uniqueName="HHCovered" name="HH Covered2" dataDxfId="1189">
      <calculatedColumnFormula>IF(Table_Shelter[[#This Row],[Status]]="Open",IF(W5="NO",Table_Shelter[[#This Row],[HH per Shelter]]*(Table_Shelter[[#This Row],['# of Temporary Shelter Units Built]]+Table_Shelter[[#This Row],['# of Temporary Shelter Under  Construction]]+Table_Shelter[[#This Row],['# of Permanent House Under Construction]]),0),0)</calculatedColumnFormula>
      <xmlColumnPr mapId="9" xpath="/dataroot/Shelter_x005f_x0020_Tracking/HHCovered" xmlDataType="double"/>
    </tableColumn>
    <tableColumn id="21" uniqueName="Planned Renovation" name="Planned Renovation" dataDxfId="1188">
      <xmlColumnPr mapId="9" xpath="/dataroot/Shelter_x005f_x0020_Tracking/Planned_x005f_x0020_Renovation" xmlDataType="double"/>
    </tableColumn>
    <tableColumn id="20" uniqueName="Renovated" name="Renovated" dataDxfId="1187">
      <xmlColumnPr mapId="9" xpath="/dataroot/Shelter_x005f_x0020_Tracking/Renovated" xmlDataType="string"/>
    </tableColumn>
    <tableColumn id="17" uniqueName="Pcode" name="Pcode" dataDxfId="1186">
      <calculatedColumnFormula>IFERROR(VLOOKUP(Table_Shelter[[#This Row],[CampName]],CL,2,0),"")</calculatedColumnFormula>
      <xmlColumnPr mapId="9" xpath="/dataroot/Shelter_x005f_x0020_Tracking/Pcode" xmlDataType="string"/>
    </tableColumn>
    <tableColumn id="18" uniqueName="Status" name="Status" dataDxfId="1185">
      <calculatedColumnFormula>IFERROR(VLOOKUP(Table_Shelter[[#This Row],[CampName]],CL,3,0),"")</calculatedColumnFormula>
      <xmlColumnPr mapId="9" xpath="/dataroot/Shelter_x005f_x0020_Tracking/Status" xmlDataType="string"/>
    </tableColumn>
    <tableColumn id="19" uniqueName="Coverage" name="Coverage" dataDxfId="1184">
      <calculatedColumnFormula>IFERROR(Table_Shelter[[#This Row],[HH Covered]]/VLOOKUP(Table_Shelter[[#This Row],[CampName]],CL,5,0),"")</calculatedColumnFormula>
      <xmlColumnPr mapId="9" xpath="/dataroot/Shelter_x005f_x0020_Tracking/Coverage" xmlDataType="double"/>
    </tableColumn>
    <tableColumn id="23" uniqueName="23" name="Replacement (YES/NO)" dataDxfId="1183">
      <calculatedColumnFormula>VLOOKUP(Table_Shelter[[#This Row],[CampName]],CL,4,0)</calculatedColumnFormula>
    </tableColumn>
    <tableColumn id="22" uniqueName="Comments" name="Comments" dataDxfId="1182">
      <xmlColumnPr mapId="9" xpath="/dataroot/Shelter_x005f_x0020_Tracking/Comments" xmlDataType="string"/>
    </tableColumn>
  </tableColumns>
  <tableStyleInfo name="TableStyleMedium2" showFirstColumn="0" showLastColumn="0" showRowStripes="1" showColumnStripes="0"/>
</table>
</file>

<file path=xl/tables/table5.xml><?xml version="1.0" encoding="utf-8"?>
<table xmlns="http://schemas.openxmlformats.org/spreadsheetml/2006/main" id="8" name="Shelter_Draw" displayName="Shelter_Draw" ref="CF18:CI34" totalsRowShown="0" headerRowDxfId="795" dataDxfId="793" headerRowBorderDxfId="794" tableBorderDxfId="792" totalsRowBorderDxfId="791">
  <autoFilter ref="CF18:CI34"/>
  <tableColumns count="4">
    <tableColumn id="1" name="Township" dataDxfId="790">
      <calculatedColumnFormula>B19</calculatedColumnFormula>
    </tableColumn>
    <tableColumn id="2" name="V1" dataDxfId="789">
      <calculatedColumnFormula>C19-Shelter_Draw[[#This Row],[V2]]-Shelter_Draw[[#This Row],[V3]]</calculatedColumnFormula>
    </tableColumn>
    <tableColumn id="3" name="V2" dataDxfId="788">
      <calculatedColumnFormula>G19</calculatedColumnFormula>
    </tableColumn>
    <tableColumn id="4" name="V3" dataDxfId="787">
      <calculatedColumnFormula>F19-G19</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2" name="Table_NFI" displayName="Table_NFI" ref="A5:AW1172" tableType="xml" totalsRowShown="0" headerRowDxfId="778" dataDxfId="776" headerRowBorderDxfId="777" tableBorderDxfId="775" totalsRowBorderDxfId="774">
  <autoFilter ref="A5:AW1172"/>
  <sortState ref="A6:AW1172">
    <sortCondition descending="1" ref="B5:B1172"/>
  </sortState>
  <tableColumns count="49">
    <tableColumn id="23" uniqueName="Months" name="Months" dataDxfId="773">
      <calculatedColumnFormula>IF(ISBLANK(B6),"",(Report_Date-B6)/30)</calculatedColumnFormula>
      <xmlColumnPr mapId="8" xpath="/dataroot/NFI_x005f_x0020_Tracking/Months" xmlDataType="double"/>
    </tableColumn>
    <tableColumn id="1" uniqueName="Distribution Date" name="Distribution Date" dataDxfId="772">
      <xmlColumnPr mapId="8" xpath="/dataroot/NFI_x005f_x0020_Tracking/Distribution_x005f_x0020_Date" xmlDataType="dateTime"/>
    </tableColumn>
    <tableColumn id="2" uniqueName="Organization" name="Organization" dataDxfId="771">
      <xmlColumnPr mapId="8" xpath="/dataroot/NFI_x005f_x0020_Tracking/Organization" xmlDataType="string"/>
    </tableColumn>
    <tableColumn id="3" uniqueName="Implementing Partner" name="Implementing Partner" dataDxfId="770">
      <xmlColumnPr mapId="8" xpath="/dataroot/NFI_x005f_x0020_Tracking/Implementing_x005f_x0020_Partner" xmlDataType="string"/>
    </tableColumn>
    <tableColumn id="4" uniqueName="State" name="State" dataDxfId="769">
      <xmlColumnPr mapId="8" xpath="/dataroot/NFI_x005f_x0020_Tracking/State" xmlDataType="string"/>
    </tableColumn>
    <tableColumn id="5" uniqueName="Township" name="Township" dataDxfId="768">
      <xmlColumnPr mapId="8" xpath="/dataroot/NFI_x005f_x0020_Tracking/Township" xmlDataType="string"/>
    </tableColumn>
    <tableColumn id="6" uniqueName="Camp Name" name="Camp Name" dataDxfId="767">
      <xmlColumnPr mapId="8" xpath="/dataroot/NFI_x005f_x0020_Tracking/Camp_x005f_x0020_Name" xmlDataType="string"/>
    </tableColumn>
    <tableColumn id="7" uniqueName="Hygiene Kit" name="Hygiene Kit" dataDxfId="766">
      <xmlColumnPr mapId="8" xpath="/dataroot/NFI_x005f_x0020_Tracking/Hygiene_x005f_x0020_Kit" xmlDataType="string"/>
    </tableColumn>
    <tableColumn id="8" uniqueName="NFI Core Kit" name="NFI Core Kit" dataDxfId="765">
      <xmlColumnPr mapId="8" xpath="/dataroot/NFI_x005f_x0020_Tracking/NFI_x005f_x0020_Core_x005f_x0020_Kit" xmlDataType="string"/>
    </tableColumn>
    <tableColumn id="9" uniqueName="Sanitary Kit" name="Sanitary Kit" dataDxfId="764">
      <xmlColumnPr mapId="8" xpath="/dataroot/NFI_x005f_x0020_Tracking/Sanitary_x005f_x0020_Kit" xmlDataType="string"/>
    </tableColumn>
    <tableColumn id="10" uniqueName="Mosquito net" name="Mosquito net" dataDxfId="763">
      <xmlColumnPr mapId="8" xpath="/dataroot/NFI_x005f_x0020_Tracking/Mosquito_x005f_x0020_net" xmlDataType="double"/>
    </tableColumn>
    <tableColumn id="11" uniqueName="Tarpaulin" name="Tarpaulin" dataDxfId="762">
      <xmlColumnPr mapId="8" xpath="/dataroot/NFI_x005f_x0020_Tracking/Tarpaulin" xmlDataType="double"/>
    </tableColumn>
    <tableColumn id="12" uniqueName="Blanket" name="Blanket" dataDxfId="761">
      <xmlColumnPr mapId="8" xpath="/dataroot/NFI_x005f_x0020_Tracking/Blanket" xmlDataType="double"/>
    </tableColumn>
    <tableColumn id="13" uniqueName="Kitchen Set" name="Kitchen Set" dataDxfId="760">
      <xmlColumnPr mapId="8" xpath="/dataroot/NFI_x005f_x0020_Tracking/Kitchen_x005f_x0020_Set" xmlDataType="double"/>
    </tableColumn>
    <tableColumn id="14" uniqueName="Clothes Kit" name="Clothes Kit" dataDxfId="759">
      <xmlColumnPr mapId="8" xpath="/dataroot/NFI_x005f_x0020_Tracking/Clothes_x005f_x0020_Kit" xmlDataType="double"/>
    </tableColumn>
    <tableColumn id="26" uniqueName="Plastic Bucket" name="Plastic Bucket" dataDxfId="758">
      <xmlColumnPr mapId="8" xpath="/dataroot/NFI_x005f_x0020_Tracking/Plastic_x005f_x0020_Bucket" xmlDataType="double"/>
    </tableColumn>
    <tableColumn id="25" uniqueName="Plastic Mat" name="Plastic Mat" dataDxfId="757">
      <xmlColumnPr mapId="8" xpath="/dataroot/NFI_x005f_x0020_Tracking/Plastic_x005f_x0020_Mat" xmlDataType="double"/>
    </tableColumn>
    <tableColumn id="47" uniqueName="Winter Clothes Adult" name="Winter Clothes Adult" dataDxfId="756">
      <xmlColumnPr mapId="8" xpath="/dataroot/NFI_x005f_x0020_Tracking/Winter_x005f_x0020_Clothes_x005f_x0020_Adult" xmlDataType="string"/>
    </tableColumn>
    <tableColumn id="46" uniqueName="Winter Clothes Children" name="Winter Clothes Children" dataDxfId="755">
      <xmlColumnPr mapId="8" xpath="/dataroot/NFI_x005f_x0020_Tracking/Winter_x005f_x0020_Clothes_x005f_x0020_Children" xmlDataType="string"/>
    </tableColumn>
    <tableColumn id="45" uniqueName="Winter Items Other" name="Winter Items Other" dataDxfId="754">
      <xmlColumnPr mapId="8" xpath="/dataroot/NFI_x005f_x0020_Tracking/Winter_x005f_x0020_Items_x005f_x0020_Other" xmlDataType="string"/>
    </tableColumn>
    <tableColumn id="32" uniqueName="Winter Blanket" name="Winter Blanket" dataDxfId="753">
      <xmlColumnPr mapId="8" xpath="/dataroot/NFI_x005f_x0020_Tracking/Winter_x005f_x0020_Blanket" xmlDataType="string"/>
    </tableColumn>
    <tableColumn id="38" uniqueName="38" name="Jerry Can" dataDxfId="752"/>
    <tableColumn id="41" uniqueName="41" name="Shelter Tool kit" dataDxfId="751"/>
    <tableColumn id="40" uniqueName="40" name="Tent" dataDxfId="750"/>
    <tableColumn id="15" uniqueName="Hygiene Kit_LS" name="Hygiene Kit_LS" dataDxfId="749">
      <calculatedColumnFormula>IF(NFI_Expiration=1,IF($A6&lt;VLOOKUP(H$5,NFI,5,0),1,0)*Table_NFI[[#This Row],[Hygiene Kit]],Table_NFI[Hygiene Kit])</calculatedColumnFormula>
      <xmlColumnPr mapId="8" xpath="/dataroot/NFI_x005f_x0020_Tracking/Hygiene_x005f_x0020_Kit_LS" xmlDataType="string"/>
    </tableColumn>
    <tableColumn id="16" uniqueName="NFI Core Kit_LS" name="NFI Core Kit_LS" dataDxfId="748">
      <calculatedColumnFormula>IF(NFI_Expiration=1,IF($A6&lt;VLOOKUP(I$5,NFI,5,0),1,0)*Table_NFI[[#This Row],[NFI Core Kit]],Table_NFI[NFI Core Kit])</calculatedColumnFormula>
      <xmlColumnPr mapId="8" xpath="/dataroot/NFI_x005f_x0020_Tracking/NFI_x005f_x0020_Core_x005f_x0020_Kit_LS" xmlDataType="string"/>
    </tableColumn>
    <tableColumn id="17" uniqueName="Sanitary Kit_LS" name="Sanitary Kit_LS" dataDxfId="747">
      <calculatedColumnFormula>IF(NFI_Expiration=1,IF($A6&lt;VLOOKUP(J$5,NFI,5,0),1,0)*Table_NFI[[#This Row],[Sanitary Kit]],Table_NFI[Sanitary Kit])</calculatedColumnFormula>
      <xmlColumnPr mapId="8" xpath="/dataroot/NFI_x005f_x0020_Tracking/Sanitary_x005f_x0020_Kit_LS" xmlDataType="string"/>
    </tableColumn>
    <tableColumn id="18" uniqueName="Mosquito net_LS" name="Mosquito net_LS" dataDxfId="746">
      <calculatedColumnFormula>IF(NFI_Expiration=1,IF($A6&lt;VLOOKUP(K$5,NFI,5,0),1,0)*Table_NFI[[#This Row],[Mosquito net]],Table_NFI[Mosquito net])</calculatedColumnFormula>
      <xmlColumnPr mapId="8" xpath="/dataroot/NFI_x005f_x0020_Tracking/Mosquito_x005f_x0020_net_LS" xmlDataType="string"/>
    </tableColumn>
    <tableColumn id="19" uniqueName="Tarpaulin_LS" name="Tarpaulin_LS" dataDxfId="745">
      <calculatedColumnFormula>IF(NFI_Expiration=1,IF($A6&lt;VLOOKUP(L$5,NFI,5,0),1,0)*Table_NFI[[#This Row],[Tarpaulin]],Table_NFI[[#This Row],[Tarpaulin]])</calculatedColumnFormula>
      <xmlColumnPr mapId="8" xpath="/dataroot/NFI_x005f_x0020_Tracking/Tarpaulin_LS" xmlDataType="string"/>
    </tableColumn>
    <tableColumn id="20" uniqueName="Blanket_LS" name="Blanket_LS" dataDxfId="744">
      <calculatedColumnFormula>IF(NFI_Expiration=1,IF($A6&lt;VLOOKUP(M$5,NFI,5,0),1,0)*Table_NFI[[#This Row],[Blanket]],Table_NFI[[#This Row],[Blanket]])</calculatedColumnFormula>
      <xmlColumnPr mapId="8" xpath="/dataroot/NFI_x005f_x0020_Tracking/Blanket_LS" xmlDataType="string"/>
    </tableColumn>
    <tableColumn id="21" uniqueName="Kitchen Set_LS" name="Kitchen Set_LS" dataDxfId="743">
      <calculatedColumnFormula>IF(NFI_Expiration=1,IF($A6&lt;VLOOKUP(N$5,NFI,5,0),1,0)*Table_NFI[[#This Row],[Kitchen Set]],Table_NFI[Kitchen Set])</calculatedColumnFormula>
      <xmlColumnPr mapId="8" xpath="/dataroot/NFI_x005f_x0020_Tracking/Kitchen_x005f_x0020_Set_LS" xmlDataType="string"/>
    </tableColumn>
    <tableColumn id="22" uniqueName="Clothes Kit_LS" name="Clothes Kit_LS" dataDxfId="742">
      <calculatedColumnFormula>IF(NFI_Expiration=1,IF($A6&lt;VLOOKUP(O$5,NFI,5,0),1,0)*Table_NFI[[#This Row],[Clothes Kit]],Table_NFI[Clothes Kit])</calculatedColumnFormula>
      <xmlColumnPr mapId="8" xpath="/dataroot/NFI_x005f_x0020_Tracking/Clothes_x005f_x0020_Kit_LS" xmlDataType="string"/>
    </tableColumn>
    <tableColumn id="28" uniqueName="Plastic Bucket _LS" name="Plastic Bucket _LS" dataDxfId="741">
      <calculatedColumnFormula>IF(NFI_Expiration=1,IF($A6&lt;VLOOKUP(P$5,NFI,5,0),1,0)*Table_NFI[[#This Row],[Plastic Bucket]],Table_NFI[Plastic Bucket])</calculatedColumnFormula>
      <xmlColumnPr mapId="8" xpath="/dataroot/NFI_x005f_x0020_Tracking/Plastic_x005f_x0020_Bucket_x005f_x0020__LS" xmlDataType="string"/>
    </tableColumn>
    <tableColumn id="27" uniqueName="Plastic  Mat_LS" name="Plastic  Mat_LS" dataDxfId="740">
      <calculatedColumnFormula>IF(NFI_Expiration=1,IF($A6&lt;VLOOKUP(Q$5,NFI,5,0),1,0)*Table_NFI[[#This Row],[Plastic Mat]],Table_NFI[Plastic Mat])*IF(Table_NFI[[#This Row],[Distribution Date]]&gt;"2014-04-01",1,2.5)</calculatedColumnFormula>
      <xmlColumnPr mapId="8" xpath="/dataroot/NFI_x005f_x0020_Tracking/Plastic_x005f_x0020__x005f_x0020_Mat_LS" xmlDataType="string"/>
    </tableColumn>
    <tableColumn id="50" uniqueName="Winter Clothes Adult_LS" name="Winter Clothes Adult_LS" dataDxfId="739">
      <calculatedColumnFormula>IF(NFI_Expiration=1,IF($A6&lt;VLOOKUP(R$5,NFI,5,0),1,0)*Table_NFI[[#This Row],[Winter Clothes Adult]],Table_NFI[Winter Clothes Adult])</calculatedColumnFormula>
      <xmlColumnPr mapId="8" xpath="/dataroot/NFI_x005f_x0020_Tracking/Winter_x005f_x0020_Clothes_x005f_x0020_Adult_LS" xmlDataType="string"/>
    </tableColumn>
    <tableColumn id="49" uniqueName="Winter Clothes Children_LS" name="Winter Clothes Children_LS" dataDxfId="738">
      <calculatedColumnFormula>IF(NFI_Expiration=1,IF($A6&lt;VLOOKUP(S$5,NFI,5,0),1,0)*Table_NFI[[#This Row],[Winter Clothes Children]],Table_NFI[Winter Clothes Children])</calculatedColumnFormula>
      <xmlColumnPr mapId="8" xpath="/dataroot/NFI_x005f_x0020_Tracking/Winter_x005f_x0020_Clothes_x005f_x0020_Children_LS" xmlDataType="string"/>
    </tableColumn>
    <tableColumn id="48" uniqueName="Winter Items Other_LS" name="Winter Items Other_LS" dataDxfId="737">
      <calculatedColumnFormula>IF(NFI_Expiration=1,IF($A6&lt;VLOOKUP(T$5,NFI,5,0),1,0)*Table_NFI[[#This Row],[Winter Items Other]],Table_NFI[Winter Items Other])</calculatedColumnFormula>
      <xmlColumnPr mapId="8" xpath="/dataroot/NFI_x005f_x0020_Tracking/Winter_x005f_x0020_Items_x005f_x0020_Other_LS" xmlDataType="string"/>
    </tableColumn>
    <tableColumn id="33" uniqueName="Winter Blanket_LS" name="Winter Blanket_LS" dataDxfId="736">
      <calculatedColumnFormula>IF(NFI_Expiration=1,IF($A6&lt;VLOOKUP(M$5,NFI,5,0),1,0)*Table_NFI[[#This Row],[Winter Blanket]],Table_NFI[[#This Row],[Winter Blanket]])</calculatedColumnFormula>
      <xmlColumnPr mapId="8" xpath="/dataroot/NFI_x005f_x0020_Tracking/Winter_x005f_x0020_Blanket_LS" xmlDataType="string"/>
    </tableColumn>
    <tableColumn id="36" uniqueName="Winter" name="Winter" dataDxfId="735">
      <calculatedColumnFormula>IF(Table_NFI[[#This Row],[Winter Clothes Adult]]+Table_NFI[[#This Row],[Winter Clothes Children]]+Table_NFI[[#This Row],[Winter Items Other]]+Table_NFI[[#This Row],[Winter Blanket]]&gt;0,1,0)</calculatedColumnFormula>
      <xmlColumnPr mapId="8" xpath="/dataroot/NFI_x005f_x0020_Tracking/Winter" xmlDataType="double"/>
    </tableColumn>
    <tableColumn id="39" uniqueName="39" name="Jerry Can_LS" dataDxfId="734">
      <calculatedColumnFormula>IF(NFI_Expiration=1,IF($A6&lt;VLOOKUP(V$5,NFI,5,0),1,0)*Table_NFI[[#This Row],[Jerry Can]],Table_NFI[Jerry Can])</calculatedColumnFormula>
    </tableColumn>
    <tableColumn id="42" uniqueName="42" name="Shelter Tool kit_LS" dataDxfId="733">
      <calculatedColumnFormula>IF(NFI_Expiration=1,IF($A6&lt;VLOOKUP(V$5,NFI,5,0),1,0)*Table_NFI[[#This Row],[Shelter Tool kit]],Table_NFI[Shelter Tool kit])</calculatedColumnFormula>
    </tableColumn>
    <tableColumn id="43" uniqueName="43" name="Tent_LS" dataDxfId="732">
      <calculatedColumnFormula>IF(NFI_Expiration=1,IF($A6&lt;VLOOKUP(V$5,NFI,5,0),1,0)*Table_NFI[[#This Row],[Tent]],Table_NFI[Tent])</calculatedColumnFormula>
    </tableColumn>
    <tableColumn id="24" uniqueName="Pcode" name="Pcode" dataDxfId="731">
      <calculatedColumnFormula>IFERROR(VLOOKUP(Table_NFI[[#This Row],[Camp Name]],CL,2,0),"")</calculatedColumnFormula>
      <xmlColumnPr mapId="8" xpath="/dataroot/NFI_x005f_x0020_Tracking/Pcode" xmlDataType="string"/>
    </tableColumn>
    <tableColumn id="35" uniqueName="opening_date" name="opening_date" dataDxfId="730">
      <calculatedColumnFormula>IF(Table_NFI[[#This Row],[Pcode]]="","",IF(OFFSET(CampList[Opening Date],MATCH(Table_NFI[[#This Row],[Pcode]],CampList[CP_Pcode],0)-1,0,1,1)&gt;=NFI_Monitor_Date,1,0))</calculatedColumnFormula>
      <xmlColumnPr mapId="8" xpath="/dataroot/NFI_x005f_x0020_Tracking/opening_date" xmlDataType="double"/>
    </tableColumn>
    <tableColumn id="34" uniqueName="Status" name="Status" dataDxfId="729">
      <calculatedColumnFormula>IFERROR(VLOOKUP(Table_NFI[[#This Row],[Camp Name]],CL,3,0),"")</calculatedColumnFormula>
      <xmlColumnPr mapId="8" xpath="/dataroot/NFI_x005f_x0020_Tracking/Status" xmlDataType="string"/>
    </tableColumn>
    <tableColumn id="29" uniqueName="Priority" name="Priority" dataDxfId="728">
      <calculatedColumnFormula>IF(Table_NFI[[#This Row],[Pcode]]="","",OFFSET(CampList[Priority],MATCH(Table_NFI[[#This Row],[Pcode]],CampList[CP_Pcode],0)-1,0,1,1))</calculatedColumnFormula>
      <xmlColumnPr mapId="8" xpath="/dataroot/NFI_x005f_x0020_Tracking/Priority" xmlDataType="string"/>
    </tableColumn>
    <tableColumn id="30" uniqueName="Coverage" name="Coverage" dataDxfId="727">
      <calculatedColumnFormula>IFERROR(Table_NFI[[#This Row],[Kitchen Set]]/VLOOKUP(Table_NFI[[#This Row],[Camp Name]],CL,4,0),"")</calculatedColumnFormula>
      <xmlColumnPr mapId="8" xpath="/dataroot/NFI_x005f_x0020_Tracking/Coverage" xmlDataType="double"/>
    </tableColumn>
    <tableColumn id="31" uniqueName="Planned Distribution" name="Planned Distribution" dataDxfId="726">
      <xmlColumnPr mapId="8" xpath="/dataroot/NFI_x005f_x0020_Tracking/Planned_x005f_x0020_Distribution" xmlDataType="string"/>
    </tableColumn>
    <tableColumn id="37" uniqueName="Comment" name="Comment" dataDxfId="725">
      <xmlColumnPr mapId="8" xpath="/dataroot/NFI_x005f_x0020_Tracking/Comment" xmlDataType="string"/>
    </tableColumn>
  </tableColumns>
  <tableStyleInfo name="TableStyleLight1" showFirstColumn="0" showLastColumn="0" showRowStripes="1" showColumnStripes="0"/>
</table>
</file>

<file path=xl/tables/table7.xml><?xml version="1.0" encoding="utf-8"?>
<table xmlns="http://schemas.openxmlformats.org/spreadsheetml/2006/main" id="11" name="Table11" displayName="Table11" ref="A1:AQ7" totalsRowShown="0">
  <autoFilter ref="A1:AQ7"/>
  <tableColumns count="43">
    <tableColumn id="1" name="Months"/>
    <tableColumn id="2" name="Distribution Date" dataDxfId="724"/>
    <tableColumn id="3" name="Organization"/>
    <tableColumn id="4" name="Implementing Partner"/>
    <tableColumn id="5" name="State"/>
    <tableColumn id="6" name="Township"/>
    <tableColumn id="7" name="Camp Name"/>
    <tableColumn id="8" name="Hygiene Kit"/>
    <tableColumn id="9" name="NFI Core Kit"/>
    <tableColumn id="10" name="Sanitary Kit"/>
    <tableColumn id="11" name="Mosquito net"/>
    <tableColumn id="12" name="Tarpaulin"/>
    <tableColumn id="13" name="Blanket"/>
    <tableColumn id="14" name="Kitchen Set"/>
    <tableColumn id="15" name="Clothes Kit"/>
    <tableColumn id="16" name="Plastic Bucket"/>
    <tableColumn id="17" name="Plastic Mat"/>
    <tableColumn id="18" name="Winter Clothes Adult"/>
    <tableColumn id="19" name="Winter Clothes Children"/>
    <tableColumn id="20" name="Winter Items Other"/>
    <tableColumn id="21" name="Winter Blanket"/>
    <tableColumn id="22" name="Hygiene Kit_LS"/>
    <tableColumn id="23" name="NFI Core Kit_LS"/>
    <tableColumn id="24" name="Sanitary Kit_LS"/>
    <tableColumn id="25" name="Mosquito net_LS"/>
    <tableColumn id="26" name="Tarpaulin_LS"/>
    <tableColumn id="27" name="Blanket_LS"/>
    <tableColumn id="28" name="Kitchen Set_LS"/>
    <tableColumn id="29" name="Clothes Kit_LS"/>
    <tableColumn id="30" name="Plastic Bucket _LS"/>
    <tableColumn id="31" name="Plastic  Mat_LS"/>
    <tableColumn id="32" name="Winter Clothes Adult_LS"/>
    <tableColumn id="33" name="Winter Clothes Children_LS"/>
    <tableColumn id="34" name="Winter Items Other_LS"/>
    <tableColumn id="35" name="Winter Blanket_LS"/>
    <tableColumn id="36" name="Winter"/>
    <tableColumn id="37" name="Pcode"/>
    <tableColumn id="38" name="opening_date"/>
    <tableColumn id="39" name="Status"/>
    <tableColumn id="40" name="Priority"/>
    <tableColumn id="41" name="Coverage"/>
    <tableColumn id="42" name="Planned Distribution"/>
    <tableColumn id="43" name="Comment"/>
  </tableColumns>
  <tableStyleInfo name="TableStyleMedium2" showFirstColumn="0" showLastColumn="0" showRowStripes="1" showColumnStripes="0"/>
</table>
</file>

<file path=xl/tables/table8.xml><?xml version="1.0" encoding="utf-8"?>
<table xmlns="http://schemas.openxmlformats.org/spreadsheetml/2006/main" id="10" name="Table10" displayName="Table10" ref="A1:N168" totalsRowShown="0" headerRowDxfId="709" headerRowBorderDxfId="708" tableBorderDxfId="707" totalsRowBorderDxfId="706">
  <autoFilter ref="A1:N168"/>
  <tableColumns count="14">
    <tableColumn id="5" name="Pcode" dataDxfId="705"/>
    <tableColumn id="2" name="Priority" dataDxfId="704">
      <calculatedColumnFormula>OFFSET(CampList[Priority],MATCH(Table10[[#This Row],[Pcode]],CampList[CP_Pcode],0)-1,0,1,1)</calculatedColumnFormula>
    </tableColumn>
    <tableColumn id="1" name="Camp" dataDxfId="703">
      <calculatedColumnFormula>OFFSET(CampList[Camp],MATCH(Table10[[#This Row],[Pcode]],CampList[CP_Pcode],0)-1,0,1,1)</calculatedColumnFormula>
    </tableColumn>
    <tableColumn id="4" name="Township" dataDxfId="702">
      <calculatedColumnFormula>OFFSET(CampList[Township],MATCH(Table10[[#This Row],[Pcode]],CampList[CP_Pcode],0)-1,0,1,1)</calculatedColumnFormula>
    </tableColumn>
    <tableColumn id="6" name="HH" dataDxfId="701">
      <calculatedColumnFormula>OFFSET(CampList[HH],MATCH(Table10[[#This Row],[Pcode]],CampList[CP_Pcode],0)-1,0,1,1)</calculatedColumnFormula>
    </tableColumn>
    <tableColumn id="7" name="Ind" dataDxfId="700">
      <calculatedColumnFormula>OFFSET(CampList[Total],MATCH(Table10[[#This Row],[Pcode]],CampList[CP_Pcode],0)-1,0,1,1)</calculatedColumnFormula>
    </tableColumn>
    <tableColumn id="8" name="Winter Clothes Adult " dataDxfId="699">
      <calculatedColumnFormula>SUMIF('NFI Tracking'!AQ$11:AQ$1048576,Table10[[#This Row],[Pcode]],'NFI Tracking'!AI$11:AI$1048576)</calculatedColumnFormula>
    </tableColumn>
    <tableColumn id="9" name="Winter Clothes Children " dataDxfId="698">
      <calculatedColumnFormula>SUMIF('NFI Tracking'!AQ$11:AQ$1048576,Table10[[#This Row],[Pcode]],'NFI Tracking'!AJ$11:AJ$1048576)</calculatedColumnFormula>
    </tableColumn>
    <tableColumn id="10" name="Winter Items Other " dataDxfId="697">
      <calculatedColumnFormula>SUMIF('NFI Tracking'!AQ$11:AQ$1048576,Table10[[#This Row],[Pcode]],'NFI Tracking'!AK$11:AK$1048576)</calculatedColumnFormula>
    </tableColumn>
    <tableColumn id="11" name="WC_Adult_Gap" dataDxfId="696">
      <calculatedColumnFormula>MAX(Table10[[#This Row],[HH]]*VLOOKUP("Winter Clothes Adult",NFI,6)-Table10[[#This Row],[Winter Clothes Adult ]],0)</calculatedColumnFormula>
    </tableColumn>
    <tableColumn id="12" name="WC_Child_Gap" dataDxfId="695">
      <calculatedColumnFormula>MAX(Table10[[#This Row],[HH]]*VLOOKUP("Winter Clothes Children ",NFI,6)-Table10[[#This Row],[Winter Clothes Children ]],0)</calculatedColumnFormula>
    </tableColumn>
    <tableColumn id="13" name="WI_Other_Gap" dataDxfId="694">
      <calculatedColumnFormula>MAX(Table10[[#This Row],[HH]]*VLOOKUP("Winter Items Other ",NFI,6)-Table10[[#This Row],[Winter Items Other ]],0)</calculatedColumnFormula>
    </tableColumn>
    <tableColumn id="3" name="Planned Distribution" dataDxfId="693">
      <calculatedColumnFormula>IF(OR(Table10[[#This Row],[Winter Clothes Adult ]]&lt;&gt;0,Table10[[#This Row],[Winter Clothes Children ]]&lt;&gt;0,Table10[[#This Row],[Winter Items Other ]]&lt;&gt;0),"No","")</calculatedColumnFormula>
    </tableColumn>
    <tableColumn id="14" name="Check1" dataDxfId="692">
      <calculatedColumnFormula>COUNTIF(A:A,Table10[[#This Row],[Pcode]])-1</calculatedColumnFormula>
    </tableColumn>
  </tableColumns>
  <tableStyleInfo name="TableStyleMedium2" showFirstColumn="0" showLastColumn="0" showRowStripes="1" showColumnStripes="0"/>
</table>
</file>

<file path=xl/tables/table9.xml><?xml version="1.0" encoding="utf-8"?>
<table xmlns="http://schemas.openxmlformats.org/spreadsheetml/2006/main" id="3" name="Table3" displayName="Table3" ref="J1:J4" totalsRowShown="0" headerRowDxfId="691" dataDxfId="690">
  <autoFilter ref="J1:J4"/>
  <tableColumns count="1">
    <tableColumn id="1" name="State" dataDxfId="68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12.xml"/><Relationship Id="rId2" Type="http://schemas.openxmlformats.org/officeDocument/2006/relationships/pivotTable" Target="../pivotTables/pivotTable11.xml"/><Relationship Id="rId1" Type="http://schemas.openxmlformats.org/officeDocument/2006/relationships/pivotTable" Target="../pivotTables/pivotTable10.xml"/><Relationship Id="rId4" Type="http://schemas.openxmlformats.org/officeDocument/2006/relationships/pivotTable" Target="../pivotTables/pivotTable13.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15.xml"/><Relationship Id="rId1" Type="http://schemas.openxmlformats.org/officeDocument/2006/relationships/pivotTable" Target="../pivotTables/pivotTable14.xm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18.xml"/><Relationship Id="rId2" Type="http://schemas.openxmlformats.org/officeDocument/2006/relationships/pivotTable" Target="../pivotTables/pivotTable17.xml"/><Relationship Id="rId1" Type="http://schemas.openxmlformats.org/officeDocument/2006/relationships/pivotTable" Target="../pivotTables/pivotTable16.xm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20.xml"/><Relationship Id="rId1" Type="http://schemas.openxmlformats.org/officeDocument/2006/relationships/pivotTable" Target="../pivotTables/pivotTable19.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7" Type="http://schemas.openxmlformats.org/officeDocument/2006/relationships/table" Target="../tables/table5.xml"/><Relationship Id="rId2" Type="http://schemas.openxmlformats.org/officeDocument/2006/relationships/printerSettings" Target="../printerSettings/printerSettings11.bin"/><Relationship Id="rId1" Type="http://schemas.openxmlformats.org/officeDocument/2006/relationships/pivotTable" Target="../pivotTables/pivotTable21.xml"/><Relationship Id="rId6" Type="http://schemas.openxmlformats.org/officeDocument/2006/relationships/image" Target="../media/image20.emf"/><Relationship Id="rId5" Type="http://schemas.openxmlformats.org/officeDocument/2006/relationships/control" Target="../activeX/activeX4.xml"/><Relationship Id="rId4" Type="http://schemas.openxmlformats.org/officeDocument/2006/relationships/vmlDrawing" Target="../drawings/vmlDrawing4.v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ivotTable" Target="../pivotTables/pivotTable23.xml"/><Relationship Id="rId1" Type="http://schemas.openxmlformats.org/officeDocument/2006/relationships/pivotTable" Target="../pivotTables/pivotTable22.xml"/><Relationship Id="rId4"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15.bin"/><Relationship Id="rId1" Type="http://schemas.openxmlformats.org/officeDocument/2006/relationships/pivotTable" Target="../pivotTables/pivotTable24.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ivotTable" Target="../pivotTables/pivotTable26.xml"/><Relationship Id="rId1" Type="http://schemas.openxmlformats.org/officeDocument/2006/relationships/pivotTable" Target="../pivotTables/pivotTable25.xml"/><Relationship Id="rId4"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17.bin"/><Relationship Id="rId4"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ivotTable" Target="../pivotTables/pivotTable3.xml"/><Relationship Id="rId7" Type="http://schemas.openxmlformats.org/officeDocument/2006/relationships/printerSettings" Target="../printerSettings/printerSettings3.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vmlDrawing" Target="../drawings/vmlDrawing2.vml"/><Relationship Id="rId7" Type="http://schemas.openxmlformats.org/officeDocument/2006/relationships/ctrlProp" Target="../ctrlProps/ctrlProp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image" Target="../media/image13.emf"/><Relationship Id="rId11" Type="http://schemas.openxmlformats.org/officeDocument/2006/relationships/table" Target="../tables/table3.xml"/><Relationship Id="rId5" Type="http://schemas.openxmlformats.org/officeDocument/2006/relationships/control" Target="../activeX/activeX3.xml"/><Relationship Id="rId10" Type="http://schemas.openxmlformats.org/officeDocument/2006/relationships/ctrlProp" Target="../ctrlProps/ctrlProp4.xml"/><Relationship Id="rId4" Type="http://schemas.openxmlformats.org/officeDocument/2006/relationships/vmlDrawing" Target="../drawings/vmlDrawing3.vml"/><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pageSetUpPr fitToPage="1"/>
  </sheetPr>
  <dimension ref="C1:Y24"/>
  <sheetViews>
    <sheetView showZeros="0" zoomScale="80" zoomScaleNormal="80" workbookViewId="0">
      <selection activeCell="W31" sqref="W31"/>
    </sheetView>
  </sheetViews>
  <sheetFormatPr defaultColWidth="9.140625" defaultRowHeight="15" x14ac:dyDescent="0.25"/>
  <cols>
    <col min="1" max="1" width="2" style="5" customWidth="1"/>
    <col min="2" max="4" width="9.140625" style="5"/>
    <col min="5" max="5" width="3.28515625" style="5" customWidth="1"/>
    <col min="6" max="9" width="9.140625" style="5"/>
    <col min="10" max="10" width="7.140625" style="5" customWidth="1"/>
    <col min="11" max="11" width="3.28515625" style="5" customWidth="1"/>
    <col min="12" max="12" width="4.5703125" style="5" customWidth="1"/>
    <col min="13" max="13" width="36.140625" style="5" customWidth="1"/>
    <col min="14" max="14" width="2.7109375" style="5" customWidth="1"/>
    <col min="15" max="15" width="3.28515625" style="5" customWidth="1"/>
    <col min="16" max="17" width="0" style="5" hidden="1" customWidth="1"/>
    <col min="18" max="18" width="9.140625" style="5" hidden="1" customWidth="1"/>
    <col min="19" max="19" width="3.28515625" style="5" hidden="1" customWidth="1"/>
    <col min="20" max="22" width="0" style="5" hidden="1" customWidth="1"/>
    <col min="23" max="23" width="6.42578125" style="5" customWidth="1"/>
    <col min="24" max="16384" width="9.140625" style="5"/>
  </cols>
  <sheetData>
    <row r="1" spans="3:22" ht="5.25" customHeight="1" x14ac:dyDescent="0.25"/>
    <row r="2" spans="3:22" ht="8.25" customHeight="1" x14ac:dyDescent="0.25">
      <c r="C2" s="948" t="s">
        <v>419</v>
      </c>
      <c r="D2" s="948"/>
      <c r="E2" s="948"/>
      <c r="F2" s="948"/>
      <c r="G2" s="948"/>
      <c r="H2" s="948"/>
      <c r="I2" s="948"/>
      <c r="J2" s="948"/>
      <c r="K2" s="948"/>
      <c r="L2" s="948"/>
      <c r="M2" s="948"/>
      <c r="N2" s="948"/>
      <c r="O2" s="948"/>
      <c r="P2" s="948"/>
      <c r="Q2" s="948"/>
      <c r="R2" s="948"/>
      <c r="S2" s="948"/>
      <c r="T2" s="948"/>
      <c r="U2" s="948"/>
      <c r="V2" s="948"/>
    </row>
    <row r="3" spans="3:22" ht="18" customHeight="1" x14ac:dyDescent="0.25">
      <c r="C3" s="948"/>
      <c r="D3" s="948"/>
      <c r="E3" s="948"/>
      <c r="F3" s="948"/>
      <c r="G3" s="948"/>
      <c r="H3" s="948"/>
      <c r="I3" s="948"/>
      <c r="J3" s="948"/>
      <c r="K3" s="948"/>
      <c r="L3" s="948"/>
      <c r="M3" s="948"/>
      <c r="N3" s="948"/>
      <c r="O3" s="948"/>
      <c r="P3" s="948"/>
      <c r="Q3" s="948"/>
      <c r="R3" s="948"/>
      <c r="S3" s="948"/>
      <c r="T3" s="948"/>
      <c r="U3" s="948"/>
      <c r="V3" s="948"/>
    </row>
    <row r="4" spans="3:22" ht="11.25" customHeight="1" x14ac:dyDescent="0.25">
      <c r="C4" s="948"/>
      <c r="D4" s="948"/>
      <c r="E4" s="948"/>
      <c r="F4" s="948"/>
      <c r="G4" s="948"/>
      <c r="H4" s="948"/>
      <c r="I4" s="948"/>
      <c r="J4" s="948"/>
      <c r="K4" s="948"/>
      <c r="L4" s="948"/>
      <c r="M4" s="948"/>
      <c r="N4" s="948"/>
      <c r="O4" s="948"/>
      <c r="P4" s="948"/>
      <c r="Q4" s="948"/>
      <c r="R4" s="948"/>
      <c r="S4" s="948"/>
      <c r="T4" s="948"/>
      <c r="U4" s="948"/>
      <c r="V4" s="948"/>
    </row>
    <row r="5" spans="3:22" ht="19.899999999999999" customHeight="1" x14ac:dyDescent="0.25">
      <c r="C5" s="950">
        <f>Definition!B23</f>
        <v>42856</v>
      </c>
      <c r="D5" s="950"/>
      <c r="E5" s="950"/>
      <c r="F5" s="950"/>
      <c r="G5" s="950"/>
      <c r="H5" s="950"/>
      <c r="I5" s="950"/>
      <c r="J5" s="950"/>
      <c r="K5" s="950"/>
      <c r="L5" s="950"/>
      <c r="M5" s="950"/>
      <c r="N5" s="950"/>
      <c r="O5" s="950"/>
    </row>
    <row r="6" spans="3:22" ht="8.25" customHeight="1" x14ac:dyDescent="0.25"/>
    <row r="7" spans="3:22" x14ac:dyDescent="0.25">
      <c r="C7" s="947" t="s">
        <v>445</v>
      </c>
      <c r="D7" s="947"/>
      <c r="E7" s="22"/>
      <c r="F7" s="949" t="s">
        <v>450</v>
      </c>
      <c r="G7" s="949"/>
      <c r="H7" s="949"/>
      <c r="I7" s="949"/>
      <c r="J7" s="949"/>
      <c r="K7" s="22"/>
      <c r="L7" s="949" t="s">
        <v>443</v>
      </c>
      <c r="M7" s="949"/>
      <c r="N7" s="949"/>
      <c r="O7" s="22"/>
      <c r="P7" s="949" t="s">
        <v>448</v>
      </c>
      <c r="Q7" s="949"/>
      <c r="R7" s="949"/>
      <c r="S7" s="22"/>
      <c r="T7" s="949" t="s">
        <v>449</v>
      </c>
      <c r="U7" s="949"/>
      <c r="V7" s="949"/>
    </row>
    <row r="8" spans="3:22" ht="16.149999999999999" customHeight="1" x14ac:dyDescent="0.25">
      <c r="C8" s="947"/>
      <c r="D8" s="947"/>
      <c r="E8" s="22"/>
      <c r="F8" s="22"/>
      <c r="G8" s="22"/>
      <c r="H8" s="22"/>
      <c r="I8" s="22"/>
      <c r="J8" s="22"/>
      <c r="K8" s="22"/>
      <c r="L8" s="22"/>
      <c r="M8" s="22"/>
      <c r="N8" s="22"/>
      <c r="O8" s="22"/>
      <c r="P8" s="22"/>
      <c r="Q8" s="22"/>
      <c r="R8" s="22"/>
      <c r="S8" s="22"/>
      <c r="T8" s="22"/>
      <c r="U8" s="22"/>
      <c r="V8" s="22"/>
    </row>
    <row r="9" spans="3:22" ht="16.149999999999999" customHeight="1" x14ac:dyDescent="0.25">
      <c r="C9" s="947"/>
      <c r="D9" s="947"/>
      <c r="E9" s="22"/>
      <c r="F9" s="22"/>
      <c r="G9" s="22"/>
      <c r="H9" s="22"/>
      <c r="I9" s="22"/>
      <c r="J9" s="22"/>
      <c r="K9" s="22"/>
      <c r="L9" s="536" t="s">
        <v>381</v>
      </c>
      <c r="M9" s="539" t="s">
        <v>1422</v>
      </c>
      <c r="N9" s="537" t="s">
        <v>444</v>
      </c>
      <c r="O9" s="22"/>
      <c r="P9" s="20" t="s">
        <v>381</v>
      </c>
      <c r="Q9" s="47" t="s">
        <v>380</v>
      </c>
      <c r="R9" s="48" t="s">
        <v>444</v>
      </c>
      <c r="S9" s="22"/>
      <c r="T9" s="20" t="s">
        <v>381</v>
      </c>
      <c r="U9" s="21" t="s">
        <v>380</v>
      </c>
      <c r="V9" s="19" t="s">
        <v>444</v>
      </c>
    </row>
    <row r="10" spans="3:22" ht="16.149999999999999" customHeight="1" x14ac:dyDescent="0.25">
      <c r="C10" s="947"/>
      <c r="D10" s="947"/>
      <c r="E10" s="22"/>
      <c r="F10" s="22"/>
      <c r="G10" s="22"/>
      <c r="H10" s="22"/>
      <c r="I10" s="22"/>
      <c r="J10" s="22"/>
      <c r="K10" s="22"/>
      <c r="L10" s="22"/>
      <c r="M10" s="22"/>
      <c r="N10" s="22"/>
      <c r="O10" s="22"/>
      <c r="P10" s="22"/>
      <c r="Q10" s="22"/>
      <c r="R10" s="22"/>
      <c r="S10" s="22"/>
      <c r="T10" s="22"/>
      <c r="U10" s="22"/>
      <c r="V10" s="22"/>
    </row>
    <row r="11" spans="3:22" ht="16.149999999999999" customHeight="1" x14ac:dyDescent="0.25">
      <c r="C11" s="947"/>
      <c r="D11" s="947"/>
      <c r="E11" s="22"/>
      <c r="F11" s="22"/>
      <c r="G11" s="22"/>
      <c r="H11" s="22"/>
      <c r="I11" s="22"/>
      <c r="J11" s="22"/>
      <c r="K11" s="22"/>
      <c r="L11" s="22"/>
      <c r="M11" s="22"/>
      <c r="N11" s="22"/>
      <c r="O11" s="22"/>
      <c r="P11" s="22"/>
      <c r="Q11" s="22"/>
      <c r="R11" s="22"/>
      <c r="S11" s="22"/>
      <c r="T11" s="22"/>
      <c r="U11" s="22"/>
      <c r="V11" s="22"/>
    </row>
    <row r="12" spans="3:22" ht="16.149999999999999" customHeight="1" x14ac:dyDescent="0.25">
      <c r="C12" s="947"/>
      <c r="D12" s="947"/>
      <c r="E12" s="22"/>
      <c r="F12" s="22"/>
      <c r="G12" s="22"/>
      <c r="H12" s="22"/>
      <c r="I12" s="22"/>
      <c r="J12" s="22"/>
      <c r="K12" s="22"/>
      <c r="L12" s="22"/>
      <c r="M12" s="22"/>
      <c r="N12" s="22"/>
      <c r="O12" s="22"/>
      <c r="P12" s="22"/>
      <c r="Q12" s="22"/>
      <c r="R12" s="22"/>
      <c r="S12" s="22"/>
      <c r="T12" s="22"/>
      <c r="U12" s="22"/>
      <c r="V12" s="22"/>
    </row>
    <row r="13" spans="3:22" ht="16.149999999999999" customHeight="1" x14ac:dyDescent="0.25"/>
    <row r="14" spans="3:22" ht="16.149999999999999" customHeight="1" x14ac:dyDescent="0.25">
      <c r="C14" s="947" t="s">
        <v>446</v>
      </c>
      <c r="D14" s="947"/>
      <c r="E14" s="22"/>
      <c r="F14" s="22"/>
      <c r="G14" s="22"/>
      <c r="H14" s="22"/>
      <c r="I14" s="22"/>
      <c r="J14" s="22"/>
      <c r="K14" s="22"/>
      <c r="L14" s="22"/>
      <c r="M14" s="22"/>
      <c r="N14" s="22"/>
      <c r="O14" s="22"/>
      <c r="P14" s="22"/>
      <c r="Q14" s="22"/>
      <c r="R14" s="22"/>
      <c r="S14" s="22"/>
      <c r="T14" s="22"/>
      <c r="U14" s="22"/>
      <c r="V14" s="22"/>
    </row>
    <row r="15" spans="3:22" ht="16.149999999999999" customHeight="1" x14ac:dyDescent="0.25">
      <c r="C15" s="947"/>
      <c r="D15" s="947"/>
      <c r="E15" s="22"/>
      <c r="F15" s="22"/>
      <c r="G15" s="22"/>
      <c r="H15" s="22"/>
      <c r="I15" s="22"/>
      <c r="J15" s="22"/>
      <c r="K15" s="22"/>
      <c r="L15" s="22"/>
      <c r="M15" s="22"/>
      <c r="N15" s="22"/>
      <c r="O15" s="22"/>
      <c r="P15" s="22"/>
      <c r="Q15" s="22"/>
      <c r="R15" s="22"/>
      <c r="S15" s="22"/>
      <c r="T15" s="22"/>
      <c r="U15" s="22"/>
      <c r="V15" s="22"/>
    </row>
    <row r="16" spans="3:22" ht="16.149999999999999" customHeight="1" x14ac:dyDescent="0.25">
      <c r="C16" s="947"/>
      <c r="D16" s="947"/>
      <c r="E16" s="22"/>
      <c r="F16" s="22"/>
      <c r="G16" s="22"/>
      <c r="H16" s="22"/>
      <c r="I16" s="22"/>
      <c r="J16" s="22"/>
      <c r="K16" s="22"/>
      <c r="L16" s="69" t="s">
        <v>381</v>
      </c>
      <c r="M16" s="539" t="s">
        <v>1422</v>
      </c>
      <c r="N16" s="48" t="s">
        <v>444</v>
      </c>
      <c r="O16" s="22"/>
      <c r="P16" s="20" t="s">
        <v>381</v>
      </c>
      <c r="Q16" s="47" t="s">
        <v>380</v>
      </c>
      <c r="R16" s="48" t="s">
        <v>444</v>
      </c>
      <c r="S16" s="22"/>
      <c r="T16" s="20" t="s">
        <v>381</v>
      </c>
      <c r="U16" s="21" t="s">
        <v>380</v>
      </c>
      <c r="V16" s="19" t="s">
        <v>444</v>
      </c>
    </row>
    <row r="17" spans="3:25" ht="16.149999999999999" customHeight="1" x14ac:dyDescent="0.25">
      <c r="C17" s="947"/>
      <c r="D17" s="947"/>
      <c r="E17" s="22"/>
      <c r="F17" s="22"/>
      <c r="G17" s="22"/>
      <c r="H17" s="22"/>
      <c r="I17" s="22"/>
      <c r="J17" s="22"/>
      <c r="K17" s="22"/>
      <c r="L17" s="22"/>
      <c r="M17" s="22"/>
      <c r="N17" s="22"/>
      <c r="O17" s="22"/>
      <c r="P17" s="22"/>
      <c r="Q17" s="22"/>
      <c r="R17" s="22"/>
      <c r="S17" s="22"/>
      <c r="T17" s="22"/>
      <c r="U17" s="22"/>
      <c r="V17" s="22"/>
    </row>
    <row r="18" spans="3:25" ht="16.149999999999999" customHeight="1" x14ac:dyDescent="0.25">
      <c r="C18" s="947"/>
      <c r="D18" s="947"/>
      <c r="E18" s="22"/>
      <c r="F18" s="22"/>
      <c r="G18" s="22"/>
      <c r="H18" s="22"/>
      <c r="I18" s="22"/>
      <c r="J18" s="22"/>
      <c r="K18" s="22"/>
      <c r="L18" s="22"/>
      <c r="M18" s="22"/>
      <c r="N18" s="22"/>
      <c r="O18" s="22"/>
      <c r="P18" s="22"/>
      <c r="Q18" s="22"/>
      <c r="R18" s="22"/>
      <c r="S18" s="22"/>
      <c r="T18" s="22"/>
      <c r="U18" s="22"/>
      <c r="V18" s="22"/>
    </row>
    <row r="19" spans="3:25" ht="16.149999999999999" customHeight="1" x14ac:dyDescent="0.25">
      <c r="C19" s="947"/>
      <c r="D19" s="947"/>
      <c r="E19" s="22"/>
      <c r="F19" s="22"/>
      <c r="G19" s="22"/>
      <c r="H19" s="22"/>
      <c r="I19" s="22"/>
      <c r="J19" s="22"/>
      <c r="K19" s="22"/>
      <c r="L19" s="22"/>
      <c r="M19" s="22"/>
      <c r="N19" s="22"/>
      <c r="O19" s="22"/>
      <c r="P19" s="22"/>
      <c r="Q19" s="22"/>
      <c r="R19" s="22"/>
      <c r="S19" s="22"/>
      <c r="T19" s="22"/>
      <c r="U19" s="22"/>
      <c r="V19" s="22"/>
    </row>
    <row r="20" spans="3:25" ht="16.149999999999999" customHeight="1" x14ac:dyDescent="0.25">
      <c r="Y20" s="538"/>
    </row>
    <row r="21" spans="3:25" ht="16.149999999999999" customHeight="1" x14ac:dyDescent="0.25">
      <c r="C21" s="947" t="s">
        <v>447</v>
      </c>
      <c r="D21" s="947"/>
      <c r="E21" s="23"/>
      <c r="F21" s="23"/>
      <c r="G21" s="23"/>
      <c r="H21" s="23"/>
      <c r="I21" s="23"/>
      <c r="J21" s="23"/>
      <c r="K21" s="23"/>
      <c r="L21" s="22"/>
      <c r="M21" s="22"/>
      <c r="N21" s="22"/>
      <c r="O21" s="22"/>
      <c r="P21" s="22"/>
      <c r="Q21" s="22"/>
      <c r="R21" s="22"/>
      <c r="S21" s="22"/>
      <c r="T21" s="22"/>
      <c r="U21" s="22"/>
      <c r="V21" s="22"/>
    </row>
    <row r="22" spans="3:25" ht="16.149999999999999" customHeight="1" x14ac:dyDescent="0.25">
      <c r="C22" s="947"/>
      <c r="D22" s="947"/>
      <c r="E22" s="23"/>
      <c r="F22" s="23"/>
      <c r="G22" s="23"/>
      <c r="H22" s="23"/>
      <c r="I22" s="23"/>
      <c r="J22" s="23"/>
      <c r="K22" s="23"/>
      <c r="L22" s="23"/>
      <c r="M22" s="540" t="s">
        <v>1422</v>
      </c>
      <c r="N22" s="23"/>
      <c r="O22" s="22"/>
      <c r="P22" s="22"/>
      <c r="Q22" s="22"/>
      <c r="R22" s="22"/>
      <c r="S22" s="22"/>
      <c r="T22" s="10"/>
      <c r="U22" s="10"/>
      <c r="V22" s="10"/>
    </row>
    <row r="23" spans="3:25" ht="16.149999999999999" customHeight="1" x14ac:dyDescent="0.25">
      <c r="C23" s="947"/>
      <c r="D23" s="947"/>
      <c r="E23" s="23"/>
      <c r="F23" s="23"/>
      <c r="G23" s="23"/>
      <c r="H23" s="23"/>
      <c r="I23" s="23"/>
      <c r="J23" s="23"/>
      <c r="K23" s="23"/>
      <c r="L23" s="48" t="s">
        <v>381</v>
      </c>
      <c r="M23" s="48" t="s">
        <v>380</v>
      </c>
      <c r="N23" s="48" t="s">
        <v>444</v>
      </c>
      <c r="O23" s="22"/>
      <c r="P23" s="20" t="s">
        <v>381</v>
      </c>
      <c r="Q23" s="47" t="s">
        <v>380</v>
      </c>
      <c r="R23" s="48" t="s">
        <v>444</v>
      </c>
      <c r="S23" s="22"/>
      <c r="T23" s="20" t="s">
        <v>381</v>
      </c>
      <c r="U23" s="21" t="s">
        <v>380</v>
      </c>
      <c r="V23" s="19" t="s">
        <v>444</v>
      </c>
    </row>
    <row r="24" spans="3:25" ht="16.149999999999999" customHeight="1" x14ac:dyDescent="0.25">
      <c r="C24" s="947"/>
      <c r="D24" s="947"/>
      <c r="E24" s="23"/>
      <c r="F24" s="23"/>
      <c r="G24" s="23"/>
      <c r="H24" s="23"/>
      <c r="I24" s="23"/>
      <c r="J24" s="23"/>
      <c r="K24" s="23"/>
      <c r="L24" s="23"/>
      <c r="M24" s="23"/>
      <c r="N24" s="23"/>
      <c r="O24" s="22"/>
      <c r="P24" s="22"/>
      <c r="Q24" s="22"/>
      <c r="R24" s="22"/>
      <c r="S24" s="22"/>
      <c r="T24" s="10"/>
      <c r="U24" s="10"/>
      <c r="V24" s="10"/>
    </row>
  </sheetData>
  <mergeCells count="9">
    <mergeCell ref="C7:D12"/>
    <mergeCell ref="C14:D19"/>
    <mergeCell ref="C21:D24"/>
    <mergeCell ref="C2:V4"/>
    <mergeCell ref="T7:V7"/>
    <mergeCell ref="P7:R7"/>
    <mergeCell ref="L7:N7"/>
    <mergeCell ref="F7:J7"/>
    <mergeCell ref="C5:O5"/>
  </mergeCells>
  <hyperlinks>
    <hyperlink ref="L9" location="Rakhine_CCCM_D!A1" display="Rakhine"/>
    <hyperlink ref="L16" location="Rakhine_Shelter_D!A1" display="Rakhine"/>
    <hyperlink ref="M16" location="'Shelter Coverage &amp; Gaps'!A1" display="Kachin"/>
    <hyperlink ref="M23" location="Kachin_CCCM_D!A1" display="Kachin"/>
    <hyperlink ref="M22" location="'NFI Summary'!A1" display="Kachin"/>
    <hyperlink ref="M9" location="'CCCM Dashboard'!A1" display="Kachin"/>
  </hyperlinks>
  <pageMargins left="0.7" right="0.7" top="0.75" bottom="0.75" header="0.3" footer="0.3"/>
  <pageSetup scale="93" orientation="landscape" r:id="rId1"/>
  <drawing r:id="rId2"/>
  <legacyDrawing r:id="rId3"/>
  <controls>
    <mc:AlternateContent xmlns:mc="http://schemas.openxmlformats.org/markup-compatibility/2006">
      <mc:Choice Requires="x14">
        <control shapeId="1026" r:id="rId4" name="Print_Report">
          <controlPr defaultSize="0" autoLine="0" r:id="rId5">
            <anchor moveWithCells="1">
              <from>
                <xdr:col>25</xdr:col>
                <xdr:colOff>133350</xdr:colOff>
                <xdr:row>10</xdr:row>
                <xdr:rowOff>9525</xdr:rowOff>
              </from>
              <to>
                <xdr:col>27</xdr:col>
                <xdr:colOff>504825</xdr:colOff>
                <xdr:row>11</xdr:row>
                <xdr:rowOff>133350</xdr:rowOff>
              </to>
            </anchor>
          </controlPr>
        </control>
      </mc:Choice>
      <mc:Fallback>
        <control shapeId="1026" r:id="rId4" name="Print_Report"/>
      </mc:Fallback>
    </mc:AlternateContent>
    <mc:AlternateContent xmlns:mc="http://schemas.openxmlformats.org/markup-compatibility/2006">
      <mc:Choice Requires="x14">
        <control shapeId="1025" r:id="rId6" name="Main_Export_Data">
          <controlPr defaultSize="0" autoLine="0" r:id="rId7">
            <anchor moveWithCells="1">
              <from>
                <xdr:col>25</xdr:col>
                <xdr:colOff>180975</xdr:colOff>
                <xdr:row>6</xdr:row>
                <xdr:rowOff>0</xdr:rowOff>
              </from>
              <to>
                <xdr:col>27</xdr:col>
                <xdr:colOff>476250</xdr:colOff>
                <xdr:row>8</xdr:row>
                <xdr:rowOff>47625</xdr:rowOff>
              </to>
            </anchor>
          </controlPr>
        </control>
      </mc:Choice>
      <mc:Fallback>
        <control shapeId="1025" r:id="rId6" name="Main_Export_Data"/>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DO386"/>
  <sheetViews>
    <sheetView showZeros="0" zoomScale="85" zoomScaleNormal="85" zoomScaleSheetLayoutView="85" workbookViewId="0">
      <pane xSplit="1" ySplit="4" topLeftCell="M5" activePane="bottomRight" state="frozen"/>
      <selection activeCell="AS915" sqref="AS915"/>
      <selection pane="topRight" activeCell="AS915" sqref="AS915"/>
      <selection pane="bottomLeft" activeCell="AS915" sqref="AS915"/>
      <selection pane="bottomRight" activeCell="P5" sqref="P5"/>
    </sheetView>
  </sheetViews>
  <sheetFormatPr defaultColWidth="9.140625" defaultRowHeight="15" x14ac:dyDescent="0.25"/>
  <cols>
    <col min="1" max="1" width="21.7109375" customWidth="1"/>
    <col min="2" max="2" width="16" customWidth="1"/>
    <col min="3" max="3" width="14.85546875" customWidth="1"/>
    <col min="4" max="4" width="13.42578125" customWidth="1"/>
    <col min="5" max="5" width="17.140625" customWidth="1"/>
    <col min="6" max="6" width="42.140625" customWidth="1"/>
    <col min="7" max="7" width="17.7109375" customWidth="1"/>
    <col min="8" max="8" width="17.85546875" customWidth="1"/>
    <col min="9" max="9" width="14.28515625" customWidth="1"/>
    <col min="10" max="10" width="19.85546875" customWidth="1"/>
    <col min="11" max="11" width="15.85546875" customWidth="1"/>
    <col min="12" max="12" width="15.42578125" customWidth="1"/>
    <col min="13" max="13" width="18.5703125" customWidth="1"/>
    <col min="14" max="14" width="23.7109375" customWidth="1"/>
    <col min="15" max="15" width="19.5703125" customWidth="1"/>
    <col min="16" max="16" width="14.7109375" style="25" customWidth="1"/>
    <col min="17" max="17" width="23.5703125" hidden="1" customWidth="1"/>
    <col min="18" max="18" width="20" style="4" customWidth="1"/>
    <col min="19" max="19" width="16.140625" style="4" customWidth="1"/>
    <col min="20" max="20" width="32.28515625" customWidth="1"/>
    <col min="21" max="21" width="12.5703125" customWidth="1"/>
    <col min="22" max="22" width="13.7109375" customWidth="1"/>
    <col min="23" max="23" width="20.42578125" style="297" customWidth="1"/>
    <col min="24" max="24" width="43.85546875" bestFit="1" customWidth="1"/>
    <col min="25" max="85" width="9.140625" style="374"/>
    <col min="86" max="16384" width="9.140625" style="4"/>
  </cols>
  <sheetData>
    <row r="1" spans="1:119" s="15" customFormat="1" ht="36" x14ac:dyDescent="0.25">
      <c r="A1" s="233"/>
      <c r="B1" s="215"/>
      <c r="C1" s="215"/>
      <c r="D1" s="215"/>
      <c r="E1" s="215"/>
      <c r="F1" s="215"/>
      <c r="G1" s="215"/>
      <c r="H1" s="215"/>
      <c r="I1" s="215"/>
      <c r="J1" s="215"/>
      <c r="K1" s="215"/>
      <c r="L1" s="215"/>
      <c r="M1" s="215"/>
      <c r="N1" s="215"/>
      <c r="O1" s="215"/>
      <c r="P1" s="931"/>
      <c r="Q1" s="215"/>
      <c r="R1" s="178"/>
      <c r="S1" s="178"/>
      <c r="T1" s="178"/>
      <c r="U1" s="178"/>
      <c r="V1" s="178"/>
      <c r="W1" s="308"/>
      <c r="X1" s="179"/>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04"/>
      <c r="CI1" s="304"/>
      <c r="CJ1" s="304"/>
      <c r="CK1" s="304"/>
      <c r="CL1" s="304"/>
      <c r="CM1" s="304"/>
      <c r="CN1" s="304"/>
      <c r="CO1" s="304"/>
      <c r="CP1" s="304"/>
      <c r="CQ1" s="304"/>
      <c r="CR1" s="304"/>
      <c r="CS1" s="304"/>
      <c r="CT1" s="304"/>
      <c r="CU1" s="304"/>
      <c r="CV1" s="304"/>
      <c r="CW1" s="304"/>
      <c r="CX1" s="304"/>
      <c r="CY1" s="304"/>
      <c r="CZ1" s="304"/>
      <c r="DA1" s="304"/>
      <c r="DB1" s="304"/>
      <c r="DC1" s="304"/>
      <c r="DD1" s="304"/>
      <c r="DE1" s="304"/>
      <c r="DF1" s="304"/>
      <c r="DG1" s="304"/>
      <c r="DH1" s="304"/>
      <c r="DI1" s="304"/>
      <c r="DJ1" s="304"/>
      <c r="DK1" s="304"/>
      <c r="DL1" s="304"/>
      <c r="DM1" s="304"/>
      <c r="DN1" s="304"/>
      <c r="DO1" s="304"/>
    </row>
    <row r="2" spans="1:119" s="15" customFormat="1" ht="36" x14ac:dyDescent="0.25">
      <c r="A2" s="958" t="s">
        <v>1266</v>
      </c>
      <c r="B2" s="955"/>
      <c r="C2" s="955"/>
      <c r="D2" s="193"/>
      <c r="E2" s="193"/>
      <c r="F2" s="193"/>
      <c r="G2" s="193"/>
      <c r="H2" s="193"/>
      <c r="I2" s="193"/>
      <c r="J2" s="193"/>
      <c r="K2" s="193"/>
      <c r="L2" s="193"/>
      <c r="M2" s="193"/>
      <c r="N2" s="193"/>
      <c r="O2" s="193"/>
      <c r="P2" s="932"/>
      <c r="Q2" s="193"/>
      <c r="R2" s="161"/>
      <c r="S2" s="161"/>
      <c r="T2" s="161"/>
      <c r="U2" s="161"/>
      <c r="V2" s="161"/>
      <c r="W2" s="306"/>
      <c r="X2" s="180"/>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c r="BF2" s="373"/>
      <c r="BG2" s="373"/>
      <c r="BH2" s="373"/>
      <c r="BI2" s="373"/>
      <c r="BJ2" s="373"/>
      <c r="BK2" s="373"/>
      <c r="BL2" s="373"/>
      <c r="BM2" s="373"/>
      <c r="BN2" s="373"/>
      <c r="BO2" s="373"/>
      <c r="BP2" s="373"/>
      <c r="BQ2" s="373"/>
      <c r="BR2" s="373"/>
      <c r="BS2" s="373"/>
      <c r="BT2" s="373"/>
      <c r="BU2" s="373"/>
      <c r="BV2" s="373"/>
      <c r="BW2" s="373"/>
      <c r="BX2" s="373"/>
      <c r="BY2" s="373"/>
      <c r="BZ2" s="373"/>
      <c r="CA2" s="373"/>
      <c r="CB2" s="373"/>
      <c r="CC2" s="373"/>
      <c r="CD2" s="373"/>
      <c r="CE2" s="373"/>
      <c r="CF2" s="373"/>
      <c r="CG2" s="373"/>
      <c r="CH2" s="304"/>
      <c r="CI2" s="304"/>
      <c r="CJ2" s="304"/>
      <c r="CK2" s="304"/>
      <c r="CL2" s="304"/>
      <c r="CM2" s="304"/>
      <c r="CN2" s="304"/>
      <c r="CO2" s="304"/>
      <c r="CP2" s="304"/>
      <c r="CQ2" s="304"/>
      <c r="CR2" s="304"/>
      <c r="CS2" s="304"/>
      <c r="CT2" s="304"/>
      <c r="CU2" s="304"/>
      <c r="CV2" s="304"/>
      <c r="CW2" s="304"/>
      <c r="CX2" s="304"/>
      <c r="CY2" s="304"/>
      <c r="CZ2" s="304"/>
      <c r="DA2" s="304"/>
      <c r="DB2" s="304"/>
      <c r="DC2" s="304"/>
      <c r="DD2" s="304"/>
      <c r="DE2" s="304"/>
      <c r="DF2" s="304"/>
      <c r="DG2" s="304"/>
      <c r="DH2" s="304"/>
      <c r="DI2" s="304"/>
      <c r="DJ2" s="304"/>
      <c r="DK2" s="304"/>
      <c r="DL2" s="304"/>
      <c r="DM2" s="304"/>
      <c r="DN2" s="304"/>
      <c r="DO2" s="304"/>
    </row>
    <row r="3" spans="1:119" s="15" customFormat="1" ht="18" customHeight="1" x14ac:dyDescent="0.25">
      <c r="A3" s="959">
        <f>Definition!B23</f>
        <v>42856</v>
      </c>
      <c r="B3" s="960"/>
      <c r="C3" s="960"/>
      <c r="D3" s="960"/>
      <c r="E3" s="960"/>
      <c r="F3" s="960"/>
      <c r="G3" s="960"/>
      <c r="H3" s="960"/>
      <c r="I3" s="960"/>
      <c r="J3" s="960"/>
      <c r="K3" s="960"/>
      <c r="L3" s="960"/>
      <c r="M3" s="960"/>
      <c r="N3" s="960"/>
      <c r="O3" s="960"/>
      <c r="P3" s="960"/>
      <c r="Q3" s="960"/>
      <c r="R3" s="252"/>
      <c r="S3" s="182"/>
      <c r="T3" s="182"/>
      <c r="U3" s="182"/>
      <c r="V3" s="182"/>
      <c r="W3" s="182"/>
      <c r="X3" s="183"/>
      <c r="Y3" s="373"/>
      <c r="Z3" s="373"/>
      <c r="AA3" s="373"/>
      <c r="AB3" s="373"/>
      <c r="AC3" s="373"/>
      <c r="AD3" s="373"/>
      <c r="AE3" s="373"/>
      <c r="AF3" s="373"/>
      <c r="AG3" s="373"/>
      <c r="AH3" s="373"/>
      <c r="AI3" s="373"/>
      <c r="AJ3" s="373"/>
      <c r="AK3" s="373"/>
      <c r="AL3" s="373"/>
      <c r="AM3" s="373"/>
      <c r="AN3" s="373"/>
      <c r="AO3" s="373"/>
      <c r="AP3" s="373"/>
      <c r="AQ3" s="373"/>
      <c r="AR3" s="373"/>
      <c r="AS3" s="373"/>
      <c r="AT3" s="373"/>
      <c r="AU3" s="373"/>
      <c r="AV3" s="373"/>
      <c r="AW3" s="373"/>
      <c r="AX3" s="373"/>
      <c r="AY3" s="373"/>
      <c r="AZ3" s="373"/>
      <c r="BA3" s="373"/>
      <c r="BB3" s="373"/>
      <c r="BC3" s="373"/>
      <c r="BD3" s="373"/>
      <c r="BE3" s="373"/>
      <c r="BF3" s="373"/>
      <c r="BG3" s="373"/>
      <c r="BH3" s="373"/>
      <c r="BI3" s="373"/>
      <c r="BJ3" s="373"/>
      <c r="BK3" s="373"/>
      <c r="BL3" s="373"/>
      <c r="BM3" s="373"/>
      <c r="BN3" s="373"/>
      <c r="BO3" s="373"/>
      <c r="BP3" s="373"/>
      <c r="BQ3" s="373"/>
      <c r="BR3" s="373"/>
      <c r="BS3" s="373"/>
      <c r="BT3" s="373"/>
      <c r="BU3" s="373"/>
      <c r="BV3" s="373"/>
      <c r="BW3" s="373"/>
      <c r="BX3" s="373"/>
      <c r="BY3" s="373"/>
      <c r="BZ3" s="373"/>
      <c r="CA3" s="373"/>
      <c r="CB3" s="373"/>
      <c r="CC3" s="373"/>
      <c r="CD3" s="373"/>
      <c r="CE3" s="373"/>
      <c r="CF3" s="373"/>
      <c r="CG3" s="373"/>
      <c r="CH3" s="304"/>
      <c r="CI3" s="304"/>
      <c r="CJ3" s="304"/>
      <c r="CK3" s="304"/>
      <c r="CL3" s="304"/>
      <c r="CM3" s="304"/>
      <c r="CN3" s="304"/>
      <c r="CO3" s="304"/>
      <c r="CP3" s="304"/>
      <c r="CQ3" s="304"/>
      <c r="CR3" s="304"/>
      <c r="CS3" s="304"/>
      <c r="CT3" s="304"/>
      <c r="CU3" s="304"/>
      <c r="CV3" s="304"/>
      <c r="CW3" s="304"/>
      <c r="CX3" s="304"/>
      <c r="CY3" s="304"/>
      <c r="CZ3" s="304"/>
      <c r="DA3" s="304"/>
      <c r="DB3" s="304"/>
      <c r="DC3" s="304"/>
      <c r="DD3" s="304"/>
      <c r="DE3" s="304"/>
      <c r="DF3" s="304"/>
      <c r="DG3" s="304"/>
      <c r="DH3" s="304"/>
      <c r="DI3" s="304"/>
      <c r="DJ3" s="304"/>
      <c r="DK3" s="304"/>
      <c r="DL3" s="304"/>
      <c r="DM3" s="304"/>
      <c r="DN3" s="304"/>
      <c r="DO3" s="304"/>
    </row>
    <row r="4" spans="1:119" s="393" customFormat="1" ht="57" customHeight="1" x14ac:dyDescent="0.25">
      <c r="A4" s="489" t="s">
        <v>500</v>
      </c>
      <c r="B4" s="490" t="s">
        <v>402</v>
      </c>
      <c r="C4" s="491" t="s">
        <v>1267</v>
      </c>
      <c r="D4" s="490" t="s">
        <v>395</v>
      </c>
      <c r="E4" s="490" t="s">
        <v>0</v>
      </c>
      <c r="F4" s="490" t="s">
        <v>509</v>
      </c>
      <c r="G4" s="490" t="s">
        <v>1268</v>
      </c>
      <c r="H4" s="492" t="s">
        <v>1277</v>
      </c>
      <c r="I4" s="492" t="s">
        <v>1269</v>
      </c>
      <c r="J4" s="493" t="s">
        <v>1270</v>
      </c>
      <c r="K4" s="493" t="s">
        <v>1271</v>
      </c>
      <c r="L4" s="493" t="s">
        <v>1272</v>
      </c>
      <c r="M4" s="494" t="s">
        <v>1273</v>
      </c>
      <c r="N4" s="494" t="s">
        <v>1274</v>
      </c>
      <c r="O4" s="494" t="s">
        <v>1275</v>
      </c>
      <c r="P4" s="933" t="s">
        <v>1276</v>
      </c>
      <c r="Q4" s="495" t="s">
        <v>1729</v>
      </c>
      <c r="R4" s="496" t="s">
        <v>1004</v>
      </c>
      <c r="S4" s="496" t="s">
        <v>1003</v>
      </c>
      <c r="T4" s="472" t="s">
        <v>557</v>
      </c>
      <c r="U4" s="497" t="s">
        <v>497</v>
      </c>
      <c r="V4" s="494" t="s">
        <v>440</v>
      </c>
      <c r="W4" s="498" t="s">
        <v>1290</v>
      </c>
      <c r="X4" s="499" t="s">
        <v>1041</v>
      </c>
      <c r="Y4" s="399"/>
      <c r="Z4" s="399"/>
      <c r="AA4" s="399"/>
      <c r="AB4" s="399"/>
      <c r="AC4" s="399"/>
      <c r="AD4" s="399"/>
      <c r="AE4" s="399"/>
      <c r="AF4" s="399"/>
      <c r="AG4" s="399"/>
      <c r="AH4" s="399"/>
      <c r="AI4" s="399"/>
      <c r="AJ4" s="399"/>
      <c r="AK4" s="399"/>
      <c r="AL4" s="399"/>
      <c r="AM4" s="399"/>
      <c r="AN4" s="399"/>
      <c r="AO4" s="399"/>
      <c r="AP4" s="399"/>
      <c r="AQ4" s="399"/>
      <c r="AR4" s="399"/>
      <c r="AS4" s="399"/>
      <c r="AT4" s="399"/>
      <c r="AU4" s="399"/>
      <c r="AV4" s="399"/>
      <c r="AW4" s="399"/>
      <c r="AX4" s="399"/>
      <c r="AY4" s="399"/>
      <c r="AZ4" s="399"/>
      <c r="BA4" s="399"/>
      <c r="BB4" s="399"/>
      <c r="BC4" s="399"/>
      <c r="BD4" s="399"/>
      <c r="BE4" s="399"/>
      <c r="BF4" s="399"/>
      <c r="BG4" s="399"/>
      <c r="BH4" s="399"/>
      <c r="BI4" s="399"/>
      <c r="BJ4" s="399"/>
      <c r="BK4" s="399"/>
      <c r="BL4" s="399"/>
      <c r="BM4" s="399"/>
      <c r="BN4" s="399"/>
      <c r="BO4" s="399"/>
      <c r="BP4" s="399"/>
      <c r="BQ4" s="399"/>
      <c r="BR4" s="399"/>
      <c r="BS4" s="399"/>
      <c r="BT4" s="399"/>
      <c r="BU4" s="399"/>
      <c r="BV4" s="399"/>
      <c r="BW4" s="399"/>
      <c r="BX4" s="399"/>
      <c r="BY4" s="399"/>
      <c r="BZ4" s="399"/>
      <c r="CA4" s="399"/>
      <c r="CB4" s="399"/>
      <c r="CC4" s="399"/>
      <c r="CD4" s="399"/>
      <c r="CE4" s="399"/>
      <c r="CF4" s="399"/>
      <c r="CG4" s="399"/>
    </row>
    <row r="5" spans="1:119" ht="16.149999999999999" customHeight="1" x14ac:dyDescent="0.25">
      <c r="A5" s="723">
        <v>42919</v>
      </c>
      <c r="B5" s="164" t="s">
        <v>452</v>
      </c>
      <c r="C5" s="164" t="s">
        <v>1446</v>
      </c>
      <c r="D5" s="164" t="s">
        <v>380</v>
      </c>
      <c r="E5" s="168" t="s">
        <v>310</v>
      </c>
      <c r="F5" s="164" t="s">
        <v>330</v>
      </c>
      <c r="G5" s="103">
        <v>1</v>
      </c>
      <c r="H5" s="103"/>
      <c r="I5" s="103"/>
      <c r="J5" s="103">
        <v>5</v>
      </c>
      <c r="K5" s="103"/>
      <c r="L5" s="102">
        <v>5</v>
      </c>
      <c r="M5" s="162"/>
      <c r="N5" s="162"/>
      <c r="O5" s="162"/>
      <c r="P5" s="934">
        <f>IFERROR(IF(VLOOKUP(Table_Shelter[[#This Row],[CampName]],CL,5,0)&lt;Table_Shelter[[#This Row],[HH Covered2]],VLOOKUP(Table_Shelter[[#This Row],[CampName]],CL,5,0),Table_Shelter[[#This Row],[HH Covered2]]),"")</f>
        <v>5</v>
      </c>
      <c r="Q5" s="104">
        <f>IF(Table_Shelter[[#This Row],[Status]]="Open",IF(W5="NO",Table_Shelter[[#This Row],[HH per Shelter]]*(Table_Shelter[[#This Row],['# of Temporary Shelter Units Built]]+Table_Shelter[[#This Row],['# of Temporary Shelter Under  Construction]]+Table_Shelter[[#This Row],['# of Permanent House Under Construction]]),0),0)</f>
        <v>5</v>
      </c>
      <c r="R5" s="102"/>
      <c r="S5" s="102"/>
      <c r="T5" s="104" t="str">
        <f>IFERROR(VLOOKUP(Table_Shelter[[#This Row],[CampName]],CL,2,0),"")</f>
        <v>MMR001CMP029</v>
      </c>
      <c r="U5" s="104" t="str">
        <f>IFERROR(VLOOKUP(Table_Shelter[[#This Row],[CampName]],CL,3,0),"")</f>
        <v>Open</v>
      </c>
      <c r="V5" s="240">
        <f>IFERROR(Table_Shelter[[#This Row],[HH Covered]]/VLOOKUP(Table_Shelter[[#This Row],[CampName]],CL,5,0),"")</f>
        <v>1.7730496453900711E-2</v>
      </c>
      <c r="W5" s="241" t="s">
        <v>1292</v>
      </c>
      <c r="X5" s="104" t="s">
        <v>1635</v>
      </c>
    </row>
    <row r="6" spans="1:119" ht="16.149999999999999" customHeight="1" x14ac:dyDescent="0.25">
      <c r="A6" s="785">
        <v>42919</v>
      </c>
      <c r="B6" s="162" t="s">
        <v>1631</v>
      </c>
      <c r="C6" s="162" t="s">
        <v>1446</v>
      </c>
      <c r="D6" s="162" t="s">
        <v>380</v>
      </c>
      <c r="E6" s="307" t="s">
        <v>310</v>
      </c>
      <c r="F6" s="162" t="s">
        <v>320</v>
      </c>
      <c r="G6" s="786">
        <v>1</v>
      </c>
      <c r="H6" s="787"/>
      <c r="I6" s="787"/>
      <c r="J6" s="787">
        <v>4</v>
      </c>
      <c r="K6" s="787"/>
      <c r="L6" s="789">
        <v>4</v>
      </c>
      <c r="M6" s="788"/>
      <c r="N6" s="788"/>
      <c r="O6" s="788"/>
      <c r="P6" s="935">
        <f>IFERROR(IF(VLOOKUP(Table_Shelter[[#This Row],[CampName]],CL,5,0)&lt;Table_Shelter[[#This Row],[HH Covered2]],VLOOKUP(Table_Shelter[[#This Row],[CampName]],CL,5,0),Table_Shelter[[#This Row],[HH Covered2]]),"")</f>
        <v>4</v>
      </c>
      <c r="Q6" s="789">
        <f>IF(Table_Shelter[[#This Row],[Status]]="Open",IF(W6="NO",Table_Shelter[[#This Row],[HH per Shelter]]*(Table_Shelter[[#This Row],['# of Temporary Shelter Units Built]]+Table_Shelter[[#This Row],['# of Temporary Shelter Under  Construction]]+Table_Shelter[[#This Row],['# of Permanent House Under Construction]]),0),0)</f>
        <v>4</v>
      </c>
      <c r="R6" s="789"/>
      <c r="S6" s="789"/>
      <c r="T6" s="789" t="str">
        <f>IFERROR(VLOOKUP(Table_Shelter[[#This Row],[CampName]],CL,2,0),"")</f>
        <v>MMR001CMP027</v>
      </c>
      <c r="U6" s="789" t="str">
        <f>IFERROR(VLOOKUP(Table_Shelter[[#This Row],[CampName]],CL,3,0),"")</f>
        <v>Open</v>
      </c>
      <c r="V6" s="790">
        <f>IFERROR(Table_Shelter[[#This Row],[HH Covered]]/VLOOKUP(Table_Shelter[[#This Row],[CampName]],CL,5,0),"")</f>
        <v>0.13333333333333333</v>
      </c>
      <c r="W6" s="791" t="s">
        <v>1292</v>
      </c>
      <c r="X6" s="789" t="s">
        <v>1634</v>
      </c>
    </row>
    <row r="7" spans="1:119" ht="16.149999999999999" customHeight="1" x14ac:dyDescent="0.25">
      <c r="A7" s="722">
        <v>42919</v>
      </c>
      <c r="B7" s="162" t="s">
        <v>1631</v>
      </c>
      <c r="C7" s="162" t="s">
        <v>1446</v>
      </c>
      <c r="D7" s="165" t="s">
        <v>380</v>
      </c>
      <c r="E7" s="307" t="s">
        <v>237</v>
      </c>
      <c r="F7" s="162" t="s">
        <v>273</v>
      </c>
      <c r="G7" s="103">
        <v>1</v>
      </c>
      <c r="H7" s="105"/>
      <c r="I7" s="105"/>
      <c r="J7" s="105">
        <v>4</v>
      </c>
      <c r="K7" s="105"/>
      <c r="L7" s="104">
        <v>4</v>
      </c>
      <c r="M7" s="164"/>
      <c r="N7" s="164"/>
      <c r="O7" s="164"/>
      <c r="P7" s="936">
        <f>IFERROR(IF(VLOOKUP(Table_Shelter[[#This Row],[CampName]],CL,5,0)&lt;Table_Shelter[[#This Row],[HH Covered2]],VLOOKUP(Table_Shelter[[#This Row],[CampName]],CL,5,0),Table_Shelter[[#This Row],[HH Covered2]]),"")</f>
        <v>4</v>
      </c>
      <c r="Q7" s="104">
        <f>IF(Table_Shelter[[#This Row],[Status]]="Open",IF(W7="NO",Table_Shelter[[#This Row],[HH per Shelter]]*(Table_Shelter[[#This Row],['# of Temporary Shelter Units Built]]+Table_Shelter[[#This Row],['# of Temporary Shelter Under  Construction]]+Table_Shelter[[#This Row],['# of Permanent House Under Construction]]),0),0)</f>
        <v>4</v>
      </c>
      <c r="R7" s="104"/>
      <c r="S7" s="104"/>
      <c r="T7" s="104" t="str">
        <f>IFERROR(VLOOKUP(Table_Shelter[[#This Row],[CampName]],CL,2,0),"")</f>
        <v>MMR001CMP162</v>
      </c>
      <c r="U7" s="104" t="str">
        <f>IFERROR(VLOOKUP(Table_Shelter[[#This Row],[CampName]],CL,3,0),"")</f>
        <v>Open</v>
      </c>
      <c r="V7" s="240">
        <f>IFERROR(Table_Shelter[[#This Row],[HH Covered]]/VLOOKUP(Table_Shelter[[#This Row],[CampName]],CL,5,0),"")</f>
        <v>8.1632653061224483E-2</v>
      </c>
      <c r="W7" s="241" t="s">
        <v>1292</v>
      </c>
      <c r="X7" s="104" t="s">
        <v>1632</v>
      </c>
    </row>
    <row r="8" spans="1:119" ht="16.149999999999999" customHeight="1" x14ac:dyDescent="0.25">
      <c r="A8" s="722">
        <v>42919</v>
      </c>
      <c r="B8" s="164" t="s">
        <v>1631</v>
      </c>
      <c r="C8" s="164" t="s">
        <v>1446</v>
      </c>
      <c r="D8" s="163" t="s">
        <v>380</v>
      </c>
      <c r="E8" s="167" t="s">
        <v>310</v>
      </c>
      <c r="F8" s="163" t="s">
        <v>324</v>
      </c>
      <c r="G8" s="103">
        <v>1</v>
      </c>
      <c r="H8" s="105"/>
      <c r="I8" s="105"/>
      <c r="J8" s="105">
        <v>87</v>
      </c>
      <c r="K8" s="105"/>
      <c r="L8" s="104">
        <v>87</v>
      </c>
      <c r="M8" s="164"/>
      <c r="N8" s="164"/>
      <c r="O8" s="164"/>
      <c r="P8" s="936">
        <f>IFERROR(IF(VLOOKUP(Table_Shelter[[#This Row],[CampName]],CL,5,0)&lt;Table_Shelter[[#This Row],[HH Covered2]],VLOOKUP(Table_Shelter[[#This Row],[CampName]],CL,5,0),Table_Shelter[[#This Row],[HH Covered2]]),"")</f>
        <v>87</v>
      </c>
      <c r="Q8" s="104">
        <f>IF(Table_Shelter[[#This Row],[Status]]="Open",IF(W8="NO",Table_Shelter[[#This Row],[HH per Shelter]]*(Table_Shelter[[#This Row],['# of Temporary Shelter Units Built]]+Table_Shelter[[#This Row],['# of Temporary Shelter Under  Construction]]+Table_Shelter[[#This Row],['# of Permanent House Under Construction]]),0),0)</f>
        <v>87</v>
      </c>
      <c r="R8" s="104"/>
      <c r="S8" s="104"/>
      <c r="T8" s="104" t="str">
        <f>IFERROR(VLOOKUP(Table_Shelter[[#This Row],[CampName]],CL,2,0),"")</f>
        <v>MMR001CMP040</v>
      </c>
      <c r="U8" s="104" t="str">
        <f>IFERROR(VLOOKUP(Table_Shelter[[#This Row],[CampName]],CL,3,0),"")</f>
        <v>Open</v>
      </c>
      <c r="V8" s="240">
        <f>IFERROR(Table_Shelter[[#This Row],[HH Covered]]/VLOOKUP(Table_Shelter[[#This Row],[CampName]],CL,5,0),"")</f>
        <v>0.1746987951807229</v>
      </c>
      <c r="W8" s="241" t="s">
        <v>1292</v>
      </c>
      <c r="X8" s="104" t="s">
        <v>1632</v>
      </c>
    </row>
    <row r="9" spans="1:119" ht="16.149999999999999" customHeight="1" x14ac:dyDescent="0.25">
      <c r="A9" s="722">
        <v>42919</v>
      </c>
      <c r="B9" s="103" t="s">
        <v>451</v>
      </c>
      <c r="C9" s="103" t="s">
        <v>459</v>
      </c>
      <c r="D9" s="169" t="s">
        <v>380</v>
      </c>
      <c r="E9" s="307" t="s">
        <v>526</v>
      </c>
      <c r="F9" s="103" t="s">
        <v>1432</v>
      </c>
      <c r="G9" s="103">
        <v>1</v>
      </c>
      <c r="H9" s="105"/>
      <c r="I9" s="105"/>
      <c r="J9" s="105">
        <v>16</v>
      </c>
      <c r="K9" s="105">
        <v>16</v>
      </c>
      <c r="L9" s="105"/>
      <c r="M9" s="105"/>
      <c r="N9" s="105"/>
      <c r="O9" s="105"/>
      <c r="P9" s="936">
        <f>IFERROR(IF(VLOOKUP(Table_Shelter[[#This Row],[CampName]],CL,5,0)&lt;Table_Shelter[[#This Row],[HH Covered2]],VLOOKUP(Table_Shelter[[#This Row],[CampName]],CL,5,0),Table_Shelter[[#This Row],[HH Covered2]]),"")</f>
        <v>16</v>
      </c>
      <c r="Q9" s="104">
        <f>IF(Table_Shelter[[#This Row],[Status]]="Open",IF(W9="NO",Table_Shelter[[#This Row],[HH per Shelter]]*(Table_Shelter[[#This Row],['# of Temporary Shelter Units Built]]+Table_Shelter[[#This Row],['# of Temporary Shelter Under  Construction]]+Table_Shelter[[#This Row],['# of Permanent House Under Construction]]),0),0)</f>
        <v>16</v>
      </c>
      <c r="R9" s="104"/>
      <c r="S9" s="104"/>
      <c r="T9" s="104" t="str">
        <f>IFERROR(VLOOKUP(Table_Shelter[[#This Row],[CampName]],CL,2,0),"")</f>
        <v>MMR001CMP244</v>
      </c>
      <c r="U9" s="104" t="str">
        <f>IFERROR(VLOOKUP(Table_Shelter[[#This Row],[CampName]],CL,3,0),"")</f>
        <v>Open</v>
      </c>
      <c r="V9" s="241">
        <f>IFERROR(Table_Shelter[[#This Row],[HH Covered]]/VLOOKUP(Table_Shelter[[#This Row],[CampName]],CL,5,0),"")</f>
        <v>0.53333333333333333</v>
      </c>
      <c r="W9" s="241" t="s">
        <v>1087</v>
      </c>
      <c r="X9" s="753" t="s">
        <v>1695</v>
      </c>
    </row>
    <row r="10" spans="1:119" ht="16.149999999999999" customHeight="1" x14ac:dyDescent="0.25">
      <c r="A10" s="722">
        <v>42919</v>
      </c>
      <c r="B10" s="162" t="s">
        <v>451</v>
      </c>
      <c r="C10" s="162" t="s">
        <v>459</v>
      </c>
      <c r="D10" s="162" t="s">
        <v>552</v>
      </c>
      <c r="E10" s="307" t="s">
        <v>166</v>
      </c>
      <c r="F10" s="162" t="s">
        <v>167</v>
      </c>
      <c r="G10" s="103">
        <v>1</v>
      </c>
      <c r="H10" s="103"/>
      <c r="I10" s="103"/>
      <c r="J10" s="103">
        <v>30</v>
      </c>
      <c r="K10" s="103">
        <v>30</v>
      </c>
      <c r="L10" s="102"/>
      <c r="M10" s="162"/>
      <c r="N10" s="162"/>
      <c r="O10" s="162"/>
      <c r="P10" s="934">
        <f>IFERROR(IF(VLOOKUP(Table_Shelter[[#This Row],[CampName]],CL,5,0)&lt;Table_Shelter[[#This Row],[HH Covered2]],VLOOKUP(Table_Shelter[[#This Row],[CampName]],CL,5,0),Table_Shelter[[#This Row],[HH Covered2]]),"")</f>
        <v>30</v>
      </c>
      <c r="Q10" s="104">
        <f>IF(Table_Shelter[[#This Row],[Status]]="Open",IF(W10="NO",Table_Shelter[[#This Row],[HH per Shelter]]*(Table_Shelter[[#This Row],['# of Temporary Shelter Units Built]]+Table_Shelter[[#This Row],['# of Temporary Shelter Under  Construction]]+Table_Shelter[[#This Row],['# of Permanent House Under Construction]]),0),0)</f>
        <v>30</v>
      </c>
      <c r="R10" s="102"/>
      <c r="S10" s="102"/>
      <c r="T10" s="104" t="str">
        <f>IFERROR(VLOOKUP(Table_Shelter[[#This Row],[CampName]],CL,2,0),"")</f>
        <v>MMR015CMP009</v>
      </c>
      <c r="U10" s="104" t="str">
        <f>IFERROR(VLOOKUP(Table_Shelter[[#This Row],[CampName]],CL,3,0),"")</f>
        <v>Open</v>
      </c>
      <c r="V10" s="240">
        <f>IFERROR(Table_Shelter[[#This Row],[HH Covered]]/VLOOKUP(Table_Shelter[[#This Row],[CampName]],CL,5,0),"")</f>
        <v>0.8571428571428571</v>
      </c>
      <c r="W10" s="241" t="s">
        <v>1087</v>
      </c>
      <c r="X10" s="753" t="s">
        <v>1694</v>
      </c>
    </row>
    <row r="11" spans="1:119" ht="16.149999999999999" customHeight="1" x14ac:dyDescent="0.25">
      <c r="A11" s="723">
        <v>42919</v>
      </c>
      <c r="B11" s="162" t="s">
        <v>451</v>
      </c>
      <c r="C11" s="162" t="s">
        <v>459</v>
      </c>
      <c r="D11" s="162" t="s">
        <v>380</v>
      </c>
      <c r="E11" s="307" t="s">
        <v>237</v>
      </c>
      <c r="F11" s="162" t="s">
        <v>243</v>
      </c>
      <c r="G11" s="103">
        <v>1</v>
      </c>
      <c r="H11" s="103"/>
      <c r="I11" s="103"/>
      <c r="J11" s="103">
        <v>6</v>
      </c>
      <c r="K11" s="103">
        <v>6</v>
      </c>
      <c r="L11" s="162"/>
      <c r="M11" s="162"/>
      <c r="N11" s="162"/>
      <c r="O11" s="162"/>
      <c r="P11" s="934">
        <f>IFERROR(IF(VLOOKUP(Table_Shelter[[#This Row],[CampName]],CL,5,0)&lt;Table_Shelter[[#This Row],[HH Covered2]],VLOOKUP(Table_Shelter[[#This Row],[CampName]],CL,5,0),Table_Shelter[[#This Row],[HH Covered2]]),"")</f>
        <v>0</v>
      </c>
      <c r="Q11" s="139">
        <f>IF(Table_Shelter[[#This Row],[Status]]="Open",IF(W11="NO",Table_Shelter[[#This Row],[HH per Shelter]]*(Table_Shelter[[#This Row],['# of Temporary Shelter Units Built]]+Table_Shelter[[#This Row],['# of Temporary Shelter Under  Construction]]+Table_Shelter[[#This Row],['# of Permanent House Under Construction]]),0),0)</f>
        <v>0</v>
      </c>
      <c r="R11" s="102"/>
      <c r="S11" s="162"/>
      <c r="T11" s="163" t="str">
        <f>IFERROR(VLOOKUP(Table_Shelter[[#This Row],[CampName]],CL,2,0),"")</f>
        <v>MMR001CMP012</v>
      </c>
      <c r="U11" s="163" t="str">
        <f>IFERROR(VLOOKUP(Table_Shelter[[#This Row],[CampName]],CL,3,0),"")</f>
        <v>Open</v>
      </c>
      <c r="V11" s="240">
        <f>IFERROR(Table_Shelter[[#This Row],[HH Covered]]/VLOOKUP(Table_Shelter[[#This Row],[CampName]],CL,5,0),"")</f>
        <v>0</v>
      </c>
      <c r="W11" s="240" t="s">
        <v>1291</v>
      </c>
      <c r="X11" s="164" t="s">
        <v>1693</v>
      </c>
    </row>
    <row r="12" spans="1:119" ht="16.149999999999999" customHeight="1" x14ac:dyDescent="0.25">
      <c r="A12" s="722">
        <v>42888</v>
      </c>
      <c r="B12" s="103" t="s">
        <v>451</v>
      </c>
      <c r="C12" s="103" t="s">
        <v>459</v>
      </c>
      <c r="D12" s="169" t="s">
        <v>380</v>
      </c>
      <c r="E12" s="170" t="s">
        <v>237</v>
      </c>
      <c r="F12" s="103" t="s">
        <v>243</v>
      </c>
      <c r="G12" s="103">
        <v>1</v>
      </c>
      <c r="H12" s="105"/>
      <c r="I12" s="105"/>
      <c r="J12" s="105">
        <v>6</v>
      </c>
      <c r="K12" s="105"/>
      <c r="L12" s="105">
        <v>6</v>
      </c>
      <c r="M12" s="105"/>
      <c r="N12" s="105"/>
      <c r="O12" s="105"/>
      <c r="P12" s="936">
        <f>IFERROR(IF(VLOOKUP(Table_Shelter[[#This Row],[CampName]],CL,5,0)&lt;Table_Shelter[[#This Row],[HH Covered2]],VLOOKUP(Table_Shelter[[#This Row],[CampName]],CL,5,0),Table_Shelter[[#This Row],[HH Covered2]]),"")</f>
        <v>0</v>
      </c>
      <c r="Q12" s="104">
        <f>IF(Table_Shelter[[#This Row],[Status]]="Open",IF(W12="NO",Table_Shelter[[#This Row],[HH per Shelter]]*(Table_Shelter[[#This Row],['# of Temporary Shelter Units Built]]+Table_Shelter[[#This Row],['# of Temporary Shelter Under  Construction]]+Table_Shelter[[#This Row],['# of Permanent House Under Construction]]),0),0)</f>
        <v>0</v>
      </c>
      <c r="R12" s="104"/>
      <c r="S12" s="104"/>
      <c r="T12" s="104" t="str">
        <f>IFERROR(VLOOKUP(Table_Shelter[[#This Row],[CampName]],CL,2,0),"")</f>
        <v>MMR001CMP012</v>
      </c>
      <c r="U12" s="104" t="str">
        <f>IFERROR(VLOOKUP(Table_Shelter[[#This Row],[CampName]],CL,3,0),"")</f>
        <v>Open</v>
      </c>
      <c r="V12" s="241">
        <f>IFERROR(Table_Shelter[[#This Row],[HH Covered]]/VLOOKUP(Table_Shelter[[#This Row],[CampName]],CL,5,0),"")</f>
        <v>0</v>
      </c>
      <c r="W12" s="241" t="s">
        <v>1291</v>
      </c>
      <c r="X12" s="753" t="s">
        <v>1549</v>
      </c>
    </row>
    <row r="13" spans="1:119" ht="16.149999999999999" customHeight="1" x14ac:dyDescent="0.25">
      <c r="A13" s="678">
        <v>42888</v>
      </c>
      <c r="B13" s="162" t="s">
        <v>451</v>
      </c>
      <c r="C13" s="162" t="s">
        <v>459</v>
      </c>
      <c r="D13" s="165" t="s">
        <v>380</v>
      </c>
      <c r="E13" s="307" t="s">
        <v>237</v>
      </c>
      <c r="F13" s="162" t="s">
        <v>269</v>
      </c>
      <c r="G13" s="103">
        <v>1</v>
      </c>
      <c r="H13" s="103"/>
      <c r="I13" s="103"/>
      <c r="J13" s="103">
        <v>25</v>
      </c>
      <c r="K13" s="103"/>
      <c r="L13" s="102">
        <v>25</v>
      </c>
      <c r="M13" s="162"/>
      <c r="N13" s="162"/>
      <c r="O13" s="162"/>
      <c r="P13" s="934">
        <f>IFERROR(IF(VLOOKUP(Table_Shelter[[#This Row],[CampName]],CL,5,0)&lt;Table_Shelter[[#This Row],[HH Covered2]],VLOOKUP(Table_Shelter[[#This Row],[CampName]],CL,5,0),Table_Shelter[[#This Row],[HH Covered2]]),"")</f>
        <v>25</v>
      </c>
      <c r="Q13" s="104">
        <f>IF(Table_Shelter[[#This Row],[Status]]="Open",IF(W13="NO",Table_Shelter[[#This Row],[HH per Shelter]]*(Table_Shelter[[#This Row],['# of Temporary Shelter Units Built]]+Table_Shelter[[#This Row],['# of Temporary Shelter Under  Construction]]+Table_Shelter[[#This Row],['# of Permanent House Under Construction]]),0),0)</f>
        <v>25</v>
      </c>
      <c r="R13" s="102"/>
      <c r="S13" s="102"/>
      <c r="T13" s="104" t="str">
        <f>IFERROR(VLOOKUP(Table_Shelter[[#This Row],[CampName]],CL,2,0),"")</f>
        <v>MMR001CMP002</v>
      </c>
      <c r="U13" s="104" t="str">
        <f>IFERROR(VLOOKUP(Table_Shelter[[#This Row],[CampName]],CL,3,0),"")</f>
        <v>Open</v>
      </c>
      <c r="V13" s="240">
        <f>IFERROR(Table_Shelter[[#This Row],[HH Covered]]/VLOOKUP(Table_Shelter[[#This Row],[CampName]],CL,5,0),"")</f>
        <v>0.38461538461538464</v>
      </c>
      <c r="W13" s="241" t="s">
        <v>1087</v>
      </c>
      <c r="X13" s="753" t="s">
        <v>1548</v>
      </c>
    </row>
    <row r="14" spans="1:119" ht="16.149999999999999" customHeight="1" x14ac:dyDescent="0.25">
      <c r="A14" s="722">
        <v>42888</v>
      </c>
      <c r="B14" s="164" t="s">
        <v>451</v>
      </c>
      <c r="C14" s="164" t="s">
        <v>505</v>
      </c>
      <c r="D14" s="164" t="s">
        <v>380</v>
      </c>
      <c r="E14" s="168" t="s">
        <v>310</v>
      </c>
      <c r="F14" s="164" t="s">
        <v>330</v>
      </c>
      <c r="G14" s="103">
        <v>1</v>
      </c>
      <c r="H14" s="105">
        <v>19</v>
      </c>
      <c r="I14" s="105">
        <v>19</v>
      </c>
      <c r="J14" s="105">
        <v>40</v>
      </c>
      <c r="K14" s="105"/>
      <c r="L14" s="104">
        <v>40</v>
      </c>
      <c r="M14" s="164"/>
      <c r="N14" s="164"/>
      <c r="O14" s="164"/>
      <c r="P14" s="936">
        <f>IFERROR(IF(VLOOKUP(Table_Shelter[[#This Row],[CampName]],CL,5,0)&lt;Table_Shelter[[#This Row],[HH Covered2]],VLOOKUP(Table_Shelter[[#This Row],[CampName]],CL,5,0),Table_Shelter[[#This Row],[HH Covered2]]),"")</f>
        <v>40</v>
      </c>
      <c r="Q14" s="104">
        <f>IF(Table_Shelter[[#This Row],[Status]]="Open",IF(W14="NO",Table_Shelter[[#This Row],[HH per Shelter]]*(Table_Shelter[[#This Row],['# of Temporary Shelter Units Built]]+Table_Shelter[[#This Row],['# of Temporary Shelter Under  Construction]]+Table_Shelter[[#This Row],['# of Permanent House Under Construction]]),0),0)</f>
        <v>40</v>
      </c>
      <c r="R14" s="104"/>
      <c r="S14" s="104"/>
      <c r="T14" s="104" t="str">
        <f>IFERROR(VLOOKUP(Table_Shelter[[#This Row],[CampName]],CL,2,0),"")</f>
        <v>MMR001CMP029</v>
      </c>
      <c r="U14" s="104" t="str">
        <f>IFERROR(VLOOKUP(Table_Shelter[[#This Row],[CampName]],CL,3,0),"")</f>
        <v>Open</v>
      </c>
      <c r="V14" s="240">
        <f>IFERROR(Table_Shelter[[#This Row],[HH Covered]]/VLOOKUP(Table_Shelter[[#This Row],[CampName]],CL,5,0),"")</f>
        <v>0.14184397163120568</v>
      </c>
      <c r="W14" s="241" t="s">
        <v>1292</v>
      </c>
      <c r="X14" s="104" t="s">
        <v>1553</v>
      </c>
    </row>
    <row r="15" spans="1:119" ht="16.149999999999999" customHeight="1" x14ac:dyDescent="0.25">
      <c r="A15" s="722">
        <v>42888</v>
      </c>
      <c r="B15" s="103" t="s">
        <v>937</v>
      </c>
      <c r="C15" s="103" t="s">
        <v>459</v>
      </c>
      <c r="D15" s="169" t="s">
        <v>380</v>
      </c>
      <c r="E15" s="307" t="s">
        <v>151</v>
      </c>
      <c r="F15" s="103" t="s">
        <v>1090</v>
      </c>
      <c r="G15" s="103">
        <v>1</v>
      </c>
      <c r="H15" s="105"/>
      <c r="I15" s="105"/>
      <c r="J15" s="105">
        <v>20</v>
      </c>
      <c r="K15" s="105"/>
      <c r="L15" s="105">
        <v>20</v>
      </c>
      <c r="M15" s="105"/>
      <c r="N15" s="105"/>
      <c r="O15" s="105"/>
      <c r="P15" s="936">
        <f>IFERROR(IF(VLOOKUP(Table_Shelter[[#This Row],[CampName]],CL,5,0)&lt;Table_Shelter[[#This Row],[HH Covered2]],VLOOKUP(Table_Shelter[[#This Row],[CampName]],CL,5,0),Table_Shelter[[#This Row],[HH Covered2]]),"")</f>
        <v>0</v>
      </c>
      <c r="Q15" s="104">
        <f>IF(Table_Shelter[[#This Row],[Status]]="Open",IF(W15="NO",Table_Shelter[[#This Row],[HH per Shelter]]*(Table_Shelter[[#This Row],['# of Temporary Shelter Units Built]]+Table_Shelter[[#This Row],['# of Temporary Shelter Under  Construction]]+Table_Shelter[[#This Row],['# of Permanent House Under Construction]]),0),0)</f>
        <v>0</v>
      </c>
      <c r="R15" s="104"/>
      <c r="S15" s="104"/>
      <c r="T15" s="104" t="str">
        <f>IFERROR(VLOOKUP(Table_Shelter[[#This Row],[CampName]],CL,2,0),"")</f>
        <v>MMR001CMP230</v>
      </c>
      <c r="U15" s="104" t="str">
        <f>IFERROR(VLOOKUP(Table_Shelter[[#This Row],[CampName]],CL,3,0),"")</f>
        <v>Open</v>
      </c>
      <c r="V15" s="241">
        <f>IFERROR(Table_Shelter[[#This Row],[HH Covered]]/VLOOKUP(Table_Shelter[[#This Row],[CampName]],CL,5,0),"")</f>
        <v>0</v>
      </c>
      <c r="W15" s="241" t="s">
        <v>1291</v>
      </c>
      <c r="X15" s="753" t="s">
        <v>1551</v>
      </c>
    </row>
    <row r="16" spans="1:119" ht="16.149999999999999" customHeight="1" x14ac:dyDescent="0.25">
      <c r="A16" s="722">
        <v>42888</v>
      </c>
      <c r="B16" s="103" t="s">
        <v>937</v>
      </c>
      <c r="C16" s="103" t="s">
        <v>459</v>
      </c>
      <c r="D16" s="169" t="s">
        <v>380</v>
      </c>
      <c r="E16" s="307" t="s">
        <v>5</v>
      </c>
      <c r="F16" s="103" t="s">
        <v>22</v>
      </c>
      <c r="G16" s="103">
        <v>1</v>
      </c>
      <c r="H16" s="105"/>
      <c r="I16" s="105"/>
      <c r="J16" s="105">
        <v>140</v>
      </c>
      <c r="K16" s="105"/>
      <c r="L16" s="105">
        <v>140</v>
      </c>
      <c r="M16" s="105"/>
      <c r="N16" s="105"/>
      <c r="O16" s="105"/>
      <c r="P16" s="936">
        <f>IFERROR(IF(VLOOKUP(Table_Shelter[[#This Row],[CampName]],CL,5,0)&lt;Table_Shelter[[#This Row],[HH Covered2]],VLOOKUP(Table_Shelter[[#This Row],[CampName]],CL,5,0),Table_Shelter[[#This Row],[HH Covered2]]),"")</f>
        <v>0</v>
      </c>
      <c r="Q16" s="104">
        <f>IF(Table_Shelter[[#This Row],[Status]]="Open",IF(W16="NO",Table_Shelter[[#This Row],[HH per Shelter]]*(Table_Shelter[[#This Row],['# of Temporary Shelter Units Built]]+Table_Shelter[[#This Row],['# of Temporary Shelter Under  Construction]]+Table_Shelter[[#This Row],['# of Permanent House Under Construction]]),0),0)</f>
        <v>0</v>
      </c>
      <c r="R16" s="104"/>
      <c r="S16" s="104"/>
      <c r="T16" s="104" t="str">
        <f>IFERROR(VLOOKUP(Table_Shelter[[#This Row],[CampName]],CL,2,0),"")</f>
        <v>MMR001CMP047</v>
      </c>
      <c r="U16" s="104" t="str">
        <f>IFERROR(VLOOKUP(Table_Shelter[[#This Row],[CampName]],CL,3,0),"")</f>
        <v>Open</v>
      </c>
      <c r="V16" s="241">
        <f>IFERROR(Table_Shelter[[#This Row],[HH Covered]]/VLOOKUP(Table_Shelter[[#This Row],[CampName]],CL,5,0),"")</f>
        <v>0</v>
      </c>
      <c r="W16" s="241" t="s">
        <v>1291</v>
      </c>
      <c r="X16" s="753" t="s">
        <v>1550</v>
      </c>
    </row>
    <row r="17" spans="1:24" ht="15" customHeight="1" x14ac:dyDescent="0.25">
      <c r="A17" s="483">
        <v>42853</v>
      </c>
      <c r="B17" s="162" t="s">
        <v>451</v>
      </c>
      <c r="C17" s="162" t="s">
        <v>504</v>
      </c>
      <c r="D17" s="162" t="s">
        <v>380</v>
      </c>
      <c r="E17" s="307" t="s">
        <v>526</v>
      </c>
      <c r="F17" s="162" t="s">
        <v>43</v>
      </c>
      <c r="G17" s="103">
        <v>1</v>
      </c>
      <c r="H17" s="105"/>
      <c r="I17" s="105"/>
      <c r="J17" s="105"/>
      <c r="K17" s="105"/>
      <c r="L17" s="164"/>
      <c r="M17" s="164"/>
      <c r="N17" s="164"/>
      <c r="O17" s="164"/>
      <c r="P17" s="936">
        <f>IFERROR(IF(VLOOKUP(Table_Shelter[[#This Row],[CampName]],CL,5,0)&lt;Table_Shelter[[#This Row],[HH Covered2]],VLOOKUP(Table_Shelter[[#This Row],[CampName]],CL,5,0),Table_Shelter[[#This Row],[HH Covered2]]),"")</f>
        <v>0</v>
      </c>
      <c r="Q17" s="104">
        <f>IF(Table_Shelter[[#This Row],[Status]]="Open",IF(W17="NO",Table_Shelter[[#This Row],[HH per Shelter]]*(Table_Shelter[[#This Row],['# of Temporary Shelter Units Built]]+Table_Shelter[[#This Row],['# of Temporary Shelter Under  Construction]]+Table_Shelter[[#This Row],['# of Permanent House Under Construction]]),0),0)</f>
        <v>0</v>
      </c>
      <c r="R17" s="104">
        <v>10</v>
      </c>
      <c r="S17" s="104">
        <v>10</v>
      </c>
      <c r="T17" s="104" t="str">
        <f>IFERROR(VLOOKUP(Table_Shelter[[#This Row],[CampName]],CL,2,0),"")</f>
        <v>MMR001CMP190</v>
      </c>
      <c r="U17" s="104" t="str">
        <f>IFERROR(VLOOKUP(Table_Shelter[[#This Row],[CampName]],CL,3,0),"")</f>
        <v>Open</v>
      </c>
      <c r="V17" s="240">
        <f>IFERROR(Table_Shelter[[#This Row],[HH Covered]]/VLOOKUP(Table_Shelter[[#This Row],[CampName]],CL,5,0),"")</f>
        <v>0</v>
      </c>
      <c r="W17" s="241" t="s">
        <v>1292</v>
      </c>
      <c r="X17" s="104"/>
    </row>
    <row r="18" spans="1:24" ht="13.9" customHeight="1" x14ac:dyDescent="0.25">
      <c r="A18" s="722">
        <v>42853</v>
      </c>
      <c r="B18" s="103" t="s">
        <v>451</v>
      </c>
      <c r="C18" s="103" t="s">
        <v>459</v>
      </c>
      <c r="D18" s="169" t="s">
        <v>380</v>
      </c>
      <c r="E18" s="170" t="s">
        <v>526</v>
      </c>
      <c r="F18" s="103" t="s">
        <v>1115</v>
      </c>
      <c r="G18" s="103">
        <v>1</v>
      </c>
      <c r="H18" s="105"/>
      <c r="I18" s="105"/>
      <c r="J18" s="105">
        <v>27</v>
      </c>
      <c r="K18" s="105">
        <v>27</v>
      </c>
      <c r="L18" s="164"/>
      <c r="M18" s="164"/>
      <c r="N18" s="164"/>
      <c r="O18" s="164"/>
      <c r="P18" s="936">
        <f>IFERROR(IF(VLOOKUP(Table_Shelter[[#This Row],[CampName]],CL,5,0)&lt;Table_Shelter[[#This Row],[HH Covered2]],VLOOKUP(Table_Shelter[[#This Row],[CampName]],CL,5,0),Table_Shelter[[#This Row],[HH Covered2]]),"")</f>
        <v>0</v>
      </c>
      <c r="Q18" s="104">
        <f>IF(Table_Shelter[[#This Row],[Status]]="Open",IF(W18="NO",Table_Shelter[[#This Row],[HH per Shelter]]*(Table_Shelter[[#This Row],['# of Temporary Shelter Units Built]]+Table_Shelter[[#This Row],['# of Temporary Shelter Under  Construction]]+Table_Shelter[[#This Row],['# of Permanent House Under Construction]]),0),0)</f>
        <v>0</v>
      </c>
      <c r="R18" s="104"/>
      <c r="S18" s="104"/>
      <c r="T18" s="104" t="str">
        <f>IFERROR(VLOOKUP(Table_Shelter[[#This Row],[CampName]],CL,2,0),"")</f>
        <v>MMR001CMP231</v>
      </c>
      <c r="U18" s="104" t="str">
        <f>IFERROR(VLOOKUP(Table_Shelter[[#This Row],[CampName]],CL,3,0),"")</f>
        <v>Closed</v>
      </c>
      <c r="V18" s="240" t="str">
        <f>IFERROR(Table_Shelter[[#This Row],[HH Covered]]/VLOOKUP(Table_Shelter[[#This Row],[CampName]],CL,5,0),"")</f>
        <v/>
      </c>
      <c r="W18" s="241" t="s">
        <v>1292</v>
      </c>
      <c r="X18" s="104"/>
    </row>
    <row r="19" spans="1:24" ht="14.25" customHeight="1" x14ac:dyDescent="0.25">
      <c r="A19" s="722">
        <v>42853</v>
      </c>
      <c r="B19" s="162" t="s">
        <v>451</v>
      </c>
      <c r="C19" s="162" t="s">
        <v>504</v>
      </c>
      <c r="D19" s="165" t="s">
        <v>380</v>
      </c>
      <c r="E19" s="307" t="s">
        <v>310</v>
      </c>
      <c r="F19" s="162" t="s">
        <v>351</v>
      </c>
      <c r="G19" s="103">
        <v>1</v>
      </c>
      <c r="H19" s="105"/>
      <c r="I19" s="105"/>
      <c r="J19" s="105">
        <v>13</v>
      </c>
      <c r="K19" s="105">
        <v>13</v>
      </c>
      <c r="L19" s="105"/>
      <c r="M19" s="105"/>
      <c r="N19" s="105"/>
      <c r="O19" s="105"/>
      <c r="P19" s="936">
        <f>IFERROR(IF(VLOOKUP(Table_Shelter[[#This Row],[CampName]],CL,5,0)&lt;Table_Shelter[[#This Row],[HH Covered2]],VLOOKUP(Table_Shelter[[#This Row],[CampName]],CL,5,0),Table_Shelter[[#This Row],[HH Covered2]]),"")</f>
        <v>0</v>
      </c>
      <c r="Q19" s="139">
        <f>IF(Table_Shelter[[#This Row],[Status]]="Open",IF(W19="NO",Table_Shelter[[#This Row],[HH per Shelter]]*(Table_Shelter[[#This Row],['# of Temporary Shelter Units Built]]+Table_Shelter[[#This Row],['# of Temporary Shelter Under  Construction]]+Table_Shelter[[#This Row],['# of Permanent House Under Construction]]),0),0)</f>
        <v>0</v>
      </c>
      <c r="R19" s="104"/>
      <c r="S19" s="104"/>
      <c r="T19" s="104" t="str">
        <f>IFERROR(VLOOKUP(Table_Shelter[[#This Row],[CampName]],CL,2,0),"")</f>
        <v>MMR001CMP026</v>
      </c>
      <c r="U19" s="104" t="str">
        <f>IFERROR(VLOOKUP(Table_Shelter[[#This Row],[CampName]],CL,3,0),"")</f>
        <v>Open</v>
      </c>
      <c r="V19" s="241">
        <f>IFERROR(Table_Shelter[[#This Row],[HH Covered]]/VLOOKUP(Table_Shelter[[#This Row],[CampName]],CL,5,0),"")</f>
        <v>0</v>
      </c>
      <c r="W19" s="241" t="s">
        <v>1423</v>
      </c>
      <c r="X19" s="104"/>
    </row>
    <row r="20" spans="1:24" ht="14.25" customHeight="1" x14ac:dyDescent="0.25">
      <c r="A20" s="722">
        <v>42790</v>
      </c>
      <c r="B20" s="103" t="s">
        <v>451</v>
      </c>
      <c r="C20" s="103" t="s">
        <v>459</v>
      </c>
      <c r="D20" s="169" t="s">
        <v>380</v>
      </c>
      <c r="E20" s="307" t="s">
        <v>526</v>
      </c>
      <c r="F20" s="103" t="s">
        <v>1431</v>
      </c>
      <c r="G20" s="103">
        <v>1</v>
      </c>
      <c r="H20" s="105"/>
      <c r="I20" s="105"/>
      <c r="J20" s="105">
        <v>41</v>
      </c>
      <c r="K20" s="105"/>
      <c r="L20" s="105"/>
      <c r="M20" s="105"/>
      <c r="N20" s="105"/>
      <c r="O20" s="105"/>
      <c r="P20" s="936">
        <f>IFERROR(IF(VLOOKUP(Table_Shelter[[#This Row],[CampName]],CL,5,0)&lt;Table_Shelter[[#This Row],[HH Covered2]],VLOOKUP(Table_Shelter[[#This Row],[CampName]],CL,5,0),Table_Shelter[[#This Row],[HH Covered2]]),"")</f>
        <v>0</v>
      </c>
      <c r="Q20" s="104">
        <f>IF(Table_Shelter[[#This Row],[Status]]="Open",IF(W20="NO",Table_Shelter[[#This Row],[HH per Shelter]]*(Table_Shelter[[#This Row],['# of Temporary Shelter Units Built]]+Table_Shelter[[#This Row],['# of Temporary Shelter Under  Construction]]+Table_Shelter[[#This Row],['# of Permanent House Under Construction]]),0),0)</f>
        <v>0</v>
      </c>
      <c r="R20" s="104"/>
      <c r="S20" s="104"/>
      <c r="T20" s="104" t="str">
        <f>IFERROR(VLOOKUP(Table_Shelter[[#This Row],[CampName]],CL,2,0),"")</f>
        <v>MMR001CMP246</v>
      </c>
      <c r="U20" s="104" t="str">
        <f>IFERROR(VLOOKUP(Table_Shelter[[#This Row],[CampName]],CL,3,0),"")</f>
        <v>Open</v>
      </c>
      <c r="V20" s="241">
        <f>IFERROR(Table_Shelter[[#This Row],[HH Covered]]/VLOOKUP(Table_Shelter[[#This Row],[CampName]],CL,5,0),"")</f>
        <v>0</v>
      </c>
      <c r="W20" s="241" t="s">
        <v>1292</v>
      </c>
      <c r="X20" s="104"/>
    </row>
    <row r="21" spans="1:24" ht="15" customHeight="1" x14ac:dyDescent="0.25">
      <c r="A21" s="547">
        <v>42780</v>
      </c>
      <c r="B21" s="103" t="s">
        <v>451</v>
      </c>
      <c r="C21" s="103" t="s">
        <v>1501</v>
      </c>
      <c r="D21" s="169" t="s">
        <v>552</v>
      </c>
      <c r="E21" s="307" t="s">
        <v>146</v>
      </c>
      <c r="F21" s="103" t="s">
        <v>1097</v>
      </c>
      <c r="G21" s="103">
        <v>1</v>
      </c>
      <c r="H21" s="105"/>
      <c r="I21" s="105"/>
      <c r="J21" s="105"/>
      <c r="K21" s="105"/>
      <c r="L21" s="105"/>
      <c r="M21" s="105"/>
      <c r="N21" s="105"/>
      <c r="O21" s="105"/>
      <c r="P21" s="936">
        <f>IFERROR(IF(VLOOKUP(Table_Shelter[[#This Row],[CampName]],CL,5,0)&lt;Table_Shelter[[#This Row],[HH Covered2]],VLOOKUP(Table_Shelter[[#This Row],[CampName]],CL,5,0),Table_Shelter[[#This Row],[HH Covered2]]),"")</f>
        <v>0</v>
      </c>
      <c r="Q21" s="104">
        <f>IF(Table_Shelter[[#This Row],[Status]]="Open",IF(W21="NO",Table_Shelter[[#This Row],[HH per Shelter]]*(Table_Shelter[[#This Row],['# of Temporary Shelter Units Built]]+Table_Shelter[[#This Row],['# of Temporary Shelter Under  Construction]]+Table_Shelter[[#This Row],['# of Permanent House Under Construction]]),0),0)</f>
        <v>0</v>
      </c>
      <c r="R21" s="104">
        <v>30</v>
      </c>
      <c r="S21" s="104">
        <v>30</v>
      </c>
      <c r="T21" s="104" t="str">
        <f>IFERROR(VLOOKUP(Table_Shelter[[#This Row],[CampName]],CL,2,0),"")</f>
        <v>MMR015CMP217</v>
      </c>
      <c r="U21" s="104" t="str">
        <f>IFERROR(VLOOKUP(Table_Shelter[[#This Row],[CampName]],CL,3,0),"")</f>
        <v>Open</v>
      </c>
      <c r="V21" s="241">
        <f>IFERROR(Table_Shelter[[#This Row],[HH Covered]]/VLOOKUP(Table_Shelter[[#This Row],[CampName]],CL,5,0),"")</f>
        <v>0</v>
      </c>
      <c r="W21" s="241"/>
      <c r="X21" s="104"/>
    </row>
    <row r="22" spans="1:24" ht="15" customHeight="1" x14ac:dyDescent="0.25">
      <c r="A22" s="722">
        <v>42780</v>
      </c>
      <c r="B22" s="103" t="s">
        <v>451</v>
      </c>
      <c r="C22" s="103" t="s">
        <v>1427</v>
      </c>
      <c r="D22" s="169" t="s">
        <v>380</v>
      </c>
      <c r="E22" s="307" t="s">
        <v>5</v>
      </c>
      <c r="F22" s="103" t="s">
        <v>6</v>
      </c>
      <c r="G22" s="103">
        <v>1</v>
      </c>
      <c r="H22" s="105"/>
      <c r="I22" s="105"/>
      <c r="J22" s="105">
        <v>42</v>
      </c>
      <c r="K22" s="105"/>
      <c r="L22" s="105"/>
      <c r="M22" s="105"/>
      <c r="N22" s="105"/>
      <c r="O22" s="105"/>
      <c r="P22" s="936">
        <f>IFERROR(IF(VLOOKUP(Table_Shelter[[#This Row],[CampName]],CL,5,0)&lt;Table_Shelter[[#This Row],[HH Covered2]],VLOOKUP(Table_Shelter[[#This Row],[CampName]],CL,5,0),Table_Shelter[[#This Row],[HH Covered2]]),"")</f>
        <v>0</v>
      </c>
      <c r="Q22" s="104">
        <f>IF(Table_Shelter[[#This Row],[Status]]="Open",IF(W22="NO",Table_Shelter[[#This Row],[HH per Shelter]]*(Table_Shelter[[#This Row],['# of Temporary Shelter Units Built]]+Table_Shelter[[#This Row],['# of Temporary Shelter Under  Construction]]+Table_Shelter[[#This Row],['# of Permanent House Under Construction]]),0),0)</f>
        <v>0</v>
      </c>
      <c r="R22" s="104"/>
      <c r="S22" s="104"/>
      <c r="T22" s="104" t="str">
        <f>IFERROR(VLOOKUP(Table_Shelter[[#This Row],[CampName]],CL,2,0),"")</f>
        <v>MMR001CMP050</v>
      </c>
      <c r="U22" s="104" t="str">
        <f>IFERROR(VLOOKUP(Table_Shelter[[#This Row],[CampName]],CL,3,0),"")</f>
        <v>Open</v>
      </c>
      <c r="V22" s="241">
        <f>IFERROR(Table_Shelter[[#This Row],[HH Covered]]/VLOOKUP(Table_Shelter[[#This Row],[CampName]],CL,5,0),"")</f>
        <v>0</v>
      </c>
      <c r="W22" s="241" t="s">
        <v>1423</v>
      </c>
      <c r="X22" s="104"/>
    </row>
    <row r="23" spans="1:24" ht="15" customHeight="1" x14ac:dyDescent="0.25">
      <c r="A23" s="547">
        <v>42780</v>
      </c>
      <c r="B23" s="103" t="s">
        <v>451</v>
      </c>
      <c r="C23" s="514" t="s">
        <v>1427</v>
      </c>
      <c r="D23" s="169" t="s">
        <v>380</v>
      </c>
      <c r="E23" s="307" t="s">
        <v>185</v>
      </c>
      <c r="F23" s="103" t="s">
        <v>219</v>
      </c>
      <c r="G23" s="103">
        <v>1</v>
      </c>
      <c r="H23" s="105"/>
      <c r="I23" s="105"/>
      <c r="J23" s="105">
        <v>50</v>
      </c>
      <c r="K23" s="105"/>
      <c r="L23" s="105"/>
      <c r="M23" s="105"/>
      <c r="N23" s="105"/>
      <c r="O23" s="105"/>
      <c r="P23" s="936">
        <f>IFERROR(IF(VLOOKUP(Table_Shelter[[#This Row],[CampName]],CL,5,0)&lt;Table_Shelter[[#This Row],[HH Covered2]],VLOOKUP(Table_Shelter[[#This Row],[CampName]],CL,5,0),Table_Shelter[[#This Row],[HH Covered2]]),"")</f>
        <v>0</v>
      </c>
      <c r="Q23" s="104">
        <f>IF(Table_Shelter[[#This Row],[Status]]="Open",IF(W23="NO",Table_Shelter[[#This Row],[HH per Shelter]]*(Table_Shelter[[#This Row],['# of Temporary Shelter Units Built]]+Table_Shelter[[#This Row],['# of Temporary Shelter Under  Construction]]+Table_Shelter[[#This Row],['# of Permanent House Under Construction]]),0),0)</f>
        <v>0</v>
      </c>
      <c r="R23" s="104"/>
      <c r="S23" s="104"/>
      <c r="T23" s="104" t="str">
        <f>IFERROR(VLOOKUP(Table_Shelter[[#This Row],[CampName]],CL,2,0),"")</f>
        <v>MMR001CMP126</v>
      </c>
      <c r="U23" s="104" t="str">
        <f>IFERROR(VLOOKUP(Table_Shelter[[#This Row],[CampName]],CL,3,0),"")</f>
        <v>Open</v>
      </c>
      <c r="V23" s="241">
        <f>IFERROR(Table_Shelter[[#This Row],[HH Covered]]/VLOOKUP(Table_Shelter[[#This Row],[CampName]],CL,5,0),"")</f>
        <v>0</v>
      </c>
      <c r="W23" s="241" t="s">
        <v>1423</v>
      </c>
      <c r="X23" s="104"/>
    </row>
    <row r="24" spans="1:24" ht="15" customHeight="1" x14ac:dyDescent="0.25">
      <c r="A24" s="722">
        <v>42745</v>
      </c>
      <c r="B24" s="162" t="s">
        <v>451</v>
      </c>
      <c r="C24" s="103" t="s">
        <v>1446</v>
      </c>
      <c r="D24" s="165" t="s">
        <v>380</v>
      </c>
      <c r="E24" s="307" t="s">
        <v>27</v>
      </c>
      <c r="F24" s="162" t="s">
        <v>863</v>
      </c>
      <c r="G24" s="103">
        <v>1</v>
      </c>
      <c r="H24" s="105"/>
      <c r="I24" s="105"/>
      <c r="J24" s="105"/>
      <c r="K24" s="105"/>
      <c r="L24" s="164"/>
      <c r="M24" s="164"/>
      <c r="N24" s="164"/>
      <c r="O24" s="164"/>
      <c r="P24" s="936">
        <f>IFERROR(IF(VLOOKUP(Table_Shelter[[#This Row],[CampName]],CL,5,0)&lt;Table_Shelter[[#This Row],[HH Covered2]],VLOOKUP(Table_Shelter[[#This Row],[CampName]],CL,5,0),Table_Shelter[[#This Row],[HH Covered2]]),"")</f>
        <v>0</v>
      </c>
      <c r="Q24" s="104">
        <f>IF(Table_Shelter[[#This Row],[Status]]="Open",IF(W24="NO",Table_Shelter[[#This Row],[HH per Shelter]]*(Table_Shelter[[#This Row],['# of Temporary Shelter Units Built]]+Table_Shelter[[#This Row],['# of Temporary Shelter Under  Construction]]+Table_Shelter[[#This Row],['# of Permanent House Under Construction]]),0),0)</f>
        <v>0</v>
      </c>
      <c r="R24" s="104">
        <v>31</v>
      </c>
      <c r="S24" s="164"/>
      <c r="T24" s="164" t="str">
        <f>IFERROR(VLOOKUP(Table_Shelter[[#This Row],[CampName]],CL,2,0),"")</f>
        <v>MMR001CMP210</v>
      </c>
      <c r="U24" s="164" t="str">
        <f>IFERROR(VLOOKUP(Table_Shelter[[#This Row],[CampName]],CL,3,0),"")</f>
        <v>Open</v>
      </c>
      <c r="V24" s="240">
        <f>IFERROR(Table_Shelter[[#This Row],[HH Covered]]/VLOOKUP(Table_Shelter[[#This Row],[CampName]],CL,5,0),"")</f>
        <v>0</v>
      </c>
      <c r="W24" s="240" t="s">
        <v>1292</v>
      </c>
      <c r="X24" s="164"/>
    </row>
    <row r="25" spans="1:24" ht="15" customHeight="1" x14ac:dyDescent="0.25">
      <c r="A25" s="722">
        <v>42745</v>
      </c>
      <c r="B25" s="103" t="s">
        <v>451</v>
      </c>
      <c r="C25" s="103" t="s">
        <v>1446</v>
      </c>
      <c r="D25" s="165" t="s">
        <v>380</v>
      </c>
      <c r="E25" s="170" t="s">
        <v>237</v>
      </c>
      <c r="F25" s="162" t="s">
        <v>271</v>
      </c>
      <c r="G25" s="103">
        <v>1</v>
      </c>
      <c r="H25" s="105"/>
      <c r="I25" s="105"/>
      <c r="J25" s="105"/>
      <c r="K25" s="105"/>
      <c r="L25" s="105"/>
      <c r="M25" s="105"/>
      <c r="N25" s="105"/>
      <c r="O25" s="105"/>
      <c r="P25" s="936">
        <f>IFERROR(IF(VLOOKUP(Table_Shelter[[#This Row],[CampName]],CL,5,0)&lt;Table_Shelter[[#This Row],[HH Covered2]],VLOOKUP(Table_Shelter[[#This Row],[CampName]],CL,5,0),Table_Shelter[[#This Row],[HH Covered2]]),"")</f>
        <v>0</v>
      </c>
      <c r="Q25" s="104">
        <f>IF(Table_Shelter[[#This Row],[Status]]="Open",IF(W25="NO",Table_Shelter[[#This Row],[HH per Shelter]]*(Table_Shelter[[#This Row],['# of Temporary Shelter Units Built]]+Table_Shelter[[#This Row],['# of Temporary Shelter Under  Construction]]+Table_Shelter[[#This Row],['# of Permanent House Under Construction]]),0),0)</f>
        <v>0</v>
      </c>
      <c r="R25" s="104">
        <v>30</v>
      </c>
      <c r="S25" s="104"/>
      <c r="T25" s="104" t="str">
        <f>IFERROR(VLOOKUP(Table_Shelter[[#This Row],[CampName]],CL,2,0),"")</f>
        <v>MMR001CMP024</v>
      </c>
      <c r="U25" s="104" t="str">
        <f>IFERROR(VLOOKUP(Table_Shelter[[#This Row],[CampName]],CL,3,0),"")</f>
        <v>Open</v>
      </c>
      <c r="V25" s="241">
        <f>IFERROR(Table_Shelter[[#This Row],[HH Covered]]/VLOOKUP(Table_Shelter[[#This Row],[CampName]],CL,5,0),"")</f>
        <v>0</v>
      </c>
      <c r="W25" s="241" t="s">
        <v>1292</v>
      </c>
      <c r="X25" s="104"/>
    </row>
    <row r="26" spans="1:24" ht="15" customHeight="1" x14ac:dyDescent="0.25">
      <c r="A26" s="722">
        <v>42745</v>
      </c>
      <c r="B26" s="103" t="s">
        <v>451</v>
      </c>
      <c r="C26" s="103" t="s">
        <v>1446</v>
      </c>
      <c r="D26" s="165" t="s">
        <v>380</v>
      </c>
      <c r="E26" s="170" t="s">
        <v>27</v>
      </c>
      <c r="F26" s="162" t="s">
        <v>1017</v>
      </c>
      <c r="G26" s="103">
        <v>1</v>
      </c>
      <c r="H26" s="105"/>
      <c r="I26" s="105"/>
      <c r="J26" s="105"/>
      <c r="K26" s="105"/>
      <c r="L26" s="105"/>
      <c r="M26" s="105"/>
      <c r="N26" s="105"/>
      <c r="O26" s="105"/>
      <c r="P26" s="936">
        <f>IFERROR(IF(VLOOKUP(Table_Shelter[[#This Row],[CampName]],CL,5,0)&lt;Table_Shelter[[#This Row],[HH Covered2]],VLOOKUP(Table_Shelter[[#This Row],[CampName]],CL,5,0),Table_Shelter[[#This Row],[HH Covered2]]),"")</f>
        <v>0</v>
      </c>
      <c r="Q26" s="104">
        <f>IF(Table_Shelter[[#This Row],[Status]]="Open",IF(W26="NO",Table_Shelter[[#This Row],[HH per Shelter]]*(Table_Shelter[[#This Row],['# of Temporary Shelter Units Built]]+Table_Shelter[[#This Row],['# of Temporary Shelter Under  Construction]]+Table_Shelter[[#This Row],['# of Permanent House Under Construction]]),0),0)</f>
        <v>0</v>
      </c>
      <c r="R26" s="104">
        <v>10</v>
      </c>
      <c r="S26" s="104"/>
      <c r="T26" s="104" t="str">
        <f>IFERROR(VLOOKUP(Table_Shelter[[#This Row],[CampName]],CL,2,0),"")</f>
        <v>MMR001CMP225</v>
      </c>
      <c r="U26" s="104" t="str">
        <f>IFERROR(VLOOKUP(Table_Shelter[[#This Row],[CampName]],CL,3,0),"")</f>
        <v>Open</v>
      </c>
      <c r="V26" s="241">
        <f>IFERROR(Table_Shelter[[#This Row],[HH Covered]]/VLOOKUP(Table_Shelter[[#This Row],[CampName]],CL,5,0),"")</f>
        <v>0</v>
      </c>
      <c r="W26" s="241" t="s">
        <v>1292</v>
      </c>
      <c r="X26" s="104"/>
    </row>
    <row r="27" spans="1:24" ht="15" customHeight="1" x14ac:dyDescent="0.25">
      <c r="A27" s="723">
        <v>42745</v>
      </c>
      <c r="B27" s="162" t="s">
        <v>451</v>
      </c>
      <c r="C27" s="103" t="s">
        <v>1446</v>
      </c>
      <c r="D27" s="169" t="s">
        <v>380</v>
      </c>
      <c r="E27" s="307" t="s">
        <v>310</v>
      </c>
      <c r="F27" s="162" t="s">
        <v>334</v>
      </c>
      <c r="G27" s="103">
        <v>1</v>
      </c>
      <c r="H27" s="103"/>
      <c r="I27" s="103"/>
      <c r="J27" s="103">
        <v>130</v>
      </c>
      <c r="K27" s="103">
        <v>70</v>
      </c>
      <c r="L27" s="102"/>
      <c r="M27" s="162"/>
      <c r="N27" s="162"/>
      <c r="O27" s="162"/>
      <c r="P27" s="934">
        <f>IFERROR(IF(VLOOKUP(Table_Shelter[[#This Row],[CampName]],CL,5,0)&lt;Table_Shelter[[#This Row],[HH Covered2]],VLOOKUP(Table_Shelter[[#This Row],[CampName]],CL,5,0),Table_Shelter[[#This Row],[HH Covered2]]),"")</f>
        <v>0</v>
      </c>
      <c r="Q27" s="104">
        <f>IF(Table_Shelter[[#This Row],[Status]]="Open",IF(W27="NO",Table_Shelter[[#This Row],[HH per Shelter]]*(Table_Shelter[[#This Row],['# of Temporary Shelter Units Built]]+Table_Shelter[[#This Row],['# of Temporary Shelter Under  Construction]]+Table_Shelter[[#This Row],['# of Permanent House Under Construction]]),0),0)</f>
        <v>0</v>
      </c>
      <c r="R27" s="102"/>
      <c r="S27" s="102"/>
      <c r="T27" s="104" t="str">
        <f>IFERROR(VLOOKUP(Table_Shelter[[#This Row],[CampName]],CL,2,0),"")</f>
        <v>MMR001CMP113</v>
      </c>
      <c r="U27" s="104" t="str">
        <f>IFERROR(VLOOKUP(Table_Shelter[[#This Row],[CampName]],CL,3,0),"")</f>
        <v>Open</v>
      </c>
      <c r="V27" s="240">
        <f>IFERROR(Table_Shelter[[#This Row],[HH Covered]]/VLOOKUP(Table_Shelter[[#This Row],[CampName]],CL,5,0),"")</f>
        <v>0</v>
      </c>
      <c r="W27" s="241" t="s">
        <v>1291</v>
      </c>
      <c r="X27" s="104"/>
    </row>
    <row r="28" spans="1:24" ht="15" customHeight="1" x14ac:dyDescent="0.25">
      <c r="A28" s="547">
        <v>42745</v>
      </c>
      <c r="B28" s="103" t="s">
        <v>937</v>
      </c>
      <c r="C28" s="103" t="s">
        <v>504</v>
      </c>
      <c r="D28" s="169" t="s">
        <v>380</v>
      </c>
      <c r="E28" s="170" t="s">
        <v>237</v>
      </c>
      <c r="F28" s="103" t="s">
        <v>265</v>
      </c>
      <c r="G28" s="103">
        <v>1</v>
      </c>
      <c r="H28" s="105"/>
      <c r="I28" s="105"/>
      <c r="J28" s="105"/>
      <c r="K28" s="105"/>
      <c r="L28" s="105"/>
      <c r="M28" s="105"/>
      <c r="N28" s="105"/>
      <c r="O28" s="105"/>
      <c r="P28" s="936">
        <f>IFERROR(IF(VLOOKUP(Table_Shelter[[#This Row],[CampName]],CL,5,0)&lt;Table_Shelter[[#This Row],[HH Covered2]],VLOOKUP(Table_Shelter[[#This Row],[CampName]],CL,5,0),Table_Shelter[[#This Row],[HH Covered2]]),"")</f>
        <v>0</v>
      </c>
      <c r="Q28" s="104">
        <f>IF(Table_Shelter[[#This Row],[Status]]="Open",IF(W28="NO",Table_Shelter[[#This Row],[HH per Shelter]]*(Table_Shelter[[#This Row],['# of Temporary Shelter Units Built]]+Table_Shelter[[#This Row],['# of Temporary Shelter Under  Construction]]+Table_Shelter[[#This Row],['# of Permanent House Under Construction]]),0),0)</f>
        <v>0</v>
      </c>
      <c r="R28" s="104">
        <v>10</v>
      </c>
      <c r="S28" s="104"/>
      <c r="T28" s="104" t="str">
        <f>IFERROR(VLOOKUP(Table_Shelter[[#This Row],[CampName]],CL,2,0),"")</f>
        <v>MMR001CMP021</v>
      </c>
      <c r="U28" s="104" t="str">
        <f>IFERROR(VLOOKUP(Table_Shelter[[#This Row],[CampName]],CL,3,0),"")</f>
        <v>Open</v>
      </c>
      <c r="V28" s="241">
        <f>IFERROR(Table_Shelter[[#This Row],[HH Covered]]/VLOOKUP(Table_Shelter[[#This Row],[CampName]],CL,5,0),"")</f>
        <v>0</v>
      </c>
      <c r="W28" s="241" t="s">
        <v>1087</v>
      </c>
      <c r="X28" s="104"/>
    </row>
    <row r="29" spans="1:24" ht="15" customHeight="1" x14ac:dyDescent="0.25">
      <c r="A29" s="722">
        <v>42745</v>
      </c>
      <c r="B29" s="103" t="s">
        <v>937</v>
      </c>
      <c r="C29" s="103" t="s">
        <v>504</v>
      </c>
      <c r="D29" s="169" t="s">
        <v>380</v>
      </c>
      <c r="E29" s="170" t="s">
        <v>526</v>
      </c>
      <c r="F29" s="103" t="s">
        <v>41</v>
      </c>
      <c r="G29" s="103">
        <v>1</v>
      </c>
      <c r="H29" s="105"/>
      <c r="I29" s="105"/>
      <c r="J29" s="105"/>
      <c r="K29" s="105"/>
      <c r="L29" s="105"/>
      <c r="M29" s="105"/>
      <c r="N29" s="105"/>
      <c r="O29" s="105"/>
      <c r="P29" s="936">
        <f>IFERROR(IF(VLOOKUP(Table_Shelter[[#This Row],[CampName]],CL,5,0)&lt;Table_Shelter[[#This Row],[HH Covered2]],VLOOKUP(Table_Shelter[[#This Row],[CampName]],CL,5,0),Table_Shelter[[#This Row],[HH Covered2]]),"")</f>
        <v>0</v>
      </c>
      <c r="Q29" s="104">
        <f>IF(Table_Shelter[[#This Row],[Status]]="Open",IF(W29="NO",Table_Shelter[[#This Row],[HH per Shelter]]*(Table_Shelter[[#This Row],['# of Temporary Shelter Units Built]]+Table_Shelter[[#This Row],['# of Temporary Shelter Under  Construction]]+Table_Shelter[[#This Row],['# of Permanent House Under Construction]]),0),0)</f>
        <v>0</v>
      </c>
      <c r="R29" s="104">
        <v>20</v>
      </c>
      <c r="S29" s="104"/>
      <c r="T29" s="104" t="str">
        <f>IFERROR(VLOOKUP(Table_Shelter[[#This Row],[CampName]],CL,2,0),"")</f>
        <v>MMR001CMP176</v>
      </c>
      <c r="U29" s="104" t="str">
        <f>IFERROR(VLOOKUP(Table_Shelter[[#This Row],[CampName]],CL,3,0),"")</f>
        <v>Open</v>
      </c>
      <c r="V29" s="241">
        <f>IFERROR(Table_Shelter[[#This Row],[HH Covered]]/VLOOKUP(Table_Shelter[[#This Row],[CampName]],CL,5,0),"")</f>
        <v>0</v>
      </c>
      <c r="W29" s="241" t="s">
        <v>1423</v>
      </c>
      <c r="X29" s="104"/>
    </row>
    <row r="30" spans="1:24" ht="15" customHeight="1" x14ac:dyDescent="0.25">
      <c r="A30" s="722">
        <v>42745</v>
      </c>
      <c r="B30" s="103" t="s">
        <v>937</v>
      </c>
      <c r="C30" s="103" t="s">
        <v>504</v>
      </c>
      <c r="D30" s="169" t="s">
        <v>380</v>
      </c>
      <c r="E30" s="170" t="s">
        <v>526</v>
      </c>
      <c r="F30" s="103" t="s">
        <v>72</v>
      </c>
      <c r="G30" s="103">
        <v>1</v>
      </c>
      <c r="H30" s="105"/>
      <c r="I30" s="105"/>
      <c r="J30" s="105"/>
      <c r="K30" s="105"/>
      <c r="L30" s="105"/>
      <c r="M30" s="105"/>
      <c r="N30" s="105"/>
      <c r="O30" s="105"/>
      <c r="P30" s="936">
        <f>IFERROR(IF(VLOOKUP(Table_Shelter[[#This Row],[CampName]],CL,5,0)&lt;Table_Shelter[[#This Row],[HH Covered2]],VLOOKUP(Table_Shelter[[#This Row],[CampName]],CL,5,0),Table_Shelter[[#This Row],[HH Covered2]]),"")</f>
        <v>0</v>
      </c>
      <c r="Q30" s="104">
        <f>IF(Table_Shelter[[#This Row],[Status]]="Open",IF(W30="NO",Table_Shelter[[#This Row],[HH per Shelter]]*(Table_Shelter[[#This Row],['# of Temporary Shelter Units Built]]+Table_Shelter[[#This Row],['# of Temporary Shelter Under  Construction]]+Table_Shelter[[#This Row],['# of Permanent House Under Construction]]),0),0)</f>
        <v>0</v>
      </c>
      <c r="R30" s="104">
        <v>5</v>
      </c>
      <c r="S30" s="104"/>
      <c r="T30" s="104" t="str">
        <f>IFERROR(VLOOKUP(Table_Shelter[[#This Row],[CampName]],CL,2,0),"")</f>
        <v>MMR001CMP109</v>
      </c>
      <c r="U30" s="104" t="str">
        <f>IFERROR(VLOOKUP(Table_Shelter[[#This Row],[CampName]],CL,3,0),"")</f>
        <v>Open</v>
      </c>
      <c r="V30" s="241">
        <f>IFERROR(Table_Shelter[[#This Row],[HH Covered]]/VLOOKUP(Table_Shelter[[#This Row],[CampName]],CL,5,0),"")</f>
        <v>0</v>
      </c>
      <c r="W30" s="241" t="s">
        <v>1423</v>
      </c>
      <c r="X30" s="104"/>
    </row>
    <row r="31" spans="1:24" ht="15" customHeight="1" x14ac:dyDescent="0.25">
      <c r="A31" s="547">
        <v>42745</v>
      </c>
      <c r="B31" s="103" t="s">
        <v>937</v>
      </c>
      <c r="C31" s="103" t="s">
        <v>504</v>
      </c>
      <c r="D31" s="169" t="s">
        <v>380</v>
      </c>
      <c r="E31" s="170" t="s">
        <v>526</v>
      </c>
      <c r="F31" s="103" t="s">
        <v>76</v>
      </c>
      <c r="G31" s="103">
        <v>1</v>
      </c>
      <c r="H31" s="105"/>
      <c r="I31" s="105"/>
      <c r="J31" s="105"/>
      <c r="K31" s="105"/>
      <c r="L31" s="105"/>
      <c r="M31" s="105"/>
      <c r="N31" s="105"/>
      <c r="O31" s="105"/>
      <c r="P31" s="936">
        <f>IFERROR(IF(VLOOKUP(Table_Shelter[[#This Row],[CampName]],CL,5,0)&lt;Table_Shelter[[#This Row],[HH Covered2]],VLOOKUP(Table_Shelter[[#This Row],[CampName]],CL,5,0),Table_Shelter[[#This Row],[HH Covered2]]),"")</f>
        <v>0</v>
      </c>
      <c r="Q31" s="104">
        <f>IF(Table_Shelter[[#This Row],[Status]]="Open",IF(W31="NO",Table_Shelter[[#This Row],[HH per Shelter]]*(Table_Shelter[[#This Row],['# of Temporary Shelter Units Built]]+Table_Shelter[[#This Row],['# of Temporary Shelter Under  Construction]]+Table_Shelter[[#This Row],['# of Permanent House Under Construction]]),0),0)</f>
        <v>0</v>
      </c>
      <c r="R31" s="104">
        <v>20</v>
      </c>
      <c r="S31" s="104"/>
      <c r="T31" s="104" t="str">
        <f>IFERROR(VLOOKUP(Table_Shelter[[#This Row],[CampName]],CL,2,0),"")</f>
        <v>MMR001CMP174</v>
      </c>
      <c r="U31" s="104" t="str">
        <f>IFERROR(VLOOKUP(Table_Shelter[[#This Row],[CampName]],CL,3,0),"")</f>
        <v>Open</v>
      </c>
      <c r="V31" s="241">
        <f>IFERROR(Table_Shelter[[#This Row],[HH Covered]]/VLOOKUP(Table_Shelter[[#This Row],[CampName]],CL,5,0),"")</f>
        <v>0</v>
      </c>
      <c r="W31" s="241" t="s">
        <v>1423</v>
      </c>
      <c r="X31" s="104"/>
    </row>
    <row r="32" spans="1:24" ht="15" customHeight="1" x14ac:dyDescent="0.25">
      <c r="A32" s="678">
        <v>42745</v>
      </c>
      <c r="B32" s="103" t="s">
        <v>937</v>
      </c>
      <c r="C32" s="103" t="s">
        <v>504</v>
      </c>
      <c r="D32" s="169" t="s">
        <v>380</v>
      </c>
      <c r="E32" s="170" t="s">
        <v>310</v>
      </c>
      <c r="F32" s="103" t="s">
        <v>318</v>
      </c>
      <c r="G32" s="103">
        <v>1</v>
      </c>
      <c r="H32" s="105"/>
      <c r="I32" s="105"/>
      <c r="J32" s="105">
        <v>10</v>
      </c>
      <c r="K32" s="105"/>
      <c r="L32" s="105"/>
      <c r="M32" s="105"/>
      <c r="N32" s="105"/>
      <c r="O32" s="105"/>
      <c r="P32" s="936">
        <f>IFERROR(IF(VLOOKUP(Table_Shelter[[#This Row],[CampName]],CL,5,0)&lt;Table_Shelter[[#This Row],[HH Covered2]],VLOOKUP(Table_Shelter[[#This Row],[CampName]],CL,5,0),Table_Shelter[[#This Row],[HH Covered2]]),"")</f>
        <v>0</v>
      </c>
      <c r="Q32" s="104">
        <f>IF(Table_Shelter[[#This Row],[Status]]="Open",IF(W32="NO",Table_Shelter[[#This Row],[HH per Shelter]]*(Table_Shelter[[#This Row],['# of Temporary Shelter Units Built]]+Table_Shelter[[#This Row],['# of Temporary Shelter Under  Construction]]+Table_Shelter[[#This Row],['# of Permanent House Under Construction]]),0),0)</f>
        <v>0</v>
      </c>
      <c r="R32" s="104">
        <v>20</v>
      </c>
      <c r="S32" s="104"/>
      <c r="T32" s="104" t="str">
        <f>IFERROR(VLOOKUP(Table_Shelter[[#This Row],[CampName]],CL,2,0),"")</f>
        <v>MMR001CMP032</v>
      </c>
      <c r="U32" s="104" t="str">
        <f>IFERROR(VLOOKUP(Table_Shelter[[#This Row],[CampName]],CL,3,0),"")</f>
        <v>Open</v>
      </c>
      <c r="V32" s="241">
        <f>IFERROR(Table_Shelter[[#This Row],[HH Covered]]/VLOOKUP(Table_Shelter[[#This Row],[CampName]],CL,5,0),"")</f>
        <v>0</v>
      </c>
      <c r="W32" s="241" t="s">
        <v>1423</v>
      </c>
      <c r="X32" s="104"/>
    </row>
    <row r="33" spans="1:119" ht="15" customHeight="1" x14ac:dyDescent="0.25">
      <c r="A33" s="547">
        <v>42745</v>
      </c>
      <c r="B33" s="103" t="s">
        <v>937</v>
      </c>
      <c r="C33" s="103" t="s">
        <v>504</v>
      </c>
      <c r="D33" s="169" t="s">
        <v>380</v>
      </c>
      <c r="E33" s="170" t="s">
        <v>27</v>
      </c>
      <c r="F33" s="103" t="s">
        <v>365</v>
      </c>
      <c r="G33" s="103">
        <v>1</v>
      </c>
      <c r="H33" s="105"/>
      <c r="I33" s="105"/>
      <c r="J33" s="105">
        <v>20</v>
      </c>
      <c r="K33" s="105">
        <v>10</v>
      </c>
      <c r="L33" s="105"/>
      <c r="M33" s="105"/>
      <c r="N33" s="105"/>
      <c r="O33" s="105"/>
      <c r="P33" s="936">
        <f>IFERROR(IF(VLOOKUP(Table_Shelter[[#This Row],[CampName]],CL,5,0)&lt;Table_Shelter[[#This Row],[HH Covered2]],VLOOKUP(Table_Shelter[[#This Row],[CampName]],CL,5,0),Table_Shelter[[#This Row],[HH Covered2]]),"")</f>
        <v>0</v>
      </c>
      <c r="Q33" s="104">
        <f>IF(Table_Shelter[[#This Row],[Status]]="Open",IF(W33="NO",Table_Shelter[[#This Row],[HH per Shelter]]*(Table_Shelter[[#This Row],['# of Temporary Shelter Units Built]]+Table_Shelter[[#This Row],['# of Temporary Shelter Under  Construction]]+Table_Shelter[[#This Row],['# of Permanent House Under Construction]]),0),0)</f>
        <v>0</v>
      </c>
      <c r="R33" s="104">
        <v>20</v>
      </c>
      <c r="S33" s="104"/>
      <c r="T33" s="104" t="str">
        <f>IFERROR(VLOOKUP(Table_Shelter[[#This Row],[CampName]],CL,2,0),"")</f>
        <v>MMR001CMP195</v>
      </c>
      <c r="U33" s="104" t="str">
        <f>IFERROR(VLOOKUP(Table_Shelter[[#This Row],[CampName]],CL,3,0),"")</f>
        <v>Open</v>
      </c>
      <c r="V33" s="241">
        <f>IFERROR(Table_Shelter[[#This Row],[HH Covered]]/VLOOKUP(Table_Shelter[[#This Row],[CampName]],CL,5,0),"")</f>
        <v>0</v>
      </c>
      <c r="W33" s="241" t="s">
        <v>1423</v>
      </c>
      <c r="X33" s="104" t="s">
        <v>1554</v>
      </c>
    </row>
    <row r="34" spans="1:119" ht="15" customHeight="1" x14ac:dyDescent="0.25">
      <c r="A34" s="547">
        <v>42745</v>
      </c>
      <c r="B34" s="103" t="s">
        <v>937</v>
      </c>
      <c r="C34" s="103" t="s">
        <v>504</v>
      </c>
      <c r="D34" s="169" t="s">
        <v>380</v>
      </c>
      <c r="E34" s="170" t="s">
        <v>27</v>
      </c>
      <c r="F34" s="103" t="s">
        <v>28</v>
      </c>
      <c r="G34" s="103">
        <v>1</v>
      </c>
      <c r="H34" s="105"/>
      <c r="I34" s="105"/>
      <c r="J34" s="105">
        <v>5</v>
      </c>
      <c r="K34" s="105"/>
      <c r="L34" s="105"/>
      <c r="M34" s="105"/>
      <c r="N34" s="105"/>
      <c r="O34" s="105"/>
      <c r="P34" s="936">
        <f>IFERROR(IF(VLOOKUP(Table_Shelter[[#This Row],[CampName]],CL,5,0)&lt;Table_Shelter[[#This Row],[HH Covered2]],VLOOKUP(Table_Shelter[[#This Row],[CampName]],CL,5,0),Table_Shelter[[#This Row],[HH Covered2]]),"")</f>
        <v>0</v>
      </c>
      <c r="Q34" s="104">
        <f>IF(Table_Shelter[[#This Row],[Status]]="Open",IF(W34="NO",Table_Shelter[[#This Row],[HH per Shelter]]*(Table_Shelter[[#This Row],['# of Temporary Shelter Units Built]]+Table_Shelter[[#This Row],['# of Temporary Shelter Under  Construction]]+Table_Shelter[[#This Row],['# of Permanent House Under Construction]]),0),0)</f>
        <v>0</v>
      </c>
      <c r="R34" s="104">
        <v>30</v>
      </c>
      <c r="S34" s="104"/>
      <c r="T34" s="104" t="str">
        <f>IFERROR(VLOOKUP(Table_Shelter[[#This Row],[CampName]],CL,2,0),"")</f>
        <v>MMR001CMP042</v>
      </c>
      <c r="U34" s="104" t="str">
        <f>IFERROR(VLOOKUP(Table_Shelter[[#This Row],[CampName]],CL,3,0),"")</f>
        <v>Open</v>
      </c>
      <c r="V34" s="241">
        <f>IFERROR(Table_Shelter[[#This Row],[HH Covered]]/VLOOKUP(Table_Shelter[[#This Row],[CampName]],CL,5,0),"")</f>
        <v>0</v>
      </c>
      <c r="W34" s="241" t="s">
        <v>1423</v>
      </c>
      <c r="X34" s="104"/>
    </row>
    <row r="35" spans="1:119" ht="15" customHeight="1" x14ac:dyDescent="0.25">
      <c r="A35" s="547">
        <v>42745</v>
      </c>
      <c r="B35" s="103" t="s">
        <v>937</v>
      </c>
      <c r="C35" s="103" t="s">
        <v>504</v>
      </c>
      <c r="D35" s="169" t="s">
        <v>380</v>
      </c>
      <c r="E35" s="170" t="s">
        <v>526</v>
      </c>
      <c r="F35" s="103" t="s">
        <v>43</v>
      </c>
      <c r="G35" s="103">
        <v>1</v>
      </c>
      <c r="H35" s="105"/>
      <c r="I35" s="105"/>
      <c r="J35" s="105">
        <v>4</v>
      </c>
      <c r="K35" s="105"/>
      <c r="L35" s="105"/>
      <c r="M35" s="105"/>
      <c r="N35" s="105"/>
      <c r="O35" s="105"/>
      <c r="P35" s="936">
        <f>IFERROR(IF(VLOOKUP(Table_Shelter[[#This Row],[CampName]],CL,5,0)&lt;Table_Shelter[[#This Row],[HH Covered2]],VLOOKUP(Table_Shelter[[#This Row],[CampName]],CL,5,0),Table_Shelter[[#This Row],[HH Covered2]]),"")</f>
        <v>0</v>
      </c>
      <c r="Q35" s="104">
        <f>IF(Table_Shelter[[#This Row],[Status]]="Open",IF(W35="NO",Table_Shelter[[#This Row],[HH per Shelter]]*(Table_Shelter[[#This Row],['# of Temporary Shelter Units Built]]+Table_Shelter[[#This Row],['# of Temporary Shelter Under  Construction]]+Table_Shelter[[#This Row],['# of Permanent House Under Construction]]),0),0)</f>
        <v>0</v>
      </c>
      <c r="R35" s="104"/>
      <c r="S35" s="104"/>
      <c r="T35" s="104" t="str">
        <f>IFERROR(VLOOKUP(Table_Shelter[[#This Row],[CampName]],CL,2,0),"")</f>
        <v>MMR001CMP190</v>
      </c>
      <c r="U35" s="104" t="str">
        <f>IFERROR(VLOOKUP(Table_Shelter[[#This Row],[CampName]],CL,3,0),"")</f>
        <v>Open</v>
      </c>
      <c r="V35" s="241">
        <f>IFERROR(Table_Shelter[[#This Row],[HH Covered]]/VLOOKUP(Table_Shelter[[#This Row],[CampName]],CL,5,0),"")</f>
        <v>0</v>
      </c>
      <c r="W35" s="241" t="s">
        <v>1292</v>
      </c>
      <c r="X35" s="104"/>
    </row>
    <row r="36" spans="1:119" ht="15" customHeight="1" x14ac:dyDescent="0.25">
      <c r="A36" s="678">
        <v>42745</v>
      </c>
      <c r="B36" s="103" t="s">
        <v>937</v>
      </c>
      <c r="C36" s="103" t="s">
        <v>504</v>
      </c>
      <c r="D36" s="169" t="s">
        <v>380</v>
      </c>
      <c r="E36" s="170" t="s">
        <v>526</v>
      </c>
      <c r="F36" s="103" t="s">
        <v>90</v>
      </c>
      <c r="G36" s="103">
        <v>1</v>
      </c>
      <c r="H36" s="105"/>
      <c r="I36" s="105"/>
      <c r="J36" s="105">
        <v>5</v>
      </c>
      <c r="K36" s="105"/>
      <c r="L36" s="105"/>
      <c r="M36" s="105"/>
      <c r="N36" s="105"/>
      <c r="O36" s="105"/>
      <c r="P36" s="936">
        <f>IFERROR(IF(VLOOKUP(Table_Shelter[[#This Row],[CampName]],CL,5,0)&lt;Table_Shelter[[#This Row],[HH Covered2]],VLOOKUP(Table_Shelter[[#This Row],[CampName]],CL,5,0),Table_Shelter[[#This Row],[HH Covered2]]),"")</f>
        <v>0</v>
      </c>
      <c r="Q36" s="104">
        <f>IF(Table_Shelter[[#This Row],[Status]]="Open",IF(W36="NO",Table_Shelter[[#This Row],[HH per Shelter]]*(Table_Shelter[[#This Row],['# of Temporary Shelter Units Built]]+Table_Shelter[[#This Row],['# of Temporary Shelter Under  Construction]]+Table_Shelter[[#This Row],['# of Permanent House Under Construction]]),0),0)</f>
        <v>0</v>
      </c>
      <c r="R36" s="104"/>
      <c r="S36" s="104"/>
      <c r="T36" s="104" t="str">
        <f>IFERROR(VLOOKUP(Table_Shelter[[#This Row],[CampName]],CL,2,0),"")</f>
        <v>MMR001CMP181</v>
      </c>
      <c r="U36" s="104" t="str">
        <f>IFERROR(VLOOKUP(Table_Shelter[[#This Row],[CampName]],CL,3,0),"")</f>
        <v>Open</v>
      </c>
      <c r="V36" s="241">
        <f>IFERROR(Table_Shelter[[#This Row],[HH Covered]]/VLOOKUP(Table_Shelter[[#This Row],[CampName]],CL,5,0),"")</f>
        <v>0</v>
      </c>
      <c r="W36" s="241" t="s">
        <v>1087</v>
      </c>
      <c r="X36" s="104"/>
    </row>
    <row r="37" spans="1:119" ht="15" customHeight="1" x14ac:dyDescent="0.25">
      <c r="A37" s="722">
        <v>42745</v>
      </c>
      <c r="B37" s="103" t="s">
        <v>937</v>
      </c>
      <c r="C37" s="103" t="s">
        <v>504</v>
      </c>
      <c r="D37" s="169" t="s">
        <v>380</v>
      </c>
      <c r="E37" s="170" t="s">
        <v>5</v>
      </c>
      <c r="F37" s="103" t="s">
        <v>18</v>
      </c>
      <c r="G37" s="103">
        <v>1</v>
      </c>
      <c r="H37" s="105"/>
      <c r="I37" s="105"/>
      <c r="J37" s="105">
        <v>5</v>
      </c>
      <c r="K37" s="105"/>
      <c r="L37" s="105"/>
      <c r="M37" s="105"/>
      <c r="N37" s="105"/>
      <c r="O37" s="105"/>
      <c r="P37" s="936">
        <f>IFERROR(IF(VLOOKUP(Table_Shelter[[#This Row],[CampName]],CL,5,0)&lt;Table_Shelter[[#This Row],[HH Covered2]],VLOOKUP(Table_Shelter[[#This Row],[CampName]],CL,5,0),Table_Shelter[[#This Row],[HH Covered2]]),"")</f>
        <v>0</v>
      </c>
      <c r="Q37" s="104">
        <f>IF(Table_Shelter[[#This Row],[Status]]="Open",IF(W37="NO",Table_Shelter[[#This Row],[HH per Shelter]]*(Table_Shelter[[#This Row],['# of Temporary Shelter Units Built]]+Table_Shelter[[#This Row],['# of Temporary Shelter Under  Construction]]+Table_Shelter[[#This Row],['# of Permanent House Under Construction]]),0),0)</f>
        <v>0</v>
      </c>
      <c r="R37" s="104"/>
      <c r="S37" s="104"/>
      <c r="T37" s="104" t="str">
        <f>IFERROR(VLOOKUP(Table_Shelter[[#This Row],[CampName]],CL,2,0),"")</f>
        <v>MMR001CMP049</v>
      </c>
      <c r="U37" s="104" t="str">
        <f>IFERROR(VLOOKUP(Table_Shelter[[#This Row],[CampName]],CL,3,0),"")</f>
        <v>Open</v>
      </c>
      <c r="V37" s="241">
        <f>IFERROR(Table_Shelter[[#This Row],[HH Covered]]/VLOOKUP(Table_Shelter[[#This Row],[CampName]],CL,5,0),"")</f>
        <v>0</v>
      </c>
      <c r="W37" s="241" t="s">
        <v>1423</v>
      </c>
      <c r="X37" s="104"/>
    </row>
    <row r="38" spans="1:119" ht="15" customHeight="1" x14ac:dyDescent="0.25">
      <c r="A38" s="722">
        <v>42664</v>
      </c>
      <c r="B38" s="103" t="s">
        <v>451</v>
      </c>
      <c r="C38" s="103" t="s">
        <v>1427</v>
      </c>
      <c r="D38" s="169" t="s">
        <v>380</v>
      </c>
      <c r="E38" s="170" t="s">
        <v>151</v>
      </c>
      <c r="F38" s="103" t="s">
        <v>154</v>
      </c>
      <c r="G38" s="103">
        <v>1</v>
      </c>
      <c r="H38" s="105"/>
      <c r="I38" s="105"/>
      <c r="J38" s="105"/>
      <c r="K38" s="105"/>
      <c r="L38" s="105"/>
      <c r="M38" s="105"/>
      <c r="N38" s="105"/>
      <c r="O38" s="105"/>
      <c r="P38" s="936">
        <f>IFERROR(IF(VLOOKUP(Table_Shelter[[#This Row],[CampName]],CL,5,0)&lt;Table_Shelter[[#This Row],[HH Covered2]],VLOOKUP(Table_Shelter[[#This Row],[CampName]],CL,5,0),Table_Shelter[[#This Row],[HH Covered2]]),"")</f>
        <v>0</v>
      </c>
      <c r="Q38" s="104">
        <f>IF(Table_Shelter[[#This Row],[Status]]="Open",IF(W38="NO",Table_Shelter[[#This Row],[HH per Shelter]]*(Table_Shelter[[#This Row],['# of Temporary Shelter Units Built]]+Table_Shelter[[#This Row],['# of Temporary Shelter Under  Construction]]+Table_Shelter[[#This Row],['# of Permanent House Under Construction]]),0),0)</f>
        <v>0</v>
      </c>
      <c r="R38" s="104">
        <v>30</v>
      </c>
      <c r="S38" s="104"/>
      <c r="T38" s="104" t="str">
        <f>IFERROR(VLOOKUP(Table_Shelter[[#This Row],[CampName]],CL,2,0),"")</f>
        <v>MMR001CMP132</v>
      </c>
      <c r="U38" s="164" t="str">
        <f>IFERROR(VLOOKUP(Table_Shelter[[#This Row],[CampName]],CL,3,0),"")</f>
        <v>Open</v>
      </c>
      <c r="V38" s="241">
        <f>IFERROR(Table_Shelter[[#This Row],[HH Covered]]/VLOOKUP(Table_Shelter[[#This Row],[CampName]],CL,5,0),"")</f>
        <v>0</v>
      </c>
      <c r="W38" s="241" t="s">
        <v>1292</v>
      </c>
      <c r="X38" s="104"/>
    </row>
    <row r="39" spans="1:119" ht="15" customHeight="1" x14ac:dyDescent="0.25">
      <c r="A39" s="678">
        <v>42664</v>
      </c>
      <c r="B39" s="164" t="s">
        <v>451</v>
      </c>
      <c r="C39" s="164" t="s">
        <v>504</v>
      </c>
      <c r="D39" s="164" t="s">
        <v>380</v>
      </c>
      <c r="E39" s="168" t="s">
        <v>27</v>
      </c>
      <c r="F39" s="164" t="s">
        <v>365</v>
      </c>
      <c r="G39" s="103"/>
      <c r="H39" s="105"/>
      <c r="I39" s="105"/>
      <c r="J39" s="105"/>
      <c r="K39" s="105"/>
      <c r="L39" s="164"/>
      <c r="M39" s="164"/>
      <c r="N39" s="164"/>
      <c r="O39" s="164"/>
      <c r="P39" s="936">
        <f>IFERROR(IF(VLOOKUP(Table_Shelter[[#This Row],[CampName]],CL,5,0)&lt;Table_Shelter[[#This Row],[HH Covered2]],VLOOKUP(Table_Shelter[[#This Row],[CampName]],CL,5,0),Table_Shelter[[#This Row],[HH Covered2]]),"")</f>
        <v>0</v>
      </c>
      <c r="Q39" s="104">
        <f>IF(Table_Shelter[[#This Row],[Status]]="Open",IF(W39="NO",Table_Shelter[[#This Row],[HH per Shelter]]*(Table_Shelter[[#This Row],['# of Temporary Shelter Units Built]]+Table_Shelter[[#This Row],['# of Temporary Shelter Under  Construction]]+Table_Shelter[[#This Row],['# of Permanent House Under Construction]]),0),0)</f>
        <v>0</v>
      </c>
      <c r="R39" s="104">
        <v>30</v>
      </c>
      <c r="S39" s="104"/>
      <c r="T39" s="104" t="str">
        <f>IFERROR(VLOOKUP(Table_Shelter[[#This Row],[CampName]],CL,2,0),"")</f>
        <v>MMR001CMP195</v>
      </c>
      <c r="U39" s="104" t="str">
        <f>IFERROR(VLOOKUP(Table_Shelter[[#This Row],[CampName]],CL,3,0),"")</f>
        <v>Open</v>
      </c>
      <c r="V39" s="241">
        <f>IFERROR(Table_Shelter[[#This Row],[HH Covered]]/VLOOKUP(Table_Shelter[[#This Row],[CampName]],CL,5,0),"")</f>
        <v>0</v>
      </c>
      <c r="W39" s="241" t="s">
        <v>1292</v>
      </c>
      <c r="X39" s="104"/>
    </row>
    <row r="40" spans="1:119" ht="15" customHeight="1" x14ac:dyDescent="0.25">
      <c r="A40" s="722">
        <v>42664</v>
      </c>
      <c r="B40" s="103" t="s">
        <v>451</v>
      </c>
      <c r="C40" s="103" t="s">
        <v>504</v>
      </c>
      <c r="D40" s="169" t="s">
        <v>380</v>
      </c>
      <c r="E40" s="170" t="s">
        <v>237</v>
      </c>
      <c r="F40" s="103" t="s">
        <v>263</v>
      </c>
      <c r="G40" s="103"/>
      <c r="H40" s="105"/>
      <c r="I40" s="105"/>
      <c r="J40" s="105"/>
      <c r="K40" s="105"/>
      <c r="L40" s="105"/>
      <c r="M40" s="105"/>
      <c r="N40" s="105"/>
      <c r="O40" s="105"/>
      <c r="P40" s="936">
        <f>IFERROR(IF(VLOOKUP(Table_Shelter[[#This Row],[CampName]],CL,5,0)&lt;Table_Shelter[[#This Row],[HH Covered2]],VLOOKUP(Table_Shelter[[#This Row],[CampName]],CL,5,0),Table_Shelter[[#This Row],[HH Covered2]]),"")</f>
        <v>0</v>
      </c>
      <c r="Q40" s="104">
        <f>IF(Table_Shelter[[#This Row],[Status]]="Open",IF(W40="NO",Table_Shelter[[#This Row],[HH per Shelter]]*(Table_Shelter[[#This Row],['# of Temporary Shelter Units Built]]+Table_Shelter[[#This Row],['# of Temporary Shelter Under  Construction]]+Table_Shelter[[#This Row],['# of Permanent House Under Construction]]),0),0)</f>
        <v>0</v>
      </c>
      <c r="R40" s="104">
        <v>10</v>
      </c>
      <c r="S40" s="104"/>
      <c r="T40" s="104" t="str">
        <f>IFERROR(VLOOKUP(Table_Shelter[[#This Row],[CampName]],CL,2,0),"")</f>
        <v>MMR001CMP020</v>
      </c>
      <c r="U40" s="104" t="str">
        <f>IFERROR(VLOOKUP(Table_Shelter[[#This Row],[CampName]],CL,3,0),"")</f>
        <v>Open</v>
      </c>
      <c r="V40" s="241">
        <f>IFERROR(Table_Shelter[[#This Row],[HH Covered]]/VLOOKUP(Table_Shelter[[#This Row],[CampName]],CL,5,0),"")</f>
        <v>0</v>
      </c>
      <c r="W40" s="241" t="s">
        <v>1292</v>
      </c>
      <c r="X40" s="104"/>
    </row>
    <row r="41" spans="1:119" ht="15" customHeight="1" x14ac:dyDescent="0.25">
      <c r="A41" s="723">
        <v>42664</v>
      </c>
      <c r="B41" s="162" t="s">
        <v>451</v>
      </c>
      <c r="C41" s="162" t="s">
        <v>504</v>
      </c>
      <c r="D41" s="169" t="s">
        <v>380</v>
      </c>
      <c r="E41" s="307" t="s">
        <v>27</v>
      </c>
      <c r="F41" s="162" t="s">
        <v>1098</v>
      </c>
      <c r="G41" s="103">
        <v>1</v>
      </c>
      <c r="H41" s="105"/>
      <c r="I41" s="105"/>
      <c r="J41" s="105"/>
      <c r="K41" s="105"/>
      <c r="L41" s="105"/>
      <c r="M41" s="105"/>
      <c r="N41" s="105"/>
      <c r="O41" s="105"/>
      <c r="P41" s="936">
        <f>IFERROR(IF(VLOOKUP(Table_Shelter[[#This Row],[CampName]],CL,5,0)&lt;Table_Shelter[[#This Row],[HH Covered2]],VLOOKUP(Table_Shelter[[#This Row],[CampName]],CL,5,0),Table_Shelter[[#This Row],[HH Covered2]]),"")</f>
        <v>0</v>
      </c>
      <c r="Q41" s="104">
        <f>IF(Table_Shelter[[#This Row],[Status]]="Open",IF(W41="NO",Table_Shelter[[#This Row],[HH per Shelter]]*(Table_Shelter[[#This Row],['# of Temporary Shelter Units Built]]+Table_Shelter[[#This Row],['# of Temporary Shelter Under  Construction]]+Table_Shelter[[#This Row],['# of Permanent House Under Construction]]),0),0)</f>
        <v>0</v>
      </c>
      <c r="R41" s="104">
        <v>10</v>
      </c>
      <c r="S41" s="104"/>
      <c r="T41" s="104" t="str">
        <f>IFERROR(VLOOKUP(Table_Shelter[[#This Row],[CampName]],CL,2,0),"")</f>
        <v>MMR001CMP042</v>
      </c>
      <c r="U41" s="104" t="str">
        <f>IFERROR(VLOOKUP(Table_Shelter[[#This Row],[CampName]],CL,3,0),"")</f>
        <v>Open</v>
      </c>
      <c r="V41" s="241">
        <f>IFERROR(Table_Shelter[[#This Row],[HH Covered]]/VLOOKUP(Table_Shelter[[#This Row],[CampName]],CL,5,0),"")</f>
        <v>0</v>
      </c>
      <c r="W41" s="241" t="s">
        <v>1087</v>
      </c>
      <c r="X41" s="104"/>
    </row>
    <row r="42" spans="1:119" ht="15" customHeight="1" x14ac:dyDescent="0.25">
      <c r="A42" s="678">
        <v>42664</v>
      </c>
      <c r="B42" s="103" t="s">
        <v>451</v>
      </c>
      <c r="C42" s="103" t="s">
        <v>1427</v>
      </c>
      <c r="D42" s="169" t="s">
        <v>380</v>
      </c>
      <c r="E42" s="170" t="s">
        <v>151</v>
      </c>
      <c r="F42" s="103" t="s">
        <v>198</v>
      </c>
      <c r="G42" s="103">
        <v>1</v>
      </c>
      <c r="H42" s="105"/>
      <c r="I42" s="105"/>
      <c r="J42" s="105">
        <v>40</v>
      </c>
      <c r="K42" s="105">
        <v>40</v>
      </c>
      <c r="L42" s="105"/>
      <c r="M42" s="105"/>
      <c r="N42" s="105"/>
      <c r="O42" s="105"/>
      <c r="P42" s="936">
        <f>IFERROR(IF(VLOOKUP(Table_Shelter[[#This Row],[CampName]],CL,5,0)&lt;Table_Shelter[[#This Row],[HH Covered2]],VLOOKUP(Table_Shelter[[#This Row],[CampName]],CL,5,0),Table_Shelter[[#This Row],[HH Covered2]]),"")</f>
        <v>40</v>
      </c>
      <c r="Q42" s="104">
        <f>IF(Table_Shelter[[#This Row],[Status]]="Open",IF(W42="NO",Table_Shelter[[#This Row],[HH per Shelter]]*(Table_Shelter[[#This Row],['# of Temporary Shelter Units Built]]+Table_Shelter[[#This Row],['# of Temporary Shelter Under  Construction]]+Table_Shelter[[#This Row],['# of Permanent House Under Construction]]),0),0)</f>
        <v>40</v>
      </c>
      <c r="R42" s="104"/>
      <c r="S42" s="104"/>
      <c r="T42" s="104" t="str">
        <f>IFERROR(VLOOKUP(Table_Shelter[[#This Row],[CampName]],CL,2,0),"")</f>
        <v>MMR001CMP128</v>
      </c>
      <c r="U42" s="164" t="str">
        <f>IFERROR(VLOOKUP(Table_Shelter[[#This Row],[CampName]],CL,3,0),"")</f>
        <v>Open</v>
      </c>
      <c r="V42" s="241">
        <f>IFERROR(Table_Shelter[[#This Row],[HH Covered]]/VLOOKUP(Table_Shelter[[#This Row],[CampName]],CL,5,0),"")</f>
        <v>7.3126142595978064E-2</v>
      </c>
      <c r="W42" s="241" t="s">
        <v>1292</v>
      </c>
      <c r="X42" s="104"/>
    </row>
    <row r="43" spans="1:119" ht="15" customHeight="1" x14ac:dyDescent="0.25">
      <c r="A43" s="678">
        <v>42622</v>
      </c>
      <c r="B43" s="103" t="s">
        <v>451</v>
      </c>
      <c r="C43" s="103" t="s">
        <v>459</v>
      </c>
      <c r="D43" s="169" t="s">
        <v>380</v>
      </c>
      <c r="E43" s="170" t="s">
        <v>185</v>
      </c>
      <c r="F43" s="103" t="s">
        <v>229</v>
      </c>
      <c r="G43" s="103">
        <v>1</v>
      </c>
      <c r="H43" s="105"/>
      <c r="I43" s="105"/>
      <c r="J43" s="105"/>
      <c r="K43" s="105"/>
      <c r="L43" s="105"/>
      <c r="M43" s="105"/>
      <c r="N43" s="105"/>
      <c r="O43" s="105"/>
      <c r="P43" s="936">
        <f>IFERROR(IF(VLOOKUP(Table_Shelter[[#This Row],[CampName]],CL,5,0)&lt;Table_Shelter[[#This Row],[HH Covered2]],VLOOKUP(Table_Shelter[[#This Row],[CampName]],CL,5,0),Table_Shelter[[#This Row],[HH Covered2]]),"")</f>
        <v>0</v>
      </c>
      <c r="Q43" s="104">
        <f>IF(Table_Shelter[[#This Row],[Status]]="Open",IF(W43="NO",Table_Shelter[[#This Row],[HH per Shelter]]*(Table_Shelter[[#This Row],['# of Temporary Shelter Units Built]]+Table_Shelter[[#This Row],['# of Temporary Shelter Under  Construction]]+Table_Shelter[[#This Row],['# of Permanent House Under Construction]]),0),0)</f>
        <v>0</v>
      </c>
      <c r="R43" s="104">
        <v>45</v>
      </c>
      <c r="S43" s="104">
        <v>0</v>
      </c>
      <c r="T43" s="104" t="str">
        <f>IFERROR(VLOOKUP(Table_Shelter[[#This Row],[CampName]],CL,2,0),"")</f>
        <v>MMR001CMP072</v>
      </c>
      <c r="U43" s="164" t="str">
        <f>IFERROR(VLOOKUP(Table_Shelter[[#This Row],[CampName]],CL,3,0),"")</f>
        <v>Open</v>
      </c>
      <c r="V43" s="241">
        <f>IFERROR(Table_Shelter[[#This Row],[HH Covered]]/VLOOKUP(Table_Shelter[[#This Row],[CampName]],CL,5,0),"")</f>
        <v>0</v>
      </c>
      <c r="W43" s="241" t="s">
        <v>1423</v>
      </c>
      <c r="X43" s="104"/>
    </row>
    <row r="44" spans="1:119" ht="15" customHeight="1" x14ac:dyDescent="0.25">
      <c r="A44" s="678">
        <v>42622</v>
      </c>
      <c r="B44" s="103" t="s">
        <v>451</v>
      </c>
      <c r="C44" s="103" t="s">
        <v>459</v>
      </c>
      <c r="D44" s="169" t="s">
        <v>380</v>
      </c>
      <c r="E44" s="170" t="s">
        <v>185</v>
      </c>
      <c r="F44" s="103" t="s">
        <v>190</v>
      </c>
      <c r="G44" s="103">
        <v>1</v>
      </c>
      <c r="H44" s="105"/>
      <c r="I44" s="105"/>
      <c r="J44" s="105">
        <v>10</v>
      </c>
      <c r="K44" s="105"/>
      <c r="L44" s="105"/>
      <c r="M44" s="105"/>
      <c r="N44" s="105"/>
      <c r="O44" s="105"/>
      <c r="P44" s="936">
        <f>IFERROR(IF(VLOOKUP(Table_Shelter[[#This Row],[CampName]],CL,5,0)&lt;Table_Shelter[[#This Row],[HH Covered2]],VLOOKUP(Table_Shelter[[#This Row],[CampName]],CL,5,0),Table_Shelter[[#This Row],[HH Covered2]]),"")</f>
        <v>0</v>
      </c>
      <c r="Q44" s="104">
        <f>IF(Table_Shelter[[#This Row],[Status]]="Open",IF(W44="NO",Table_Shelter[[#This Row],[HH per Shelter]]*(Table_Shelter[[#This Row],['# of Temporary Shelter Units Built]]+Table_Shelter[[#This Row],['# of Temporary Shelter Under  Construction]]+Table_Shelter[[#This Row],['# of Permanent House Under Construction]]),0),0)</f>
        <v>0</v>
      </c>
      <c r="R44" s="104"/>
      <c r="S44" s="104"/>
      <c r="T44" s="104" t="str">
        <f>IFERROR(VLOOKUP(Table_Shelter[[#This Row],[CampName]],CL,2,0),"")</f>
        <v>MMR001CMP070</v>
      </c>
      <c r="U44" s="164" t="str">
        <f>IFERROR(VLOOKUP(Table_Shelter[[#This Row],[CampName]],CL,3,0),"")</f>
        <v>Open</v>
      </c>
      <c r="V44" s="241">
        <f>IFERROR(Table_Shelter[[#This Row],[HH Covered]]/VLOOKUP(Table_Shelter[[#This Row],[CampName]],CL,5,0),"")</f>
        <v>0</v>
      </c>
      <c r="W44" s="241" t="s">
        <v>1423</v>
      </c>
      <c r="X44" s="104"/>
    </row>
    <row r="45" spans="1:119" ht="15" customHeight="1" x14ac:dyDescent="0.25">
      <c r="A45" s="678">
        <v>42622</v>
      </c>
      <c r="B45" s="103" t="s">
        <v>451</v>
      </c>
      <c r="C45" s="103" t="s">
        <v>459</v>
      </c>
      <c r="D45" s="169" t="s">
        <v>380</v>
      </c>
      <c r="E45" s="170" t="s">
        <v>5</v>
      </c>
      <c r="F45" s="103" t="s">
        <v>22</v>
      </c>
      <c r="G45" s="103">
        <v>1</v>
      </c>
      <c r="H45" s="105"/>
      <c r="I45" s="105"/>
      <c r="J45" s="105">
        <v>5</v>
      </c>
      <c r="K45" s="105">
        <v>0</v>
      </c>
      <c r="L45" s="105"/>
      <c r="M45" s="105"/>
      <c r="N45" s="105"/>
      <c r="O45" s="105"/>
      <c r="P45" s="936">
        <f>IFERROR(IF(VLOOKUP(Table_Shelter[[#This Row],[CampName]],CL,5,0)&lt;Table_Shelter[[#This Row],[HH Covered2]],VLOOKUP(Table_Shelter[[#This Row],[CampName]],CL,5,0),Table_Shelter[[#This Row],[HH Covered2]]),"")</f>
        <v>0</v>
      </c>
      <c r="Q45" s="104">
        <f>IF(Table_Shelter[[#This Row],[Status]]="Open",IF(W45="NO",Table_Shelter[[#This Row],[HH per Shelter]]*(Table_Shelter[[#This Row],['# of Temporary Shelter Units Built]]+Table_Shelter[[#This Row],['# of Temporary Shelter Under  Construction]]+Table_Shelter[[#This Row],['# of Permanent House Under Construction]]),0),0)</f>
        <v>0</v>
      </c>
      <c r="R45" s="104"/>
      <c r="S45" s="104"/>
      <c r="T45" s="104" t="str">
        <f>IFERROR(VLOOKUP(Table_Shelter[[#This Row],[CampName]],CL,2,0),"")</f>
        <v>MMR001CMP047</v>
      </c>
      <c r="U45" s="164" t="str">
        <f>IFERROR(VLOOKUP(Table_Shelter[[#This Row],[CampName]],CL,3,0),"")</f>
        <v>Open</v>
      </c>
      <c r="V45" s="241">
        <f>IFERROR(Table_Shelter[[#This Row],[HH Covered]]/VLOOKUP(Table_Shelter[[#This Row],[CampName]],CL,5,0),"")</f>
        <v>0</v>
      </c>
      <c r="W45" s="241" t="s">
        <v>1423</v>
      </c>
      <c r="X45" s="104"/>
    </row>
    <row r="46" spans="1:119" ht="15" customHeight="1" x14ac:dyDescent="0.25">
      <c r="A46" s="678">
        <v>42622</v>
      </c>
      <c r="B46" s="103" t="s">
        <v>452</v>
      </c>
      <c r="C46" s="103" t="s">
        <v>459</v>
      </c>
      <c r="D46" s="169" t="s">
        <v>380</v>
      </c>
      <c r="E46" s="170" t="s">
        <v>185</v>
      </c>
      <c r="F46" s="103" t="s">
        <v>225</v>
      </c>
      <c r="G46" s="103">
        <v>1</v>
      </c>
      <c r="H46" s="105"/>
      <c r="I46" s="105"/>
      <c r="J46" s="105">
        <v>41</v>
      </c>
      <c r="K46" s="105"/>
      <c r="L46" s="105"/>
      <c r="M46" s="105"/>
      <c r="N46" s="105"/>
      <c r="O46" s="105"/>
      <c r="P46" s="936">
        <f>IFERROR(IF(VLOOKUP(Table_Shelter[[#This Row],[CampName]],CL,5,0)&lt;Table_Shelter[[#This Row],[HH Covered2]],VLOOKUP(Table_Shelter[[#This Row],[CampName]],CL,5,0),Table_Shelter[[#This Row],[HH Covered2]]),"")</f>
        <v>0</v>
      </c>
      <c r="Q46" s="104">
        <f>IF(Table_Shelter[[#This Row],[Status]]="Open",IF(W46="NO",Table_Shelter[[#This Row],[HH per Shelter]]*(Table_Shelter[[#This Row],['# of Temporary Shelter Units Built]]+Table_Shelter[[#This Row],['# of Temporary Shelter Under  Construction]]+Table_Shelter[[#This Row],['# of Permanent House Under Construction]]),0),0)</f>
        <v>0</v>
      </c>
      <c r="R46" s="104"/>
      <c r="S46" s="104"/>
      <c r="T46" s="104" t="str">
        <f>IFERROR(VLOOKUP(Table_Shelter[[#This Row],[CampName]],CL,2,0),"")</f>
        <v>MMR001CMP073</v>
      </c>
      <c r="U46" s="164" t="str">
        <f>IFERROR(VLOOKUP(Table_Shelter[[#This Row],[CampName]],CL,3,0),"")</f>
        <v>Open</v>
      </c>
      <c r="V46" s="241">
        <f>IFERROR(Table_Shelter[[#This Row],[HH Covered]]/VLOOKUP(Table_Shelter[[#This Row],[CampName]],CL,5,0),"")</f>
        <v>0</v>
      </c>
      <c r="W46" s="241" t="s">
        <v>1423</v>
      </c>
      <c r="X46" s="104" t="s">
        <v>1424</v>
      </c>
    </row>
    <row r="47" spans="1:119" s="137" customFormat="1" ht="15" customHeight="1" x14ac:dyDescent="0.25">
      <c r="A47" s="678">
        <v>42614</v>
      </c>
      <c r="B47" s="103" t="s">
        <v>451</v>
      </c>
      <c r="C47" s="103" t="s">
        <v>1250</v>
      </c>
      <c r="D47" s="169" t="s">
        <v>552</v>
      </c>
      <c r="E47" s="170" t="s">
        <v>146</v>
      </c>
      <c r="F47" s="103" t="s">
        <v>1097</v>
      </c>
      <c r="G47" s="103">
        <v>1</v>
      </c>
      <c r="H47" s="105">
        <v>30</v>
      </c>
      <c r="I47" s="105"/>
      <c r="J47" s="105"/>
      <c r="K47" s="105"/>
      <c r="L47" s="105"/>
      <c r="M47" s="105"/>
      <c r="N47" s="105"/>
      <c r="O47" s="105"/>
      <c r="P47" s="936">
        <f>IFERROR(IF(VLOOKUP(Table_Shelter[[#This Row],[CampName]],CL,5,0)&lt;Table_Shelter[[#This Row],[HH Covered2]],VLOOKUP(Table_Shelter[[#This Row],[CampName]],CL,5,0),Table_Shelter[[#This Row],[HH Covered2]]),"")</f>
        <v>0</v>
      </c>
      <c r="Q47" s="104">
        <f>IF(Table_Shelter[[#This Row],[Status]]="Open",IF(W47="NO",Table_Shelter[[#This Row],[HH per Shelter]]*(Table_Shelter[[#This Row],['# of Temporary Shelter Units Built]]+Table_Shelter[[#This Row],['# of Temporary Shelter Under  Construction]]+Table_Shelter[[#This Row],['# of Permanent House Under Construction]]),0),0)</f>
        <v>0</v>
      </c>
      <c r="R47" s="104"/>
      <c r="S47" s="104"/>
      <c r="T47" s="104" t="str">
        <f>IFERROR(VLOOKUP(Table_Shelter[[#This Row],[CampName]],CL,2,0),"")</f>
        <v>MMR015CMP217</v>
      </c>
      <c r="U47" s="164" t="str">
        <f>IFERROR(VLOOKUP(Table_Shelter[[#This Row],[CampName]],CL,3,0),"")</f>
        <v>Open</v>
      </c>
      <c r="V47" s="241">
        <f>IFERROR(Table_Shelter[[#This Row],[HH Covered]]/VLOOKUP(Table_Shelter[[#This Row],[CampName]],CL,5,0),"")</f>
        <v>0</v>
      </c>
      <c r="W47" s="241" t="s">
        <v>1292</v>
      </c>
      <c r="X47" s="104"/>
      <c r="Y47" s="374"/>
      <c r="Z47" s="374"/>
      <c r="AA47" s="374"/>
      <c r="AB47" s="374"/>
      <c r="AC47" s="374"/>
      <c r="AD47" s="374"/>
      <c r="AE47" s="374"/>
      <c r="AF47" s="374"/>
      <c r="AG47" s="374"/>
      <c r="AH47" s="374"/>
      <c r="AI47" s="374"/>
      <c r="AJ47" s="374"/>
      <c r="AK47" s="374"/>
      <c r="AL47" s="374"/>
      <c r="AM47" s="374"/>
      <c r="AN47" s="374"/>
      <c r="AO47" s="374"/>
      <c r="AP47" s="374"/>
      <c r="AQ47" s="374"/>
      <c r="AR47" s="374"/>
      <c r="AS47" s="374"/>
      <c r="AT47" s="374"/>
      <c r="AU47" s="374"/>
      <c r="AV47" s="374"/>
      <c r="AW47" s="374"/>
      <c r="AX47" s="374"/>
      <c r="AY47" s="374"/>
      <c r="AZ47" s="374"/>
      <c r="BA47" s="374"/>
      <c r="BB47" s="374"/>
      <c r="BC47" s="374"/>
      <c r="BD47" s="374"/>
      <c r="BE47" s="374"/>
      <c r="BF47" s="374"/>
      <c r="BG47" s="374"/>
      <c r="BH47" s="374"/>
      <c r="BI47" s="374"/>
      <c r="BJ47" s="374"/>
      <c r="BK47" s="374"/>
      <c r="BL47" s="374"/>
      <c r="BM47" s="374"/>
      <c r="BN47" s="374"/>
      <c r="BO47" s="374"/>
      <c r="BP47" s="374"/>
      <c r="BQ47" s="374"/>
      <c r="BR47" s="374"/>
      <c r="BS47" s="374"/>
      <c r="BT47" s="374"/>
      <c r="BU47" s="374"/>
      <c r="BV47" s="374"/>
      <c r="BW47" s="374"/>
      <c r="BX47" s="374"/>
      <c r="BY47" s="374"/>
      <c r="BZ47" s="374"/>
      <c r="CA47" s="374"/>
      <c r="CB47" s="374"/>
      <c r="CC47" s="374"/>
      <c r="CD47" s="374"/>
      <c r="CE47" s="374"/>
      <c r="CF47" s="374"/>
      <c r="CG47" s="37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row>
    <row r="48" spans="1:119" ht="15" customHeight="1" x14ac:dyDescent="0.25">
      <c r="A48" s="722">
        <v>42614</v>
      </c>
      <c r="B48" s="103" t="s">
        <v>451</v>
      </c>
      <c r="C48" s="103" t="s">
        <v>1250</v>
      </c>
      <c r="D48" s="169" t="s">
        <v>552</v>
      </c>
      <c r="E48" s="170" t="s">
        <v>289</v>
      </c>
      <c r="F48" s="103" t="s">
        <v>374</v>
      </c>
      <c r="G48" s="103">
        <v>1</v>
      </c>
      <c r="H48" s="105">
        <v>20</v>
      </c>
      <c r="I48" s="105"/>
      <c r="J48" s="105"/>
      <c r="K48" s="105"/>
      <c r="L48" s="105"/>
      <c r="M48" s="105"/>
      <c r="N48" s="105"/>
      <c r="O48" s="105"/>
      <c r="P48" s="936">
        <f>IFERROR(IF(VLOOKUP(Table_Shelter[[#This Row],[CampName]],CL,5,0)&lt;Table_Shelter[[#This Row],[HH Covered2]],VLOOKUP(Table_Shelter[[#This Row],[CampName]],CL,5,0),Table_Shelter[[#This Row],[HH Covered2]]),"")</f>
        <v>0</v>
      </c>
      <c r="Q48" s="104">
        <f>IF(Table_Shelter[[#This Row],[Status]]="Open",IF(W48="NO",Table_Shelter[[#This Row],[HH per Shelter]]*(Table_Shelter[[#This Row],['# of Temporary Shelter Units Built]]+Table_Shelter[[#This Row],['# of Temporary Shelter Under  Construction]]+Table_Shelter[[#This Row],['# of Permanent House Under Construction]]),0),0)</f>
        <v>0</v>
      </c>
      <c r="R48" s="104"/>
      <c r="S48" s="104"/>
      <c r="T48" s="104" t="str">
        <f>IFERROR(VLOOKUP(Table_Shelter[[#This Row],[CampName]],CL,2,0),"")</f>
        <v>MMR015CMP003</v>
      </c>
      <c r="U48" s="164" t="str">
        <f>IFERROR(VLOOKUP(Table_Shelter[[#This Row],[CampName]],CL,3,0),"")</f>
        <v>Open</v>
      </c>
      <c r="V48" s="241">
        <f>IFERROR(Table_Shelter[[#This Row],[HH Covered]]/VLOOKUP(Table_Shelter[[#This Row],[CampName]],CL,5,0),"")</f>
        <v>0</v>
      </c>
      <c r="W48" s="241" t="s">
        <v>1292</v>
      </c>
      <c r="X48" s="104"/>
    </row>
    <row r="49" spans="1:24" ht="15" customHeight="1" x14ac:dyDescent="0.25">
      <c r="A49" s="723">
        <v>42571</v>
      </c>
      <c r="B49" s="162" t="s">
        <v>451</v>
      </c>
      <c r="C49" s="162" t="s">
        <v>504</v>
      </c>
      <c r="D49" s="162" t="s">
        <v>380</v>
      </c>
      <c r="E49" s="307" t="s">
        <v>27</v>
      </c>
      <c r="F49" s="162" t="s">
        <v>1098</v>
      </c>
      <c r="G49" s="103"/>
      <c r="H49" s="103"/>
      <c r="I49" s="103"/>
      <c r="J49" s="103"/>
      <c r="K49" s="103"/>
      <c r="L49" s="162"/>
      <c r="M49" s="162"/>
      <c r="N49" s="162"/>
      <c r="O49" s="162"/>
      <c r="P49" s="934">
        <f>IFERROR(IF(VLOOKUP(Table_Shelter[[#This Row],[CampName]],CL,5,0)&lt;Table_Shelter[[#This Row],[HH Covered2]],VLOOKUP(Table_Shelter[[#This Row],[CampName]],CL,5,0),Table_Shelter[[#This Row],[HH Covered2]]),"")</f>
        <v>0</v>
      </c>
      <c r="Q49" s="104">
        <f>IF(Table_Shelter[[#This Row],[Status]]="Open",IF(W49="NO",Table_Shelter[[#This Row],[HH per Shelter]]*(Table_Shelter[[#This Row],['# of Temporary Shelter Units Built]]+Table_Shelter[[#This Row],['# of Temporary Shelter Under  Construction]]+Table_Shelter[[#This Row],['# of Permanent House Under Construction]]),0),0)</f>
        <v>0</v>
      </c>
      <c r="R49" s="102">
        <v>10</v>
      </c>
      <c r="S49" s="102"/>
      <c r="T49" s="104" t="str">
        <f>IFERROR(VLOOKUP(Table_Shelter[[#This Row],[CampName]],CL,2,0),"")</f>
        <v>MMR001CMP042</v>
      </c>
      <c r="U49" s="104" t="str">
        <f>IFERROR(VLOOKUP(Table_Shelter[[#This Row],[CampName]],CL,3,0),"")</f>
        <v>Open</v>
      </c>
      <c r="V49" s="240">
        <f>IFERROR(Table_Shelter[[#This Row],[HH Covered]]/VLOOKUP(Table_Shelter[[#This Row],[CampName]],CL,5,0),"")</f>
        <v>0</v>
      </c>
      <c r="W49" s="241" t="s">
        <v>1292</v>
      </c>
      <c r="X49" s="104"/>
    </row>
    <row r="50" spans="1:24" ht="15" customHeight="1" x14ac:dyDescent="0.25">
      <c r="A50" s="484">
        <v>42569</v>
      </c>
      <c r="B50" s="481" t="s">
        <v>568</v>
      </c>
      <c r="C50" s="409" t="s">
        <v>459</v>
      </c>
      <c r="D50" s="410" t="s">
        <v>380</v>
      </c>
      <c r="E50" s="307" t="s">
        <v>310</v>
      </c>
      <c r="F50" s="408" t="s">
        <v>336</v>
      </c>
      <c r="G50" s="408">
        <v>1</v>
      </c>
      <c r="H50" s="409"/>
      <c r="I50" s="409"/>
      <c r="J50" s="409"/>
      <c r="K50" s="409"/>
      <c r="L50" s="409"/>
      <c r="M50" s="409"/>
      <c r="N50" s="409"/>
      <c r="O50" s="409"/>
      <c r="P50" s="937">
        <f>IFERROR(IF(VLOOKUP(Table_Shelter[[#This Row],[CampName]],CL,5,0)&lt;Table_Shelter[[#This Row],[HH Covered2]],VLOOKUP(Table_Shelter[[#This Row],[CampName]],CL,5,0),Table_Shelter[[#This Row],[HH Covered2]]),"")</f>
        <v>0</v>
      </c>
      <c r="Q50" s="411">
        <f>IF(Table_Shelter[[#This Row],[Status]]="Open",IF(W50="NO",Table_Shelter[[#This Row],[HH per Shelter]]*(Table_Shelter[[#This Row],['# of Temporary Shelter Units Built]]+Table_Shelter[[#This Row],['# of Temporary Shelter Under  Construction]]+Table_Shelter[[#This Row],['# of Permanent House Under Construction]]),0),0)</f>
        <v>0</v>
      </c>
      <c r="R50" s="411">
        <v>18</v>
      </c>
      <c r="S50" s="411">
        <v>18</v>
      </c>
      <c r="T50" s="412" t="str">
        <f>IFERROR(VLOOKUP(Table_Shelter[[#This Row],[CampName]],CL,2,0),"")</f>
        <v>MMR001CMP115</v>
      </c>
      <c r="U50" s="413" t="str">
        <f>IFERROR(VLOOKUP(Table_Shelter[[#This Row],[CampName]],CL,3,0),"")</f>
        <v>Open</v>
      </c>
      <c r="V50" s="414">
        <f>IFERROR(Table_Shelter[[#This Row],[HH Covered]]/VLOOKUP(Table_Shelter[[#This Row],[CampName]],CL,5,0),"")</f>
        <v>0</v>
      </c>
      <c r="W50" s="241" t="s">
        <v>1292</v>
      </c>
      <c r="X50" s="411"/>
    </row>
    <row r="51" spans="1:24" ht="15" customHeight="1" x14ac:dyDescent="0.25">
      <c r="A51" s="485">
        <v>42569</v>
      </c>
      <c r="B51" s="481" t="s">
        <v>568</v>
      </c>
      <c r="C51" s="409" t="s">
        <v>459</v>
      </c>
      <c r="D51" s="410" t="s">
        <v>380</v>
      </c>
      <c r="E51" s="307" t="s">
        <v>27</v>
      </c>
      <c r="F51" s="408" t="s">
        <v>364</v>
      </c>
      <c r="G51" s="408">
        <v>1</v>
      </c>
      <c r="H51" s="409"/>
      <c r="I51" s="409"/>
      <c r="J51" s="409"/>
      <c r="K51" s="409"/>
      <c r="L51" s="409"/>
      <c r="M51" s="409"/>
      <c r="N51" s="409"/>
      <c r="O51" s="409"/>
      <c r="P51" s="937">
        <f>IFERROR(IF(VLOOKUP(Table_Shelter[[#This Row],[CampName]],CL,5,0)&lt;Table_Shelter[[#This Row],[HH Covered2]],VLOOKUP(Table_Shelter[[#This Row],[CampName]],CL,5,0),Table_Shelter[[#This Row],[HH Covered2]]),"")</f>
        <v>0</v>
      </c>
      <c r="Q51" s="411">
        <f>IF(Table_Shelter[[#This Row],[Status]]="Open",IF(W51="NO",Table_Shelter[[#This Row],[HH per Shelter]]*(Table_Shelter[[#This Row],['# of Temporary Shelter Units Built]]+Table_Shelter[[#This Row],['# of Temporary Shelter Under  Construction]]+Table_Shelter[[#This Row],['# of Permanent House Under Construction]]),0),0)</f>
        <v>0</v>
      </c>
      <c r="R51" s="411">
        <v>51</v>
      </c>
      <c r="S51" s="411">
        <v>51</v>
      </c>
      <c r="T51" s="412" t="str">
        <f>IFERROR(VLOOKUP(Table_Shelter[[#This Row],[CampName]],CL,2,0),"")</f>
        <v>MMR001CMP043</v>
      </c>
      <c r="U51" s="413" t="str">
        <f>IFERROR(VLOOKUP(Table_Shelter[[#This Row],[CampName]],CL,3,0),"")</f>
        <v>Open</v>
      </c>
      <c r="V51" s="414">
        <f>IFERROR(Table_Shelter[[#This Row],[HH Covered]]/VLOOKUP(Table_Shelter[[#This Row],[CampName]],CL,5,0),"")</f>
        <v>0</v>
      </c>
      <c r="W51" s="241" t="s">
        <v>1292</v>
      </c>
      <c r="X51" s="411"/>
    </row>
    <row r="52" spans="1:24" ht="15" customHeight="1" x14ac:dyDescent="0.25">
      <c r="A52" s="488">
        <v>42569</v>
      </c>
      <c r="B52" s="473" t="s">
        <v>568</v>
      </c>
      <c r="C52" s="473" t="s">
        <v>459</v>
      </c>
      <c r="D52" s="474" t="s">
        <v>380</v>
      </c>
      <c r="E52" s="475" t="s">
        <v>310</v>
      </c>
      <c r="F52" s="473" t="s">
        <v>1231</v>
      </c>
      <c r="G52" s="476">
        <v>1</v>
      </c>
      <c r="H52" s="477"/>
      <c r="I52" s="477"/>
      <c r="J52" s="477"/>
      <c r="K52" s="477"/>
      <c r="L52" s="478"/>
      <c r="M52" s="478"/>
      <c r="N52" s="478"/>
      <c r="O52" s="478"/>
      <c r="P52" s="938">
        <f>IFERROR(IF(VLOOKUP(Table_Shelter[[#This Row],[CampName]],CL,5,0)&lt;Table_Shelter[[#This Row],[HH Covered2]],VLOOKUP(Table_Shelter[[#This Row],[CampName]],CL,5,0),Table_Shelter[[#This Row],[HH Covered2]]),"")</f>
        <v>0</v>
      </c>
      <c r="Q52" s="479">
        <f>IF(Table_Shelter[[#This Row],[Status]]="Open",IF(W52="NO",Table_Shelter[[#This Row],[HH per Shelter]]*(Table_Shelter[[#This Row],['# of Temporary Shelter Units Built]]+Table_Shelter[[#This Row],['# of Temporary Shelter Under  Construction]]+Table_Shelter[[#This Row],['# of Permanent House Under Construction]]),0),0)</f>
        <v>0</v>
      </c>
      <c r="R52" s="479">
        <v>32</v>
      </c>
      <c r="S52" s="479">
        <v>32</v>
      </c>
      <c r="T52" s="479" t="str">
        <f>IFERROR(VLOOKUP(Table_Shelter[[#This Row],[CampName]],CL,2,0),"")</f>
        <v>MMR001CMP120</v>
      </c>
      <c r="U52" s="479" t="str">
        <f>IFERROR(VLOOKUP(Table_Shelter[[#This Row],[CampName]],CL,3,0),"")</f>
        <v>Open</v>
      </c>
      <c r="V52" s="480">
        <f>IFERROR(Table_Shelter[[#This Row],[HH Covered]]/VLOOKUP(Table_Shelter[[#This Row],[CampName]],CL,5,0),"")</f>
        <v>0</v>
      </c>
      <c r="W52" s="240" t="s">
        <v>1292</v>
      </c>
      <c r="X52" s="479"/>
    </row>
    <row r="53" spans="1:24" ht="15" customHeight="1" x14ac:dyDescent="0.25">
      <c r="A53" s="678">
        <v>42569</v>
      </c>
      <c r="B53" s="162" t="s">
        <v>451</v>
      </c>
      <c r="C53" s="162" t="s">
        <v>459</v>
      </c>
      <c r="D53" s="165" t="s">
        <v>380</v>
      </c>
      <c r="E53" s="307" t="s">
        <v>5</v>
      </c>
      <c r="F53" s="162" t="s">
        <v>22</v>
      </c>
      <c r="G53" s="103">
        <v>1</v>
      </c>
      <c r="H53" s="105"/>
      <c r="I53" s="105"/>
      <c r="J53" s="105"/>
      <c r="K53" s="105"/>
      <c r="L53" s="164"/>
      <c r="M53" s="164"/>
      <c r="N53" s="164"/>
      <c r="O53" s="164"/>
      <c r="P53" s="936">
        <f>IFERROR(IF(VLOOKUP(Table_Shelter[[#This Row],[CampName]],CL,5,0)&lt;Table_Shelter[[#This Row],[HH Covered2]],VLOOKUP(Table_Shelter[[#This Row],[CampName]],CL,5,0),Table_Shelter[[#This Row],[HH Covered2]]),"")</f>
        <v>0</v>
      </c>
      <c r="Q53" s="104">
        <f>IF(Table_Shelter[[#This Row],[Status]]="Open",IF(W53="NO",Table_Shelter[[#This Row],[HH per Shelter]]*(Table_Shelter[[#This Row],['# of Temporary Shelter Units Built]]+Table_Shelter[[#This Row],['# of Temporary Shelter Under  Construction]]+Table_Shelter[[#This Row],['# of Permanent House Under Construction]]),0),0)</f>
        <v>0</v>
      </c>
      <c r="R53" s="104">
        <v>20</v>
      </c>
      <c r="S53" s="104">
        <v>30</v>
      </c>
      <c r="T53" s="164" t="str">
        <f>IFERROR(VLOOKUP(Table_Shelter[[#This Row],[CampName]],CL,2,0),"")</f>
        <v>MMR001CMP047</v>
      </c>
      <c r="U53" s="164" t="str">
        <f>IFERROR(VLOOKUP(Table_Shelter[[#This Row],[CampName]],CL,3,0),"")</f>
        <v>Open</v>
      </c>
      <c r="V53" s="240">
        <f>IFERROR(Table_Shelter[[#This Row],[HH Covered]]/VLOOKUP(Table_Shelter[[#This Row],[CampName]],CL,5,0),"")</f>
        <v>0</v>
      </c>
      <c r="W53" s="240" t="s">
        <v>1292</v>
      </c>
      <c r="X53" s="164"/>
    </row>
    <row r="54" spans="1:24" ht="15" customHeight="1" x14ac:dyDescent="0.25">
      <c r="A54" s="485">
        <v>42569</v>
      </c>
      <c r="B54" s="481" t="s">
        <v>568</v>
      </c>
      <c r="C54" s="409" t="s">
        <v>459</v>
      </c>
      <c r="D54" s="410" t="s">
        <v>380</v>
      </c>
      <c r="E54" s="307" t="s">
        <v>310</v>
      </c>
      <c r="F54" s="408" t="s">
        <v>347</v>
      </c>
      <c r="G54" s="408">
        <v>1</v>
      </c>
      <c r="H54" s="409"/>
      <c r="I54" s="409"/>
      <c r="J54" s="409"/>
      <c r="K54" s="409"/>
      <c r="L54" s="409"/>
      <c r="M54" s="409"/>
      <c r="N54" s="409"/>
      <c r="O54" s="409"/>
      <c r="P54" s="937">
        <f>IFERROR(IF(VLOOKUP(Table_Shelter[[#This Row],[CampName]],CL,5,0)&lt;Table_Shelter[[#This Row],[HH Covered2]],VLOOKUP(Table_Shelter[[#This Row],[CampName]],CL,5,0),Table_Shelter[[#This Row],[HH Covered2]]),"")</f>
        <v>0</v>
      </c>
      <c r="Q54" s="411">
        <f>IF(Table_Shelter[[#This Row],[Status]]="Open",IF(W54="NO",Table_Shelter[[#This Row],[HH per Shelter]]*(Table_Shelter[[#This Row],['# of Temporary Shelter Units Built]]+Table_Shelter[[#This Row],['# of Temporary Shelter Under  Construction]]+Table_Shelter[[#This Row],['# of Permanent House Under Construction]]),0),0)</f>
        <v>0</v>
      </c>
      <c r="R54" s="411">
        <v>5</v>
      </c>
      <c r="S54" s="411">
        <v>5</v>
      </c>
      <c r="T54" s="412" t="str">
        <f>IFERROR(VLOOKUP(Table_Shelter[[#This Row],[CampName]],CL,2,0),"")</f>
        <v>MMR001CMP041</v>
      </c>
      <c r="U54" s="413" t="str">
        <f>IFERROR(VLOOKUP(Table_Shelter[[#This Row],[CampName]],CL,3,0),"")</f>
        <v>Open</v>
      </c>
      <c r="V54" s="414">
        <f>IFERROR(Table_Shelter[[#This Row],[HH Covered]]/VLOOKUP(Table_Shelter[[#This Row],[CampName]],CL,5,0),"")</f>
        <v>0</v>
      </c>
      <c r="W54" s="241" t="s">
        <v>1292</v>
      </c>
      <c r="X54" s="411"/>
    </row>
    <row r="55" spans="1:24" ht="15" customHeight="1" x14ac:dyDescent="0.25">
      <c r="A55" s="488">
        <v>42569</v>
      </c>
      <c r="B55" s="473" t="s">
        <v>568</v>
      </c>
      <c r="C55" s="473" t="s">
        <v>459</v>
      </c>
      <c r="D55" s="474" t="s">
        <v>380</v>
      </c>
      <c r="E55" s="475" t="s">
        <v>310</v>
      </c>
      <c r="F55" s="473" t="s">
        <v>1233</v>
      </c>
      <c r="G55" s="476">
        <v>1</v>
      </c>
      <c r="H55" s="477"/>
      <c r="I55" s="477"/>
      <c r="J55" s="477"/>
      <c r="K55" s="477"/>
      <c r="L55" s="478"/>
      <c r="M55" s="478"/>
      <c r="N55" s="478"/>
      <c r="O55" s="478"/>
      <c r="P55" s="938">
        <f>IFERROR(IF(VLOOKUP(Table_Shelter[[#This Row],[CampName]],CL,5,0)&lt;Table_Shelter[[#This Row],[HH Covered2]],VLOOKUP(Table_Shelter[[#This Row],[CampName]],CL,5,0),Table_Shelter[[#This Row],[HH Covered2]]),"")</f>
        <v>0</v>
      </c>
      <c r="Q55" s="479">
        <f>IF(Table_Shelter[[#This Row],[Status]]="Open",IF(W55="NO",Table_Shelter[[#This Row],[HH per Shelter]]*(Table_Shelter[[#This Row],['# of Temporary Shelter Units Built]]+Table_Shelter[[#This Row],['# of Temporary Shelter Under  Construction]]+Table_Shelter[[#This Row],['# of Permanent House Under Construction]]),0),0)</f>
        <v>0</v>
      </c>
      <c r="R55" s="479">
        <v>40</v>
      </c>
      <c r="S55" s="479">
        <v>40</v>
      </c>
      <c r="T55" s="479" t="str">
        <f>IFERROR(VLOOKUP(Table_Shelter[[#This Row],[CampName]],CL,2,0),"")</f>
        <v>MMR001CMP111</v>
      </c>
      <c r="U55" s="479" t="str">
        <f>IFERROR(VLOOKUP(Table_Shelter[[#This Row],[CampName]],CL,3,0),"")</f>
        <v>Closed</v>
      </c>
      <c r="V55" s="480" t="str">
        <f>IFERROR(Table_Shelter[[#This Row],[HH Covered]]/VLOOKUP(Table_Shelter[[#This Row],[CampName]],CL,5,0),"")</f>
        <v/>
      </c>
      <c r="W55" s="241" t="s">
        <v>1292</v>
      </c>
      <c r="X55" s="479"/>
    </row>
    <row r="56" spans="1:24" ht="16.149999999999999" customHeight="1" x14ac:dyDescent="0.25">
      <c r="A56" s="723">
        <v>42565</v>
      </c>
      <c r="B56" s="162" t="s">
        <v>451</v>
      </c>
      <c r="C56" s="162" t="s">
        <v>505</v>
      </c>
      <c r="D56" s="169" t="s">
        <v>380</v>
      </c>
      <c r="E56" s="307" t="s">
        <v>185</v>
      </c>
      <c r="F56" s="162" t="s">
        <v>192</v>
      </c>
      <c r="G56" s="103">
        <v>1</v>
      </c>
      <c r="H56" s="103"/>
      <c r="I56" s="103"/>
      <c r="J56" s="103">
        <v>42</v>
      </c>
      <c r="K56" s="103">
        <v>42</v>
      </c>
      <c r="L56" s="102"/>
      <c r="M56" s="162"/>
      <c r="N56" s="162"/>
      <c r="O56" s="162"/>
      <c r="P56" s="934">
        <f>IFERROR(IF(VLOOKUP(Table_Shelter[[#This Row],[CampName]],CL,5,0)&lt;Table_Shelter[[#This Row],[HH Covered2]],VLOOKUP(Table_Shelter[[#This Row],[CampName]],CL,5,0),Table_Shelter[[#This Row],[HH Covered2]]),"")</f>
        <v>0</v>
      </c>
      <c r="Q56" s="139">
        <f>IF(Table_Shelter[[#This Row],[Status]]="Open",IF(W56="NO",Table_Shelter[[#This Row],[HH per Shelter]]*(Table_Shelter[[#This Row],['# of Temporary Shelter Units Built]]+Table_Shelter[[#This Row],['# of Temporary Shelter Under  Construction]]+Table_Shelter[[#This Row],['# of Permanent House Under Construction]]),0),0)</f>
        <v>0</v>
      </c>
      <c r="R56" s="102"/>
      <c r="S56" s="102"/>
      <c r="T56" s="104" t="str">
        <f>IFERROR(VLOOKUP(Table_Shelter[[#This Row],[CampName]],CL,2,0),"")</f>
        <v>MMR001CMP123</v>
      </c>
      <c r="U56" s="104" t="str">
        <f>IFERROR(VLOOKUP(Table_Shelter[[#This Row],[CampName]],CL,3,0),"")</f>
        <v>Open</v>
      </c>
      <c r="V56" s="240">
        <f>IFERROR(Table_Shelter[[#This Row],[HH Covered]]/VLOOKUP(Table_Shelter[[#This Row],[CampName]],CL,5,0),"")</f>
        <v>0</v>
      </c>
      <c r="W56" s="241" t="s">
        <v>1291</v>
      </c>
      <c r="X56" s="104" t="s">
        <v>1378</v>
      </c>
    </row>
    <row r="57" spans="1:24" ht="15" customHeight="1" x14ac:dyDescent="0.25">
      <c r="A57" s="485">
        <v>42502</v>
      </c>
      <c r="B57" s="408" t="s">
        <v>451</v>
      </c>
      <c r="C57" s="409" t="s">
        <v>459</v>
      </c>
      <c r="D57" s="410" t="s">
        <v>380</v>
      </c>
      <c r="E57" s="307" t="s">
        <v>237</v>
      </c>
      <c r="F57" s="408" t="s">
        <v>253</v>
      </c>
      <c r="G57" s="408">
        <v>1</v>
      </c>
      <c r="H57" s="409"/>
      <c r="I57" s="409"/>
      <c r="J57" s="409"/>
      <c r="K57" s="409"/>
      <c r="L57" s="409"/>
      <c r="M57" s="409"/>
      <c r="N57" s="409"/>
      <c r="O57" s="409"/>
      <c r="P57" s="937">
        <f>IFERROR(IF(VLOOKUP(Table_Shelter[[#This Row],[CampName]],CL,5,0)&lt;Table_Shelter[[#This Row],[HH Covered2]],VLOOKUP(Table_Shelter[[#This Row],[CampName]],CL,5,0),Table_Shelter[[#This Row],[HH Covered2]]),"")</f>
        <v>0</v>
      </c>
      <c r="Q57" s="411">
        <f>IF(Table_Shelter[[#This Row],[Status]]="Open",IF(W57="NO",Table_Shelter[[#This Row],[HH per Shelter]]*(Table_Shelter[[#This Row],['# of Temporary Shelter Units Built]]+Table_Shelter[[#This Row],['# of Temporary Shelter Under  Construction]]+Table_Shelter[[#This Row],['# of Permanent House Under Construction]]),0),0)</f>
        <v>0</v>
      </c>
      <c r="R57" s="411">
        <v>10</v>
      </c>
      <c r="S57" s="411"/>
      <c r="T57" s="412" t="str">
        <f>IFERROR(VLOOKUP(Table_Shelter[[#This Row],[CampName]],CL,2,0),"")</f>
        <v>MMR001CMP018</v>
      </c>
      <c r="U57" s="413" t="str">
        <f>IFERROR(VLOOKUP(Table_Shelter[[#This Row],[CampName]],CL,3,0),"")</f>
        <v>Open</v>
      </c>
      <c r="V57" s="414">
        <f>IFERROR(Table_Shelter[[#This Row],[HH Covered]]/VLOOKUP(Table_Shelter[[#This Row],[CampName]],CL,5,0),"")</f>
        <v>0</v>
      </c>
      <c r="W57" s="241" t="s">
        <v>1292</v>
      </c>
      <c r="X57" s="411"/>
    </row>
    <row r="58" spans="1:24" ht="15" customHeight="1" x14ac:dyDescent="0.25">
      <c r="A58" s="485">
        <v>42502</v>
      </c>
      <c r="B58" s="408" t="s">
        <v>451</v>
      </c>
      <c r="C58" s="409" t="s">
        <v>459</v>
      </c>
      <c r="D58" s="410" t="s">
        <v>380</v>
      </c>
      <c r="E58" s="307" t="s">
        <v>300</v>
      </c>
      <c r="F58" s="408" t="s">
        <v>1248</v>
      </c>
      <c r="G58" s="408">
        <v>1</v>
      </c>
      <c r="H58" s="409"/>
      <c r="I58" s="409"/>
      <c r="J58" s="409"/>
      <c r="K58" s="409"/>
      <c r="L58" s="409"/>
      <c r="M58" s="409"/>
      <c r="N58" s="409"/>
      <c r="O58" s="409"/>
      <c r="P58" s="937">
        <f>IFERROR(IF(VLOOKUP(Table_Shelter[[#This Row],[CampName]],CL,5,0)&lt;Table_Shelter[[#This Row],[HH Covered2]],VLOOKUP(Table_Shelter[[#This Row],[CampName]],CL,5,0),Table_Shelter[[#This Row],[HH Covered2]]),"")</f>
        <v>0</v>
      </c>
      <c r="Q58" s="411">
        <f>IF(Table_Shelter[[#This Row],[Status]]="Open",IF(W58="NO",Table_Shelter[[#This Row],[HH per Shelter]]*(Table_Shelter[[#This Row],['# of Temporary Shelter Units Built]]+Table_Shelter[[#This Row],['# of Temporary Shelter Under  Construction]]+Table_Shelter[[#This Row],['# of Permanent House Under Construction]]),0),0)</f>
        <v>0</v>
      </c>
      <c r="R58" s="411">
        <v>2</v>
      </c>
      <c r="S58" s="411"/>
      <c r="T58" s="412" t="str">
        <f>IFERROR(VLOOKUP(Table_Shelter[[#This Row],[CampName]],CL,2,0),"")</f>
        <v>MMR001CMP234</v>
      </c>
      <c r="U58" s="413" t="str">
        <f>IFERROR(VLOOKUP(Table_Shelter[[#This Row],[CampName]],CL,3,0),"")</f>
        <v>Open</v>
      </c>
      <c r="V58" s="414">
        <f>IFERROR(Table_Shelter[[#This Row],[HH Covered]]/VLOOKUP(Table_Shelter[[#This Row],[CampName]],CL,5,0),"")</f>
        <v>0</v>
      </c>
      <c r="W58" s="241" t="s">
        <v>1292</v>
      </c>
      <c r="X58" s="411"/>
    </row>
    <row r="59" spans="1:24" ht="15" customHeight="1" x14ac:dyDescent="0.25">
      <c r="A59" s="485">
        <v>42502</v>
      </c>
      <c r="B59" s="408" t="s">
        <v>451</v>
      </c>
      <c r="C59" s="409" t="s">
        <v>459</v>
      </c>
      <c r="D59" s="410" t="s">
        <v>380</v>
      </c>
      <c r="E59" s="307" t="s">
        <v>310</v>
      </c>
      <c r="F59" s="408" t="s">
        <v>326</v>
      </c>
      <c r="G59" s="408">
        <v>1</v>
      </c>
      <c r="H59" s="409"/>
      <c r="I59" s="409"/>
      <c r="J59" s="409"/>
      <c r="K59" s="409"/>
      <c r="L59" s="409"/>
      <c r="M59" s="409"/>
      <c r="N59" s="409"/>
      <c r="O59" s="409"/>
      <c r="P59" s="937">
        <f>IFERROR(IF(VLOOKUP(Table_Shelter[[#This Row],[CampName]],CL,5,0)&lt;Table_Shelter[[#This Row],[HH Covered2]],VLOOKUP(Table_Shelter[[#This Row],[CampName]],CL,5,0),Table_Shelter[[#This Row],[HH Covered2]]),"")</f>
        <v>0</v>
      </c>
      <c r="Q59" s="411">
        <f>IF(Table_Shelter[[#This Row],[Status]]="Open",IF(W59="NO",Table_Shelter[[#This Row],[HH per Shelter]]*(Table_Shelter[[#This Row],['# of Temporary Shelter Units Built]]+Table_Shelter[[#This Row],['# of Temporary Shelter Under  Construction]]+Table_Shelter[[#This Row],['# of Permanent House Under Construction]]),0),0)</f>
        <v>0</v>
      </c>
      <c r="R59" s="411">
        <v>30</v>
      </c>
      <c r="S59" s="411"/>
      <c r="T59" s="412" t="str">
        <f>IFERROR(VLOOKUP(Table_Shelter[[#This Row],[CampName]],CL,2,0),"")</f>
        <v>MMR001CMP039</v>
      </c>
      <c r="U59" s="413" t="str">
        <f>IFERROR(VLOOKUP(Table_Shelter[[#This Row],[CampName]],CL,3,0),"")</f>
        <v>Open</v>
      </c>
      <c r="V59" s="414">
        <f>IFERROR(Table_Shelter[[#This Row],[HH Covered]]/VLOOKUP(Table_Shelter[[#This Row],[CampName]],CL,5,0),"")</f>
        <v>0</v>
      </c>
      <c r="W59" s="241" t="s">
        <v>1292</v>
      </c>
      <c r="X59" s="411"/>
    </row>
    <row r="60" spans="1:24" ht="15" customHeight="1" x14ac:dyDescent="0.25">
      <c r="A60" s="485">
        <v>42502</v>
      </c>
      <c r="B60" s="408" t="s">
        <v>451</v>
      </c>
      <c r="C60" s="409" t="s">
        <v>459</v>
      </c>
      <c r="D60" s="410" t="s">
        <v>380</v>
      </c>
      <c r="E60" s="307" t="s">
        <v>310</v>
      </c>
      <c r="F60" s="408" t="s">
        <v>342</v>
      </c>
      <c r="G60" s="408">
        <v>1</v>
      </c>
      <c r="H60" s="409"/>
      <c r="I60" s="409"/>
      <c r="J60" s="409"/>
      <c r="K60" s="409"/>
      <c r="L60" s="409"/>
      <c r="M60" s="409"/>
      <c r="N60" s="409"/>
      <c r="O60" s="409"/>
      <c r="P60" s="937">
        <f>IFERROR(IF(VLOOKUP(Table_Shelter[[#This Row],[CampName]],CL,5,0)&lt;Table_Shelter[[#This Row],[HH Covered2]],VLOOKUP(Table_Shelter[[#This Row],[CampName]],CL,5,0),Table_Shelter[[#This Row],[HH Covered2]]),"")</f>
        <v>0</v>
      </c>
      <c r="Q60" s="411">
        <f>IF(Table_Shelter[[#This Row],[Status]]="Open",IF(W60="NO",Table_Shelter[[#This Row],[HH per Shelter]]*(Table_Shelter[[#This Row],['# of Temporary Shelter Units Built]]+Table_Shelter[[#This Row],['# of Temporary Shelter Under  Construction]]+Table_Shelter[[#This Row],['# of Permanent House Under Construction]]),0),0)</f>
        <v>0</v>
      </c>
      <c r="R60" s="411">
        <v>20</v>
      </c>
      <c r="S60" s="411"/>
      <c r="T60" s="412" t="str">
        <f>IFERROR(VLOOKUP(Table_Shelter[[#This Row],[CampName]],CL,2,0),"")</f>
        <v>MMR001CMP025</v>
      </c>
      <c r="U60" s="413" t="str">
        <f>IFERROR(VLOOKUP(Table_Shelter[[#This Row],[CampName]],CL,3,0),"")</f>
        <v>Open</v>
      </c>
      <c r="V60" s="414">
        <f>IFERROR(Table_Shelter[[#This Row],[HH Covered]]/VLOOKUP(Table_Shelter[[#This Row],[CampName]],CL,5,0),"")</f>
        <v>0</v>
      </c>
      <c r="W60" s="241" t="s">
        <v>1292</v>
      </c>
      <c r="X60" s="411"/>
    </row>
    <row r="61" spans="1:24" ht="15" customHeight="1" x14ac:dyDescent="0.25">
      <c r="A61" s="485">
        <v>42502</v>
      </c>
      <c r="B61" s="408" t="s">
        <v>451</v>
      </c>
      <c r="C61" s="409" t="s">
        <v>459</v>
      </c>
      <c r="D61" s="410" t="s">
        <v>380</v>
      </c>
      <c r="E61" s="307" t="s">
        <v>237</v>
      </c>
      <c r="F61" s="408" t="s">
        <v>238</v>
      </c>
      <c r="G61" s="408">
        <v>1</v>
      </c>
      <c r="H61" s="409"/>
      <c r="I61" s="409"/>
      <c r="J61" s="409"/>
      <c r="K61" s="409"/>
      <c r="L61" s="409"/>
      <c r="M61" s="409"/>
      <c r="N61" s="409"/>
      <c r="O61" s="409"/>
      <c r="P61" s="937">
        <f>IFERROR(IF(VLOOKUP(Table_Shelter[[#This Row],[CampName]],CL,5,0)&lt;Table_Shelter[[#This Row],[HH Covered2]],VLOOKUP(Table_Shelter[[#This Row],[CampName]],CL,5,0),Table_Shelter[[#This Row],[HH Covered2]]),"")</f>
        <v>0</v>
      </c>
      <c r="Q61" s="411">
        <f>IF(Table_Shelter[[#This Row],[Status]]="Open",IF(W61="NO",Table_Shelter[[#This Row],[HH per Shelter]]*(Table_Shelter[[#This Row],['# of Temporary Shelter Units Built]]+Table_Shelter[[#This Row],['# of Temporary Shelter Under  Construction]]+Table_Shelter[[#This Row],['# of Permanent House Under Construction]]),0),0)</f>
        <v>0</v>
      </c>
      <c r="R61" s="411">
        <v>10</v>
      </c>
      <c r="S61" s="411"/>
      <c r="T61" s="412" t="str">
        <f>IFERROR(VLOOKUP(Table_Shelter[[#This Row],[CampName]],CL,2,0),"")</f>
        <v>MMR001CMP001</v>
      </c>
      <c r="U61" s="413" t="str">
        <f>IFERROR(VLOOKUP(Table_Shelter[[#This Row],[CampName]],CL,3,0),"")</f>
        <v>Open</v>
      </c>
      <c r="V61" s="414">
        <f>IFERROR(Table_Shelter[[#This Row],[HH Covered]]/VLOOKUP(Table_Shelter[[#This Row],[CampName]],CL,5,0),"")</f>
        <v>0</v>
      </c>
      <c r="W61" s="241" t="s">
        <v>1292</v>
      </c>
      <c r="X61" s="411"/>
    </row>
    <row r="62" spans="1:24" ht="15" customHeight="1" x14ac:dyDescent="0.25">
      <c r="A62" s="485">
        <v>42502</v>
      </c>
      <c r="B62" s="408" t="s">
        <v>451</v>
      </c>
      <c r="C62" s="409" t="s">
        <v>459</v>
      </c>
      <c r="D62" s="410" t="s">
        <v>380</v>
      </c>
      <c r="E62" s="307" t="s">
        <v>237</v>
      </c>
      <c r="F62" s="408" t="s">
        <v>251</v>
      </c>
      <c r="G62" s="408">
        <v>1</v>
      </c>
      <c r="H62" s="409"/>
      <c r="I62" s="409"/>
      <c r="J62" s="409"/>
      <c r="K62" s="409"/>
      <c r="L62" s="409"/>
      <c r="M62" s="409"/>
      <c r="N62" s="409"/>
      <c r="O62" s="409"/>
      <c r="P62" s="937">
        <f>IFERROR(IF(VLOOKUP(Table_Shelter[[#This Row],[CampName]],CL,5,0)&lt;Table_Shelter[[#This Row],[HH Covered2]],VLOOKUP(Table_Shelter[[#This Row],[CampName]],CL,5,0),Table_Shelter[[#This Row],[HH Covered2]]),"")</f>
        <v>0</v>
      </c>
      <c r="Q62" s="411">
        <f>IF(Table_Shelter[[#This Row],[Status]]="Open",IF(W62="NO",Table_Shelter[[#This Row],[HH per Shelter]]*(Table_Shelter[[#This Row],['# of Temporary Shelter Units Built]]+Table_Shelter[[#This Row],['# of Temporary Shelter Under  Construction]]+Table_Shelter[[#This Row],['# of Permanent House Under Construction]]),0),0)</f>
        <v>0</v>
      </c>
      <c r="R62" s="411">
        <v>5</v>
      </c>
      <c r="S62" s="411"/>
      <c r="T62" s="412" t="str">
        <f>IFERROR(VLOOKUP(Table_Shelter[[#This Row],[CampName]],CL,2,0),"")</f>
        <v>MMR001CMP003</v>
      </c>
      <c r="U62" s="413" t="str">
        <f>IFERROR(VLOOKUP(Table_Shelter[[#This Row],[CampName]],CL,3,0),"")</f>
        <v>Open</v>
      </c>
      <c r="V62" s="414">
        <f>IFERROR(Table_Shelter[[#This Row],[HH Covered]]/VLOOKUP(Table_Shelter[[#This Row],[CampName]],CL,5,0),"")</f>
        <v>0</v>
      </c>
      <c r="W62" s="241" t="s">
        <v>1292</v>
      </c>
      <c r="X62" s="411"/>
    </row>
    <row r="63" spans="1:24" ht="15" customHeight="1" x14ac:dyDescent="0.25">
      <c r="A63" s="485">
        <v>42502</v>
      </c>
      <c r="B63" s="408" t="s">
        <v>451</v>
      </c>
      <c r="C63" s="409" t="s">
        <v>459</v>
      </c>
      <c r="D63" s="410" t="s">
        <v>380</v>
      </c>
      <c r="E63" s="307" t="s">
        <v>237</v>
      </c>
      <c r="F63" s="408" t="s">
        <v>275</v>
      </c>
      <c r="G63" s="408">
        <v>1</v>
      </c>
      <c r="H63" s="409"/>
      <c r="I63" s="409"/>
      <c r="J63" s="409"/>
      <c r="K63" s="409"/>
      <c r="L63" s="409"/>
      <c r="M63" s="409"/>
      <c r="N63" s="409"/>
      <c r="O63" s="409"/>
      <c r="P63" s="937">
        <f>IFERROR(IF(VLOOKUP(Table_Shelter[[#This Row],[CampName]],CL,5,0)&lt;Table_Shelter[[#This Row],[HH Covered2]],VLOOKUP(Table_Shelter[[#This Row],[CampName]],CL,5,0),Table_Shelter[[#This Row],[HH Covered2]]),"")</f>
        <v>0</v>
      </c>
      <c r="Q63" s="411">
        <f>IF(Table_Shelter[[#This Row],[Status]]="Open",IF(W63="NO",Table_Shelter[[#This Row],[HH per Shelter]]*(Table_Shelter[[#This Row],['# of Temporary Shelter Units Built]]+Table_Shelter[[#This Row],['# of Temporary Shelter Under  Construction]]+Table_Shelter[[#This Row],['# of Permanent House Under Construction]]),0),0)</f>
        <v>0</v>
      </c>
      <c r="R63" s="411">
        <v>3</v>
      </c>
      <c r="S63" s="411"/>
      <c r="T63" s="412" t="str">
        <f>IFERROR(VLOOKUP(Table_Shelter[[#This Row],[CampName]],CL,2,0),"")</f>
        <v>MMR001CMP005</v>
      </c>
      <c r="U63" s="413" t="str">
        <f>IFERROR(VLOOKUP(Table_Shelter[[#This Row],[CampName]],CL,3,0),"")</f>
        <v>Open</v>
      </c>
      <c r="V63" s="414">
        <f>IFERROR(Table_Shelter[[#This Row],[HH Covered]]/VLOOKUP(Table_Shelter[[#This Row],[CampName]],CL,5,0),"")</f>
        <v>0</v>
      </c>
      <c r="W63" s="241" t="s">
        <v>1292</v>
      </c>
      <c r="X63" s="411"/>
    </row>
    <row r="64" spans="1:24" ht="15" customHeight="1" x14ac:dyDescent="0.25">
      <c r="A64" s="485">
        <v>42502</v>
      </c>
      <c r="B64" s="408" t="s">
        <v>451</v>
      </c>
      <c r="C64" s="409" t="s">
        <v>459</v>
      </c>
      <c r="D64" s="410" t="s">
        <v>380</v>
      </c>
      <c r="E64" s="307" t="s">
        <v>310</v>
      </c>
      <c r="F64" s="408" t="s">
        <v>1233</v>
      </c>
      <c r="G64" s="408">
        <v>1</v>
      </c>
      <c r="H64" s="409"/>
      <c r="I64" s="409"/>
      <c r="J64" s="409"/>
      <c r="K64" s="409"/>
      <c r="L64" s="409"/>
      <c r="M64" s="409"/>
      <c r="N64" s="409"/>
      <c r="O64" s="409"/>
      <c r="P64" s="937">
        <f>IFERROR(IF(VLOOKUP(Table_Shelter[[#This Row],[CampName]],CL,5,0)&lt;Table_Shelter[[#This Row],[HH Covered2]],VLOOKUP(Table_Shelter[[#This Row],[CampName]],CL,5,0),Table_Shelter[[#This Row],[HH Covered2]]),"")</f>
        <v>0</v>
      </c>
      <c r="Q64" s="411">
        <f>IF(Table_Shelter[[#This Row],[Status]]="Open",IF(W64="NO",Table_Shelter[[#This Row],[HH per Shelter]]*(Table_Shelter[[#This Row],['# of Temporary Shelter Units Built]]+Table_Shelter[[#This Row],['# of Temporary Shelter Under  Construction]]+Table_Shelter[[#This Row],['# of Permanent House Under Construction]]),0),0)</f>
        <v>0</v>
      </c>
      <c r="R64" s="411">
        <v>40</v>
      </c>
      <c r="S64" s="411"/>
      <c r="T64" s="412" t="str">
        <f>IFERROR(VLOOKUP(Table_Shelter[[#This Row],[CampName]],CL,2,0),"")</f>
        <v>MMR001CMP111</v>
      </c>
      <c r="U64" s="413" t="str">
        <f>IFERROR(VLOOKUP(Table_Shelter[[#This Row],[CampName]],CL,3,0),"")</f>
        <v>Closed</v>
      </c>
      <c r="V64" s="414" t="str">
        <f>IFERROR(Table_Shelter[[#This Row],[HH Covered]]/VLOOKUP(Table_Shelter[[#This Row],[CampName]],CL,5,0),"")</f>
        <v/>
      </c>
      <c r="W64" s="241" t="s">
        <v>1292</v>
      </c>
      <c r="X64" s="411"/>
    </row>
    <row r="65" spans="1:24" ht="15" customHeight="1" x14ac:dyDescent="0.25">
      <c r="A65" s="485">
        <v>42502</v>
      </c>
      <c r="B65" s="408" t="s">
        <v>451</v>
      </c>
      <c r="C65" s="409" t="s">
        <v>459</v>
      </c>
      <c r="D65" s="410" t="s">
        <v>380</v>
      </c>
      <c r="E65" s="415" t="s">
        <v>151</v>
      </c>
      <c r="F65" s="408" t="s">
        <v>884</v>
      </c>
      <c r="G65" s="408">
        <v>1</v>
      </c>
      <c r="H65" s="409"/>
      <c r="I65" s="409"/>
      <c r="J65" s="409">
        <v>85</v>
      </c>
      <c r="K65" s="409">
        <v>85</v>
      </c>
      <c r="L65" s="409"/>
      <c r="M65" s="409"/>
      <c r="N65" s="409"/>
      <c r="O65" s="409"/>
      <c r="P65" s="937">
        <f>IFERROR(IF(VLOOKUP(Table_Shelter[[#This Row],[CampName]],CL,5,0)&lt;Table_Shelter[[#This Row],[HH Covered2]],VLOOKUP(Table_Shelter[[#This Row],[CampName]],CL,5,0),Table_Shelter[[#This Row],[HH Covered2]]),"")</f>
        <v>85</v>
      </c>
      <c r="Q65" s="411">
        <f>IF(Table_Shelter[[#This Row],[Status]]="Open",IF(W65="NO",Table_Shelter[[#This Row],[HH per Shelter]]*(Table_Shelter[[#This Row],['# of Temporary Shelter Units Built]]+Table_Shelter[[#This Row],['# of Temporary Shelter Under  Construction]]+Table_Shelter[[#This Row],['# of Permanent House Under Construction]]),0),0)</f>
        <v>85</v>
      </c>
      <c r="R65" s="411"/>
      <c r="S65" s="411"/>
      <c r="T65" s="412" t="str">
        <f>IFERROR(VLOOKUP(Table_Shelter[[#This Row],[CampName]],CL,2,0),"")</f>
        <v>MMR001CMP218</v>
      </c>
      <c r="U65" s="413" t="str">
        <f>IFERROR(VLOOKUP(Table_Shelter[[#This Row],[CampName]],CL,3,0),"")</f>
        <v>Open</v>
      </c>
      <c r="V65" s="414">
        <f>IFERROR(Table_Shelter[[#This Row],[HH Covered]]/VLOOKUP(Table_Shelter[[#This Row],[CampName]],CL,5,0),"")</f>
        <v>0.21091811414392059</v>
      </c>
      <c r="W65" s="486" t="s">
        <v>1292</v>
      </c>
      <c r="X65" s="411"/>
    </row>
    <row r="66" spans="1:24" ht="15" customHeight="1" x14ac:dyDescent="0.25">
      <c r="A66" s="722">
        <v>42500</v>
      </c>
      <c r="B66" s="162" t="s">
        <v>452</v>
      </c>
      <c r="C66" s="162" t="s">
        <v>452</v>
      </c>
      <c r="D66" s="169" t="s">
        <v>380</v>
      </c>
      <c r="E66" s="307" t="s">
        <v>185</v>
      </c>
      <c r="F66" s="162" t="s">
        <v>215</v>
      </c>
      <c r="G66" s="103">
        <v>1</v>
      </c>
      <c r="H66" s="105"/>
      <c r="I66" s="105"/>
      <c r="J66" s="105">
        <v>170</v>
      </c>
      <c r="K66" s="105">
        <v>170</v>
      </c>
      <c r="L66" s="164"/>
      <c r="M66" s="164"/>
      <c r="N66" s="164"/>
      <c r="O66" s="164"/>
      <c r="P66" s="936">
        <f>IFERROR(IF(VLOOKUP(Table_Shelter[[#This Row],[CampName]],CL,5,0)&lt;Table_Shelter[[#This Row],[HH Covered2]],VLOOKUP(Table_Shelter[[#This Row],[CampName]],CL,5,0),Table_Shelter[[#This Row],[HH Covered2]]),"")</f>
        <v>170</v>
      </c>
      <c r="Q66" s="104">
        <f>IF(Table_Shelter[[#This Row],[Status]]="Open",IF(W66="NO",Table_Shelter[[#This Row],[HH per Shelter]]*(Table_Shelter[[#This Row],['# of Temporary Shelter Units Built]]+Table_Shelter[[#This Row],['# of Temporary Shelter Under  Construction]]+Table_Shelter[[#This Row],['# of Permanent House Under Construction]]),0),0)</f>
        <v>170</v>
      </c>
      <c r="R66" s="104"/>
      <c r="S66" s="104"/>
      <c r="T66" s="104" t="str">
        <f>IFERROR(VLOOKUP(Table_Shelter[[#This Row],[CampName]],CL,2,0),"")</f>
        <v>MMR001CMP131</v>
      </c>
      <c r="U66" s="104" t="str">
        <f>IFERROR(VLOOKUP(Table_Shelter[[#This Row],[CampName]],CL,3,0),"")</f>
        <v>Open</v>
      </c>
      <c r="V66" s="240">
        <f>IFERROR(Table_Shelter[[#This Row],[HH Covered]]/VLOOKUP(Table_Shelter[[#This Row],[CampName]],CL,5,0),"")</f>
        <v>0.47486033519553073</v>
      </c>
      <c r="W66" s="241" t="s">
        <v>1292</v>
      </c>
      <c r="X66" s="104"/>
    </row>
    <row r="67" spans="1:24" ht="15" customHeight="1" x14ac:dyDescent="0.25">
      <c r="A67" s="722">
        <v>42500</v>
      </c>
      <c r="B67" s="162" t="s">
        <v>452</v>
      </c>
      <c r="C67" s="162" t="s">
        <v>505</v>
      </c>
      <c r="D67" s="169" t="s">
        <v>380</v>
      </c>
      <c r="E67" s="307" t="s">
        <v>310</v>
      </c>
      <c r="F67" s="162" t="s">
        <v>355</v>
      </c>
      <c r="G67" s="103">
        <v>1</v>
      </c>
      <c r="H67" s="105"/>
      <c r="I67" s="105"/>
      <c r="J67" s="105">
        <v>60</v>
      </c>
      <c r="K67" s="105">
        <v>65</v>
      </c>
      <c r="L67" s="164"/>
      <c r="M67" s="164"/>
      <c r="N67" s="164"/>
      <c r="O67" s="164"/>
      <c r="P67" s="936">
        <f>IFERROR(IF(VLOOKUP(Table_Shelter[[#This Row],[CampName]],CL,5,0)&lt;Table_Shelter[[#This Row],[HH Covered2]],VLOOKUP(Table_Shelter[[#This Row],[CampName]],CL,5,0),Table_Shelter[[#This Row],[HH Covered2]]),"")</f>
        <v>65</v>
      </c>
      <c r="Q67" s="104">
        <f>IF(Table_Shelter[[#This Row],[Status]]="Open",IF(W67="NO",Table_Shelter[[#This Row],[HH per Shelter]]*(Table_Shelter[[#This Row],['# of Temporary Shelter Units Built]]+Table_Shelter[[#This Row],['# of Temporary Shelter Under  Construction]]+Table_Shelter[[#This Row],['# of Permanent House Under Construction]]),0),0)</f>
        <v>65</v>
      </c>
      <c r="R67" s="104"/>
      <c r="S67" s="104"/>
      <c r="T67" s="104" t="str">
        <f>IFERROR(VLOOKUP(Table_Shelter[[#This Row],[CampName]],CL,2,0),"")</f>
        <v>MMR001CMP160</v>
      </c>
      <c r="U67" s="104" t="str">
        <f>IFERROR(VLOOKUP(Table_Shelter[[#This Row],[CampName]],CL,3,0),"")</f>
        <v>Open</v>
      </c>
      <c r="V67" s="240">
        <f>IFERROR(Table_Shelter[[#This Row],[HH Covered]]/VLOOKUP(Table_Shelter[[#This Row],[CampName]],CL,5,0),"")</f>
        <v>0.65</v>
      </c>
      <c r="W67" s="241" t="s">
        <v>1292</v>
      </c>
      <c r="X67" s="104"/>
    </row>
    <row r="68" spans="1:24" ht="15" customHeight="1" x14ac:dyDescent="0.25">
      <c r="A68" s="483">
        <v>42422</v>
      </c>
      <c r="B68" s="162" t="s">
        <v>452</v>
      </c>
      <c r="C68" s="162"/>
      <c r="D68" s="165" t="s">
        <v>380</v>
      </c>
      <c r="E68" s="307" t="s">
        <v>185</v>
      </c>
      <c r="F68" s="162" t="s">
        <v>196</v>
      </c>
      <c r="G68" s="103">
        <v>1</v>
      </c>
      <c r="H68" s="103"/>
      <c r="I68" s="103"/>
      <c r="J68" s="103">
        <v>118</v>
      </c>
      <c r="K68" s="103">
        <v>118</v>
      </c>
      <c r="L68" s="162"/>
      <c r="M68" s="162"/>
      <c r="N68" s="162"/>
      <c r="O68" s="162"/>
      <c r="P68" s="934">
        <f>IFERROR(IF(VLOOKUP(Table_Shelter[[#This Row],[CampName]],CL,5,0)&lt;Table_Shelter[[#This Row],[HH Covered2]],VLOOKUP(Table_Shelter[[#This Row],[CampName]],CL,5,0),Table_Shelter[[#This Row],[HH Covered2]]),"")</f>
        <v>0</v>
      </c>
      <c r="Q68" s="139">
        <f>IF(Table_Shelter[[#This Row],[Status]]="Open",IF(W68="NO",Table_Shelter[[#This Row],[HH per Shelter]]*(Table_Shelter[[#This Row],['# of Temporary Shelter Units Built]]+Table_Shelter[[#This Row],['# of Temporary Shelter Under  Construction]]+Table_Shelter[[#This Row],['# of Permanent House Under Construction]]),0),0)</f>
        <v>0</v>
      </c>
      <c r="R68" s="102"/>
      <c r="S68" s="102"/>
      <c r="T68" s="163" t="str">
        <f>IFERROR(VLOOKUP(Table_Shelter[[#This Row],[CampName]],CL,2,0),"")</f>
        <v>MMR001CMP121</v>
      </c>
      <c r="U68" s="163" t="str">
        <f>IFERROR(VLOOKUP(Table_Shelter[[#This Row],[CampName]],CL,3,0),"")</f>
        <v>Open</v>
      </c>
      <c r="V68" s="240">
        <f>IFERROR(Table_Shelter[[#This Row],[HH Covered]]/VLOOKUP(Table_Shelter[[#This Row],[CampName]],CL,5,0),"")</f>
        <v>0</v>
      </c>
      <c r="W68" s="240" t="s">
        <v>1291</v>
      </c>
      <c r="X68" s="164"/>
    </row>
    <row r="69" spans="1:24" ht="15" customHeight="1" x14ac:dyDescent="0.25">
      <c r="A69" s="723">
        <v>42422</v>
      </c>
      <c r="B69" s="162" t="s">
        <v>452</v>
      </c>
      <c r="C69" s="162"/>
      <c r="D69" s="165" t="s">
        <v>380</v>
      </c>
      <c r="E69" s="307" t="s">
        <v>185</v>
      </c>
      <c r="F69" s="162" t="s">
        <v>215</v>
      </c>
      <c r="G69" s="103">
        <v>1</v>
      </c>
      <c r="H69" s="105"/>
      <c r="I69" s="105"/>
      <c r="J69" s="105">
        <v>170</v>
      </c>
      <c r="K69" s="105">
        <v>170</v>
      </c>
      <c r="L69" s="164"/>
      <c r="M69" s="164"/>
      <c r="N69" s="164"/>
      <c r="O69" s="164"/>
      <c r="P69" s="936">
        <f>IFERROR(IF(VLOOKUP(Table_Shelter[[#This Row],[CampName]],CL,5,0)&lt;Table_Shelter[[#This Row],[HH Covered2]],VLOOKUP(Table_Shelter[[#This Row],[CampName]],CL,5,0),Table_Shelter[[#This Row],[HH Covered2]]),"")</f>
        <v>0</v>
      </c>
      <c r="Q69" s="104">
        <f>IF(Table_Shelter[[#This Row],[Status]]="Open",IF(W69="NO",Table_Shelter[[#This Row],[HH per Shelter]]*(Table_Shelter[[#This Row],['# of Temporary Shelter Units Built]]+Table_Shelter[[#This Row],['# of Temporary Shelter Under  Construction]]+Table_Shelter[[#This Row],['# of Permanent House Under Construction]]),0),0)</f>
        <v>0</v>
      </c>
      <c r="R69" s="104"/>
      <c r="S69" s="164"/>
      <c r="T69" s="164" t="str">
        <f>IFERROR(VLOOKUP(Table_Shelter[[#This Row],[CampName]],CL,2,0),"")</f>
        <v>MMR001CMP131</v>
      </c>
      <c r="U69" s="164" t="str">
        <f>IFERROR(VLOOKUP(Table_Shelter[[#This Row],[CampName]],CL,3,0),"")</f>
        <v>Open</v>
      </c>
      <c r="V69" s="240">
        <f>IFERROR(Table_Shelter[[#This Row],[HH Covered]]/VLOOKUP(Table_Shelter[[#This Row],[CampName]],CL,5,0),"")</f>
        <v>0</v>
      </c>
      <c r="W69" s="240" t="s">
        <v>1291</v>
      </c>
      <c r="X69" s="164"/>
    </row>
    <row r="70" spans="1:24" ht="15" customHeight="1" x14ac:dyDescent="0.25">
      <c r="A70" s="483">
        <v>42422</v>
      </c>
      <c r="B70" s="162" t="s">
        <v>452</v>
      </c>
      <c r="C70" s="162"/>
      <c r="D70" s="165" t="s">
        <v>380</v>
      </c>
      <c r="E70" s="307" t="s">
        <v>185</v>
      </c>
      <c r="F70" s="162" t="s">
        <v>219</v>
      </c>
      <c r="G70" s="103">
        <v>1</v>
      </c>
      <c r="H70" s="105"/>
      <c r="I70" s="105"/>
      <c r="J70" s="105">
        <v>254</v>
      </c>
      <c r="K70" s="105">
        <v>254</v>
      </c>
      <c r="L70" s="164"/>
      <c r="M70" s="164"/>
      <c r="N70" s="164"/>
      <c r="O70" s="164"/>
      <c r="P70" s="936">
        <f>IFERROR(IF(VLOOKUP(Table_Shelter[[#This Row],[CampName]],CL,5,0)&lt;Table_Shelter[[#This Row],[HH Covered2]],VLOOKUP(Table_Shelter[[#This Row],[CampName]],CL,5,0),Table_Shelter[[#This Row],[HH Covered2]]),"")</f>
        <v>0</v>
      </c>
      <c r="Q70" s="104">
        <f>IF(Table_Shelter[[#This Row],[Status]]="Open",IF(W70="NO",Table_Shelter[[#This Row],[HH per Shelter]]*(Table_Shelter[[#This Row],['# of Temporary Shelter Units Built]]+Table_Shelter[[#This Row],['# of Temporary Shelter Under  Construction]]+Table_Shelter[[#This Row],['# of Permanent House Under Construction]]),0),0)</f>
        <v>0</v>
      </c>
      <c r="R70" s="104"/>
      <c r="S70" s="164"/>
      <c r="T70" s="164" t="str">
        <f>IFERROR(VLOOKUP(Table_Shelter[[#This Row],[CampName]],CL,2,0),"")</f>
        <v>MMR001CMP126</v>
      </c>
      <c r="U70" s="164" t="str">
        <f>IFERROR(VLOOKUP(Table_Shelter[[#This Row],[CampName]],CL,3,0),"")</f>
        <v>Open</v>
      </c>
      <c r="V70" s="240">
        <f>IFERROR(Table_Shelter[[#This Row],[HH Covered]]/VLOOKUP(Table_Shelter[[#This Row],[CampName]],CL,5,0),"")</f>
        <v>0</v>
      </c>
      <c r="W70" s="240" t="s">
        <v>1291</v>
      </c>
      <c r="X70" s="164"/>
    </row>
    <row r="71" spans="1:24" ht="15" customHeight="1" x14ac:dyDescent="0.25">
      <c r="A71" s="723">
        <v>42422</v>
      </c>
      <c r="B71" s="162" t="s">
        <v>452</v>
      </c>
      <c r="C71" s="162"/>
      <c r="D71" s="165" t="s">
        <v>380</v>
      </c>
      <c r="E71" s="307" t="s">
        <v>310</v>
      </c>
      <c r="F71" s="162" t="s">
        <v>355</v>
      </c>
      <c r="G71" s="103">
        <v>1</v>
      </c>
      <c r="H71" s="105"/>
      <c r="I71" s="105"/>
      <c r="J71" s="105">
        <v>66</v>
      </c>
      <c r="K71" s="105">
        <v>66</v>
      </c>
      <c r="L71" s="164"/>
      <c r="M71" s="164"/>
      <c r="N71" s="164"/>
      <c r="O71" s="164"/>
      <c r="P71" s="936">
        <f>IFERROR(IF(VLOOKUP(Table_Shelter[[#This Row],[CampName]],CL,5,0)&lt;Table_Shelter[[#This Row],[HH Covered2]],VLOOKUP(Table_Shelter[[#This Row],[CampName]],CL,5,0),Table_Shelter[[#This Row],[HH Covered2]]),"")</f>
        <v>0</v>
      </c>
      <c r="Q71" s="104">
        <f>IF(Table_Shelter[[#This Row],[Status]]="Open",IF(W71="NO",Table_Shelter[[#This Row],[HH per Shelter]]*(Table_Shelter[[#This Row],['# of Temporary Shelter Units Built]]+Table_Shelter[[#This Row],['# of Temporary Shelter Under  Construction]]+Table_Shelter[[#This Row],['# of Permanent House Under Construction]]),0),0)</f>
        <v>0</v>
      </c>
      <c r="R71" s="104"/>
      <c r="S71" s="164"/>
      <c r="T71" s="164" t="str">
        <f>IFERROR(VLOOKUP(Table_Shelter[[#This Row],[CampName]],CL,2,0),"")</f>
        <v>MMR001CMP160</v>
      </c>
      <c r="U71" s="164" t="str">
        <f>IFERROR(VLOOKUP(Table_Shelter[[#This Row],[CampName]],CL,3,0),"")</f>
        <v>Open</v>
      </c>
      <c r="V71" s="240">
        <f>IFERROR(Table_Shelter[[#This Row],[HH Covered]]/VLOOKUP(Table_Shelter[[#This Row],[CampName]],CL,5,0),"")</f>
        <v>0</v>
      </c>
      <c r="W71" s="240" t="s">
        <v>1291</v>
      </c>
      <c r="X71" s="164"/>
    </row>
    <row r="72" spans="1:24" ht="15" customHeight="1" x14ac:dyDescent="0.25">
      <c r="A72" s="723">
        <v>42422</v>
      </c>
      <c r="B72" s="162" t="s">
        <v>847</v>
      </c>
      <c r="C72" s="162"/>
      <c r="D72" s="162" t="s">
        <v>380</v>
      </c>
      <c r="E72" s="307" t="s">
        <v>173</v>
      </c>
      <c r="F72" s="162" t="s">
        <v>1264</v>
      </c>
      <c r="G72" s="103">
        <v>1</v>
      </c>
      <c r="H72" s="103"/>
      <c r="I72" s="103"/>
      <c r="J72" s="103">
        <v>40</v>
      </c>
      <c r="K72" s="103">
        <v>40</v>
      </c>
      <c r="L72" s="162"/>
      <c r="M72" s="162"/>
      <c r="N72" s="162"/>
      <c r="O72" s="162"/>
      <c r="P72" s="934">
        <f>IFERROR(IF(VLOOKUP(Table_Shelter[[#This Row],[CampName]],CL,5,0)&lt;Table_Shelter[[#This Row],[HH Covered2]],VLOOKUP(Table_Shelter[[#This Row],[CampName]],CL,5,0),Table_Shelter[[#This Row],[HH Covered2]]),"")</f>
        <v>28</v>
      </c>
      <c r="Q72" s="139">
        <f>IF(Table_Shelter[[#This Row],[Status]]="Open",IF(W72="NO",Table_Shelter[[#This Row],[HH per Shelter]]*(Table_Shelter[[#This Row],['# of Temporary Shelter Units Built]]+Table_Shelter[[#This Row],['# of Temporary Shelter Under  Construction]]+Table_Shelter[[#This Row],['# of Permanent House Under Construction]]),0),0)</f>
        <v>40</v>
      </c>
      <c r="R72" s="102"/>
      <c r="S72" s="162"/>
      <c r="T72" s="163" t="str">
        <f>IFERROR(VLOOKUP(Table_Shelter[[#This Row],[CampName]],CL,2,0),"")</f>
        <v>MMR001CMP236</v>
      </c>
      <c r="U72" s="163" t="str">
        <f>IFERROR(VLOOKUP(Table_Shelter[[#This Row],[CampName]],CL,3,0),"")</f>
        <v>Open</v>
      </c>
      <c r="V72" s="240">
        <f>IFERROR(Table_Shelter[[#This Row],[HH Covered]]/VLOOKUP(Table_Shelter[[#This Row],[CampName]],CL,5,0),"")</f>
        <v>1</v>
      </c>
      <c r="W72" s="240" t="s">
        <v>1292</v>
      </c>
      <c r="X72" s="164"/>
    </row>
    <row r="73" spans="1:24" ht="15" customHeight="1" x14ac:dyDescent="0.25">
      <c r="A73" s="722">
        <v>42416</v>
      </c>
      <c r="B73" s="162" t="s">
        <v>451</v>
      </c>
      <c r="C73" s="162" t="s">
        <v>459</v>
      </c>
      <c r="D73" s="162" t="s">
        <v>380</v>
      </c>
      <c r="E73" s="307" t="s">
        <v>237</v>
      </c>
      <c r="F73" s="162" t="s">
        <v>243</v>
      </c>
      <c r="G73" s="103">
        <v>1</v>
      </c>
      <c r="H73" s="103"/>
      <c r="I73" s="103"/>
      <c r="J73" s="103"/>
      <c r="K73" s="103"/>
      <c r="L73" s="162"/>
      <c r="M73" s="162"/>
      <c r="N73" s="162"/>
      <c r="O73" s="162"/>
      <c r="P73" s="934">
        <f>IFERROR(IF(VLOOKUP(Table_Shelter[[#This Row],[CampName]],CL,5,0)&lt;Table_Shelter[[#This Row],[HH Covered2]],VLOOKUP(Table_Shelter[[#This Row],[CampName]],CL,5,0),Table_Shelter[[#This Row],[HH Covered2]]),"")</f>
        <v>0</v>
      </c>
      <c r="Q73" s="139">
        <f>IF(Table_Shelter[[#This Row],[Status]]="Open",IF(W73="NO",Table_Shelter[[#This Row],[HH per Shelter]]*(Table_Shelter[[#This Row],['# of Temporary Shelter Units Built]]+Table_Shelter[[#This Row],['# of Temporary Shelter Under  Construction]]+Table_Shelter[[#This Row],['# of Permanent House Under Construction]]),0),0)</f>
        <v>0</v>
      </c>
      <c r="R73" s="102">
        <v>13</v>
      </c>
      <c r="S73" s="102">
        <v>13</v>
      </c>
      <c r="T73" s="163" t="str">
        <f>IFERROR(VLOOKUP(Table_Shelter[[#This Row],[CampName]],CL,2,0),"")</f>
        <v>MMR001CMP012</v>
      </c>
      <c r="U73" s="163" t="str">
        <f>IFERROR(VLOOKUP(Table_Shelter[[#This Row],[CampName]],CL,3,0),"")</f>
        <v>Open</v>
      </c>
      <c r="V73" s="240">
        <f>IFERROR(Table_Shelter[[#This Row],[HH Covered]]/VLOOKUP(Table_Shelter[[#This Row],[CampName]],CL,5,0),"")</f>
        <v>0</v>
      </c>
      <c r="W73" s="240" t="s">
        <v>1292</v>
      </c>
      <c r="X73" s="164"/>
    </row>
    <row r="74" spans="1:24" ht="15" customHeight="1" x14ac:dyDescent="0.25">
      <c r="A74" s="722">
        <v>42416</v>
      </c>
      <c r="B74" s="162" t="s">
        <v>451</v>
      </c>
      <c r="C74" s="162" t="s">
        <v>459</v>
      </c>
      <c r="D74" s="162" t="s">
        <v>380</v>
      </c>
      <c r="E74" s="307" t="s">
        <v>237</v>
      </c>
      <c r="F74" s="406" t="s">
        <v>285</v>
      </c>
      <c r="G74" s="103">
        <v>1</v>
      </c>
      <c r="H74" s="103"/>
      <c r="I74" s="103"/>
      <c r="J74" s="103"/>
      <c r="K74" s="103"/>
      <c r="L74" s="162"/>
      <c r="M74" s="162"/>
      <c r="N74" s="162"/>
      <c r="O74" s="162"/>
      <c r="P74" s="934">
        <f>IFERROR(IF(VLOOKUP(Table_Shelter[[#This Row],[CampName]],CL,5,0)&lt;Table_Shelter[[#This Row],[HH Covered2]],VLOOKUP(Table_Shelter[[#This Row],[CampName]],CL,5,0),Table_Shelter[[#This Row],[HH Covered2]]),"")</f>
        <v>0</v>
      </c>
      <c r="Q74" s="139">
        <f>IF(Table_Shelter[[#This Row],[Status]]="Open",IF(W74="NO",Table_Shelter[[#This Row],[HH per Shelter]]*(Table_Shelter[[#This Row],['# of Temporary Shelter Units Built]]+Table_Shelter[[#This Row],['# of Temporary Shelter Under  Construction]]+Table_Shelter[[#This Row],['# of Permanent House Under Construction]]),0),0)</f>
        <v>0</v>
      </c>
      <c r="R74" s="102">
        <v>5</v>
      </c>
      <c r="S74" s="102">
        <v>5</v>
      </c>
      <c r="T74" s="163" t="str">
        <f>IFERROR(VLOOKUP(Table_Shelter[[#This Row],[CampName]],CL,2,0),"")</f>
        <v>MMR001CMP014</v>
      </c>
      <c r="U74" s="163" t="str">
        <f>IFERROR(VLOOKUP(Table_Shelter[[#This Row],[CampName]],CL,3,0),"")</f>
        <v>Open</v>
      </c>
      <c r="V74" s="240">
        <f>IFERROR(Table_Shelter[[#This Row],[HH Covered]]/VLOOKUP(Table_Shelter[[#This Row],[CampName]],CL,5,0),"")</f>
        <v>0</v>
      </c>
      <c r="W74" s="164" t="s">
        <v>1292</v>
      </c>
      <c r="X74" s="16"/>
    </row>
    <row r="75" spans="1:24" ht="15" customHeight="1" x14ac:dyDescent="0.25">
      <c r="A75" s="678">
        <v>42416</v>
      </c>
      <c r="B75" s="163" t="s">
        <v>451</v>
      </c>
      <c r="C75" s="162" t="s">
        <v>505</v>
      </c>
      <c r="D75" s="162" t="s">
        <v>380</v>
      </c>
      <c r="E75" s="307" t="s">
        <v>185</v>
      </c>
      <c r="F75" s="162" t="s">
        <v>194</v>
      </c>
      <c r="G75" s="103">
        <v>1</v>
      </c>
      <c r="H75" s="103"/>
      <c r="I75" s="103"/>
      <c r="J75" s="103"/>
      <c r="K75" s="103"/>
      <c r="L75" s="162"/>
      <c r="M75" s="162"/>
      <c r="N75" s="162"/>
      <c r="O75" s="162"/>
      <c r="P75" s="934">
        <f>IFERROR(IF(VLOOKUP(Table_Shelter[[#This Row],[CampName]],CL,5,0)&lt;Table_Shelter[[#This Row],[HH Covered2]],VLOOKUP(Table_Shelter[[#This Row],[CampName]],CL,5,0),Table_Shelter[[#This Row],[HH Covered2]]),"")</f>
        <v>0</v>
      </c>
      <c r="Q75" s="139">
        <f>IF(Table_Shelter[[#This Row],[Status]]="Open",IF(W75="NO",Table_Shelter[[#This Row],[HH per Shelter]]*(Table_Shelter[[#This Row],['# of Temporary Shelter Units Built]]+Table_Shelter[[#This Row],['# of Temporary Shelter Under  Construction]]+Table_Shelter[[#This Row],['# of Permanent House Under Construction]]),0),0)</f>
        <v>0</v>
      </c>
      <c r="R75" s="102">
        <v>338</v>
      </c>
      <c r="S75" s="102">
        <v>338</v>
      </c>
      <c r="T75" s="163" t="str">
        <f>IFERROR(VLOOKUP(Table_Shelter[[#This Row],[CampName]],CL,2,0),"")</f>
        <v>MMR001CMP122</v>
      </c>
      <c r="U75" s="163" t="str">
        <f>IFERROR(VLOOKUP(Table_Shelter[[#This Row],[CampName]],CL,3,0),"")</f>
        <v>Open</v>
      </c>
      <c r="V75" s="240">
        <f>IFERROR(Table_Shelter[[#This Row],[HH Covered]]/VLOOKUP(Table_Shelter[[#This Row],[CampName]],CL,5,0),"")</f>
        <v>0</v>
      </c>
      <c r="W75" s="240" t="s">
        <v>1292</v>
      </c>
      <c r="X75" s="164"/>
    </row>
    <row r="76" spans="1:24" ht="15" customHeight="1" x14ac:dyDescent="0.25">
      <c r="A76" s="722">
        <v>42416</v>
      </c>
      <c r="B76" s="163" t="s">
        <v>451</v>
      </c>
      <c r="C76" s="162" t="s">
        <v>505</v>
      </c>
      <c r="D76" s="162" t="s">
        <v>380</v>
      </c>
      <c r="E76" s="307" t="s">
        <v>185</v>
      </c>
      <c r="F76" s="162" t="s">
        <v>196</v>
      </c>
      <c r="G76" s="103">
        <v>1</v>
      </c>
      <c r="H76" s="103"/>
      <c r="I76" s="103"/>
      <c r="J76" s="103"/>
      <c r="K76" s="103"/>
      <c r="L76" s="162"/>
      <c r="M76" s="162"/>
      <c r="N76" s="162"/>
      <c r="O76" s="162"/>
      <c r="P76" s="934">
        <f>IFERROR(IF(VLOOKUP(Table_Shelter[[#This Row],[CampName]],CL,5,0)&lt;Table_Shelter[[#This Row],[HH Covered2]],VLOOKUP(Table_Shelter[[#This Row],[CampName]],CL,5,0),Table_Shelter[[#This Row],[HH Covered2]]),"")</f>
        <v>0</v>
      </c>
      <c r="Q76" s="139">
        <f>IF(Table_Shelter[[#This Row],[Status]]="Open",IF(W76="NO",Table_Shelter[[#This Row],[HH per Shelter]]*(Table_Shelter[[#This Row],['# of Temporary Shelter Units Built]]+Table_Shelter[[#This Row],['# of Temporary Shelter Under  Construction]]+Table_Shelter[[#This Row],['# of Permanent House Under Construction]]),0),0)</f>
        <v>0</v>
      </c>
      <c r="R76" s="102">
        <v>220</v>
      </c>
      <c r="S76" s="102">
        <v>220</v>
      </c>
      <c r="T76" s="163" t="str">
        <f>IFERROR(VLOOKUP(Table_Shelter[[#This Row],[CampName]],CL,2,0),"")</f>
        <v>MMR001CMP121</v>
      </c>
      <c r="U76" s="163" t="str">
        <f>IFERROR(VLOOKUP(Table_Shelter[[#This Row],[CampName]],CL,3,0),"")</f>
        <v>Open</v>
      </c>
      <c r="V76" s="240">
        <f>IFERROR(Table_Shelter[[#This Row],[HH Covered]]/VLOOKUP(Table_Shelter[[#This Row],[CampName]],CL,5,0),"")</f>
        <v>0</v>
      </c>
      <c r="W76" s="240" t="s">
        <v>1292</v>
      </c>
      <c r="X76" s="164"/>
    </row>
    <row r="77" spans="1:24" ht="15" customHeight="1" x14ac:dyDescent="0.25">
      <c r="A77" s="723">
        <v>42416</v>
      </c>
      <c r="B77" s="162" t="s">
        <v>451</v>
      </c>
      <c r="C77" s="162" t="s">
        <v>505</v>
      </c>
      <c r="D77" s="162" t="s">
        <v>380</v>
      </c>
      <c r="E77" s="307" t="s">
        <v>526</v>
      </c>
      <c r="F77" s="162" t="s">
        <v>120</v>
      </c>
      <c r="G77" s="138">
        <v>1</v>
      </c>
      <c r="H77" s="138"/>
      <c r="I77" s="138"/>
      <c r="J77" s="138">
        <v>12</v>
      </c>
      <c r="K77" s="138">
        <v>12</v>
      </c>
      <c r="L77" s="163"/>
      <c r="M77" s="163"/>
      <c r="N77" s="163"/>
      <c r="O77" s="163"/>
      <c r="P77" s="939">
        <f>IFERROR(IF(VLOOKUP(Table_Shelter[[#This Row],[CampName]],CL,5,0)&lt;Table_Shelter[[#This Row],[HH Covered2]],VLOOKUP(Table_Shelter[[#This Row],[CampName]],CL,5,0),Table_Shelter[[#This Row],[HH Covered2]]),"")</f>
        <v>12</v>
      </c>
      <c r="Q77" s="139">
        <f>IF(Table_Shelter[[#This Row],[Status]]="Open",IF(W77="NO",Table_Shelter[[#This Row],[HH per Shelter]]*(Table_Shelter[[#This Row],['# of Temporary Shelter Units Built]]+Table_Shelter[[#This Row],['# of Temporary Shelter Under  Construction]]+Table_Shelter[[#This Row],['# of Permanent House Under Construction]]),0),0)</f>
        <v>12</v>
      </c>
      <c r="R77" s="139"/>
      <c r="S77" s="163"/>
      <c r="T77" s="163" t="str">
        <f>IFERROR(VLOOKUP(Table_Shelter[[#This Row],[CampName]],CL,2,0),"")</f>
        <v>MMR001CMP168</v>
      </c>
      <c r="U77" s="163" t="str">
        <f>IFERROR(VLOOKUP(Table_Shelter[[#This Row],[CampName]],CL,3,0),"")</f>
        <v>Open</v>
      </c>
      <c r="V77" s="240">
        <f>IFERROR(Table_Shelter[[#This Row],[HH Covered]]/VLOOKUP(Table_Shelter[[#This Row],[CampName]],CL,5,0),"")</f>
        <v>0.16666666666666666</v>
      </c>
      <c r="W77" s="240" t="s">
        <v>1292</v>
      </c>
      <c r="X77" s="164"/>
    </row>
    <row r="78" spans="1:24" ht="15" customHeight="1" x14ac:dyDescent="0.25">
      <c r="A78" s="483">
        <v>42416</v>
      </c>
      <c r="B78" s="162" t="s">
        <v>451</v>
      </c>
      <c r="C78" s="162" t="s">
        <v>504</v>
      </c>
      <c r="D78" s="162" t="s">
        <v>380</v>
      </c>
      <c r="E78" s="307" t="s">
        <v>526</v>
      </c>
      <c r="F78" s="162" t="s">
        <v>41</v>
      </c>
      <c r="G78" s="103">
        <v>1</v>
      </c>
      <c r="H78" s="103"/>
      <c r="I78" s="103"/>
      <c r="J78" s="103">
        <v>15</v>
      </c>
      <c r="K78" s="103">
        <v>15</v>
      </c>
      <c r="L78" s="162"/>
      <c r="M78" s="162"/>
      <c r="N78" s="162"/>
      <c r="O78" s="162"/>
      <c r="P78" s="934">
        <f>IFERROR(IF(VLOOKUP(Table_Shelter[[#This Row],[CampName]],CL,5,0)&lt;Table_Shelter[[#This Row],[HH Covered2]],VLOOKUP(Table_Shelter[[#This Row],[CampName]],CL,5,0),Table_Shelter[[#This Row],[HH Covered2]]),"")</f>
        <v>15</v>
      </c>
      <c r="Q78" s="139">
        <f>IF(Table_Shelter[[#This Row],[Status]]="Open",IF(W78="NO",Table_Shelter[[#This Row],[HH per Shelter]]*(Table_Shelter[[#This Row],['# of Temporary Shelter Units Built]]+Table_Shelter[[#This Row],['# of Temporary Shelter Under  Construction]]+Table_Shelter[[#This Row],['# of Permanent House Under Construction]]),0),0)</f>
        <v>15</v>
      </c>
      <c r="R78" s="102"/>
      <c r="S78" s="162"/>
      <c r="T78" s="163" t="str">
        <f>IFERROR(VLOOKUP(Table_Shelter[[#This Row],[CampName]],CL,2,0),"")</f>
        <v>MMR001CMP176</v>
      </c>
      <c r="U78" s="163" t="str">
        <f>IFERROR(VLOOKUP(Table_Shelter[[#This Row],[CampName]],CL,3,0),"")</f>
        <v>Open</v>
      </c>
      <c r="V78" s="240">
        <f>IFERROR(Table_Shelter[[#This Row],[HH Covered]]/VLOOKUP(Table_Shelter[[#This Row],[CampName]],CL,5,0),"")</f>
        <v>0.22727272727272727</v>
      </c>
      <c r="W78" s="240" t="s">
        <v>1292</v>
      </c>
      <c r="X78" s="164"/>
    </row>
    <row r="79" spans="1:24" ht="15" customHeight="1" x14ac:dyDescent="0.25">
      <c r="A79" s="483">
        <v>42416</v>
      </c>
      <c r="B79" s="162" t="s">
        <v>451</v>
      </c>
      <c r="C79" s="162" t="s">
        <v>505</v>
      </c>
      <c r="D79" s="165" t="s">
        <v>380</v>
      </c>
      <c r="E79" s="307" t="s">
        <v>185</v>
      </c>
      <c r="F79" s="162" t="s">
        <v>192</v>
      </c>
      <c r="G79" s="103">
        <v>1</v>
      </c>
      <c r="H79" s="103"/>
      <c r="I79" s="103"/>
      <c r="J79" s="103">
        <v>82</v>
      </c>
      <c r="K79" s="103">
        <v>82</v>
      </c>
      <c r="L79" s="162"/>
      <c r="M79" s="162"/>
      <c r="N79" s="162"/>
      <c r="O79" s="162"/>
      <c r="P79" s="934">
        <f>IFERROR(IF(VLOOKUP(Table_Shelter[[#This Row],[CampName]],CL,5,0)&lt;Table_Shelter[[#This Row],[HH Covered2]],VLOOKUP(Table_Shelter[[#This Row],[CampName]],CL,5,0),Table_Shelter[[#This Row],[HH Covered2]]),"")</f>
        <v>82</v>
      </c>
      <c r="Q79" s="139">
        <f>IF(Table_Shelter[[#This Row],[Status]]="Open",IF(W79="NO",Table_Shelter[[#This Row],[HH per Shelter]]*(Table_Shelter[[#This Row],['# of Temporary Shelter Units Built]]+Table_Shelter[[#This Row],['# of Temporary Shelter Under  Construction]]+Table_Shelter[[#This Row],['# of Permanent House Under Construction]]),0),0)</f>
        <v>82</v>
      </c>
      <c r="R79" s="102"/>
      <c r="S79" s="162"/>
      <c r="T79" s="163" t="str">
        <f>IFERROR(VLOOKUP(Table_Shelter[[#This Row],[CampName]],CL,2,0),"")</f>
        <v>MMR001CMP123</v>
      </c>
      <c r="U79" s="163" t="str">
        <f>IFERROR(VLOOKUP(Table_Shelter[[#This Row],[CampName]],CL,3,0),"")</f>
        <v>Open</v>
      </c>
      <c r="V79" s="240">
        <f>IFERROR(Table_Shelter[[#This Row],[HH Covered]]/VLOOKUP(Table_Shelter[[#This Row],[CampName]],CL,5,0),"")</f>
        <v>0.79611650485436891</v>
      </c>
      <c r="W79" s="240" t="s">
        <v>1292</v>
      </c>
      <c r="X79" s="164"/>
    </row>
    <row r="80" spans="1:24" ht="15" customHeight="1" x14ac:dyDescent="0.25">
      <c r="A80" s="722">
        <v>42416</v>
      </c>
      <c r="B80" s="162" t="s">
        <v>451</v>
      </c>
      <c r="C80" s="162" t="s">
        <v>459</v>
      </c>
      <c r="D80" s="165" t="s">
        <v>380</v>
      </c>
      <c r="E80" s="307" t="s">
        <v>237</v>
      </c>
      <c r="F80" s="162" t="s">
        <v>277</v>
      </c>
      <c r="G80" s="103">
        <v>1</v>
      </c>
      <c r="H80" s="105"/>
      <c r="I80" s="105"/>
      <c r="J80" s="105"/>
      <c r="K80" s="105"/>
      <c r="L80" s="164"/>
      <c r="M80" s="164"/>
      <c r="N80" s="164"/>
      <c r="O80" s="164"/>
      <c r="P80" s="936">
        <f>IFERROR(IF(VLOOKUP(Table_Shelter[[#This Row],[CampName]],CL,5,0)&lt;Table_Shelter[[#This Row],[HH Covered2]],VLOOKUP(Table_Shelter[[#This Row],[CampName]],CL,5,0),Table_Shelter[[#This Row],[HH Covered2]]),"")</f>
        <v>0</v>
      </c>
      <c r="Q80" s="104">
        <f>IF(Table_Shelter[[#This Row],[Status]]="Open",IF(W80="NO",Table_Shelter[[#This Row],[HH per Shelter]]*(Table_Shelter[[#This Row],['# of Temporary Shelter Units Built]]+Table_Shelter[[#This Row],['# of Temporary Shelter Under  Construction]]+Table_Shelter[[#This Row],['# of Permanent House Under Construction]]),0),0)</f>
        <v>0</v>
      </c>
      <c r="R80" s="104">
        <v>30</v>
      </c>
      <c r="S80" s="104">
        <v>30</v>
      </c>
      <c r="T80" s="164" t="str">
        <f>IFERROR(VLOOKUP(Table_Shelter[[#This Row],[CampName]],CL,2,0),"")</f>
        <v>MMR001CMP006</v>
      </c>
      <c r="U80" s="164" t="str">
        <f>IFERROR(VLOOKUP(Table_Shelter[[#This Row],[CampName]],CL,3,0),"")</f>
        <v>Open</v>
      </c>
      <c r="V80" s="240">
        <f>IFERROR(Table_Shelter[[#This Row],[HH Covered]]/VLOOKUP(Table_Shelter[[#This Row],[CampName]],CL,5,0),"")</f>
        <v>0</v>
      </c>
      <c r="W80" s="164" t="s">
        <v>1292</v>
      </c>
      <c r="X80" s="16"/>
    </row>
    <row r="81" spans="1:24" ht="15" customHeight="1" x14ac:dyDescent="0.25">
      <c r="A81" s="722">
        <v>42416</v>
      </c>
      <c r="B81" s="162" t="s">
        <v>451</v>
      </c>
      <c r="C81" s="162" t="s">
        <v>459</v>
      </c>
      <c r="D81" s="165" t="s">
        <v>380</v>
      </c>
      <c r="E81" s="307" t="s">
        <v>237</v>
      </c>
      <c r="F81" s="162" t="s">
        <v>281</v>
      </c>
      <c r="G81" s="103">
        <v>1</v>
      </c>
      <c r="H81" s="105"/>
      <c r="I81" s="105"/>
      <c r="J81" s="105"/>
      <c r="K81" s="105"/>
      <c r="L81" s="164"/>
      <c r="M81" s="164"/>
      <c r="N81" s="164"/>
      <c r="O81" s="164"/>
      <c r="P81" s="936">
        <f>IFERROR(IF(VLOOKUP(Table_Shelter[[#This Row],[CampName]],CL,5,0)&lt;Table_Shelter[[#This Row],[HH Covered2]],VLOOKUP(Table_Shelter[[#This Row],[CampName]],CL,5,0),Table_Shelter[[#This Row],[HH Covered2]]),"")</f>
        <v>0</v>
      </c>
      <c r="Q81" s="104">
        <f>IF(Table_Shelter[[#This Row],[Status]]="Open",IF(W81="NO",Table_Shelter[[#This Row],[HH per Shelter]]*(Table_Shelter[[#This Row],['# of Temporary Shelter Units Built]]+Table_Shelter[[#This Row],['# of Temporary Shelter Under  Construction]]+Table_Shelter[[#This Row],['# of Permanent House Under Construction]]),0),0)</f>
        <v>0</v>
      </c>
      <c r="R81" s="104">
        <v>46</v>
      </c>
      <c r="S81" s="104">
        <v>46</v>
      </c>
      <c r="T81" s="164" t="str">
        <f>IFERROR(VLOOKUP(Table_Shelter[[#This Row],[CampName]],CL,2,0),"")</f>
        <v>MMR001CMP009</v>
      </c>
      <c r="U81" s="164" t="str">
        <f>IFERROR(VLOOKUP(Table_Shelter[[#This Row],[CampName]],CL,3,0),"")</f>
        <v>Open</v>
      </c>
      <c r="V81" s="240">
        <f>IFERROR(Table_Shelter[[#This Row],[HH Covered]]/VLOOKUP(Table_Shelter[[#This Row],[CampName]],CL,5,0),"")</f>
        <v>0</v>
      </c>
      <c r="W81" s="240" t="s">
        <v>1292</v>
      </c>
      <c r="X81" s="164"/>
    </row>
    <row r="82" spans="1:24" ht="15" customHeight="1" x14ac:dyDescent="0.25">
      <c r="A82" s="678">
        <v>42416</v>
      </c>
      <c r="B82" s="162" t="s">
        <v>451</v>
      </c>
      <c r="C82" s="162" t="s">
        <v>459</v>
      </c>
      <c r="D82" s="165" t="s">
        <v>380</v>
      </c>
      <c r="E82" s="307" t="s">
        <v>237</v>
      </c>
      <c r="F82" s="162" t="s">
        <v>238</v>
      </c>
      <c r="G82" s="103">
        <v>1</v>
      </c>
      <c r="H82" s="105"/>
      <c r="I82" s="105"/>
      <c r="J82" s="105"/>
      <c r="K82" s="105"/>
      <c r="L82" s="164"/>
      <c r="M82" s="164"/>
      <c r="N82" s="164"/>
      <c r="O82" s="164"/>
      <c r="P82" s="936">
        <f>IFERROR(IF(VLOOKUP(Table_Shelter[[#This Row],[CampName]],CL,5,0)&lt;Table_Shelter[[#This Row],[HH Covered2]],VLOOKUP(Table_Shelter[[#This Row],[CampName]],CL,5,0),Table_Shelter[[#This Row],[HH Covered2]]),"")</f>
        <v>0</v>
      </c>
      <c r="Q82" s="104">
        <f>IF(Table_Shelter[[#This Row],[Status]]="Open",IF(W82="NO",Table_Shelter[[#This Row],[HH per Shelter]]*(Table_Shelter[[#This Row],['# of Temporary Shelter Units Built]]+Table_Shelter[[#This Row],['# of Temporary Shelter Under  Construction]]+Table_Shelter[[#This Row],['# of Permanent House Under Construction]]),0),0)</f>
        <v>0</v>
      </c>
      <c r="R82" s="104">
        <v>37</v>
      </c>
      <c r="S82" s="104">
        <v>37</v>
      </c>
      <c r="T82" s="164" t="str">
        <f>IFERROR(VLOOKUP(Table_Shelter[[#This Row],[CampName]],CL,2,0),"")</f>
        <v>MMR001CMP001</v>
      </c>
      <c r="U82" s="164" t="str">
        <f>IFERROR(VLOOKUP(Table_Shelter[[#This Row],[CampName]],CL,3,0),"")</f>
        <v>Open</v>
      </c>
      <c r="V82" s="240">
        <f>IFERROR(Table_Shelter[[#This Row],[HH Covered]]/VLOOKUP(Table_Shelter[[#This Row],[CampName]],CL,5,0),"")</f>
        <v>0</v>
      </c>
      <c r="W82" s="164" t="s">
        <v>1292</v>
      </c>
      <c r="X82" s="16"/>
    </row>
    <row r="83" spans="1:24" ht="15" customHeight="1" x14ac:dyDescent="0.25">
      <c r="A83" s="722">
        <v>42416</v>
      </c>
      <c r="B83" s="162" t="s">
        <v>451</v>
      </c>
      <c r="C83" s="162" t="s">
        <v>459</v>
      </c>
      <c r="D83" s="165" t="s">
        <v>380</v>
      </c>
      <c r="E83" s="307" t="s">
        <v>310</v>
      </c>
      <c r="F83" s="162" t="s">
        <v>1233</v>
      </c>
      <c r="G83" s="103">
        <v>1</v>
      </c>
      <c r="H83" s="105"/>
      <c r="I83" s="105"/>
      <c r="J83" s="105"/>
      <c r="K83" s="105"/>
      <c r="L83" s="164"/>
      <c r="M83" s="164"/>
      <c r="N83" s="164"/>
      <c r="O83" s="164"/>
      <c r="P83" s="936">
        <f>IFERROR(IF(VLOOKUP(Table_Shelter[[#This Row],[CampName]],CL,5,0)&lt;Table_Shelter[[#This Row],[HH Covered2]],VLOOKUP(Table_Shelter[[#This Row],[CampName]],CL,5,0),Table_Shelter[[#This Row],[HH Covered2]]),"")</f>
        <v>0</v>
      </c>
      <c r="Q83" s="104">
        <f>IF(Table_Shelter[[#This Row],[Status]]="Open",IF(W83="NO",Table_Shelter[[#This Row],[HH per Shelter]]*(Table_Shelter[[#This Row],['# of Temporary Shelter Units Built]]+Table_Shelter[[#This Row],['# of Temporary Shelter Under  Construction]]+Table_Shelter[[#This Row],['# of Permanent House Under Construction]]),0),0)</f>
        <v>0</v>
      </c>
      <c r="R83" s="104">
        <v>8</v>
      </c>
      <c r="S83" s="104">
        <v>8</v>
      </c>
      <c r="T83" s="164" t="str">
        <f>IFERROR(VLOOKUP(Table_Shelter[[#This Row],[CampName]],CL,2,0),"")</f>
        <v>MMR001CMP111</v>
      </c>
      <c r="U83" s="164" t="str">
        <f>IFERROR(VLOOKUP(Table_Shelter[[#This Row],[CampName]],CL,3,0),"")</f>
        <v>Closed</v>
      </c>
      <c r="V83" s="240" t="str">
        <f>IFERROR(Table_Shelter[[#This Row],[HH Covered]]/VLOOKUP(Table_Shelter[[#This Row],[CampName]],CL,5,0),"")</f>
        <v/>
      </c>
      <c r="W83" s="164" t="s">
        <v>1292</v>
      </c>
      <c r="X83" s="16"/>
    </row>
    <row r="84" spans="1:24" ht="15" customHeight="1" x14ac:dyDescent="0.25">
      <c r="A84" s="723">
        <v>42416</v>
      </c>
      <c r="B84" s="162" t="s">
        <v>451</v>
      </c>
      <c r="C84" s="162" t="s">
        <v>504</v>
      </c>
      <c r="D84" s="165" t="s">
        <v>380</v>
      </c>
      <c r="E84" s="307" t="s">
        <v>5</v>
      </c>
      <c r="F84" s="162" t="s">
        <v>18</v>
      </c>
      <c r="G84" s="103">
        <v>1</v>
      </c>
      <c r="H84" s="103"/>
      <c r="I84" s="103"/>
      <c r="J84" s="103">
        <v>15</v>
      </c>
      <c r="K84" s="103">
        <v>15</v>
      </c>
      <c r="L84" s="162"/>
      <c r="M84" s="162"/>
      <c r="N84" s="162"/>
      <c r="O84" s="162"/>
      <c r="P84" s="934">
        <f>IFERROR(IF(VLOOKUP(Table_Shelter[[#This Row],[CampName]],CL,5,0)&lt;Table_Shelter[[#This Row],[HH Covered2]],VLOOKUP(Table_Shelter[[#This Row],[CampName]],CL,5,0),Table_Shelter[[#This Row],[HH Covered2]]),"")</f>
        <v>15</v>
      </c>
      <c r="Q84" s="139">
        <f>IF(Table_Shelter[[#This Row],[Status]]="Open",IF(W84="NO",Table_Shelter[[#This Row],[HH per Shelter]]*(Table_Shelter[[#This Row],['# of Temporary Shelter Units Built]]+Table_Shelter[[#This Row],['# of Temporary Shelter Under  Construction]]+Table_Shelter[[#This Row],['# of Permanent House Under Construction]]),0),0)</f>
        <v>15</v>
      </c>
      <c r="R84" s="102"/>
      <c r="S84" s="162"/>
      <c r="T84" s="163" t="str">
        <f>IFERROR(VLOOKUP(Table_Shelter[[#This Row],[CampName]],CL,2,0),"")</f>
        <v>MMR001CMP049</v>
      </c>
      <c r="U84" s="163" t="str">
        <f>IFERROR(VLOOKUP(Table_Shelter[[#This Row],[CampName]],CL,3,0),"")</f>
        <v>Open</v>
      </c>
      <c r="V84" s="240">
        <f>IFERROR(Table_Shelter[[#This Row],[HH Covered]]/VLOOKUP(Table_Shelter[[#This Row],[CampName]],CL,5,0),"")</f>
        <v>0.11538461538461539</v>
      </c>
      <c r="W84" s="240" t="s">
        <v>1292</v>
      </c>
      <c r="X84" s="164"/>
    </row>
    <row r="85" spans="1:24" ht="15" customHeight="1" x14ac:dyDescent="0.25">
      <c r="A85" s="723">
        <v>42416</v>
      </c>
      <c r="B85" s="162" t="s">
        <v>847</v>
      </c>
      <c r="C85" s="162"/>
      <c r="D85" s="165" t="s">
        <v>380</v>
      </c>
      <c r="E85" s="307" t="s">
        <v>300</v>
      </c>
      <c r="F85" s="162" t="s">
        <v>1248</v>
      </c>
      <c r="G85" s="103">
        <v>1</v>
      </c>
      <c r="H85" s="105"/>
      <c r="I85" s="105"/>
      <c r="J85" s="105">
        <v>60</v>
      </c>
      <c r="K85" s="105">
        <v>60</v>
      </c>
      <c r="L85" s="164"/>
      <c r="M85" s="164"/>
      <c r="N85" s="164"/>
      <c r="O85" s="164"/>
      <c r="P85" s="936">
        <f>IFERROR(IF(VLOOKUP(Table_Shelter[[#This Row],[CampName]],CL,5,0)&lt;Table_Shelter[[#This Row],[HH Covered2]],VLOOKUP(Table_Shelter[[#This Row],[CampName]],CL,5,0),Table_Shelter[[#This Row],[HH Covered2]]),"")</f>
        <v>60</v>
      </c>
      <c r="Q85" s="104">
        <f>IF(Table_Shelter[[#This Row],[Status]]="Open",IF(W85="NO",Table_Shelter[[#This Row],[HH per Shelter]]*(Table_Shelter[[#This Row],['# of Temporary Shelter Units Built]]+Table_Shelter[[#This Row],['# of Temporary Shelter Under  Construction]]+Table_Shelter[[#This Row],['# of Permanent House Under Construction]]),0),0)</f>
        <v>60</v>
      </c>
      <c r="R85" s="104"/>
      <c r="S85" s="164"/>
      <c r="T85" s="164" t="str">
        <f>IFERROR(VLOOKUP(Table_Shelter[[#This Row],[CampName]],CL,2,0),"")</f>
        <v>MMR001CMP234</v>
      </c>
      <c r="U85" s="164" t="str">
        <f>IFERROR(VLOOKUP(Table_Shelter[[#This Row],[CampName]],CL,3,0),"")</f>
        <v>Open</v>
      </c>
      <c r="V85" s="240">
        <f>IFERROR(Table_Shelter[[#This Row],[HH Covered]]/VLOOKUP(Table_Shelter[[#This Row],[CampName]],CL,5,0),"")</f>
        <v>0.98360655737704916</v>
      </c>
      <c r="W85" s="240" t="s">
        <v>1292</v>
      </c>
      <c r="X85" s="164"/>
    </row>
    <row r="86" spans="1:24" ht="15" customHeight="1" x14ac:dyDescent="0.25">
      <c r="A86" s="723">
        <v>42416</v>
      </c>
      <c r="B86" s="162" t="s">
        <v>845</v>
      </c>
      <c r="C86" s="162"/>
      <c r="D86" s="165" t="s">
        <v>552</v>
      </c>
      <c r="E86" s="307" t="s">
        <v>289</v>
      </c>
      <c r="F86" s="162" t="s">
        <v>1051</v>
      </c>
      <c r="G86" s="103">
        <v>1</v>
      </c>
      <c r="H86" s="105"/>
      <c r="I86" s="105"/>
      <c r="J86" s="105">
        <v>25</v>
      </c>
      <c r="K86" s="105">
        <v>25</v>
      </c>
      <c r="L86" s="164"/>
      <c r="M86" s="164"/>
      <c r="N86" s="164"/>
      <c r="O86" s="164"/>
      <c r="P86" s="936">
        <f>IFERROR(IF(VLOOKUP(Table_Shelter[[#This Row],[CampName]],CL,5,0)&lt;Table_Shelter[[#This Row],[HH Covered2]],VLOOKUP(Table_Shelter[[#This Row],[CampName]],CL,5,0),Table_Shelter[[#This Row],[HH Covered2]]),"")</f>
        <v>25</v>
      </c>
      <c r="Q86" s="104">
        <f>IF(Table_Shelter[[#This Row],[Status]]="Open",IF(W86="NO",Table_Shelter[[#This Row],[HH per Shelter]]*(Table_Shelter[[#This Row],['# of Temporary Shelter Units Built]]+Table_Shelter[[#This Row],['# of Temporary Shelter Under  Construction]]+Table_Shelter[[#This Row],['# of Permanent House Under Construction]]),0),0)</f>
        <v>25</v>
      </c>
      <c r="R86" s="104"/>
      <c r="S86" s="164"/>
      <c r="T86" s="164" t="str">
        <f>IFERROR(VLOOKUP(Table_Shelter[[#This Row],[CampName]],CL,2,0),"")</f>
        <v>MMR015CMP214</v>
      </c>
      <c r="U86" s="164" t="str">
        <f>IFERROR(VLOOKUP(Table_Shelter[[#This Row],[CampName]],CL,3,0),"")</f>
        <v>Open</v>
      </c>
      <c r="V86" s="240">
        <f>IFERROR(Table_Shelter[[#This Row],[HH Covered]]/VLOOKUP(Table_Shelter[[#This Row],[CampName]],CL,5,0),"")</f>
        <v>0.69444444444444442</v>
      </c>
      <c r="W86" s="164" t="s">
        <v>1292</v>
      </c>
      <c r="X86" s="16"/>
    </row>
    <row r="87" spans="1:24" ht="15" customHeight="1" x14ac:dyDescent="0.25">
      <c r="A87" s="723">
        <v>42416</v>
      </c>
      <c r="B87" s="162" t="s">
        <v>845</v>
      </c>
      <c r="C87" s="162"/>
      <c r="D87" s="165" t="s">
        <v>552</v>
      </c>
      <c r="E87" s="307" t="s">
        <v>230</v>
      </c>
      <c r="F87" s="162" t="s">
        <v>361</v>
      </c>
      <c r="G87" s="103">
        <v>1</v>
      </c>
      <c r="H87" s="105"/>
      <c r="I87" s="105"/>
      <c r="J87" s="105">
        <v>9</v>
      </c>
      <c r="K87" s="105">
        <v>9</v>
      </c>
      <c r="L87" s="164"/>
      <c r="M87" s="164"/>
      <c r="N87" s="164"/>
      <c r="O87" s="164"/>
      <c r="P87" s="936">
        <f>IFERROR(IF(VLOOKUP(Table_Shelter[[#This Row],[CampName]],CL,5,0)&lt;Table_Shelter[[#This Row],[HH Covered2]],VLOOKUP(Table_Shelter[[#This Row],[CampName]],CL,5,0),Table_Shelter[[#This Row],[HH Covered2]]),"")</f>
        <v>9</v>
      </c>
      <c r="Q87" s="104">
        <f>IF(Table_Shelter[[#This Row],[Status]]="Open",IF(W87="NO",Table_Shelter[[#This Row],[HH per Shelter]]*(Table_Shelter[[#This Row],['# of Temporary Shelter Units Built]]+Table_Shelter[[#This Row],['# of Temporary Shelter Under  Construction]]+Table_Shelter[[#This Row],['# of Permanent House Under Construction]]),0),0)</f>
        <v>9</v>
      </c>
      <c r="R87" s="104"/>
      <c r="S87" s="164"/>
      <c r="T87" s="164" t="str">
        <f>IFERROR(VLOOKUP(Table_Shelter[[#This Row],[CampName]],CL,2,0),"")</f>
        <v>MMR015CMP139</v>
      </c>
      <c r="U87" s="164" t="str">
        <f>IFERROR(VLOOKUP(Table_Shelter[[#This Row],[CampName]],CL,3,0),"")</f>
        <v>Open</v>
      </c>
      <c r="V87" s="240">
        <f>IFERROR(Table_Shelter[[#This Row],[HH Covered]]/VLOOKUP(Table_Shelter[[#This Row],[CampName]],CL,5,0),"")</f>
        <v>1</v>
      </c>
      <c r="W87" s="164" t="s">
        <v>1292</v>
      </c>
      <c r="X87" s="16"/>
    </row>
    <row r="88" spans="1:24" ht="15" customHeight="1" x14ac:dyDescent="0.25">
      <c r="A88" s="483">
        <v>42416</v>
      </c>
      <c r="B88" s="162" t="s">
        <v>845</v>
      </c>
      <c r="C88" s="162"/>
      <c r="D88" s="169" t="s">
        <v>552</v>
      </c>
      <c r="E88" s="170" t="s">
        <v>778</v>
      </c>
      <c r="F88" s="103" t="s">
        <v>1262</v>
      </c>
      <c r="G88" s="103">
        <v>1</v>
      </c>
      <c r="H88" s="105"/>
      <c r="I88" s="105"/>
      <c r="J88" s="105">
        <v>25</v>
      </c>
      <c r="K88" s="105">
        <v>25</v>
      </c>
      <c r="L88" s="105"/>
      <c r="M88" s="105"/>
      <c r="N88" s="105"/>
      <c r="O88" s="105"/>
      <c r="P88" s="936">
        <f>IFERROR(IF(VLOOKUP(Table_Shelter[[#This Row],[CampName]],CL,5,0)&lt;Table_Shelter[[#This Row],[HH Covered2]],VLOOKUP(Table_Shelter[[#This Row],[CampName]],CL,5,0),Table_Shelter[[#This Row],[HH Covered2]]),"")</f>
        <v>25</v>
      </c>
      <c r="Q88" s="104">
        <f>IF(Table_Shelter[[#This Row],[Status]]="Open",IF(W88="NO",Table_Shelter[[#This Row],[HH per Shelter]]*(Table_Shelter[[#This Row],['# of Temporary Shelter Units Built]]+Table_Shelter[[#This Row],['# of Temporary Shelter Under  Construction]]+Table_Shelter[[#This Row],['# of Permanent House Under Construction]]),0),0)</f>
        <v>25</v>
      </c>
      <c r="R88" s="104"/>
      <c r="S88" s="104"/>
      <c r="T88" s="104" t="str">
        <f>IFERROR(VLOOKUP(Table_Shelter[[#This Row],[CampName]],CL,2,0),"")</f>
        <v>MMR015CMP218</v>
      </c>
      <c r="U88" s="104" t="str">
        <f>IFERROR(VLOOKUP(Table_Shelter[[#This Row],[CampName]],CL,3,0),"")</f>
        <v>Open</v>
      </c>
      <c r="V88" s="241">
        <f>IFERROR(Table_Shelter[[#This Row],[HH Covered]]/VLOOKUP(Table_Shelter[[#This Row],[CampName]],CL,5,0),"")</f>
        <v>0.73529411764705888</v>
      </c>
      <c r="W88" s="487" t="s">
        <v>1292</v>
      </c>
      <c r="X88" s="16"/>
    </row>
    <row r="89" spans="1:24" ht="15" customHeight="1" x14ac:dyDescent="0.25">
      <c r="A89" s="723">
        <v>42416</v>
      </c>
      <c r="B89" s="162" t="s">
        <v>845</v>
      </c>
      <c r="C89" s="162"/>
      <c r="D89" s="165" t="s">
        <v>552</v>
      </c>
      <c r="E89" s="307" t="s">
        <v>289</v>
      </c>
      <c r="F89" s="162" t="s">
        <v>1063</v>
      </c>
      <c r="G89" s="103">
        <v>1</v>
      </c>
      <c r="H89" s="105"/>
      <c r="I89" s="105"/>
      <c r="J89" s="105">
        <v>36</v>
      </c>
      <c r="K89" s="105">
        <v>36</v>
      </c>
      <c r="L89" s="164"/>
      <c r="M89" s="164"/>
      <c r="N89" s="164"/>
      <c r="O89" s="164"/>
      <c r="P89" s="936">
        <f>IFERROR(IF(VLOOKUP(Table_Shelter[[#This Row],[CampName]],CL,5,0)&lt;Table_Shelter[[#This Row],[HH Covered2]],VLOOKUP(Table_Shelter[[#This Row],[CampName]],CL,5,0),Table_Shelter[[#This Row],[HH Covered2]]),"")</f>
        <v>36</v>
      </c>
      <c r="Q89" s="104">
        <f>IF(Table_Shelter[[#This Row],[Status]]="Open",IF(W89="NO",Table_Shelter[[#This Row],[HH per Shelter]]*(Table_Shelter[[#This Row],['# of Temporary Shelter Units Built]]+Table_Shelter[[#This Row],['# of Temporary Shelter Under  Construction]]+Table_Shelter[[#This Row],['# of Permanent House Under Construction]]),0),0)</f>
        <v>36</v>
      </c>
      <c r="R89" s="104"/>
      <c r="S89" s="164"/>
      <c r="T89" s="164" t="str">
        <f>IFERROR(VLOOKUP(Table_Shelter[[#This Row],[CampName]],CL,2,0),"")</f>
        <v>MMR015CMP215</v>
      </c>
      <c r="U89" s="164" t="str">
        <f>IFERROR(VLOOKUP(Table_Shelter[[#This Row],[CampName]],CL,3,0),"")</f>
        <v>Open</v>
      </c>
      <c r="V89" s="240">
        <f>IFERROR(Table_Shelter[[#This Row],[HH Covered]]/VLOOKUP(Table_Shelter[[#This Row],[CampName]],CL,5,0),"")</f>
        <v>0.3</v>
      </c>
      <c r="W89" s="240" t="s">
        <v>1292</v>
      </c>
      <c r="X89" s="164"/>
    </row>
    <row r="90" spans="1:24" ht="15" customHeight="1" x14ac:dyDescent="0.25">
      <c r="A90" s="723">
        <v>42416</v>
      </c>
      <c r="B90" s="162" t="s">
        <v>451</v>
      </c>
      <c r="C90" s="162" t="s">
        <v>505</v>
      </c>
      <c r="D90" s="165" t="s">
        <v>380</v>
      </c>
      <c r="E90" s="307" t="s">
        <v>237</v>
      </c>
      <c r="F90" s="162" t="s">
        <v>273</v>
      </c>
      <c r="G90" s="103">
        <v>1</v>
      </c>
      <c r="H90" s="105"/>
      <c r="I90" s="105"/>
      <c r="J90" s="105">
        <v>14</v>
      </c>
      <c r="K90" s="105">
        <v>14</v>
      </c>
      <c r="L90" s="164"/>
      <c r="M90" s="164"/>
      <c r="N90" s="164"/>
      <c r="O90" s="164"/>
      <c r="P90" s="936">
        <f>IFERROR(IF(VLOOKUP(Table_Shelter[[#This Row],[CampName]],CL,5,0)&lt;Table_Shelter[[#This Row],[HH Covered2]],VLOOKUP(Table_Shelter[[#This Row],[CampName]],CL,5,0),Table_Shelter[[#This Row],[HH Covered2]]),"")</f>
        <v>14</v>
      </c>
      <c r="Q90" s="104">
        <f>IF(Table_Shelter[[#This Row],[Status]]="Open",IF(W90="NO",Table_Shelter[[#This Row],[HH per Shelter]]*(Table_Shelter[[#This Row],['# of Temporary Shelter Units Built]]+Table_Shelter[[#This Row],['# of Temporary Shelter Under  Construction]]+Table_Shelter[[#This Row],['# of Permanent House Under Construction]]),0),0)</f>
        <v>14</v>
      </c>
      <c r="R90" s="104"/>
      <c r="S90" s="164"/>
      <c r="T90" s="164" t="str">
        <f>IFERROR(VLOOKUP(Table_Shelter[[#This Row],[CampName]],CL,2,0),"")</f>
        <v>MMR001CMP162</v>
      </c>
      <c r="U90" s="164" t="str">
        <f>IFERROR(VLOOKUP(Table_Shelter[[#This Row],[CampName]],CL,3,0),"")</f>
        <v>Open</v>
      </c>
      <c r="V90" s="240">
        <f>IFERROR(Table_Shelter[[#This Row],[HH Covered]]/VLOOKUP(Table_Shelter[[#This Row],[CampName]],CL,5,0),"")</f>
        <v>0.2857142857142857</v>
      </c>
      <c r="W90" s="240" t="s">
        <v>1292</v>
      </c>
      <c r="X90" s="164"/>
    </row>
    <row r="91" spans="1:24" ht="15" customHeight="1" x14ac:dyDescent="0.25">
      <c r="A91" s="723">
        <v>42416</v>
      </c>
      <c r="B91" s="162" t="s">
        <v>847</v>
      </c>
      <c r="C91" s="162"/>
      <c r="D91" s="165" t="s">
        <v>380</v>
      </c>
      <c r="E91" s="307" t="s">
        <v>310</v>
      </c>
      <c r="F91" s="162" t="s">
        <v>347</v>
      </c>
      <c r="G91" s="103">
        <v>1</v>
      </c>
      <c r="H91" s="105"/>
      <c r="I91" s="105"/>
      <c r="J91" s="105">
        <v>73</v>
      </c>
      <c r="K91" s="105">
        <v>73</v>
      </c>
      <c r="L91" s="164"/>
      <c r="M91" s="164"/>
      <c r="N91" s="164"/>
      <c r="O91" s="164"/>
      <c r="P91" s="936">
        <f>IFERROR(IF(VLOOKUP(Table_Shelter[[#This Row],[CampName]],CL,5,0)&lt;Table_Shelter[[#This Row],[HH Covered2]],VLOOKUP(Table_Shelter[[#This Row],[CampName]],CL,5,0),Table_Shelter[[#This Row],[HH Covered2]]),"")</f>
        <v>73</v>
      </c>
      <c r="Q91" s="104">
        <f>IF(Table_Shelter[[#This Row],[Status]]="Open",IF(W91="NO",Table_Shelter[[#This Row],[HH per Shelter]]*(Table_Shelter[[#This Row],['# of Temporary Shelter Units Built]]+Table_Shelter[[#This Row],['# of Temporary Shelter Under  Construction]]+Table_Shelter[[#This Row],['# of Permanent House Under Construction]]),0),0)</f>
        <v>73</v>
      </c>
      <c r="R91" s="104"/>
      <c r="S91" s="104"/>
      <c r="T91" s="104" t="str">
        <f>IFERROR(VLOOKUP(Table_Shelter[[#This Row],[CampName]],CL,2,0),"")</f>
        <v>MMR001CMP041</v>
      </c>
      <c r="U91" s="104" t="str">
        <f>IFERROR(VLOOKUP(Table_Shelter[[#This Row],[CampName]],CL,3,0),"")</f>
        <v>Open</v>
      </c>
      <c r="V91" s="240">
        <f>IFERROR(Table_Shelter[[#This Row],[HH Covered]]/VLOOKUP(Table_Shelter[[#This Row],[CampName]],CL,5,0),"")</f>
        <v>0.39673913043478259</v>
      </c>
      <c r="W91" s="104" t="s">
        <v>1292</v>
      </c>
      <c r="X91" s="16"/>
    </row>
    <row r="92" spans="1:24" ht="15" customHeight="1" x14ac:dyDescent="0.25">
      <c r="A92" s="723">
        <v>42416</v>
      </c>
      <c r="B92" s="162" t="s">
        <v>451</v>
      </c>
      <c r="C92" s="162" t="s">
        <v>504</v>
      </c>
      <c r="D92" s="165" t="s">
        <v>380</v>
      </c>
      <c r="E92" s="307" t="s">
        <v>237</v>
      </c>
      <c r="F92" s="162" t="s">
        <v>1232</v>
      </c>
      <c r="G92" s="103">
        <v>1</v>
      </c>
      <c r="H92" s="105"/>
      <c r="I92" s="105"/>
      <c r="J92" s="105">
        <v>10</v>
      </c>
      <c r="K92" s="105">
        <v>10</v>
      </c>
      <c r="L92" s="164"/>
      <c r="M92" s="164"/>
      <c r="N92" s="164"/>
      <c r="O92" s="164"/>
      <c r="P92" s="936">
        <f>IFERROR(IF(VLOOKUP(Table_Shelter[[#This Row],[CampName]],CL,5,0)&lt;Table_Shelter[[#This Row],[HH Covered2]],VLOOKUP(Table_Shelter[[#This Row],[CampName]],CL,5,0),Table_Shelter[[#This Row],[HH Covered2]]),"")</f>
        <v>10</v>
      </c>
      <c r="Q92" s="104">
        <f>IF(Table_Shelter[[#This Row],[Status]]="Open",IF(W92="NO",Table_Shelter[[#This Row],[HH per Shelter]]*(Table_Shelter[[#This Row],['# of Temporary Shelter Units Built]]+Table_Shelter[[#This Row],['# of Temporary Shelter Under  Construction]]+Table_Shelter[[#This Row],['# of Permanent House Under Construction]]),0),0)</f>
        <v>10</v>
      </c>
      <c r="R92" s="104"/>
      <c r="S92" s="164"/>
      <c r="T92" s="164" t="str">
        <f>IFERROR(VLOOKUP(Table_Shelter[[#This Row],[CampName]],CL,2,0),"")</f>
        <v>MMR001CMP023</v>
      </c>
      <c r="U92" s="164" t="str">
        <f>IFERROR(VLOOKUP(Table_Shelter[[#This Row],[CampName]],CL,3,0),"")</f>
        <v>Open</v>
      </c>
      <c r="V92" s="240">
        <f>IFERROR(Table_Shelter[[#This Row],[HH Covered]]/VLOOKUP(Table_Shelter[[#This Row],[CampName]],CL,5,0),"")</f>
        <v>0.18518518518518517</v>
      </c>
      <c r="W92" s="240" t="s">
        <v>1292</v>
      </c>
      <c r="X92" s="164"/>
    </row>
    <row r="93" spans="1:24" ht="15" customHeight="1" x14ac:dyDescent="0.25">
      <c r="A93" s="723">
        <v>42416</v>
      </c>
      <c r="B93" s="162" t="s">
        <v>845</v>
      </c>
      <c r="C93" s="162"/>
      <c r="D93" s="165" t="s">
        <v>552</v>
      </c>
      <c r="E93" s="307" t="s">
        <v>146</v>
      </c>
      <c r="F93" s="162" t="s">
        <v>373</v>
      </c>
      <c r="G93" s="103">
        <v>1</v>
      </c>
      <c r="H93" s="105"/>
      <c r="I93" s="105"/>
      <c r="J93" s="105">
        <v>16</v>
      </c>
      <c r="K93" s="105">
        <v>16</v>
      </c>
      <c r="L93" s="164"/>
      <c r="M93" s="164"/>
      <c r="N93" s="164"/>
      <c r="O93" s="164"/>
      <c r="P93" s="936">
        <f>IFERROR(IF(VLOOKUP(Table_Shelter[[#This Row],[CampName]],CL,5,0)&lt;Table_Shelter[[#This Row],[HH Covered2]],VLOOKUP(Table_Shelter[[#This Row],[CampName]],CL,5,0),Table_Shelter[[#This Row],[HH Covered2]]),"")</f>
        <v>16</v>
      </c>
      <c r="Q93" s="104">
        <f>IF(Table_Shelter[[#This Row],[Status]]="Open",IF(W93="NO",Table_Shelter[[#This Row],[HH per Shelter]]*(Table_Shelter[[#This Row],['# of Temporary Shelter Units Built]]+Table_Shelter[[#This Row],['# of Temporary Shelter Under  Construction]]+Table_Shelter[[#This Row],['# of Permanent House Under Construction]]),0),0)</f>
        <v>16</v>
      </c>
      <c r="R93" s="104"/>
      <c r="S93" s="164"/>
      <c r="T93" s="164" t="str">
        <f>IFERROR(VLOOKUP(Table_Shelter[[#This Row],[CampName]],CL,2,0),"")</f>
        <v>MMR015CMP020</v>
      </c>
      <c r="U93" s="164" t="str">
        <f>IFERROR(VLOOKUP(Table_Shelter[[#This Row],[CampName]],CL,3,0),"")</f>
        <v>Open</v>
      </c>
      <c r="V93" s="240">
        <f>IFERROR(Table_Shelter[[#This Row],[HH Covered]]/VLOOKUP(Table_Shelter[[#This Row],[CampName]],CL,5,0),"")</f>
        <v>8.6021505376344093E-2</v>
      </c>
      <c r="W93" s="164" t="s">
        <v>1292</v>
      </c>
      <c r="X93" s="16"/>
    </row>
    <row r="94" spans="1:24" ht="15" customHeight="1" x14ac:dyDescent="0.25">
      <c r="A94" s="722">
        <v>42003</v>
      </c>
      <c r="B94" s="162" t="s">
        <v>451</v>
      </c>
      <c r="C94" s="162" t="s">
        <v>459</v>
      </c>
      <c r="D94" s="165" t="s">
        <v>380</v>
      </c>
      <c r="E94" s="307" t="s">
        <v>310</v>
      </c>
      <c r="F94" s="162" t="s">
        <v>347</v>
      </c>
      <c r="G94" s="103">
        <v>1</v>
      </c>
      <c r="H94" s="105">
        <v>90</v>
      </c>
      <c r="I94" s="105"/>
      <c r="J94" s="105"/>
      <c r="K94" s="105"/>
      <c r="L94" s="164"/>
      <c r="M94" s="164"/>
      <c r="N94" s="164"/>
      <c r="O94" s="164"/>
      <c r="P94" s="936">
        <f>IFERROR(IF(VLOOKUP(Table_Shelter[[#This Row],[CampName]],CL,5,0)&lt;Table_Shelter[[#This Row],[HH Covered2]],VLOOKUP(Table_Shelter[[#This Row],[CampName]],CL,5,0),Table_Shelter[[#This Row],[HH Covered2]]),"")</f>
        <v>0</v>
      </c>
      <c r="Q94" s="104">
        <f>IF(Table_Shelter[[#This Row],[Status]]="Open",IF(W94="NO",Table_Shelter[[#This Row],[HH per Shelter]]*(Table_Shelter[[#This Row],['# of Temporary Shelter Units Built]]+Table_Shelter[[#This Row],['# of Temporary Shelter Under  Construction]]+Table_Shelter[[#This Row],['# of Permanent House Under Construction]]),0),0)</f>
        <v>0</v>
      </c>
      <c r="R94" s="104"/>
      <c r="S94" s="164"/>
      <c r="T94" s="164" t="str">
        <f>IFERROR(VLOOKUP(Table_Shelter[[#This Row],[CampName]],CL,2,0),"")</f>
        <v>MMR001CMP041</v>
      </c>
      <c r="U94" s="164" t="str">
        <f>IFERROR(VLOOKUP(Table_Shelter[[#This Row],[CampName]],CL,3,0),"")</f>
        <v>Open</v>
      </c>
      <c r="V94" s="240">
        <f>IFERROR(Table_Shelter[[#This Row],[HH Covered]]/VLOOKUP(Table_Shelter[[#This Row],[CampName]],CL,5,0),"")</f>
        <v>0</v>
      </c>
      <c r="W94" s="240" t="s">
        <v>1292</v>
      </c>
      <c r="X94" s="164"/>
    </row>
    <row r="95" spans="1:24" ht="15" customHeight="1" x14ac:dyDescent="0.25">
      <c r="A95" s="723">
        <v>41974</v>
      </c>
      <c r="B95" s="162" t="s">
        <v>451</v>
      </c>
      <c r="C95" s="162" t="s">
        <v>459</v>
      </c>
      <c r="D95" s="162" t="s">
        <v>380</v>
      </c>
      <c r="E95" s="307" t="s">
        <v>151</v>
      </c>
      <c r="F95" s="162" t="s">
        <v>188</v>
      </c>
      <c r="G95" s="103">
        <v>1</v>
      </c>
      <c r="H95" s="103"/>
      <c r="I95" s="103"/>
      <c r="J95" s="103">
        <v>90</v>
      </c>
      <c r="K95" s="103">
        <v>90</v>
      </c>
      <c r="L95" s="162"/>
      <c r="M95" s="162"/>
      <c r="N95" s="162"/>
      <c r="O95" s="162"/>
      <c r="P95" s="934">
        <f>IFERROR(IF(VLOOKUP(Table_Shelter[[#This Row],[CampName]],CL,5,0)&lt;Table_Shelter[[#This Row],[HH Covered2]],VLOOKUP(Table_Shelter[[#This Row],[CampName]],CL,5,0),Table_Shelter[[#This Row],[HH Covered2]]),"")</f>
        <v>90</v>
      </c>
      <c r="Q95" s="139">
        <f>IF(Table_Shelter[[#This Row],[Status]]="Open",IF(W95="NO",Table_Shelter[[#This Row],[HH per Shelter]]*(Table_Shelter[[#This Row],['# of Temporary Shelter Units Built]]+Table_Shelter[[#This Row],['# of Temporary Shelter Under  Construction]]+Table_Shelter[[#This Row],['# of Permanent House Under Construction]]),0),0)</f>
        <v>90</v>
      </c>
      <c r="R95" s="102"/>
      <c r="S95" s="162"/>
      <c r="T95" s="163" t="str">
        <f>IFERROR(VLOOKUP(Table_Shelter[[#This Row],[CampName]],CL,2,0),"")</f>
        <v>MMR001CMP129</v>
      </c>
      <c r="U95" s="163" t="str">
        <f>IFERROR(VLOOKUP(Table_Shelter[[#This Row],[CampName]],CL,3,0),"")</f>
        <v>Open</v>
      </c>
      <c r="V95" s="240">
        <f>IFERROR(Table_Shelter[[#This Row],[HH Covered]]/VLOOKUP(Table_Shelter[[#This Row],[CampName]],CL,5,0),"")</f>
        <v>0.23316062176165803</v>
      </c>
      <c r="W95" s="240" t="s">
        <v>1292</v>
      </c>
      <c r="X95" s="164"/>
    </row>
    <row r="96" spans="1:24" ht="15" customHeight="1" x14ac:dyDescent="0.25">
      <c r="A96" s="723">
        <v>41974</v>
      </c>
      <c r="B96" s="162" t="s">
        <v>451</v>
      </c>
      <c r="C96" s="162" t="s">
        <v>459</v>
      </c>
      <c r="D96" s="162" t="s">
        <v>380</v>
      </c>
      <c r="E96" s="307" t="s">
        <v>151</v>
      </c>
      <c r="F96" s="162" t="s">
        <v>1032</v>
      </c>
      <c r="G96" s="103">
        <v>1</v>
      </c>
      <c r="H96" s="103"/>
      <c r="I96" s="103"/>
      <c r="J96" s="103">
        <v>120</v>
      </c>
      <c r="K96" s="103">
        <v>120</v>
      </c>
      <c r="L96" s="162"/>
      <c r="M96" s="162"/>
      <c r="N96" s="162"/>
      <c r="O96" s="162"/>
      <c r="P96" s="934">
        <f>IFERROR(IF(VLOOKUP(Table_Shelter[[#This Row],[CampName]],CL,5,0)&lt;Table_Shelter[[#This Row],[HH Covered2]],VLOOKUP(Table_Shelter[[#This Row],[CampName]],CL,5,0),Table_Shelter[[#This Row],[HH Covered2]]),"")</f>
        <v>0</v>
      </c>
      <c r="Q96" s="139">
        <f>IF(Table_Shelter[[#This Row],[Status]]="Open",IF(W96="NO",Table_Shelter[[#This Row],[HH per Shelter]]*(Table_Shelter[[#This Row],['# of Temporary Shelter Units Built]]+Table_Shelter[[#This Row],['# of Temporary Shelter Under  Construction]]+Table_Shelter[[#This Row],['# of Permanent House Under Construction]]),0),0)</f>
        <v>0</v>
      </c>
      <c r="R96" s="102"/>
      <c r="S96" s="162"/>
      <c r="T96" s="163" t="str">
        <f>IFERROR(VLOOKUP(Table_Shelter[[#This Row],[CampName]],CL,2,0),"")</f>
        <v>MMR001CMP226</v>
      </c>
      <c r="U96" s="163" t="str">
        <f>IFERROR(VLOOKUP(Table_Shelter[[#This Row],[CampName]],CL,3,0),"")</f>
        <v>Closed</v>
      </c>
      <c r="V96" s="240" t="str">
        <f>IFERROR(Table_Shelter[[#This Row],[HH Covered]]/VLOOKUP(Table_Shelter[[#This Row],[CampName]],CL,5,0),"")</f>
        <v/>
      </c>
      <c r="W96" s="240" t="s">
        <v>1292</v>
      </c>
      <c r="X96" s="164"/>
    </row>
    <row r="97" spans="1:119" ht="15" customHeight="1" x14ac:dyDescent="0.25">
      <c r="A97" s="723">
        <v>41974</v>
      </c>
      <c r="B97" s="162" t="s">
        <v>451</v>
      </c>
      <c r="C97" s="162" t="s">
        <v>459</v>
      </c>
      <c r="D97" s="162" t="s">
        <v>380</v>
      </c>
      <c r="E97" s="307" t="s">
        <v>151</v>
      </c>
      <c r="F97" s="162" t="s">
        <v>198</v>
      </c>
      <c r="G97" s="103">
        <v>1</v>
      </c>
      <c r="H97" s="103"/>
      <c r="I97" s="103"/>
      <c r="J97" s="103">
        <v>118</v>
      </c>
      <c r="K97" s="103">
        <v>118</v>
      </c>
      <c r="L97" s="162"/>
      <c r="M97" s="162"/>
      <c r="N97" s="162"/>
      <c r="O97" s="162"/>
      <c r="P97" s="934">
        <f>IFERROR(IF(VLOOKUP(Table_Shelter[[#This Row],[CampName]],CL,5,0)&lt;Table_Shelter[[#This Row],[HH Covered2]],VLOOKUP(Table_Shelter[[#This Row],[CampName]],CL,5,0),Table_Shelter[[#This Row],[HH Covered2]]),"")</f>
        <v>118</v>
      </c>
      <c r="Q97" s="139">
        <f>IF(Table_Shelter[[#This Row],[Status]]="Open",IF(W97="NO",Table_Shelter[[#This Row],[HH per Shelter]]*(Table_Shelter[[#This Row],['# of Temporary Shelter Units Built]]+Table_Shelter[[#This Row],['# of Temporary Shelter Under  Construction]]+Table_Shelter[[#This Row],['# of Permanent House Under Construction]]),0),0)</f>
        <v>118</v>
      </c>
      <c r="R97" s="102"/>
      <c r="S97" s="162"/>
      <c r="T97" s="163" t="str">
        <f>IFERROR(VLOOKUP(Table_Shelter[[#This Row],[CampName]],CL,2,0),"")</f>
        <v>MMR001CMP128</v>
      </c>
      <c r="U97" s="163" t="str">
        <f>IFERROR(VLOOKUP(Table_Shelter[[#This Row],[CampName]],CL,3,0),"")</f>
        <v>Open</v>
      </c>
      <c r="V97" s="240">
        <f>IFERROR(Table_Shelter[[#This Row],[HH Covered]]/VLOOKUP(Table_Shelter[[#This Row],[CampName]],CL,5,0),"")</f>
        <v>0.21572212065813529</v>
      </c>
      <c r="W97" s="240" t="s">
        <v>1292</v>
      </c>
      <c r="X97" s="164"/>
    </row>
    <row r="98" spans="1:119" s="137" customFormat="1" ht="15" customHeight="1" x14ac:dyDescent="0.25">
      <c r="A98" s="723">
        <v>41974</v>
      </c>
      <c r="B98" s="162" t="s">
        <v>451</v>
      </c>
      <c r="C98" s="162" t="s">
        <v>504</v>
      </c>
      <c r="D98" s="169" t="s">
        <v>380</v>
      </c>
      <c r="E98" s="307" t="s">
        <v>526</v>
      </c>
      <c r="F98" s="162" t="s">
        <v>41</v>
      </c>
      <c r="G98" s="103">
        <v>1</v>
      </c>
      <c r="H98" s="103"/>
      <c r="I98" s="103"/>
      <c r="J98" s="103">
        <v>15</v>
      </c>
      <c r="K98" s="103">
        <v>15</v>
      </c>
      <c r="L98" s="162"/>
      <c r="M98" s="162"/>
      <c r="N98" s="162"/>
      <c r="O98" s="162"/>
      <c r="P98" s="934">
        <f>IFERROR(IF(VLOOKUP(Table_Shelter[[#This Row],[CampName]],CL,5,0)&lt;Table_Shelter[[#This Row],[HH Covered2]],VLOOKUP(Table_Shelter[[#This Row],[CampName]],CL,5,0),Table_Shelter[[#This Row],[HH Covered2]]),"")</f>
        <v>15</v>
      </c>
      <c r="Q98" s="104">
        <f>IF(Table_Shelter[[#This Row],[Status]]="Open",IF(W98="NO",Table_Shelter[[#This Row],[HH per Shelter]]*(Table_Shelter[[#This Row],['# of Temporary Shelter Units Built]]+Table_Shelter[[#This Row],['# of Temporary Shelter Under  Construction]]+Table_Shelter[[#This Row],['# of Permanent House Under Construction]]),0),0)</f>
        <v>15</v>
      </c>
      <c r="R98" s="102"/>
      <c r="S98" s="102"/>
      <c r="T98" s="104" t="str">
        <f>IFERROR(VLOOKUP(Table_Shelter[[#This Row],[CampName]],CL,2,0),"")</f>
        <v>MMR001CMP176</v>
      </c>
      <c r="U98" s="104" t="str">
        <f>IFERROR(VLOOKUP(Table_Shelter[[#This Row],[CampName]],CL,3,0),"")</f>
        <v>Open</v>
      </c>
      <c r="V98" s="240">
        <f>IFERROR(Table_Shelter[[#This Row],[HH Covered]]/VLOOKUP(Table_Shelter[[#This Row],[CampName]],CL,5,0),"")</f>
        <v>0.22727272727272727</v>
      </c>
      <c r="W98" s="240" t="s">
        <v>1292</v>
      </c>
      <c r="X98" s="104"/>
      <c r="Y98" s="374"/>
      <c r="Z98" s="374"/>
      <c r="AA98" s="374"/>
      <c r="AB98" s="374"/>
      <c r="AC98" s="374"/>
      <c r="AD98" s="374"/>
      <c r="AE98" s="374"/>
      <c r="AF98" s="374"/>
      <c r="AG98" s="374"/>
      <c r="AH98" s="374"/>
      <c r="AI98" s="374"/>
      <c r="AJ98" s="374"/>
      <c r="AK98" s="374"/>
      <c r="AL98" s="374"/>
      <c r="AM98" s="374"/>
      <c r="AN98" s="374"/>
      <c r="AO98" s="374"/>
      <c r="AP98" s="374"/>
      <c r="AQ98" s="374"/>
      <c r="AR98" s="374"/>
      <c r="AS98" s="374"/>
      <c r="AT98" s="374"/>
      <c r="AU98" s="374"/>
      <c r="AV98" s="374"/>
      <c r="AW98" s="374"/>
      <c r="AX98" s="374"/>
      <c r="AY98" s="374"/>
      <c r="AZ98" s="374"/>
      <c r="BA98" s="374"/>
      <c r="BB98" s="374"/>
      <c r="BC98" s="374"/>
      <c r="BD98" s="374"/>
      <c r="BE98" s="374"/>
      <c r="BF98" s="374"/>
      <c r="BG98" s="374"/>
      <c r="BH98" s="374"/>
      <c r="BI98" s="374"/>
      <c r="BJ98" s="374"/>
      <c r="BK98" s="374"/>
      <c r="BL98" s="374"/>
      <c r="BM98" s="374"/>
      <c r="BN98" s="374"/>
      <c r="BO98" s="374"/>
      <c r="BP98" s="374"/>
      <c r="BQ98" s="374"/>
      <c r="BR98" s="374"/>
      <c r="BS98" s="374"/>
      <c r="BT98" s="374"/>
      <c r="BU98" s="374"/>
      <c r="BV98" s="374"/>
      <c r="BW98" s="374"/>
      <c r="BX98" s="374"/>
      <c r="BY98" s="374"/>
      <c r="BZ98" s="374"/>
      <c r="CA98" s="374"/>
      <c r="CB98" s="374"/>
      <c r="CC98" s="374"/>
      <c r="CD98" s="374"/>
      <c r="CE98" s="374"/>
      <c r="CF98" s="374"/>
      <c r="CG98" s="37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row>
    <row r="99" spans="1:119" s="137" customFormat="1" ht="15" customHeight="1" x14ac:dyDescent="0.25">
      <c r="A99" s="723">
        <v>41974</v>
      </c>
      <c r="B99" s="162" t="s">
        <v>451</v>
      </c>
      <c r="C99" s="162" t="s">
        <v>504</v>
      </c>
      <c r="D99" s="162" t="s">
        <v>380</v>
      </c>
      <c r="E99" s="307" t="s">
        <v>526</v>
      </c>
      <c r="F99" s="162" t="s">
        <v>43</v>
      </c>
      <c r="G99" s="103">
        <v>1</v>
      </c>
      <c r="H99" s="103"/>
      <c r="I99" s="103"/>
      <c r="J99" s="103">
        <v>5</v>
      </c>
      <c r="K99" s="103">
        <v>5</v>
      </c>
      <c r="L99" s="162"/>
      <c r="M99" s="162"/>
      <c r="N99" s="162"/>
      <c r="O99" s="162"/>
      <c r="P99" s="934">
        <f>IFERROR(IF(VLOOKUP(Table_Shelter[[#This Row],[CampName]],CL,5,0)&lt;Table_Shelter[[#This Row],[HH Covered2]],VLOOKUP(Table_Shelter[[#This Row],[CampName]],CL,5,0),Table_Shelter[[#This Row],[HH Covered2]]),"")</f>
        <v>5</v>
      </c>
      <c r="Q99" s="104">
        <f>IF(Table_Shelter[[#This Row],[Status]]="Open",IF(W99="NO",Table_Shelter[[#This Row],[HH per Shelter]]*(Table_Shelter[[#This Row],['# of Temporary Shelter Units Built]]+Table_Shelter[[#This Row],['# of Temporary Shelter Under  Construction]]+Table_Shelter[[#This Row],['# of Permanent House Under Construction]]),0),0)</f>
        <v>5</v>
      </c>
      <c r="R99" s="102"/>
      <c r="S99" s="102"/>
      <c r="T99" s="104" t="str">
        <f>IFERROR(VLOOKUP(Table_Shelter[[#This Row],[CampName]],CL,2,0),"")</f>
        <v>MMR001CMP190</v>
      </c>
      <c r="U99" s="104" t="str">
        <f>IFERROR(VLOOKUP(Table_Shelter[[#This Row],[CampName]],CL,3,0),"")</f>
        <v>Open</v>
      </c>
      <c r="V99" s="240">
        <f>IFERROR(Table_Shelter[[#This Row],[HH Covered]]/VLOOKUP(Table_Shelter[[#This Row],[CampName]],CL,5,0),"")</f>
        <v>0.35714285714285715</v>
      </c>
      <c r="W99" s="240" t="s">
        <v>1292</v>
      </c>
      <c r="X99" s="104"/>
      <c r="Y99" s="374"/>
      <c r="Z99" s="374"/>
      <c r="AA99" s="374"/>
      <c r="AB99" s="374"/>
      <c r="AC99" s="374"/>
      <c r="AD99" s="374"/>
      <c r="AE99" s="374"/>
      <c r="AF99" s="374"/>
      <c r="AG99" s="374"/>
      <c r="AH99" s="374"/>
      <c r="AI99" s="374"/>
      <c r="AJ99" s="374"/>
      <c r="AK99" s="374"/>
      <c r="AL99" s="374"/>
      <c r="AM99" s="374"/>
      <c r="AN99" s="374"/>
      <c r="AO99" s="374"/>
      <c r="AP99" s="374"/>
      <c r="AQ99" s="374"/>
      <c r="AR99" s="374"/>
      <c r="AS99" s="374"/>
      <c r="AT99" s="374"/>
      <c r="AU99" s="374"/>
      <c r="AV99" s="374"/>
      <c r="AW99" s="374"/>
      <c r="AX99" s="374"/>
      <c r="AY99" s="374"/>
      <c r="AZ99" s="374"/>
      <c r="BA99" s="374"/>
      <c r="BB99" s="374"/>
      <c r="BC99" s="374"/>
      <c r="BD99" s="374"/>
      <c r="BE99" s="374"/>
      <c r="BF99" s="374"/>
      <c r="BG99" s="374"/>
      <c r="BH99" s="374"/>
      <c r="BI99" s="374"/>
      <c r="BJ99" s="374"/>
      <c r="BK99" s="374"/>
      <c r="BL99" s="374"/>
      <c r="BM99" s="374"/>
      <c r="BN99" s="374"/>
      <c r="BO99" s="374"/>
      <c r="BP99" s="374"/>
      <c r="BQ99" s="374"/>
      <c r="BR99" s="374"/>
      <c r="BS99" s="374"/>
      <c r="BT99" s="374"/>
      <c r="BU99" s="374"/>
      <c r="BV99" s="374"/>
      <c r="BW99" s="374"/>
      <c r="BX99" s="374"/>
      <c r="BY99" s="374"/>
      <c r="BZ99" s="374"/>
      <c r="CA99" s="374"/>
      <c r="CB99" s="374"/>
      <c r="CC99" s="374"/>
      <c r="CD99" s="374"/>
      <c r="CE99" s="374"/>
      <c r="CF99" s="374"/>
      <c r="CG99" s="37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row>
    <row r="100" spans="1:119" s="137" customFormat="1" ht="15" customHeight="1" x14ac:dyDescent="0.25">
      <c r="A100" s="723">
        <v>41974</v>
      </c>
      <c r="B100" s="162" t="s">
        <v>451</v>
      </c>
      <c r="C100" s="162" t="s">
        <v>504</v>
      </c>
      <c r="D100" s="165" t="s">
        <v>380</v>
      </c>
      <c r="E100" s="307" t="s">
        <v>526</v>
      </c>
      <c r="F100" s="162" t="s">
        <v>58</v>
      </c>
      <c r="G100" s="103">
        <v>1</v>
      </c>
      <c r="H100" s="103"/>
      <c r="I100" s="103"/>
      <c r="J100" s="103">
        <v>5</v>
      </c>
      <c r="K100" s="103">
        <v>5</v>
      </c>
      <c r="L100" s="162"/>
      <c r="M100" s="162"/>
      <c r="N100" s="162"/>
      <c r="O100" s="162"/>
      <c r="P100" s="934">
        <f>IFERROR(IF(VLOOKUP(Table_Shelter[[#This Row],[CampName]],CL,5,0)&lt;Table_Shelter[[#This Row],[HH Covered2]],VLOOKUP(Table_Shelter[[#This Row],[CampName]],CL,5,0),Table_Shelter[[#This Row],[HH Covered2]]),"")</f>
        <v>0</v>
      </c>
      <c r="Q100" s="104">
        <f>IF(Table_Shelter[[#This Row],[Status]]="Open",IF(W100="NO",Table_Shelter[[#This Row],[HH per Shelter]]*(Table_Shelter[[#This Row],['# of Temporary Shelter Units Built]]+Table_Shelter[[#This Row],['# of Temporary Shelter Under  Construction]]+Table_Shelter[[#This Row],['# of Permanent House Under Construction]]),0),0)</f>
        <v>0</v>
      </c>
      <c r="R100" s="102"/>
      <c r="S100" s="102"/>
      <c r="T100" s="104" t="str">
        <f>IFERROR(VLOOKUP(Table_Shelter[[#This Row],[CampName]],CL,2,0),"")</f>
        <v>MMR001CMP188</v>
      </c>
      <c r="U100" s="104" t="str">
        <f>IFERROR(VLOOKUP(Table_Shelter[[#This Row],[CampName]],CL,3,0),"")</f>
        <v>Closed</v>
      </c>
      <c r="V100" s="240" t="str">
        <f>IFERROR(Table_Shelter[[#This Row],[HH Covered]]/VLOOKUP(Table_Shelter[[#This Row],[CampName]],CL,5,0),"")</f>
        <v/>
      </c>
      <c r="W100" s="240" t="s">
        <v>1292</v>
      </c>
      <c r="X100" s="104"/>
      <c r="Y100" s="374"/>
      <c r="Z100" s="374"/>
      <c r="AA100" s="374"/>
      <c r="AB100" s="374"/>
      <c r="AC100" s="374"/>
      <c r="AD100" s="374"/>
      <c r="AE100" s="374"/>
      <c r="AF100" s="374"/>
      <c r="AG100" s="374"/>
      <c r="AH100" s="374"/>
      <c r="AI100" s="374"/>
      <c r="AJ100" s="374"/>
      <c r="AK100" s="374"/>
      <c r="AL100" s="374"/>
      <c r="AM100" s="374"/>
      <c r="AN100" s="374"/>
      <c r="AO100" s="374"/>
      <c r="AP100" s="374"/>
      <c r="AQ100" s="374"/>
      <c r="AR100" s="374"/>
      <c r="AS100" s="374"/>
      <c r="AT100" s="374"/>
      <c r="AU100" s="374"/>
      <c r="AV100" s="374"/>
      <c r="AW100" s="374"/>
      <c r="AX100" s="374"/>
      <c r="AY100" s="374"/>
      <c r="AZ100" s="374"/>
      <c r="BA100" s="374"/>
      <c r="BB100" s="374"/>
      <c r="BC100" s="374"/>
      <c r="BD100" s="374"/>
      <c r="BE100" s="374"/>
      <c r="BF100" s="374"/>
      <c r="BG100" s="374"/>
      <c r="BH100" s="374"/>
      <c r="BI100" s="374"/>
      <c r="BJ100" s="374"/>
      <c r="BK100" s="374"/>
      <c r="BL100" s="374"/>
      <c r="BM100" s="374"/>
      <c r="BN100" s="374"/>
      <c r="BO100" s="374"/>
      <c r="BP100" s="374"/>
      <c r="BQ100" s="374"/>
      <c r="BR100" s="374"/>
      <c r="BS100" s="374"/>
      <c r="BT100" s="374"/>
      <c r="BU100" s="374"/>
      <c r="BV100" s="374"/>
      <c r="BW100" s="374"/>
      <c r="BX100" s="374"/>
      <c r="BY100" s="374"/>
      <c r="BZ100" s="374"/>
      <c r="CA100" s="374"/>
      <c r="CB100" s="374"/>
      <c r="CC100" s="374"/>
      <c r="CD100" s="374"/>
      <c r="CE100" s="374"/>
      <c r="CF100" s="374"/>
      <c r="CG100" s="37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row>
    <row r="101" spans="1:119" ht="15" customHeight="1" x14ac:dyDescent="0.25">
      <c r="A101" s="722">
        <v>41974</v>
      </c>
      <c r="B101" s="164" t="s">
        <v>451</v>
      </c>
      <c r="C101" s="164" t="s">
        <v>504</v>
      </c>
      <c r="D101" s="164" t="s">
        <v>380</v>
      </c>
      <c r="E101" s="168" t="s">
        <v>526</v>
      </c>
      <c r="F101" s="164" t="s">
        <v>72</v>
      </c>
      <c r="G101" s="105">
        <v>1</v>
      </c>
      <c r="H101" s="105"/>
      <c r="I101" s="105"/>
      <c r="J101" s="105">
        <v>2</v>
      </c>
      <c r="K101" s="105">
        <v>2</v>
      </c>
      <c r="L101" s="164"/>
      <c r="M101" s="164"/>
      <c r="N101" s="164"/>
      <c r="O101" s="164"/>
      <c r="P101" s="936">
        <f>IFERROR(IF(VLOOKUP(Table_Shelter[[#This Row],[CampName]],CL,5,0)&lt;Table_Shelter[[#This Row],[HH Covered2]],VLOOKUP(Table_Shelter[[#This Row],[CampName]],CL,5,0),Table_Shelter[[#This Row],[HH Covered2]]),"")</f>
        <v>2</v>
      </c>
      <c r="Q101" s="104">
        <f>IF(Table_Shelter[[#This Row],[Status]]="Open",IF(W101="NO",Table_Shelter[[#This Row],[HH per Shelter]]*(Table_Shelter[[#This Row],['# of Temporary Shelter Units Built]]+Table_Shelter[[#This Row],['# of Temporary Shelter Under  Construction]]+Table_Shelter[[#This Row],['# of Permanent House Under Construction]]),0),0)</f>
        <v>2</v>
      </c>
      <c r="R101" s="104"/>
      <c r="S101" s="104"/>
      <c r="T101" s="104" t="str">
        <f>IFERROR(VLOOKUP(Table_Shelter[[#This Row],[CampName]],CL,2,0),"")</f>
        <v>MMR001CMP109</v>
      </c>
      <c r="U101" s="104" t="str">
        <f>IFERROR(VLOOKUP(Table_Shelter[[#This Row],[CampName]],CL,3,0),"")</f>
        <v>Open</v>
      </c>
      <c r="V101" s="240">
        <f>IFERROR(Table_Shelter[[#This Row],[HH Covered]]/VLOOKUP(Table_Shelter[[#This Row],[CampName]],CL,5,0),"")</f>
        <v>0.33333333333333331</v>
      </c>
      <c r="W101" s="240" t="s">
        <v>1292</v>
      </c>
      <c r="X101" s="104"/>
    </row>
    <row r="102" spans="1:119" ht="15" customHeight="1" x14ac:dyDescent="0.25">
      <c r="A102" s="723">
        <v>41974</v>
      </c>
      <c r="B102" s="162" t="s">
        <v>451</v>
      </c>
      <c r="C102" s="162" t="s">
        <v>504</v>
      </c>
      <c r="D102" s="162" t="s">
        <v>380</v>
      </c>
      <c r="E102" s="307" t="s">
        <v>27</v>
      </c>
      <c r="F102" s="162" t="s">
        <v>1098</v>
      </c>
      <c r="G102" s="103">
        <v>1</v>
      </c>
      <c r="H102" s="103"/>
      <c r="I102" s="103"/>
      <c r="J102" s="103">
        <v>5</v>
      </c>
      <c r="K102" s="103">
        <v>5</v>
      </c>
      <c r="L102" s="162"/>
      <c r="M102" s="162"/>
      <c r="N102" s="162"/>
      <c r="O102" s="162"/>
      <c r="P102" s="934">
        <f>IFERROR(IF(VLOOKUP(Table_Shelter[[#This Row],[CampName]],CL,5,0)&lt;Table_Shelter[[#This Row],[HH Covered2]],VLOOKUP(Table_Shelter[[#This Row],[CampName]],CL,5,0),Table_Shelter[[#This Row],[HH Covered2]]),"")</f>
        <v>5</v>
      </c>
      <c r="Q102" s="139">
        <f>IF(Table_Shelter[[#This Row],[Status]]="Open",IF(W102="NO",Table_Shelter[[#This Row],[HH per Shelter]]*(Table_Shelter[[#This Row],['# of Temporary Shelter Units Built]]+Table_Shelter[[#This Row],['# of Temporary Shelter Under  Construction]]+Table_Shelter[[#This Row],['# of Permanent House Under Construction]]),0),0)</f>
        <v>5</v>
      </c>
      <c r="R102" s="102"/>
      <c r="S102" s="162"/>
      <c r="T102" s="163" t="str">
        <f>IFERROR(VLOOKUP(Table_Shelter[[#This Row],[CampName]],CL,2,0),"")</f>
        <v>MMR001CMP042</v>
      </c>
      <c r="U102" s="163" t="str">
        <f>IFERROR(VLOOKUP(Table_Shelter[[#This Row],[CampName]],CL,3,0),"")</f>
        <v>Open</v>
      </c>
      <c r="V102" s="240">
        <f>IFERROR(Table_Shelter[[#This Row],[HH Covered]]/VLOOKUP(Table_Shelter[[#This Row],[CampName]],CL,5,0),"")</f>
        <v>4.6296296296296294E-2</v>
      </c>
      <c r="W102" s="240" t="s">
        <v>1292</v>
      </c>
      <c r="X102" s="164"/>
    </row>
    <row r="103" spans="1:119" ht="15" customHeight="1" x14ac:dyDescent="0.25">
      <c r="A103" s="722">
        <v>41974</v>
      </c>
      <c r="B103" s="164" t="s">
        <v>451</v>
      </c>
      <c r="C103" s="164" t="s">
        <v>504</v>
      </c>
      <c r="D103" s="164" t="s">
        <v>380</v>
      </c>
      <c r="E103" s="168" t="s">
        <v>526</v>
      </c>
      <c r="F103" s="164" t="s">
        <v>76</v>
      </c>
      <c r="G103" s="105">
        <v>1</v>
      </c>
      <c r="H103" s="105"/>
      <c r="I103" s="105"/>
      <c r="J103" s="105">
        <v>45</v>
      </c>
      <c r="K103" s="105">
        <v>45</v>
      </c>
      <c r="L103" s="164"/>
      <c r="M103" s="164"/>
      <c r="N103" s="164"/>
      <c r="O103" s="164"/>
      <c r="P103" s="936">
        <f>IFERROR(IF(VLOOKUP(Table_Shelter[[#This Row],[CampName]],CL,5,0)&lt;Table_Shelter[[#This Row],[HH Covered2]],VLOOKUP(Table_Shelter[[#This Row],[CampName]],CL,5,0),Table_Shelter[[#This Row],[HH Covered2]]),"")</f>
        <v>45</v>
      </c>
      <c r="Q103" s="139">
        <f>IF(Table_Shelter[[#This Row],[Status]]="Open",IF(W103="NO",Table_Shelter[[#This Row],[HH per Shelter]]*(Table_Shelter[[#This Row],['# of Temporary Shelter Units Built]]+Table_Shelter[[#This Row],['# of Temporary Shelter Under  Construction]]+Table_Shelter[[#This Row],['# of Permanent House Under Construction]]),0),0)</f>
        <v>45</v>
      </c>
      <c r="R103" s="104"/>
      <c r="S103" s="164"/>
      <c r="T103" s="163" t="str">
        <f>IFERROR(VLOOKUP(Table_Shelter[[#This Row],[CampName]],CL,2,0),"")</f>
        <v>MMR001CMP174</v>
      </c>
      <c r="U103" s="163" t="str">
        <f>IFERROR(VLOOKUP(Table_Shelter[[#This Row],[CampName]],CL,3,0),"")</f>
        <v>Open</v>
      </c>
      <c r="V103" s="240">
        <f>IFERROR(Table_Shelter[[#This Row],[HH Covered]]/VLOOKUP(Table_Shelter[[#This Row],[CampName]],CL,5,0),"")</f>
        <v>0.6428571428571429</v>
      </c>
      <c r="W103" s="240" t="s">
        <v>1292</v>
      </c>
      <c r="X103" s="164"/>
    </row>
    <row r="104" spans="1:119" ht="15" customHeight="1" x14ac:dyDescent="0.25">
      <c r="A104" s="722">
        <v>41974</v>
      </c>
      <c r="B104" s="164" t="s">
        <v>451</v>
      </c>
      <c r="C104" s="164" t="s">
        <v>505</v>
      </c>
      <c r="D104" s="164" t="s">
        <v>380</v>
      </c>
      <c r="E104" s="168" t="s">
        <v>185</v>
      </c>
      <c r="F104" s="164" t="s">
        <v>194</v>
      </c>
      <c r="G104" s="105">
        <v>1</v>
      </c>
      <c r="H104" s="105"/>
      <c r="I104" s="105"/>
      <c r="J104" s="105">
        <v>280</v>
      </c>
      <c r="K104" s="105">
        <v>280</v>
      </c>
      <c r="L104" s="164"/>
      <c r="M104" s="164"/>
      <c r="N104" s="164"/>
      <c r="O104" s="164"/>
      <c r="P104" s="936">
        <f>IFERROR(IF(VLOOKUP(Table_Shelter[[#This Row],[CampName]],CL,5,0)&lt;Table_Shelter[[#This Row],[HH Covered2]],VLOOKUP(Table_Shelter[[#This Row],[CampName]],CL,5,0),Table_Shelter[[#This Row],[HH Covered2]]),"")</f>
        <v>280</v>
      </c>
      <c r="Q104" s="139">
        <f>IF(Table_Shelter[[#This Row],[Status]]="Open",IF(W104="NO",Table_Shelter[[#This Row],[HH per Shelter]]*(Table_Shelter[[#This Row],['# of Temporary Shelter Units Built]]+Table_Shelter[[#This Row],['# of Temporary Shelter Under  Construction]]+Table_Shelter[[#This Row],['# of Permanent House Under Construction]]),0),0)</f>
        <v>280</v>
      </c>
      <c r="R104" s="104"/>
      <c r="S104" s="164"/>
      <c r="T104" s="163" t="str">
        <f>IFERROR(VLOOKUP(Table_Shelter[[#This Row],[CampName]],CL,2,0),"")</f>
        <v>MMR001CMP122</v>
      </c>
      <c r="U104" s="163" t="str">
        <f>IFERROR(VLOOKUP(Table_Shelter[[#This Row],[CampName]],CL,3,0),"")</f>
        <v>Open</v>
      </c>
      <c r="V104" s="240">
        <f>IFERROR(Table_Shelter[[#This Row],[HH Covered]]/VLOOKUP(Table_Shelter[[#This Row],[CampName]],CL,5,0),"")</f>
        <v>0.38997214484679665</v>
      </c>
      <c r="W104" s="240" t="s">
        <v>1292</v>
      </c>
      <c r="X104" s="164"/>
    </row>
    <row r="105" spans="1:119" ht="15" customHeight="1" x14ac:dyDescent="0.25">
      <c r="A105" s="483">
        <v>41974</v>
      </c>
      <c r="B105" s="162" t="s">
        <v>451</v>
      </c>
      <c r="C105" s="162" t="s">
        <v>505</v>
      </c>
      <c r="D105" s="162" t="s">
        <v>380</v>
      </c>
      <c r="E105" s="307" t="s">
        <v>185</v>
      </c>
      <c r="F105" s="162" t="s">
        <v>196</v>
      </c>
      <c r="G105" s="103">
        <v>1</v>
      </c>
      <c r="H105" s="103"/>
      <c r="I105" s="103"/>
      <c r="J105" s="103">
        <v>278</v>
      </c>
      <c r="K105" s="103">
        <v>278</v>
      </c>
      <c r="L105" s="162"/>
      <c r="M105" s="162"/>
      <c r="N105" s="162"/>
      <c r="O105" s="162"/>
      <c r="P105" s="934">
        <f>IFERROR(IF(VLOOKUP(Table_Shelter[[#This Row],[CampName]],CL,5,0)&lt;Table_Shelter[[#This Row],[HH Covered2]],VLOOKUP(Table_Shelter[[#This Row],[CampName]],CL,5,0),Table_Shelter[[#This Row],[HH Covered2]]),"")</f>
        <v>278</v>
      </c>
      <c r="Q105" s="139">
        <f>IF(Table_Shelter[[#This Row],[Status]]="Open",IF(W105="NO",Table_Shelter[[#This Row],[HH per Shelter]]*(Table_Shelter[[#This Row],['# of Temporary Shelter Units Built]]+Table_Shelter[[#This Row],['# of Temporary Shelter Under  Construction]]+Table_Shelter[[#This Row],['# of Permanent House Under Construction]]),0),0)</f>
        <v>278</v>
      </c>
      <c r="R105" s="102"/>
      <c r="S105" s="162"/>
      <c r="T105" s="163" t="str">
        <f>IFERROR(VLOOKUP(Table_Shelter[[#This Row],[CampName]],CL,2,0),"")</f>
        <v>MMR001CMP121</v>
      </c>
      <c r="U105" s="163" t="str">
        <f>IFERROR(VLOOKUP(Table_Shelter[[#This Row],[CampName]],CL,3,0),"")</f>
        <v>Open</v>
      </c>
      <c r="V105" s="240">
        <f>IFERROR(Table_Shelter[[#This Row],[HH Covered]]/VLOOKUP(Table_Shelter[[#This Row],[CampName]],CL,5,0),"")</f>
        <v>0.17981888745148772</v>
      </c>
      <c r="W105" s="240" t="s">
        <v>1292</v>
      </c>
      <c r="X105" s="164"/>
    </row>
    <row r="106" spans="1:119" ht="15" customHeight="1" x14ac:dyDescent="0.25">
      <c r="A106" s="722">
        <v>41974</v>
      </c>
      <c r="B106" s="164" t="s">
        <v>451</v>
      </c>
      <c r="C106" s="164" t="s">
        <v>504</v>
      </c>
      <c r="D106" s="164" t="s">
        <v>380</v>
      </c>
      <c r="E106" s="168" t="s">
        <v>27</v>
      </c>
      <c r="F106" s="164" t="s">
        <v>365</v>
      </c>
      <c r="G106" s="105">
        <v>1</v>
      </c>
      <c r="H106" s="105"/>
      <c r="I106" s="105"/>
      <c r="J106" s="105">
        <v>35</v>
      </c>
      <c r="K106" s="105">
        <v>35</v>
      </c>
      <c r="L106" s="164"/>
      <c r="M106" s="164"/>
      <c r="N106" s="164"/>
      <c r="O106" s="164"/>
      <c r="P106" s="936">
        <f>IFERROR(IF(VLOOKUP(Table_Shelter[[#This Row],[CampName]],CL,5,0)&lt;Table_Shelter[[#This Row],[HH Covered2]],VLOOKUP(Table_Shelter[[#This Row],[CampName]],CL,5,0),Table_Shelter[[#This Row],[HH Covered2]]),"")</f>
        <v>35</v>
      </c>
      <c r="Q106" s="104">
        <f>IF(Table_Shelter[[#This Row],[Status]]="Open",IF(W106="NO",Table_Shelter[[#This Row],[HH per Shelter]]*(Table_Shelter[[#This Row],['# of Temporary Shelter Units Built]]+Table_Shelter[[#This Row],['# of Temporary Shelter Under  Construction]]+Table_Shelter[[#This Row],['# of Permanent House Under Construction]]),0),0)</f>
        <v>35</v>
      </c>
      <c r="R106" s="104"/>
      <c r="S106" s="104"/>
      <c r="T106" s="104" t="str">
        <f>IFERROR(VLOOKUP(Table_Shelter[[#This Row],[CampName]],CL,2,0),"")</f>
        <v>MMR001CMP195</v>
      </c>
      <c r="U106" s="104" t="str">
        <f>IFERROR(VLOOKUP(Table_Shelter[[#This Row],[CampName]],CL,3,0),"")</f>
        <v>Open</v>
      </c>
      <c r="V106" s="240">
        <f>IFERROR(Table_Shelter[[#This Row],[HH Covered]]/VLOOKUP(Table_Shelter[[#This Row],[CampName]],CL,5,0),"")</f>
        <v>0.24305555555555555</v>
      </c>
      <c r="W106" s="240" t="s">
        <v>1292</v>
      </c>
      <c r="X106" s="104"/>
    </row>
    <row r="107" spans="1:119" ht="15" customHeight="1" x14ac:dyDescent="0.25">
      <c r="A107" s="723">
        <v>41974</v>
      </c>
      <c r="B107" s="162" t="s">
        <v>451</v>
      </c>
      <c r="C107" s="162" t="s">
        <v>504</v>
      </c>
      <c r="D107" s="162" t="s">
        <v>380</v>
      </c>
      <c r="E107" s="307" t="s">
        <v>526</v>
      </c>
      <c r="F107" s="162" t="s">
        <v>90</v>
      </c>
      <c r="G107" s="103">
        <v>1</v>
      </c>
      <c r="H107" s="103"/>
      <c r="I107" s="103"/>
      <c r="J107" s="103">
        <v>5</v>
      </c>
      <c r="K107" s="103">
        <v>5</v>
      </c>
      <c r="L107" s="162"/>
      <c r="M107" s="162"/>
      <c r="N107" s="162"/>
      <c r="O107" s="162"/>
      <c r="P107" s="934">
        <f>IFERROR(IF(VLOOKUP(Table_Shelter[[#This Row],[CampName]],CL,5,0)&lt;Table_Shelter[[#This Row],[HH Covered2]],VLOOKUP(Table_Shelter[[#This Row],[CampName]],CL,5,0),Table_Shelter[[#This Row],[HH Covered2]]),"")</f>
        <v>5</v>
      </c>
      <c r="Q107" s="104">
        <f>IF(Table_Shelter[[#This Row],[Status]]="Open",IF(W107="NO",Table_Shelter[[#This Row],[HH per Shelter]]*(Table_Shelter[[#This Row],['# of Temporary Shelter Units Built]]+Table_Shelter[[#This Row],['# of Temporary Shelter Under  Construction]]+Table_Shelter[[#This Row],['# of Permanent House Under Construction]]),0),0)</f>
        <v>5</v>
      </c>
      <c r="R107" s="102"/>
      <c r="S107" s="102"/>
      <c r="T107" s="104" t="str">
        <f>IFERROR(VLOOKUP(Table_Shelter[[#This Row],[CampName]],CL,2,0),"")</f>
        <v>MMR001CMP181</v>
      </c>
      <c r="U107" s="104" t="str">
        <f>IFERROR(VLOOKUP(Table_Shelter[[#This Row],[CampName]],CL,3,0),"")</f>
        <v>Open</v>
      </c>
      <c r="V107" s="240">
        <f>IFERROR(Table_Shelter[[#This Row],[HH Covered]]/VLOOKUP(Table_Shelter[[#This Row],[CampName]],CL,5,0),"")</f>
        <v>0.25</v>
      </c>
      <c r="W107" s="240" t="s">
        <v>1292</v>
      </c>
      <c r="X107" s="104"/>
    </row>
    <row r="108" spans="1:119" ht="15" customHeight="1" x14ac:dyDescent="0.25">
      <c r="A108" s="723">
        <v>41974</v>
      </c>
      <c r="B108" s="162" t="s">
        <v>451</v>
      </c>
      <c r="C108" s="162" t="s">
        <v>504</v>
      </c>
      <c r="D108" s="162" t="s">
        <v>380</v>
      </c>
      <c r="E108" s="307" t="s">
        <v>526</v>
      </c>
      <c r="F108" s="162" t="s">
        <v>92</v>
      </c>
      <c r="G108" s="103">
        <v>1</v>
      </c>
      <c r="H108" s="103"/>
      <c r="I108" s="103"/>
      <c r="J108" s="103">
        <v>15</v>
      </c>
      <c r="K108" s="103">
        <v>15</v>
      </c>
      <c r="L108" s="162"/>
      <c r="M108" s="162"/>
      <c r="N108" s="162"/>
      <c r="O108" s="162"/>
      <c r="P108" s="934">
        <f>IFERROR(IF(VLOOKUP(Table_Shelter[[#This Row],[CampName]],CL,5,0)&lt;Table_Shelter[[#This Row],[HH Covered2]],VLOOKUP(Table_Shelter[[#This Row],[CampName]],CL,5,0),Table_Shelter[[#This Row],[HH Covered2]]),"")</f>
        <v>12</v>
      </c>
      <c r="Q108" s="139">
        <f>IF(Table_Shelter[[#This Row],[Status]]="Open",IF(W108="NO",Table_Shelter[[#This Row],[HH per Shelter]]*(Table_Shelter[[#This Row],['# of Temporary Shelter Units Built]]+Table_Shelter[[#This Row],['# of Temporary Shelter Under  Construction]]+Table_Shelter[[#This Row],['# of Permanent House Under Construction]]),0),0)</f>
        <v>15</v>
      </c>
      <c r="R108" s="102"/>
      <c r="S108" s="162"/>
      <c r="T108" s="163" t="str">
        <f>IFERROR(VLOOKUP(Table_Shelter[[#This Row],[CampName]],CL,2,0),"")</f>
        <v>MMR001CMP167</v>
      </c>
      <c r="U108" s="163" t="str">
        <f>IFERROR(VLOOKUP(Table_Shelter[[#This Row],[CampName]],CL,3,0),"")</f>
        <v>Open</v>
      </c>
      <c r="V108" s="240">
        <f>IFERROR(Table_Shelter[[#This Row],[HH Covered]]/VLOOKUP(Table_Shelter[[#This Row],[CampName]],CL,5,0),"")</f>
        <v>1</v>
      </c>
      <c r="W108" s="240" t="s">
        <v>1292</v>
      </c>
      <c r="X108" s="164"/>
    </row>
    <row r="109" spans="1:119" ht="15" customHeight="1" x14ac:dyDescent="0.25">
      <c r="A109" s="722">
        <v>41974</v>
      </c>
      <c r="B109" s="164" t="s">
        <v>451</v>
      </c>
      <c r="C109" s="164" t="s">
        <v>504</v>
      </c>
      <c r="D109" s="164" t="s">
        <v>380</v>
      </c>
      <c r="E109" s="168" t="s">
        <v>5</v>
      </c>
      <c r="F109" s="164" t="s">
        <v>18</v>
      </c>
      <c r="G109" s="105">
        <v>1</v>
      </c>
      <c r="H109" s="105"/>
      <c r="I109" s="105"/>
      <c r="J109" s="105">
        <v>15</v>
      </c>
      <c r="K109" s="105">
        <v>15</v>
      </c>
      <c r="L109" s="164"/>
      <c r="M109" s="164"/>
      <c r="N109" s="164"/>
      <c r="O109" s="164"/>
      <c r="P109" s="936">
        <f>IFERROR(IF(VLOOKUP(Table_Shelter[[#This Row],[CampName]],CL,5,0)&lt;Table_Shelter[[#This Row],[HH Covered2]],VLOOKUP(Table_Shelter[[#This Row],[CampName]],CL,5,0),Table_Shelter[[#This Row],[HH Covered2]]),"")</f>
        <v>15</v>
      </c>
      <c r="Q109" s="139">
        <f>IF(Table_Shelter[[#This Row],[Status]]="Open",IF(W109="NO",Table_Shelter[[#This Row],[HH per Shelter]]*(Table_Shelter[[#This Row],['# of Temporary Shelter Units Built]]+Table_Shelter[[#This Row],['# of Temporary Shelter Under  Construction]]+Table_Shelter[[#This Row],['# of Permanent House Under Construction]]),0),0)</f>
        <v>15</v>
      </c>
      <c r="R109" s="104">
        <v>8</v>
      </c>
      <c r="S109" s="164"/>
      <c r="T109" s="163" t="str">
        <f>IFERROR(VLOOKUP(Table_Shelter[[#This Row],[CampName]],CL,2,0),"")</f>
        <v>MMR001CMP049</v>
      </c>
      <c r="U109" s="163" t="str">
        <f>IFERROR(VLOOKUP(Table_Shelter[[#This Row],[CampName]],CL,3,0),"")</f>
        <v>Open</v>
      </c>
      <c r="V109" s="240">
        <f>IFERROR(Table_Shelter[[#This Row],[HH Covered]]/VLOOKUP(Table_Shelter[[#This Row],[CampName]],CL,5,0),"")</f>
        <v>0.11538461538461539</v>
      </c>
      <c r="W109" s="240" t="s">
        <v>1292</v>
      </c>
      <c r="X109" s="164"/>
    </row>
    <row r="110" spans="1:119" ht="15" customHeight="1" x14ac:dyDescent="0.25">
      <c r="A110" s="722">
        <v>41974</v>
      </c>
      <c r="B110" s="162" t="s">
        <v>845</v>
      </c>
      <c r="C110" s="162"/>
      <c r="D110" s="165" t="s">
        <v>552</v>
      </c>
      <c r="E110" s="307" t="s">
        <v>230</v>
      </c>
      <c r="F110" s="162" t="s">
        <v>1049</v>
      </c>
      <c r="G110" s="103">
        <v>1</v>
      </c>
      <c r="H110" s="105"/>
      <c r="I110" s="105"/>
      <c r="J110" s="105">
        <v>44</v>
      </c>
      <c r="K110" s="105">
        <v>44</v>
      </c>
      <c r="L110" s="164"/>
      <c r="M110" s="164"/>
      <c r="N110" s="164"/>
      <c r="O110" s="164"/>
      <c r="P110" s="936">
        <f>IFERROR(IF(VLOOKUP(Table_Shelter[[#This Row],[CampName]],CL,5,0)&lt;Table_Shelter[[#This Row],[HH Covered2]],VLOOKUP(Table_Shelter[[#This Row],[CampName]],CL,5,0),Table_Shelter[[#This Row],[HH Covered2]]),"")</f>
        <v>44</v>
      </c>
      <c r="Q110" s="104">
        <f>IF(Table_Shelter[[#This Row],[Status]]="Open",IF(W110="NO",Table_Shelter[[#This Row],[HH per Shelter]]*(Table_Shelter[[#This Row],['# of Temporary Shelter Units Built]]+Table_Shelter[[#This Row],['# of Temporary Shelter Under  Construction]]+Table_Shelter[[#This Row],['# of Permanent House Under Construction]]),0),0)</f>
        <v>44</v>
      </c>
      <c r="R110" s="104"/>
      <c r="S110" s="164"/>
      <c r="T110" s="164" t="str">
        <f>IFERROR(VLOOKUP(Table_Shelter[[#This Row],[CampName]],CL,2,0),"")</f>
        <v>MMR015CMP213</v>
      </c>
      <c r="U110" s="164" t="str">
        <f>IFERROR(VLOOKUP(Table_Shelter[[#This Row],[CampName]],CL,3,0),"")</f>
        <v>Open</v>
      </c>
      <c r="V110" s="240">
        <f>IFERROR(Table_Shelter[[#This Row],[HH Covered]]/VLOOKUP(Table_Shelter[[#This Row],[CampName]],CL,5,0),"")</f>
        <v>1</v>
      </c>
      <c r="W110" s="240" t="s">
        <v>1292</v>
      </c>
      <c r="X110" s="164"/>
    </row>
    <row r="111" spans="1:119" ht="15" customHeight="1" x14ac:dyDescent="0.25">
      <c r="A111" s="722">
        <v>41974</v>
      </c>
      <c r="B111" s="162" t="s">
        <v>451</v>
      </c>
      <c r="C111" s="162" t="s">
        <v>504</v>
      </c>
      <c r="D111" s="165" t="s">
        <v>380</v>
      </c>
      <c r="E111" s="307" t="s">
        <v>526</v>
      </c>
      <c r="F111" s="162" t="s">
        <v>610</v>
      </c>
      <c r="G111" s="103">
        <v>1</v>
      </c>
      <c r="H111" s="105"/>
      <c r="I111" s="105"/>
      <c r="J111" s="105">
        <v>5</v>
      </c>
      <c r="K111" s="105">
        <v>5</v>
      </c>
      <c r="L111" s="164"/>
      <c r="M111" s="164"/>
      <c r="N111" s="164"/>
      <c r="O111" s="164"/>
      <c r="P111" s="936">
        <f>IFERROR(IF(VLOOKUP(Table_Shelter[[#This Row],[CampName]],CL,5,0)&lt;Table_Shelter[[#This Row],[HH Covered2]],VLOOKUP(Table_Shelter[[#This Row],[CampName]],CL,5,0),Table_Shelter[[#This Row],[HH Covered2]]),"")</f>
        <v>5</v>
      </c>
      <c r="Q111" s="104">
        <f>IF(Table_Shelter[[#This Row],[Status]]="Open",IF(W111="NO",Table_Shelter[[#This Row],[HH per Shelter]]*(Table_Shelter[[#This Row],['# of Temporary Shelter Units Built]]+Table_Shelter[[#This Row],['# of Temporary Shelter Under  Construction]]+Table_Shelter[[#This Row],['# of Permanent House Under Construction]]),0),0)</f>
        <v>5</v>
      </c>
      <c r="R111" s="104"/>
      <c r="S111" s="104"/>
      <c r="T111" s="104" t="str">
        <f>IFERROR(VLOOKUP(Table_Shelter[[#This Row],[CampName]],CL,2,0),"")</f>
        <v>MMR001CMP192</v>
      </c>
      <c r="U111" s="104" t="str">
        <f>IFERROR(VLOOKUP(Table_Shelter[[#This Row],[CampName]],CL,3,0),"")</f>
        <v>Open</v>
      </c>
      <c r="V111" s="240">
        <f>IFERROR(Table_Shelter[[#This Row],[HH Covered]]/VLOOKUP(Table_Shelter[[#This Row],[CampName]],CL,5,0),"")</f>
        <v>0.41666666666666669</v>
      </c>
      <c r="W111" s="240" t="s">
        <v>1292</v>
      </c>
      <c r="X111" s="104"/>
    </row>
    <row r="112" spans="1:119" ht="15" customHeight="1" x14ac:dyDescent="0.25">
      <c r="A112" s="722">
        <v>41974</v>
      </c>
      <c r="B112" s="162" t="s">
        <v>451</v>
      </c>
      <c r="C112" s="162" t="s">
        <v>504</v>
      </c>
      <c r="D112" s="165" t="s">
        <v>380</v>
      </c>
      <c r="E112" s="307" t="s">
        <v>310</v>
      </c>
      <c r="F112" s="162" t="s">
        <v>344</v>
      </c>
      <c r="G112" s="103">
        <v>1</v>
      </c>
      <c r="H112" s="105"/>
      <c r="I112" s="105"/>
      <c r="J112" s="105">
        <v>9</v>
      </c>
      <c r="K112" s="105">
        <v>9</v>
      </c>
      <c r="L112" s="164"/>
      <c r="M112" s="164"/>
      <c r="N112" s="164"/>
      <c r="O112" s="164"/>
      <c r="P112" s="936">
        <f>IFERROR(IF(VLOOKUP(Table_Shelter[[#This Row],[CampName]],CL,5,0)&lt;Table_Shelter[[#This Row],[HH Covered2]],VLOOKUP(Table_Shelter[[#This Row],[CampName]],CL,5,0),Table_Shelter[[#This Row],[HH Covered2]]),"")</f>
        <v>9</v>
      </c>
      <c r="Q112" s="104">
        <f>IF(Table_Shelter[[#This Row],[Status]]="Open",IF(W112="NO",Table_Shelter[[#This Row],[HH per Shelter]]*(Table_Shelter[[#This Row],['# of Temporary Shelter Units Built]]+Table_Shelter[[#This Row],['# of Temporary Shelter Under  Construction]]+Table_Shelter[[#This Row],['# of Permanent House Under Construction]]),0),0)</f>
        <v>9</v>
      </c>
      <c r="R112" s="104"/>
      <c r="S112" s="104"/>
      <c r="T112" s="104" t="str">
        <f>IFERROR(VLOOKUP(Table_Shelter[[#This Row],[CampName]],CL,2,0),"")</f>
        <v>MMR001CMP033</v>
      </c>
      <c r="U112" s="104" t="str">
        <f>IFERROR(VLOOKUP(Table_Shelter[[#This Row],[CampName]],CL,3,0),"")</f>
        <v>Open</v>
      </c>
      <c r="V112" s="240">
        <f>IFERROR(Table_Shelter[[#This Row],[HH Covered]]/VLOOKUP(Table_Shelter[[#This Row],[CampName]],CL,5,0),"")</f>
        <v>0.45</v>
      </c>
      <c r="W112" s="240" t="s">
        <v>1292</v>
      </c>
      <c r="X112" s="104"/>
    </row>
    <row r="113" spans="1:24" ht="15" customHeight="1" x14ac:dyDescent="0.25">
      <c r="A113" s="722">
        <v>41974</v>
      </c>
      <c r="B113" s="162" t="s">
        <v>452</v>
      </c>
      <c r="C113" s="162"/>
      <c r="D113" s="165" t="s">
        <v>380</v>
      </c>
      <c r="E113" s="307" t="s">
        <v>185</v>
      </c>
      <c r="F113" s="162" t="s">
        <v>219</v>
      </c>
      <c r="G113" s="103">
        <v>1</v>
      </c>
      <c r="H113" s="105"/>
      <c r="I113" s="105"/>
      <c r="J113" s="105">
        <v>394</v>
      </c>
      <c r="K113" s="105">
        <v>140</v>
      </c>
      <c r="L113" s="164"/>
      <c r="M113" s="164"/>
      <c r="N113" s="164"/>
      <c r="O113" s="164"/>
      <c r="P113" s="936">
        <f>IFERROR(IF(VLOOKUP(Table_Shelter[[#This Row],[CampName]],CL,5,0)&lt;Table_Shelter[[#This Row],[HH Covered2]],VLOOKUP(Table_Shelter[[#This Row],[CampName]],CL,5,0),Table_Shelter[[#This Row],[HH Covered2]]),"")</f>
        <v>140</v>
      </c>
      <c r="Q113" s="104">
        <f>IF(Table_Shelter[[#This Row],[Status]]="Open",IF(W113="NO",Table_Shelter[[#This Row],[HH per Shelter]]*(Table_Shelter[[#This Row],['# of Temporary Shelter Units Built]]+Table_Shelter[[#This Row],['# of Temporary Shelter Under  Construction]]+Table_Shelter[[#This Row],['# of Permanent House Under Construction]]),0),0)</f>
        <v>140</v>
      </c>
      <c r="R113" s="104"/>
      <c r="S113" s="164"/>
      <c r="T113" s="164" t="str">
        <f>IFERROR(VLOOKUP(Table_Shelter[[#This Row],[CampName]],CL,2,0),"")</f>
        <v>MMR001CMP126</v>
      </c>
      <c r="U113" s="164" t="str">
        <f>IFERROR(VLOOKUP(Table_Shelter[[#This Row],[CampName]],CL,3,0),"")</f>
        <v>Open</v>
      </c>
      <c r="V113" s="240">
        <f>IFERROR(Table_Shelter[[#This Row],[HH Covered]]/VLOOKUP(Table_Shelter[[#This Row],[CampName]],CL,5,0),"")</f>
        <v>0.23450586264656617</v>
      </c>
      <c r="W113" s="240" t="s">
        <v>1292</v>
      </c>
      <c r="X113" s="164"/>
    </row>
    <row r="114" spans="1:24" ht="15" customHeight="1" x14ac:dyDescent="0.25">
      <c r="A114" s="722">
        <v>41974</v>
      </c>
      <c r="B114" s="162" t="s">
        <v>451</v>
      </c>
      <c r="C114" s="162" t="s">
        <v>504</v>
      </c>
      <c r="D114" s="165" t="s">
        <v>380</v>
      </c>
      <c r="E114" s="307" t="s">
        <v>310</v>
      </c>
      <c r="F114" s="162" t="s">
        <v>318</v>
      </c>
      <c r="G114" s="103">
        <v>1</v>
      </c>
      <c r="H114" s="105"/>
      <c r="I114" s="105"/>
      <c r="J114" s="105">
        <v>21</v>
      </c>
      <c r="K114" s="105">
        <v>21</v>
      </c>
      <c r="L114" s="164"/>
      <c r="M114" s="164"/>
      <c r="N114" s="164"/>
      <c r="O114" s="164"/>
      <c r="P114" s="936">
        <f>IFERROR(IF(VLOOKUP(Table_Shelter[[#This Row],[CampName]],CL,5,0)&lt;Table_Shelter[[#This Row],[HH Covered2]],VLOOKUP(Table_Shelter[[#This Row],[CampName]],CL,5,0),Table_Shelter[[#This Row],[HH Covered2]]),"")</f>
        <v>21</v>
      </c>
      <c r="Q114" s="104">
        <f>IF(Table_Shelter[[#This Row],[Status]]="Open",IF(W114="NO",Table_Shelter[[#This Row],[HH per Shelter]]*(Table_Shelter[[#This Row],['# of Temporary Shelter Units Built]]+Table_Shelter[[#This Row],['# of Temporary Shelter Under  Construction]]+Table_Shelter[[#This Row],['# of Permanent House Under Construction]]),0),0)</f>
        <v>21</v>
      </c>
      <c r="R114" s="104"/>
      <c r="S114" s="104"/>
      <c r="T114" s="104" t="str">
        <f>IFERROR(VLOOKUP(Table_Shelter[[#This Row],[CampName]],CL,2,0),"")</f>
        <v>MMR001CMP032</v>
      </c>
      <c r="U114" s="104" t="str">
        <f>IFERROR(VLOOKUP(Table_Shelter[[#This Row],[CampName]],CL,3,0),"")</f>
        <v>Open</v>
      </c>
      <c r="V114" s="240">
        <f>IFERROR(Table_Shelter[[#This Row],[HH Covered]]/VLOOKUP(Table_Shelter[[#This Row],[CampName]],CL,5,0),"")</f>
        <v>0.1891891891891892</v>
      </c>
      <c r="W114" s="240" t="s">
        <v>1292</v>
      </c>
      <c r="X114" s="104"/>
    </row>
    <row r="115" spans="1:24" ht="15" customHeight="1" x14ac:dyDescent="0.25">
      <c r="A115" s="722">
        <v>41974</v>
      </c>
      <c r="B115" s="162" t="s">
        <v>451</v>
      </c>
      <c r="C115" s="162" t="s">
        <v>504</v>
      </c>
      <c r="D115" s="165" t="s">
        <v>380</v>
      </c>
      <c r="E115" s="307" t="s">
        <v>237</v>
      </c>
      <c r="F115" s="162" t="s">
        <v>1232</v>
      </c>
      <c r="G115" s="103">
        <v>1</v>
      </c>
      <c r="H115" s="105"/>
      <c r="I115" s="105"/>
      <c r="J115" s="105">
        <v>5</v>
      </c>
      <c r="K115" s="105">
        <v>5</v>
      </c>
      <c r="L115" s="164"/>
      <c r="M115" s="164"/>
      <c r="N115" s="164"/>
      <c r="O115" s="164"/>
      <c r="P115" s="936">
        <f>IFERROR(IF(VLOOKUP(Table_Shelter[[#This Row],[CampName]],CL,5,0)&lt;Table_Shelter[[#This Row],[HH Covered2]],VLOOKUP(Table_Shelter[[#This Row],[CampName]],CL,5,0),Table_Shelter[[#This Row],[HH Covered2]]),"")</f>
        <v>5</v>
      </c>
      <c r="Q115" s="104">
        <f>IF(Table_Shelter[[#This Row],[Status]]="Open",IF(W115="NO",Table_Shelter[[#This Row],[HH per Shelter]]*(Table_Shelter[[#This Row],['# of Temporary Shelter Units Built]]+Table_Shelter[[#This Row],['# of Temporary Shelter Under  Construction]]+Table_Shelter[[#This Row],['# of Permanent House Under Construction]]),0),0)</f>
        <v>5</v>
      </c>
      <c r="R115" s="104"/>
      <c r="S115" s="104"/>
      <c r="T115" s="104" t="str">
        <f>IFERROR(VLOOKUP(Table_Shelter[[#This Row],[CampName]],CL,2,0),"")</f>
        <v>MMR001CMP023</v>
      </c>
      <c r="U115" s="104" t="str">
        <f>IFERROR(VLOOKUP(Table_Shelter[[#This Row],[CampName]],CL,3,0),"")</f>
        <v>Open</v>
      </c>
      <c r="V115" s="240">
        <f>IFERROR(Table_Shelter[[#This Row],[HH Covered]]/VLOOKUP(Table_Shelter[[#This Row],[CampName]],CL,5,0),"")</f>
        <v>9.2592592592592587E-2</v>
      </c>
      <c r="W115" s="240" t="s">
        <v>1292</v>
      </c>
      <c r="X115" s="104"/>
    </row>
    <row r="116" spans="1:24" ht="15" customHeight="1" x14ac:dyDescent="0.25">
      <c r="A116" s="722">
        <v>41974</v>
      </c>
      <c r="B116" s="162" t="s">
        <v>451</v>
      </c>
      <c r="C116" s="162" t="s">
        <v>504</v>
      </c>
      <c r="D116" s="165" t="s">
        <v>380</v>
      </c>
      <c r="E116" s="307" t="s">
        <v>310</v>
      </c>
      <c r="F116" s="162" t="s">
        <v>349</v>
      </c>
      <c r="G116" s="103">
        <v>1</v>
      </c>
      <c r="H116" s="105"/>
      <c r="I116" s="105"/>
      <c r="J116" s="105">
        <v>5</v>
      </c>
      <c r="K116" s="105">
        <v>5</v>
      </c>
      <c r="L116" s="164"/>
      <c r="M116" s="164"/>
      <c r="N116" s="164"/>
      <c r="O116" s="164"/>
      <c r="P116" s="936">
        <f>IFERROR(IF(VLOOKUP(Table_Shelter[[#This Row],[CampName]],CL,5,0)&lt;Table_Shelter[[#This Row],[HH Covered2]],VLOOKUP(Table_Shelter[[#This Row],[CampName]],CL,5,0),Table_Shelter[[#This Row],[HH Covered2]]),"")</f>
        <v>5</v>
      </c>
      <c r="Q116" s="104">
        <f>IF(Table_Shelter[[#This Row],[Status]]="Open",IF(W116="NO",Table_Shelter[[#This Row],[HH per Shelter]]*(Table_Shelter[[#This Row],['# of Temporary Shelter Units Built]]+Table_Shelter[[#This Row],['# of Temporary Shelter Under  Construction]]+Table_Shelter[[#This Row],['# of Permanent House Under Construction]]),0),0)</f>
        <v>5</v>
      </c>
      <c r="R116" s="104"/>
      <c r="S116" s="104"/>
      <c r="T116" s="104" t="str">
        <f>IFERROR(VLOOKUP(Table_Shelter[[#This Row],[CampName]],CL,2,0),"")</f>
        <v>MMR001CMP037</v>
      </c>
      <c r="U116" s="104" t="str">
        <f>IFERROR(VLOOKUP(Table_Shelter[[#This Row],[CampName]],CL,3,0),"")</f>
        <v>Open</v>
      </c>
      <c r="V116" s="240">
        <f>IFERROR(Table_Shelter[[#This Row],[HH Covered]]/VLOOKUP(Table_Shelter[[#This Row],[CampName]],CL,5,0),"")</f>
        <v>0.10869565217391304</v>
      </c>
      <c r="W116" s="240" t="s">
        <v>1292</v>
      </c>
      <c r="X116" s="104"/>
    </row>
    <row r="117" spans="1:24" ht="15" customHeight="1" x14ac:dyDescent="0.25">
      <c r="A117" s="723">
        <v>41974</v>
      </c>
      <c r="B117" s="162" t="s">
        <v>451</v>
      </c>
      <c r="C117" s="162" t="s">
        <v>459</v>
      </c>
      <c r="D117" s="162" t="s">
        <v>380</v>
      </c>
      <c r="E117" s="307" t="s">
        <v>185</v>
      </c>
      <c r="F117" s="162" t="s">
        <v>223</v>
      </c>
      <c r="G117" s="103">
        <v>1</v>
      </c>
      <c r="H117" s="103"/>
      <c r="I117" s="103"/>
      <c r="J117" s="103">
        <v>21</v>
      </c>
      <c r="K117" s="103">
        <v>21</v>
      </c>
      <c r="L117" s="162"/>
      <c r="M117" s="162"/>
      <c r="N117" s="162"/>
      <c r="O117" s="162"/>
      <c r="P117" s="934">
        <f>IFERROR(IF(VLOOKUP(Table_Shelter[[#This Row],[CampName]],CL,5,0)&lt;Table_Shelter[[#This Row],[HH Covered2]],VLOOKUP(Table_Shelter[[#This Row],[CampName]],CL,5,0),Table_Shelter[[#This Row],[HH Covered2]]),"")</f>
        <v>21</v>
      </c>
      <c r="Q117" s="139">
        <f>IF(Table_Shelter[[#This Row],[Status]]="Open",IF(W117="NO",Table_Shelter[[#This Row],[HH per Shelter]]*(Table_Shelter[[#This Row],['# of Temporary Shelter Units Built]]+Table_Shelter[[#This Row],['# of Temporary Shelter Under  Construction]]+Table_Shelter[[#This Row],['# of Permanent House Under Construction]]),0),0)</f>
        <v>21</v>
      </c>
      <c r="R117" s="102"/>
      <c r="S117" s="162"/>
      <c r="T117" s="163" t="str">
        <f>IFERROR(VLOOKUP(Table_Shelter[[#This Row],[CampName]],CL,2,0),"")</f>
        <v>MMR001CMP069</v>
      </c>
      <c r="U117" s="163" t="str">
        <f>IFERROR(VLOOKUP(Table_Shelter[[#This Row],[CampName]],CL,3,0),"")</f>
        <v>Open</v>
      </c>
      <c r="V117" s="240">
        <f>IFERROR(Table_Shelter[[#This Row],[HH Covered]]/VLOOKUP(Table_Shelter[[#This Row],[CampName]],CL,5,0),"")</f>
        <v>0.20388349514563106</v>
      </c>
      <c r="W117" s="240" t="s">
        <v>1292</v>
      </c>
      <c r="X117" s="164"/>
    </row>
    <row r="118" spans="1:24" ht="15" customHeight="1" x14ac:dyDescent="0.25">
      <c r="A118" s="723">
        <v>41809</v>
      </c>
      <c r="B118" s="162" t="s">
        <v>452</v>
      </c>
      <c r="C118" s="162" t="s">
        <v>504</v>
      </c>
      <c r="D118" s="162" t="s">
        <v>380</v>
      </c>
      <c r="E118" s="307" t="s">
        <v>310</v>
      </c>
      <c r="F118" s="162" t="s">
        <v>313</v>
      </c>
      <c r="G118" s="103">
        <v>1</v>
      </c>
      <c r="H118" s="103"/>
      <c r="I118" s="103"/>
      <c r="J118" s="103">
        <v>50</v>
      </c>
      <c r="K118" s="103">
        <v>55</v>
      </c>
      <c r="L118" s="162"/>
      <c r="M118" s="162"/>
      <c r="N118" s="162"/>
      <c r="O118" s="162"/>
      <c r="P118" s="934">
        <f>IFERROR(IF(VLOOKUP(Table_Shelter[[#This Row],[CampName]],CL,5,0)&lt;Table_Shelter[[#This Row],[HH Covered2]],VLOOKUP(Table_Shelter[[#This Row],[CampName]],CL,5,0),Table_Shelter[[#This Row],[HH Covered2]]),"")</f>
        <v>55</v>
      </c>
      <c r="Q118" s="139">
        <f>IF(Table_Shelter[[#This Row],[Status]]="Open",IF(W118="NO",Table_Shelter[[#This Row],[HH per Shelter]]*(Table_Shelter[[#This Row],['# of Temporary Shelter Units Built]]+Table_Shelter[[#This Row],['# of Temporary Shelter Under  Construction]]+Table_Shelter[[#This Row],['# of Permanent House Under Construction]]),0),0)</f>
        <v>55</v>
      </c>
      <c r="R118" s="102"/>
      <c r="S118" s="162"/>
      <c r="T118" s="163" t="str">
        <f>IFERROR(VLOOKUP(Table_Shelter[[#This Row],[CampName]],CL,2,0),"")</f>
        <v>MMR001CMP028</v>
      </c>
      <c r="U118" s="163" t="str">
        <f>IFERROR(VLOOKUP(Table_Shelter[[#This Row],[CampName]],CL,3,0),"")</f>
        <v>Open</v>
      </c>
      <c r="V118" s="240">
        <f>IFERROR(Table_Shelter[[#This Row],[HH Covered]]/VLOOKUP(Table_Shelter[[#This Row],[CampName]],CL,5,0),"")</f>
        <v>0.53921568627450978</v>
      </c>
      <c r="W118" s="240" t="s">
        <v>1292</v>
      </c>
      <c r="X118" s="164"/>
    </row>
    <row r="119" spans="1:24" ht="15" customHeight="1" x14ac:dyDescent="0.25">
      <c r="A119" s="723">
        <v>41809</v>
      </c>
      <c r="B119" s="162" t="s">
        <v>451</v>
      </c>
      <c r="C119" s="162" t="s">
        <v>458</v>
      </c>
      <c r="D119" s="162" t="s">
        <v>380</v>
      </c>
      <c r="E119" s="307" t="s">
        <v>185</v>
      </c>
      <c r="F119" s="162" t="s">
        <v>202</v>
      </c>
      <c r="G119" s="103">
        <v>1</v>
      </c>
      <c r="H119" s="103"/>
      <c r="I119" s="103"/>
      <c r="J119" s="103">
        <v>80</v>
      </c>
      <c r="K119" s="103">
        <v>80</v>
      </c>
      <c r="L119" s="162"/>
      <c r="M119" s="162"/>
      <c r="N119" s="162"/>
      <c r="O119" s="162"/>
      <c r="P119" s="934">
        <f>IFERROR(IF(VLOOKUP(Table_Shelter[[#This Row],[CampName]],CL,5,0)&lt;Table_Shelter[[#This Row],[HH Covered2]],VLOOKUP(Table_Shelter[[#This Row],[CampName]],CL,5,0),Table_Shelter[[#This Row],[HH Covered2]]),"")</f>
        <v>80</v>
      </c>
      <c r="Q119" s="139">
        <f>IF(Table_Shelter[[#This Row],[Status]]="Open",IF(W119="NO",Table_Shelter[[#This Row],[HH per Shelter]]*(Table_Shelter[[#This Row],['# of Temporary Shelter Units Built]]+Table_Shelter[[#This Row],['# of Temporary Shelter Under  Construction]]+Table_Shelter[[#This Row],['# of Permanent House Under Construction]]),0),0)</f>
        <v>80</v>
      </c>
      <c r="R119" s="102"/>
      <c r="S119" s="162"/>
      <c r="T119" s="163" t="str">
        <f>IFERROR(VLOOKUP(Table_Shelter[[#This Row],[CampName]],CL,2,0),"")</f>
        <v>MMR001CMP062</v>
      </c>
      <c r="U119" s="163" t="str">
        <f>IFERROR(VLOOKUP(Table_Shelter[[#This Row],[CampName]],CL,3,0),"")</f>
        <v>Open</v>
      </c>
      <c r="V119" s="240">
        <f>IFERROR(Table_Shelter[[#This Row],[HH Covered]]/VLOOKUP(Table_Shelter[[#This Row],[CampName]],CL,5,0),"")</f>
        <v>0.30188679245283018</v>
      </c>
      <c r="W119" s="240" t="s">
        <v>1292</v>
      </c>
      <c r="X119" s="164"/>
    </row>
    <row r="120" spans="1:24" ht="15" customHeight="1" x14ac:dyDescent="0.25">
      <c r="A120" s="722">
        <v>41809</v>
      </c>
      <c r="B120" s="164" t="s">
        <v>845</v>
      </c>
      <c r="C120" s="164"/>
      <c r="D120" s="164" t="s">
        <v>380</v>
      </c>
      <c r="E120" s="168" t="s">
        <v>151</v>
      </c>
      <c r="F120" s="164" t="s">
        <v>152</v>
      </c>
      <c r="G120" s="105">
        <v>1</v>
      </c>
      <c r="H120" s="105"/>
      <c r="I120" s="105"/>
      <c r="J120" s="105">
        <v>56</v>
      </c>
      <c r="K120" s="105">
        <v>60</v>
      </c>
      <c r="L120" s="164"/>
      <c r="M120" s="164"/>
      <c r="N120" s="164"/>
      <c r="O120" s="164"/>
      <c r="P120" s="936">
        <f>IFERROR(IF(VLOOKUP(Table_Shelter[[#This Row],[CampName]],CL,5,0)&lt;Table_Shelter[[#This Row],[HH Covered2]],VLOOKUP(Table_Shelter[[#This Row],[CampName]],CL,5,0),Table_Shelter[[#This Row],[HH Covered2]]),"")</f>
        <v>60</v>
      </c>
      <c r="Q120" s="139">
        <f>IF(Table_Shelter[[#This Row],[Status]]="Open",IF(W120="NO",Table_Shelter[[#This Row],[HH per Shelter]]*(Table_Shelter[[#This Row],['# of Temporary Shelter Units Built]]+Table_Shelter[[#This Row],['# of Temporary Shelter Under  Construction]]+Table_Shelter[[#This Row],['# of Permanent House Under Construction]]),0),0)</f>
        <v>60</v>
      </c>
      <c r="R120" s="104"/>
      <c r="S120" s="164"/>
      <c r="T120" s="163" t="str">
        <f>IFERROR(VLOOKUP(Table_Shelter[[#This Row],[CampName]],CL,2,0),"")</f>
        <v>MMR001CMP066</v>
      </c>
      <c r="U120" s="163" t="str">
        <f>IFERROR(VLOOKUP(Table_Shelter[[#This Row],[CampName]],CL,3,0),"")</f>
        <v>Open</v>
      </c>
      <c r="V120" s="240">
        <f>IFERROR(Table_Shelter[[#This Row],[HH Covered]]/VLOOKUP(Table_Shelter[[#This Row],[CampName]],CL,5,0),"")</f>
        <v>0.30927835051546393</v>
      </c>
      <c r="W120" s="240" t="s">
        <v>1292</v>
      </c>
      <c r="X120" s="164"/>
    </row>
    <row r="121" spans="1:24" ht="15" customHeight="1" x14ac:dyDescent="0.25">
      <c r="A121" s="722">
        <v>41791</v>
      </c>
      <c r="B121" s="164" t="s">
        <v>451</v>
      </c>
      <c r="C121" s="164" t="s">
        <v>505</v>
      </c>
      <c r="D121" s="164" t="s">
        <v>380</v>
      </c>
      <c r="E121" s="168" t="s">
        <v>151</v>
      </c>
      <c r="F121" s="164" t="s">
        <v>188</v>
      </c>
      <c r="G121" s="105">
        <v>1</v>
      </c>
      <c r="H121" s="105"/>
      <c r="I121" s="105"/>
      <c r="J121" s="105">
        <v>100</v>
      </c>
      <c r="K121" s="105">
        <v>100</v>
      </c>
      <c r="L121" s="164"/>
      <c r="M121" s="164"/>
      <c r="N121" s="164"/>
      <c r="O121" s="164"/>
      <c r="P121" s="936">
        <f>IFERROR(IF(VLOOKUP(Table_Shelter[[#This Row],[CampName]],CL,5,0)&lt;Table_Shelter[[#This Row],[HH Covered2]],VLOOKUP(Table_Shelter[[#This Row],[CampName]],CL,5,0),Table_Shelter[[#This Row],[HH Covered2]]),"")</f>
        <v>100</v>
      </c>
      <c r="Q121" s="139">
        <f>IF(Table_Shelter[[#This Row],[Status]]="Open",IF(W121="NO",Table_Shelter[[#This Row],[HH per Shelter]]*(Table_Shelter[[#This Row],['# of Temporary Shelter Units Built]]+Table_Shelter[[#This Row],['# of Temporary Shelter Under  Construction]]+Table_Shelter[[#This Row],['# of Permanent House Under Construction]]),0),0)</f>
        <v>100</v>
      </c>
      <c r="R121" s="104"/>
      <c r="S121" s="164"/>
      <c r="T121" s="163" t="str">
        <f>IFERROR(VLOOKUP(Table_Shelter[[#This Row],[CampName]],CL,2,0),"")</f>
        <v>MMR001CMP129</v>
      </c>
      <c r="U121" s="163" t="str">
        <f>IFERROR(VLOOKUP(Table_Shelter[[#This Row],[CampName]],CL,3,0),"")</f>
        <v>Open</v>
      </c>
      <c r="V121" s="240">
        <f>IFERROR(Table_Shelter[[#This Row],[HH Covered]]/VLOOKUP(Table_Shelter[[#This Row],[CampName]],CL,5,0),"")</f>
        <v>0.25906735751295334</v>
      </c>
      <c r="W121" s="240" t="s">
        <v>1292</v>
      </c>
      <c r="X121" s="164"/>
    </row>
    <row r="122" spans="1:24" ht="15" customHeight="1" x14ac:dyDescent="0.25">
      <c r="A122" s="722">
        <v>41791</v>
      </c>
      <c r="B122" s="103" t="s">
        <v>451</v>
      </c>
      <c r="C122" s="103" t="s">
        <v>504</v>
      </c>
      <c r="D122" s="169" t="s">
        <v>380</v>
      </c>
      <c r="E122" s="170" t="s">
        <v>526</v>
      </c>
      <c r="F122" s="103" t="s">
        <v>76</v>
      </c>
      <c r="G122" s="103">
        <v>1</v>
      </c>
      <c r="H122" s="105"/>
      <c r="I122" s="105"/>
      <c r="J122" s="105">
        <v>20</v>
      </c>
      <c r="K122" s="105">
        <v>20</v>
      </c>
      <c r="L122" s="105"/>
      <c r="M122" s="105"/>
      <c r="N122" s="105"/>
      <c r="O122" s="105"/>
      <c r="P122" s="936">
        <f>IFERROR(IF(VLOOKUP(Table_Shelter[[#This Row],[CampName]],CL,5,0)&lt;Table_Shelter[[#This Row],[HH Covered2]],VLOOKUP(Table_Shelter[[#This Row],[CampName]],CL,5,0),Table_Shelter[[#This Row],[HH Covered2]]),"")</f>
        <v>20</v>
      </c>
      <c r="Q122" s="104">
        <f>IF(Table_Shelter[[#This Row],[Status]]="Open",IF(W122="NO",Table_Shelter[[#This Row],[HH per Shelter]]*(Table_Shelter[[#This Row],['# of Temporary Shelter Units Built]]+Table_Shelter[[#This Row],['# of Temporary Shelter Under  Construction]]+Table_Shelter[[#This Row],['# of Permanent House Under Construction]]),0),0)</f>
        <v>20</v>
      </c>
      <c r="R122" s="104"/>
      <c r="S122" s="104"/>
      <c r="T122" s="104" t="str">
        <f>IFERROR(VLOOKUP(Table_Shelter[[#This Row],[CampName]],CL,2,0),"")</f>
        <v>MMR001CMP174</v>
      </c>
      <c r="U122" s="104" t="str">
        <f>IFERROR(VLOOKUP(Table_Shelter[[#This Row],[CampName]],CL,3,0),"")</f>
        <v>Open</v>
      </c>
      <c r="V122" s="241">
        <f>IFERROR(Table_Shelter[[#This Row],[HH Covered]]/VLOOKUP(Table_Shelter[[#This Row],[CampName]],CL,5,0),"")</f>
        <v>0.2857142857142857</v>
      </c>
      <c r="W122" s="240" t="s">
        <v>1292</v>
      </c>
      <c r="X122" s="104"/>
    </row>
    <row r="123" spans="1:24" ht="15" customHeight="1" x14ac:dyDescent="0.25">
      <c r="A123" s="722">
        <v>41791</v>
      </c>
      <c r="B123" s="103" t="s">
        <v>451</v>
      </c>
      <c r="C123" s="103" t="s">
        <v>504</v>
      </c>
      <c r="D123" s="169" t="s">
        <v>380</v>
      </c>
      <c r="E123" s="170" t="s">
        <v>27</v>
      </c>
      <c r="F123" s="103" t="s">
        <v>365</v>
      </c>
      <c r="G123" s="103">
        <v>1</v>
      </c>
      <c r="H123" s="105"/>
      <c r="I123" s="105"/>
      <c r="J123" s="105">
        <v>5</v>
      </c>
      <c r="K123" s="105">
        <v>5</v>
      </c>
      <c r="L123" s="105"/>
      <c r="M123" s="105"/>
      <c r="N123" s="105"/>
      <c r="O123" s="105"/>
      <c r="P123" s="936">
        <f>IFERROR(IF(VLOOKUP(Table_Shelter[[#This Row],[CampName]],CL,5,0)&lt;Table_Shelter[[#This Row],[HH Covered2]],VLOOKUP(Table_Shelter[[#This Row],[CampName]],CL,5,0),Table_Shelter[[#This Row],[HH Covered2]]),"")</f>
        <v>5</v>
      </c>
      <c r="Q123" s="104">
        <f>IF(Table_Shelter[[#This Row],[Status]]="Open",IF(W123="NO",Table_Shelter[[#This Row],[HH per Shelter]]*(Table_Shelter[[#This Row],['# of Temporary Shelter Units Built]]+Table_Shelter[[#This Row],['# of Temporary Shelter Under  Construction]]+Table_Shelter[[#This Row],['# of Permanent House Under Construction]]),0),0)</f>
        <v>5</v>
      </c>
      <c r="R123" s="104"/>
      <c r="S123" s="104"/>
      <c r="T123" s="104" t="str">
        <f>IFERROR(VLOOKUP(Table_Shelter[[#This Row],[CampName]],CL,2,0),"")</f>
        <v>MMR001CMP195</v>
      </c>
      <c r="U123" s="104" t="str">
        <f>IFERROR(VLOOKUP(Table_Shelter[[#This Row],[CampName]],CL,3,0),"")</f>
        <v>Open</v>
      </c>
      <c r="V123" s="241">
        <f>IFERROR(Table_Shelter[[#This Row],[HH Covered]]/VLOOKUP(Table_Shelter[[#This Row],[CampName]],CL,5,0),"")</f>
        <v>3.4722222222222224E-2</v>
      </c>
      <c r="W123" s="240" t="s">
        <v>1292</v>
      </c>
      <c r="X123" s="104"/>
    </row>
    <row r="124" spans="1:24" ht="15" customHeight="1" x14ac:dyDescent="0.25">
      <c r="A124" s="722">
        <v>41791</v>
      </c>
      <c r="B124" s="103" t="s">
        <v>451</v>
      </c>
      <c r="C124" s="103" t="s">
        <v>504</v>
      </c>
      <c r="D124" s="169" t="s">
        <v>380</v>
      </c>
      <c r="E124" s="170" t="s">
        <v>526</v>
      </c>
      <c r="F124" s="103" t="s">
        <v>90</v>
      </c>
      <c r="G124" s="103">
        <v>1</v>
      </c>
      <c r="H124" s="105"/>
      <c r="I124" s="105"/>
      <c r="J124" s="105">
        <v>2</v>
      </c>
      <c r="K124" s="105">
        <v>2</v>
      </c>
      <c r="L124" s="105"/>
      <c r="M124" s="105"/>
      <c r="N124" s="105"/>
      <c r="O124" s="105"/>
      <c r="P124" s="936">
        <f>IFERROR(IF(VLOOKUP(Table_Shelter[[#This Row],[CampName]],CL,5,0)&lt;Table_Shelter[[#This Row],[HH Covered2]],VLOOKUP(Table_Shelter[[#This Row],[CampName]],CL,5,0),Table_Shelter[[#This Row],[HH Covered2]]),"")</f>
        <v>2</v>
      </c>
      <c r="Q124" s="104">
        <f>IF(Table_Shelter[[#This Row],[Status]]="Open",IF(W124="NO",Table_Shelter[[#This Row],[HH per Shelter]]*(Table_Shelter[[#This Row],['# of Temporary Shelter Units Built]]+Table_Shelter[[#This Row],['# of Temporary Shelter Under  Construction]]+Table_Shelter[[#This Row],['# of Permanent House Under Construction]]),0),0)</f>
        <v>2</v>
      </c>
      <c r="R124" s="104"/>
      <c r="S124" s="104"/>
      <c r="T124" s="104" t="str">
        <f>IFERROR(VLOOKUP(Table_Shelter[[#This Row],[CampName]],CL,2,0),"")</f>
        <v>MMR001CMP181</v>
      </c>
      <c r="U124" s="104" t="str">
        <f>IFERROR(VLOOKUP(Table_Shelter[[#This Row],[CampName]],CL,3,0),"")</f>
        <v>Open</v>
      </c>
      <c r="V124" s="241">
        <f>IFERROR(Table_Shelter[[#This Row],[HH Covered]]/VLOOKUP(Table_Shelter[[#This Row],[CampName]],CL,5,0),"")</f>
        <v>0.1</v>
      </c>
      <c r="W124" s="240" t="s">
        <v>1292</v>
      </c>
      <c r="X124" s="104"/>
    </row>
    <row r="125" spans="1:24" ht="15" customHeight="1" x14ac:dyDescent="0.25">
      <c r="A125" s="722">
        <v>41791</v>
      </c>
      <c r="B125" s="103" t="s">
        <v>451</v>
      </c>
      <c r="C125" s="103" t="s">
        <v>504</v>
      </c>
      <c r="D125" s="169" t="s">
        <v>380</v>
      </c>
      <c r="E125" s="170" t="s">
        <v>237</v>
      </c>
      <c r="F125" s="103" t="s">
        <v>263</v>
      </c>
      <c r="G125" s="103">
        <v>1</v>
      </c>
      <c r="H125" s="105"/>
      <c r="I125" s="105"/>
      <c r="J125" s="105">
        <v>5</v>
      </c>
      <c r="K125" s="105">
        <v>5</v>
      </c>
      <c r="L125" s="105"/>
      <c r="M125" s="105"/>
      <c r="N125" s="105"/>
      <c r="O125" s="105"/>
      <c r="P125" s="936">
        <f>IFERROR(IF(VLOOKUP(Table_Shelter[[#This Row],[CampName]],CL,5,0)&lt;Table_Shelter[[#This Row],[HH Covered2]],VLOOKUP(Table_Shelter[[#This Row],[CampName]],CL,5,0),Table_Shelter[[#This Row],[HH Covered2]]),"")</f>
        <v>5</v>
      </c>
      <c r="Q125" s="104">
        <f>IF(Table_Shelter[[#This Row],[Status]]="Open",IF(W125="NO",Table_Shelter[[#This Row],[HH per Shelter]]*(Table_Shelter[[#This Row],['# of Temporary Shelter Units Built]]+Table_Shelter[[#This Row],['# of Temporary Shelter Under  Construction]]+Table_Shelter[[#This Row],['# of Permanent House Under Construction]]),0),0)</f>
        <v>5</v>
      </c>
      <c r="R125" s="104"/>
      <c r="S125" s="104"/>
      <c r="T125" s="104" t="str">
        <f>IFERROR(VLOOKUP(Table_Shelter[[#This Row],[CampName]],CL,2,0),"")</f>
        <v>MMR001CMP020</v>
      </c>
      <c r="U125" s="104" t="str">
        <f>IFERROR(VLOOKUP(Table_Shelter[[#This Row],[CampName]],CL,3,0),"")</f>
        <v>Open</v>
      </c>
      <c r="V125" s="241">
        <f>IFERROR(Table_Shelter[[#This Row],[HH Covered]]/VLOOKUP(Table_Shelter[[#This Row],[CampName]],CL,5,0),"")</f>
        <v>0.21739130434782608</v>
      </c>
      <c r="W125" s="240" t="s">
        <v>1292</v>
      </c>
      <c r="X125" s="104"/>
    </row>
    <row r="126" spans="1:24" ht="15" customHeight="1" x14ac:dyDescent="0.25">
      <c r="A126" s="722">
        <v>41791</v>
      </c>
      <c r="B126" s="103" t="s">
        <v>451</v>
      </c>
      <c r="C126" s="103" t="s">
        <v>504</v>
      </c>
      <c r="D126" s="169" t="s">
        <v>380</v>
      </c>
      <c r="E126" s="170" t="s">
        <v>5</v>
      </c>
      <c r="F126" s="103" t="s">
        <v>8</v>
      </c>
      <c r="G126" s="103">
        <v>1</v>
      </c>
      <c r="H126" s="105"/>
      <c r="I126" s="105"/>
      <c r="J126" s="105">
        <v>5</v>
      </c>
      <c r="K126" s="105">
        <v>5</v>
      </c>
      <c r="L126" s="105"/>
      <c r="M126" s="105"/>
      <c r="N126" s="105"/>
      <c r="O126" s="105"/>
      <c r="P126" s="936">
        <f>IFERROR(IF(VLOOKUP(Table_Shelter[[#This Row],[CampName]],CL,5,0)&lt;Table_Shelter[[#This Row],[HH Covered2]],VLOOKUP(Table_Shelter[[#This Row],[CampName]],CL,5,0),Table_Shelter[[#This Row],[HH Covered2]]),"")</f>
        <v>5</v>
      </c>
      <c r="Q126" s="104">
        <f>IF(Table_Shelter[[#This Row],[Status]]="Open",IF(W126="NO",Table_Shelter[[#This Row],[HH per Shelter]]*(Table_Shelter[[#This Row],['# of Temporary Shelter Units Built]]+Table_Shelter[[#This Row],['# of Temporary Shelter Under  Construction]]+Table_Shelter[[#This Row],['# of Permanent House Under Construction]]),0),0)</f>
        <v>5</v>
      </c>
      <c r="R126" s="104"/>
      <c r="S126" s="104"/>
      <c r="T126" s="104" t="str">
        <f>IFERROR(VLOOKUP(Table_Shelter[[#This Row],[CampName]],CL,2,0),"")</f>
        <v>MMR001CMP051</v>
      </c>
      <c r="U126" s="104" t="str">
        <f>IFERROR(VLOOKUP(Table_Shelter[[#This Row],[CampName]],CL,3,0),"")</f>
        <v>Open</v>
      </c>
      <c r="V126" s="241">
        <f>IFERROR(Table_Shelter[[#This Row],[HH Covered]]/VLOOKUP(Table_Shelter[[#This Row],[CampName]],CL,5,0),"")</f>
        <v>0.38461538461538464</v>
      </c>
      <c r="W126" s="240" t="s">
        <v>1292</v>
      </c>
      <c r="X126" s="104"/>
    </row>
    <row r="127" spans="1:24" ht="15" customHeight="1" x14ac:dyDescent="0.25">
      <c r="A127" s="722">
        <v>41791</v>
      </c>
      <c r="B127" s="103" t="s">
        <v>451</v>
      </c>
      <c r="C127" s="103" t="s">
        <v>504</v>
      </c>
      <c r="D127" s="169" t="s">
        <v>380</v>
      </c>
      <c r="E127" s="170" t="s">
        <v>310</v>
      </c>
      <c r="F127" s="103" t="s">
        <v>338</v>
      </c>
      <c r="G127" s="103">
        <v>1</v>
      </c>
      <c r="H127" s="105"/>
      <c r="I127" s="105"/>
      <c r="J127" s="105">
        <v>3</v>
      </c>
      <c r="K127" s="105">
        <v>3</v>
      </c>
      <c r="L127" s="105"/>
      <c r="M127" s="105"/>
      <c r="N127" s="105"/>
      <c r="O127" s="105"/>
      <c r="P127" s="936">
        <f>IFERROR(IF(VLOOKUP(Table_Shelter[[#This Row],[CampName]],CL,5,0)&lt;Table_Shelter[[#This Row],[HH Covered2]],VLOOKUP(Table_Shelter[[#This Row],[CampName]],CL,5,0),Table_Shelter[[#This Row],[HH Covered2]]),"")</f>
        <v>3</v>
      </c>
      <c r="Q127" s="104">
        <f>IF(Table_Shelter[[#This Row],[Status]]="Open",IF(W127="NO",Table_Shelter[[#This Row],[HH per Shelter]]*(Table_Shelter[[#This Row],['# of Temporary Shelter Units Built]]+Table_Shelter[[#This Row],['# of Temporary Shelter Under  Construction]]+Table_Shelter[[#This Row],['# of Permanent House Under Construction]]),0),0)</f>
        <v>3</v>
      </c>
      <c r="R127" s="104"/>
      <c r="S127" s="104"/>
      <c r="T127" s="104" t="str">
        <f>IFERROR(VLOOKUP(Table_Shelter[[#This Row],[CampName]],CL,2,0),"")</f>
        <v>MMR001CMP030</v>
      </c>
      <c r="U127" s="104" t="str">
        <f>IFERROR(VLOOKUP(Table_Shelter[[#This Row],[CampName]],CL,3,0),"")</f>
        <v>Open</v>
      </c>
      <c r="V127" s="241">
        <f>IFERROR(Table_Shelter[[#This Row],[HH Covered]]/VLOOKUP(Table_Shelter[[#This Row],[CampName]],CL,5,0),"")</f>
        <v>9.6774193548387094E-2</v>
      </c>
      <c r="W127" s="240" t="s">
        <v>1292</v>
      </c>
      <c r="X127" s="104"/>
    </row>
    <row r="128" spans="1:24" ht="15" customHeight="1" x14ac:dyDescent="0.25">
      <c r="A128" s="722">
        <v>41791</v>
      </c>
      <c r="B128" s="103" t="s">
        <v>451</v>
      </c>
      <c r="C128" s="103" t="s">
        <v>504</v>
      </c>
      <c r="D128" s="169" t="s">
        <v>380</v>
      </c>
      <c r="E128" s="170" t="s">
        <v>237</v>
      </c>
      <c r="F128" s="103" t="s">
        <v>1232</v>
      </c>
      <c r="G128" s="103">
        <v>1</v>
      </c>
      <c r="H128" s="105"/>
      <c r="I128" s="105"/>
      <c r="J128" s="105">
        <v>10</v>
      </c>
      <c r="K128" s="105">
        <v>10</v>
      </c>
      <c r="L128" s="105"/>
      <c r="M128" s="105"/>
      <c r="N128" s="105"/>
      <c r="O128" s="105"/>
      <c r="P128" s="936">
        <f>IFERROR(IF(VLOOKUP(Table_Shelter[[#This Row],[CampName]],CL,5,0)&lt;Table_Shelter[[#This Row],[HH Covered2]],VLOOKUP(Table_Shelter[[#This Row],[CampName]],CL,5,0),Table_Shelter[[#This Row],[HH Covered2]]),"")</f>
        <v>10</v>
      </c>
      <c r="Q128" s="104">
        <f>IF(Table_Shelter[[#This Row],[Status]]="Open",IF(W128="NO",Table_Shelter[[#This Row],[HH per Shelter]]*(Table_Shelter[[#This Row],['# of Temporary Shelter Units Built]]+Table_Shelter[[#This Row],['# of Temporary Shelter Under  Construction]]+Table_Shelter[[#This Row],['# of Permanent House Under Construction]]),0),0)</f>
        <v>10</v>
      </c>
      <c r="R128" s="104"/>
      <c r="S128" s="104"/>
      <c r="T128" s="104" t="str">
        <f>IFERROR(VLOOKUP(Table_Shelter[[#This Row],[CampName]],CL,2,0),"")</f>
        <v>MMR001CMP023</v>
      </c>
      <c r="U128" s="104" t="str">
        <f>IFERROR(VLOOKUP(Table_Shelter[[#This Row],[CampName]],CL,3,0),"")</f>
        <v>Open</v>
      </c>
      <c r="V128" s="241">
        <f>IFERROR(Table_Shelter[[#This Row],[HH Covered]]/VLOOKUP(Table_Shelter[[#This Row],[CampName]],CL,5,0),"")</f>
        <v>0.18518518518518517</v>
      </c>
      <c r="W128" s="240" t="s">
        <v>1292</v>
      </c>
      <c r="X128" s="104"/>
    </row>
    <row r="129" spans="1:24" ht="15" customHeight="1" x14ac:dyDescent="0.25">
      <c r="A129" s="723">
        <v>41791</v>
      </c>
      <c r="B129" s="162" t="s">
        <v>451</v>
      </c>
      <c r="C129" s="162" t="s">
        <v>459</v>
      </c>
      <c r="D129" s="165" t="s">
        <v>380</v>
      </c>
      <c r="E129" s="307" t="s">
        <v>185</v>
      </c>
      <c r="F129" s="162" t="s">
        <v>190</v>
      </c>
      <c r="G129" s="103">
        <v>1</v>
      </c>
      <c r="H129" s="103"/>
      <c r="I129" s="103"/>
      <c r="J129" s="103">
        <v>25</v>
      </c>
      <c r="K129" s="103">
        <v>25</v>
      </c>
      <c r="L129" s="162"/>
      <c r="M129" s="162"/>
      <c r="N129" s="162"/>
      <c r="O129" s="162"/>
      <c r="P129" s="934">
        <f>IFERROR(IF(VLOOKUP(Table_Shelter[[#This Row],[CampName]],CL,5,0)&lt;Table_Shelter[[#This Row],[HH Covered2]],VLOOKUP(Table_Shelter[[#This Row],[CampName]],CL,5,0),Table_Shelter[[#This Row],[HH Covered2]]),"")</f>
        <v>25</v>
      </c>
      <c r="Q129" s="139">
        <f>IF(Table_Shelter[[#This Row],[Status]]="Open",IF(W129="NO",Table_Shelter[[#This Row],[HH per Shelter]]*(Table_Shelter[[#This Row],['# of Temporary Shelter Units Built]]+Table_Shelter[[#This Row],['# of Temporary Shelter Under  Construction]]+Table_Shelter[[#This Row],['# of Permanent House Under Construction]]),0),0)</f>
        <v>25</v>
      </c>
      <c r="R129" s="102"/>
      <c r="S129" s="162"/>
      <c r="T129" s="163" t="str">
        <f>IFERROR(VLOOKUP(Table_Shelter[[#This Row],[CampName]],CL,2,0),"")</f>
        <v>MMR001CMP070</v>
      </c>
      <c r="U129" s="163" t="str">
        <f>IFERROR(VLOOKUP(Table_Shelter[[#This Row],[CampName]],CL,3,0),"")</f>
        <v>Open</v>
      </c>
      <c r="V129" s="240">
        <f>IFERROR(Table_Shelter[[#This Row],[HH Covered]]/VLOOKUP(Table_Shelter[[#This Row],[CampName]],CL,5,0),"")</f>
        <v>0.12886597938144329</v>
      </c>
      <c r="W129" s="240" t="s">
        <v>1292</v>
      </c>
      <c r="X129" s="164"/>
    </row>
    <row r="130" spans="1:24" ht="15" customHeight="1" x14ac:dyDescent="0.25">
      <c r="A130" s="722">
        <v>41791</v>
      </c>
      <c r="B130" s="164" t="s">
        <v>451</v>
      </c>
      <c r="C130" s="164" t="s">
        <v>459</v>
      </c>
      <c r="D130" s="164" t="s">
        <v>380</v>
      </c>
      <c r="E130" s="168" t="s">
        <v>151</v>
      </c>
      <c r="F130" s="164" t="s">
        <v>884</v>
      </c>
      <c r="G130" s="105">
        <v>1</v>
      </c>
      <c r="H130" s="105"/>
      <c r="I130" s="105"/>
      <c r="J130" s="105">
        <v>60</v>
      </c>
      <c r="K130" s="105">
        <v>60</v>
      </c>
      <c r="L130" s="164"/>
      <c r="M130" s="164"/>
      <c r="N130" s="164"/>
      <c r="O130" s="164"/>
      <c r="P130" s="936">
        <f>IFERROR(IF(VLOOKUP(Table_Shelter[[#This Row],[CampName]],CL,5,0)&lt;Table_Shelter[[#This Row],[HH Covered2]],VLOOKUP(Table_Shelter[[#This Row],[CampName]],CL,5,0),Table_Shelter[[#This Row],[HH Covered2]]),"")</f>
        <v>60</v>
      </c>
      <c r="Q130" s="139">
        <f>IF(Table_Shelter[[#This Row],[Status]]="Open",IF(W130="NO",Table_Shelter[[#This Row],[HH per Shelter]]*(Table_Shelter[[#This Row],['# of Temporary Shelter Units Built]]+Table_Shelter[[#This Row],['# of Temporary Shelter Under  Construction]]+Table_Shelter[[#This Row],['# of Permanent House Under Construction]]),0),0)</f>
        <v>60</v>
      </c>
      <c r="R130" s="104"/>
      <c r="S130" s="164"/>
      <c r="T130" s="163" t="str">
        <f>IFERROR(VLOOKUP(Table_Shelter[[#This Row],[CampName]],CL,2,0),"")</f>
        <v>MMR001CMP218</v>
      </c>
      <c r="U130" s="163" t="str">
        <f>IFERROR(VLOOKUP(Table_Shelter[[#This Row],[CampName]],CL,3,0),"")</f>
        <v>Open</v>
      </c>
      <c r="V130" s="240">
        <f>IFERROR(Table_Shelter[[#This Row],[HH Covered]]/VLOOKUP(Table_Shelter[[#This Row],[CampName]],CL,5,0),"")</f>
        <v>0.14888337468982629</v>
      </c>
      <c r="W130" s="240" t="s">
        <v>1292</v>
      </c>
      <c r="X130" s="164"/>
    </row>
    <row r="131" spans="1:24" ht="15" customHeight="1" x14ac:dyDescent="0.25">
      <c r="A131" s="723">
        <v>41791</v>
      </c>
      <c r="B131" s="162" t="s">
        <v>451</v>
      </c>
      <c r="C131" s="162" t="s">
        <v>459</v>
      </c>
      <c r="D131" s="162" t="s">
        <v>380</v>
      </c>
      <c r="E131" s="307" t="s">
        <v>151</v>
      </c>
      <c r="F131" s="162" t="s">
        <v>152</v>
      </c>
      <c r="G131" s="103">
        <v>1</v>
      </c>
      <c r="H131" s="103"/>
      <c r="I131" s="103"/>
      <c r="J131" s="103">
        <v>15</v>
      </c>
      <c r="K131" s="103">
        <v>15</v>
      </c>
      <c r="L131" s="162"/>
      <c r="M131" s="162"/>
      <c r="N131" s="162"/>
      <c r="O131" s="162"/>
      <c r="P131" s="934">
        <f>IFERROR(IF(VLOOKUP(Table_Shelter[[#This Row],[CampName]],CL,5,0)&lt;Table_Shelter[[#This Row],[HH Covered2]],VLOOKUP(Table_Shelter[[#This Row],[CampName]],CL,5,0),Table_Shelter[[#This Row],[HH Covered2]]),"")</f>
        <v>15</v>
      </c>
      <c r="Q131" s="104">
        <f>IF(Table_Shelter[[#This Row],[Status]]="Open",IF(W131="NO",Table_Shelter[[#This Row],[HH per Shelter]]*(Table_Shelter[[#This Row],['# of Temporary Shelter Units Built]]+Table_Shelter[[#This Row],['# of Temporary Shelter Under  Construction]]+Table_Shelter[[#This Row],['# of Permanent House Under Construction]]),0),0)</f>
        <v>15</v>
      </c>
      <c r="R131" s="102"/>
      <c r="S131" s="102"/>
      <c r="T131" s="104" t="str">
        <f>IFERROR(VLOOKUP(Table_Shelter[[#This Row],[CampName]],CL,2,0),"")</f>
        <v>MMR001CMP066</v>
      </c>
      <c r="U131" s="104" t="str">
        <f>IFERROR(VLOOKUP(Table_Shelter[[#This Row],[CampName]],CL,3,0),"")</f>
        <v>Open</v>
      </c>
      <c r="V131" s="240">
        <f>IFERROR(Table_Shelter[[#This Row],[HH Covered]]/VLOOKUP(Table_Shelter[[#This Row],[CampName]],CL,5,0),"")</f>
        <v>7.7319587628865982E-2</v>
      </c>
      <c r="W131" s="240" t="s">
        <v>1292</v>
      </c>
      <c r="X131" s="104"/>
    </row>
    <row r="132" spans="1:24" ht="15" customHeight="1" x14ac:dyDescent="0.25">
      <c r="A132" s="722">
        <v>41791</v>
      </c>
      <c r="B132" s="162" t="s">
        <v>451</v>
      </c>
      <c r="C132" s="162" t="s">
        <v>459</v>
      </c>
      <c r="D132" s="165" t="s">
        <v>380</v>
      </c>
      <c r="E132" s="307" t="s">
        <v>185</v>
      </c>
      <c r="F132" s="162" t="s">
        <v>209</v>
      </c>
      <c r="G132" s="103">
        <v>1</v>
      </c>
      <c r="H132" s="105"/>
      <c r="I132" s="105"/>
      <c r="J132" s="105">
        <v>10</v>
      </c>
      <c r="K132" s="105">
        <v>10</v>
      </c>
      <c r="L132" s="164"/>
      <c r="M132" s="164"/>
      <c r="N132" s="164"/>
      <c r="O132" s="164"/>
      <c r="P132" s="936">
        <f>IFERROR(IF(VLOOKUP(Table_Shelter[[#This Row],[CampName]],CL,5,0)&lt;Table_Shelter[[#This Row],[HH Covered2]],VLOOKUP(Table_Shelter[[#This Row],[CampName]],CL,5,0),Table_Shelter[[#This Row],[HH Covered2]]),"")</f>
        <v>10</v>
      </c>
      <c r="Q132" s="104">
        <f>IF(Table_Shelter[[#This Row],[Status]]="Open",IF(W132="NO",Table_Shelter[[#This Row],[HH per Shelter]]*(Table_Shelter[[#This Row],['# of Temporary Shelter Units Built]]+Table_Shelter[[#This Row],['# of Temporary Shelter Under  Construction]]+Table_Shelter[[#This Row],['# of Permanent House Under Construction]]),0),0)</f>
        <v>10</v>
      </c>
      <c r="R132" s="104"/>
      <c r="S132" s="104"/>
      <c r="T132" s="104" t="str">
        <f>IFERROR(VLOOKUP(Table_Shelter[[#This Row],[CampName]],CL,2,0),"")</f>
        <v>MMR001CMP056</v>
      </c>
      <c r="U132" s="104" t="str">
        <f>IFERROR(VLOOKUP(Table_Shelter[[#This Row],[CampName]],CL,3,0),"")</f>
        <v>Open</v>
      </c>
      <c r="V132" s="240">
        <f>IFERROR(Table_Shelter[[#This Row],[HH Covered]]/VLOOKUP(Table_Shelter[[#This Row],[CampName]],CL,5,0),"")</f>
        <v>2.5839793281653745E-2</v>
      </c>
      <c r="W132" s="240" t="s">
        <v>1292</v>
      </c>
      <c r="X132" s="104"/>
    </row>
    <row r="133" spans="1:24" ht="15" customHeight="1" x14ac:dyDescent="0.25">
      <c r="A133" s="722">
        <v>41791</v>
      </c>
      <c r="B133" s="162" t="s">
        <v>451</v>
      </c>
      <c r="C133" s="162" t="s">
        <v>459</v>
      </c>
      <c r="D133" s="165" t="s">
        <v>380</v>
      </c>
      <c r="E133" s="307" t="s">
        <v>5</v>
      </c>
      <c r="F133" s="162" t="s">
        <v>366</v>
      </c>
      <c r="G133" s="103">
        <v>1</v>
      </c>
      <c r="H133" s="105"/>
      <c r="I133" s="105"/>
      <c r="J133" s="105">
        <v>10</v>
      </c>
      <c r="K133" s="105">
        <v>10</v>
      </c>
      <c r="L133" s="164"/>
      <c r="M133" s="164"/>
      <c r="N133" s="164"/>
      <c r="O133" s="164"/>
      <c r="P133" s="936">
        <f>IFERROR(IF(VLOOKUP(Table_Shelter[[#This Row],[CampName]],CL,5,0)&lt;Table_Shelter[[#This Row],[HH Covered2]],VLOOKUP(Table_Shelter[[#This Row],[CampName]],CL,5,0),Table_Shelter[[#This Row],[HH Covered2]]),"")</f>
        <v>10</v>
      </c>
      <c r="Q133" s="104">
        <f>IF(Table_Shelter[[#This Row],[Status]]="Open",IF(W133="NO",Table_Shelter[[#This Row],[HH per Shelter]]*(Table_Shelter[[#This Row],['# of Temporary Shelter Units Built]]+Table_Shelter[[#This Row],['# of Temporary Shelter Under  Construction]]+Table_Shelter[[#This Row],['# of Permanent House Under Construction]]),0),0)</f>
        <v>10</v>
      </c>
      <c r="R133" s="104"/>
      <c r="S133" s="104"/>
      <c r="T133" s="104" t="str">
        <f>IFERROR(VLOOKUP(Table_Shelter[[#This Row],[CampName]],CL,2,0),"")</f>
        <v>MMR001CMP193</v>
      </c>
      <c r="U133" s="104" t="str">
        <f>IFERROR(VLOOKUP(Table_Shelter[[#This Row],[CampName]],CL,3,0),"")</f>
        <v>Open</v>
      </c>
      <c r="V133" s="240">
        <f>IFERROR(Table_Shelter[[#This Row],[HH Covered]]/VLOOKUP(Table_Shelter[[#This Row],[CampName]],CL,5,0),"")</f>
        <v>6.535947712418301E-2</v>
      </c>
      <c r="W133" s="240" t="s">
        <v>1292</v>
      </c>
      <c r="X133" s="104"/>
    </row>
    <row r="134" spans="1:24" ht="15" customHeight="1" x14ac:dyDescent="0.25">
      <c r="A134" s="722">
        <v>41770</v>
      </c>
      <c r="B134" s="162" t="s">
        <v>451</v>
      </c>
      <c r="C134" s="162"/>
      <c r="D134" s="165" t="s">
        <v>552</v>
      </c>
      <c r="E134" s="307" t="s">
        <v>230</v>
      </c>
      <c r="F134" s="162" t="s">
        <v>1049</v>
      </c>
      <c r="G134" s="103">
        <v>1</v>
      </c>
      <c r="H134" s="105">
        <v>110</v>
      </c>
      <c r="I134" s="105">
        <v>110</v>
      </c>
      <c r="J134" s="105"/>
      <c r="K134" s="105"/>
      <c r="L134" s="164"/>
      <c r="M134" s="164"/>
      <c r="N134" s="164"/>
      <c r="O134" s="164"/>
      <c r="P134" s="936">
        <f>IFERROR(IF(VLOOKUP(Table_Shelter[[#This Row],[CampName]],CL,5,0)&lt;Table_Shelter[[#This Row],[HH Covered2]],VLOOKUP(Table_Shelter[[#This Row],[CampName]],CL,5,0),Table_Shelter[[#This Row],[HH Covered2]]),"")</f>
        <v>0</v>
      </c>
      <c r="Q134" s="104">
        <f>IF(Table_Shelter[[#This Row],[Status]]="Open",IF(W134="NO",Table_Shelter[[#This Row],[HH per Shelter]]*(Table_Shelter[[#This Row],['# of Temporary Shelter Units Built]]+Table_Shelter[[#This Row],['# of Temporary Shelter Under  Construction]]+Table_Shelter[[#This Row],['# of Permanent House Under Construction]]),0),0)</f>
        <v>0</v>
      </c>
      <c r="R134" s="104"/>
      <c r="S134" s="164"/>
      <c r="T134" s="164" t="str">
        <f>IFERROR(VLOOKUP(Table_Shelter[[#This Row],[CampName]],CL,2,0),"")</f>
        <v>MMR015CMP213</v>
      </c>
      <c r="U134" s="164" t="str">
        <f>IFERROR(VLOOKUP(Table_Shelter[[#This Row],[CampName]],CL,3,0),"")</f>
        <v>Open</v>
      </c>
      <c r="V134" s="240">
        <f>IFERROR(Table_Shelter[[#This Row],[HH Covered]]/VLOOKUP(Table_Shelter[[#This Row],[CampName]],CL,5,0),"")</f>
        <v>0</v>
      </c>
      <c r="W134" s="240" t="s">
        <v>1292</v>
      </c>
      <c r="X134" s="164"/>
    </row>
    <row r="135" spans="1:24" ht="15" customHeight="1" x14ac:dyDescent="0.25">
      <c r="A135" s="723">
        <v>41749</v>
      </c>
      <c r="B135" s="162" t="s">
        <v>451</v>
      </c>
      <c r="C135" s="162"/>
      <c r="D135" s="162" t="s">
        <v>380</v>
      </c>
      <c r="E135" s="307" t="s">
        <v>151</v>
      </c>
      <c r="F135" s="162" t="s">
        <v>875</v>
      </c>
      <c r="G135" s="103">
        <v>1</v>
      </c>
      <c r="H135" s="103">
        <v>200</v>
      </c>
      <c r="I135" s="103">
        <v>200</v>
      </c>
      <c r="J135" s="103"/>
      <c r="K135" s="103"/>
      <c r="L135" s="162"/>
      <c r="M135" s="162"/>
      <c r="N135" s="162"/>
      <c r="O135" s="162"/>
      <c r="P135" s="934">
        <f>IFERROR(IF(VLOOKUP(Table_Shelter[[#This Row],[CampName]],CL,5,0)&lt;Table_Shelter[[#This Row],[HH Covered2]],VLOOKUP(Table_Shelter[[#This Row],[CampName]],CL,5,0),Table_Shelter[[#This Row],[HH Covered2]]),"")</f>
        <v>0</v>
      </c>
      <c r="Q135" s="139">
        <f>IF(Table_Shelter[[#This Row],[Status]]="Open",IF(W135="NO",Table_Shelter[[#This Row],[HH per Shelter]]*(Table_Shelter[[#This Row],['# of Temporary Shelter Units Built]]+Table_Shelter[[#This Row],['# of Temporary Shelter Under  Construction]]+Table_Shelter[[#This Row],['# of Permanent House Under Construction]]),0),0)</f>
        <v>0</v>
      </c>
      <c r="R135" s="102"/>
      <c r="S135" s="162"/>
      <c r="T135" s="163" t="str">
        <f>IFERROR(VLOOKUP(Table_Shelter[[#This Row],[CampName]],CL,2,0),"")</f>
        <v>MMR001CMP212</v>
      </c>
      <c r="U135" s="163" t="str">
        <f>IFERROR(VLOOKUP(Table_Shelter[[#This Row],[CampName]],CL,3,0),"")</f>
        <v>Closed</v>
      </c>
      <c r="V135" s="240" t="str">
        <f>IFERROR(Table_Shelter[[#This Row],[HH Covered]]/VLOOKUP(Table_Shelter[[#This Row],[CampName]],CL,5,0),"")</f>
        <v/>
      </c>
      <c r="W135" s="240" t="s">
        <v>1292</v>
      </c>
      <c r="X135" s="164"/>
    </row>
    <row r="136" spans="1:24" ht="15" customHeight="1" x14ac:dyDescent="0.25">
      <c r="A136" s="678">
        <v>41748</v>
      </c>
      <c r="B136" s="164" t="s">
        <v>451</v>
      </c>
      <c r="C136" s="164"/>
      <c r="D136" s="164" t="s">
        <v>380</v>
      </c>
      <c r="E136" s="168" t="s">
        <v>151</v>
      </c>
      <c r="F136" s="164" t="s">
        <v>154</v>
      </c>
      <c r="G136" s="105">
        <v>1</v>
      </c>
      <c r="H136" s="105">
        <v>200</v>
      </c>
      <c r="I136" s="105">
        <v>200</v>
      </c>
      <c r="J136" s="105"/>
      <c r="K136" s="105"/>
      <c r="L136" s="164"/>
      <c r="M136" s="164"/>
      <c r="N136" s="164"/>
      <c r="O136" s="164"/>
      <c r="P136" s="936">
        <f>IFERROR(IF(VLOOKUP(Table_Shelter[[#This Row],[CampName]],CL,5,0)&lt;Table_Shelter[[#This Row],[HH Covered2]],VLOOKUP(Table_Shelter[[#This Row],[CampName]],CL,5,0),Table_Shelter[[#This Row],[HH Covered2]]),"")</f>
        <v>0</v>
      </c>
      <c r="Q136" s="139">
        <f>IF(Table_Shelter[[#This Row],[Status]]="Open",IF(W136="NO",Table_Shelter[[#This Row],[HH per Shelter]]*(Table_Shelter[[#This Row],['# of Temporary Shelter Units Built]]+Table_Shelter[[#This Row],['# of Temporary Shelter Under  Construction]]+Table_Shelter[[#This Row],['# of Permanent House Under Construction]]),0),0)</f>
        <v>0</v>
      </c>
      <c r="R136" s="104"/>
      <c r="S136" s="164"/>
      <c r="T136" s="163" t="str">
        <f>IFERROR(VLOOKUP(Table_Shelter[[#This Row],[CampName]],CL,2,0),"")</f>
        <v>MMR001CMP132</v>
      </c>
      <c r="U136" s="163" t="str">
        <f>IFERROR(VLOOKUP(Table_Shelter[[#This Row],[CampName]],CL,3,0),"")</f>
        <v>Open</v>
      </c>
      <c r="V136" s="240">
        <f>IFERROR(Table_Shelter[[#This Row],[HH Covered]]/VLOOKUP(Table_Shelter[[#This Row],[CampName]],CL,5,0),"")</f>
        <v>0</v>
      </c>
      <c r="W136" s="240" t="s">
        <v>1292</v>
      </c>
      <c r="X136" s="164"/>
    </row>
    <row r="137" spans="1:24" ht="15" customHeight="1" x14ac:dyDescent="0.25">
      <c r="A137" s="482">
        <v>41609</v>
      </c>
      <c r="B137" s="163" t="s">
        <v>451</v>
      </c>
      <c r="C137" s="163" t="s">
        <v>459</v>
      </c>
      <c r="D137" s="163" t="s">
        <v>380</v>
      </c>
      <c r="E137" s="167" t="s">
        <v>526</v>
      </c>
      <c r="F137" s="163" t="s">
        <v>62</v>
      </c>
      <c r="G137" s="138">
        <v>1</v>
      </c>
      <c r="H137" s="138"/>
      <c r="I137" s="138"/>
      <c r="J137" s="138">
        <v>20</v>
      </c>
      <c r="K137" s="138">
        <v>20</v>
      </c>
      <c r="L137" s="163"/>
      <c r="M137" s="163"/>
      <c r="N137" s="163"/>
      <c r="O137" s="163"/>
      <c r="P137" s="939">
        <f>IFERROR(IF(VLOOKUP(Table_Shelter[[#This Row],[CampName]],CL,5,0)&lt;Table_Shelter[[#This Row],[HH Covered2]],VLOOKUP(Table_Shelter[[#This Row],[CampName]],CL,5,0),Table_Shelter[[#This Row],[HH Covered2]]),"")</f>
        <v>0</v>
      </c>
      <c r="Q137" s="139">
        <f>IF(Table_Shelter[[#This Row],[Status]]="Open",IF(W137="NO",Table_Shelter[[#This Row],[HH per Shelter]]*(Table_Shelter[[#This Row],['# of Temporary Shelter Units Built]]+Table_Shelter[[#This Row],['# of Temporary Shelter Under  Construction]]+Table_Shelter[[#This Row],['# of Permanent House Under Construction]]),0),0)</f>
        <v>0</v>
      </c>
      <c r="R137" s="139"/>
      <c r="S137" s="163"/>
      <c r="T137" s="163" t="str">
        <f>IFERROR(VLOOKUP(Table_Shelter[[#This Row],[CampName]],CL,2,0),"")</f>
        <v>MMR001CMP179</v>
      </c>
      <c r="U137" s="163" t="str">
        <f>IFERROR(VLOOKUP(Table_Shelter[[#This Row],[CampName]],CL,3,0),"")</f>
        <v>Closed</v>
      </c>
      <c r="V137" s="240" t="str">
        <f>IFERROR(Table_Shelter[[#This Row],[HH Covered]]/VLOOKUP(Table_Shelter[[#This Row],[CampName]],CL,5,0),"")</f>
        <v/>
      </c>
      <c r="W137" s="240" t="s">
        <v>1292</v>
      </c>
      <c r="X137" s="164"/>
    </row>
    <row r="138" spans="1:24" ht="15" customHeight="1" x14ac:dyDescent="0.25">
      <c r="A138" s="723">
        <v>41609</v>
      </c>
      <c r="B138" s="162" t="s">
        <v>451</v>
      </c>
      <c r="C138" s="162" t="s">
        <v>504</v>
      </c>
      <c r="D138" s="162" t="s">
        <v>380</v>
      </c>
      <c r="E138" s="307" t="s">
        <v>526</v>
      </c>
      <c r="F138" s="162" t="s">
        <v>41</v>
      </c>
      <c r="G138" s="103">
        <v>1</v>
      </c>
      <c r="H138" s="103"/>
      <c r="I138" s="103"/>
      <c r="J138" s="103">
        <v>25</v>
      </c>
      <c r="K138" s="103">
        <v>25</v>
      </c>
      <c r="L138" s="162"/>
      <c r="M138" s="162"/>
      <c r="N138" s="162"/>
      <c r="O138" s="162"/>
      <c r="P138" s="934">
        <f>IFERROR(IF(VLOOKUP(Table_Shelter[[#This Row],[CampName]],CL,5,0)&lt;Table_Shelter[[#This Row],[HH Covered2]],VLOOKUP(Table_Shelter[[#This Row],[CampName]],CL,5,0),Table_Shelter[[#This Row],[HH Covered2]]),"")</f>
        <v>25</v>
      </c>
      <c r="Q138" s="139">
        <f>IF(Table_Shelter[[#This Row],[Status]]="Open",IF(W138="NO",Table_Shelter[[#This Row],[HH per Shelter]]*(Table_Shelter[[#This Row],['# of Temporary Shelter Units Built]]+Table_Shelter[[#This Row],['# of Temporary Shelter Under  Construction]]+Table_Shelter[[#This Row],['# of Permanent House Under Construction]]),0),0)</f>
        <v>25</v>
      </c>
      <c r="R138" s="102"/>
      <c r="S138" s="162"/>
      <c r="T138" s="163" t="str">
        <f>IFERROR(VLOOKUP(Table_Shelter[[#This Row],[CampName]],CL,2,0),"")</f>
        <v>MMR001CMP176</v>
      </c>
      <c r="U138" s="163" t="str">
        <f>IFERROR(VLOOKUP(Table_Shelter[[#This Row],[CampName]],CL,3,0),"")</f>
        <v>Open</v>
      </c>
      <c r="V138" s="240">
        <f>IFERROR(Table_Shelter[[#This Row],[HH Covered]]/VLOOKUP(Table_Shelter[[#This Row],[CampName]],CL,5,0),"")</f>
        <v>0.37878787878787878</v>
      </c>
      <c r="W138" s="240" t="s">
        <v>1292</v>
      </c>
      <c r="X138" s="164"/>
    </row>
    <row r="139" spans="1:24" ht="15" customHeight="1" x14ac:dyDescent="0.25">
      <c r="A139" s="723">
        <v>41609</v>
      </c>
      <c r="B139" s="162" t="s">
        <v>451</v>
      </c>
      <c r="C139" s="162" t="s">
        <v>504</v>
      </c>
      <c r="D139" s="162" t="s">
        <v>380</v>
      </c>
      <c r="E139" s="307" t="s">
        <v>526</v>
      </c>
      <c r="F139" s="162" t="s">
        <v>43</v>
      </c>
      <c r="G139" s="103">
        <v>1</v>
      </c>
      <c r="H139" s="103"/>
      <c r="I139" s="103"/>
      <c r="J139" s="103">
        <v>5</v>
      </c>
      <c r="K139" s="103">
        <v>5</v>
      </c>
      <c r="L139" s="162"/>
      <c r="M139" s="162"/>
      <c r="N139" s="162"/>
      <c r="O139" s="162"/>
      <c r="P139" s="934">
        <f>IFERROR(IF(VLOOKUP(Table_Shelter[[#This Row],[CampName]],CL,5,0)&lt;Table_Shelter[[#This Row],[HH Covered2]],VLOOKUP(Table_Shelter[[#This Row],[CampName]],CL,5,0),Table_Shelter[[#This Row],[HH Covered2]]),"")</f>
        <v>5</v>
      </c>
      <c r="Q139" s="139">
        <f>IF(Table_Shelter[[#This Row],[Status]]="Open",IF(W139="NO",Table_Shelter[[#This Row],[HH per Shelter]]*(Table_Shelter[[#This Row],['# of Temporary Shelter Units Built]]+Table_Shelter[[#This Row],['# of Temporary Shelter Under  Construction]]+Table_Shelter[[#This Row],['# of Permanent House Under Construction]]),0),0)</f>
        <v>5</v>
      </c>
      <c r="R139" s="102"/>
      <c r="S139" s="162"/>
      <c r="T139" s="163" t="str">
        <f>IFERROR(VLOOKUP(Table_Shelter[[#This Row],[CampName]],CL,2,0),"")</f>
        <v>MMR001CMP190</v>
      </c>
      <c r="U139" s="163" t="str">
        <f>IFERROR(VLOOKUP(Table_Shelter[[#This Row],[CampName]],CL,3,0),"")</f>
        <v>Open</v>
      </c>
      <c r="V139" s="240">
        <f>IFERROR(Table_Shelter[[#This Row],[HH Covered]]/VLOOKUP(Table_Shelter[[#This Row],[CampName]],CL,5,0),"")</f>
        <v>0.35714285714285715</v>
      </c>
      <c r="W139" s="240" t="s">
        <v>1292</v>
      </c>
      <c r="X139" s="164"/>
    </row>
    <row r="140" spans="1:24" ht="15" customHeight="1" x14ac:dyDescent="0.25">
      <c r="A140" s="723">
        <v>41609</v>
      </c>
      <c r="B140" s="162" t="s">
        <v>451</v>
      </c>
      <c r="C140" s="162" t="s">
        <v>459</v>
      </c>
      <c r="D140" s="162" t="s">
        <v>380</v>
      </c>
      <c r="E140" s="307" t="s">
        <v>526</v>
      </c>
      <c r="F140" s="162" t="s">
        <v>52</v>
      </c>
      <c r="G140" s="103">
        <v>1</v>
      </c>
      <c r="H140" s="103"/>
      <c r="I140" s="103"/>
      <c r="J140" s="103">
        <v>20</v>
      </c>
      <c r="K140" s="103">
        <v>20</v>
      </c>
      <c r="L140" s="162"/>
      <c r="M140" s="162"/>
      <c r="N140" s="162"/>
      <c r="O140" s="162"/>
      <c r="P140" s="934">
        <f>IFERROR(IF(VLOOKUP(Table_Shelter[[#This Row],[CampName]],CL,5,0)&lt;Table_Shelter[[#This Row],[HH Covered2]],VLOOKUP(Table_Shelter[[#This Row],[CampName]],CL,5,0),Table_Shelter[[#This Row],[HH Covered2]]),"")</f>
        <v>20</v>
      </c>
      <c r="Q140" s="139">
        <f>IF(Table_Shelter[[#This Row],[Status]]="Open",IF(W140="NO",Table_Shelter[[#This Row],[HH per Shelter]]*(Table_Shelter[[#This Row],['# of Temporary Shelter Units Built]]+Table_Shelter[[#This Row],['# of Temporary Shelter Under  Construction]]+Table_Shelter[[#This Row],['# of Permanent House Under Construction]]),0),0)</f>
        <v>20</v>
      </c>
      <c r="R140" s="102"/>
      <c r="S140" s="162"/>
      <c r="T140" s="163" t="str">
        <f>IFERROR(VLOOKUP(Table_Shelter[[#This Row],[CampName]],CL,2,0),"")</f>
        <v>MMR001CMP169</v>
      </c>
      <c r="U140" s="163" t="str">
        <f>IFERROR(VLOOKUP(Table_Shelter[[#This Row],[CampName]],CL,3,0),"")</f>
        <v>Open</v>
      </c>
      <c r="V140" s="240">
        <f>IFERROR(Table_Shelter[[#This Row],[HH Covered]]/VLOOKUP(Table_Shelter[[#This Row],[CampName]],CL,5,0),"")</f>
        <v>0.52631578947368418</v>
      </c>
      <c r="W140" s="240" t="s">
        <v>1292</v>
      </c>
      <c r="X140" s="164"/>
    </row>
    <row r="141" spans="1:24" ht="15" customHeight="1" x14ac:dyDescent="0.25">
      <c r="A141" s="723">
        <v>41609</v>
      </c>
      <c r="B141" s="162" t="s">
        <v>451</v>
      </c>
      <c r="C141" s="162" t="s">
        <v>504</v>
      </c>
      <c r="D141" s="162" t="s">
        <v>380</v>
      </c>
      <c r="E141" s="307" t="s">
        <v>526</v>
      </c>
      <c r="F141" s="162" t="s">
        <v>58</v>
      </c>
      <c r="G141" s="103">
        <v>1</v>
      </c>
      <c r="H141" s="103"/>
      <c r="I141" s="103"/>
      <c r="J141" s="103">
        <v>10</v>
      </c>
      <c r="K141" s="103">
        <v>10</v>
      </c>
      <c r="L141" s="162"/>
      <c r="M141" s="162"/>
      <c r="N141" s="162"/>
      <c r="O141" s="162"/>
      <c r="P141" s="934">
        <f>IFERROR(IF(VLOOKUP(Table_Shelter[[#This Row],[CampName]],CL,5,0)&lt;Table_Shelter[[#This Row],[HH Covered2]],VLOOKUP(Table_Shelter[[#This Row],[CampName]],CL,5,0),Table_Shelter[[#This Row],[HH Covered2]]),"")</f>
        <v>0</v>
      </c>
      <c r="Q141" s="139">
        <f>IF(Table_Shelter[[#This Row],[Status]]="Open",IF(W141="NO",Table_Shelter[[#This Row],[HH per Shelter]]*(Table_Shelter[[#This Row],['# of Temporary Shelter Units Built]]+Table_Shelter[[#This Row],['# of Temporary Shelter Under  Construction]]+Table_Shelter[[#This Row],['# of Permanent House Under Construction]]),0),0)</f>
        <v>0</v>
      </c>
      <c r="R141" s="102"/>
      <c r="S141" s="162"/>
      <c r="T141" s="163" t="str">
        <f>IFERROR(VLOOKUP(Table_Shelter[[#This Row],[CampName]],CL,2,0),"")</f>
        <v>MMR001CMP188</v>
      </c>
      <c r="U141" s="163" t="str">
        <f>IFERROR(VLOOKUP(Table_Shelter[[#This Row],[CampName]],CL,3,0),"")</f>
        <v>Closed</v>
      </c>
      <c r="V141" s="240" t="str">
        <f>IFERROR(Table_Shelter[[#This Row],[HH Covered]]/VLOOKUP(Table_Shelter[[#This Row],[CampName]],CL,5,0),"")</f>
        <v/>
      </c>
      <c r="W141" s="240" t="s">
        <v>1292</v>
      </c>
      <c r="X141" s="164"/>
    </row>
    <row r="142" spans="1:24" ht="15" customHeight="1" x14ac:dyDescent="0.25">
      <c r="A142" s="723">
        <v>41609</v>
      </c>
      <c r="B142" s="164" t="s">
        <v>451</v>
      </c>
      <c r="C142" s="164" t="s">
        <v>505</v>
      </c>
      <c r="D142" s="166" t="s">
        <v>380</v>
      </c>
      <c r="E142" s="168" t="s">
        <v>310</v>
      </c>
      <c r="F142" s="164" t="s">
        <v>334</v>
      </c>
      <c r="G142" s="105">
        <v>1</v>
      </c>
      <c r="H142" s="105"/>
      <c r="I142" s="105"/>
      <c r="J142" s="105">
        <v>35</v>
      </c>
      <c r="K142" s="105">
        <v>35</v>
      </c>
      <c r="L142" s="164"/>
      <c r="M142" s="164"/>
      <c r="N142" s="164"/>
      <c r="O142" s="164"/>
      <c r="P142" s="936">
        <f>IFERROR(IF(VLOOKUP(Table_Shelter[[#This Row],[CampName]],CL,5,0)&lt;Table_Shelter[[#This Row],[HH Covered2]],VLOOKUP(Table_Shelter[[#This Row],[CampName]],CL,5,0),Table_Shelter[[#This Row],[HH Covered2]]),"")</f>
        <v>35</v>
      </c>
      <c r="Q142" s="104">
        <f>IF(Table_Shelter[[#This Row],[Status]]="Open",IF(W142="NO",Table_Shelter[[#This Row],[HH per Shelter]]*(Table_Shelter[[#This Row],['# of Temporary Shelter Units Built]]+Table_Shelter[[#This Row],['# of Temporary Shelter Under  Construction]]+Table_Shelter[[#This Row],['# of Permanent House Under Construction]]),0),0)</f>
        <v>35</v>
      </c>
      <c r="R142" s="104"/>
      <c r="S142" s="104"/>
      <c r="T142" s="104" t="str">
        <f>IFERROR(VLOOKUP(Table_Shelter[[#This Row],[CampName]],CL,2,0),"")</f>
        <v>MMR001CMP113</v>
      </c>
      <c r="U142" s="104" t="str">
        <f>IFERROR(VLOOKUP(Table_Shelter[[#This Row],[CampName]],CL,3,0),"")</f>
        <v>Open</v>
      </c>
      <c r="V142" s="240">
        <f>IFERROR(Table_Shelter[[#This Row],[HH Covered]]/VLOOKUP(Table_Shelter[[#This Row],[CampName]],CL,5,0),"")</f>
        <v>0.23026315789473684</v>
      </c>
      <c r="W142" s="240" t="s">
        <v>1292</v>
      </c>
      <c r="X142" s="104"/>
    </row>
    <row r="143" spans="1:24" ht="15" customHeight="1" x14ac:dyDescent="0.25">
      <c r="A143" s="678">
        <v>41609</v>
      </c>
      <c r="B143" s="164" t="s">
        <v>451</v>
      </c>
      <c r="C143" s="164" t="s">
        <v>504</v>
      </c>
      <c r="D143" s="164" t="s">
        <v>380</v>
      </c>
      <c r="E143" s="168" t="s">
        <v>526</v>
      </c>
      <c r="F143" s="164" t="s">
        <v>72</v>
      </c>
      <c r="G143" s="105">
        <v>1</v>
      </c>
      <c r="H143" s="105"/>
      <c r="I143" s="105"/>
      <c r="J143" s="105">
        <v>4</v>
      </c>
      <c r="K143" s="105">
        <v>4</v>
      </c>
      <c r="L143" s="164"/>
      <c r="M143" s="164"/>
      <c r="N143" s="164"/>
      <c r="O143" s="164"/>
      <c r="P143" s="936">
        <f>IFERROR(IF(VLOOKUP(Table_Shelter[[#This Row],[CampName]],CL,5,0)&lt;Table_Shelter[[#This Row],[HH Covered2]],VLOOKUP(Table_Shelter[[#This Row],[CampName]],CL,5,0),Table_Shelter[[#This Row],[HH Covered2]]),"")</f>
        <v>4</v>
      </c>
      <c r="Q143" s="139">
        <f>IF(Table_Shelter[[#This Row],[Status]]="Open",IF(W143="NO",Table_Shelter[[#This Row],[HH per Shelter]]*(Table_Shelter[[#This Row],['# of Temporary Shelter Units Built]]+Table_Shelter[[#This Row],['# of Temporary Shelter Under  Construction]]+Table_Shelter[[#This Row],['# of Permanent House Under Construction]]),0),0)</f>
        <v>4</v>
      </c>
      <c r="R143" s="104"/>
      <c r="S143" s="164"/>
      <c r="T143" s="163" t="str">
        <f>IFERROR(VLOOKUP(Table_Shelter[[#This Row],[CampName]],CL,2,0),"")</f>
        <v>MMR001CMP109</v>
      </c>
      <c r="U143" s="163" t="str">
        <f>IFERROR(VLOOKUP(Table_Shelter[[#This Row],[CampName]],CL,3,0),"")</f>
        <v>Open</v>
      </c>
      <c r="V143" s="240">
        <f>IFERROR(Table_Shelter[[#This Row],[HH Covered]]/VLOOKUP(Table_Shelter[[#This Row],[CampName]],CL,5,0),"")</f>
        <v>0.66666666666666663</v>
      </c>
      <c r="W143" s="240" t="s">
        <v>1292</v>
      </c>
      <c r="X143" s="164"/>
    </row>
    <row r="144" spans="1:24" ht="15" customHeight="1" x14ac:dyDescent="0.25">
      <c r="A144" s="723">
        <v>41609</v>
      </c>
      <c r="B144" s="162" t="s">
        <v>451</v>
      </c>
      <c r="C144" s="162" t="s">
        <v>504</v>
      </c>
      <c r="D144" s="162" t="s">
        <v>380</v>
      </c>
      <c r="E144" s="307" t="s">
        <v>310</v>
      </c>
      <c r="F144" s="162" t="s">
        <v>313</v>
      </c>
      <c r="G144" s="103">
        <v>1</v>
      </c>
      <c r="H144" s="103"/>
      <c r="I144" s="103"/>
      <c r="J144" s="103">
        <v>5</v>
      </c>
      <c r="K144" s="103">
        <v>5</v>
      </c>
      <c r="L144" s="162"/>
      <c r="M144" s="162"/>
      <c r="N144" s="162"/>
      <c r="O144" s="162"/>
      <c r="P144" s="934">
        <f>IFERROR(IF(VLOOKUP(Table_Shelter[[#This Row],[CampName]],CL,5,0)&lt;Table_Shelter[[#This Row],[HH Covered2]],VLOOKUP(Table_Shelter[[#This Row],[CampName]],CL,5,0),Table_Shelter[[#This Row],[HH Covered2]]),"")</f>
        <v>5</v>
      </c>
      <c r="Q144" s="104">
        <f>IF(Table_Shelter[[#This Row],[Status]]="Open",IF(W144="NO",Table_Shelter[[#This Row],[HH per Shelter]]*(Table_Shelter[[#This Row],['# of Temporary Shelter Units Built]]+Table_Shelter[[#This Row],['# of Temporary Shelter Under  Construction]]+Table_Shelter[[#This Row],['# of Permanent House Under Construction]]),0),0)</f>
        <v>5</v>
      </c>
      <c r="R144" s="102"/>
      <c r="S144" s="102"/>
      <c r="T144" s="104" t="str">
        <f>IFERROR(VLOOKUP(Table_Shelter[[#This Row],[CampName]],CL,2,0),"")</f>
        <v>MMR001CMP028</v>
      </c>
      <c r="U144" s="104" t="str">
        <f>IFERROR(VLOOKUP(Table_Shelter[[#This Row],[CampName]],CL,3,0),"")</f>
        <v>Open</v>
      </c>
      <c r="V144" s="240">
        <f>IFERROR(Table_Shelter[[#This Row],[HH Covered]]/VLOOKUP(Table_Shelter[[#This Row],[CampName]],CL,5,0),"")</f>
        <v>4.9019607843137254E-2</v>
      </c>
      <c r="W144" s="240" t="s">
        <v>1292</v>
      </c>
      <c r="X144" s="104"/>
    </row>
    <row r="145" spans="1:24" ht="15" customHeight="1" x14ac:dyDescent="0.25">
      <c r="A145" s="722">
        <v>41609</v>
      </c>
      <c r="B145" s="103" t="s">
        <v>451</v>
      </c>
      <c r="C145" s="103" t="s">
        <v>504</v>
      </c>
      <c r="D145" s="169" t="s">
        <v>380</v>
      </c>
      <c r="E145" s="170" t="s">
        <v>526</v>
      </c>
      <c r="F145" s="103" t="s">
        <v>44</v>
      </c>
      <c r="G145" s="103">
        <v>1</v>
      </c>
      <c r="H145" s="105"/>
      <c r="I145" s="105"/>
      <c r="J145" s="105">
        <v>10</v>
      </c>
      <c r="K145" s="105">
        <v>10</v>
      </c>
      <c r="L145" s="105"/>
      <c r="M145" s="105"/>
      <c r="N145" s="105"/>
      <c r="O145" s="105"/>
      <c r="P145" s="936">
        <f>IFERROR(IF(VLOOKUP(Table_Shelter[[#This Row],[CampName]],CL,5,0)&lt;Table_Shelter[[#This Row],[HH Covered2]],VLOOKUP(Table_Shelter[[#This Row],[CampName]],CL,5,0),Table_Shelter[[#This Row],[HH Covered2]]),"")</f>
        <v>4</v>
      </c>
      <c r="Q145" s="104">
        <f>IF(Table_Shelter[[#This Row],[Status]]="Open",IF(W145="NO",Table_Shelter[[#This Row],[HH per Shelter]]*(Table_Shelter[[#This Row],['# of Temporary Shelter Units Built]]+Table_Shelter[[#This Row],['# of Temporary Shelter Under  Construction]]+Table_Shelter[[#This Row],['# of Permanent House Under Construction]]),0),0)</f>
        <v>10</v>
      </c>
      <c r="R145" s="104"/>
      <c r="S145" s="104"/>
      <c r="T145" s="104" t="str">
        <f>IFERROR(VLOOKUP(Table_Shelter[[#This Row],[CampName]],CL,2,0),"")</f>
        <v>MMR001CMP191</v>
      </c>
      <c r="U145" s="104" t="str">
        <f>IFERROR(VLOOKUP(Table_Shelter[[#This Row],[CampName]],CL,3,0),"")</f>
        <v>Open</v>
      </c>
      <c r="V145" s="241">
        <f>IFERROR(Table_Shelter[[#This Row],[HH Covered]]/VLOOKUP(Table_Shelter[[#This Row],[CampName]],CL,5,0),"")</f>
        <v>1</v>
      </c>
      <c r="W145" s="240" t="s">
        <v>1292</v>
      </c>
      <c r="X145" s="104"/>
    </row>
    <row r="146" spans="1:24" ht="15" customHeight="1" x14ac:dyDescent="0.25">
      <c r="A146" s="723">
        <v>41609</v>
      </c>
      <c r="B146" s="162" t="s">
        <v>451</v>
      </c>
      <c r="C146" s="162" t="s">
        <v>458</v>
      </c>
      <c r="D146" s="162" t="s">
        <v>380</v>
      </c>
      <c r="E146" s="307" t="s">
        <v>151</v>
      </c>
      <c r="F146" s="162" t="s">
        <v>515</v>
      </c>
      <c r="G146" s="103">
        <v>1</v>
      </c>
      <c r="H146" s="103"/>
      <c r="I146" s="103"/>
      <c r="J146" s="103">
        <v>60</v>
      </c>
      <c r="K146" s="103">
        <v>60</v>
      </c>
      <c r="L146" s="162"/>
      <c r="M146" s="162"/>
      <c r="N146" s="162"/>
      <c r="O146" s="162"/>
      <c r="P146" s="934">
        <f>IFERROR(IF(VLOOKUP(Table_Shelter[[#This Row],[CampName]],CL,5,0)&lt;Table_Shelter[[#This Row],[HH Covered2]],VLOOKUP(Table_Shelter[[#This Row],[CampName]],CL,5,0),Table_Shelter[[#This Row],[HH Covered2]]),"")</f>
        <v>0</v>
      </c>
      <c r="Q146" s="139">
        <f>IF(Table_Shelter[[#This Row],[Status]]="Open",IF(W146="NO",Table_Shelter[[#This Row],[HH per Shelter]]*(Table_Shelter[[#This Row],['# of Temporary Shelter Units Built]]+Table_Shelter[[#This Row],['# of Temporary Shelter Under  Construction]]+Table_Shelter[[#This Row],['# of Permanent House Under Construction]]),0),0)</f>
        <v>0</v>
      </c>
      <c r="R146" s="102"/>
      <c r="S146" s="162"/>
      <c r="T146" s="163" t="str">
        <f>IFERROR(VLOOKUP(Table_Shelter[[#This Row],[CampName]],CL,2,0),"")</f>
        <v>MMR001CMP202</v>
      </c>
      <c r="U146" s="163" t="str">
        <f>IFERROR(VLOOKUP(Table_Shelter[[#This Row],[CampName]],CL,3,0),"")</f>
        <v>Closed</v>
      </c>
      <c r="V146" s="240" t="str">
        <f>IFERROR(Table_Shelter[[#This Row],[HH Covered]]/VLOOKUP(Table_Shelter[[#This Row],[CampName]],CL,5,0),"")</f>
        <v/>
      </c>
      <c r="W146" s="240" t="s">
        <v>1292</v>
      </c>
      <c r="X146" s="164"/>
    </row>
    <row r="147" spans="1:24" ht="15" customHeight="1" x14ac:dyDescent="0.25">
      <c r="A147" s="723">
        <v>41609</v>
      </c>
      <c r="B147" s="162" t="s">
        <v>451</v>
      </c>
      <c r="C147" s="162" t="s">
        <v>504</v>
      </c>
      <c r="D147" s="162" t="s">
        <v>380</v>
      </c>
      <c r="E147" s="307" t="s">
        <v>526</v>
      </c>
      <c r="F147" s="162" t="s">
        <v>90</v>
      </c>
      <c r="G147" s="103">
        <v>1</v>
      </c>
      <c r="H147" s="103"/>
      <c r="I147" s="103"/>
      <c r="J147" s="103">
        <v>18</v>
      </c>
      <c r="K147" s="103">
        <v>18</v>
      </c>
      <c r="L147" s="162"/>
      <c r="M147" s="162"/>
      <c r="N147" s="162"/>
      <c r="O147" s="162"/>
      <c r="P147" s="934">
        <f>IFERROR(IF(VLOOKUP(Table_Shelter[[#This Row],[CampName]],CL,5,0)&lt;Table_Shelter[[#This Row],[HH Covered2]],VLOOKUP(Table_Shelter[[#This Row],[CampName]],CL,5,0),Table_Shelter[[#This Row],[HH Covered2]]),"")</f>
        <v>18</v>
      </c>
      <c r="Q147" s="139">
        <f>IF(Table_Shelter[[#This Row],[Status]]="Open",IF(W147="NO",Table_Shelter[[#This Row],[HH per Shelter]]*(Table_Shelter[[#This Row],['# of Temporary Shelter Units Built]]+Table_Shelter[[#This Row],['# of Temporary Shelter Under  Construction]]+Table_Shelter[[#This Row],['# of Permanent House Under Construction]]),0),0)</f>
        <v>18</v>
      </c>
      <c r="R147" s="102"/>
      <c r="S147" s="162"/>
      <c r="T147" s="163" t="str">
        <f>IFERROR(VLOOKUP(Table_Shelter[[#This Row],[CampName]],CL,2,0),"")</f>
        <v>MMR001CMP181</v>
      </c>
      <c r="U147" s="163" t="str">
        <f>IFERROR(VLOOKUP(Table_Shelter[[#This Row],[CampName]],CL,3,0),"")</f>
        <v>Open</v>
      </c>
      <c r="V147" s="240">
        <f>IFERROR(Table_Shelter[[#This Row],[HH Covered]]/VLOOKUP(Table_Shelter[[#This Row],[CampName]],CL,5,0),"")</f>
        <v>0.9</v>
      </c>
      <c r="W147" s="240" t="s">
        <v>1292</v>
      </c>
      <c r="X147" s="164"/>
    </row>
    <row r="148" spans="1:24" ht="15" customHeight="1" x14ac:dyDescent="0.25">
      <c r="A148" s="723">
        <v>41609</v>
      </c>
      <c r="B148" s="164" t="s">
        <v>451</v>
      </c>
      <c r="C148" s="164" t="s">
        <v>504</v>
      </c>
      <c r="D148" s="164" t="s">
        <v>380</v>
      </c>
      <c r="E148" s="168" t="s">
        <v>5</v>
      </c>
      <c r="F148" s="164" t="s">
        <v>18</v>
      </c>
      <c r="G148" s="105">
        <v>1</v>
      </c>
      <c r="H148" s="103"/>
      <c r="I148" s="103"/>
      <c r="J148" s="103">
        <v>10</v>
      </c>
      <c r="K148" s="103">
        <v>10</v>
      </c>
      <c r="L148" s="162"/>
      <c r="M148" s="162"/>
      <c r="N148" s="162"/>
      <c r="O148" s="162"/>
      <c r="P148" s="934">
        <f>IFERROR(IF(VLOOKUP(Table_Shelter[[#This Row],[CampName]],CL,5,0)&lt;Table_Shelter[[#This Row],[HH Covered2]],VLOOKUP(Table_Shelter[[#This Row],[CampName]],CL,5,0),Table_Shelter[[#This Row],[HH Covered2]]),"")</f>
        <v>10</v>
      </c>
      <c r="Q148" s="104">
        <f>IF(Table_Shelter[[#This Row],[Status]]="Open",IF(W148="NO",Table_Shelter[[#This Row],[HH per Shelter]]*(Table_Shelter[[#This Row],['# of Temporary Shelter Units Built]]+Table_Shelter[[#This Row],['# of Temporary Shelter Under  Construction]]+Table_Shelter[[#This Row],['# of Permanent House Under Construction]]),0),0)</f>
        <v>10</v>
      </c>
      <c r="R148" s="102"/>
      <c r="S148" s="102"/>
      <c r="T148" s="104" t="str">
        <f>IFERROR(VLOOKUP(Table_Shelter[[#This Row],[CampName]],CL,2,0),"")</f>
        <v>MMR001CMP049</v>
      </c>
      <c r="U148" s="104" t="str">
        <f>IFERROR(VLOOKUP(Table_Shelter[[#This Row],[CampName]],CL,3,0),"")</f>
        <v>Open</v>
      </c>
      <c r="V148" s="240">
        <f>IFERROR(Table_Shelter[[#This Row],[HH Covered]]/VLOOKUP(Table_Shelter[[#This Row],[CampName]],CL,5,0),"")</f>
        <v>7.6923076923076927E-2</v>
      </c>
      <c r="W148" s="240" t="s">
        <v>1292</v>
      </c>
      <c r="X148" s="104"/>
    </row>
    <row r="149" spans="1:24" ht="15" customHeight="1" x14ac:dyDescent="0.25">
      <c r="A149" s="723">
        <v>41609</v>
      </c>
      <c r="B149" s="162" t="s">
        <v>451</v>
      </c>
      <c r="C149" s="162" t="s">
        <v>504</v>
      </c>
      <c r="D149" s="162" t="s">
        <v>380</v>
      </c>
      <c r="E149" s="307" t="s">
        <v>310</v>
      </c>
      <c r="F149" s="162" t="s">
        <v>328</v>
      </c>
      <c r="G149" s="103">
        <v>1</v>
      </c>
      <c r="H149" s="103"/>
      <c r="I149" s="103"/>
      <c r="J149" s="103">
        <v>35</v>
      </c>
      <c r="K149" s="103">
        <v>35</v>
      </c>
      <c r="L149" s="162"/>
      <c r="M149" s="162"/>
      <c r="N149" s="162"/>
      <c r="O149" s="162"/>
      <c r="P149" s="934">
        <f>IFERROR(IF(VLOOKUP(Table_Shelter[[#This Row],[CampName]],CL,5,0)&lt;Table_Shelter[[#This Row],[HH Covered2]],VLOOKUP(Table_Shelter[[#This Row],[CampName]],CL,5,0),Table_Shelter[[#This Row],[HH Covered2]]),"")</f>
        <v>35</v>
      </c>
      <c r="Q149" s="104">
        <f>IF(Table_Shelter[[#This Row],[Status]]="Open",IF(W149="NO",Table_Shelter[[#This Row],[HH per Shelter]]*(Table_Shelter[[#This Row],['# of Temporary Shelter Units Built]]+Table_Shelter[[#This Row],['# of Temporary Shelter Under  Construction]]+Table_Shelter[[#This Row],['# of Permanent House Under Construction]]),0),0)</f>
        <v>35</v>
      </c>
      <c r="R149" s="102"/>
      <c r="S149" s="102"/>
      <c r="T149" s="104" t="str">
        <f>IFERROR(VLOOKUP(Table_Shelter[[#This Row],[CampName]],CL,2,0),"")</f>
        <v>MMR001CMP031</v>
      </c>
      <c r="U149" s="104" t="str">
        <f>IFERROR(VLOOKUP(Table_Shelter[[#This Row],[CampName]],CL,3,0),"")</f>
        <v>Open</v>
      </c>
      <c r="V149" s="240">
        <f>IFERROR(Table_Shelter[[#This Row],[HH Covered]]/VLOOKUP(Table_Shelter[[#This Row],[CampName]],CL,5,0),"")</f>
        <v>0.12110726643598616</v>
      </c>
      <c r="W149" s="240" t="s">
        <v>1292</v>
      </c>
      <c r="X149" s="104"/>
    </row>
    <row r="150" spans="1:24" ht="15" customHeight="1" x14ac:dyDescent="0.25">
      <c r="A150" s="722">
        <v>41609</v>
      </c>
      <c r="B150" s="103" t="s">
        <v>451</v>
      </c>
      <c r="C150" s="103" t="s">
        <v>505</v>
      </c>
      <c r="D150" s="169" t="s">
        <v>552</v>
      </c>
      <c r="E150" s="170" t="s">
        <v>166</v>
      </c>
      <c r="F150" s="103" t="s">
        <v>821</v>
      </c>
      <c r="G150" s="103">
        <v>1</v>
      </c>
      <c r="H150" s="105"/>
      <c r="I150" s="105"/>
      <c r="J150" s="105">
        <v>30</v>
      </c>
      <c r="K150" s="105">
        <v>30</v>
      </c>
      <c r="L150" s="105"/>
      <c r="M150" s="105"/>
      <c r="N150" s="105"/>
      <c r="O150" s="105"/>
      <c r="P150" s="936">
        <f>IFERROR(IF(VLOOKUP(Table_Shelter[[#This Row],[CampName]],CL,5,0)&lt;Table_Shelter[[#This Row],[HH Covered2]],VLOOKUP(Table_Shelter[[#This Row],[CampName]],CL,5,0),Table_Shelter[[#This Row],[HH Covered2]]),"")</f>
        <v>29</v>
      </c>
      <c r="Q150" s="104">
        <f>IF(Table_Shelter[[#This Row],[Status]]="Open",IF(W150="NO",Table_Shelter[[#This Row],[HH per Shelter]]*(Table_Shelter[[#This Row],['# of Temporary Shelter Units Built]]+Table_Shelter[[#This Row],['# of Temporary Shelter Under  Construction]]+Table_Shelter[[#This Row],['# of Permanent House Under Construction]]),0),0)</f>
        <v>30</v>
      </c>
      <c r="R150" s="104"/>
      <c r="S150" s="104"/>
      <c r="T150" s="104" t="str">
        <f>IFERROR(VLOOKUP(Table_Shelter[[#This Row],[CampName]],CL,2,0),"")</f>
        <v>MMR015CMP209</v>
      </c>
      <c r="U150" s="104" t="str">
        <f>IFERROR(VLOOKUP(Table_Shelter[[#This Row],[CampName]],CL,3,0),"")</f>
        <v>Open</v>
      </c>
      <c r="V150" s="241">
        <f>IFERROR(Table_Shelter[[#This Row],[HH Covered]]/VLOOKUP(Table_Shelter[[#This Row],[CampName]],CL,5,0),"")</f>
        <v>1</v>
      </c>
      <c r="W150" s="240" t="s">
        <v>1292</v>
      </c>
      <c r="X150" s="104"/>
    </row>
    <row r="151" spans="1:24" ht="15" customHeight="1" x14ac:dyDescent="0.25">
      <c r="A151" s="723">
        <v>41609</v>
      </c>
      <c r="B151" s="162" t="s">
        <v>451</v>
      </c>
      <c r="C151" s="162" t="s">
        <v>504</v>
      </c>
      <c r="D151" s="162" t="s">
        <v>380</v>
      </c>
      <c r="E151" s="307" t="s">
        <v>237</v>
      </c>
      <c r="F151" s="162" t="s">
        <v>265</v>
      </c>
      <c r="G151" s="103">
        <v>1</v>
      </c>
      <c r="H151" s="103"/>
      <c r="I151" s="103"/>
      <c r="J151" s="103">
        <v>15</v>
      </c>
      <c r="K151" s="103">
        <v>15</v>
      </c>
      <c r="L151" s="162"/>
      <c r="M151" s="162"/>
      <c r="N151" s="162"/>
      <c r="O151" s="162"/>
      <c r="P151" s="934">
        <f>IFERROR(IF(VLOOKUP(Table_Shelter[[#This Row],[CampName]],CL,5,0)&lt;Table_Shelter[[#This Row],[HH Covered2]],VLOOKUP(Table_Shelter[[#This Row],[CampName]],CL,5,0),Table_Shelter[[#This Row],[HH Covered2]]),"")</f>
        <v>15</v>
      </c>
      <c r="Q151" s="104">
        <f>IF(Table_Shelter[[#This Row],[Status]]="Open",IF(W151="NO",Table_Shelter[[#This Row],[HH per Shelter]]*(Table_Shelter[[#This Row],['# of Temporary Shelter Units Built]]+Table_Shelter[[#This Row],['# of Temporary Shelter Under  Construction]]+Table_Shelter[[#This Row],['# of Permanent House Under Construction]]),0),0)</f>
        <v>15</v>
      </c>
      <c r="R151" s="102"/>
      <c r="S151" s="102"/>
      <c r="T151" s="104" t="str">
        <f>IFERROR(VLOOKUP(Table_Shelter[[#This Row],[CampName]],CL,2,0),"")</f>
        <v>MMR001CMP021</v>
      </c>
      <c r="U151" s="104" t="str">
        <f>IFERROR(VLOOKUP(Table_Shelter[[#This Row],[CampName]],CL,3,0),"")</f>
        <v>Open</v>
      </c>
      <c r="V151" s="240">
        <f>IFERROR(Table_Shelter[[#This Row],[HH Covered]]/VLOOKUP(Table_Shelter[[#This Row],[CampName]],CL,5,0),"")</f>
        <v>1</v>
      </c>
      <c r="W151" s="240" t="s">
        <v>1292</v>
      </c>
      <c r="X151" s="104"/>
    </row>
    <row r="152" spans="1:24" ht="15" customHeight="1" x14ac:dyDescent="0.25">
      <c r="A152" s="678">
        <v>41609</v>
      </c>
      <c r="B152" s="163" t="s">
        <v>451</v>
      </c>
      <c r="C152" s="163" t="s">
        <v>504</v>
      </c>
      <c r="D152" s="163" t="s">
        <v>380</v>
      </c>
      <c r="E152" s="167" t="s">
        <v>526</v>
      </c>
      <c r="F152" s="163" t="s">
        <v>100</v>
      </c>
      <c r="G152" s="138">
        <v>1</v>
      </c>
      <c r="H152" s="105"/>
      <c r="I152" s="105"/>
      <c r="J152" s="105">
        <v>5</v>
      </c>
      <c r="K152" s="105">
        <v>5</v>
      </c>
      <c r="L152" s="164"/>
      <c r="M152" s="164"/>
      <c r="N152" s="164"/>
      <c r="O152" s="164"/>
      <c r="P152" s="936">
        <f>IFERROR(IF(VLOOKUP(Table_Shelter[[#This Row],[CampName]],CL,5,0)&lt;Table_Shelter[[#This Row],[HH Covered2]],VLOOKUP(Table_Shelter[[#This Row],[CampName]],CL,5,0),Table_Shelter[[#This Row],[HH Covered2]]),"")</f>
        <v>4</v>
      </c>
      <c r="Q152" s="104">
        <f>IF(Table_Shelter[[#This Row],[Status]]="Open",IF(W152="NO",Table_Shelter[[#This Row],[HH per Shelter]]*(Table_Shelter[[#This Row],['# of Temporary Shelter Units Built]]+Table_Shelter[[#This Row],['# of Temporary Shelter Under  Construction]]+Table_Shelter[[#This Row],['# of Permanent House Under Construction]]),0),0)</f>
        <v>5</v>
      </c>
      <c r="R152" s="104"/>
      <c r="S152" s="104"/>
      <c r="T152" s="104" t="str">
        <f>IFERROR(VLOOKUP(Table_Shelter[[#This Row],[CampName]],CL,2,0),"")</f>
        <v>MMR001CMP091</v>
      </c>
      <c r="U152" s="104" t="str">
        <f>IFERROR(VLOOKUP(Table_Shelter[[#This Row],[CampName]],CL,3,0),"")</f>
        <v>Open</v>
      </c>
      <c r="V152" s="240">
        <f>IFERROR(Table_Shelter[[#This Row],[HH Covered]]/VLOOKUP(Table_Shelter[[#This Row],[CampName]],CL,5,0),"")</f>
        <v>1</v>
      </c>
      <c r="W152" s="240" t="s">
        <v>1292</v>
      </c>
      <c r="X152" s="104"/>
    </row>
    <row r="153" spans="1:24" ht="15" customHeight="1" x14ac:dyDescent="0.25">
      <c r="A153" s="678">
        <v>41609</v>
      </c>
      <c r="B153" s="162" t="s">
        <v>451</v>
      </c>
      <c r="C153" s="162"/>
      <c r="D153" s="165" t="s">
        <v>380</v>
      </c>
      <c r="E153" s="307" t="s">
        <v>185</v>
      </c>
      <c r="F153" s="162" t="s">
        <v>209</v>
      </c>
      <c r="G153" s="103">
        <v>1</v>
      </c>
      <c r="H153" s="105"/>
      <c r="I153" s="105"/>
      <c r="J153" s="105">
        <v>50</v>
      </c>
      <c r="K153" s="105">
        <v>50</v>
      </c>
      <c r="L153" s="164"/>
      <c r="M153" s="164"/>
      <c r="N153" s="164"/>
      <c r="O153" s="164"/>
      <c r="P153" s="936">
        <f>IFERROR(IF(VLOOKUP(Table_Shelter[[#This Row],[CampName]],CL,5,0)&lt;Table_Shelter[[#This Row],[HH Covered2]],VLOOKUP(Table_Shelter[[#This Row],[CampName]],CL,5,0),Table_Shelter[[#This Row],[HH Covered2]]),"")</f>
        <v>50</v>
      </c>
      <c r="Q153" s="104">
        <f>IF(Table_Shelter[[#This Row],[Status]]="Open",IF(W153="NO",Table_Shelter[[#This Row],[HH per Shelter]]*(Table_Shelter[[#This Row],['# of Temporary Shelter Units Built]]+Table_Shelter[[#This Row],['# of Temporary Shelter Under  Construction]]+Table_Shelter[[#This Row],['# of Permanent House Under Construction]]),0),0)</f>
        <v>50</v>
      </c>
      <c r="R153" s="104"/>
      <c r="S153" s="164"/>
      <c r="T153" s="164" t="str">
        <f>IFERROR(VLOOKUP(Table_Shelter[[#This Row],[CampName]],CL,2,0),"")</f>
        <v>MMR001CMP056</v>
      </c>
      <c r="U153" s="164" t="str">
        <f>IFERROR(VLOOKUP(Table_Shelter[[#This Row],[CampName]],CL,3,0),"")</f>
        <v>Open</v>
      </c>
      <c r="V153" s="240">
        <f>IFERROR(Table_Shelter[[#This Row],[HH Covered]]/VLOOKUP(Table_Shelter[[#This Row],[CampName]],CL,5,0),"")</f>
        <v>0.12919896640826872</v>
      </c>
      <c r="W153" s="240" t="s">
        <v>1292</v>
      </c>
      <c r="X153" s="164"/>
    </row>
    <row r="154" spans="1:24" ht="15" customHeight="1" x14ac:dyDescent="0.25">
      <c r="A154" s="678">
        <v>41609</v>
      </c>
      <c r="B154" s="162" t="s">
        <v>451</v>
      </c>
      <c r="C154" s="162" t="s">
        <v>504</v>
      </c>
      <c r="D154" s="165" t="s">
        <v>380</v>
      </c>
      <c r="E154" s="307" t="s">
        <v>5</v>
      </c>
      <c r="F154" s="162" t="s">
        <v>8</v>
      </c>
      <c r="G154" s="103">
        <v>1</v>
      </c>
      <c r="H154" s="105"/>
      <c r="I154" s="105"/>
      <c r="J154" s="105">
        <v>13</v>
      </c>
      <c r="K154" s="105">
        <v>13</v>
      </c>
      <c r="L154" s="164"/>
      <c r="M154" s="164"/>
      <c r="N154" s="164"/>
      <c r="O154" s="164"/>
      <c r="P154" s="936">
        <f>IFERROR(IF(VLOOKUP(Table_Shelter[[#This Row],[CampName]],CL,5,0)&lt;Table_Shelter[[#This Row],[HH Covered2]],VLOOKUP(Table_Shelter[[#This Row],[CampName]],CL,5,0),Table_Shelter[[#This Row],[HH Covered2]]),"")</f>
        <v>13</v>
      </c>
      <c r="Q154" s="104">
        <f>IF(Table_Shelter[[#This Row],[Status]]="Open",IF(W154="NO",Table_Shelter[[#This Row],[HH per Shelter]]*(Table_Shelter[[#This Row],['# of Temporary Shelter Units Built]]+Table_Shelter[[#This Row],['# of Temporary Shelter Under  Construction]]+Table_Shelter[[#This Row],['# of Permanent House Under Construction]]),0),0)</f>
        <v>13</v>
      </c>
      <c r="R154" s="104"/>
      <c r="S154" s="164"/>
      <c r="T154" s="164" t="str">
        <f>IFERROR(VLOOKUP(Table_Shelter[[#This Row],[CampName]],CL,2,0),"")</f>
        <v>MMR001CMP051</v>
      </c>
      <c r="U154" s="164" t="str">
        <f>IFERROR(VLOOKUP(Table_Shelter[[#This Row],[CampName]],CL,3,0),"")</f>
        <v>Open</v>
      </c>
      <c r="V154" s="240">
        <f>IFERROR(Table_Shelter[[#This Row],[HH Covered]]/VLOOKUP(Table_Shelter[[#This Row],[CampName]],CL,5,0),"")</f>
        <v>1</v>
      </c>
      <c r="W154" s="240" t="s">
        <v>1292</v>
      </c>
      <c r="X154" s="164"/>
    </row>
    <row r="155" spans="1:24" ht="15" customHeight="1" x14ac:dyDescent="0.25">
      <c r="A155" s="722">
        <v>41609</v>
      </c>
      <c r="B155" s="162" t="s">
        <v>451</v>
      </c>
      <c r="C155" s="162" t="s">
        <v>504</v>
      </c>
      <c r="D155" s="165" t="s">
        <v>380</v>
      </c>
      <c r="E155" s="307" t="s">
        <v>526</v>
      </c>
      <c r="F155" s="162" t="s">
        <v>610</v>
      </c>
      <c r="G155" s="103">
        <v>1</v>
      </c>
      <c r="H155" s="105"/>
      <c r="I155" s="105"/>
      <c r="J155" s="105">
        <v>10</v>
      </c>
      <c r="K155" s="105">
        <v>10</v>
      </c>
      <c r="L155" s="164"/>
      <c r="M155" s="164"/>
      <c r="N155" s="164"/>
      <c r="O155" s="164"/>
      <c r="P155" s="936">
        <f>IFERROR(IF(VLOOKUP(Table_Shelter[[#This Row],[CampName]],CL,5,0)&lt;Table_Shelter[[#This Row],[HH Covered2]],VLOOKUP(Table_Shelter[[#This Row],[CampName]],CL,5,0),Table_Shelter[[#This Row],[HH Covered2]]),"")</f>
        <v>10</v>
      </c>
      <c r="Q155" s="104">
        <f>IF(Table_Shelter[[#This Row],[Status]]="Open",IF(W155="NO",Table_Shelter[[#This Row],[HH per Shelter]]*(Table_Shelter[[#This Row],['# of Temporary Shelter Units Built]]+Table_Shelter[[#This Row],['# of Temporary Shelter Under  Construction]]+Table_Shelter[[#This Row],['# of Permanent House Under Construction]]),0),0)</f>
        <v>10</v>
      </c>
      <c r="R155" s="104"/>
      <c r="S155" s="164"/>
      <c r="T155" s="164" t="str">
        <f>IFERROR(VLOOKUP(Table_Shelter[[#This Row],[CampName]],CL,2,0),"")</f>
        <v>MMR001CMP192</v>
      </c>
      <c r="U155" s="164" t="str">
        <f>IFERROR(VLOOKUP(Table_Shelter[[#This Row],[CampName]],CL,3,0),"")</f>
        <v>Open</v>
      </c>
      <c r="V155" s="240">
        <f>IFERROR(Table_Shelter[[#This Row],[HH Covered]]/VLOOKUP(Table_Shelter[[#This Row],[CampName]],CL,5,0),"")</f>
        <v>0.83333333333333337</v>
      </c>
      <c r="W155" s="240" t="s">
        <v>1292</v>
      </c>
      <c r="X155" s="164"/>
    </row>
    <row r="156" spans="1:24" ht="15" customHeight="1" x14ac:dyDescent="0.25">
      <c r="A156" s="678">
        <v>41609</v>
      </c>
      <c r="B156" s="162" t="s">
        <v>451</v>
      </c>
      <c r="C156" s="162" t="s">
        <v>504</v>
      </c>
      <c r="D156" s="165" t="s">
        <v>380</v>
      </c>
      <c r="E156" s="307" t="s">
        <v>310</v>
      </c>
      <c r="F156" s="162" t="s">
        <v>344</v>
      </c>
      <c r="G156" s="103">
        <v>1</v>
      </c>
      <c r="H156" s="105"/>
      <c r="I156" s="105"/>
      <c r="J156" s="105">
        <v>10</v>
      </c>
      <c r="K156" s="105">
        <v>10</v>
      </c>
      <c r="L156" s="164"/>
      <c r="M156" s="164"/>
      <c r="N156" s="164"/>
      <c r="O156" s="164"/>
      <c r="P156" s="936">
        <f>IFERROR(IF(VLOOKUP(Table_Shelter[[#This Row],[CampName]],CL,5,0)&lt;Table_Shelter[[#This Row],[HH Covered2]],VLOOKUP(Table_Shelter[[#This Row],[CampName]],CL,5,0),Table_Shelter[[#This Row],[HH Covered2]]),"")</f>
        <v>10</v>
      </c>
      <c r="Q156" s="104">
        <f>IF(Table_Shelter[[#This Row],[Status]]="Open",IF(W156="NO",Table_Shelter[[#This Row],[HH per Shelter]]*(Table_Shelter[[#This Row],['# of Temporary Shelter Units Built]]+Table_Shelter[[#This Row],['# of Temporary Shelter Under  Construction]]+Table_Shelter[[#This Row],['# of Permanent House Under Construction]]),0),0)</f>
        <v>10</v>
      </c>
      <c r="R156" s="104"/>
      <c r="S156" s="164"/>
      <c r="T156" s="164" t="str">
        <f>IFERROR(VLOOKUP(Table_Shelter[[#This Row],[CampName]],CL,2,0),"")</f>
        <v>MMR001CMP033</v>
      </c>
      <c r="U156" s="164" t="str">
        <f>IFERROR(VLOOKUP(Table_Shelter[[#This Row],[CampName]],CL,3,0),"")</f>
        <v>Open</v>
      </c>
      <c r="V156" s="240">
        <f>IFERROR(Table_Shelter[[#This Row],[HH Covered]]/VLOOKUP(Table_Shelter[[#This Row],[CampName]],CL,5,0),"")</f>
        <v>0.5</v>
      </c>
      <c r="W156" s="240" t="s">
        <v>1292</v>
      </c>
      <c r="X156" s="164"/>
    </row>
    <row r="157" spans="1:24" ht="15" customHeight="1" x14ac:dyDescent="0.25">
      <c r="A157" s="678">
        <v>41609</v>
      </c>
      <c r="B157" s="162" t="s">
        <v>451</v>
      </c>
      <c r="C157" s="162" t="s">
        <v>504</v>
      </c>
      <c r="D157" s="165" t="s">
        <v>380</v>
      </c>
      <c r="E157" s="307" t="s">
        <v>526</v>
      </c>
      <c r="F157" s="162" t="s">
        <v>110</v>
      </c>
      <c r="G157" s="103">
        <v>1</v>
      </c>
      <c r="H157" s="105"/>
      <c r="I157" s="105"/>
      <c r="J157" s="105">
        <v>40</v>
      </c>
      <c r="K157" s="105">
        <v>40</v>
      </c>
      <c r="L157" s="164"/>
      <c r="M157" s="164"/>
      <c r="N157" s="164"/>
      <c r="O157" s="164"/>
      <c r="P157" s="936">
        <f>IFERROR(IF(VLOOKUP(Table_Shelter[[#This Row],[CampName]],CL,5,0)&lt;Table_Shelter[[#This Row],[HH Covered2]],VLOOKUP(Table_Shelter[[#This Row],[CampName]],CL,5,0),Table_Shelter[[#This Row],[HH Covered2]]),"")</f>
        <v>0</v>
      </c>
      <c r="Q157" s="104">
        <f>IF(Table_Shelter[[#This Row],[Status]]="Open",IF(W157="NO",Table_Shelter[[#This Row],[HH per Shelter]]*(Table_Shelter[[#This Row],['# of Temporary Shelter Units Built]]+Table_Shelter[[#This Row],['# of Temporary Shelter Under  Construction]]+Table_Shelter[[#This Row],['# of Permanent House Under Construction]]),0),0)</f>
        <v>0</v>
      </c>
      <c r="R157" s="104"/>
      <c r="S157" s="104"/>
      <c r="T157" s="104" t="str">
        <f>IFERROR(VLOOKUP(Table_Shelter[[#This Row],[CampName]],CL,2,0),"")</f>
        <v>MMR001CMP082</v>
      </c>
      <c r="U157" s="104" t="str">
        <f>IFERROR(VLOOKUP(Table_Shelter[[#This Row],[CampName]],CL,3,0),"")</f>
        <v>Closed</v>
      </c>
      <c r="V157" s="240" t="str">
        <f>IFERROR(Table_Shelter[[#This Row],[HH Covered]]/VLOOKUP(Table_Shelter[[#This Row],[CampName]],CL,5,0),"")</f>
        <v/>
      </c>
      <c r="W157" s="240" t="s">
        <v>1292</v>
      </c>
      <c r="X157" s="104"/>
    </row>
    <row r="158" spans="1:24" ht="15" customHeight="1" x14ac:dyDescent="0.25">
      <c r="A158" s="722">
        <v>41609</v>
      </c>
      <c r="B158" s="162" t="s">
        <v>451</v>
      </c>
      <c r="C158" s="162" t="s">
        <v>504</v>
      </c>
      <c r="D158" s="165" t="s">
        <v>380</v>
      </c>
      <c r="E158" s="307" t="s">
        <v>185</v>
      </c>
      <c r="F158" s="162" t="s">
        <v>217</v>
      </c>
      <c r="G158" s="103">
        <v>1</v>
      </c>
      <c r="H158" s="105"/>
      <c r="I158" s="105"/>
      <c r="J158" s="105">
        <v>4</v>
      </c>
      <c r="K158" s="105">
        <v>4</v>
      </c>
      <c r="L158" s="164"/>
      <c r="M158" s="164"/>
      <c r="N158" s="164"/>
      <c r="O158" s="164"/>
      <c r="P158" s="936">
        <f>IFERROR(IF(VLOOKUP(Table_Shelter[[#This Row],[CampName]],CL,5,0)&lt;Table_Shelter[[#This Row],[HH Covered2]],VLOOKUP(Table_Shelter[[#This Row],[CampName]],CL,5,0),Table_Shelter[[#This Row],[HH Covered2]]),"")</f>
        <v>0</v>
      </c>
      <c r="Q158" s="104">
        <f>IF(Table_Shelter[[#This Row],[Status]]="Open",IF(W158="NO",Table_Shelter[[#This Row],[HH per Shelter]]*(Table_Shelter[[#This Row],['# of Temporary Shelter Units Built]]+Table_Shelter[[#This Row],['# of Temporary Shelter Under  Construction]]+Table_Shelter[[#This Row],['# of Permanent House Under Construction]]),0),0)</f>
        <v>0</v>
      </c>
      <c r="R158" s="104">
        <v>5</v>
      </c>
      <c r="S158" s="164"/>
      <c r="T158" s="164" t="str">
        <f>IFERROR(VLOOKUP(Table_Shelter[[#This Row],[CampName]],CL,2,0),"")</f>
        <v>MMR001CMP059</v>
      </c>
      <c r="U158" s="164" t="str">
        <f>IFERROR(VLOOKUP(Table_Shelter[[#This Row],[CampName]],CL,3,0),"")</f>
        <v>Closed</v>
      </c>
      <c r="V158" s="240" t="str">
        <f>IFERROR(Table_Shelter[[#This Row],[HH Covered]]/VLOOKUP(Table_Shelter[[#This Row],[CampName]],CL,5,0),"")</f>
        <v/>
      </c>
      <c r="W158" s="240" t="s">
        <v>1292</v>
      </c>
      <c r="X158" s="164"/>
    </row>
    <row r="159" spans="1:24" ht="15" customHeight="1" x14ac:dyDescent="0.25">
      <c r="A159" s="678">
        <v>41609</v>
      </c>
      <c r="B159" s="162" t="s">
        <v>451</v>
      </c>
      <c r="C159" s="162" t="s">
        <v>504</v>
      </c>
      <c r="D159" s="165" t="s">
        <v>380</v>
      </c>
      <c r="E159" s="307" t="s">
        <v>310</v>
      </c>
      <c r="F159" s="162" t="s">
        <v>318</v>
      </c>
      <c r="G159" s="103">
        <v>1</v>
      </c>
      <c r="H159" s="105"/>
      <c r="I159" s="105"/>
      <c r="J159" s="105">
        <v>10</v>
      </c>
      <c r="K159" s="105">
        <v>10</v>
      </c>
      <c r="L159" s="164"/>
      <c r="M159" s="164"/>
      <c r="N159" s="164"/>
      <c r="O159" s="164"/>
      <c r="P159" s="936">
        <f>IFERROR(IF(VLOOKUP(Table_Shelter[[#This Row],[CampName]],CL,5,0)&lt;Table_Shelter[[#This Row],[HH Covered2]],VLOOKUP(Table_Shelter[[#This Row],[CampName]],CL,5,0),Table_Shelter[[#This Row],[HH Covered2]]),"")</f>
        <v>10</v>
      </c>
      <c r="Q159" s="104">
        <f>IF(Table_Shelter[[#This Row],[Status]]="Open",IF(W159="NO",Table_Shelter[[#This Row],[HH per Shelter]]*(Table_Shelter[[#This Row],['# of Temporary Shelter Units Built]]+Table_Shelter[[#This Row],['# of Temporary Shelter Under  Construction]]+Table_Shelter[[#This Row],['# of Permanent House Under Construction]]),0),0)</f>
        <v>10</v>
      </c>
      <c r="R159" s="104"/>
      <c r="S159" s="104"/>
      <c r="T159" s="104" t="str">
        <f>IFERROR(VLOOKUP(Table_Shelter[[#This Row],[CampName]],CL,2,0),"")</f>
        <v>MMR001CMP032</v>
      </c>
      <c r="U159" s="104" t="str">
        <f>IFERROR(VLOOKUP(Table_Shelter[[#This Row],[CampName]],CL,3,0),"")</f>
        <v>Open</v>
      </c>
      <c r="V159" s="240">
        <f>IFERROR(Table_Shelter[[#This Row],[HH Covered]]/VLOOKUP(Table_Shelter[[#This Row],[CampName]],CL,5,0),"")</f>
        <v>9.0090090090090086E-2</v>
      </c>
      <c r="W159" s="240" t="s">
        <v>1292</v>
      </c>
      <c r="X159" s="104"/>
    </row>
    <row r="160" spans="1:24" ht="15" customHeight="1" x14ac:dyDescent="0.25">
      <c r="A160" s="678">
        <v>41609</v>
      </c>
      <c r="B160" s="162" t="s">
        <v>451</v>
      </c>
      <c r="C160" s="162" t="s">
        <v>504</v>
      </c>
      <c r="D160" s="165" t="s">
        <v>380</v>
      </c>
      <c r="E160" s="307" t="s">
        <v>310</v>
      </c>
      <c r="F160" s="162" t="s">
        <v>338</v>
      </c>
      <c r="G160" s="103">
        <v>1</v>
      </c>
      <c r="H160" s="105"/>
      <c r="I160" s="105"/>
      <c r="J160" s="105">
        <v>10</v>
      </c>
      <c r="K160" s="105">
        <v>10</v>
      </c>
      <c r="L160" s="164"/>
      <c r="M160" s="164"/>
      <c r="N160" s="164"/>
      <c r="O160" s="164"/>
      <c r="P160" s="936">
        <f>IFERROR(IF(VLOOKUP(Table_Shelter[[#This Row],[CampName]],CL,5,0)&lt;Table_Shelter[[#This Row],[HH Covered2]],VLOOKUP(Table_Shelter[[#This Row],[CampName]],CL,5,0),Table_Shelter[[#This Row],[HH Covered2]]),"")</f>
        <v>10</v>
      </c>
      <c r="Q160" s="104">
        <f>IF(Table_Shelter[[#This Row],[Status]]="Open",IF(W160="NO",Table_Shelter[[#This Row],[HH per Shelter]]*(Table_Shelter[[#This Row],['# of Temporary Shelter Units Built]]+Table_Shelter[[#This Row],['# of Temporary Shelter Under  Construction]]+Table_Shelter[[#This Row],['# of Permanent House Under Construction]]),0),0)</f>
        <v>10</v>
      </c>
      <c r="R160" s="104"/>
      <c r="S160" s="104"/>
      <c r="T160" s="104" t="str">
        <f>IFERROR(VLOOKUP(Table_Shelter[[#This Row],[CampName]],CL,2,0),"")</f>
        <v>MMR001CMP030</v>
      </c>
      <c r="U160" s="104" t="str">
        <f>IFERROR(VLOOKUP(Table_Shelter[[#This Row],[CampName]],CL,3,0),"")</f>
        <v>Open</v>
      </c>
      <c r="V160" s="240">
        <f>IFERROR(Table_Shelter[[#This Row],[HH Covered]]/VLOOKUP(Table_Shelter[[#This Row],[CampName]],CL,5,0),"")</f>
        <v>0.32258064516129031</v>
      </c>
      <c r="W160" s="240" t="s">
        <v>1292</v>
      </c>
      <c r="X160" s="104"/>
    </row>
    <row r="161" spans="1:24" ht="15" customHeight="1" x14ac:dyDescent="0.25">
      <c r="A161" s="678">
        <v>41609</v>
      </c>
      <c r="B161" s="162" t="s">
        <v>451</v>
      </c>
      <c r="C161" s="162" t="s">
        <v>504</v>
      </c>
      <c r="D161" s="165" t="s">
        <v>380</v>
      </c>
      <c r="E161" s="307" t="s">
        <v>526</v>
      </c>
      <c r="F161" s="162" t="s">
        <v>118</v>
      </c>
      <c r="G161" s="103">
        <v>1</v>
      </c>
      <c r="H161" s="105"/>
      <c r="I161" s="105"/>
      <c r="J161" s="105">
        <v>10</v>
      </c>
      <c r="K161" s="105">
        <v>10</v>
      </c>
      <c r="L161" s="164"/>
      <c r="M161" s="164"/>
      <c r="N161" s="164"/>
      <c r="O161" s="164"/>
      <c r="P161" s="936">
        <f>IFERROR(IF(VLOOKUP(Table_Shelter[[#This Row],[CampName]],CL,5,0)&lt;Table_Shelter[[#This Row],[HH Covered2]],VLOOKUP(Table_Shelter[[#This Row],[CampName]],CL,5,0),Table_Shelter[[#This Row],[HH Covered2]]),"")</f>
        <v>9</v>
      </c>
      <c r="Q161" s="104">
        <f>IF(Table_Shelter[[#This Row],[Status]]="Open",IF(W161="NO",Table_Shelter[[#This Row],[HH per Shelter]]*(Table_Shelter[[#This Row],['# of Temporary Shelter Units Built]]+Table_Shelter[[#This Row],['# of Temporary Shelter Under  Construction]]+Table_Shelter[[#This Row],['# of Permanent House Under Construction]]),0),0)</f>
        <v>10</v>
      </c>
      <c r="R161" s="104"/>
      <c r="S161" s="164"/>
      <c r="T161" s="164" t="str">
        <f>IFERROR(VLOOKUP(Table_Shelter[[#This Row],[CampName]],CL,2,0),"")</f>
        <v>MMR001CMP182</v>
      </c>
      <c r="U161" s="164" t="str">
        <f>IFERROR(VLOOKUP(Table_Shelter[[#This Row],[CampName]],CL,3,0),"")</f>
        <v>Open</v>
      </c>
      <c r="V161" s="240">
        <f>IFERROR(Table_Shelter[[#This Row],[HH Covered]]/VLOOKUP(Table_Shelter[[#This Row],[CampName]],CL,5,0),"")</f>
        <v>1</v>
      </c>
      <c r="W161" s="240" t="s">
        <v>1292</v>
      </c>
      <c r="X161" s="164"/>
    </row>
    <row r="162" spans="1:24" ht="15" customHeight="1" x14ac:dyDescent="0.25">
      <c r="A162" s="723">
        <v>41609</v>
      </c>
      <c r="B162" s="162" t="s">
        <v>451</v>
      </c>
      <c r="C162" s="162" t="s">
        <v>459</v>
      </c>
      <c r="D162" s="162" t="s">
        <v>380</v>
      </c>
      <c r="E162" s="307" t="s">
        <v>237</v>
      </c>
      <c r="F162" s="162" t="s">
        <v>253</v>
      </c>
      <c r="G162" s="103">
        <v>1</v>
      </c>
      <c r="H162" s="103"/>
      <c r="I162" s="103"/>
      <c r="J162" s="103">
        <v>30</v>
      </c>
      <c r="K162" s="103">
        <v>30</v>
      </c>
      <c r="L162" s="162"/>
      <c r="M162" s="162"/>
      <c r="N162" s="162"/>
      <c r="O162" s="162"/>
      <c r="P162" s="934">
        <f>IFERROR(IF(VLOOKUP(Table_Shelter[[#This Row],[CampName]],CL,5,0)&lt;Table_Shelter[[#This Row],[HH Covered2]],VLOOKUP(Table_Shelter[[#This Row],[CampName]],CL,5,0),Table_Shelter[[#This Row],[HH Covered2]]),"")</f>
        <v>30</v>
      </c>
      <c r="Q162" s="139">
        <f>IF(Table_Shelter[[#This Row],[Status]]="Open",IF(W162="NO",Table_Shelter[[#This Row],[HH per Shelter]]*(Table_Shelter[[#This Row],['# of Temporary Shelter Units Built]]+Table_Shelter[[#This Row],['# of Temporary Shelter Under  Construction]]+Table_Shelter[[#This Row],['# of Permanent House Under Construction]]),0),0)</f>
        <v>30</v>
      </c>
      <c r="R162" s="102"/>
      <c r="S162" s="162"/>
      <c r="T162" s="163" t="str">
        <f>IFERROR(VLOOKUP(Table_Shelter[[#This Row],[CampName]],CL,2,0),"")</f>
        <v>MMR001CMP018</v>
      </c>
      <c r="U162" s="163" t="str">
        <f>IFERROR(VLOOKUP(Table_Shelter[[#This Row],[CampName]],CL,3,0),"")</f>
        <v>Open</v>
      </c>
      <c r="V162" s="240">
        <f>IFERROR(Table_Shelter[[#This Row],[HH Covered]]/VLOOKUP(Table_Shelter[[#This Row],[CampName]],CL,5,0),"")</f>
        <v>0.15</v>
      </c>
      <c r="W162" s="240" t="s">
        <v>1292</v>
      </c>
      <c r="X162" s="164"/>
    </row>
    <row r="163" spans="1:24" ht="15" customHeight="1" x14ac:dyDescent="0.25">
      <c r="A163" s="678">
        <v>41609</v>
      </c>
      <c r="B163" s="162" t="s">
        <v>451</v>
      </c>
      <c r="C163" s="162" t="s">
        <v>504</v>
      </c>
      <c r="D163" s="165" t="s">
        <v>380</v>
      </c>
      <c r="E163" s="307" t="s">
        <v>5</v>
      </c>
      <c r="F163" s="162" t="s">
        <v>24</v>
      </c>
      <c r="G163" s="103">
        <v>1</v>
      </c>
      <c r="H163" s="105"/>
      <c r="I163" s="105"/>
      <c r="J163" s="105">
        <v>15</v>
      </c>
      <c r="K163" s="105">
        <v>15</v>
      </c>
      <c r="L163" s="164"/>
      <c r="M163" s="164"/>
      <c r="N163" s="164"/>
      <c r="O163" s="164"/>
      <c r="P163" s="936">
        <f>IFERROR(IF(VLOOKUP(Table_Shelter[[#This Row],[CampName]],CL,5,0)&lt;Table_Shelter[[#This Row],[HH Covered2]],VLOOKUP(Table_Shelter[[#This Row],[CampName]],CL,5,0),Table_Shelter[[#This Row],[HH Covered2]]),"")</f>
        <v>15</v>
      </c>
      <c r="Q163" s="104">
        <f>IF(Table_Shelter[[#This Row],[Status]]="Open",IF(W163="NO",Table_Shelter[[#This Row],[HH per Shelter]]*(Table_Shelter[[#This Row],['# of Temporary Shelter Units Built]]+Table_Shelter[[#This Row],['# of Temporary Shelter Under  Construction]]+Table_Shelter[[#This Row],['# of Permanent House Under Construction]]),0),0)</f>
        <v>15</v>
      </c>
      <c r="R163" s="104">
        <v>10</v>
      </c>
      <c r="S163" s="164"/>
      <c r="T163" s="164" t="str">
        <f>IFERROR(VLOOKUP(Table_Shelter[[#This Row],[CampName]],CL,2,0),"")</f>
        <v>MMR001CMP055</v>
      </c>
      <c r="U163" s="164" t="str">
        <f>IFERROR(VLOOKUP(Table_Shelter[[#This Row],[CampName]],CL,3,0),"")</f>
        <v>Open</v>
      </c>
      <c r="V163" s="240">
        <f>IFERROR(Table_Shelter[[#This Row],[HH Covered]]/VLOOKUP(Table_Shelter[[#This Row],[CampName]],CL,5,0),"")</f>
        <v>0.75</v>
      </c>
      <c r="W163" s="240" t="s">
        <v>1292</v>
      </c>
      <c r="X163" s="164"/>
    </row>
    <row r="164" spans="1:24" ht="15" customHeight="1" x14ac:dyDescent="0.25">
      <c r="A164" s="722">
        <v>41609</v>
      </c>
      <c r="B164" s="162" t="s">
        <v>451</v>
      </c>
      <c r="C164" s="162" t="s">
        <v>504</v>
      </c>
      <c r="D164" s="165" t="s">
        <v>380</v>
      </c>
      <c r="E164" s="307" t="s">
        <v>237</v>
      </c>
      <c r="F164" s="162" t="s">
        <v>1232</v>
      </c>
      <c r="G164" s="103">
        <v>1</v>
      </c>
      <c r="H164" s="105"/>
      <c r="I164" s="105"/>
      <c r="J164" s="105">
        <v>30</v>
      </c>
      <c r="K164" s="105">
        <v>30</v>
      </c>
      <c r="L164" s="164"/>
      <c r="M164" s="164"/>
      <c r="N164" s="164"/>
      <c r="O164" s="164"/>
      <c r="P164" s="936">
        <f>IFERROR(IF(VLOOKUP(Table_Shelter[[#This Row],[CampName]],CL,5,0)&lt;Table_Shelter[[#This Row],[HH Covered2]],VLOOKUP(Table_Shelter[[#This Row],[CampName]],CL,5,0),Table_Shelter[[#This Row],[HH Covered2]]),"")</f>
        <v>30</v>
      </c>
      <c r="Q164" s="104">
        <f>IF(Table_Shelter[[#This Row],[Status]]="Open",IF(W164="NO",Table_Shelter[[#This Row],[HH per Shelter]]*(Table_Shelter[[#This Row],['# of Temporary Shelter Units Built]]+Table_Shelter[[#This Row],['# of Temporary Shelter Under  Construction]]+Table_Shelter[[#This Row],['# of Permanent House Under Construction]]),0),0)</f>
        <v>30</v>
      </c>
      <c r="R164" s="104"/>
      <c r="S164" s="104"/>
      <c r="T164" s="104" t="str">
        <f>IFERROR(VLOOKUP(Table_Shelter[[#This Row],[CampName]],CL,2,0),"")</f>
        <v>MMR001CMP023</v>
      </c>
      <c r="U164" s="104" t="str">
        <f>IFERROR(VLOOKUP(Table_Shelter[[#This Row],[CampName]],CL,3,0),"")</f>
        <v>Open</v>
      </c>
      <c r="V164" s="240">
        <f>IFERROR(Table_Shelter[[#This Row],[HH Covered]]/VLOOKUP(Table_Shelter[[#This Row],[CampName]],CL,5,0),"")</f>
        <v>0.55555555555555558</v>
      </c>
      <c r="W164" s="240" t="s">
        <v>1292</v>
      </c>
      <c r="X164" s="104"/>
    </row>
    <row r="165" spans="1:24" ht="15" customHeight="1" x14ac:dyDescent="0.25">
      <c r="A165" s="722">
        <v>41609</v>
      </c>
      <c r="B165" s="162" t="s">
        <v>451</v>
      </c>
      <c r="C165" s="162" t="s">
        <v>504</v>
      </c>
      <c r="D165" s="165" t="s">
        <v>380</v>
      </c>
      <c r="E165" s="307" t="s">
        <v>310</v>
      </c>
      <c r="F165" s="162" t="s">
        <v>349</v>
      </c>
      <c r="G165" s="103">
        <v>1</v>
      </c>
      <c r="H165" s="105"/>
      <c r="I165" s="105"/>
      <c r="J165" s="105">
        <v>5</v>
      </c>
      <c r="K165" s="105">
        <v>5</v>
      </c>
      <c r="L165" s="164"/>
      <c r="M165" s="164"/>
      <c r="N165" s="164"/>
      <c r="O165" s="164"/>
      <c r="P165" s="936">
        <f>IFERROR(IF(VLOOKUP(Table_Shelter[[#This Row],[CampName]],CL,5,0)&lt;Table_Shelter[[#This Row],[HH Covered2]],VLOOKUP(Table_Shelter[[#This Row],[CampName]],CL,5,0),Table_Shelter[[#This Row],[HH Covered2]]),"")</f>
        <v>5</v>
      </c>
      <c r="Q165" s="104">
        <f>IF(Table_Shelter[[#This Row],[Status]]="Open",IF(W165="NO",Table_Shelter[[#This Row],[HH per Shelter]]*(Table_Shelter[[#This Row],['# of Temporary Shelter Units Built]]+Table_Shelter[[#This Row],['# of Temporary Shelter Under  Construction]]+Table_Shelter[[#This Row],['# of Permanent House Under Construction]]),0),0)</f>
        <v>5</v>
      </c>
      <c r="R165" s="104"/>
      <c r="S165" s="104"/>
      <c r="T165" s="104" t="str">
        <f>IFERROR(VLOOKUP(Table_Shelter[[#This Row],[CampName]],CL,2,0),"")</f>
        <v>MMR001CMP037</v>
      </c>
      <c r="U165" s="104" t="str">
        <f>IFERROR(VLOOKUP(Table_Shelter[[#This Row],[CampName]],CL,3,0),"")</f>
        <v>Open</v>
      </c>
      <c r="V165" s="240">
        <f>IFERROR(Table_Shelter[[#This Row],[HH Covered]]/VLOOKUP(Table_Shelter[[#This Row],[CampName]],CL,5,0),"")</f>
        <v>0.10869565217391304</v>
      </c>
      <c r="W165" s="240" t="s">
        <v>1292</v>
      </c>
      <c r="X165" s="104"/>
    </row>
    <row r="166" spans="1:24" ht="15" customHeight="1" x14ac:dyDescent="0.25">
      <c r="A166" s="722">
        <v>41609</v>
      </c>
      <c r="B166" s="162" t="s">
        <v>451</v>
      </c>
      <c r="C166" s="162" t="s">
        <v>504</v>
      </c>
      <c r="D166" s="165" t="s">
        <v>380</v>
      </c>
      <c r="E166" s="307" t="s">
        <v>310</v>
      </c>
      <c r="F166" s="162" t="s">
        <v>316</v>
      </c>
      <c r="G166" s="103">
        <v>1</v>
      </c>
      <c r="H166" s="105"/>
      <c r="I166" s="105"/>
      <c r="J166" s="105">
        <v>6</v>
      </c>
      <c r="K166" s="105">
        <v>6</v>
      </c>
      <c r="L166" s="164"/>
      <c r="M166" s="164"/>
      <c r="N166" s="164"/>
      <c r="O166" s="164"/>
      <c r="P166" s="936">
        <f>IFERROR(IF(VLOOKUP(Table_Shelter[[#This Row],[CampName]],CL,5,0)&lt;Table_Shelter[[#This Row],[HH Covered2]],VLOOKUP(Table_Shelter[[#This Row],[CampName]],CL,5,0),Table_Shelter[[#This Row],[HH Covered2]]),"")</f>
        <v>6</v>
      </c>
      <c r="Q166" s="104">
        <f>IF(Table_Shelter[[#This Row],[Status]]="Open",IF(W166="NO",Table_Shelter[[#This Row],[HH per Shelter]]*(Table_Shelter[[#This Row],['# of Temporary Shelter Units Built]]+Table_Shelter[[#This Row],['# of Temporary Shelter Under  Construction]]+Table_Shelter[[#This Row],['# of Permanent House Under Construction]]),0),0)</f>
        <v>6</v>
      </c>
      <c r="R166" s="104"/>
      <c r="S166" s="104"/>
      <c r="T166" s="104" t="str">
        <f>IFERROR(VLOOKUP(Table_Shelter[[#This Row],[CampName]],CL,2,0),"")</f>
        <v>MMR001CMP038</v>
      </c>
      <c r="U166" s="104" t="str">
        <f>IFERROR(VLOOKUP(Table_Shelter[[#This Row],[CampName]],CL,3,0),"")</f>
        <v>Open</v>
      </c>
      <c r="V166" s="240">
        <f>IFERROR(Table_Shelter[[#This Row],[HH Covered]]/VLOOKUP(Table_Shelter[[#This Row],[CampName]],CL,5,0),"")</f>
        <v>9.2307692307692313E-2</v>
      </c>
      <c r="W166" s="240" t="s">
        <v>1292</v>
      </c>
      <c r="X166" s="104"/>
    </row>
    <row r="167" spans="1:24" ht="15" customHeight="1" x14ac:dyDescent="0.25">
      <c r="A167" s="722">
        <v>41609</v>
      </c>
      <c r="B167" s="162" t="s">
        <v>451</v>
      </c>
      <c r="C167" s="162" t="s">
        <v>505</v>
      </c>
      <c r="D167" s="165" t="s">
        <v>380</v>
      </c>
      <c r="E167" s="307" t="s">
        <v>310</v>
      </c>
      <c r="F167" s="162" t="s">
        <v>353</v>
      </c>
      <c r="G167" s="103">
        <v>1</v>
      </c>
      <c r="H167" s="105"/>
      <c r="I167" s="105"/>
      <c r="J167" s="105">
        <v>160</v>
      </c>
      <c r="K167" s="105">
        <v>160</v>
      </c>
      <c r="L167" s="164"/>
      <c r="M167" s="164"/>
      <c r="N167" s="164"/>
      <c r="O167" s="164"/>
      <c r="P167" s="936">
        <f>IFERROR(IF(VLOOKUP(Table_Shelter[[#This Row],[CampName]],CL,5,0)&lt;Table_Shelter[[#This Row],[HH Covered2]],VLOOKUP(Table_Shelter[[#This Row],[CampName]],CL,5,0),Table_Shelter[[#This Row],[HH Covered2]]),"")</f>
        <v>160</v>
      </c>
      <c r="Q167" s="104">
        <f>IF(Table_Shelter[[#This Row],[Status]]="Open",IF(W167="NO",Table_Shelter[[#This Row],[HH per Shelter]]*(Table_Shelter[[#This Row],['# of Temporary Shelter Units Built]]+Table_Shelter[[#This Row],['# of Temporary Shelter Under  Construction]]+Table_Shelter[[#This Row],['# of Permanent House Under Construction]]),0),0)</f>
        <v>160</v>
      </c>
      <c r="R167" s="104"/>
      <c r="S167" s="164"/>
      <c r="T167" s="164" t="str">
        <f>IFERROR(VLOOKUP(Table_Shelter[[#This Row],[CampName]],CL,2,0),"")</f>
        <v>MMR001CMP116</v>
      </c>
      <c r="U167" s="164" t="str">
        <f>IFERROR(VLOOKUP(Table_Shelter[[#This Row],[CampName]],CL,3,0),"")</f>
        <v>Open</v>
      </c>
      <c r="V167" s="240">
        <f>IFERROR(Table_Shelter[[#This Row],[HH Covered]]/VLOOKUP(Table_Shelter[[#This Row],[CampName]],CL,5,0),"")</f>
        <v>0.11461318051575932</v>
      </c>
      <c r="W167" s="240" t="s">
        <v>1292</v>
      </c>
      <c r="X167" s="164"/>
    </row>
    <row r="168" spans="1:24" ht="15" customHeight="1" x14ac:dyDescent="0.25">
      <c r="A168" s="722">
        <v>41609</v>
      </c>
      <c r="B168" s="162" t="s">
        <v>451</v>
      </c>
      <c r="C168" s="162"/>
      <c r="D168" s="165" t="s">
        <v>380</v>
      </c>
      <c r="E168" s="307" t="s">
        <v>5</v>
      </c>
      <c r="F168" s="162" t="s">
        <v>26</v>
      </c>
      <c r="G168" s="103">
        <v>1</v>
      </c>
      <c r="H168" s="105"/>
      <c r="I168" s="105"/>
      <c r="J168" s="105">
        <v>5</v>
      </c>
      <c r="K168" s="105">
        <v>5</v>
      </c>
      <c r="L168" s="164"/>
      <c r="M168" s="164"/>
      <c r="N168" s="164"/>
      <c r="O168" s="164"/>
      <c r="P168" s="936">
        <f>IFERROR(IF(VLOOKUP(Table_Shelter[[#This Row],[CampName]],CL,5,0)&lt;Table_Shelter[[#This Row],[HH Covered2]],VLOOKUP(Table_Shelter[[#This Row],[CampName]],CL,5,0),Table_Shelter[[#This Row],[HH Covered2]]),"")</f>
        <v>5</v>
      </c>
      <c r="Q168" s="104">
        <f>IF(Table_Shelter[[#This Row],[Status]]="Open",IF(W168="NO",Table_Shelter[[#This Row],[HH per Shelter]]*(Table_Shelter[[#This Row],['# of Temporary Shelter Units Built]]+Table_Shelter[[#This Row],['# of Temporary Shelter Under  Construction]]+Table_Shelter[[#This Row],['# of Permanent House Under Construction]]),0),0)</f>
        <v>5</v>
      </c>
      <c r="R168" s="104"/>
      <c r="S168" s="104"/>
      <c r="T168" s="104" t="str">
        <f>IFERROR(VLOOKUP(Table_Shelter[[#This Row],[CampName]],CL,2,0),"")</f>
        <v>MMR001CMP053</v>
      </c>
      <c r="U168" s="104" t="str">
        <f>IFERROR(VLOOKUP(Table_Shelter[[#This Row],[CampName]],CL,3,0),"")</f>
        <v>Open</v>
      </c>
      <c r="V168" s="240">
        <f>IFERROR(Table_Shelter[[#This Row],[HH Covered]]/VLOOKUP(Table_Shelter[[#This Row],[CampName]],CL,5,0),"")</f>
        <v>0.33333333333333331</v>
      </c>
      <c r="W168" s="240" t="s">
        <v>1292</v>
      </c>
      <c r="X168" s="104"/>
    </row>
    <row r="169" spans="1:24" ht="15" customHeight="1" x14ac:dyDescent="0.25">
      <c r="A169" s="723">
        <v>41609</v>
      </c>
      <c r="B169" s="162" t="s">
        <v>451</v>
      </c>
      <c r="C169" s="162" t="s">
        <v>459</v>
      </c>
      <c r="D169" s="162" t="s">
        <v>552</v>
      </c>
      <c r="E169" s="307" t="s">
        <v>166</v>
      </c>
      <c r="F169" s="162" t="s">
        <v>167</v>
      </c>
      <c r="G169" s="103">
        <v>1</v>
      </c>
      <c r="H169" s="103"/>
      <c r="I169" s="103"/>
      <c r="J169" s="103">
        <v>10</v>
      </c>
      <c r="K169" s="103">
        <v>10</v>
      </c>
      <c r="L169" s="162"/>
      <c r="M169" s="162"/>
      <c r="N169" s="162"/>
      <c r="O169" s="162"/>
      <c r="P169" s="934">
        <f>IFERROR(IF(VLOOKUP(Table_Shelter[[#This Row],[CampName]],CL,5,0)&lt;Table_Shelter[[#This Row],[HH Covered2]],VLOOKUP(Table_Shelter[[#This Row],[CampName]],CL,5,0),Table_Shelter[[#This Row],[HH Covered2]]),"")</f>
        <v>10</v>
      </c>
      <c r="Q169" s="104">
        <f>IF(Table_Shelter[[#This Row],[Status]]="Open",IF(W169="NO",Table_Shelter[[#This Row],[HH per Shelter]]*(Table_Shelter[[#This Row],['# of Temporary Shelter Units Built]]+Table_Shelter[[#This Row],['# of Temporary Shelter Under  Construction]]+Table_Shelter[[#This Row],['# of Permanent House Under Construction]]),0),0)</f>
        <v>10</v>
      </c>
      <c r="R169" s="102"/>
      <c r="S169" s="102"/>
      <c r="T169" s="104" t="str">
        <f>IFERROR(VLOOKUP(Table_Shelter[[#This Row],[CampName]],CL,2,0),"")</f>
        <v>MMR015CMP009</v>
      </c>
      <c r="U169" s="104" t="str">
        <f>IFERROR(VLOOKUP(Table_Shelter[[#This Row],[CampName]],CL,3,0),"")</f>
        <v>Open</v>
      </c>
      <c r="V169" s="240">
        <f>IFERROR(Table_Shelter[[#This Row],[HH Covered]]/VLOOKUP(Table_Shelter[[#This Row],[CampName]],CL,5,0),"")</f>
        <v>0.2857142857142857</v>
      </c>
      <c r="W169" s="240" t="s">
        <v>1292</v>
      </c>
      <c r="X169" s="104"/>
    </row>
    <row r="170" spans="1:24" ht="15" customHeight="1" x14ac:dyDescent="0.25">
      <c r="A170" s="723">
        <v>41609</v>
      </c>
      <c r="B170" s="162" t="s">
        <v>451</v>
      </c>
      <c r="C170" s="162" t="s">
        <v>459</v>
      </c>
      <c r="D170" s="162" t="s">
        <v>380</v>
      </c>
      <c r="E170" s="307" t="s">
        <v>151</v>
      </c>
      <c r="F170" s="162" t="s">
        <v>152</v>
      </c>
      <c r="G170" s="103">
        <v>1</v>
      </c>
      <c r="H170" s="103"/>
      <c r="I170" s="103"/>
      <c r="J170" s="103">
        <v>20</v>
      </c>
      <c r="K170" s="103">
        <v>20</v>
      </c>
      <c r="L170" s="162"/>
      <c r="M170" s="162"/>
      <c r="N170" s="162"/>
      <c r="O170" s="162"/>
      <c r="P170" s="934">
        <f>IFERROR(IF(VLOOKUP(Table_Shelter[[#This Row],[CampName]],CL,5,0)&lt;Table_Shelter[[#This Row],[HH Covered2]],VLOOKUP(Table_Shelter[[#This Row],[CampName]],CL,5,0),Table_Shelter[[#This Row],[HH Covered2]]),"")</f>
        <v>20</v>
      </c>
      <c r="Q170" s="139">
        <f>IF(Table_Shelter[[#This Row],[Status]]="Open",IF(W170="NO",Table_Shelter[[#This Row],[HH per Shelter]]*(Table_Shelter[[#This Row],['# of Temporary Shelter Units Built]]+Table_Shelter[[#This Row],['# of Temporary Shelter Under  Construction]]+Table_Shelter[[#This Row],['# of Permanent House Under Construction]]),0),0)</f>
        <v>20</v>
      </c>
      <c r="R170" s="102"/>
      <c r="S170" s="162"/>
      <c r="T170" s="163" t="str">
        <f>IFERROR(VLOOKUP(Table_Shelter[[#This Row],[CampName]],CL,2,0),"")</f>
        <v>MMR001CMP066</v>
      </c>
      <c r="U170" s="163" t="str">
        <f>IFERROR(VLOOKUP(Table_Shelter[[#This Row],[CampName]],CL,3,0),"")</f>
        <v>Open</v>
      </c>
      <c r="V170" s="240">
        <f>IFERROR(Table_Shelter[[#This Row],[HH Covered]]/VLOOKUP(Table_Shelter[[#This Row],[CampName]],CL,5,0),"")</f>
        <v>0.10309278350515463</v>
      </c>
      <c r="W170" s="240" t="s">
        <v>1292</v>
      </c>
      <c r="X170" s="164"/>
    </row>
    <row r="171" spans="1:24" ht="15" customHeight="1" x14ac:dyDescent="0.25">
      <c r="A171" s="678">
        <v>41609</v>
      </c>
      <c r="B171" s="103" t="s">
        <v>451</v>
      </c>
      <c r="C171" s="103" t="s">
        <v>459</v>
      </c>
      <c r="D171" s="169" t="s">
        <v>552</v>
      </c>
      <c r="E171" s="170" t="s">
        <v>146</v>
      </c>
      <c r="F171" s="103" t="s">
        <v>371</v>
      </c>
      <c r="G171" s="103">
        <v>1</v>
      </c>
      <c r="H171" s="105"/>
      <c r="I171" s="105"/>
      <c r="J171" s="105">
        <v>5</v>
      </c>
      <c r="K171" s="105">
        <v>5</v>
      </c>
      <c r="L171" s="105"/>
      <c r="M171" s="105"/>
      <c r="N171" s="105"/>
      <c r="O171" s="105"/>
      <c r="P171" s="936">
        <f>IFERROR(IF(VLOOKUP(Table_Shelter[[#This Row],[CampName]],CL,5,0)&lt;Table_Shelter[[#This Row],[HH Covered2]],VLOOKUP(Table_Shelter[[#This Row],[CampName]],CL,5,0),Table_Shelter[[#This Row],[HH Covered2]]),"")</f>
        <v>5</v>
      </c>
      <c r="Q171" s="104">
        <f>IF(Table_Shelter[[#This Row],[Status]]="Open",IF(W171="NO",Table_Shelter[[#This Row],[HH per Shelter]]*(Table_Shelter[[#This Row],['# of Temporary Shelter Units Built]]+Table_Shelter[[#This Row],['# of Temporary Shelter Under  Construction]]+Table_Shelter[[#This Row],['# of Permanent House Under Construction]]),0),0)</f>
        <v>5</v>
      </c>
      <c r="R171" s="104"/>
      <c r="S171" s="104"/>
      <c r="T171" s="104" t="str">
        <f>IFERROR(VLOOKUP(Table_Shelter[[#This Row],[CampName]],CL,2,0),"")</f>
        <v>MMR015CMP006</v>
      </c>
      <c r="U171" s="104" t="str">
        <f>IFERROR(VLOOKUP(Table_Shelter[[#This Row],[CampName]],CL,3,0),"")</f>
        <v>Open</v>
      </c>
      <c r="V171" s="241">
        <f>IFERROR(Table_Shelter[[#This Row],[HH Covered]]/VLOOKUP(Table_Shelter[[#This Row],[CampName]],CL,5,0),"")</f>
        <v>0.10869565217391304</v>
      </c>
      <c r="W171" s="240" t="s">
        <v>1292</v>
      </c>
      <c r="X171" s="104"/>
    </row>
    <row r="172" spans="1:24" ht="15" customHeight="1" x14ac:dyDescent="0.25">
      <c r="A172" s="722">
        <v>41609</v>
      </c>
      <c r="B172" s="162" t="s">
        <v>451</v>
      </c>
      <c r="C172" s="162" t="s">
        <v>459</v>
      </c>
      <c r="D172" s="165" t="s">
        <v>380</v>
      </c>
      <c r="E172" s="307" t="s">
        <v>310</v>
      </c>
      <c r="F172" s="162" t="s">
        <v>1231</v>
      </c>
      <c r="G172" s="103">
        <v>1</v>
      </c>
      <c r="H172" s="105"/>
      <c r="I172" s="105"/>
      <c r="J172" s="105">
        <v>11</v>
      </c>
      <c r="K172" s="105">
        <v>11</v>
      </c>
      <c r="L172" s="164"/>
      <c r="M172" s="164"/>
      <c r="N172" s="164"/>
      <c r="O172" s="164"/>
      <c r="P172" s="936">
        <f>IFERROR(IF(VLOOKUP(Table_Shelter[[#This Row],[CampName]],CL,5,0)&lt;Table_Shelter[[#This Row],[HH Covered2]],VLOOKUP(Table_Shelter[[#This Row],[CampName]],CL,5,0),Table_Shelter[[#This Row],[HH Covered2]]),"")</f>
        <v>11</v>
      </c>
      <c r="Q172" s="104">
        <f>IF(Table_Shelter[[#This Row],[Status]]="Open",IF(W172="NO",Table_Shelter[[#This Row],[HH per Shelter]]*(Table_Shelter[[#This Row],['# of Temporary Shelter Units Built]]+Table_Shelter[[#This Row],['# of Temporary Shelter Under  Construction]]+Table_Shelter[[#This Row],['# of Permanent House Under Construction]]),0),0)</f>
        <v>11</v>
      </c>
      <c r="R172" s="104"/>
      <c r="S172" s="104"/>
      <c r="T172" s="104" t="str">
        <f>IFERROR(VLOOKUP(Table_Shelter[[#This Row],[CampName]],CL,2,0),"")</f>
        <v>MMR001CMP120</v>
      </c>
      <c r="U172" s="104" t="str">
        <f>IFERROR(VLOOKUP(Table_Shelter[[#This Row],[CampName]],CL,3,0),"")</f>
        <v>Open</v>
      </c>
      <c r="V172" s="240">
        <f>IFERROR(Table_Shelter[[#This Row],[HH Covered]]/VLOOKUP(Table_Shelter[[#This Row],[CampName]],CL,5,0),"")</f>
        <v>5.9139784946236562E-2</v>
      </c>
      <c r="W172" s="240" t="s">
        <v>1292</v>
      </c>
      <c r="X172" s="104"/>
    </row>
    <row r="173" spans="1:24" ht="15" customHeight="1" x14ac:dyDescent="0.25">
      <c r="A173" s="722">
        <v>41609</v>
      </c>
      <c r="B173" s="162" t="s">
        <v>451</v>
      </c>
      <c r="C173" s="162" t="s">
        <v>459</v>
      </c>
      <c r="D173" s="165" t="s">
        <v>380</v>
      </c>
      <c r="E173" s="307" t="s">
        <v>5</v>
      </c>
      <c r="F173" s="162" t="s">
        <v>366</v>
      </c>
      <c r="G173" s="103">
        <v>1</v>
      </c>
      <c r="H173" s="105"/>
      <c r="I173" s="105"/>
      <c r="J173" s="105">
        <v>50</v>
      </c>
      <c r="K173" s="105">
        <v>50</v>
      </c>
      <c r="L173" s="164"/>
      <c r="M173" s="164"/>
      <c r="N173" s="164"/>
      <c r="O173" s="164"/>
      <c r="P173" s="936">
        <f>IFERROR(IF(VLOOKUP(Table_Shelter[[#This Row],[CampName]],CL,5,0)&lt;Table_Shelter[[#This Row],[HH Covered2]],VLOOKUP(Table_Shelter[[#This Row],[CampName]],CL,5,0),Table_Shelter[[#This Row],[HH Covered2]]),"")</f>
        <v>50</v>
      </c>
      <c r="Q173" s="104">
        <f>IF(Table_Shelter[[#This Row],[Status]]="Open",IF(W173="NO",Table_Shelter[[#This Row],[HH per Shelter]]*(Table_Shelter[[#This Row],['# of Temporary Shelter Units Built]]+Table_Shelter[[#This Row],['# of Temporary Shelter Under  Construction]]+Table_Shelter[[#This Row],['# of Permanent House Under Construction]]),0),0)</f>
        <v>50</v>
      </c>
      <c r="R173" s="104"/>
      <c r="S173" s="164"/>
      <c r="T173" s="164" t="str">
        <f>IFERROR(VLOOKUP(Table_Shelter[[#This Row],[CampName]],CL,2,0),"")</f>
        <v>MMR001CMP193</v>
      </c>
      <c r="U173" s="164" t="str">
        <f>IFERROR(VLOOKUP(Table_Shelter[[#This Row],[CampName]],CL,3,0),"")</f>
        <v>Open</v>
      </c>
      <c r="V173" s="240">
        <f>IFERROR(Table_Shelter[[#This Row],[HH Covered]]/VLOOKUP(Table_Shelter[[#This Row],[CampName]],CL,5,0),"")</f>
        <v>0.32679738562091504</v>
      </c>
      <c r="W173" s="240" t="s">
        <v>1292</v>
      </c>
      <c r="X173" s="164"/>
    </row>
    <row r="174" spans="1:24" ht="15" customHeight="1" x14ac:dyDescent="0.25">
      <c r="A174" s="678">
        <v>41609</v>
      </c>
      <c r="B174" s="162" t="s">
        <v>451</v>
      </c>
      <c r="C174" s="162" t="s">
        <v>459</v>
      </c>
      <c r="D174" s="165" t="s">
        <v>380</v>
      </c>
      <c r="E174" s="307" t="s">
        <v>5</v>
      </c>
      <c r="F174" s="162" t="s">
        <v>22</v>
      </c>
      <c r="G174" s="103">
        <v>1</v>
      </c>
      <c r="H174" s="105"/>
      <c r="I174" s="105"/>
      <c r="J174" s="105">
        <v>30</v>
      </c>
      <c r="K174" s="105">
        <v>30</v>
      </c>
      <c r="L174" s="164"/>
      <c r="M174" s="164"/>
      <c r="N174" s="164"/>
      <c r="O174" s="164"/>
      <c r="P174" s="936">
        <f>IFERROR(IF(VLOOKUP(Table_Shelter[[#This Row],[CampName]],CL,5,0)&lt;Table_Shelter[[#This Row],[HH Covered2]],VLOOKUP(Table_Shelter[[#This Row],[CampName]],CL,5,0),Table_Shelter[[#This Row],[HH Covered2]]),"")</f>
        <v>30</v>
      </c>
      <c r="Q174" s="104">
        <f>IF(Table_Shelter[[#This Row],[Status]]="Open",IF(W174="NO",Table_Shelter[[#This Row],[HH per Shelter]]*(Table_Shelter[[#This Row],['# of Temporary Shelter Units Built]]+Table_Shelter[[#This Row],['# of Temporary Shelter Under  Construction]]+Table_Shelter[[#This Row],['# of Permanent House Under Construction]]),0),0)</f>
        <v>30</v>
      </c>
      <c r="R174" s="104"/>
      <c r="S174" s="164"/>
      <c r="T174" s="164" t="str">
        <f>IFERROR(VLOOKUP(Table_Shelter[[#This Row],[CampName]],CL,2,0),"")</f>
        <v>MMR001CMP047</v>
      </c>
      <c r="U174" s="164" t="str">
        <f>IFERROR(VLOOKUP(Table_Shelter[[#This Row],[CampName]],CL,3,0),"")</f>
        <v>Open</v>
      </c>
      <c r="V174" s="240">
        <f>IFERROR(Table_Shelter[[#This Row],[HH Covered]]/VLOOKUP(Table_Shelter[[#This Row],[CampName]],CL,5,0),"")</f>
        <v>4.7021943573667714E-2</v>
      </c>
      <c r="W174" s="240" t="s">
        <v>1292</v>
      </c>
      <c r="X174" s="164"/>
    </row>
    <row r="175" spans="1:24" ht="15" customHeight="1" x14ac:dyDescent="0.25">
      <c r="A175" s="678">
        <v>41609</v>
      </c>
      <c r="B175" s="162" t="s">
        <v>451</v>
      </c>
      <c r="C175" s="162" t="s">
        <v>459</v>
      </c>
      <c r="D175" s="165" t="s">
        <v>380</v>
      </c>
      <c r="E175" s="307" t="s">
        <v>526</v>
      </c>
      <c r="F175" s="162" t="s">
        <v>124</v>
      </c>
      <c r="G175" s="103">
        <v>1</v>
      </c>
      <c r="H175" s="105"/>
      <c r="I175" s="105"/>
      <c r="J175" s="105">
        <v>5</v>
      </c>
      <c r="K175" s="105">
        <v>5</v>
      </c>
      <c r="L175" s="164"/>
      <c r="M175" s="164"/>
      <c r="N175" s="164"/>
      <c r="O175" s="164"/>
      <c r="P175" s="936">
        <f>IFERROR(IF(VLOOKUP(Table_Shelter[[#This Row],[CampName]],CL,5,0)&lt;Table_Shelter[[#This Row],[HH Covered2]],VLOOKUP(Table_Shelter[[#This Row],[CampName]],CL,5,0),Table_Shelter[[#This Row],[HH Covered2]]),"")</f>
        <v>5</v>
      </c>
      <c r="Q175" s="104">
        <f>IF(Table_Shelter[[#This Row],[Status]]="Open",IF(W175="NO",Table_Shelter[[#This Row],[HH per Shelter]]*(Table_Shelter[[#This Row],['# of Temporary Shelter Units Built]]+Table_Shelter[[#This Row],['# of Temporary Shelter Under  Construction]]+Table_Shelter[[#This Row],['# of Permanent House Under Construction]]),0),0)</f>
        <v>5</v>
      </c>
      <c r="R175" s="104"/>
      <c r="S175" s="164"/>
      <c r="T175" s="164" t="str">
        <f>IFERROR(VLOOKUP(Table_Shelter[[#This Row],[CampName]],CL,2,0),"")</f>
        <v>MMR001CMP183</v>
      </c>
      <c r="U175" s="164" t="str">
        <f>IFERROR(VLOOKUP(Table_Shelter[[#This Row],[CampName]],CL,3,0),"")</f>
        <v>Open</v>
      </c>
      <c r="V175" s="240">
        <f>IFERROR(Table_Shelter[[#This Row],[HH Covered]]/VLOOKUP(Table_Shelter[[#This Row],[CampName]],CL,5,0),"")</f>
        <v>0.625</v>
      </c>
      <c r="W175" s="240" t="s">
        <v>1292</v>
      </c>
      <c r="X175" s="164"/>
    </row>
    <row r="176" spans="1:24" ht="15" customHeight="1" x14ac:dyDescent="0.25">
      <c r="A176" s="678">
        <v>41609</v>
      </c>
      <c r="B176" s="162" t="s">
        <v>451</v>
      </c>
      <c r="C176" s="162" t="s">
        <v>459</v>
      </c>
      <c r="D176" s="165" t="s">
        <v>380</v>
      </c>
      <c r="E176" s="307" t="s">
        <v>310</v>
      </c>
      <c r="F176" s="162" t="s">
        <v>347</v>
      </c>
      <c r="G176" s="103">
        <v>1</v>
      </c>
      <c r="H176" s="105"/>
      <c r="I176" s="105"/>
      <c r="J176" s="105">
        <v>18</v>
      </c>
      <c r="K176" s="105">
        <v>18</v>
      </c>
      <c r="L176" s="164"/>
      <c r="M176" s="164"/>
      <c r="N176" s="164"/>
      <c r="O176" s="164"/>
      <c r="P176" s="936">
        <f>IFERROR(IF(VLOOKUP(Table_Shelter[[#This Row],[CampName]],CL,5,0)&lt;Table_Shelter[[#This Row],[HH Covered2]],VLOOKUP(Table_Shelter[[#This Row],[CampName]],CL,5,0),Table_Shelter[[#This Row],[HH Covered2]]),"")</f>
        <v>18</v>
      </c>
      <c r="Q176" s="104">
        <f>IF(Table_Shelter[[#This Row],[Status]]="Open",IF(W176="NO",Table_Shelter[[#This Row],[HH per Shelter]]*(Table_Shelter[[#This Row],['# of Temporary Shelter Units Built]]+Table_Shelter[[#This Row],['# of Temporary Shelter Under  Construction]]+Table_Shelter[[#This Row],['# of Permanent House Under Construction]]),0),0)</f>
        <v>18</v>
      </c>
      <c r="R176" s="104"/>
      <c r="S176" s="104"/>
      <c r="T176" s="104" t="str">
        <f>IFERROR(VLOOKUP(Table_Shelter[[#This Row],[CampName]],CL,2,0),"")</f>
        <v>MMR001CMP041</v>
      </c>
      <c r="U176" s="104" t="str">
        <f>IFERROR(VLOOKUP(Table_Shelter[[#This Row],[CampName]],CL,3,0),"")</f>
        <v>Open</v>
      </c>
      <c r="V176" s="240">
        <f>IFERROR(Table_Shelter[[#This Row],[HH Covered]]/VLOOKUP(Table_Shelter[[#This Row],[CampName]],CL,5,0),"")</f>
        <v>9.7826086956521743E-2</v>
      </c>
      <c r="W176" s="240" t="s">
        <v>1292</v>
      </c>
      <c r="X176" s="104"/>
    </row>
    <row r="177" spans="1:24" ht="15" customHeight="1" x14ac:dyDescent="0.25">
      <c r="A177" s="678">
        <v>41609</v>
      </c>
      <c r="B177" s="162" t="s">
        <v>451</v>
      </c>
      <c r="C177" s="162" t="s">
        <v>459</v>
      </c>
      <c r="D177" s="165" t="s">
        <v>380</v>
      </c>
      <c r="E177" s="307" t="s">
        <v>526</v>
      </c>
      <c r="F177" s="162" t="s">
        <v>126</v>
      </c>
      <c r="G177" s="103">
        <v>1</v>
      </c>
      <c r="H177" s="105"/>
      <c r="I177" s="105"/>
      <c r="J177" s="105">
        <v>15</v>
      </c>
      <c r="K177" s="105">
        <v>15</v>
      </c>
      <c r="L177" s="164"/>
      <c r="M177" s="164"/>
      <c r="N177" s="164"/>
      <c r="O177" s="164"/>
      <c r="P177" s="936">
        <f>IFERROR(IF(VLOOKUP(Table_Shelter[[#This Row],[CampName]],CL,5,0)&lt;Table_Shelter[[#This Row],[HH Covered2]],VLOOKUP(Table_Shelter[[#This Row],[CampName]],CL,5,0),Table_Shelter[[#This Row],[HH Covered2]]),"")</f>
        <v>15</v>
      </c>
      <c r="Q177" s="104">
        <f>IF(Table_Shelter[[#This Row],[Status]]="Open",IF(W177="NO",Table_Shelter[[#This Row],[HH per Shelter]]*(Table_Shelter[[#This Row],['# of Temporary Shelter Units Built]]+Table_Shelter[[#This Row],['# of Temporary Shelter Under  Construction]]+Table_Shelter[[#This Row],['# of Permanent House Under Construction]]),0),0)</f>
        <v>15</v>
      </c>
      <c r="R177" s="104"/>
      <c r="S177" s="164"/>
      <c r="T177" s="164" t="str">
        <f>IFERROR(VLOOKUP(Table_Shelter[[#This Row],[CampName]],CL,2,0),"")</f>
        <v>MMR001CMP184</v>
      </c>
      <c r="U177" s="164" t="str">
        <f>IFERROR(VLOOKUP(Table_Shelter[[#This Row],[CampName]],CL,3,0),"")</f>
        <v>Open</v>
      </c>
      <c r="V177" s="240">
        <f>IFERROR(Table_Shelter[[#This Row],[HH Covered]]/VLOOKUP(Table_Shelter[[#This Row],[CampName]],CL,5,0),"")</f>
        <v>0.45454545454545453</v>
      </c>
      <c r="W177" s="240" t="s">
        <v>1292</v>
      </c>
      <c r="X177" s="164"/>
    </row>
    <row r="178" spans="1:24" ht="15" customHeight="1" x14ac:dyDescent="0.25">
      <c r="A178" s="722">
        <v>41609</v>
      </c>
      <c r="B178" s="162" t="s">
        <v>451</v>
      </c>
      <c r="C178" s="162" t="s">
        <v>459</v>
      </c>
      <c r="D178" s="165" t="s">
        <v>380</v>
      </c>
      <c r="E178" s="307" t="s">
        <v>310</v>
      </c>
      <c r="F178" s="162" t="s">
        <v>1233</v>
      </c>
      <c r="G178" s="103">
        <v>1</v>
      </c>
      <c r="H178" s="105"/>
      <c r="I178" s="105"/>
      <c r="J178" s="105">
        <v>76</v>
      </c>
      <c r="K178" s="105">
        <v>76</v>
      </c>
      <c r="L178" s="164"/>
      <c r="M178" s="164"/>
      <c r="N178" s="164"/>
      <c r="O178" s="164"/>
      <c r="P178" s="936">
        <f>IFERROR(IF(VLOOKUP(Table_Shelter[[#This Row],[CampName]],CL,5,0)&lt;Table_Shelter[[#This Row],[HH Covered2]],VLOOKUP(Table_Shelter[[#This Row],[CampName]],CL,5,0),Table_Shelter[[#This Row],[HH Covered2]]),"")</f>
        <v>0</v>
      </c>
      <c r="Q178" s="104">
        <f>IF(Table_Shelter[[#This Row],[Status]]="Open",IF(W178="NO",Table_Shelter[[#This Row],[HH per Shelter]]*(Table_Shelter[[#This Row],['# of Temporary Shelter Units Built]]+Table_Shelter[[#This Row],['# of Temporary Shelter Under  Construction]]+Table_Shelter[[#This Row],['# of Permanent House Under Construction]]),0),0)</f>
        <v>0</v>
      </c>
      <c r="R178" s="104"/>
      <c r="S178" s="104"/>
      <c r="T178" s="104" t="str">
        <f>IFERROR(VLOOKUP(Table_Shelter[[#This Row],[CampName]],CL,2,0),"")</f>
        <v>MMR001CMP111</v>
      </c>
      <c r="U178" s="104" t="str">
        <f>IFERROR(VLOOKUP(Table_Shelter[[#This Row],[CampName]],CL,3,0),"")</f>
        <v>Closed</v>
      </c>
      <c r="V178" s="240" t="str">
        <f>IFERROR(Table_Shelter[[#This Row],[HH Covered]]/VLOOKUP(Table_Shelter[[#This Row],[CampName]],CL,5,0),"")</f>
        <v/>
      </c>
      <c r="W178" s="240" t="s">
        <v>1292</v>
      </c>
      <c r="X178" s="104"/>
    </row>
    <row r="179" spans="1:24" ht="15" customHeight="1" x14ac:dyDescent="0.25">
      <c r="A179" s="785"/>
      <c r="B179" s="162" t="s">
        <v>1631</v>
      </c>
      <c r="C179" s="162" t="s">
        <v>1446</v>
      </c>
      <c r="D179" s="169" t="s">
        <v>380</v>
      </c>
      <c r="E179" s="307" t="s">
        <v>310</v>
      </c>
      <c r="F179" s="162" t="s">
        <v>318</v>
      </c>
      <c r="G179" s="786">
        <v>1</v>
      </c>
      <c r="H179" s="787"/>
      <c r="I179" s="787"/>
      <c r="J179" s="787">
        <v>16</v>
      </c>
      <c r="K179" s="787"/>
      <c r="L179" s="789">
        <v>16</v>
      </c>
      <c r="M179" s="788"/>
      <c r="N179" s="788"/>
      <c r="O179" s="788"/>
      <c r="P179" s="935">
        <f>IFERROR(IF(VLOOKUP(Table_Shelter[[#This Row],[CampName]],CL,5,0)&lt;Table_Shelter[[#This Row],[HH Covered2]],VLOOKUP(Table_Shelter[[#This Row],[CampName]],CL,5,0),Table_Shelter[[#This Row],[HH Covered2]]),"")</f>
        <v>16</v>
      </c>
      <c r="Q179" s="789">
        <f>IF(Table_Shelter[[#This Row],[Status]]="Open",IF(W179="NO",Table_Shelter[[#This Row],[HH per Shelter]]*(Table_Shelter[[#This Row],['# of Temporary Shelter Units Built]]+Table_Shelter[[#This Row],['# of Temporary Shelter Under  Construction]]+Table_Shelter[[#This Row],['# of Permanent House Under Construction]]),0),0)</f>
        <v>16</v>
      </c>
      <c r="R179" s="789"/>
      <c r="S179" s="789"/>
      <c r="T179" s="789" t="str">
        <f>IFERROR(VLOOKUP(Table_Shelter[[#This Row],[CampName]],CL,2,0),"")</f>
        <v>MMR001CMP032</v>
      </c>
      <c r="U179" s="789" t="str">
        <f>IFERROR(VLOOKUP(Table_Shelter[[#This Row],[CampName]],CL,3,0),"")</f>
        <v>Open</v>
      </c>
      <c r="V179" s="790">
        <f>IFERROR(Table_Shelter[[#This Row],[HH Covered]]/VLOOKUP(Table_Shelter[[#This Row],[CampName]],CL,5,0),"")</f>
        <v>0.14414414414414414</v>
      </c>
      <c r="W179" s="791" t="s">
        <v>1633</v>
      </c>
      <c r="X179" s="789"/>
    </row>
    <row r="180" spans="1:24" ht="15" customHeight="1" x14ac:dyDescent="0.25">
      <c r="A180" s="722"/>
      <c r="B180" s="164" t="s">
        <v>451</v>
      </c>
      <c r="C180" s="164" t="s">
        <v>459</v>
      </c>
      <c r="D180" s="164" t="s">
        <v>552</v>
      </c>
      <c r="E180" s="168" t="s">
        <v>166</v>
      </c>
      <c r="F180" s="164" t="s">
        <v>169</v>
      </c>
      <c r="G180" s="105">
        <v>1</v>
      </c>
      <c r="H180" s="105"/>
      <c r="I180" s="105"/>
      <c r="J180" s="105">
        <v>10</v>
      </c>
      <c r="K180" s="105">
        <v>10</v>
      </c>
      <c r="L180" s="164"/>
      <c r="M180" s="164"/>
      <c r="N180" s="164"/>
      <c r="O180" s="164"/>
      <c r="P180" s="936">
        <f>IFERROR(IF(VLOOKUP(Table_Shelter[[#This Row],[CampName]],CL,5,0)&lt;Table_Shelter[[#This Row],[HH Covered2]],VLOOKUP(Table_Shelter[[#This Row],[CampName]],CL,5,0),Table_Shelter[[#This Row],[HH Covered2]]),"")</f>
        <v>0</v>
      </c>
      <c r="Q180" s="139">
        <f>IF(Table_Shelter[[#This Row],[Status]]="Open",IF(W180="NO",Table_Shelter[[#This Row],[HH per Shelter]]*(Table_Shelter[[#This Row],['# of Temporary Shelter Units Built]]+Table_Shelter[[#This Row],['# of Temporary Shelter Under  Construction]]+Table_Shelter[[#This Row],['# of Permanent House Under Construction]]),0),0)</f>
        <v>0</v>
      </c>
      <c r="R180" s="104"/>
      <c r="S180" s="164"/>
      <c r="T180" s="163" t="str">
        <f>IFERROR(VLOOKUP(Table_Shelter[[#This Row],[CampName]],CL,2,0),"")</f>
        <v>MMR015CMP010</v>
      </c>
      <c r="U180" s="163" t="str">
        <f>IFERROR(VLOOKUP(Table_Shelter[[#This Row],[CampName]],CL,3,0),"")</f>
        <v>Closed</v>
      </c>
      <c r="V180" s="240" t="str">
        <f>IFERROR(Table_Shelter[[#This Row],[HH Covered]]/VLOOKUP(Table_Shelter[[#This Row],[CampName]],CL,5,0),"")</f>
        <v/>
      </c>
      <c r="W180" s="241" t="s">
        <v>1292</v>
      </c>
      <c r="X180" s="164"/>
    </row>
    <row r="181" spans="1:24" ht="15" customHeight="1" x14ac:dyDescent="0.25">
      <c r="A181" s="723"/>
      <c r="B181" s="162" t="s">
        <v>569</v>
      </c>
      <c r="C181" s="162" t="s">
        <v>459</v>
      </c>
      <c r="D181" s="165" t="s">
        <v>380</v>
      </c>
      <c r="E181" s="307" t="s">
        <v>237</v>
      </c>
      <c r="F181" s="162" t="s">
        <v>253</v>
      </c>
      <c r="G181" s="103">
        <v>1</v>
      </c>
      <c r="H181" s="103"/>
      <c r="I181" s="103"/>
      <c r="J181" s="103">
        <v>60</v>
      </c>
      <c r="K181" s="103">
        <v>60</v>
      </c>
      <c r="L181" s="162"/>
      <c r="M181" s="162"/>
      <c r="N181" s="162"/>
      <c r="O181" s="162"/>
      <c r="P181" s="934">
        <f>IFERROR(IF(VLOOKUP(Table_Shelter[[#This Row],[CampName]],CL,5,0)&lt;Table_Shelter[[#This Row],[HH Covered2]],VLOOKUP(Table_Shelter[[#This Row],[CampName]],CL,5,0),Table_Shelter[[#This Row],[HH Covered2]]),"")</f>
        <v>60</v>
      </c>
      <c r="Q181" s="139">
        <f>IF(Table_Shelter[[#This Row],[Status]]="Open",IF(W181="NO",Table_Shelter[[#This Row],[HH per Shelter]]*(Table_Shelter[[#This Row],['# of Temporary Shelter Units Built]]+Table_Shelter[[#This Row],['# of Temporary Shelter Under  Construction]]+Table_Shelter[[#This Row],['# of Permanent House Under Construction]]),0),0)</f>
        <v>60</v>
      </c>
      <c r="R181" s="102"/>
      <c r="S181" s="162"/>
      <c r="T181" s="163" t="str">
        <f>IFERROR(VLOOKUP(Table_Shelter[[#This Row],[CampName]],CL,2,0),"")</f>
        <v>MMR001CMP018</v>
      </c>
      <c r="U181" s="163" t="str">
        <f>IFERROR(VLOOKUP(Table_Shelter[[#This Row],[CampName]],CL,3,0),"")</f>
        <v>Open</v>
      </c>
      <c r="V181" s="240">
        <f>IFERROR(Table_Shelter[[#This Row],[HH Covered]]/VLOOKUP(Table_Shelter[[#This Row],[CampName]],CL,5,0),"")</f>
        <v>0.3</v>
      </c>
      <c r="W181" s="241" t="s">
        <v>1292</v>
      </c>
      <c r="X181" s="164"/>
    </row>
    <row r="182" spans="1:24" ht="15" customHeight="1" x14ac:dyDescent="0.25">
      <c r="A182" s="722"/>
      <c r="B182" s="103" t="s">
        <v>451</v>
      </c>
      <c r="C182" s="103" t="s">
        <v>459</v>
      </c>
      <c r="D182" s="169" t="s">
        <v>380</v>
      </c>
      <c r="E182" s="170" t="s">
        <v>526</v>
      </c>
      <c r="F182" s="103" t="s">
        <v>1115</v>
      </c>
      <c r="G182" s="103">
        <v>1</v>
      </c>
      <c r="H182" s="105"/>
      <c r="I182" s="105"/>
      <c r="J182" s="105">
        <v>50</v>
      </c>
      <c r="K182" s="105">
        <v>50</v>
      </c>
      <c r="L182" s="105"/>
      <c r="M182" s="105"/>
      <c r="N182" s="105"/>
      <c r="O182" s="105"/>
      <c r="P182" s="936">
        <f>IFERROR(IF(VLOOKUP(Table_Shelter[[#This Row],[CampName]],CL,5,0)&lt;Table_Shelter[[#This Row],[HH Covered2]],VLOOKUP(Table_Shelter[[#This Row],[CampName]],CL,5,0),Table_Shelter[[#This Row],[HH Covered2]]),"")</f>
        <v>0</v>
      </c>
      <c r="Q182" s="104">
        <f>IF(Table_Shelter[[#This Row],[Status]]="Open",IF(W182="NO",Table_Shelter[[#This Row],[HH per Shelter]]*(Table_Shelter[[#This Row],['# of Temporary Shelter Units Built]]+Table_Shelter[[#This Row],['# of Temporary Shelter Under  Construction]]+Table_Shelter[[#This Row],['# of Permanent House Under Construction]]),0),0)</f>
        <v>0</v>
      </c>
      <c r="R182" s="104"/>
      <c r="S182" s="104"/>
      <c r="T182" s="104" t="str">
        <f>IFERROR(VLOOKUP(Table_Shelter[[#This Row],[CampName]],CL,2,0),"")</f>
        <v>MMR001CMP231</v>
      </c>
      <c r="U182" s="104" t="str">
        <f>IFERROR(VLOOKUP(Table_Shelter[[#This Row],[CampName]],CL,3,0),"")</f>
        <v>Closed</v>
      </c>
      <c r="V182" s="241" t="str">
        <f>IFERROR(Table_Shelter[[#This Row],[HH Covered]]/VLOOKUP(Table_Shelter[[#This Row],[CampName]],CL,5,0),"")</f>
        <v/>
      </c>
      <c r="W182" s="240" t="s">
        <v>1292</v>
      </c>
      <c r="X182" s="104"/>
    </row>
    <row r="183" spans="1:24" ht="15" customHeight="1" x14ac:dyDescent="0.25">
      <c r="A183" s="483"/>
      <c r="B183" s="162" t="s">
        <v>451</v>
      </c>
      <c r="C183" s="162" t="s">
        <v>459</v>
      </c>
      <c r="D183" s="162" t="s">
        <v>380</v>
      </c>
      <c r="E183" s="307" t="s">
        <v>237</v>
      </c>
      <c r="F183" s="162" t="s">
        <v>257</v>
      </c>
      <c r="G183" s="103">
        <v>1</v>
      </c>
      <c r="H183" s="103"/>
      <c r="I183" s="103"/>
      <c r="J183" s="103">
        <v>5</v>
      </c>
      <c r="K183" s="103">
        <v>5</v>
      </c>
      <c r="L183" s="162"/>
      <c r="M183" s="162"/>
      <c r="N183" s="162"/>
      <c r="O183" s="162"/>
      <c r="P183" s="934">
        <f>IFERROR(IF(VLOOKUP(Table_Shelter[[#This Row],[CampName]],CL,5,0)&lt;Table_Shelter[[#This Row],[HH Covered2]],VLOOKUP(Table_Shelter[[#This Row],[CampName]],CL,5,0),Table_Shelter[[#This Row],[HH Covered2]]),"")</f>
        <v>5</v>
      </c>
      <c r="Q183" s="139">
        <f>IF(Table_Shelter[[#This Row],[Status]]="Open",IF(W183="NO",Table_Shelter[[#This Row],[HH per Shelter]]*(Table_Shelter[[#This Row],['# of Temporary Shelter Units Built]]+Table_Shelter[[#This Row],['# of Temporary Shelter Under  Construction]]+Table_Shelter[[#This Row],['# of Permanent House Under Construction]]),0),0)</f>
        <v>5</v>
      </c>
      <c r="R183" s="102"/>
      <c r="S183" s="162"/>
      <c r="T183" s="163" t="str">
        <f>IFERROR(VLOOKUP(Table_Shelter[[#This Row],[CampName]],CL,2,0),"")</f>
        <v>MMR001CMP013</v>
      </c>
      <c r="U183" s="163" t="str">
        <f>IFERROR(VLOOKUP(Table_Shelter[[#This Row],[CampName]],CL,3,0),"")</f>
        <v>Open</v>
      </c>
      <c r="V183" s="240">
        <f>IFERROR(Table_Shelter[[#This Row],[HH Covered]]/VLOOKUP(Table_Shelter[[#This Row],[CampName]],CL,5,0),"")</f>
        <v>0.11904761904761904</v>
      </c>
      <c r="W183" s="240" t="s">
        <v>1292</v>
      </c>
      <c r="X183" s="164"/>
    </row>
    <row r="184" spans="1:24" ht="15" customHeight="1" x14ac:dyDescent="0.25">
      <c r="A184" s="483"/>
      <c r="B184" s="162" t="s">
        <v>451</v>
      </c>
      <c r="C184" s="162" t="s">
        <v>459</v>
      </c>
      <c r="D184" s="162" t="s">
        <v>380</v>
      </c>
      <c r="E184" s="307" t="s">
        <v>173</v>
      </c>
      <c r="F184" s="162" t="s">
        <v>174</v>
      </c>
      <c r="G184" s="103">
        <v>1</v>
      </c>
      <c r="H184" s="103"/>
      <c r="I184" s="103"/>
      <c r="J184" s="103">
        <v>15</v>
      </c>
      <c r="K184" s="103">
        <v>15</v>
      </c>
      <c r="L184" s="162"/>
      <c r="M184" s="162"/>
      <c r="N184" s="162"/>
      <c r="O184" s="162"/>
      <c r="P184" s="934">
        <f>IFERROR(IF(VLOOKUP(Table_Shelter[[#This Row],[CampName]],CL,5,0)&lt;Table_Shelter[[#This Row],[HH Covered2]],VLOOKUP(Table_Shelter[[#This Row],[CampName]],CL,5,0),Table_Shelter[[#This Row],[HH Covered2]]),"")</f>
        <v>13</v>
      </c>
      <c r="Q184" s="139">
        <f>IF(Table_Shelter[[#This Row],[Status]]="Open",IF(W184="NO",Table_Shelter[[#This Row],[HH per Shelter]]*(Table_Shelter[[#This Row],['# of Temporary Shelter Units Built]]+Table_Shelter[[#This Row],['# of Temporary Shelter Under  Construction]]+Table_Shelter[[#This Row],['# of Permanent House Under Construction]]),0),0)</f>
        <v>15</v>
      </c>
      <c r="R184" s="102"/>
      <c r="S184" s="162"/>
      <c r="T184" s="163" t="str">
        <f>IFERROR(VLOOKUP(Table_Shelter[[#This Row],[CampName]],CL,2,0),"")</f>
        <v>MMR001CMP078</v>
      </c>
      <c r="U184" s="163" t="str">
        <f>IFERROR(VLOOKUP(Table_Shelter[[#This Row],[CampName]],CL,3,0),"")</f>
        <v>Open</v>
      </c>
      <c r="V184" s="240">
        <f>IFERROR(Table_Shelter[[#This Row],[HH Covered]]/VLOOKUP(Table_Shelter[[#This Row],[CampName]],CL,5,0),"")</f>
        <v>1</v>
      </c>
      <c r="W184" s="240" t="s">
        <v>1292</v>
      </c>
      <c r="X184" s="164"/>
    </row>
    <row r="185" spans="1:24" ht="15" customHeight="1" x14ac:dyDescent="0.25">
      <c r="A185" s="483"/>
      <c r="B185" s="162" t="s">
        <v>846</v>
      </c>
      <c r="C185" s="162" t="s">
        <v>459</v>
      </c>
      <c r="D185" s="165" t="s">
        <v>380</v>
      </c>
      <c r="E185" s="307" t="s">
        <v>237</v>
      </c>
      <c r="F185" s="162" t="s">
        <v>240</v>
      </c>
      <c r="G185" s="103">
        <v>1</v>
      </c>
      <c r="H185" s="103"/>
      <c r="I185" s="103"/>
      <c r="J185" s="103">
        <v>9</v>
      </c>
      <c r="K185" s="103">
        <v>9</v>
      </c>
      <c r="L185" s="162"/>
      <c r="M185" s="162"/>
      <c r="N185" s="162"/>
      <c r="O185" s="162"/>
      <c r="P185" s="934">
        <f>IFERROR(IF(VLOOKUP(Table_Shelter[[#This Row],[CampName]],CL,5,0)&lt;Table_Shelter[[#This Row],[HH Covered2]],VLOOKUP(Table_Shelter[[#This Row],[CampName]],CL,5,0),Table_Shelter[[#This Row],[HH Covered2]]),"")</f>
        <v>9</v>
      </c>
      <c r="Q185" s="139">
        <f>IF(Table_Shelter[[#This Row],[Status]]="Open",IF(W185="NO",Table_Shelter[[#This Row],[HH per Shelter]]*(Table_Shelter[[#This Row],['# of Temporary Shelter Units Built]]+Table_Shelter[[#This Row],['# of Temporary Shelter Under  Construction]]+Table_Shelter[[#This Row],['# of Permanent House Under Construction]]),0),0)</f>
        <v>9</v>
      </c>
      <c r="R185" s="102"/>
      <c r="S185" s="162"/>
      <c r="T185" s="163" t="str">
        <f>IFERROR(VLOOKUP(Table_Shelter[[#This Row],[CampName]],CL,2,0),"")</f>
        <v>MMR001CMP015</v>
      </c>
      <c r="U185" s="163" t="str">
        <f>IFERROR(VLOOKUP(Table_Shelter[[#This Row],[CampName]],CL,3,0),"")</f>
        <v>Open</v>
      </c>
      <c r="V185" s="240">
        <f>IFERROR(Table_Shelter[[#This Row],[HH Covered]]/VLOOKUP(Table_Shelter[[#This Row],[CampName]],CL,5,0),"")</f>
        <v>8.5714285714285715E-2</v>
      </c>
      <c r="W185" s="240" t="s">
        <v>1292</v>
      </c>
      <c r="X185" s="164"/>
    </row>
    <row r="186" spans="1:24" ht="15" customHeight="1" x14ac:dyDescent="0.25">
      <c r="A186" s="483"/>
      <c r="B186" s="162" t="s">
        <v>569</v>
      </c>
      <c r="C186" s="162" t="s">
        <v>459</v>
      </c>
      <c r="D186" s="162" t="s">
        <v>380</v>
      </c>
      <c r="E186" s="307" t="s">
        <v>237</v>
      </c>
      <c r="F186" s="162" t="s">
        <v>240</v>
      </c>
      <c r="G186" s="103">
        <v>1</v>
      </c>
      <c r="H186" s="103"/>
      <c r="I186" s="103"/>
      <c r="J186" s="103">
        <v>5</v>
      </c>
      <c r="K186" s="103">
        <v>5</v>
      </c>
      <c r="L186" s="162"/>
      <c r="M186" s="162"/>
      <c r="N186" s="162"/>
      <c r="O186" s="162"/>
      <c r="P186" s="934">
        <f>IFERROR(IF(VLOOKUP(Table_Shelter[[#This Row],[CampName]],CL,5,0)&lt;Table_Shelter[[#This Row],[HH Covered2]],VLOOKUP(Table_Shelter[[#This Row],[CampName]],CL,5,0),Table_Shelter[[#This Row],[HH Covered2]]),"")</f>
        <v>5</v>
      </c>
      <c r="Q186" s="139">
        <f>IF(Table_Shelter[[#This Row],[Status]]="Open",IF(W186="NO",Table_Shelter[[#This Row],[HH per Shelter]]*(Table_Shelter[[#This Row],['# of Temporary Shelter Units Built]]+Table_Shelter[[#This Row],['# of Temporary Shelter Under  Construction]]+Table_Shelter[[#This Row],['# of Permanent House Under Construction]]),0),0)</f>
        <v>5</v>
      </c>
      <c r="R186" s="102"/>
      <c r="S186" s="162"/>
      <c r="T186" s="163" t="str">
        <f>IFERROR(VLOOKUP(Table_Shelter[[#This Row],[CampName]],CL,2,0),"")</f>
        <v>MMR001CMP015</v>
      </c>
      <c r="U186" s="163" t="str">
        <f>IFERROR(VLOOKUP(Table_Shelter[[#This Row],[CampName]],CL,3,0),"")</f>
        <v>Open</v>
      </c>
      <c r="V186" s="240">
        <f>IFERROR(Table_Shelter[[#This Row],[HH Covered]]/VLOOKUP(Table_Shelter[[#This Row],[CampName]],CL,5,0),"")</f>
        <v>4.7619047619047616E-2</v>
      </c>
      <c r="W186" s="240" t="s">
        <v>1292</v>
      </c>
      <c r="X186" s="164"/>
    </row>
    <row r="187" spans="1:24" ht="15" customHeight="1" x14ac:dyDescent="0.25">
      <c r="A187" s="483"/>
      <c r="B187" s="162" t="s">
        <v>451</v>
      </c>
      <c r="C187" s="162" t="s">
        <v>459</v>
      </c>
      <c r="D187" s="162" t="s">
        <v>380</v>
      </c>
      <c r="E187" s="307" t="s">
        <v>237</v>
      </c>
      <c r="F187" s="162" t="s">
        <v>240</v>
      </c>
      <c r="G187" s="103">
        <v>1</v>
      </c>
      <c r="H187" s="103"/>
      <c r="I187" s="103"/>
      <c r="J187" s="103">
        <v>10</v>
      </c>
      <c r="K187" s="103">
        <v>10</v>
      </c>
      <c r="L187" s="162"/>
      <c r="M187" s="162"/>
      <c r="N187" s="162"/>
      <c r="O187" s="162"/>
      <c r="P187" s="934">
        <f>IFERROR(IF(VLOOKUP(Table_Shelter[[#This Row],[CampName]],CL,5,0)&lt;Table_Shelter[[#This Row],[HH Covered2]],VLOOKUP(Table_Shelter[[#This Row],[CampName]],CL,5,0),Table_Shelter[[#This Row],[HH Covered2]]),"")</f>
        <v>10</v>
      </c>
      <c r="Q187" s="139">
        <f>IF(Table_Shelter[[#This Row],[Status]]="Open",IF(W187="NO",Table_Shelter[[#This Row],[HH per Shelter]]*(Table_Shelter[[#This Row],['# of Temporary Shelter Units Built]]+Table_Shelter[[#This Row],['# of Temporary Shelter Under  Construction]]+Table_Shelter[[#This Row],['# of Permanent House Under Construction]]),0),0)</f>
        <v>10</v>
      </c>
      <c r="R187" s="102"/>
      <c r="S187" s="162"/>
      <c r="T187" s="163" t="str">
        <f>IFERROR(VLOOKUP(Table_Shelter[[#This Row],[CampName]],CL,2,0),"")</f>
        <v>MMR001CMP015</v>
      </c>
      <c r="U187" s="163" t="str">
        <f>IFERROR(VLOOKUP(Table_Shelter[[#This Row],[CampName]],CL,3,0),"")</f>
        <v>Open</v>
      </c>
      <c r="V187" s="240">
        <f>IFERROR(Table_Shelter[[#This Row],[HH Covered]]/VLOOKUP(Table_Shelter[[#This Row],[CampName]],CL,5,0),"")</f>
        <v>9.5238095238095233E-2</v>
      </c>
      <c r="W187" s="240" t="s">
        <v>1292</v>
      </c>
      <c r="X187" s="164"/>
    </row>
    <row r="188" spans="1:24" ht="15" customHeight="1" x14ac:dyDescent="0.25">
      <c r="A188" s="483"/>
      <c r="B188" s="162" t="s">
        <v>569</v>
      </c>
      <c r="C188" s="162" t="s">
        <v>459</v>
      </c>
      <c r="D188" s="162" t="s">
        <v>380</v>
      </c>
      <c r="E188" s="307" t="s">
        <v>237</v>
      </c>
      <c r="F188" s="162" t="s">
        <v>285</v>
      </c>
      <c r="G188" s="103">
        <v>1</v>
      </c>
      <c r="H188" s="103"/>
      <c r="I188" s="103"/>
      <c r="J188" s="103">
        <v>60</v>
      </c>
      <c r="K188" s="103">
        <v>60</v>
      </c>
      <c r="L188" s="162"/>
      <c r="M188" s="162"/>
      <c r="N188" s="162"/>
      <c r="O188" s="162"/>
      <c r="P188" s="934">
        <f>IFERROR(IF(VLOOKUP(Table_Shelter[[#This Row],[CampName]],CL,5,0)&lt;Table_Shelter[[#This Row],[HH Covered2]],VLOOKUP(Table_Shelter[[#This Row],[CampName]],CL,5,0),Table_Shelter[[#This Row],[HH Covered2]]),"")</f>
        <v>60</v>
      </c>
      <c r="Q188" s="139">
        <f>IF(Table_Shelter[[#This Row],[Status]]="Open",IF(W188="NO",Table_Shelter[[#This Row],[HH per Shelter]]*(Table_Shelter[[#This Row],['# of Temporary Shelter Units Built]]+Table_Shelter[[#This Row],['# of Temporary Shelter Under  Construction]]+Table_Shelter[[#This Row],['# of Permanent House Under Construction]]),0),0)</f>
        <v>60</v>
      </c>
      <c r="R188" s="102"/>
      <c r="S188" s="162"/>
      <c r="T188" s="163" t="str">
        <f>IFERROR(VLOOKUP(Table_Shelter[[#This Row],[CampName]],CL,2,0),"")</f>
        <v>MMR001CMP014</v>
      </c>
      <c r="U188" s="163" t="str">
        <f>IFERROR(VLOOKUP(Table_Shelter[[#This Row],[CampName]],CL,3,0),"")</f>
        <v>Open</v>
      </c>
      <c r="V188" s="240">
        <f>IFERROR(Table_Shelter[[#This Row],[HH Covered]]/VLOOKUP(Table_Shelter[[#This Row],[CampName]],CL,5,0),"")</f>
        <v>0.43165467625899279</v>
      </c>
      <c r="W188" s="240" t="s">
        <v>1292</v>
      </c>
      <c r="X188" s="164"/>
    </row>
    <row r="189" spans="1:24" ht="15" customHeight="1" x14ac:dyDescent="0.25">
      <c r="A189" s="723"/>
      <c r="B189" s="162" t="s">
        <v>451</v>
      </c>
      <c r="C189" s="162" t="s">
        <v>459</v>
      </c>
      <c r="D189" s="162" t="s">
        <v>380</v>
      </c>
      <c r="E189" s="307" t="s">
        <v>237</v>
      </c>
      <c r="F189" s="162" t="s">
        <v>285</v>
      </c>
      <c r="G189" s="103">
        <v>1</v>
      </c>
      <c r="H189" s="103"/>
      <c r="I189" s="103"/>
      <c r="J189" s="103">
        <v>60</v>
      </c>
      <c r="K189" s="103">
        <v>60</v>
      </c>
      <c r="L189" s="162"/>
      <c r="M189" s="162"/>
      <c r="N189" s="162"/>
      <c r="O189" s="162"/>
      <c r="P189" s="934">
        <f>IFERROR(IF(VLOOKUP(Table_Shelter[[#This Row],[CampName]],CL,5,0)&lt;Table_Shelter[[#This Row],[HH Covered2]],VLOOKUP(Table_Shelter[[#This Row],[CampName]],CL,5,0),Table_Shelter[[#This Row],[HH Covered2]]),"")</f>
        <v>60</v>
      </c>
      <c r="Q189" s="139">
        <f>IF(Table_Shelter[[#This Row],[Status]]="Open",IF(W189="NO",Table_Shelter[[#This Row],[HH per Shelter]]*(Table_Shelter[[#This Row],['# of Temporary Shelter Units Built]]+Table_Shelter[[#This Row],['# of Temporary Shelter Under  Construction]]+Table_Shelter[[#This Row],['# of Permanent House Under Construction]]),0),0)</f>
        <v>60</v>
      </c>
      <c r="R189" s="102"/>
      <c r="S189" s="162"/>
      <c r="T189" s="163" t="str">
        <f>IFERROR(VLOOKUP(Table_Shelter[[#This Row],[CampName]],CL,2,0),"")</f>
        <v>MMR001CMP014</v>
      </c>
      <c r="U189" s="163" t="str">
        <f>IFERROR(VLOOKUP(Table_Shelter[[#This Row],[CampName]],CL,3,0),"")</f>
        <v>Open</v>
      </c>
      <c r="V189" s="240">
        <f>IFERROR(Table_Shelter[[#This Row],[HH Covered]]/VLOOKUP(Table_Shelter[[#This Row],[CampName]],CL,5,0),"")</f>
        <v>0.43165467625899279</v>
      </c>
      <c r="W189" s="240" t="s">
        <v>1292</v>
      </c>
      <c r="X189" s="164"/>
    </row>
    <row r="190" spans="1:24" ht="15" customHeight="1" x14ac:dyDescent="0.25">
      <c r="A190" s="722"/>
      <c r="B190" s="162" t="s">
        <v>451</v>
      </c>
      <c r="C190" s="162" t="s">
        <v>459</v>
      </c>
      <c r="D190" s="169" t="s">
        <v>380</v>
      </c>
      <c r="E190" s="307" t="s">
        <v>185</v>
      </c>
      <c r="F190" s="162" t="s">
        <v>186</v>
      </c>
      <c r="G190" s="103">
        <v>1</v>
      </c>
      <c r="H190" s="105"/>
      <c r="I190" s="105"/>
      <c r="J190" s="105">
        <v>27</v>
      </c>
      <c r="K190" s="105">
        <v>27</v>
      </c>
      <c r="L190" s="164"/>
      <c r="M190" s="164"/>
      <c r="N190" s="164"/>
      <c r="O190" s="164"/>
      <c r="P190" s="936">
        <f>IFERROR(IF(VLOOKUP(Table_Shelter[[#This Row],[CampName]],CL,5,0)&lt;Table_Shelter[[#This Row],[HH Covered2]],VLOOKUP(Table_Shelter[[#This Row],[CampName]],CL,5,0),Table_Shelter[[#This Row],[HH Covered2]]),"")</f>
        <v>27</v>
      </c>
      <c r="Q190" s="104">
        <f>IF(Table_Shelter[[#This Row],[Status]]="Open",IF(W190="NO",Table_Shelter[[#This Row],[HH per Shelter]]*(Table_Shelter[[#This Row],['# of Temporary Shelter Units Built]]+Table_Shelter[[#This Row],['# of Temporary Shelter Under  Construction]]+Table_Shelter[[#This Row],['# of Permanent House Under Construction]]),0),0)</f>
        <v>27</v>
      </c>
      <c r="R190" s="104"/>
      <c r="S190" s="104"/>
      <c r="T190" s="104" t="str">
        <f>IFERROR(VLOOKUP(Table_Shelter[[#This Row],[CampName]],CL,2,0),"")</f>
        <v>MMR001CMP071</v>
      </c>
      <c r="U190" s="104" t="str">
        <f>IFERROR(VLOOKUP(Table_Shelter[[#This Row],[CampName]],CL,3,0),"")</f>
        <v>Open</v>
      </c>
      <c r="V190" s="240">
        <f>IFERROR(Table_Shelter[[#This Row],[HH Covered]]/VLOOKUP(Table_Shelter[[#This Row],[CampName]],CL,5,0),"")</f>
        <v>0.69230769230769229</v>
      </c>
      <c r="W190" s="240" t="s">
        <v>1292</v>
      </c>
      <c r="X190" s="104"/>
    </row>
    <row r="191" spans="1:24" ht="15" customHeight="1" x14ac:dyDescent="0.25">
      <c r="A191" s="482"/>
      <c r="B191" s="163" t="s">
        <v>569</v>
      </c>
      <c r="C191" s="163" t="s">
        <v>459</v>
      </c>
      <c r="D191" s="163" t="s">
        <v>380</v>
      </c>
      <c r="E191" s="167" t="s">
        <v>310</v>
      </c>
      <c r="F191" s="163" t="s">
        <v>324</v>
      </c>
      <c r="G191" s="138">
        <v>1</v>
      </c>
      <c r="H191" s="138"/>
      <c r="I191" s="138"/>
      <c r="J191" s="138">
        <v>50</v>
      </c>
      <c r="K191" s="138">
        <v>50</v>
      </c>
      <c r="L191" s="163"/>
      <c r="M191" s="163"/>
      <c r="N191" s="163"/>
      <c r="O191" s="163"/>
      <c r="P191" s="939">
        <f>IFERROR(IF(VLOOKUP(Table_Shelter[[#This Row],[CampName]],CL,5,0)&lt;Table_Shelter[[#This Row],[HH Covered2]],VLOOKUP(Table_Shelter[[#This Row],[CampName]],CL,5,0),Table_Shelter[[#This Row],[HH Covered2]]),"")</f>
        <v>50</v>
      </c>
      <c r="Q191" s="139">
        <f>IF(Table_Shelter[[#This Row],[Status]]="Open",IF(W191="NO",Table_Shelter[[#This Row],[HH per Shelter]]*(Table_Shelter[[#This Row],['# of Temporary Shelter Units Built]]+Table_Shelter[[#This Row],['# of Temporary Shelter Under  Construction]]+Table_Shelter[[#This Row],['# of Permanent House Under Construction]]),0),0)</f>
        <v>50</v>
      </c>
      <c r="R191" s="139"/>
      <c r="S191" s="163"/>
      <c r="T191" s="163" t="str">
        <f>IFERROR(VLOOKUP(Table_Shelter[[#This Row],[CampName]],CL,2,0),"")</f>
        <v>MMR001CMP040</v>
      </c>
      <c r="U191" s="163" t="str">
        <f>IFERROR(VLOOKUP(Table_Shelter[[#This Row],[CampName]],CL,3,0),"")</f>
        <v>Open</v>
      </c>
      <c r="V191" s="240">
        <f>IFERROR(Table_Shelter[[#This Row],[HH Covered]]/VLOOKUP(Table_Shelter[[#This Row],[CampName]],CL,5,0),"")</f>
        <v>0.10040160642570281</v>
      </c>
      <c r="W191" s="240" t="s">
        <v>1292</v>
      </c>
      <c r="X191" s="164"/>
    </row>
    <row r="192" spans="1:24" ht="15" customHeight="1" x14ac:dyDescent="0.25">
      <c r="A192" s="482"/>
      <c r="B192" s="163" t="s">
        <v>451</v>
      </c>
      <c r="C192" s="163" t="s">
        <v>459</v>
      </c>
      <c r="D192" s="163" t="s">
        <v>380</v>
      </c>
      <c r="E192" s="167" t="s">
        <v>310</v>
      </c>
      <c r="F192" s="163" t="s">
        <v>324</v>
      </c>
      <c r="G192" s="138">
        <v>1</v>
      </c>
      <c r="H192" s="138"/>
      <c r="I192" s="138"/>
      <c r="J192" s="138">
        <v>400</v>
      </c>
      <c r="K192" s="138">
        <v>400</v>
      </c>
      <c r="L192" s="163"/>
      <c r="M192" s="163"/>
      <c r="N192" s="163"/>
      <c r="O192" s="163"/>
      <c r="P192" s="939">
        <f>IFERROR(IF(VLOOKUP(Table_Shelter[[#This Row],[CampName]],CL,5,0)&lt;Table_Shelter[[#This Row],[HH Covered2]],VLOOKUP(Table_Shelter[[#This Row],[CampName]],CL,5,0),Table_Shelter[[#This Row],[HH Covered2]]),"")</f>
        <v>400</v>
      </c>
      <c r="Q192" s="139">
        <f>IF(Table_Shelter[[#This Row],[Status]]="Open",IF(W192="NO",Table_Shelter[[#This Row],[HH per Shelter]]*(Table_Shelter[[#This Row],['# of Temporary Shelter Units Built]]+Table_Shelter[[#This Row],['# of Temporary Shelter Under  Construction]]+Table_Shelter[[#This Row],['# of Permanent House Under Construction]]),0),0)</f>
        <v>400</v>
      </c>
      <c r="R192" s="139"/>
      <c r="S192" s="163"/>
      <c r="T192" s="163" t="str">
        <f>IFERROR(VLOOKUP(Table_Shelter[[#This Row],[CampName]],CL,2,0),"")</f>
        <v>MMR001CMP040</v>
      </c>
      <c r="U192" s="163" t="str">
        <f>IFERROR(VLOOKUP(Table_Shelter[[#This Row],[CampName]],CL,3,0),"")</f>
        <v>Open</v>
      </c>
      <c r="V192" s="240">
        <f>IFERROR(Table_Shelter[[#This Row],[HH Covered]]/VLOOKUP(Table_Shelter[[#This Row],[CampName]],CL,5,0),"")</f>
        <v>0.80321285140562249</v>
      </c>
      <c r="W192" s="240" t="s">
        <v>1292</v>
      </c>
      <c r="X192" s="164"/>
    </row>
    <row r="193" spans="1:24" ht="15" customHeight="1" x14ac:dyDescent="0.25">
      <c r="A193" s="482"/>
      <c r="B193" s="163" t="s">
        <v>849</v>
      </c>
      <c r="C193" s="163" t="s">
        <v>459</v>
      </c>
      <c r="D193" s="163" t="s">
        <v>380</v>
      </c>
      <c r="E193" s="167" t="s">
        <v>310</v>
      </c>
      <c r="F193" s="163" t="s">
        <v>324</v>
      </c>
      <c r="G193" s="138">
        <v>1</v>
      </c>
      <c r="H193" s="138"/>
      <c r="I193" s="138"/>
      <c r="J193" s="138">
        <v>10</v>
      </c>
      <c r="K193" s="138">
        <v>10</v>
      </c>
      <c r="L193" s="163"/>
      <c r="M193" s="163"/>
      <c r="N193" s="163"/>
      <c r="O193" s="163"/>
      <c r="P193" s="939">
        <f>IFERROR(IF(VLOOKUP(Table_Shelter[[#This Row],[CampName]],CL,5,0)&lt;Table_Shelter[[#This Row],[HH Covered2]],VLOOKUP(Table_Shelter[[#This Row],[CampName]],CL,5,0),Table_Shelter[[#This Row],[HH Covered2]]),"")</f>
        <v>10</v>
      </c>
      <c r="Q193" s="139">
        <f>IF(Table_Shelter[[#This Row],[Status]]="Open",IF(W193="NO",Table_Shelter[[#This Row],[HH per Shelter]]*(Table_Shelter[[#This Row],['# of Temporary Shelter Units Built]]+Table_Shelter[[#This Row],['# of Temporary Shelter Under  Construction]]+Table_Shelter[[#This Row],['# of Permanent House Under Construction]]),0),0)</f>
        <v>10</v>
      </c>
      <c r="R193" s="139"/>
      <c r="S193" s="163"/>
      <c r="T193" s="163" t="str">
        <f>IFERROR(VLOOKUP(Table_Shelter[[#This Row],[CampName]],CL,2,0),"")</f>
        <v>MMR001CMP040</v>
      </c>
      <c r="U193" s="163" t="str">
        <f>IFERROR(VLOOKUP(Table_Shelter[[#This Row],[CampName]],CL,3,0),"")</f>
        <v>Open</v>
      </c>
      <c r="V193" s="240">
        <f>IFERROR(Table_Shelter[[#This Row],[HH Covered]]/VLOOKUP(Table_Shelter[[#This Row],[CampName]],CL,5,0),"")</f>
        <v>2.0080321285140562E-2</v>
      </c>
      <c r="W193" s="240" t="s">
        <v>1292</v>
      </c>
      <c r="X193" s="164"/>
    </row>
    <row r="194" spans="1:24" ht="15" customHeight="1" x14ac:dyDescent="0.25">
      <c r="A194" s="678"/>
      <c r="B194" s="164" t="s">
        <v>451</v>
      </c>
      <c r="C194" s="164" t="s">
        <v>459</v>
      </c>
      <c r="D194" s="164" t="s">
        <v>380</v>
      </c>
      <c r="E194" s="168" t="s">
        <v>310</v>
      </c>
      <c r="F194" s="164" t="s">
        <v>326</v>
      </c>
      <c r="G194" s="105">
        <v>1</v>
      </c>
      <c r="H194" s="105"/>
      <c r="I194" s="105"/>
      <c r="J194" s="105">
        <v>30</v>
      </c>
      <c r="K194" s="105">
        <v>30</v>
      </c>
      <c r="L194" s="164"/>
      <c r="M194" s="164"/>
      <c r="N194" s="164"/>
      <c r="O194" s="164"/>
      <c r="P194" s="936">
        <f>IFERROR(IF(VLOOKUP(Table_Shelter[[#This Row],[CampName]],CL,5,0)&lt;Table_Shelter[[#This Row],[HH Covered2]],VLOOKUP(Table_Shelter[[#This Row],[CampName]],CL,5,0),Table_Shelter[[#This Row],[HH Covered2]]),"")</f>
        <v>30</v>
      </c>
      <c r="Q194" s="139">
        <f>IF(Table_Shelter[[#This Row],[Status]]="Open",IF(W194="NO",Table_Shelter[[#This Row],[HH per Shelter]]*(Table_Shelter[[#This Row],['# of Temporary Shelter Units Built]]+Table_Shelter[[#This Row],['# of Temporary Shelter Under  Construction]]+Table_Shelter[[#This Row],['# of Permanent House Under Construction]]),0),0)</f>
        <v>30</v>
      </c>
      <c r="R194" s="104"/>
      <c r="S194" s="164"/>
      <c r="T194" s="163" t="str">
        <f>IFERROR(VLOOKUP(Table_Shelter[[#This Row],[CampName]],CL,2,0),"")</f>
        <v>MMR001CMP039</v>
      </c>
      <c r="U194" s="163" t="str">
        <f>IFERROR(VLOOKUP(Table_Shelter[[#This Row],[CampName]],CL,3,0),"")</f>
        <v>Open</v>
      </c>
      <c r="V194" s="240">
        <f>IFERROR(Table_Shelter[[#This Row],[HH Covered]]/VLOOKUP(Table_Shelter[[#This Row],[CampName]],CL,5,0),"")</f>
        <v>0.66666666666666663</v>
      </c>
      <c r="W194" s="240" t="s">
        <v>1292</v>
      </c>
      <c r="X194" s="164"/>
    </row>
    <row r="195" spans="1:24" ht="15" customHeight="1" x14ac:dyDescent="0.25">
      <c r="A195" s="678"/>
      <c r="B195" s="164" t="s">
        <v>846</v>
      </c>
      <c r="C195" s="164" t="s">
        <v>459</v>
      </c>
      <c r="D195" s="164" t="s">
        <v>380</v>
      </c>
      <c r="E195" s="168" t="s">
        <v>151</v>
      </c>
      <c r="F195" s="164" t="s">
        <v>884</v>
      </c>
      <c r="G195" s="105">
        <v>1</v>
      </c>
      <c r="H195" s="105"/>
      <c r="I195" s="105"/>
      <c r="J195" s="105">
        <v>20</v>
      </c>
      <c r="K195" s="105">
        <v>20</v>
      </c>
      <c r="L195" s="164"/>
      <c r="M195" s="164"/>
      <c r="N195" s="164"/>
      <c r="O195" s="164"/>
      <c r="P195" s="936">
        <f>IFERROR(IF(VLOOKUP(Table_Shelter[[#This Row],[CampName]],CL,5,0)&lt;Table_Shelter[[#This Row],[HH Covered2]],VLOOKUP(Table_Shelter[[#This Row],[CampName]],CL,5,0),Table_Shelter[[#This Row],[HH Covered2]]),"")</f>
        <v>20</v>
      </c>
      <c r="Q195" s="139">
        <f>IF(Table_Shelter[[#This Row],[Status]]="Open",IF(W195="NO",Table_Shelter[[#This Row],[HH per Shelter]]*(Table_Shelter[[#This Row],['# of Temporary Shelter Units Built]]+Table_Shelter[[#This Row],['# of Temporary Shelter Under  Construction]]+Table_Shelter[[#This Row],['# of Permanent House Under Construction]]),0),0)</f>
        <v>20</v>
      </c>
      <c r="R195" s="104"/>
      <c r="S195" s="164"/>
      <c r="T195" s="163" t="str">
        <f>IFERROR(VLOOKUP(Table_Shelter[[#This Row],[CampName]],CL,2,0),"")</f>
        <v>MMR001CMP218</v>
      </c>
      <c r="U195" s="163" t="str">
        <f>IFERROR(VLOOKUP(Table_Shelter[[#This Row],[CampName]],CL,3,0),"")</f>
        <v>Open</v>
      </c>
      <c r="V195" s="240">
        <f>IFERROR(Table_Shelter[[#This Row],[HH Covered]]/VLOOKUP(Table_Shelter[[#This Row],[CampName]],CL,5,0),"")</f>
        <v>4.9627791563275438E-2</v>
      </c>
      <c r="W195" s="240" t="s">
        <v>1292</v>
      </c>
      <c r="X195" s="164"/>
    </row>
    <row r="196" spans="1:24" ht="15" customHeight="1" x14ac:dyDescent="0.25">
      <c r="A196" s="722"/>
      <c r="B196" s="164" t="s">
        <v>451</v>
      </c>
      <c r="C196" s="164" t="s">
        <v>459</v>
      </c>
      <c r="D196" s="164" t="s">
        <v>380</v>
      </c>
      <c r="E196" s="168" t="s">
        <v>237</v>
      </c>
      <c r="F196" s="164" t="s">
        <v>259</v>
      </c>
      <c r="G196" s="105">
        <v>1</v>
      </c>
      <c r="H196" s="105"/>
      <c r="I196" s="105"/>
      <c r="J196" s="105">
        <v>20</v>
      </c>
      <c r="K196" s="105">
        <v>20</v>
      </c>
      <c r="L196" s="164"/>
      <c r="M196" s="164"/>
      <c r="N196" s="164"/>
      <c r="O196" s="164"/>
      <c r="P196" s="936">
        <f>IFERROR(IF(VLOOKUP(Table_Shelter[[#This Row],[CampName]],CL,5,0)&lt;Table_Shelter[[#This Row],[HH Covered2]],VLOOKUP(Table_Shelter[[#This Row],[CampName]],CL,5,0),Table_Shelter[[#This Row],[HH Covered2]]),"")</f>
        <v>20</v>
      </c>
      <c r="Q196" s="139">
        <f>IF(Table_Shelter[[#This Row],[Status]]="Open",IF(W196="NO",Table_Shelter[[#This Row],[HH per Shelter]]*(Table_Shelter[[#This Row],['# of Temporary Shelter Units Built]]+Table_Shelter[[#This Row],['# of Temporary Shelter Under  Construction]]+Table_Shelter[[#This Row],['# of Permanent House Under Construction]]),0),0)</f>
        <v>20</v>
      </c>
      <c r="R196" s="104"/>
      <c r="S196" s="164"/>
      <c r="T196" s="163" t="str">
        <f>IFERROR(VLOOKUP(Table_Shelter[[#This Row],[CampName]],CL,2,0),"")</f>
        <v>MMR001CMP016</v>
      </c>
      <c r="U196" s="163" t="str">
        <f>IFERROR(VLOOKUP(Table_Shelter[[#This Row],[CampName]],CL,3,0),"")</f>
        <v>Open</v>
      </c>
      <c r="V196" s="240">
        <f>IFERROR(Table_Shelter[[#This Row],[HH Covered]]/VLOOKUP(Table_Shelter[[#This Row],[CampName]],CL,5,0),"")</f>
        <v>0.32258064516129031</v>
      </c>
      <c r="W196" s="240" t="s">
        <v>1292</v>
      </c>
      <c r="X196" s="164"/>
    </row>
    <row r="197" spans="1:24" ht="15" customHeight="1" x14ac:dyDescent="0.25">
      <c r="A197" s="483"/>
      <c r="B197" s="162" t="s">
        <v>451</v>
      </c>
      <c r="C197" s="162" t="s">
        <v>459</v>
      </c>
      <c r="D197" s="162" t="s">
        <v>380</v>
      </c>
      <c r="E197" s="307" t="s">
        <v>237</v>
      </c>
      <c r="F197" s="162" t="s">
        <v>261</v>
      </c>
      <c r="G197" s="103">
        <v>1</v>
      </c>
      <c r="H197" s="103"/>
      <c r="I197" s="103"/>
      <c r="J197" s="103">
        <v>60</v>
      </c>
      <c r="K197" s="103">
        <v>60</v>
      </c>
      <c r="L197" s="162"/>
      <c r="M197" s="162"/>
      <c r="N197" s="162"/>
      <c r="O197" s="162"/>
      <c r="P197" s="934">
        <f>IFERROR(IF(VLOOKUP(Table_Shelter[[#This Row],[CampName]],CL,5,0)&lt;Table_Shelter[[#This Row],[HH Covered2]],VLOOKUP(Table_Shelter[[#This Row],[CampName]],CL,5,0),Table_Shelter[[#This Row],[HH Covered2]]),"")</f>
        <v>60</v>
      </c>
      <c r="Q197" s="139">
        <f>IF(Table_Shelter[[#This Row],[Status]]="Open",IF(W197="NO",Table_Shelter[[#This Row],[HH per Shelter]]*(Table_Shelter[[#This Row],['# of Temporary Shelter Units Built]]+Table_Shelter[[#This Row],['# of Temporary Shelter Under  Construction]]+Table_Shelter[[#This Row],['# of Permanent House Under Construction]]),0),0)</f>
        <v>60</v>
      </c>
      <c r="R197" s="102"/>
      <c r="S197" s="162"/>
      <c r="T197" s="163" t="str">
        <f>IFERROR(VLOOKUP(Table_Shelter[[#This Row],[CampName]],CL,2,0),"")</f>
        <v>MMR001CMP008</v>
      </c>
      <c r="U197" s="163" t="str">
        <f>IFERROR(VLOOKUP(Table_Shelter[[#This Row],[CampName]],CL,3,0),"")</f>
        <v>Open</v>
      </c>
      <c r="V197" s="240">
        <f>IFERROR(Table_Shelter[[#This Row],[HH Covered]]/VLOOKUP(Table_Shelter[[#This Row],[CampName]],CL,5,0),"")</f>
        <v>0.57692307692307687</v>
      </c>
      <c r="W197" s="240" t="s">
        <v>1292</v>
      </c>
      <c r="X197" s="164"/>
    </row>
    <row r="198" spans="1:24" ht="15" customHeight="1" x14ac:dyDescent="0.25">
      <c r="A198" s="483"/>
      <c r="B198" s="162" t="s">
        <v>452</v>
      </c>
      <c r="C198" s="162" t="s">
        <v>459</v>
      </c>
      <c r="D198" s="162" t="s">
        <v>380</v>
      </c>
      <c r="E198" s="307" t="s">
        <v>151</v>
      </c>
      <c r="F198" s="162" t="s">
        <v>160</v>
      </c>
      <c r="G198" s="103">
        <v>1</v>
      </c>
      <c r="H198" s="103"/>
      <c r="I198" s="103"/>
      <c r="J198" s="103">
        <v>39</v>
      </c>
      <c r="K198" s="103">
        <v>39</v>
      </c>
      <c r="L198" s="162"/>
      <c r="M198" s="162"/>
      <c r="N198" s="162"/>
      <c r="O198" s="162"/>
      <c r="P198" s="934">
        <f>IFERROR(IF(VLOOKUP(Table_Shelter[[#This Row],[CampName]],CL,5,0)&lt;Table_Shelter[[#This Row],[HH Covered2]],VLOOKUP(Table_Shelter[[#This Row],[CampName]],CL,5,0),Table_Shelter[[#This Row],[HH Covered2]]),"")</f>
        <v>39</v>
      </c>
      <c r="Q198" s="139">
        <f>IF(Table_Shelter[[#This Row],[Status]]="Open",IF(W198="NO",Table_Shelter[[#This Row],[HH per Shelter]]*(Table_Shelter[[#This Row],['# of Temporary Shelter Units Built]]+Table_Shelter[[#This Row],['# of Temporary Shelter Under  Construction]]+Table_Shelter[[#This Row],['# of Permanent House Under Construction]]),0),0)</f>
        <v>39</v>
      </c>
      <c r="R198" s="102"/>
      <c r="S198" s="162"/>
      <c r="T198" s="163" t="str">
        <f>IFERROR(VLOOKUP(Table_Shelter[[#This Row],[CampName]],CL,2,0),"")</f>
        <v>MMR001CMP133</v>
      </c>
      <c r="U198" s="163" t="str">
        <f>IFERROR(VLOOKUP(Table_Shelter[[#This Row],[CampName]],CL,3,0),"")</f>
        <v>Open</v>
      </c>
      <c r="V198" s="240">
        <f>IFERROR(Table_Shelter[[#This Row],[HH Covered]]/VLOOKUP(Table_Shelter[[#This Row],[CampName]],CL,5,0),"")</f>
        <v>0.39795918367346939</v>
      </c>
      <c r="W198" s="240" t="s">
        <v>1292</v>
      </c>
      <c r="X198" s="164"/>
    </row>
    <row r="199" spans="1:24" ht="15" customHeight="1" x14ac:dyDescent="0.25">
      <c r="A199" s="723"/>
      <c r="B199" s="162" t="s">
        <v>451</v>
      </c>
      <c r="C199" s="162" t="s">
        <v>459</v>
      </c>
      <c r="D199" s="169" t="s">
        <v>380</v>
      </c>
      <c r="E199" s="307" t="s">
        <v>151</v>
      </c>
      <c r="F199" s="162" t="s">
        <v>160</v>
      </c>
      <c r="G199" s="103">
        <v>1</v>
      </c>
      <c r="H199" s="103"/>
      <c r="I199" s="103"/>
      <c r="J199" s="103">
        <v>20</v>
      </c>
      <c r="K199" s="103">
        <v>20</v>
      </c>
      <c r="L199" s="162"/>
      <c r="M199" s="162"/>
      <c r="N199" s="162"/>
      <c r="O199" s="162"/>
      <c r="P199" s="934">
        <f>IFERROR(IF(VLOOKUP(Table_Shelter[[#This Row],[CampName]],CL,5,0)&lt;Table_Shelter[[#This Row],[HH Covered2]],VLOOKUP(Table_Shelter[[#This Row],[CampName]],CL,5,0),Table_Shelter[[#This Row],[HH Covered2]]),"")</f>
        <v>20</v>
      </c>
      <c r="Q199" s="104">
        <f>IF(Table_Shelter[[#This Row],[Status]]="Open",IF(W199="NO",Table_Shelter[[#This Row],[HH per Shelter]]*(Table_Shelter[[#This Row],['# of Temporary Shelter Units Built]]+Table_Shelter[[#This Row],['# of Temporary Shelter Under  Construction]]+Table_Shelter[[#This Row],['# of Permanent House Under Construction]]),0),0)</f>
        <v>20</v>
      </c>
      <c r="R199" s="102"/>
      <c r="S199" s="102"/>
      <c r="T199" s="104" t="str">
        <f>IFERROR(VLOOKUP(Table_Shelter[[#This Row],[CampName]],CL,2,0),"")</f>
        <v>MMR001CMP133</v>
      </c>
      <c r="U199" s="104" t="str">
        <f>IFERROR(VLOOKUP(Table_Shelter[[#This Row],[CampName]],CL,3,0),"")</f>
        <v>Open</v>
      </c>
      <c r="V199" s="240">
        <f>IFERROR(Table_Shelter[[#This Row],[HH Covered]]/VLOOKUP(Table_Shelter[[#This Row],[CampName]],CL,5,0),"")</f>
        <v>0.20408163265306123</v>
      </c>
      <c r="W199" s="240" t="s">
        <v>1292</v>
      </c>
      <c r="X199" s="104"/>
    </row>
    <row r="200" spans="1:24" ht="15" customHeight="1" x14ac:dyDescent="0.25">
      <c r="A200" s="482"/>
      <c r="B200" s="162" t="s">
        <v>861</v>
      </c>
      <c r="C200" s="162"/>
      <c r="D200" s="165" t="s">
        <v>380</v>
      </c>
      <c r="E200" s="307" t="s">
        <v>526</v>
      </c>
      <c r="F200" s="162" t="s">
        <v>62</v>
      </c>
      <c r="G200" s="103">
        <v>1</v>
      </c>
      <c r="H200" s="138">
        <v>25</v>
      </c>
      <c r="I200" s="138">
        <v>25</v>
      </c>
      <c r="J200" s="138"/>
      <c r="K200" s="138"/>
      <c r="L200" s="163"/>
      <c r="M200" s="163"/>
      <c r="N200" s="163"/>
      <c r="O200" s="163"/>
      <c r="P200" s="939">
        <f>IFERROR(IF(VLOOKUP(Table_Shelter[[#This Row],[CampName]],CL,5,0)&lt;Table_Shelter[[#This Row],[HH Covered2]],VLOOKUP(Table_Shelter[[#This Row],[CampName]],CL,5,0),Table_Shelter[[#This Row],[HH Covered2]]),"")</f>
        <v>0</v>
      </c>
      <c r="Q200" s="139">
        <f>IF(Table_Shelter[[#This Row],[Status]]="Open",IF(W200="NO",Table_Shelter[[#This Row],[HH per Shelter]]*(Table_Shelter[[#This Row],['# of Temporary Shelter Units Built]]+Table_Shelter[[#This Row],['# of Temporary Shelter Under  Construction]]+Table_Shelter[[#This Row],['# of Permanent House Under Construction]]),0),0)</f>
        <v>0</v>
      </c>
      <c r="R200" s="139"/>
      <c r="S200" s="163"/>
      <c r="T200" s="163" t="str">
        <f>IFERROR(VLOOKUP(Table_Shelter[[#This Row],[CampName]],CL,2,0),"")</f>
        <v>MMR001CMP179</v>
      </c>
      <c r="U200" s="163" t="str">
        <f>IFERROR(VLOOKUP(Table_Shelter[[#This Row],[CampName]],CL,3,0),"")</f>
        <v>Closed</v>
      </c>
      <c r="V200" s="240" t="str">
        <f>IFERROR(Table_Shelter[[#This Row],[HH Covered]]/VLOOKUP(Table_Shelter[[#This Row],[CampName]],CL,5,0),"")</f>
        <v/>
      </c>
      <c r="W200" s="240" t="s">
        <v>1292</v>
      </c>
      <c r="X200" s="164"/>
    </row>
    <row r="201" spans="1:24" ht="15" customHeight="1" x14ac:dyDescent="0.25">
      <c r="A201" s="483"/>
      <c r="B201" s="162" t="s">
        <v>451</v>
      </c>
      <c r="C201" s="162" t="s">
        <v>505</v>
      </c>
      <c r="D201" s="162" t="s">
        <v>380</v>
      </c>
      <c r="E201" s="307" t="s">
        <v>526</v>
      </c>
      <c r="F201" s="162" t="s">
        <v>62</v>
      </c>
      <c r="G201" s="103">
        <v>1</v>
      </c>
      <c r="H201" s="103"/>
      <c r="I201" s="103"/>
      <c r="J201" s="103"/>
      <c r="K201" s="103"/>
      <c r="L201" s="162"/>
      <c r="M201" s="162"/>
      <c r="N201" s="162"/>
      <c r="O201" s="162"/>
      <c r="P201" s="934">
        <f>IFERROR(IF(VLOOKUP(Table_Shelter[[#This Row],[CampName]],CL,5,0)&lt;Table_Shelter[[#This Row],[HH Covered2]],VLOOKUP(Table_Shelter[[#This Row],[CampName]],CL,5,0),Table_Shelter[[#This Row],[HH Covered2]]),"")</f>
        <v>0</v>
      </c>
      <c r="Q201" s="139">
        <f>IF(Table_Shelter[[#This Row],[Status]]="Open",IF(W201="NO",Table_Shelter[[#This Row],[HH per Shelter]]*(Table_Shelter[[#This Row],['# of Temporary Shelter Units Built]]+Table_Shelter[[#This Row],['# of Temporary Shelter Under  Construction]]+Table_Shelter[[#This Row],['# of Permanent House Under Construction]]),0),0)</f>
        <v>0</v>
      </c>
      <c r="R201" s="102">
        <v>44</v>
      </c>
      <c r="S201" s="162"/>
      <c r="T201" s="163" t="str">
        <f>IFERROR(VLOOKUP(Table_Shelter[[#This Row],[CampName]],CL,2,0),"")</f>
        <v>MMR001CMP179</v>
      </c>
      <c r="U201" s="163" t="str">
        <f>IFERROR(VLOOKUP(Table_Shelter[[#This Row],[CampName]],CL,3,0),"")</f>
        <v>Closed</v>
      </c>
      <c r="V201" s="240" t="str">
        <f>IFERROR(Table_Shelter[[#This Row],[HH Covered]]/VLOOKUP(Table_Shelter[[#This Row],[CampName]],CL,5,0),"")</f>
        <v/>
      </c>
      <c r="W201" s="240" t="s">
        <v>1292</v>
      </c>
      <c r="X201" s="164"/>
    </row>
    <row r="202" spans="1:24" ht="15" customHeight="1" x14ac:dyDescent="0.25">
      <c r="A202" s="723"/>
      <c r="B202" s="162" t="s">
        <v>451</v>
      </c>
      <c r="C202" s="162" t="s">
        <v>459</v>
      </c>
      <c r="D202" s="162" t="s">
        <v>380</v>
      </c>
      <c r="E202" s="307" t="s">
        <v>173</v>
      </c>
      <c r="F202" s="162" t="s">
        <v>176</v>
      </c>
      <c r="G202" s="103">
        <v>1</v>
      </c>
      <c r="H202" s="103"/>
      <c r="I202" s="103"/>
      <c r="J202" s="103">
        <v>10</v>
      </c>
      <c r="K202" s="103">
        <v>10</v>
      </c>
      <c r="L202" s="162"/>
      <c r="M202" s="162"/>
      <c r="N202" s="162"/>
      <c r="O202" s="162"/>
      <c r="P202" s="934">
        <f>IFERROR(IF(VLOOKUP(Table_Shelter[[#This Row],[CampName]],CL,5,0)&lt;Table_Shelter[[#This Row],[HH Covered2]],VLOOKUP(Table_Shelter[[#This Row],[CampName]],CL,5,0),Table_Shelter[[#This Row],[HH Covered2]]),"")</f>
        <v>10</v>
      </c>
      <c r="Q202" s="139">
        <f>IF(Table_Shelter[[#This Row],[Status]]="Open",IF(W202="NO",Table_Shelter[[#This Row],[HH per Shelter]]*(Table_Shelter[[#This Row],['# of Temporary Shelter Units Built]]+Table_Shelter[[#This Row],['# of Temporary Shelter Under  Construction]]+Table_Shelter[[#This Row],['# of Permanent House Under Construction]]),0),0)</f>
        <v>10</v>
      </c>
      <c r="R202" s="102"/>
      <c r="S202" s="162"/>
      <c r="T202" s="163" t="str">
        <f>IFERROR(VLOOKUP(Table_Shelter[[#This Row],[CampName]],CL,2,0),"")</f>
        <v>MMR001CMP077</v>
      </c>
      <c r="U202" s="163" t="str">
        <f>IFERROR(VLOOKUP(Table_Shelter[[#This Row],[CampName]],CL,3,0),"")</f>
        <v>Open</v>
      </c>
      <c r="V202" s="240">
        <f>IFERROR(Table_Shelter[[#This Row],[HH Covered]]/VLOOKUP(Table_Shelter[[#This Row],[CampName]],CL,5,0),"")</f>
        <v>0.66666666666666663</v>
      </c>
      <c r="W202" s="240" t="s">
        <v>1292</v>
      </c>
      <c r="X202" s="164"/>
    </row>
    <row r="203" spans="1:24" ht="15" customHeight="1" x14ac:dyDescent="0.25">
      <c r="A203" s="678"/>
      <c r="B203" s="162" t="s">
        <v>451</v>
      </c>
      <c r="C203" s="162" t="s">
        <v>459</v>
      </c>
      <c r="D203" s="165" t="s">
        <v>380</v>
      </c>
      <c r="E203" s="307" t="s">
        <v>185</v>
      </c>
      <c r="F203" s="162" t="s">
        <v>209</v>
      </c>
      <c r="G203" s="103">
        <v>1</v>
      </c>
      <c r="H203" s="105"/>
      <c r="I203" s="105"/>
      <c r="J203" s="105">
        <v>40</v>
      </c>
      <c r="K203" s="105">
        <v>40</v>
      </c>
      <c r="L203" s="164"/>
      <c r="M203" s="164"/>
      <c r="N203" s="164"/>
      <c r="O203" s="164"/>
      <c r="P203" s="936">
        <f>IFERROR(IF(VLOOKUP(Table_Shelter[[#This Row],[CampName]],CL,5,0)&lt;Table_Shelter[[#This Row],[HH Covered2]],VLOOKUP(Table_Shelter[[#This Row],[CampName]],CL,5,0),Table_Shelter[[#This Row],[HH Covered2]]),"")</f>
        <v>40</v>
      </c>
      <c r="Q203" s="104">
        <f>IF(Table_Shelter[[#This Row],[Status]]="Open",IF(W203="NO",Table_Shelter[[#This Row],[HH per Shelter]]*(Table_Shelter[[#This Row],['# of Temporary Shelter Units Built]]+Table_Shelter[[#This Row],['# of Temporary Shelter Under  Construction]]+Table_Shelter[[#This Row],['# of Permanent House Under Construction]]),0),0)</f>
        <v>40</v>
      </c>
      <c r="R203" s="104"/>
      <c r="S203" s="164"/>
      <c r="T203" s="164" t="str">
        <f>IFERROR(VLOOKUP(Table_Shelter[[#This Row],[CampName]],CL,2,0),"")</f>
        <v>MMR001CMP056</v>
      </c>
      <c r="U203" s="164" t="str">
        <f>IFERROR(VLOOKUP(Table_Shelter[[#This Row],[CampName]],CL,3,0),"")</f>
        <v>Open</v>
      </c>
      <c r="V203" s="240">
        <f>IFERROR(Table_Shelter[[#This Row],[HH Covered]]/VLOOKUP(Table_Shelter[[#This Row],[CampName]],CL,5,0),"")</f>
        <v>0.10335917312661498</v>
      </c>
      <c r="W203" s="240" t="s">
        <v>1292</v>
      </c>
      <c r="X203" s="164"/>
    </row>
    <row r="204" spans="1:24" ht="15" customHeight="1" x14ac:dyDescent="0.25">
      <c r="A204" s="722"/>
      <c r="B204" s="162" t="s">
        <v>451</v>
      </c>
      <c r="C204" s="162" t="s">
        <v>459</v>
      </c>
      <c r="D204" s="165" t="s">
        <v>552</v>
      </c>
      <c r="E204" s="307" t="s">
        <v>230</v>
      </c>
      <c r="F204" s="162" t="s">
        <v>235</v>
      </c>
      <c r="G204" s="103">
        <v>1</v>
      </c>
      <c r="H204" s="105"/>
      <c r="I204" s="105"/>
      <c r="J204" s="105">
        <v>10</v>
      </c>
      <c r="K204" s="105">
        <v>10</v>
      </c>
      <c r="L204" s="164"/>
      <c r="M204" s="164"/>
      <c r="N204" s="164"/>
      <c r="O204" s="164"/>
      <c r="P204" s="936">
        <f>IFERROR(IF(VLOOKUP(Table_Shelter[[#This Row],[CampName]],CL,5,0)&lt;Table_Shelter[[#This Row],[HH Covered2]],VLOOKUP(Table_Shelter[[#This Row],[CampName]],CL,5,0),Table_Shelter[[#This Row],[HH Covered2]]),"")</f>
        <v>0</v>
      </c>
      <c r="Q204" s="104">
        <f>IF(Table_Shelter[[#This Row],[Status]]="Open",IF(W204="NO",Table_Shelter[[#This Row],[HH per Shelter]]*(Table_Shelter[[#This Row],['# of Temporary Shelter Units Built]]+Table_Shelter[[#This Row],['# of Temporary Shelter Under  Construction]]+Table_Shelter[[#This Row],['# of Permanent House Under Construction]]),0),0)</f>
        <v>0</v>
      </c>
      <c r="R204" s="104"/>
      <c r="S204" s="164"/>
      <c r="T204" s="164" t="str">
        <f>IFERROR(VLOOKUP(Table_Shelter[[#This Row],[CampName]],CL,2,0),"")</f>
        <v>MMR015CMP005</v>
      </c>
      <c r="U204" s="164" t="str">
        <f>IFERROR(VLOOKUP(Table_Shelter[[#This Row],[CampName]],CL,3,0),"")</f>
        <v>Closed</v>
      </c>
      <c r="V204" s="240" t="str">
        <f>IFERROR(Table_Shelter[[#This Row],[HH Covered]]/VLOOKUP(Table_Shelter[[#This Row],[CampName]],CL,5,0),"")</f>
        <v/>
      </c>
      <c r="W204" s="240" t="s">
        <v>1292</v>
      </c>
      <c r="X204" s="164"/>
    </row>
    <row r="205" spans="1:24" ht="15" customHeight="1" x14ac:dyDescent="0.25">
      <c r="A205" s="723"/>
      <c r="B205" s="162" t="s">
        <v>861</v>
      </c>
      <c r="C205" s="162"/>
      <c r="D205" s="165" t="s">
        <v>380</v>
      </c>
      <c r="E205" s="307" t="s">
        <v>526</v>
      </c>
      <c r="F205" s="162" t="s">
        <v>41</v>
      </c>
      <c r="G205" s="103">
        <v>1</v>
      </c>
      <c r="H205" s="103">
        <v>10</v>
      </c>
      <c r="I205" s="103">
        <v>10</v>
      </c>
      <c r="J205" s="103"/>
      <c r="K205" s="103"/>
      <c r="L205" s="162"/>
      <c r="M205" s="162"/>
      <c r="N205" s="162"/>
      <c r="O205" s="162"/>
      <c r="P205" s="934">
        <f>IFERROR(IF(VLOOKUP(Table_Shelter[[#This Row],[CampName]],CL,5,0)&lt;Table_Shelter[[#This Row],[HH Covered2]],VLOOKUP(Table_Shelter[[#This Row],[CampName]],CL,5,0),Table_Shelter[[#This Row],[HH Covered2]]),"")</f>
        <v>0</v>
      </c>
      <c r="Q205" s="139">
        <f>IF(Table_Shelter[[#This Row],[Status]]="Open",IF(W205="NO",Table_Shelter[[#This Row],[HH per Shelter]]*(Table_Shelter[[#This Row],['# of Temporary Shelter Units Built]]+Table_Shelter[[#This Row],['# of Temporary Shelter Under  Construction]]+Table_Shelter[[#This Row],['# of Permanent House Under Construction]]),0),0)</f>
        <v>0</v>
      </c>
      <c r="R205" s="102"/>
      <c r="S205" s="162"/>
      <c r="T205" s="163" t="str">
        <f>IFERROR(VLOOKUP(Table_Shelter[[#This Row],[CampName]],CL,2,0),"")</f>
        <v>MMR001CMP176</v>
      </c>
      <c r="U205" s="163" t="str">
        <f>IFERROR(VLOOKUP(Table_Shelter[[#This Row],[CampName]],CL,3,0),"")</f>
        <v>Open</v>
      </c>
      <c r="V205" s="240">
        <f>IFERROR(Table_Shelter[[#This Row],[HH Covered]]/VLOOKUP(Table_Shelter[[#This Row],[CampName]],CL,5,0),"")</f>
        <v>0</v>
      </c>
      <c r="W205" s="240" t="s">
        <v>1292</v>
      </c>
      <c r="X205" s="164"/>
    </row>
    <row r="206" spans="1:24" ht="15" customHeight="1" x14ac:dyDescent="0.25">
      <c r="A206" s="722"/>
      <c r="B206" s="162" t="s">
        <v>452</v>
      </c>
      <c r="C206" s="162" t="s">
        <v>459</v>
      </c>
      <c r="D206" s="165" t="s">
        <v>552</v>
      </c>
      <c r="E206" s="307" t="s">
        <v>289</v>
      </c>
      <c r="F206" s="162" t="s">
        <v>292</v>
      </c>
      <c r="G206" s="103">
        <v>1</v>
      </c>
      <c r="H206" s="105"/>
      <c r="I206" s="105"/>
      <c r="J206" s="105">
        <v>78</v>
      </c>
      <c r="K206" s="105">
        <v>78</v>
      </c>
      <c r="L206" s="164"/>
      <c r="M206" s="164"/>
      <c r="N206" s="164"/>
      <c r="O206" s="164"/>
      <c r="P206" s="936">
        <f>IFERROR(IF(VLOOKUP(Table_Shelter[[#This Row],[CampName]],CL,5,0)&lt;Table_Shelter[[#This Row],[HH Covered2]],VLOOKUP(Table_Shelter[[#This Row],[CampName]],CL,5,0),Table_Shelter[[#This Row],[HH Covered2]]),"")</f>
        <v>74</v>
      </c>
      <c r="Q206" s="104">
        <f>IF(Table_Shelter[[#This Row],[Status]]="Open",IF(W206="NO",Table_Shelter[[#This Row],[HH per Shelter]]*(Table_Shelter[[#This Row],['# of Temporary Shelter Units Built]]+Table_Shelter[[#This Row],['# of Temporary Shelter Under  Construction]]+Table_Shelter[[#This Row],['# of Permanent House Under Construction]]),0),0)</f>
        <v>78</v>
      </c>
      <c r="R206" s="104"/>
      <c r="S206" s="164"/>
      <c r="T206" s="164" t="str">
        <f>IFERROR(VLOOKUP(Table_Shelter[[#This Row],[CampName]],CL,2,0),"")</f>
        <v>MMR015CMP004</v>
      </c>
      <c r="U206" s="164" t="str">
        <f>IFERROR(VLOOKUP(Table_Shelter[[#This Row],[CampName]],CL,3,0),"")</f>
        <v>Open</v>
      </c>
      <c r="V206" s="240">
        <f>IFERROR(Table_Shelter[[#This Row],[HH Covered]]/VLOOKUP(Table_Shelter[[#This Row],[CampName]],CL,5,0),"")</f>
        <v>1</v>
      </c>
      <c r="W206" s="240" t="s">
        <v>1292</v>
      </c>
      <c r="X206" s="164"/>
    </row>
    <row r="207" spans="1:24" ht="15" customHeight="1" x14ac:dyDescent="0.25">
      <c r="A207" s="723"/>
      <c r="B207" s="162" t="s">
        <v>571</v>
      </c>
      <c r="C207" s="162" t="s">
        <v>458</v>
      </c>
      <c r="D207" s="162" t="s">
        <v>380</v>
      </c>
      <c r="E207" s="307" t="s">
        <v>5</v>
      </c>
      <c r="F207" s="162" t="s">
        <v>6</v>
      </c>
      <c r="G207" s="103">
        <v>1</v>
      </c>
      <c r="H207" s="103"/>
      <c r="I207" s="103"/>
      <c r="J207" s="103">
        <v>6</v>
      </c>
      <c r="K207" s="103">
        <v>6</v>
      </c>
      <c r="L207" s="162"/>
      <c r="M207" s="162"/>
      <c r="N207" s="162"/>
      <c r="O207" s="162"/>
      <c r="P207" s="934">
        <f>IFERROR(IF(VLOOKUP(Table_Shelter[[#This Row],[CampName]],CL,5,0)&lt;Table_Shelter[[#This Row],[HH Covered2]],VLOOKUP(Table_Shelter[[#This Row],[CampName]],CL,5,0),Table_Shelter[[#This Row],[HH Covered2]]),"")</f>
        <v>6</v>
      </c>
      <c r="Q207" s="139">
        <f>IF(Table_Shelter[[#This Row],[Status]]="Open",IF(W207="NO",Table_Shelter[[#This Row],[HH per Shelter]]*(Table_Shelter[[#This Row],['# of Temporary Shelter Units Built]]+Table_Shelter[[#This Row],['# of Temporary Shelter Under  Construction]]+Table_Shelter[[#This Row],['# of Permanent House Under Construction]]),0),0)</f>
        <v>6</v>
      </c>
      <c r="R207" s="102"/>
      <c r="S207" s="162"/>
      <c r="T207" s="163" t="str">
        <f>IFERROR(VLOOKUP(Table_Shelter[[#This Row],[CampName]],CL,2,0),"")</f>
        <v>MMR001CMP050</v>
      </c>
      <c r="U207" s="163" t="str">
        <f>IFERROR(VLOOKUP(Table_Shelter[[#This Row],[CampName]],CL,3,0),"")</f>
        <v>Open</v>
      </c>
      <c r="V207" s="240">
        <f>IFERROR(Table_Shelter[[#This Row],[HH Covered]]/VLOOKUP(Table_Shelter[[#This Row],[CampName]],CL,5,0),"")</f>
        <v>2.3346303501945526E-2</v>
      </c>
      <c r="W207" s="240" t="s">
        <v>1292</v>
      </c>
      <c r="X207" s="164"/>
    </row>
    <row r="208" spans="1:24" ht="15" customHeight="1" x14ac:dyDescent="0.25">
      <c r="A208" s="722"/>
      <c r="B208" s="164" t="s">
        <v>451</v>
      </c>
      <c r="C208" s="164" t="s">
        <v>458</v>
      </c>
      <c r="D208" s="164" t="s">
        <v>380</v>
      </c>
      <c r="E208" s="168" t="s">
        <v>5</v>
      </c>
      <c r="F208" s="164" t="s">
        <v>6</v>
      </c>
      <c r="G208" s="105">
        <v>1</v>
      </c>
      <c r="H208" s="105"/>
      <c r="I208" s="105"/>
      <c r="J208" s="105">
        <v>144</v>
      </c>
      <c r="K208" s="105">
        <v>144</v>
      </c>
      <c r="L208" s="164"/>
      <c r="M208" s="164"/>
      <c r="N208" s="164"/>
      <c r="O208" s="164"/>
      <c r="P208" s="936">
        <f>IFERROR(IF(VLOOKUP(Table_Shelter[[#This Row],[CampName]],CL,5,0)&lt;Table_Shelter[[#This Row],[HH Covered2]],VLOOKUP(Table_Shelter[[#This Row],[CampName]],CL,5,0),Table_Shelter[[#This Row],[HH Covered2]]),"")</f>
        <v>144</v>
      </c>
      <c r="Q208" s="139">
        <f>IF(Table_Shelter[[#This Row],[Status]]="Open",IF(W208="NO",Table_Shelter[[#This Row],[HH per Shelter]]*(Table_Shelter[[#This Row],['# of Temporary Shelter Units Built]]+Table_Shelter[[#This Row],['# of Temporary Shelter Under  Construction]]+Table_Shelter[[#This Row],['# of Permanent House Under Construction]]),0),0)</f>
        <v>144</v>
      </c>
      <c r="R208" s="104"/>
      <c r="S208" s="164"/>
      <c r="T208" s="163" t="str">
        <f>IFERROR(VLOOKUP(Table_Shelter[[#This Row],[CampName]],CL,2,0),"")</f>
        <v>MMR001CMP050</v>
      </c>
      <c r="U208" s="163" t="str">
        <f>IFERROR(VLOOKUP(Table_Shelter[[#This Row],[CampName]],CL,3,0),"")</f>
        <v>Open</v>
      </c>
      <c r="V208" s="240">
        <f>IFERROR(Table_Shelter[[#This Row],[HH Covered]]/VLOOKUP(Table_Shelter[[#This Row],[CampName]],CL,5,0),"")</f>
        <v>0.56031128404669261</v>
      </c>
      <c r="W208" s="240" t="s">
        <v>1292</v>
      </c>
      <c r="X208" s="164"/>
    </row>
    <row r="209" spans="1:24" ht="15" customHeight="1" x14ac:dyDescent="0.25">
      <c r="A209" s="483"/>
      <c r="B209" s="162" t="s">
        <v>861</v>
      </c>
      <c r="C209" s="162"/>
      <c r="D209" s="162" t="s">
        <v>380</v>
      </c>
      <c r="E209" s="307" t="s">
        <v>526</v>
      </c>
      <c r="F209" s="162" t="s">
        <v>52</v>
      </c>
      <c r="G209" s="103">
        <v>1</v>
      </c>
      <c r="H209" s="103">
        <v>10</v>
      </c>
      <c r="I209" s="103">
        <v>10</v>
      </c>
      <c r="J209" s="103"/>
      <c r="K209" s="103"/>
      <c r="L209" s="162"/>
      <c r="M209" s="162"/>
      <c r="N209" s="162"/>
      <c r="O209" s="162"/>
      <c r="P209" s="934">
        <f>IFERROR(IF(VLOOKUP(Table_Shelter[[#This Row],[CampName]],CL,5,0)&lt;Table_Shelter[[#This Row],[HH Covered2]],VLOOKUP(Table_Shelter[[#This Row],[CampName]],CL,5,0),Table_Shelter[[#This Row],[HH Covered2]]),"")</f>
        <v>0</v>
      </c>
      <c r="Q209" s="139">
        <f>IF(Table_Shelter[[#This Row],[Status]]="Open",IF(W209="NO",Table_Shelter[[#This Row],[HH per Shelter]]*(Table_Shelter[[#This Row],['# of Temporary Shelter Units Built]]+Table_Shelter[[#This Row],['# of Temporary Shelter Under  Construction]]+Table_Shelter[[#This Row],['# of Permanent House Under Construction]]),0),0)</f>
        <v>0</v>
      </c>
      <c r="R209" s="102"/>
      <c r="S209" s="162"/>
      <c r="T209" s="163" t="str">
        <f>IFERROR(VLOOKUP(Table_Shelter[[#This Row],[CampName]],CL,2,0),"")</f>
        <v>MMR001CMP169</v>
      </c>
      <c r="U209" s="163" t="str">
        <f>IFERROR(VLOOKUP(Table_Shelter[[#This Row],[CampName]],CL,3,0),"")</f>
        <v>Open</v>
      </c>
      <c r="V209" s="240">
        <f>IFERROR(Table_Shelter[[#This Row],[HH Covered]]/VLOOKUP(Table_Shelter[[#This Row],[CampName]],CL,5,0),"")</f>
        <v>0</v>
      </c>
      <c r="W209" s="240" t="s">
        <v>1292</v>
      </c>
      <c r="X209" s="164"/>
    </row>
    <row r="210" spans="1:24" ht="15" customHeight="1" x14ac:dyDescent="0.25">
      <c r="A210" s="483"/>
      <c r="B210" s="162" t="s">
        <v>451</v>
      </c>
      <c r="C210" s="162"/>
      <c r="D210" s="162" t="s">
        <v>380</v>
      </c>
      <c r="E210" s="307" t="s">
        <v>5</v>
      </c>
      <c r="F210" s="162" t="s">
        <v>6</v>
      </c>
      <c r="G210" s="103">
        <v>1</v>
      </c>
      <c r="H210" s="103"/>
      <c r="I210" s="103"/>
      <c r="J210" s="103">
        <v>20</v>
      </c>
      <c r="K210" s="103">
        <v>20</v>
      </c>
      <c r="L210" s="162"/>
      <c r="M210" s="162"/>
      <c r="N210" s="162"/>
      <c r="O210" s="162"/>
      <c r="P210" s="934">
        <f>IFERROR(IF(VLOOKUP(Table_Shelter[[#This Row],[CampName]],CL,5,0)&lt;Table_Shelter[[#This Row],[HH Covered2]],VLOOKUP(Table_Shelter[[#This Row],[CampName]],CL,5,0),Table_Shelter[[#This Row],[HH Covered2]]),"")</f>
        <v>20</v>
      </c>
      <c r="Q210" s="139">
        <f>IF(Table_Shelter[[#This Row],[Status]]="Open",IF(W210="NO",Table_Shelter[[#This Row],[HH per Shelter]]*(Table_Shelter[[#This Row],['# of Temporary Shelter Units Built]]+Table_Shelter[[#This Row],['# of Temporary Shelter Under  Construction]]+Table_Shelter[[#This Row],['# of Permanent House Under Construction]]),0),0)</f>
        <v>20</v>
      </c>
      <c r="R210" s="102"/>
      <c r="S210" s="162"/>
      <c r="T210" s="163" t="str">
        <f>IFERROR(VLOOKUP(Table_Shelter[[#This Row],[CampName]],CL,2,0),"")</f>
        <v>MMR001CMP050</v>
      </c>
      <c r="U210" s="163" t="str">
        <f>IFERROR(VLOOKUP(Table_Shelter[[#This Row],[CampName]],CL,3,0),"")</f>
        <v>Open</v>
      </c>
      <c r="V210" s="240">
        <f>IFERROR(Table_Shelter[[#This Row],[HH Covered]]/VLOOKUP(Table_Shelter[[#This Row],[CampName]],CL,5,0),"")</f>
        <v>7.7821011673151752E-2</v>
      </c>
      <c r="W210" s="240" t="s">
        <v>1292</v>
      </c>
      <c r="X210" s="164"/>
    </row>
    <row r="211" spans="1:24" ht="15" customHeight="1" x14ac:dyDescent="0.25">
      <c r="A211" s="483"/>
      <c r="B211" s="162" t="s">
        <v>861</v>
      </c>
      <c r="C211" s="162"/>
      <c r="D211" s="162" t="s">
        <v>380</v>
      </c>
      <c r="E211" s="307" t="s">
        <v>310</v>
      </c>
      <c r="F211" s="162" t="s">
        <v>334</v>
      </c>
      <c r="G211" s="103">
        <v>1</v>
      </c>
      <c r="H211" s="103">
        <v>41</v>
      </c>
      <c r="I211" s="103">
        <v>41</v>
      </c>
      <c r="J211" s="103"/>
      <c r="K211" s="103"/>
      <c r="L211" s="162"/>
      <c r="M211" s="162"/>
      <c r="N211" s="162"/>
      <c r="O211" s="162"/>
      <c r="P211" s="934">
        <f>IFERROR(IF(VLOOKUP(Table_Shelter[[#This Row],[CampName]],CL,5,0)&lt;Table_Shelter[[#This Row],[HH Covered2]],VLOOKUP(Table_Shelter[[#This Row],[CampName]],CL,5,0),Table_Shelter[[#This Row],[HH Covered2]]),"")</f>
        <v>0</v>
      </c>
      <c r="Q211" s="139">
        <f>IF(Table_Shelter[[#This Row],[Status]]="Open",IF(W211="NO",Table_Shelter[[#This Row],[HH per Shelter]]*(Table_Shelter[[#This Row],['# of Temporary Shelter Units Built]]+Table_Shelter[[#This Row],['# of Temporary Shelter Under  Construction]]+Table_Shelter[[#This Row],['# of Permanent House Under Construction]]),0),0)</f>
        <v>0</v>
      </c>
      <c r="R211" s="102"/>
      <c r="S211" s="162"/>
      <c r="T211" s="163" t="str">
        <f>IFERROR(VLOOKUP(Table_Shelter[[#This Row],[CampName]],CL,2,0),"")</f>
        <v>MMR001CMP113</v>
      </c>
      <c r="U211" s="163" t="str">
        <f>IFERROR(VLOOKUP(Table_Shelter[[#This Row],[CampName]],CL,3,0),"")</f>
        <v>Open</v>
      </c>
      <c r="V211" s="240">
        <f>IFERROR(Table_Shelter[[#This Row],[HH Covered]]/VLOOKUP(Table_Shelter[[#This Row],[CampName]],CL,5,0),"")</f>
        <v>0</v>
      </c>
      <c r="W211" s="240" t="s">
        <v>1292</v>
      </c>
      <c r="X211" s="164"/>
    </row>
    <row r="212" spans="1:24" ht="15" customHeight="1" x14ac:dyDescent="0.25">
      <c r="A212" s="483"/>
      <c r="B212" s="162" t="s">
        <v>451</v>
      </c>
      <c r="C212" s="162" t="s">
        <v>504</v>
      </c>
      <c r="D212" s="169" t="s">
        <v>380</v>
      </c>
      <c r="E212" s="307" t="s">
        <v>526</v>
      </c>
      <c r="F212" s="162" t="s">
        <v>41</v>
      </c>
      <c r="G212" s="103">
        <v>1</v>
      </c>
      <c r="H212" s="103"/>
      <c r="I212" s="103"/>
      <c r="J212" s="103">
        <v>5</v>
      </c>
      <c r="K212" s="103">
        <v>5</v>
      </c>
      <c r="L212" s="162"/>
      <c r="M212" s="162"/>
      <c r="N212" s="162"/>
      <c r="O212" s="162"/>
      <c r="P212" s="934">
        <f>IFERROR(IF(VLOOKUP(Table_Shelter[[#This Row],[CampName]],CL,5,0)&lt;Table_Shelter[[#This Row],[HH Covered2]],VLOOKUP(Table_Shelter[[#This Row],[CampName]],CL,5,0),Table_Shelter[[#This Row],[HH Covered2]]),"")</f>
        <v>5</v>
      </c>
      <c r="Q212" s="104">
        <f>IF(Table_Shelter[[#This Row],[Status]]="Open",IF(W212="NO",Table_Shelter[[#This Row],[HH per Shelter]]*(Table_Shelter[[#This Row],['# of Temporary Shelter Units Built]]+Table_Shelter[[#This Row],['# of Temporary Shelter Under  Construction]]+Table_Shelter[[#This Row],['# of Permanent House Under Construction]]),0),0)</f>
        <v>5</v>
      </c>
      <c r="R212" s="102"/>
      <c r="S212" s="102"/>
      <c r="T212" s="104" t="str">
        <f>IFERROR(VLOOKUP(Table_Shelter[[#This Row],[CampName]],CL,2,0),"")</f>
        <v>MMR001CMP176</v>
      </c>
      <c r="U212" s="104" t="str">
        <f>IFERROR(VLOOKUP(Table_Shelter[[#This Row],[CampName]],CL,3,0),"")</f>
        <v>Open</v>
      </c>
      <c r="V212" s="240">
        <f>IFERROR(Table_Shelter[[#This Row],[HH Covered]]/VLOOKUP(Table_Shelter[[#This Row],[CampName]],CL,5,0),"")</f>
        <v>7.575757575757576E-2</v>
      </c>
      <c r="W212" s="240" t="s">
        <v>1292</v>
      </c>
      <c r="X212" s="104"/>
    </row>
    <row r="213" spans="1:24" ht="15" customHeight="1" x14ac:dyDescent="0.25">
      <c r="A213" s="483"/>
      <c r="B213" s="162" t="s">
        <v>451</v>
      </c>
      <c r="C213" s="162" t="s">
        <v>458</v>
      </c>
      <c r="D213" s="162" t="s">
        <v>380</v>
      </c>
      <c r="E213" s="307" t="s">
        <v>5</v>
      </c>
      <c r="F213" s="162" t="s">
        <v>511</v>
      </c>
      <c r="G213" s="103">
        <v>1</v>
      </c>
      <c r="H213" s="103"/>
      <c r="I213" s="103"/>
      <c r="J213" s="103">
        <v>32</v>
      </c>
      <c r="K213" s="103">
        <v>32</v>
      </c>
      <c r="L213" s="162"/>
      <c r="M213" s="162"/>
      <c r="N213" s="162"/>
      <c r="O213" s="162"/>
      <c r="P213" s="934">
        <f>IFERROR(IF(VLOOKUP(Table_Shelter[[#This Row],[CampName]],CL,5,0)&lt;Table_Shelter[[#This Row],[HH Covered2]],VLOOKUP(Table_Shelter[[#This Row],[CampName]],CL,5,0),Table_Shelter[[#This Row],[HH Covered2]]),"")</f>
        <v>12</v>
      </c>
      <c r="Q213" s="139">
        <f>IF(Table_Shelter[[#This Row],[Status]]="Open",IF(W213="NO",Table_Shelter[[#This Row],[HH per Shelter]]*(Table_Shelter[[#This Row],['# of Temporary Shelter Units Built]]+Table_Shelter[[#This Row],['# of Temporary Shelter Under  Construction]]+Table_Shelter[[#This Row],['# of Permanent House Under Construction]]),0),0)</f>
        <v>32</v>
      </c>
      <c r="R213" s="102"/>
      <c r="S213" s="162"/>
      <c r="T213" s="163" t="str">
        <f>IFERROR(VLOOKUP(Table_Shelter[[#This Row],[CampName]],CL,2,0),"")</f>
        <v>MMR001CMP194</v>
      </c>
      <c r="U213" s="163" t="str">
        <f>IFERROR(VLOOKUP(Table_Shelter[[#This Row],[CampName]],CL,3,0),"")</f>
        <v>Open</v>
      </c>
      <c r="V213" s="240">
        <f>IFERROR(Table_Shelter[[#This Row],[HH Covered]]/VLOOKUP(Table_Shelter[[#This Row],[CampName]],CL,5,0),"")</f>
        <v>1</v>
      </c>
      <c r="W213" s="240" t="s">
        <v>1292</v>
      </c>
      <c r="X213" s="164"/>
    </row>
    <row r="214" spans="1:24" ht="15" customHeight="1" x14ac:dyDescent="0.25">
      <c r="A214" s="483"/>
      <c r="B214" s="162" t="s">
        <v>451</v>
      </c>
      <c r="C214" s="162"/>
      <c r="D214" s="162" t="s">
        <v>380</v>
      </c>
      <c r="E214" s="307" t="s">
        <v>5</v>
      </c>
      <c r="F214" s="162" t="s">
        <v>511</v>
      </c>
      <c r="G214" s="103">
        <v>1</v>
      </c>
      <c r="H214" s="103"/>
      <c r="I214" s="103"/>
      <c r="J214" s="103">
        <v>10</v>
      </c>
      <c r="K214" s="103">
        <v>10</v>
      </c>
      <c r="L214" s="162"/>
      <c r="M214" s="162"/>
      <c r="N214" s="162"/>
      <c r="O214" s="162"/>
      <c r="P214" s="934">
        <f>IFERROR(IF(VLOOKUP(Table_Shelter[[#This Row],[CampName]],CL,5,0)&lt;Table_Shelter[[#This Row],[HH Covered2]],VLOOKUP(Table_Shelter[[#This Row],[CampName]],CL,5,0),Table_Shelter[[#This Row],[HH Covered2]]),"")</f>
        <v>10</v>
      </c>
      <c r="Q214" s="139">
        <f>IF(Table_Shelter[[#This Row],[Status]]="Open",IF(W214="NO",Table_Shelter[[#This Row],[HH per Shelter]]*(Table_Shelter[[#This Row],['# of Temporary Shelter Units Built]]+Table_Shelter[[#This Row],['# of Temporary Shelter Under  Construction]]+Table_Shelter[[#This Row],['# of Permanent House Under Construction]]),0),0)</f>
        <v>10</v>
      </c>
      <c r="R214" s="102"/>
      <c r="S214" s="162"/>
      <c r="T214" s="163" t="str">
        <f>IFERROR(VLOOKUP(Table_Shelter[[#This Row],[CampName]],CL,2,0),"")</f>
        <v>MMR001CMP194</v>
      </c>
      <c r="U214" s="163" t="str">
        <f>IFERROR(VLOOKUP(Table_Shelter[[#This Row],[CampName]],CL,3,0),"")</f>
        <v>Open</v>
      </c>
      <c r="V214" s="240">
        <f>IFERROR(Table_Shelter[[#This Row],[HH Covered]]/VLOOKUP(Table_Shelter[[#This Row],[CampName]],CL,5,0),"")</f>
        <v>0.83333333333333337</v>
      </c>
      <c r="W214" s="240" t="s">
        <v>1292</v>
      </c>
      <c r="X214" s="164"/>
    </row>
    <row r="215" spans="1:24" ht="15" customHeight="1" x14ac:dyDescent="0.25">
      <c r="A215" s="483"/>
      <c r="B215" s="162"/>
      <c r="C215" s="162"/>
      <c r="D215" s="165" t="s">
        <v>380</v>
      </c>
      <c r="E215" s="307" t="s">
        <v>526</v>
      </c>
      <c r="F215" s="162" t="s">
        <v>58</v>
      </c>
      <c r="G215" s="103">
        <v>1</v>
      </c>
      <c r="H215" s="103"/>
      <c r="I215" s="103"/>
      <c r="J215" s="103">
        <v>10</v>
      </c>
      <c r="K215" s="103">
        <v>10</v>
      </c>
      <c r="L215" s="162"/>
      <c r="M215" s="162"/>
      <c r="N215" s="162"/>
      <c r="O215" s="162"/>
      <c r="P215" s="934">
        <f>IFERROR(IF(VLOOKUP(Table_Shelter[[#This Row],[CampName]],CL,5,0)&lt;Table_Shelter[[#This Row],[HH Covered2]],VLOOKUP(Table_Shelter[[#This Row],[CampName]],CL,5,0),Table_Shelter[[#This Row],[HH Covered2]]),"")</f>
        <v>0</v>
      </c>
      <c r="Q215" s="139">
        <f>IF(Table_Shelter[[#This Row],[Status]]="Open",IF(W215="NO",Table_Shelter[[#This Row],[HH per Shelter]]*(Table_Shelter[[#This Row],['# of Temporary Shelter Units Built]]+Table_Shelter[[#This Row],['# of Temporary Shelter Under  Construction]]+Table_Shelter[[#This Row],['# of Permanent House Under Construction]]),0),0)</f>
        <v>0</v>
      </c>
      <c r="R215" s="102"/>
      <c r="S215" s="162"/>
      <c r="T215" s="163" t="str">
        <f>IFERROR(VLOOKUP(Table_Shelter[[#This Row],[CampName]],CL,2,0),"")</f>
        <v>MMR001CMP188</v>
      </c>
      <c r="U215" s="163" t="str">
        <f>IFERROR(VLOOKUP(Table_Shelter[[#This Row],[CampName]],CL,3,0),"")</f>
        <v>Closed</v>
      </c>
      <c r="V215" s="240" t="str">
        <f>IFERROR(Table_Shelter[[#This Row],[HH Covered]]/VLOOKUP(Table_Shelter[[#This Row],[CampName]],CL,5,0),"")</f>
        <v/>
      </c>
      <c r="W215" s="240" t="s">
        <v>1292</v>
      </c>
      <c r="X215" s="164"/>
    </row>
    <row r="216" spans="1:24" ht="15" customHeight="1" x14ac:dyDescent="0.25">
      <c r="A216" s="483"/>
      <c r="B216" s="162" t="s">
        <v>861</v>
      </c>
      <c r="C216" s="162"/>
      <c r="D216" s="162" t="s">
        <v>380</v>
      </c>
      <c r="E216" s="307" t="s">
        <v>526</v>
      </c>
      <c r="F216" s="162" t="s">
        <v>76</v>
      </c>
      <c r="G216" s="103">
        <v>1</v>
      </c>
      <c r="H216" s="103">
        <v>5</v>
      </c>
      <c r="I216" s="103">
        <v>5</v>
      </c>
      <c r="J216" s="103"/>
      <c r="K216" s="103"/>
      <c r="L216" s="162"/>
      <c r="M216" s="162"/>
      <c r="N216" s="162"/>
      <c r="O216" s="162"/>
      <c r="P216" s="934">
        <f>IFERROR(IF(VLOOKUP(Table_Shelter[[#This Row],[CampName]],CL,5,0)&lt;Table_Shelter[[#This Row],[HH Covered2]],VLOOKUP(Table_Shelter[[#This Row],[CampName]],CL,5,0),Table_Shelter[[#This Row],[HH Covered2]]),"")</f>
        <v>0</v>
      </c>
      <c r="Q216" s="139">
        <f>IF(Table_Shelter[[#This Row],[Status]]="Open",IF(W216="NO",Table_Shelter[[#This Row],[HH per Shelter]]*(Table_Shelter[[#This Row],['# of Temporary Shelter Units Built]]+Table_Shelter[[#This Row],['# of Temporary Shelter Under  Construction]]+Table_Shelter[[#This Row],['# of Permanent House Under Construction]]),0),0)</f>
        <v>0</v>
      </c>
      <c r="R216" s="102"/>
      <c r="S216" s="162"/>
      <c r="T216" s="163" t="str">
        <f>IFERROR(VLOOKUP(Table_Shelter[[#This Row],[CampName]],CL,2,0),"")</f>
        <v>MMR001CMP174</v>
      </c>
      <c r="U216" s="163" t="str">
        <f>IFERROR(VLOOKUP(Table_Shelter[[#This Row],[CampName]],CL,3,0),"")</f>
        <v>Open</v>
      </c>
      <c r="V216" s="240">
        <f>IFERROR(Table_Shelter[[#This Row],[HH Covered]]/VLOOKUP(Table_Shelter[[#This Row],[CampName]],CL,5,0),"")</f>
        <v>0</v>
      </c>
      <c r="W216" s="240" t="s">
        <v>1292</v>
      </c>
      <c r="X216" s="164"/>
    </row>
    <row r="217" spans="1:24" ht="15" customHeight="1" x14ac:dyDescent="0.25">
      <c r="A217" s="483"/>
      <c r="B217" s="164" t="s">
        <v>451</v>
      </c>
      <c r="C217" s="164" t="s">
        <v>505</v>
      </c>
      <c r="D217" s="166" t="s">
        <v>380</v>
      </c>
      <c r="E217" s="168" t="s">
        <v>310</v>
      </c>
      <c r="F217" s="164" t="s">
        <v>334</v>
      </c>
      <c r="G217" s="105">
        <v>1</v>
      </c>
      <c r="H217" s="105"/>
      <c r="I217" s="105"/>
      <c r="J217" s="105">
        <v>202</v>
      </c>
      <c r="K217" s="105">
        <v>202</v>
      </c>
      <c r="L217" s="164"/>
      <c r="M217" s="164"/>
      <c r="N217" s="164"/>
      <c r="O217" s="164"/>
      <c r="P217" s="936">
        <f>IFERROR(IF(VLOOKUP(Table_Shelter[[#This Row],[CampName]],CL,5,0)&lt;Table_Shelter[[#This Row],[HH Covered2]],VLOOKUP(Table_Shelter[[#This Row],[CampName]],CL,5,0),Table_Shelter[[#This Row],[HH Covered2]]),"")</f>
        <v>152</v>
      </c>
      <c r="Q217" s="139">
        <f>IF(Table_Shelter[[#This Row],[Status]]="Open",IF(W217="NO",Table_Shelter[[#This Row],[HH per Shelter]]*(Table_Shelter[[#This Row],['# of Temporary Shelter Units Built]]+Table_Shelter[[#This Row],['# of Temporary Shelter Under  Construction]]+Table_Shelter[[#This Row],['# of Permanent House Under Construction]]),0),0)</f>
        <v>202</v>
      </c>
      <c r="R217" s="104"/>
      <c r="S217" s="164"/>
      <c r="T217" s="163" t="str">
        <f>IFERROR(VLOOKUP(Table_Shelter[[#This Row],[CampName]],CL,2,0),"")</f>
        <v>MMR001CMP113</v>
      </c>
      <c r="U217" s="163" t="str">
        <f>IFERROR(VLOOKUP(Table_Shelter[[#This Row],[CampName]],CL,3,0),"")</f>
        <v>Open</v>
      </c>
      <c r="V217" s="240">
        <f>IFERROR(Table_Shelter[[#This Row],[HH Covered]]/VLOOKUP(Table_Shelter[[#This Row],[CampName]],CL,5,0),"")</f>
        <v>1</v>
      </c>
      <c r="W217" s="240" t="s">
        <v>1292</v>
      </c>
      <c r="X217" s="164"/>
    </row>
    <row r="218" spans="1:24" ht="15" customHeight="1" x14ac:dyDescent="0.25">
      <c r="A218" s="483"/>
      <c r="B218" s="162" t="s">
        <v>451</v>
      </c>
      <c r="C218" s="162"/>
      <c r="D218" s="162" t="s">
        <v>380</v>
      </c>
      <c r="E218" s="307" t="s">
        <v>151</v>
      </c>
      <c r="F218" s="162" t="s">
        <v>188</v>
      </c>
      <c r="G218" s="103">
        <v>1</v>
      </c>
      <c r="H218" s="103"/>
      <c r="I218" s="103"/>
      <c r="J218" s="105">
        <v>150</v>
      </c>
      <c r="K218" s="103"/>
      <c r="L218" s="162"/>
      <c r="M218" s="162"/>
      <c r="N218" s="162"/>
      <c r="O218" s="162"/>
      <c r="P218" s="934">
        <f>IFERROR(IF(VLOOKUP(Table_Shelter[[#This Row],[CampName]],CL,5,0)&lt;Table_Shelter[[#This Row],[HH Covered2]],VLOOKUP(Table_Shelter[[#This Row],[CampName]],CL,5,0),Table_Shelter[[#This Row],[HH Covered2]]),"")</f>
        <v>0</v>
      </c>
      <c r="Q218" s="139">
        <f>IF(Table_Shelter[[#This Row],[Status]]="Open",IF(W218="NO",Table_Shelter[[#This Row],[HH per Shelter]]*(Table_Shelter[[#This Row],['# of Temporary Shelter Units Built]]+Table_Shelter[[#This Row],['# of Temporary Shelter Under  Construction]]+Table_Shelter[[#This Row],['# of Permanent House Under Construction]]),0),0)</f>
        <v>0</v>
      </c>
      <c r="R218" s="102"/>
      <c r="S218" s="162"/>
      <c r="T218" s="163" t="str">
        <f>IFERROR(VLOOKUP(Table_Shelter[[#This Row],[CampName]],CL,2,0),"")</f>
        <v>MMR001CMP129</v>
      </c>
      <c r="U218" s="163" t="str">
        <f>IFERROR(VLOOKUP(Table_Shelter[[#This Row],[CampName]],CL,3,0),"")</f>
        <v>Open</v>
      </c>
      <c r="V218" s="240">
        <f>IFERROR(Table_Shelter[[#This Row],[HH Covered]]/VLOOKUP(Table_Shelter[[#This Row],[CampName]],CL,5,0),"")</f>
        <v>0</v>
      </c>
      <c r="W218" s="240" t="s">
        <v>1292</v>
      </c>
      <c r="X218" s="164"/>
    </row>
    <row r="219" spans="1:24" ht="15" customHeight="1" x14ac:dyDescent="0.25">
      <c r="A219" s="483"/>
      <c r="B219" s="162" t="s">
        <v>452</v>
      </c>
      <c r="C219" s="162" t="s">
        <v>504</v>
      </c>
      <c r="D219" s="162" t="s">
        <v>380</v>
      </c>
      <c r="E219" s="307" t="s">
        <v>27</v>
      </c>
      <c r="F219" s="162" t="s">
        <v>28</v>
      </c>
      <c r="G219" s="103">
        <v>1</v>
      </c>
      <c r="H219" s="103"/>
      <c r="I219" s="103"/>
      <c r="J219" s="103">
        <v>82</v>
      </c>
      <c r="K219" s="103">
        <v>82</v>
      </c>
      <c r="L219" s="162"/>
      <c r="M219" s="162"/>
      <c r="N219" s="162"/>
      <c r="O219" s="162"/>
      <c r="P219" s="934">
        <f>IFERROR(IF(VLOOKUP(Table_Shelter[[#This Row],[CampName]],CL,5,0)&lt;Table_Shelter[[#This Row],[HH Covered2]],VLOOKUP(Table_Shelter[[#This Row],[CampName]],CL,5,0),Table_Shelter[[#This Row],[HH Covered2]]),"")</f>
        <v>82</v>
      </c>
      <c r="Q219" s="139">
        <f>IF(Table_Shelter[[#This Row],[Status]]="Open",IF(W219="NO",Table_Shelter[[#This Row],[HH per Shelter]]*(Table_Shelter[[#This Row],['# of Temporary Shelter Units Built]]+Table_Shelter[[#This Row],['# of Temporary Shelter Under  Construction]]+Table_Shelter[[#This Row],['# of Permanent House Under Construction]]),0),0)</f>
        <v>82</v>
      </c>
      <c r="R219" s="102"/>
      <c r="S219" s="162"/>
      <c r="T219" s="163" t="str">
        <f>IFERROR(VLOOKUP(Table_Shelter[[#This Row],[CampName]],CL,2,0),"")</f>
        <v>MMR001CMP042</v>
      </c>
      <c r="U219" s="163" t="str">
        <f>IFERROR(VLOOKUP(Table_Shelter[[#This Row],[CampName]],CL,3,0),"")</f>
        <v>Open</v>
      </c>
      <c r="V219" s="240">
        <f>IFERROR(Table_Shelter[[#This Row],[HH Covered]]/VLOOKUP(Table_Shelter[[#This Row],[CampName]],CL,5,0),"")</f>
        <v>0.7592592592592593</v>
      </c>
      <c r="W219" s="240" t="s">
        <v>1292</v>
      </c>
      <c r="X219" s="164"/>
    </row>
    <row r="220" spans="1:24" ht="15" customHeight="1" x14ac:dyDescent="0.25">
      <c r="A220" s="723"/>
      <c r="B220" s="162" t="s">
        <v>451</v>
      </c>
      <c r="C220" s="162" t="s">
        <v>504</v>
      </c>
      <c r="D220" s="169" t="s">
        <v>380</v>
      </c>
      <c r="E220" s="307" t="s">
        <v>27</v>
      </c>
      <c r="F220" s="162" t="s">
        <v>1098</v>
      </c>
      <c r="G220" s="103">
        <v>1</v>
      </c>
      <c r="H220" s="103"/>
      <c r="I220" s="103"/>
      <c r="J220" s="103">
        <v>20</v>
      </c>
      <c r="K220" s="103">
        <v>20</v>
      </c>
      <c r="L220" s="162"/>
      <c r="M220" s="162"/>
      <c r="N220" s="162"/>
      <c r="O220" s="162"/>
      <c r="P220" s="934">
        <f>IFERROR(IF(VLOOKUP(Table_Shelter[[#This Row],[CampName]],CL,5,0)&lt;Table_Shelter[[#This Row],[HH Covered2]],VLOOKUP(Table_Shelter[[#This Row],[CampName]],CL,5,0),Table_Shelter[[#This Row],[HH Covered2]]),"")</f>
        <v>20</v>
      </c>
      <c r="Q220" s="104">
        <f>IF(Table_Shelter[[#This Row],[Status]]="Open",IF(W220="NO",Table_Shelter[[#This Row],[HH per Shelter]]*(Table_Shelter[[#This Row],['# of Temporary Shelter Units Built]]+Table_Shelter[[#This Row],['# of Temporary Shelter Under  Construction]]+Table_Shelter[[#This Row],['# of Permanent House Under Construction]]),0),0)</f>
        <v>20</v>
      </c>
      <c r="R220" s="102"/>
      <c r="S220" s="102"/>
      <c r="T220" s="104" t="str">
        <f>IFERROR(VLOOKUP(Table_Shelter[[#This Row],[CampName]],CL,2,0),"")</f>
        <v>MMR001CMP042</v>
      </c>
      <c r="U220" s="104" t="str">
        <f>IFERROR(VLOOKUP(Table_Shelter[[#This Row],[CampName]],CL,3,0),"")</f>
        <v>Open</v>
      </c>
      <c r="V220" s="240">
        <f>IFERROR(Table_Shelter[[#This Row],[HH Covered]]/VLOOKUP(Table_Shelter[[#This Row],[CampName]],CL,5,0),"")</f>
        <v>0.18518518518518517</v>
      </c>
      <c r="W220" s="240" t="s">
        <v>1292</v>
      </c>
      <c r="X220" s="104"/>
    </row>
    <row r="221" spans="1:24" ht="15" customHeight="1" x14ac:dyDescent="0.25">
      <c r="A221" s="722"/>
      <c r="B221" s="103" t="s">
        <v>451</v>
      </c>
      <c r="C221" s="103" t="s">
        <v>504</v>
      </c>
      <c r="D221" s="169" t="s">
        <v>380</v>
      </c>
      <c r="E221" s="170" t="s">
        <v>526</v>
      </c>
      <c r="F221" s="103" t="s">
        <v>76</v>
      </c>
      <c r="G221" s="103">
        <v>1</v>
      </c>
      <c r="H221" s="105"/>
      <c r="I221" s="105"/>
      <c r="J221" s="105">
        <v>10</v>
      </c>
      <c r="K221" s="105">
        <v>10</v>
      </c>
      <c r="L221" s="105"/>
      <c r="M221" s="105"/>
      <c r="N221" s="105"/>
      <c r="O221" s="105"/>
      <c r="P221" s="936">
        <f>IFERROR(IF(VLOOKUP(Table_Shelter[[#This Row],[CampName]],CL,5,0)&lt;Table_Shelter[[#This Row],[HH Covered2]],VLOOKUP(Table_Shelter[[#This Row],[CampName]],CL,5,0),Table_Shelter[[#This Row],[HH Covered2]]),"")</f>
        <v>10</v>
      </c>
      <c r="Q221" s="104">
        <f>IF(Table_Shelter[[#This Row],[Status]]="Open",IF(W221="NO",Table_Shelter[[#This Row],[HH per Shelter]]*(Table_Shelter[[#This Row],['# of Temporary Shelter Units Built]]+Table_Shelter[[#This Row],['# of Temporary Shelter Under  Construction]]+Table_Shelter[[#This Row],['# of Permanent House Under Construction]]),0),0)</f>
        <v>10</v>
      </c>
      <c r="R221" s="104"/>
      <c r="S221" s="104"/>
      <c r="T221" s="104" t="str">
        <f>IFERROR(VLOOKUP(Table_Shelter[[#This Row],[CampName]],CL,2,0),"")</f>
        <v>MMR001CMP174</v>
      </c>
      <c r="U221" s="104" t="str">
        <f>IFERROR(VLOOKUP(Table_Shelter[[#This Row],[CampName]],CL,3,0),"")</f>
        <v>Open</v>
      </c>
      <c r="V221" s="241">
        <f>IFERROR(Table_Shelter[[#This Row],[HH Covered]]/VLOOKUP(Table_Shelter[[#This Row],[CampName]],CL,5,0),"")</f>
        <v>0.14285714285714285</v>
      </c>
      <c r="W221" s="240" t="s">
        <v>1292</v>
      </c>
      <c r="X221" s="104"/>
    </row>
    <row r="222" spans="1:24" ht="15" customHeight="1" x14ac:dyDescent="0.25">
      <c r="A222" s="723"/>
      <c r="B222" s="162" t="s">
        <v>451</v>
      </c>
      <c r="C222" s="162"/>
      <c r="D222" s="162" t="s">
        <v>380</v>
      </c>
      <c r="E222" s="307" t="s">
        <v>237</v>
      </c>
      <c r="F222" s="162" t="s">
        <v>243</v>
      </c>
      <c r="G222" s="103">
        <v>1</v>
      </c>
      <c r="H222" s="103"/>
      <c r="I222" s="103"/>
      <c r="J222" s="103">
        <v>3</v>
      </c>
      <c r="K222" s="103">
        <v>3</v>
      </c>
      <c r="L222" s="162"/>
      <c r="M222" s="162"/>
      <c r="N222" s="162"/>
      <c r="O222" s="162"/>
      <c r="P222" s="934">
        <f>IFERROR(IF(VLOOKUP(Table_Shelter[[#This Row],[CampName]],CL,5,0)&lt;Table_Shelter[[#This Row],[HH Covered2]],VLOOKUP(Table_Shelter[[#This Row],[CampName]],CL,5,0),Table_Shelter[[#This Row],[HH Covered2]]),"")</f>
        <v>3</v>
      </c>
      <c r="Q222" s="139">
        <f>IF(Table_Shelter[[#This Row],[Status]]="Open",IF(W222="NO",Table_Shelter[[#This Row],[HH per Shelter]]*(Table_Shelter[[#This Row],['# of Temporary Shelter Units Built]]+Table_Shelter[[#This Row],['# of Temporary Shelter Under  Construction]]+Table_Shelter[[#This Row],['# of Permanent House Under Construction]]),0),0)</f>
        <v>3</v>
      </c>
      <c r="R222" s="102"/>
      <c r="S222" s="162"/>
      <c r="T222" s="163" t="str">
        <f>IFERROR(VLOOKUP(Table_Shelter[[#This Row],[CampName]],CL,2,0),"")</f>
        <v>MMR001CMP012</v>
      </c>
      <c r="U222" s="163" t="str">
        <f>IFERROR(VLOOKUP(Table_Shelter[[#This Row],[CampName]],CL,3,0),"")</f>
        <v>Open</v>
      </c>
      <c r="V222" s="240">
        <f>IFERROR(Table_Shelter[[#This Row],[HH Covered]]/VLOOKUP(Table_Shelter[[#This Row],[CampName]],CL,5,0),"")</f>
        <v>0.5</v>
      </c>
      <c r="W222" s="240" t="s">
        <v>1292</v>
      </c>
      <c r="X222" s="164"/>
    </row>
    <row r="223" spans="1:24" ht="15" customHeight="1" x14ac:dyDescent="0.25">
      <c r="A223" s="483"/>
      <c r="B223" s="162" t="s">
        <v>861</v>
      </c>
      <c r="C223" s="162"/>
      <c r="D223" s="162" t="s">
        <v>380</v>
      </c>
      <c r="E223" s="307" t="s">
        <v>526</v>
      </c>
      <c r="F223" s="162" t="s">
        <v>44</v>
      </c>
      <c r="G223" s="103">
        <v>1</v>
      </c>
      <c r="H223" s="103">
        <v>20</v>
      </c>
      <c r="I223" s="103">
        <v>20</v>
      </c>
      <c r="J223" s="103"/>
      <c r="K223" s="103"/>
      <c r="L223" s="162"/>
      <c r="M223" s="162"/>
      <c r="N223" s="162"/>
      <c r="O223" s="162"/>
      <c r="P223" s="934">
        <f>IFERROR(IF(VLOOKUP(Table_Shelter[[#This Row],[CampName]],CL,5,0)&lt;Table_Shelter[[#This Row],[HH Covered2]],VLOOKUP(Table_Shelter[[#This Row],[CampName]],CL,5,0),Table_Shelter[[#This Row],[HH Covered2]]),"")</f>
        <v>0</v>
      </c>
      <c r="Q223" s="139">
        <f>IF(Table_Shelter[[#This Row],[Status]]="Open",IF(W223="NO",Table_Shelter[[#This Row],[HH per Shelter]]*(Table_Shelter[[#This Row],['# of Temporary Shelter Units Built]]+Table_Shelter[[#This Row],['# of Temporary Shelter Under  Construction]]+Table_Shelter[[#This Row],['# of Permanent House Under Construction]]),0),0)</f>
        <v>0</v>
      </c>
      <c r="R223" s="102"/>
      <c r="S223" s="162"/>
      <c r="T223" s="163" t="str">
        <f>IFERROR(VLOOKUP(Table_Shelter[[#This Row],[CampName]],CL,2,0),"")</f>
        <v>MMR001CMP191</v>
      </c>
      <c r="U223" s="163" t="str">
        <f>IFERROR(VLOOKUP(Table_Shelter[[#This Row],[CampName]],CL,3,0),"")</f>
        <v>Open</v>
      </c>
      <c r="V223" s="240">
        <f>IFERROR(Table_Shelter[[#This Row],[HH Covered]]/VLOOKUP(Table_Shelter[[#This Row],[CampName]],CL,5,0),"")</f>
        <v>0</v>
      </c>
      <c r="W223" s="240" t="s">
        <v>1292</v>
      </c>
      <c r="X223" s="164"/>
    </row>
    <row r="224" spans="1:24" ht="15" customHeight="1" x14ac:dyDescent="0.25">
      <c r="A224" s="483"/>
      <c r="B224" s="162" t="s">
        <v>451</v>
      </c>
      <c r="C224" s="162"/>
      <c r="D224" s="162" t="s">
        <v>380</v>
      </c>
      <c r="E224" s="307" t="s">
        <v>237</v>
      </c>
      <c r="F224" s="162" t="s">
        <v>247</v>
      </c>
      <c r="G224" s="103">
        <v>1</v>
      </c>
      <c r="H224" s="103"/>
      <c r="I224" s="103"/>
      <c r="J224" s="105">
        <v>3</v>
      </c>
      <c r="K224" s="103">
        <v>3</v>
      </c>
      <c r="L224" s="162"/>
      <c r="M224" s="162"/>
      <c r="N224" s="162"/>
      <c r="O224" s="162"/>
      <c r="P224" s="934">
        <f>IFERROR(IF(VLOOKUP(Table_Shelter[[#This Row],[CampName]],CL,5,0)&lt;Table_Shelter[[#This Row],[HH Covered2]],VLOOKUP(Table_Shelter[[#This Row],[CampName]],CL,5,0),Table_Shelter[[#This Row],[HH Covered2]]),"")</f>
        <v>3</v>
      </c>
      <c r="Q224" s="139">
        <f>IF(Table_Shelter[[#This Row],[Status]]="Open",IF(W224="NO",Table_Shelter[[#This Row],[HH per Shelter]]*(Table_Shelter[[#This Row],['# of Temporary Shelter Units Built]]+Table_Shelter[[#This Row],['# of Temporary Shelter Under  Construction]]+Table_Shelter[[#This Row],['# of Permanent House Under Construction]]),0),0)</f>
        <v>3</v>
      </c>
      <c r="R224" s="102"/>
      <c r="S224" s="162"/>
      <c r="T224" s="163" t="str">
        <f>IFERROR(VLOOKUP(Table_Shelter[[#This Row],[CampName]],CL,2,0),"")</f>
        <v>MMR001CMP011</v>
      </c>
      <c r="U224" s="163" t="str">
        <f>IFERROR(VLOOKUP(Table_Shelter[[#This Row],[CampName]],CL,3,0),"")</f>
        <v>Open</v>
      </c>
      <c r="V224" s="240">
        <f>IFERROR(Table_Shelter[[#This Row],[HH Covered]]/VLOOKUP(Table_Shelter[[#This Row],[CampName]],CL,5,0),"")</f>
        <v>9.6774193548387094E-2</v>
      </c>
      <c r="W224" s="240" t="s">
        <v>1292</v>
      </c>
      <c r="X224" s="164"/>
    </row>
    <row r="225" spans="1:24" ht="15" customHeight="1" x14ac:dyDescent="0.25">
      <c r="A225" s="483"/>
      <c r="B225" s="162" t="s">
        <v>451</v>
      </c>
      <c r="C225" s="162" t="s">
        <v>505</v>
      </c>
      <c r="D225" s="165" t="s">
        <v>380</v>
      </c>
      <c r="E225" s="307" t="s">
        <v>185</v>
      </c>
      <c r="F225" s="162" t="s">
        <v>192</v>
      </c>
      <c r="G225" s="103">
        <v>1</v>
      </c>
      <c r="H225" s="103"/>
      <c r="I225" s="103"/>
      <c r="J225" s="103">
        <v>123</v>
      </c>
      <c r="K225" s="103">
        <v>123</v>
      </c>
      <c r="L225" s="162"/>
      <c r="M225" s="162"/>
      <c r="N225" s="162"/>
      <c r="O225" s="162"/>
      <c r="P225" s="934">
        <f>IFERROR(IF(VLOOKUP(Table_Shelter[[#This Row],[CampName]],CL,5,0)&lt;Table_Shelter[[#This Row],[HH Covered2]],VLOOKUP(Table_Shelter[[#This Row],[CampName]],CL,5,0),Table_Shelter[[#This Row],[HH Covered2]]),"")</f>
        <v>103</v>
      </c>
      <c r="Q225" s="139">
        <f>IF(Table_Shelter[[#This Row],[Status]]="Open",IF(W225="NO",Table_Shelter[[#This Row],[HH per Shelter]]*(Table_Shelter[[#This Row],['# of Temporary Shelter Units Built]]+Table_Shelter[[#This Row],['# of Temporary Shelter Under  Construction]]+Table_Shelter[[#This Row],['# of Permanent House Under Construction]]),0),0)</f>
        <v>123</v>
      </c>
      <c r="R225" s="102"/>
      <c r="S225" s="162"/>
      <c r="T225" s="163" t="str">
        <f>IFERROR(VLOOKUP(Table_Shelter[[#This Row],[CampName]],CL,2,0),"")</f>
        <v>MMR001CMP123</v>
      </c>
      <c r="U225" s="163" t="str">
        <f>IFERROR(VLOOKUP(Table_Shelter[[#This Row],[CampName]],CL,3,0),"")</f>
        <v>Open</v>
      </c>
      <c r="V225" s="240">
        <f>IFERROR(Table_Shelter[[#This Row],[HH Covered]]/VLOOKUP(Table_Shelter[[#This Row],[CampName]],CL,5,0),"")</f>
        <v>1</v>
      </c>
      <c r="W225" s="240" t="s">
        <v>1292</v>
      </c>
      <c r="X225" s="164"/>
    </row>
    <row r="226" spans="1:24" ht="15" customHeight="1" x14ac:dyDescent="0.25">
      <c r="A226" s="483"/>
      <c r="B226" s="162" t="s">
        <v>451</v>
      </c>
      <c r="C226" s="162" t="s">
        <v>504</v>
      </c>
      <c r="D226" s="162" t="s">
        <v>380</v>
      </c>
      <c r="E226" s="307" t="s">
        <v>310</v>
      </c>
      <c r="F226" s="162" t="s">
        <v>313</v>
      </c>
      <c r="G226" s="103">
        <v>1</v>
      </c>
      <c r="H226" s="103"/>
      <c r="I226" s="103"/>
      <c r="J226" s="103">
        <v>45</v>
      </c>
      <c r="K226" s="103">
        <v>45</v>
      </c>
      <c r="L226" s="162"/>
      <c r="M226" s="162"/>
      <c r="N226" s="162"/>
      <c r="O226" s="162"/>
      <c r="P226" s="934">
        <f>IFERROR(IF(VLOOKUP(Table_Shelter[[#This Row],[CampName]],CL,5,0)&lt;Table_Shelter[[#This Row],[HH Covered2]],VLOOKUP(Table_Shelter[[#This Row],[CampName]],CL,5,0),Table_Shelter[[#This Row],[HH Covered2]]),"")</f>
        <v>45</v>
      </c>
      <c r="Q226" s="139">
        <f>IF(Table_Shelter[[#This Row],[Status]]="Open",IF(W226="NO",Table_Shelter[[#This Row],[HH per Shelter]]*(Table_Shelter[[#This Row],['# of Temporary Shelter Units Built]]+Table_Shelter[[#This Row],['# of Temporary Shelter Under  Construction]]+Table_Shelter[[#This Row],['# of Permanent House Under Construction]]),0),0)</f>
        <v>45</v>
      </c>
      <c r="R226" s="102"/>
      <c r="S226" s="162"/>
      <c r="T226" s="163" t="str">
        <f>IFERROR(VLOOKUP(Table_Shelter[[#This Row],[CampName]],CL,2,0),"")</f>
        <v>MMR001CMP028</v>
      </c>
      <c r="U226" s="163" t="str">
        <f>IFERROR(VLOOKUP(Table_Shelter[[#This Row],[CampName]],CL,3,0),"")</f>
        <v>Open</v>
      </c>
      <c r="V226" s="240">
        <f>IFERROR(Table_Shelter[[#This Row],[HH Covered]]/VLOOKUP(Table_Shelter[[#This Row],[CampName]],CL,5,0),"")</f>
        <v>0.44117647058823528</v>
      </c>
      <c r="W226" s="240" t="s">
        <v>1292</v>
      </c>
      <c r="X226" s="164"/>
    </row>
    <row r="227" spans="1:24" ht="15" customHeight="1" x14ac:dyDescent="0.25">
      <c r="A227" s="483"/>
      <c r="B227" s="162" t="s">
        <v>452</v>
      </c>
      <c r="C227" s="162" t="s">
        <v>504</v>
      </c>
      <c r="D227" s="162" t="s">
        <v>380</v>
      </c>
      <c r="E227" s="307" t="s">
        <v>310</v>
      </c>
      <c r="F227" s="162" t="s">
        <v>336</v>
      </c>
      <c r="G227" s="103">
        <v>1</v>
      </c>
      <c r="H227" s="103"/>
      <c r="I227" s="103"/>
      <c r="J227" s="103">
        <v>100</v>
      </c>
      <c r="K227" s="103">
        <v>100</v>
      </c>
      <c r="L227" s="162"/>
      <c r="M227" s="162"/>
      <c r="N227" s="162"/>
      <c r="O227" s="162"/>
      <c r="P227" s="934">
        <f>IFERROR(IF(VLOOKUP(Table_Shelter[[#This Row],[CampName]],CL,5,0)&lt;Table_Shelter[[#This Row],[HH Covered2]],VLOOKUP(Table_Shelter[[#This Row],[CampName]],CL,5,0),Table_Shelter[[#This Row],[HH Covered2]]),"")</f>
        <v>100</v>
      </c>
      <c r="Q227" s="139">
        <f>IF(Table_Shelter[[#This Row],[Status]]="Open",IF(W227="NO",Table_Shelter[[#This Row],[HH per Shelter]]*(Table_Shelter[[#This Row],['# of Temporary Shelter Units Built]]+Table_Shelter[[#This Row],['# of Temporary Shelter Under  Construction]]+Table_Shelter[[#This Row],['# of Permanent House Under Construction]]),0),0)</f>
        <v>100</v>
      </c>
      <c r="R227" s="102"/>
      <c r="S227" s="162"/>
      <c r="T227" s="163" t="str">
        <f>IFERROR(VLOOKUP(Table_Shelter[[#This Row],[CampName]],CL,2,0),"")</f>
        <v>MMR001CMP115</v>
      </c>
      <c r="U227" s="163" t="str">
        <f>IFERROR(VLOOKUP(Table_Shelter[[#This Row],[CampName]],CL,3,0),"")</f>
        <v>Open</v>
      </c>
      <c r="V227" s="240">
        <f>IFERROR(Table_Shelter[[#This Row],[HH Covered]]/VLOOKUP(Table_Shelter[[#This Row],[CampName]],CL,5,0),"")</f>
        <v>0.67114093959731547</v>
      </c>
      <c r="W227" s="240" t="s">
        <v>1292</v>
      </c>
      <c r="X227" s="164"/>
    </row>
    <row r="228" spans="1:24" ht="15" customHeight="1" x14ac:dyDescent="0.25">
      <c r="A228" s="483"/>
      <c r="B228" s="162" t="s">
        <v>451</v>
      </c>
      <c r="C228" s="162" t="s">
        <v>504</v>
      </c>
      <c r="D228" s="165" t="s">
        <v>380</v>
      </c>
      <c r="E228" s="307" t="s">
        <v>526</v>
      </c>
      <c r="F228" s="162" t="s">
        <v>44</v>
      </c>
      <c r="G228" s="103">
        <v>1</v>
      </c>
      <c r="H228" s="103"/>
      <c r="I228" s="103"/>
      <c r="J228" s="103">
        <v>5</v>
      </c>
      <c r="K228" s="103">
        <v>5</v>
      </c>
      <c r="L228" s="162"/>
      <c r="M228" s="162"/>
      <c r="N228" s="162"/>
      <c r="O228" s="162"/>
      <c r="P228" s="934">
        <f>IFERROR(IF(VLOOKUP(Table_Shelter[[#This Row],[CampName]],CL,5,0)&lt;Table_Shelter[[#This Row],[HH Covered2]],VLOOKUP(Table_Shelter[[#This Row],[CampName]],CL,5,0),Table_Shelter[[#This Row],[HH Covered2]]),"")</f>
        <v>4</v>
      </c>
      <c r="Q228" s="139">
        <f>IF(Table_Shelter[[#This Row],[Status]]="Open",IF(W228="NO",Table_Shelter[[#This Row],[HH per Shelter]]*(Table_Shelter[[#This Row],['# of Temporary Shelter Units Built]]+Table_Shelter[[#This Row],['# of Temporary Shelter Under  Construction]]+Table_Shelter[[#This Row],['# of Permanent House Under Construction]]),0),0)</f>
        <v>5</v>
      </c>
      <c r="R228" s="102"/>
      <c r="S228" s="162"/>
      <c r="T228" s="163" t="str">
        <f>IFERROR(VLOOKUP(Table_Shelter[[#This Row],[CampName]],CL,2,0),"")</f>
        <v>MMR001CMP191</v>
      </c>
      <c r="U228" s="163" t="str">
        <f>IFERROR(VLOOKUP(Table_Shelter[[#This Row],[CampName]],CL,3,0),"")</f>
        <v>Open</v>
      </c>
      <c r="V228" s="240">
        <f>IFERROR(Table_Shelter[[#This Row],[HH Covered]]/VLOOKUP(Table_Shelter[[#This Row],[CampName]],CL,5,0),"")</f>
        <v>1</v>
      </c>
      <c r="W228" s="240" t="s">
        <v>1292</v>
      </c>
      <c r="X228" s="164"/>
    </row>
    <row r="229" spans="1:24" ht="15" customHeight="1" x14ac:dyDescent="0.25">
      <c r="A229" s="678"/>
      <c r="B229" s="162" t="s">
        <v>451</v>
      </c>
      <c r="C229" s="162" t="s">
        <v>459</v>
      </c>
      <c r="D229" s="165" t="s">
        <v>552</v>
      </c>
      <c r="E229" s="307" t="s">
        <v>289</v>
      </c>
      <c r="F229" s="162" t="s">
        <v>292</v>
      </c>
      <c r="G229" s="103">
        <v>1</v>
      </c>
      <c r="H229" s="105"/>
      <c r="I229" s="105"/>
      <c r="J229" s="105">
        <v>20</v>
      </c>
      <c r="K229" s="105">
        <v>20</v>
      </c>
      <c r="L229" s="164"/>
      <c r="M229" s="164"/>
      <c r="N229" s="164"/>
      <c r="O229" s="164"/>
      <c r="P229" s="936">
        <f>IFERROR(IF(VLOOKUP(Table_Shelter[[#This Row],[CampName]],CL,5,0)&lt;Table_Shelter[[#This Row],[HH Covered2]],VLOOKUP(Table_Shelter[[#This Row],[CampName]],CL,5,0),Table_Shelter[[#This Row],[HH Covered2]]),"")</f>
        <v>20</v>
      </c>
      <c r="Q229" s="104">
        <f>IF(Table_Shelter[[#This Row],[Status]]="Open",IF(W229="NO",Table_Shelter[[#This Row],[HH per Shelter]]*(Table_Shelter[[#This Row],['# of Temporary Shelter Units Built]]+Table_Shelter[[#This Row],['# of Temporary Shelter Under  Construction]]+Table_Shelter[[#This Row],['# of Permanent House Under Construction]]),0),0)</f>
        <v>20</v>
      </c>
      <c r="R229" s="104"/>
      <c r="S229" s="164"/>
      <c r="T229" s="164" t="str">
        <f>IFERROR(VLOOKUP(Table_Shelter[[#This Row],[CampName]],CL,2,0),"")</f>
        <v>MMR015CMP004</v>
      </c>
      <c r="U229" s="164" t="str">
        <f>IFERROR(VLOOKUP(Table_Shelter[[#This Row],[CampName]],CL,3,0),"")</f>
        <v>Open</v>
      </c>
      <c r="V229" s="240">
        <f>IFERROR(Table_Shelter[[#This Row],[HH Covered]]/VLOOKUP(Table_Shelter[[#This Row],[CampName]],CL,5,0),"")</f>
        <v>0.27027027027027029</v>
      </c>
      <c r="W229" s="240" t="s">
        <v>1292</v>
      </c>
      <c r="X229" s="164"/>
    </row>
    <row r="230" spans="1:24" ht="15" customHeight="1" x14ac:dyDescent="0.25">
      <c r="A230" s="483"/>
      <c r="B230" s="162" t="s">
        <v>452</v>
      </c>
      <c r="C230" s="162" t="s">
        <v>505</v>
      </c>
      <c r="D230" s="165" t="s">
        <v>380</v>
      </c>
      <c r="E230" s="307" t="s">
        <v>185</v>
      </c>
      <c r="F230" s="162" t="s">
        <v>194</v>
      </c>
      <c r="G230" s="103">
        <v>1</v>
      </c>
      <c r="H230" s="103"/>
      <c r="I230" s="103"/>
      <c r="J230" s="103">
        <v>338</v>
      </c>
      <c r="K230" s="103">
        <v>338</v>
      </c>
      <c r="L230" s="162"/>
      <c r="M230" s="162"/>
      <c r="N230" s="162"/>
      <c r="O230" s="162"/>
      <c r="P230" s="934">
        <f>IFERROR(IF(VLOOKUP(Table_Shelter[[#This Row],[CampName]],CL,5,0)&lt;Table_Shelter[[#This Row],[HH Covered2]],VLOOKUP(Table_Shelter[[#This Row],[CampName]],CL,5,0),Table_Shelter[[#This Row],[HH Covered2]]),"")</f>
        <v>338</v>
      </c>
      <c r="Q230" s="139">
        <f>IF(Table_Shelter[[#This Row],[Status]]="Open",IF(W230="NO",Table_Shelter[[#This Row],[HH per Shelter]]*(Table_Shelter[[#This Row],['# of Temporary Shelter Units Built]]+Table_Shelter[[#This Row],['# of Temporary Shelter Under  Construction]]+Table_Shelter[[#This Row],['# of Permanent House Under Construction]]),0),0)</f>
        <v>338</v>
      </c>
      <c r="R230" s="102"/>
      <c r="S230" s="162"/>
      <c r="T230" s="163" t="str">
        <f>IFERROR(VLOOKUP(Table_Shelter[[#This Row],[CampName]],CL,2,0),"")</f>
        <v>MMR001CMP122</v>
      </c>
      <c r="U230" s="163" t="str">
        <f>IFERROR(VLOOKUP(Table_Shelter[[#This Row],[CampName]],CL,3,0),"")</f>
        <v>Open</v>
      </c>
      <c r="V230" s="240">
        <f>IFERROR(Table_Shelter[[#This Row],[HH Covered]]/VLOOKUP(Table_Shelter[[#This Row],[CampName]],CL,5,0),"")</f>
        <v>0.47075208913649025</v>
      </c>
      <c r="W230" s="240" t="s">
        <v>1292</v>
      </c>
      <c r="X230" s="164"/>
    </row>
    <row r="231" spans="1:24" ht="15" customHeight="1" x14ac:dyDescent="0.25">
      <c r="A231" s="483"/>
      <c r="B231" s="162" t="s">
        <v>845</v>
      </c>
      <c r="C231" s="162"/>
      <c r="D231" s="162" t="s">
        <v>380</v>
      </c>
      <c r="E231" s="307" t="s">
        <v>5</v>
      </c>
      <c r="F231" s="162" t="s">
        <v>14</v>
      </c>
      <c r="G231" s="103">
        <v>1</v>
      </c>
      <c r="H231" s="103"/>
      <c r="I231" s="103"/>
      <c r="J231" s="103">
        <v>38</v>
      </c>
      <c r="K231" s="103">
        <v>38</v>
      </c>
      <c r="L231" s="162"/>
      <c r="M231" s="162"/>
      <c r="N231" s="162"/>
      <c r="O231" s="162"/>
      <c r="P231" s="934">
        <f>IFERROR(IF(VLOOKUP(Table_Shelter[[#This Row],[CampName]],CL,5,0)&lt;Table_Shelter[[#This Row],[HH Covered2]],VLOOKUP(Table_Shelter[[#This Row],[CampName]],CL,5,0),Table_Shelter[[#This Row],[HH Covered2]]),"")</f>
        <v>38</v>
      </c>
      <c r="Q231" s="139">
        <f>IF(Table_Shelter[[#This Row],[Status]]="Open",IF(W231="NO",Table_Shelter[[#This Row],[HH per Shelter]]*(Table_Shelter[[#This Row],['# of Temporary Shelter Units Built]]+Table_Shelter[[#This Row],['# of Temporary Shelter Under  Construction]]+Table_Shelter[[#This Row],['# of Permanent House Under Construction]]),0),0)</f>
        <v>38</v>
      </c>
      <c r="R231" s="102"/>
      <c r="S231" s="162"/>
      <c r="T231" s="163" t="str">
        <f>IFERROR(VLOOKUP(Table_Shelter[[#This Row],[CampName]],CL,2,0),"")</f>
        <v>MMR001CMP052</v>
      </c>
      <c r="U231" s="163" t="str">
        <f>IFERROR(VLOOKUP(Table_Shelter[[#This Row],[CampName]],CL,3,0),"")</f>
        <v>Open</v>
      </c>
      <c r="V231" s="240">
        <f>IFERROR(Table_Shelter[[#This Row],[HH Covered]]/VLOOKUP(Table_Shelter[[#This Row],[CampName]],CL,5,0),"")</f>
        <v>1</v>
      </c>
      <c r="W231" s="240" t="s">
        <v>1292</v>
      </c>
      <c r="X231" s="164"/>
    </row>
    <row r="232" spans="1:24" ht="15" customHeight="1" x14ac:dyDescent="0.25">
      <c r="A232" s="483"/>
      <c r="B232" s="162" t="s">
        <v>451</v>
      </c>
      <c r="C232" s="162"/>
      <c r="D232" s="162" t="s">
        <v>380</v>
      </c>
      <c r="E232" s="307" t="s">
        <v>5</v>
      </c>
      <c r="F232" s="162" t="s">
        <v>14</v>
      </c>
      <c r="G232" s="103">
        <v>1</v>
      </c>
      <c r="H232" s="103"/>
      <c r="I232" s="103"/>
      <c r="J232" s="103">
        <v>5</v>
      </c>
      <c r="K232" s="103"/>
      <c r="L232" s="162"/>
      <c r="M232" s="162"/>
      <c r="N232" s="162"/>
      <c r="O232" s="162"/>
      <c r="P232" s="934">
        <f>IFERROR(IF(VLOOKUP(Table_Shelter[[#This Row],[CampName]],CL,5,0)&lt;Table_Shelter[[#This Row],[HH Covered2]],VLOOKUP(Table_Shelter[[#This Row],[CampName]],CL,5,0),Table_Shelter[[#This Row],[HH Covered2]]),"")</f>
        <v>0</v>
      </c>
      <c r="Q232" s="139">
        <f>IF(Table_Shelter[[#This Row],[Status]]="Open",IF(W232="NO",Table_Shelter[[#This Row],[HH per Shelter]]*(Table_Shelter[[#This Row],['# of Temporary Shelter Units Built]]+Table_Shelter[[#This Row],['# of Temporary Shelter Under  Construction]]+Table_Shelter[[#This Row],['# of Permanent House Under Construction]]),0),0)</f>
        <v>0</v>
      </c>
      <c r="R232" s="102"/>
      <c r="S232" s="162"/>
      <c r="T232" s="163" t="str">
        <f>IFERROR(VLOOKUP(Table_Shelter[[#This Row],[CampName]],CL,2,0),"")</f>
        <v>MMR001CMP052</v>
      </c>
      <c r="U232" s="163" t="str">
        <f>IFERROR(VLOOKUP(Table_Shelter[[#This Row],[CampName]],CL,3,0),"")</f>
        <v>Open</v>
      </c>
      <c r="V232" s="240">
        <f>IFERROR(Table_Shelter[[#This Row],[HH Covered]]/VLOOKUP(Table_Shelter[[#This Row],[CampName]],CL,5,0),"")</f>
        <v>0</v>
      </c>
      <c r="W232" s="240" t="s">
        <v>1292</v>
      </c>
      <c r="X232" s="164"/>
    </row>
    <row r="233" spans="1:24" ht="15" customHeight="1" x14ac:dyDescent="0.25">
      <c r="A233" s="483"/>
      <c r="B233" s="162" t="s">
        <v>846</v>
      </c>
      <c r="C233" s="162" t="s">
        <v>505</v>
      </c>
      <c r="D233" s="162" t="s">
        <v>380</v>
      </c>
      <c r="E233" s="307" t="s">
        <v>237</v>
      </c>
      <c r="F233" s="162" t="s">
        <v>253</v>
      </c>
      <c r="G233" s="103">
        <v>1</v>
      </c>
      <c r="H233" s="103"/>
      <c r="I233" s="103"/>
      <c r="J233" s="103">
        <v>20</v>
      </c>
      <c r="K233" s="103">
        <v>20</v>
      </c>
      <c r="L233" s="162"/>
      <c r="M233" s="162"/>
      <c r="N233" s="162"/>
      <c r="O233" s="162"/>
      <c r="P233" s="934">
        <f>IFERROR(IF(VLOOKUP(Table_Shelter[[#This Row],[CampName]],CL,5,0)&lt;Table_Shelter[[#This Row],[HH Covered2]],VLOOKUP(Table_Shelter[[#This Row],[CampName]],CL,5,0),Table_Shelter[[#This Row],[HH Covered2]]),"")</f>
        <v>20</v>
      </c>
      <c r="Q233" s="139">
        <f>IF(Table_Shelter[[#This Row],[Status]]="Open",IF(W233="NO",Table_Shelter[[#This Row],[HH per Shelter]]*(Table_Shelter[[#This Row],['# of Temporary Shelter Units Built]]+Table_Shelter[[#This Row],['# of Temporary Shelter Under  Construction]]+Table_Shelter[[#This Row],['# of Permanent House Under Construction]]),0),0)</f>
        <v>20</v>
      </c>
      <c r="R233" s="102"/>
      <c r="S233" s="162"/>
      <c r="T233" s="163" t="str">
        <f>IFERROR(VLOOKUP(Table_Shelter[[#This Row],[CampName]],CL,2,0),"")</f>
        <v>MMR001CMP018</v>
      </c>
      <c r="U233" s="163" t="str">
        <f>IFERROR(VLOOKUP(Table_Shelter[[#This Row],[CampName]],CL,3,0),"")</f>
        <v>Open</v>
      </c>
      <c r="V233" s="240">
        <f>IFERROR(Table_Shelter[[#This Row],[HH Covered]]/VLOOKUP(Table_Shelter[[#This Row],[CampName]],CL,5,0),"")</f>
        <v>0.1</v>
      </c>
      <c r="W233" s="240" t="s">
        <v>1292</v>
      </c>
      <c r="X233" s="164"/>
    </row>
    <row r="234" spans="1:24" ht="15" customHeight="1" x14ac:dyDescent="0.25">
      <c r="A234" s="678"/>
      <c r="B234" s="162" t="s">
        <v>452</v>
      </c>
      <c r="C234" s="162" t="s">
        <v>459</v>
      </c>
      <c r="D234" s="165" t="s">
        <v>552</v>
      </c>
      <c r="E234" s="307" t="s">
        <v>289</v>
      </c>
      <c r="F234" s="162" t="s">
        <v>290</v>
      </c>
      <c r="G234" s="103">
        <v>1</v>
      </c>
      <c r="H234" s="105"/>
      <c r="I234" s="105"/>
      <c r="J234" s="105">
        <v>30</v>
      </c>
      <c r="K234" s="105">
        <v>30</v>
      </c>
      <c r="L234" s="164"/>
      <c r="M234" s="164"/>
      <c r="N234" s="164"/>
      <c r="O234" s="164"/>
      <c r="P234" s="936">
        <f>IFERROR(IF(VLOOKUP(Table_Shelter[[#This Row],[CampName]],CL,5,0)&lt;Table_Shelter[[#This Row],[HH Covered2]],VLOOKUP(Table_Shelter[[#This Row],[CampName]],CL,5,0),Table_Shelter[[#This Row],[HH Covered2]]),"")</f>
        <v>30</v>
      </c>
      <c r="Q234" s="104">
        <f>IF(Table_Shelter[[#This Row],[Status]]="Open",IF(W234="NO",Table_Shelter[[#This Row],[HH per Shelter]]*(Table_Shelter[[#This Row],['# of Temporary Shelter Units Built]]+Table_Shelter[[#This Row],['# of Temporary Shelter Under  Construction]]+Table_Shelter[[#This Row],['# of Permanent House Under Construction]]),0),0)</f>
        <v>30</v>
      </c>
      <c r="R234" s="104"/>
      <c r="S234" s="164"/>
      <c r="T234" s="164" t="str">
        <f>IFERROR(VLOOKUP(Table_Shelter[[#This Row],[CampName]],CL,2,0),"")</f>
        <v>MMR015CMP001</v>
      </c>
      <c r="U234" s="164" t="str">
        <f>IFERROR(VLOOKUP(Table_Shelter[[#This Row],[CampName]],CL,3,0),"")</f>
        <v>Open</v>
      </c>
      <c r="V234" s="240">
        <f>IFERROR(Table_Shelter[[#This Row],[HH Covered]]/VLOOKUP(Table_Shelter[[#This Row],[CampName]],CL,5,0),"")</f>
        <v>0.44776119402985076</v>
      </c>
      <c r="W234" s="240" t="s">
        <v>1292</v>
      </c>
      <c r="X234" s="164"/>
    </row>
    <row r="235" spans="1:24" ht="15" customHeight="1" x14ac:dyDescent="0.25">
      <c r="A235" s="483"/>
      <c r="B235" s="162" t="s">
        <v>451</v>
      </c>
      <c r="C235" s="162"/>
      <c r="D235" s="162" t="s">
        <v>380</v>
      </c>
      <c r="E235" s="307" t="s">
        <v>237</v>
      </c>
      <c r="F235" s="162" t="s">
        <v>253</v>
      </c>
      <c r="G235" s="103">
        <v>1</v>
      </c>
      <c r="H235" s="103"/>
      <c r="I235" s="103"/>
      <c r="J235" s="103">
        <v>50</v>
      </c>
      <c r="K235" s="103">
        <v>50</v>
      </c>
      <c r="L235" s="162"/>
      <c r="M235" s="162"/>
      <c r="N235" s="162"/>
      <c r="O235" s="162"/>
      <c r="P235" s="934">
        <f>IFERROR(IF(VLOOKUP(Table_Shelter[[#This Row],[CampName]],CL,5,0)&lt;Table_Shelter[[#This Row],[HH Covered2]],VLOOKUP(Table_Shelter[[#This Row],[CampName]],CL,5,0),Table_Shelter[[#This Row],[HH Covered2]]),"")</f>
        <v>50</v>
      </c>
      <c r="Q235" s="139">
        <f>IF(Table_Shelter[[#This Row],[Status]]="Open",IF(W235="NO",Table_Shelter[[#This Row],[HH per Shelter]]*(Table_Shelter[[#This Row],['# of Temporary Shelter Units Built]]+Table_Shelter[[#This Row],['# of Temporary Shelter Under  Construction]]+Table_Shelter[[#This Row],['# of Permanent House Under Construction]]),0),0)</f>
        <v>50</v>
      </c>
      <c r="R235" s="102"/>
      <c r="S235" s="162"/>
      <c r="T235" s="163" t="str">
        <f>IFERROR(VLOOKUP(Table_Shelter[[#This Row],[CampName]],CL,2,0),"")</f>
        <v>MMR001CMP018</v>
      </c>
      <c r="U235" s="163" t="str">
        <f>IFERROR(VLOOKUP(Table_Shelter[[#This Row],[CampName]],CL,3,0),"")</f>
        <v>Open</v>
      </c>
      <c r="V235" s="240">
        <f>IFERROR(Table_Shelter[[#This Row],[HH Covered]]/VLOOKUP(Table_Shelter[[#This Row],[CampName]],CL,5,0),"")</f>
        <v>0.25</v>
      </c>
      <c r="W235" s="240" t="s">
        <v>1292</v>
      </c>
      <c r="X235" s="164"/>
    </row>
    <row r="236" spans="1:24" ht="15" customHeight="1" x14ac:dyDescent="0.25">
      <c r="A236" s="483"/>
      <c r="B236" s="162" t="s">
        <v>591</v>
      </c>
      <c r="C236" s="162" t="s">
        <v>505</v>
      </c>
      <c r="D236" s="162" t="s">
        <v>380</v>
      </c>
      <c r="E236" s="307" t="s">
        <v>237</v>
      </c>
      <c r="F236" s="162" t="s">
        <v>255</v>
      </c>
      <c r="G236" s="103">
        <v>1</v>
      </c>
      <c r="H236" s="103"/>
      <c r="I236" s="103"/>
      <c r="J236" s="103">
        <v>60</v>
      </c>
      <c r="K236" s="103">
        <v>60</v>
      </c>
      <c r="L236" s="162"/>
      <c r="M236" s="162"/>
      <c r="N236" s="162"/>
      <c r="O236" s="162"/>
      <c r="P236" s="934">
        <f>IFERROR(IF(VLOOKUP(Table_Shelter[[#This Row],[CampName]],CL,5,0)&lt;Table_Shelter[[#This Row],[HH Covered2]],VLOOKUP(Table_Shelter[[#This Row],[CampName]],CL,5,0),Table_Shelter[[#This Row],[HH Covered2]]),"")</f>
        <v>60</v>
      </c>
      <c r="Q236" s="139">
        <f>IF(Table_Shelter[[#This Row],[Status]]="Open",IF(W236="NO",Table_Shelter[[#This Row],[HH per Shelter]]*(Table_Shelter[[#This Row],['# of Temporary Shelter Units Built]]+Table_Shelter[[#This Row],['# of Temporary Shelter Under  Construction]]+Table_Shelter[[#This Row],['# of Permanent House Under Construction]]),0),0)</f>
        <v>60</v>
      </c>
      <c r="R236" s="102"/>
      <c r="S236" s="162"/>
      <c r="T236" s="163" t="str">
        <f>IFERROR(VLOOKUP(Table_Shelter[[#This Row],[CampName]],CL,2,0),"")</f>
        <v>MMR001CMP019</v>
      </c>
      <c r="U236" s="163" t="str">
        <f>IFERROR(VLOOKUP(Table_Shelter[[#This Row],[CampName]],CL,3,0),"")</f>
        <v>Open</v>
      </c>
      <c r="V236" s="240">
        <f>IFERROR(Table_Shelter[[#This Row],[HH Covered]]/VLOOKUP(Table_Shelter[[#This Row],[CampName]],CL,5,0),"")</f>
        <v>0.49180327868852458</v>
      </c>
      <c r="W236" s="240" t="s">
        <v>1292</v>
      </c>
      <c r="X236" s="164"/>
    </row>
    <row r="237" spans="1:24" ht="15" customHeight="1" x14ac:dyDescent="0.25">
      <c r="A237" s="483"/>
      <c r="B237" s="162" t="s">
        <v>451</v>
      </c>
      <c r="C237" s="162" t="s">
        <v>505</v>
      </c>
      <c r="D237" s="162" t="s">
        <v>380</v>
      </c>
      <c r="E237" s="307" t="s">
        <v>237</v>
      </c>
      <c r="F237" s="162" t="s">
        <v>255</v>
      </c>
      <c r="G237" s="103">
        <v>1</v>
      </c>
      <c r="H237" s="103"/>
      <c r="I237" s="103"/>
      <c r="J237" s="103">
        <v>20</v>
      </c>
      <c r="K237" s="103">
        <v>20</v>
      </c>
      <c r="L237" s="162"/>
      <c r="M237" s="162"/>
      <c r="N237" s="162"/>
      <c r="O237" s="162"/>
      <c r="P237" s="934">
        <f>IFERROR(IF(VLOOKUP(Table_Shelter[[#This Row],[CampName]],CL,5,0)&lt;Table_Shelter[[#This Row],[HH Covered2]],VLOOKUP(Table_Shelter[[#This Row],[CampName]],CL,5,0),Table_Shelter[[#This Row],[HH Covered2]]),"")</f>
        <v>20</v>
      </c>
      <c r="Q237" s="139">
        <f>IF(Table_Shelter[[#This Row],[Status]]="Open",IF(W237="NO",Table_Shelter[[#This Row],[HH per Shelter]]*(Table_Shelter[[#This Row],['# of Temporary Shelter Units Built]]+Table_Shelter[[#This Row],['# of Temporary Shelter Under  Construction]]+Table_Shelter[[#This Row],['# of Permanent House Under Construction]]),0),0)</f>
        <v>20</v>
      </c>
      <c r="R237" s="102"/>
      <c r="S237" s="162"/>
      <c r="T237" s="163" t="str">
        <f>IFERROR(VLOOKUP(Table_Shelter[[#This Row],[CampName]],CL,2,0),"")</f>
        <v>MMR001CMP019</v>
      </c>
      <c r="U237" s="163" t="str">
        <f>IFERROR(VLOOKUP(Table_Shelter[[#This Row],[CampName]],CL,3,0),"")</f>
        <v>Open</v>
      </c>
      <c r="V237" s="240">
        <f>IFERROR(Table_Shelter[[#This Row],[HH Covered]]/VLOOKUP(Table_Shelter[[#This Row],[CampName]],CL,5,0),"")</f>
        <v>0.16393442622950818</v>
      </c>
      <c r="W237" s="240" t="s">
        <v>1292</v>
      </c>
      <c r="X237" s="164"/>
    </row>
    <row r="238" spans="1:24" ht="15" customHeight="1" x14ac:dyDescent="0.25">
      <c r="A238" s="483"/>
      <c r="B238" s="162" t="s">
        <v>452</v>
      </c>
      <c r="C238" s="162" t="s">
        <v>505</v>
      </c>
      <c r="D238" s="165" t="s">
        <v>380</v>
      </c>
      <c r="E238" s="307" t="s">
        <v>185</v>
      </c>
      <c r="F238" s="162" t="s">
        <v>196</v>
      </c>
      <c r="G238" s="103">
        <v>1</v>
      </c>
      <c r="H238" s="103"/>
      <c r="I238" s="103"/>
      <c r="J238" s="103">
        <v>700</v>
      </c>
      <c r="K238" s="103">
        <v>700</v>
      </c>
      <c r="L238" s="162"/>
      <c r="M238" s="162"/>
      <c r="N238" s="162"/>
      <c r="O238" s="162"/>
      <c r="P238" s="934">
        <f>IFERROR(IF(VLOOKUP(Table_Shelter[[#This Row],[CampName]],CL,5,0)&lt;Table_Shelter[[#This Row],[HH Covered2]],VLOOKUP(Table_Shelter[[#This Row],[CampName]],CL,5,0),Table_Shelter[[#This Row],[HH Covered2]]),"")</f>
        <v>700</v>
      </c>
      <c r="Q238" s="139">
        <f>IF(Table_Shelter[[#This Row],[Status]]="Open",IF(W238="NO",Table_Shelter[[#This Row],[HH per Shelter]]*(Table_Shelter[[#This Row],['# of Temporary Shelter Units Built]]+Table_Shelter[[#This Row],['# of Temporary Shelter Under  Construction]]+Table_Shelter[[#This Row],['# of Permanent House Under Construction]]),0),0)</f>
        <v>700</v>
      </c>
      <c r="R238" s="102"/>
      <c r="S238" s="162"/>
      <c r="T238" s="163" t="str">
        <f>IFERROR(VLOOKUP(Table_Shelter[[#This Row],[CampName]],CL,2,0),"")</f>
        <v>MMR001CMP121</v>
      </c>
      <c r="U238" s="163" t="str">
        <f>IFERROR(VLOOKUP(Table_Shelter[[#This Row],[CampName]],CL,3,0),"")</f>
        <v>Open</v>
      </c>
      <c r="V238" s="240">
        <f>IFERROR(Table_Shelter[[#This Row],[HH Covered]]/VLOOKUP(Table_Shelter[[#This Row],[CampName]],CL,5,0),"")</f>
        <v>0.45278137128072443</v>
      </c>
      <c r="W238" s="240" t="s">
        <v>1292</v>
      </c>
      <c r="X238" s="164"/>
    </row>
    <row r="239" spans="1:24" ht="15" customHeight="1" x14ac:dyDescent="0.25">
      <c r="A239" s="483"/>
      <c r="B239" s="162" t="s">
        <v>451</v>
      </c>
      <c r="C239" s="162" t="s">
        <v>458</v>
      </c>
      <c r="D239" s="165" t="s">
        <v>380</v>
      </c>
      <c r="E239" s="307" t="s">
        <v>185</v>
      </c>
      <c r="F239" s="162" t="s">
        <v>196</v>
      </c>
      <c r="G239" s="103">
        <v>1</v>
      </c>
      <c r="H239" s="103"/>
      <c r="I239" s="103"/>
      <c r="J239" s="103">
        <v>217</v>
      </c>
      <c r="K239" s="103">
        <v>217</v>
      </c>
      <c r="L239" s="162"/>
      <c r="M239" s="162"/>
      <c r="N239" s="162"/>
      <c r="O239" s="162"/>
      <c r="P239" s="934">
        <f>IFERROR(IF(VLOOKUP(Table_Shelter[[#This Row],[CampName]],CL,5,0)&lt;Table_Shelter[[#This Row],[HH Covered2]],VLOOKUP(Table_Shelter[[#This Row],[CampName]],CL,5,0),Table_Shelter[[#This Row],[HH Covered2]]),"")</f>
        <v>217</v>
      </c>
      <c r="Q239" s="139">
        <f>IF(Table_Shelter[[#This Row],[Status]]="Open",IF(W239="NO",Table_Shelter[[#This Row],[HH per Shelter]]*(Table_Shelter[[#This Row],['# of Temporary Shelter Units Built]]+Table_Shelter[[#This Row],['# of Temporary Shelter Under  Construction]]+Table_Shelter[[#This Row],['# of Permanent House Under Construction]]),0),0)</f>
        <v>217</v>
      </c>
      <c r="R239" s="102"/>
      <c r="S239" s="162"/>
      <c r="T239" s="163" t="str">
        <f>IFERROR(VLOOKUP(Table_Shelter[[#This Row],[CampName]],CL,2,0),"")</f>
        <v>MMR001CMP121</v>
      </c>
      <c r="U239" s="163" t="str">
        <f>IFERROR(VLOOKUP(Table_Shelter[[#This Row],[CampName]],CL,3,0),"")</f>
        <v>Open</v>
      </c>
      <c r="V239" s="240">
        <f>IFERROR(Table_Shelter[[#This Row],[HH Covered]]/VLOOKUP(Table_Shelter[[#This Row],[CampName]],CL,5,0),"")</f>
        <v>0.14036222509702459</v>
      </c>
      <c r="W239" s="240" t="s">
        <v>1292</v>
      </c>
      <c r="X239" s="164"/>
    </row>
    <row r="240" spans="1:24" ht="15" customHeight="1" x14ac:dyDescent="0.25">
      <c r="A240" s="483"/>
      <c r="B240" s="162" t="s">
        <v>1092</v>
      </c>
      <c r="C240" s="162" t="s">
        <v>943</v>
      </c>
      <c r="D240" s="165" t="s">
        <v>552</v>
      </c>
      <c r="E240" s="307" t="s">
        <v>146</v>
      </c>
      <c r="F240" s="162" t="s">
        <v>372</v>
      </c>
      <c r="G240" s="103">
        <v>1</v>
      </c>
      <c r="H240" s="103"/>
      <c r="I240" s="103"/>
      <c r="J240" s="103">
        <v>121</v>
      </c>
      <c r="K240" s="103">
        <v>121</v>
      </c>
      <c r="L240" s="162"/>
      <c r="M240" s="162"/>
      <c r="N240" s="162"/>
      <c r="O240" s="162"/>
      <c r="P240" s="934">
        <f>IFERROR(IF(VLOOKUP(Table_Shelter[[#This Row],[CampName]],CL,5,0)&lt;Table_Shelter[[#This Row],[HH Covered2]],VLOOKUP(Table_Shelter[[#This Row],[CampName]],CL,5,0),Table_Shelter[[#This Row],[HH Covered2]]),"")</f>
        <v>0</v>
      </c>
      <c r="Q240" s="139">
        <f>IF(Table_Shelter[[#This Row],[Status]]="Open",IF(W240="NO",Table_Shelter[[#This Row],[HH per Shelter]]*(Table_Shelter[[#This Row],['# of Temporary Shelter Units Built]]+Table_Shelter[[#This Row],['# of Temporary Shelter Under  Construction]]+Table_Shelter[[#This Row],['# of Permanent House Under Construction]]),0),0)</f>
        <v>0</v>
      </c>
      <c r="R240" s="102"/>
      <c r="S240" s="162"/>
      <c r="T240" s="163" t="str">
        <f>IFERROR(VLOOKUP(Table_Shelter[[#This Row],[CampName]],CL,2,0),"")</f>
        <v>MMR015CMP015</v>
      </c>
      <c r="U240" s="163" t="str">
        <f>IFERROR(VLOOKUP(Table_Shelter[[#This Row],[CampName]],CL,3,0),"")</f>
        <v>Closed</v>
      </c>
      <c r="V240" s="240" t="str">
        <f>IFERROR(Table_Shelter[[#This Row],[HH Covered]]/VLOOKUP(Table_Shelter[[#This Row],[CampName]],CL,5,0),"")</f>
        <v/>
      </c>
      <c r="W240" s="240" t="s">
        <v>1292</v>
      </c>
      <c r="X240" s="164"/>
    </row>
    <row r="241" spans="1:24" ht="15" customHeight="1" x14ac:dyDescent="0.25">
      <c r="A241" s="678"/>
      <c r="B241" s="162" t="s">
        <v>451</v>
      </c>
      <c r="C241" s="162" t="s">
        <v>459</v>
      </c>
      <c r="D241" s="165" t="s">
        <v>552</v>
      </c>
      <c r="E241" s="307" t="s">
        <v>146</v>
      </c>
      <c r="F241" s="162" t="s">
        <v>149</v>
      </c>
      <c r="G241" s="103">
        <v>1</v>
      </c>
      <c r="H241" s="105"/>
      <c r="I241" s="105"/>
      <c r="J241" s="105">
        <v>20</v>
      </c>
      <c r="K241" s="105">
        <v>20</v>
      </c>
      <c r="L241" s="164"/>
      <c r="M241" s="164"/>
      <c r="N241" s="164"/>
      <c r="O241" s="164"/>
      <c r="P241" s="936">
        <f>IFERROR(IF(VLOOKUP(Table_Shelter[[#This Row],[CampName]],CL,5,0)&lt;Table_Shelter[[#This Row],[HH Covered2]],VLOOKUP(Table_Shelter[[#This Row],[CampName]],CL,5,0),Table_Shelter[[#This Row],[HH Covered2]]),"")</f>
        <v>20</v>
      </c>
      <c r="Q241" s="104">
        <f>IF(Table_Shelter[[#This Row],[Status]]="Open",IF(W241="NO",Table_Shelter[[#This Row],[HH per Shelter]]*(Table_Shelter[[#This Row],['# of Temporary Shelter Units Built]]+Table_Shelter[[#This Row],['# of Temporary Shelter Under  Construction]]+Table_Shelter[[#This Row],['# of Permanent House Under Construction]]),0),0)</f>
        <v>20</v>
      </c>
      <c r="R241" s="104"/>
      <c r="S241" s="164"/>
      <c r="T241" s="164" t="str">
        <f>IFERROR(VLOOKUP(Table_Shelter[[#This Row],[CampName]],CL,2,0),"")</f>
        <v>MMR015CMP007</v>
      </c>
      <c r="U241" s="164" t="str">
        <f>IFERROR(VLOOKUP(Table_Shelter[[#This Row],[CampName]],CL,3,0),"")</f>
        <v>Open</v>
      </c>
      <c r="V241" s="240">
        <f>IFERROR(Table_Shelter[[#This Row],[HH Covered]]/VLOOKUP(Table_Shelter[[#This Row],[CampName]],CL,5,0),"")</f>
        <v>0.31746031746031744</v>
      </c>
      <c r="W241" s="240" t="s">
        <v>1292</v>
      </c>
      <c r="X241" s="164"/>
    </row>
    <row r="242" spans="1:24" ht="15" customHeight="1" x14ac:dyDescent="0.25">
      <c r="A242" s="483"/>
      <c r="B242" s="162" t="s">
        <v>845</v>
      </c>
      <c r="C242" s="162"/>
      <c r="D242" s="162" t="s">
        <v>552</v>
      </c>
      <c r="E242" s="307" t="s">
        <v>146</v>
      </c>
      <c r="F242" s="162" t="s">
        <v>369</v>
      </c>
      <c r="G242" s="103">
        <v>1</v>
      </c>
      <c r="H242" s="103"/>
      <c r="I242" s="103"/>
      <c r="J242" s="103">
        <v>80</v>
      </c>
      <c r="K242" s="103">
        <v>80</v>
      </c>
      <c r="L242" s="162"/>
      <c r="M242" s="162"/>
      <c r="N242" s="162"/>
      <c r="O242" s="162"/>
      <c r="P242" s="934">
        <f>IFERROR(IF(VLOOKUP(Table_Shelter[[#This Row],[CampName]],CL,5,0)&lt;Table_Shelter[[#This Row],[HH Covered2]],VLOOKUP(Table_Shelter[[#This Row],[CampName]],CL,5,0),Table_Shelter[[#This Row],[HH Covered2]]),"")</f>
        <v>57</v>
      </c>
      <c r="Q242" s="139">
        <f>IF(Table_Shelter[[#This Row],[Status]]="Open",IF(W242="NO",Table_Shelter[[#This Row],[HH per Shelter]]*(Table_Shelter[[#This Row],['# of Temporary Shelter Units Built]]+Table_Shelter[[#This Row],['# of Temporary Shelter Under  Construction]]+Table_Shelter[[#This Row],['# of Permanent House Under Construction]]),0),0)</f>
        <v>80</v>
      </c>
      <c r="R242" s="102"/>
      <c r="S242" s="162"/>
      <c r="T242" s="163" t="str">
        <f>IFERROR(VLOOKUP(Table_Shelter[[#This Row],[CampName]],CL,2,0),"")</f>
        <v>MMR015CMP016</v>
      </c>
      <c r="U242" s="163" t="str">
        <f>IFERROR(VLOOKUP(Table_Shelter[[#This Row],[CampName]],CL,3,0),"")</f>
        <v>Open</v>
      </c>
      <c r="V242" s="240">
        <f>IFERROR(Table_Shelter[[#This Row],[HH Covered]]/VLOOKUP(Table_Shelter[[#This Row],[CampName]],CL,5,0),"")</f>
        <v>1</v>
      </c>
      <c r="W242" s="240" t="s">
        <v>1292</v>
      </c>
      <c r="X242" s="164"/>
    </row>
    <row r="243" spans="1:24" ht="15" customHeight="1" x14ac:dyDescent="0.25">
      <c r="A243" s="678"/>
      <c r="B243" s="164" t="s">
        <v>845</v>
      </c>
      <c r="C243" s="164"/>
      <c r="D243" s="164" t="s">
        <v>552</v>
      </c>
      <c r="E243" s="168" t="s">
        <v>146</v>
      </c>
      <c r="F243" s="164" t="s">
        <v>370</v>
      </c>
      <c r="G243" s="105">
        <v>1</v>
      </c>
      <c r="H243" s="105"/>
      <c r="I243" s="105"/>
      <c r="J243" s="105">
        <v>48</v>
      </c>
      <c r="K243" s="105">
        <v>48</v>
      </c>
      <c r="L243" s="164"/>
      <c r="M243" s="164"/>
      <c r="N243" s="164"/>
      <c r="O243" s="164"/>
      <c r="P243" s="936">
        <f>IFERROR(IF(VLOOKUP(Table_Shelter[[#This Row],[CampName]],CL,5,0)&lt;Table_Shelter[[#This Row],[HH Covered2]],VLOOKUP(Table_Shelter[[#This Row],[CampName]],CL,5,0),Table_Shelter[[#This Row],[HH Covered2]]),"")</f>
        <v>30</v>
      </c>
      <c r="Q243" s="139">
        <f>IF(Table_Shelter[[#This Row],[Status]]="Open",IF(W243="NO",Table_Shelter[[#This Row],[HH per Shelter]]*(Table_Shelter[[#This Row],['# of Temporary Shelter Units Built]]+Table_Shelter[[#This Row],['# of Temporary Shelter Under  Construction]]+Table_Shelter[[#This Row],['# of Permanent House Under Construction]]),0),0)</f>
        <v>48</v>
      </c>
      <c r="R243" s="104"/>
      <c r="S243" s="164"/>
      <c r="T243" s="163" t="str">
        <f>IFERROR(VLOOKUP(Table_Shelter[[#This Row],[CampName]],CL,2,0),"")</f>
        <v>MMR015CMP017</v>
      </c>
      <c r="U243" s="163" t="str">
        <f>IFERROR(VLOOKUP(Table_Shelter[[#This Row],[CampName]],CL,3,0),"")</f>
        <v>Open</v>
      </c>
      <c r="V243" s="240">
        <f>IFERROR(Table_Shelter[[#This Row],[HH Covered]]/VLOOKUP(Table_Shelter[[#This Row],[CampName]],CL,5,0),"")</f>
        <v>1</v>
      </c>
      <c r="W243" s="240" t="s">
        <v>1292</v>
      </c>
      <c r="X243" s="164"/>
    </row>
    <row r="244" spans="1:24" ht="15" customHeight="1" x14ac:dyDescent="0.25">
      <c r="A244" s="678"/>
      <c r="B244" s="103" t="s">
        <v>451</v>
      </c>
      <c r="C244" s="103" t="s">
        <v>459</v>
      </c>
      <c r="D244" s="169" t="s">
        <v>552</v>
      </c>
      <c r="E244" s="170" t="s">
        <v>778</v>
      </c>
      <c r="F244" s="103" t="s">
        <v>1262</v>
      </c>
      <c r="G244" s="103">
        <v>1</v>
      </c>
      <c r="H244" s="105"/>
      <c r="I244" s="105"/>
      <c r="J244" s="105">
        <v>10</v>
      </c>
      <c r="K244" s="105">
        <v>10</v>
      </c>
      <c r="L244" s="105"/>
      <c r="M244" s="105"/>
      <c r="N244" s="105"/>
      <c r="O244" s="105"/>
      <c r="P244" s="936">
        <f>IFERROR(IF(VLOOKUP(Table_Shelter[[#This Row],[CampName]],CL,5,0)&lt;Table_Shelter[[#This Row],[HH Covered2]],VLOOKUP(Table_Shelter[[#This Row],[CampName]],CL,5,0),Table_Shelter[[#This Row],[HH Covered2]]),"")</f>
        <v>10</v>
      </c>
      <c r="Q244" s="104">
        <f>IF(Table_Shelter[[#This Row],[Status]]="Open",IF(W244="NO",Table_Shelter[[#This Row],[HH per Shelter]]*(Table_Shelter[[#This Row],['# of Temporary Shelter Units Built]]+Table_Shelter[[#This Row],['# of Temporary Shelter Under  Construction]]+Table_Shelter[[#This Row],['# of Permanent House Under Construction]]),0),0)</f>
        <v>10</v>
      </c>
      <c r="R244" s="104"/>
      <c r="S244" s="104"/>
      <c r="T244" s="104" t="str">
        <f>IFERROR(VLOOKUP(Table_Shelter[[#This Row],[CampName]],CL,2,0),"")</f>
        <v>MMR015CMP218</v>
      </c>
      <c r="U244" s="104" t="str">
        <f>IFERROR(VLOOKUP(Table_Shelter[[#This Row],[CampName]],CL,3,0),"")</f>
        <v>Open</v>
      </c>
      <c r="V244" s="241">
        <f>IFERROR(Table_Shelter[[#This Row],[HH Covered]]/VLOOKUP(Table_Shelter[[#This Row],[CampName]],CL,5,0),"")</f>
        <v>0.29411764705882354</v>
      </c>
      <c r="W244" s="240" t="s">
        <v>1292</v>
      </c>
      <c r="X244" s="104"/>
    </row>
    <row r="245" spans="1:24" ht="15" customHeight="1" x14ac:dyDescent="0.25">
      <c r="A245" s="678"/>
      <c r="B245" s="162" t="s">
        <v>451</v>
      </c>
      <c r="C245" s="162" t="s">
        <v>459</v>
      </c>
      <c r="D245" s="165" t="s">
        <v>552</v>
      </c>
      <c r="E245" s="307" t="s">
        <v>298</v>
      </c>
      <c r="F245" s="162" t="s">
        <v>820</v>
      </c>
      <c r="G245" s="103">
        <v>1</v>
      </c>
      <c r="H245" s="105"/>
      <c r="I245" s="105"/>
      <c r="J245" s="105">
        <v>10</v>
      </c>
      <c r="K245" s="105">
        <v>10</v>
      </c>
      <c r="L245" s="164"/>
      <c r="M245" s="164"/>
      <c r="N245" s="164"/>
      <c r="O245" s="164"/>
      <c r="P245" s="936">
        <f>IFERROR(IF(VLOOKUP(Table_Shelter[[#This Row],[CampName]],CL,5,0)&lt;Table_Shelter[[#This Row],[HH Covered2]],VLOOKUP(Table_Shelter[[#This Row],[CampName]],CL,5,0),Table_Shelter[[#This Row],[HH Covered2]]),"")</f>
        <v>10</v>
      </c>
      <c r="Q245" s="104">
        <f>IF(Table_Shelter[[#This Row],[Status]]="Open",IF(W245="NO",Table_Shelter[[#This Row],[HH per Shelter]]*(Table_Shelter[[#This Row],['# of Temporary Shelter Units Built]]+Table_Shelter[[#This Row],['# of Temporary Shelter Under  Construction]]+Table_Shelter[[#This Row],['# of Permanent House Under Construction]]),0),0)</f>
        <v>10</v>
      </c>
      <c r="R245" s="104"/>
      <c r="S245" s="164"/>
      <c r="T245" s="164" t="str">
        <f>IFERROR(VLOOKUP(Table_Shelter[[#This Row],[CampName]],CL,2,0),"")</f>
        <v>MMR015CMP014</v>
      </c>
      <c r="U245" s="164" t="str">
        <f>IFERROR(VLOOKUP(Table_Shelter[[#This Row],[CampName]],CL,3,0),"")</f>
        <v>Open</v>
      </c>
      <c r="V245" s="240">
        <f>IFERROR(Table_Shelter[[#This Row],[HH Covered]]/VLOOKUP(Table_Shelter[[#This Row],[CampName]],CL,5,0),"")</f>
        <v>0.22727272727272727</v>
      </c>
      <c r="W245" s="240" t="s">
        <v>1292</v>
      </c>
      <c r="X245" s="164"/>
    </row>
    <row r="246" spans="1:24" ht="15" customHeight="1" x14ac:dyDescent="0.25">
      <c r="A246" s="483"/>
      <c r="B246" s="162" t="s">
        <v>591</v>
      </c>
      <c r="C246" s="162" t="s">
        <v>458</v>
      </c>
      <c r="D246" s="162" t="s">
        <v>380</v>
      </c>
      <c r="E246" s="307" t="s">
        <v>151</v>
      </c>
      <c r="F246" s="162" t="s">
        <v>515</v>
      </c>
      <c r="G246" s="103">
        <v>1</v>
      </c>
      <c r="H246" s="103"/>
      <c r="I246" s="103"/>
      <c r="J246" s="103">
        <v>100</v>
      </c>
      <c r="K246" s="103">
        <v>100</v>
      </c>
      <c r="L246" s="162"/>
      <c r="M246" s="162"/>
      <c r="N246" s="162"/>
      <c r="O246" s="162"/>
      <c r="P246" s="934">
        <f>IFERROR(IF(VLOOKUP(Table_Shelter[[#This Row],[CampName]],CL,5,0)&lt;Table_Shelter[[#This Row],[HH Covered2]],VLOOKUP(Table_Shelter[[#This Row],[CampName]],CL,5,0),Table_Shelter[[#This Row],[HH Covered2]]),"")</f>
        <v>0</v>
      </c>
      <c r="Q246" s="139">
        <f>IF(Table_Shelter[[#This Row],[Status]]="Open",IF(W246="NO",Table_Shelter[[#This Row],[HH per Shelter]]*(Table_Shelter[[#This Row],['# of Temporary Shelter Units Built]]+Table_Shelter[[#This Row],['# of Temporary Shelter Under  Construction]]+Table_Shelter[[#This Row],['# of Permanent House Under Construction]]),0),0)</f>
        <v>0</v>
      </c>
      <c r="R246" s="102"/>
      <c r="S246" s="162"/>
      <c r="T246" s="163" t="str">
        <f>IFERROR(VLOOKUP(Table_Shelter[[#This Row],[CampName]],CL,2,0),"")</f>
        <v>MMR001CMP202</v>
      </c>
      <c r="U246" s="163" t="str">
        <f>IFERROR(VLOOKUP(Table_Shelter[[#This Row],[CampName]],CL,3,0),"")</f>
        <v>Closed</v>
      </c>
      <c r="V246" s="240" t="str">
        <f>IFERROR(Table_Shelter[[#This Row],[HH Covered]]/VLOOKUP(Table_Shelter[[#This Row],[CampName]],CL,5,0),"")</f>
        <v/>
      </c>
      <c r="W246" s="240" t="s">
        <v>1292</v>
      </c>
      <c r="X246" s="164"/>
    </row>
    <row r="247" spans="1:24" ht="15" customHeight="1" x14ac:dyDescent="0.25">
      <c r="A247" s="483"/>
      <c r="B247" s="162" t="s">
        <v>571</v>
      </c>
      <c r="C247" s="162"/>
      <c r="D247" s="162" t="s">
        <v>380</v>
      </c>
      <c r="E247" s="307" t="s">
        <v>151</v>
      </c>
      <c r="F247" s="162" t="s">
        <v>198</v>
      </c>
      <c r="G247" s="103">
        <v>1</v>
      </c>
      <c r="H247" s="103"/>
      <c r="I247" s="103"/>
      <c r="J247" s="103">
        <v>26</v>
      </c>
      <c r="K247" s="103">
        <v>26</v>
      </c>
      <c r="L247" s="162"/>
      <c r="M247" s="162"/>
      <c r="N247" s="162"/>
      <c r="O247" s="162"/>
      <c r="P247" s="934">
        <f>IFERROR(IF(VLOOKUP(Table_Shelter[[#This Row],[CampName]],CL,5,0)&lt;Table_Shelter[[#This Row],[HH Covered2]],VLOOKUP(Table_Shelter[[#This Row],[CampName]],CL,5,0),Table_Shelter[[#This Row],[HH Covered2]]),"")</f>
        <v>26</v>
      </c>
      <c r="Q247" s="139">
        <f>IF(Table_Shelter[[#This Row],[Status]]="Open",IF(W247="NO",Table_Shelter[[#This Row],[HH per Shelter]]*(Table_Shelter[[#This Row],['# of Temporary Shelter Units Built]]+Table_Shelter[[#This Row],['# of Temporary Shelter Under  Construction]]+Table_Shelter[[#This Row],['# of Permanent House Under Construction]]),0),0)</f>
        <v>26</v>
      </c>
      <c r="R247" s="102"/>
      <c r="S247" s="162"/>
      <c r="T247" s="163" t="str">
        <f>IFERROR(VLOOKUP(Table_Shelter[[#This Row],[CampName]],CL,2,0),"")</f>
        <v>MMR001CMP128</v>
      </c>
      <c r="U247" s="163" t="str">
        <f>IFERROR(VLOOKUP(Table_Shelter[[#This Row],[CampName]],CL,3,0),"")</f>
        <v>Open</v>
      </c>
      <c r="V247" s="240">
        <f>IFERROR(Table_Shelter[[#This Row],[HH Covered]]/VLOOKUP(Table_Shelter[[#This Row],[CampName]],CL,5,0),"")</f>
        <v>4.7531992687385741E-2</v>
      </c>
      <c r="W247" s="240" t="s">
        <v>1292</v>
      </c>
      <c r="X247" s="164"/>
    </row>
    <row r="248" spans="1:24" ht="15" customHeight="1" x14ac:dyDescent="0.25">
      <c r="A248" s="483"/>
      <c r="B248" s="162" t="s">
        <v>451</v>
      </c>
      <c r="C248" s="162" t="s">
        <v>458</v>
      </c>
      <c r="D248" s="162" t="s">
        <v>380</v>
      </c>
      <c r="E248" s="307" t="s">
        <v>151</v>
      </c>
      <c r="F248" s="162" t="s">
        <v>198</v>
      </c>
      <c r="G248" s="103">
        <v>1</v>
      </c>
      <c r="H248" s="103"/>
      <c r="I248" s="103"/>
      <c r="J248" s="103">
        <v>350</v>
      </c>
      <c r="K248" s="103">
        <v>350</v>
      </c>
      <c r="L248" s="162"/>
      <c r="M248" s="162"/>
      <c r="N248" s="162"/>
      <c r="O248" s="162"/>
      <c r="P248" s="934">
        <f>IFERROR(IF(VLOOKUP(Table_Shelter[[#This Row],[CampName]],CL,5,0)&lt;Table_Shelter[[#This Row],[HH Covered2]],VLOOKUP(Table_Shelter[[#This Row],[CampName]],CL,5,0),Table_Shelter[[#This Row],[HH Covered2]]),"")</f>
        <v>350</v>
      </c>
      <c r="Q248" s="139">
        <f>IF(Table_Shelter[[#This Row],[Status]]="Open",IF(W248="NO",Table_Shelter[[#This Row],[HH per Shelter]]*(Table_Shelter[[#This Row],['# of Temporary Shelter Units Built]]+Table_Shelter[[#This Row],['# of Temporary Shelter Under  Construction]]+Table_Shelter[[#This Row],['# of Permanent House Under Construction]]),0),0)</f>
        <v>350</v>
      </c>
      <c r="R248" s="102"/>
      <c r="S248" s="162"/>
      <c r="T248" s="163" t="str">
        <f>IFERROR(VLOOKUP(Table_Shelter[[#This Row],[CampName]],CL,2,0),"")</f>
        <v>MMR001CMP128</v>
      </c>
      <c r="U248" s="163" t="str">
        <f>IFERROR(VLOOKUP(Table_Shelter[[#This Row],[CampName]],CL,3,0),"")</f>
        <v>Open</v>
      </c>
      <c r="V248" s="240">
        <f>IFERROR(Table_Shelter[[#This Row],[HH Covered]]/VLOOKUP(Table_Shelter[[#This Row],[CampName]],CL,5,0),"")</f>
        <v>0.63985374771480807</v>
      </c>
      <c r="W248" s="240" t="s">
        <v>1292</v>
      </c>
      <c r="X248" s="164"/>
    </row>
    <row r="249" spans="1:24" ht="15" customHeight="1" x14ac:dyDescent="0.25">
      <c r="A249" s="483"/>
      <c r="B249" s="162" t="s">
        <v>451</v>
      </c>
      <c r="C249" s="162"/>
      <c r="D249" s="162" t="s">
        <v>380</v>
      </c>
      <c r="E249" s="307" t="s">
        <v>151</v>
      </c>
      <c r="F249" s="162" t="s">
        <v>198</v>
      </c>
      <c r="G249" s="103">
        <v>1</v>
      </c>
      <c r="H249" s="103"/>
      <c r="I249" s="103"/>
      <c r="J249" s="103">
        <v>150</v>
      </c>
      <c r="K249" s="103"/>
      <c r="L249" s="162"/>
      <c r="M249" s="162"/>
      <c r="N249" s="162"/>
      <c r="O249" s="162"/>
      <c r="P249" s="934">
        <f>IFERROR(IF(VLOOKUP(Table_Shelter[[#This Row],[CampName]],CL,5,0)&lt;Table_Shelter[[#This Row],[HH Covered2]],VLOOKUP(Table_Shelter[[#This Row],[CampName]],CL,5,0),Table_Shelter[[#This Row],[HH Covered2]]),"")</f>
        <v>0</v>
      </c>
      <c r="Q249" s="139">
        <f>IF(Table_Shelter[[#This Row],[Status]]="Open",IF(W249="NO",Table_Shelter[[#This Row],[HH per Shelter]]*(Table_Shelter[[#This Row],['# of Temporary Shelter Units Built]]+Table_Shelter[[#This Row],['# of Temporary Shelter Under  Construction]]+Table_Shelter[[#This Row],['# of Permanent House Under Construction]]),0),0)</f>
        <v>0</v>
      </c>
      <c r="R249" s="102"/>
      <c r="S249" s="162"/>
      <c r="T249" s="163" t="str">
        <f>IFERROR(VLOOKUP(Table_Shelter[[#This Row],[CampName]],CL,2,0),"")</f>
        <v>MMR001CMP128</v>
      </c>
      <c r="U249" s="163" t="str">
        <f>IFERROR(VLOOKUP(Table_Shelter[[#This Row],[CampName]],CL,3,0),"")</f>
        <v>Open</v>
      </c>
      <c r="V249" s="240">
        <f>IFERROR(Table_Shelter[[#This Row],[HH Covered]]/VLOOKUP(Table_Shelter[[#This Row],[CampName]],CL,5,0),"")</f>
        <v>0</v>
      </c>
      <c r="W249" s="240" t="s">
        <v>1292</v>
      </c>
      <c r="X249" s="164"/>
    </row>
    <row r="250" spans="1:24" ht="15" customHeight="1" x14ac:dyDescent="0.25">
      <c r="A250" s="678"/>
      <c r="B250" s="162" t="s">
        <v>451</v>
      </c>
      <c r="C250" s="162" t="s">
        <v>459</v>
      </c>
      <c r="D250" s="165" t="s">
        <v>380</v>
      </c>
      <c r="E250" s="307" t="s">
        <v>526</v>
      </c>
      <c r="F250" s="162" t="s">
        <v>108</v>
      </c>
      <c r="G250" s="103">
        <v>1</v>
      </c>
      <c r="H250" s="105"/>
      <c r="I250" s="105"/>
      <c r="J250" s="105">
        <v>40</v>
      </c>
      <c r="K250" s="105">
        <v>40</v>
      </c>
      <c r="L250" s="164"/>
      <c r="M250" s="164"/>
      <c r="N250" s="164"/>
      <c r="O250" s="164"/>
      <c r="P250" s="936">
        <f>IFERROR(IF(VLOOKUP(Table_Shelter[[#This Row],[CampName]],CL,5,0)&lt;Table_Shelter[[#This Row],[HH Covered2]],VLOOKUP(Table_Shelter[[#This Row],[CampName]],CL,5,0),Table_Shelter[[#This Row],[HH Covered2]]),"")</f>
        <v>40</v>
      </c>
      <c r="Q250" s="104">
        <f>IF(Table_Shelter[[#This Row],[Status]]="Open",IF(W250="NO",Table_Shelter[[#This Row],[HH per Shelter]]*(Table_Shelter[[#This Row],['# of Temporary Shelter Units Built]]+Table_Shelter[[#This Row],['# of Temporary Shelter Under  Construction]]+Table_Shelter[[#This Row],['# of Permanent House Under Construction]]),0),0)</f>
        <v>40</v>
      </c>
      <c r="R250" s="104"/>
      <c r="S250" s="164"/>
      <c r="T250" s="164" t="str">
        <f>IFERROR(VLOOKUP(Table_Shelter[[#This Row],[CampName]],CL,2,0),"")</f>
        <v>MMR001CMP103</v>
      </c>
      <c r="U250" s="164" t="str">
        <f>IFERROR(VLOOKUP(Table_Shelter[[#This Row],[CampName]],CL,3,0),"")</f>
        <v>Open</v>
      </c>
      <c r="V250" s="240">
        <f>IFERROR(Table_Shelter[[#This Row],[HH Covered]]/VLOOKUP(Table_Shelter[[#This Row],[CampName]],CL,5,0),"")</f>
        <v>0.8</v>
      </c>
      <c r="W250" s="240" t="s">
        <v>1292</v>
      </c>
      <c r="X250" s="164"/>
    </row>
    <row r="251" spans="1:24" ht="15" customHeight="1" x14ac:dyDescent="0.25">
      <c r="A251" s="678"/>
      <c r="B251" s="162" t="s">
        <v>451</v>
      </c>
      <c r="C251" s="162" t="s">
        <v>459</v>
      </c>
      <c r="D251" s="165" t="s">
        <v>380</v>
      </c>
      <c r="E251" s="307" t="s">
        <v>173</v>
      </c>
      <c r="F251" s="162" t="s">
        <v>178</v>
      </c>
      <c r="G251" s="103">
        <v>1</v>
      </c>
      <c r="H251" s="105"/>
      <c r="I251" s="105"/>
      <c r="J251" s="105">
        <v>15</v>
      </c>
      <c r="K251" s="105">
        <v>15</v>
      </c>
      <c r="L251" s="164"/>
      <c r="M251" s="164"/>
      <c r="N251" s="164"/>
      <c r="O251" s="164"/>
      <c r="P251" s="936">
        <f>IFERROR(IF(VLOOKUP(Table_Shelter[[#This Row],[CampName]],CL,5,0)&lt;Table_Shelter[[#This Row],[HH Covered2]],VLOOKUP(Table_Shelter[[#This Row],[CampName]],CL,5,0),Table_Shelter[[#This Row],[HH Covered2]]),"")</f>
        <v>12</v>
      </c>
      <c r="Q251" s="104">
        <f>IF(Table_Shelter[[#This Row],[Status]]="Open",IF(W251="NO",Table_Shelter[[#This Row],[HH per Shelter]]*(Table_Shelter[[#This Row],['# of Temporary Shelter Units Built]]+Table_Shelter[[#This Row],['# of Temporary Shelter Under  Construction]]+Table_Shelter[[#This Row],['# of Permanent House Under Construction]]),0),0)</f>
        <v>15</v>
      </c>
      <c r="R251" s="104"/>
      <c r="S251" s="164"/>
      <c r="T251" s="164" t="str">
        <f>IFERROR(VLOOKUP(Table_Shelter[[#This Row],[CampName]],CL,2,0),"")</f>
        <v>MMR001CMP079</v>
      </c>
      <c r="U251" s="164" t="str">
        <f>IFERROR(VLOOKUP(Table_Shelter[[#This Row],[CampName]],CL,3,0),"")</f>
        <v>Open</v>
      </c>
      <c r="V251" s="240">
        <f>IFERROR(Table_Shelter[[#This Row],[HH Covered]]/VLOOKUP(Table_Shelter[[#This Row],[CampName]],CL,5,0),"")</f>
        <v>1</v>
      </c>
      <c r="W251" s="240" t="s">
        <v>1292</v>
      </c>
      <c r="X251" s="164"/>
    </row>
    <row r="252" spans="1:24" ht="15" customHeight="1" x14ac:dyDescent="0.25">
      <c r="A252" s="678"/>
      <c r="B252" s="162" t="s">
        <v>569</v>
      </c>
      <c r="C252" s="162" t="s">
        <v>459</v>
      </c>
      <c r="D252" s="165" t="s">
        <v>380</v>
      </c>
      <c r="E252" s="307" t="s">
        <v>180</v>
      </c>
      <c r="F252" s="162" t="s">
        <v>287</v>
      </c>
      <c r="G252" s="103">
        <v>1</v>
      </c>
      <c r="H252" s="105"/>
      <c r="I252" s="105"/>
      <c r="J252" s="105">
        <v>10</v>
      </c>
      <c r="K252" s="105">
        <v>10</v>
      </c>
      <c r="L252" s="164"/>
      <c r="M252" s="164"/>
      <c r="N252" s="164"/>
      <c r="O252" s="164"/>
      <c r="P252" s="936">
        <f>IFERROR(IF(VLOOKUP(Table_Shelter[[#This Row],[CampName]],CL,5,0)&lt;Table_Shelter[[#This Row],[HH Covered2]],VLOOKUP(Table_Shelter[[#This Row],[CampName]],CL,5,0),Table_Shelter[[#This Row],[HH Covered2]]),"")</f>
        <v>10</v>
      </c>
      <c r="Q252" s="104">
        <f>IF(Table_Shelter[[#This Row],[Status]]="Open",IF(W252="NO",Table_Shelter[[#This Row],[HH per Shelter]]*(Table_Shelter[[#This Row],['# of Temporary Shelter Units Built]]+Table_Shelter[[#This Row],['# of Temporary Shelter Under  Construction]]+Table_Shelter[[#This Row],['# of Permanent House Under Construction]]),0),0)</f>
        <v>10</v>
      </c>
      <c r="R252" s="104"/>
      <c r="S252" s="164"/>
      <c r="T252" s="164" t="str">
        <f>IFERROR(VLOOKUP(Table_Shelter[[#This Row],[CampName]],CL,2,0),"")</f>
        <v>MMR001CMP152</v>
      </c>
      <c r="U252" s="164" t="str">
        <f>IFERROR(VLOOKUP(Table_Shelter[[#This Row],[CampName]],CL,3,0),"")</f>
        <v>Open</v>
      </c>
      <c r="V252" s="240">
        <f>IFERROR(Table_Shelter[[#This Row],[HH Covered]]/VLOOKUP(Table_Shelter[[#This Row],[CampName]],CL,5,0),"")</f>
        <v>0.52631578947368418</v>
      </c>
      <c r="W252" s="240" t="s">
        <v>1292</v>
      </c>
      <c r="X252" s="164"/>
    </row>
    <row r="253" spans="1:24" ht="15" customHeight="1" x14ac:dyDescent="0.25">
      <c r="A253" s="678"/>
      <c r="B253" s="162" t="s">
        <v>451</v>
      </c>
      <c r="C253" s="162" t="s">
        <v>459</v>
      </c>
      <c r="D253" s="165" t="s">
        <v>380</v>
      </c>
      <c r="E253" s="307" t="s">
        <v>180</v>
      </c>
      <c r="F253" s="162" t="s">
        <v>287</v>
      </c>
      <c r="G253" s="103">
        <v>1</v>
      </c>
      <c r="H253" s="105"/>
      <c r="I253" s="105"/>
      <c r="J253" s="105">
        <v>20</v>
      </c>
      <c r="K253" s="105">
        <v>20</v>
      </c>
      <c r="L253" s="164"/>
      <c r="M253" s="164"/>
      <c r="N253" s="164"/>
      <c r="O253" s="164"/>
      <c r="P253" s="936">
        <f>IFERROR(IF(VLOOKUP(Table_Shelter[[#This Row],[CampName]],CL,5,0)&lt;Table_Shelter[[#This Row],[HH Covered2]],VLOOKUP(Table_Shelter[[#This Row],[CampName]],CL,5,0),Table_Shelter[[#This Row],[HH Covered2]]),"")</f>
        <v>19</v>
      </c>
      <c r="Q253" s="104">
        <f>IF(Table_Shelter[[#This Row],[Status]]="Open",IF(W253="NO",Table_Shelter[[#This Row],[HH per Shelter]]*(Table_Shelter[[#This Row],['# of Temporary Shelter Units Built]]+Table_Shelter[[#This Row],['# of Temporary Shelter Under  Construction]]+Table_Shelter[[#This Row],['# of Permanent House Under Construction]]),0),0)</f>
        <v>20</v>
      </c>
      <c r="R253" s="104"/>
      <c r="S253" s="164"/>
      <c r="T253" s="164" t="str">
        <f>IFERROR(VLOOKUP(Table_Shelter[[#This Row],[CampName]],CL,2,0),"")</f>
        <v>MMR001CMP152</v>
      </c>
      <c r="U253" s="164" t="str">
        <f>IFERROR(VLOOKUP(Table_Shelter[[#This Row],[CampName]],CL,3,0),"")</f>
        <v>Open</v>
      </c>
      <c r="V253" s="240">
        <f>IFERROR(Table_Shelter[[#This Row],[HH Covered]]/VLOOKUP(Table_Shelter[[#This Row],[CampName]],CL,5,0),"")</f>
        <v>1</v>
      </c>
      <c r="W253" s="240" t="s">
        <v>1292</v>
      </c>
      <c r="X253" s="164"/>
    </row>
    <row r="254" spans="1:24" ht="15" customHeight="1" x14ac:dyDescent="0.25">
      <c r="A254" s="678"/>
      <c r="B254" s="162" t="s">
        <v>451</v>
      </c>
      <c r="C254" s="162" t="s">
        <v>459</v>
      </c>
      <c r="D254" s="169" t="s">
        <v>380</v>
      </c>
      <c r="E254" s="307" t="s">
        <v>526</v>
      </c>
      <c r="F254" s="162" t="s">
        <v>110</v>
      </c>
      <c r="G254" s="103">
        <v>1</v>
      </c>
      <c r="H254" s="105"/>
      <c r="I254" s="105"/>
      <c r="J254" s="105">
        <v>15</v>
      </c>
      <c r="K254" s="105">
        <v>15</v>
      </c>
      <c r="L254" s="164"/>
      <c r="M254" s="164"/>
      <c r="N254" s="164"/>
      <c r="O254" s="164"/>
      <c r="P254" s="936">
        <f>IFERROR(IF(VLOOKUP(Table_Shelter[[#This Row],[CampName]],CL,5,0)&lt;Table_Shelter[[#This Row],[HH Covered2]],VLOOKUP(Table_Shelter[[#This Row],[CampName]],CL,5,0),Table_Shelter[[#This Row],[HH Covered2]]),"")</f>
        <v>0</v>
      </c>
      <c r="Q254" s="104">
        <f>IF(Table_Shelter[[#This Row],[Status]]="Open",IF(W254="NO",Table_Shelter[[#This Row],[HH per Shelter]]*(Table_Shelter[[#This Row],['# of Temporary Shelter Units Built]]+Table_Shelter[[#This Row],['# of Temporary Shelter Under  Construction]]+Table_Shelter[[#This Row],['# of Permanent House Under Construction]]),0),0)</f>
        <v>0</v>
      </c>
      <c r="R254" s="104"/>
      <c r="S254" s="104"/>
      <c r="T254" s="104" t="str">
        <f>IFERROR(VLOOKUP(Table_Shelter[[#This Row],[CampName]],CL,2,0),"")</f>
        <v>MMR001CMP082</v>
      </c>
      <c r="U254" s="104" t="str">
        <f>IFERROR(VLOOKUP(Table_Shelter[[#This Row],[CampName]],CL,3,0),"")</f>
        <v>Closed</v>
      </c>
      <c r="V254" s="240" t="str">
        <f>IFERROR(Table_Shelter[[#This Row],[HH Covered]]/VLOOKUP(Table_Shelter[[#This Row],[CampName]],CL,5,0),"")</f>
        <v/>
      </c>
      <c r="W254" s="240" t="s">
        <v>1292</v>
      </c>
      <c r="X254" s="104"/>
    </row>
    <row r="255" spans="1:24" ht="15" customHeight="1" x14ac:dyDescent="0.25">
      <c r="A255" s="483"/>
      <c r="B255" s="162" t="s">
        <v>451</v>
      </c>
      <c r="C255" s="162"/>
      <c r="D255" s="162" t="s">
        <v>380</v>
      </c>
      <c r="E255" s="307" t="s">
        <v>237</v>
      </c>
      <c r="F255" s="162" t="s">
        <v>285</v>
      </c>
      <c r="G255" s="103">
        <v>1</v>
      </c>
      <c r="H255" s="103"/>
      <c r="I255" s="103"/>
      <c r="J255" s="103">
        <v>5</v>
      </c>
      <c r="K255" s="103">
        <v>5</v>
      </c>
      <c r="L255" s="162"/>
      <c r="M255" s="162"/>
      <c r="N255" s="162"/>
      <c r="O255" s="162"/>
      <c r="P255" s="934">
        <f>IFERROR(IF(VLOOKUP(Table_Shelter[[#This Row],[CampName]],CL,5,0)&lt;Table_Shelter[[#This Row],[HH Covered2]],VLOOKUP(Table_Shelter[[#This Row],[CampName]],CL,5,0),Table_Shelter[[#This Row],[HH Covered2]]),"")</f>
        <v>5</v>
      </c>
      <c r="Q255" s="139">
        <f>IF(Table_Shelter[[#This Row],[Status]]="Open",IF(W255="NO",Table_Shelter[[#This Row],[HH per Shelter]]*(Table_Shelter[[#This Row],['# of Temporary Shelter Units Built]]+Table_Shelter[[#This Row],['# of Temporary Shelter Under  Construction]]+Table_Shelter[[#This Row],['# of Permanent House Under Construction]]),0),0)</f>
        <v>5</v>
      </c>
      <c r="R255" s="102"/>
      <c r="S255" s="162"/>
      <c r="T255" s="163" t="str">
        <f>IFERROR(VLOOKUP(Table_Shelter[[#This Row],[CampName]],CL,2,0),"")</f>
        <v>MMR001CMP014</v>
      </c>
      <c r="U255" s="163" t="str">
        <f>IFERROR(VLOOKUP(Table_Shelter[[#This Row],[CampName]],CL,3,0),"")</f>
        <v>Open</v>
      </c>
      <c r="V255" s="240">
        <f>IFERROR(Table_Shelter[[#This Row],[HH Covered]]/VLOOKUP(Table_Shelter[[#This Row],[CampName]],CL,5,0),"")</f>
        <v>3.5971223021582732E-2</v>
      </c>
      <c r="W255" s="240" t="s">
        <v>1292</v>
      </c>
      <c r="X255" s="164"/>
    </row>
    <row r="256" spans="1:24" ht="15" customHeight="1" x14ac:dyDescent="0.25">
      <c r="A256" s="678"/>
      <c r="B256" s="164" t="s">
        <v>451</v>
      </c>
      <c r="C256" s="164" t="s">
        <v>504</v>
      </c>
      <c r="D256" s="164" t="s">
        <v>380</v>
      </c>
      <c r="E256" s="168" t="s">
        <v>27</v>
      </c>
      <c r="F256" s="164" t="s">
        <v>365</v>
      </c>
      <c r="G256" s="105">
        <v>1</v>
      </c>
      <c r="H256" s="105"/>
      <c r="I256" s="105"/>
      <c r="J256" s="105">
        <v>33</v>
      </c>
      <c r="K256" s="105">
        <v>33</v>
      </c>
      <c r="L256" s="164"/>
      <c r="M256" s="164"/>
      <c r="N256" s="164"/>
      <c r="O256" s="164"/>
      <c r="P256" s="936">
        <f>IFERROR(IF(VLOOKUP(Table_Shelter[[#This Row],[CampName]],CL,5,0)&lt;Table_Shelter[[#This Row],[HH Covered2]],VLOOKUP(Table_Shelter[[#This Row],[CampName]],CL,5,0),Table_Shelter[[#This Row],[HH Covered2]]),"")</f>
        <v>33</v>
      </c>
      <c r="Q256" s="139">
        <f>IF(Table_Shelter[[#This Row],[Status]]="Open",IF(W256="NO",Table_Shelter[[#This Row],[HH per Shelter]]*(Table_Shelter[[#This Row],['# of Temporary Shelter Units Built]]+Table_Shelter[[#This Row],['# of Temporary Shelter Under  Construction]]+Table_Shelter[[#This Row],['# of Permanent House Under Construction]]),0),0)</f>
        <v>33</v>
      </c>
      <c r="R256" s="104"/>
      <c r="S256" s="164"/>
      <c r="T256" s="163" t="str">
        <f>IFERROR(VLOOKUP(Table_Shelter[[#This Row],[CampName]],CL,2,0),"")</f>
        <v>MMR001CMP195</v>
      </c>
      <c r="U256" s="163" t="str">
        <f>IFERROR(VLOOKUP(Table_Shelter[[#This Row],[CampName]],CL,3,0),"")</f>
        <v>Open</v>
      </c>
      <c r="V256" s="240">
        <f>IFERROR(Table_Shelter[[#This Row],[HH Covered]]/VLOOKUP(Table_Shelter[[#This Row],[CampName]],CL,5,0),"")</f>
        <v>0.22916666666666666</v>
      </c>
      <c r="W256" s="240" t="s">
        <v>1292</v>
      </c>
      <c r="X256" s="164"/>
    </row>
    <row r="257" spans="1:24" ht="15" customHeight="1" x14ac:dyDescent="0.25">
      <c r="A257" s="483"/>
      <c r="B257" s="162" t="s">
        <v>845</v>
      </c>
      <c r="C257" s="162"/>
      <c r="D257" s="165" t="s">
        <v>380</v>
      </c>
      <c r="E257" s="307" t="s">
        <v>5</v>
      </c>
      <c r="F257" s="162" t="s">
        <v>18</v>
      </c>
      <c r="G257" s="103">
        <v>1</v>
      </c>
      <c r="H257" s="103"/>
      <c r="I257" s="103"/>
      <c r="J257" s="103">
        <v>12</v>
      </c>
      <c r="K257" s="103">
        <v>12</v>
      </c>
      <c r="L257" s="162"/>
      <c r="M257" s="162"/>
      <c r="N257" s="162"/>
      <c r="O257" s="162"/>
      <c r="P257" s="934">
        <f>IFERROR(IF(VLOOKUP(Table_Shelter[[#This Row],[CampName]],CL,5,0)&lt;Table_Shelter[[#This Row],[HH Covered2]],VLOOKUP(Table_Shelter[[#This Row],[CampName]],CL,5,0),Table_Shelter[[#This Row],[HH Covered2]]),"")</f>
        <v>12</v>
      </c>
      <c r="Q257" s="139">
        <f>IF(Table_Shelter[[#This Row],[Status]]="Open",IF(W257="NO",Table_Shelter[[#This Row],[HH per Shelter]]*(Table_Shelter[[#This Row],['# of Temporary Shelter Units Built]]+Table_Shelter[[#This Row],['# of Temporary Shelter Under  Construction]]+Table_Shelter[[#This Row],['# of Permanent House Under Construction]]),0),0)</f>
        <v>12</v>
      </c>
      <c r="R257" s="102"/>
      <c r="S257" s="162"/>
      <c r="T257" s="163" t="str">
        <f>IFERROR(VLOOKUP(Table_Shelter[[#This Row],[CampName]],CL,2,0),"")</f>
        <v>MMR001CMP049</v>
      </c>
      <c r="U257" s="163" t="str">
        <f>IFERROR(VLOOKUP(Table_Shelter[[#This Row],[CampName]],CL,3,0),"")</f>
        <v>Open</v>
      </c>
      <c r="V257" s="240">
        <f>IFERROR(Table_Shelter[[#This Row],[HH Covered]]/VLOOKUP(Table_Shelter[[#This Row],[CampName]],CL,5,0),"")</f>
        <v>9.2307692307692313E-2</v>
      </c>
      <c r="W257" s="240" t="s">
        <v>1292</v>
      </c>
      <c r="X257" s="164"/>
    </row>
    <row r="258" spans="1:24" ht="15" customHeight="1" x14ac:dyDescent="0.25">
      <c r="A258" s="483"/>
      <c r="B258" s="162" t="s">
        <v>451</v>
      </c>
      <c r="C258" s="162" t="s">
        <v>845</v>
      </c>
      <c r="D258" s="165" t="s">
        <v>380</v>
      </c>
      <c r="E258" s="307" t="s">
        <v>5</v>
      </c>
      <c r="F258" s="162" t="s">
        <v>18</v>
      </c>
      <c r="G258" s="103">
        <v>1</v>
      </c>
      <c r="H258" s="103"/>
      <c r="I258" s="103"/>
      <c r="J258" s="103">
        <v>30</v>
      </c>
      <c r="K258" s="103">
        <v>30</v>
      </c>
      <c r="L258" s="162"/>
      <c r="M258" s="162"/>
      <c r="N258" s="162"/>
      <c r="O258" s="162"/>
      <c r="P258" s="934">
        <f>IFERROR(IF(VLOOKUP(Table_Shelter[[#This Row],[CampName]],CL,5,0)&lt;Table_Shelter[[#This Row],[HH Covered2]],VLOOKUP(Table_Shelter[[#This Row],[CampName]],CL,5,0),Table_Shelter[[#This Row],[HH Covered2]]),"")</f>
        <v>30</v>
      </c>
      <c r="Q258" s="139">
        <f>IF(Table_Shelter[[#This Row],[Status]]="Open",IF(W258="NO",Table_Shelter[[#This Row],[HH per Shelter]]*(Table_Shelter[[#This Row],['# of Temporary Shelter Units Built]]+Table_Shelter[[#This Row],['# of Temporary Shelter Under  Construction]]+Table_Shelter[[#This Row],['# of Permanent House Under Construction]]),0),0)</f>
        <v>30</v>
      </c>
      <c r="R258" s="102"/>
      <c r="S258" s="162"/>
      <c r="T258" s="163" t="str">
        <f>IFERROR(VLOOKUP(Table_Shelter[[#This Row],[CampName]],CL,2,0),"")</f>
        <v>MMR001CMP049</v>
      </c>
      <c r="U258" s="163" t="str">
        <f>IFERROR(VLOOKUP(Table_Shelter[[#This Row],[CampName]],CL,3,0),"")</f>
        <v>Open</v>
      </c>
      <c r="V258" s="240">
        <f>IFERROR(Table_Shelter[[#This Row],[HH Covered]]/VLOOKUP(Table_Shelter[[#This Row],[CampName]],CL,5,0),"")</f>
        <v>0.23076923076923078</v>
      </c>
      <c r="W258" s="240" t="s">
        <v>1292</v>
      </c>
      <c r="X258" s="164"/>
    </row>
    <row r="259" spans="1:24" ht="15" customHeight="1" x14ac:dyDescent="0.25">
      <c r="A259" s="678"/>
      <c r="B259" s="164" t="s">
        <v>451</v>
      </c>
      <c r="C259" s="164"/>
      <c r="D259" s="164" t="s">
        <v>380</v>
      </c>
      <c r="E259" s="168" t="s">
        <v>5</v>
      </c>
      <c r="F259" s="164" t="s">
        <v>18</v>
      </c>
      <c r="G259" s="105">
        <v>1</v>
      </c>
      <c r="H259" s="105"/>
      <c r="I259" s="105"/>
      <c r="J259" s="105">
        <v>15</v>
      </c>
      <c r="K259" s="105">
        <v>15</v>
      </c>
      <c r="L259" s="164"/>
      <c r="M259" s="164"/>
      <c r="N259" s="164"/>
      <c r="O259" s="164"/>
      <c r="P259" s="936">
        <f>IFERROR(IF(VLOOKUP(Table_Shelter[[#This Row],[CampName]],CL,5,0)&lt;Table_Shelter[[#This Row],[HH Covered2]],VLOOKUP(Table_Shelter[[#This Row],[CampName]],CL,5,0),Table_Shelter[[#This Row],[HH Covered2]]),"")</f>
        <v>15</v>
      </c>
      <c r="Q259" s="139">
        <f>IF(Table_Shelter[[#This Row],[Status]]="Open",IF(W259="NO",Table_Shelter[[#This Row],[HH per Shelter]]*(Table_Shelter[[#This Row],['# of Temporary Shelter Units Built]]+Table_Shelter[[#This Row],['# of Temporary Shelter Under  Construction]]+Table_Shelter[[#This Row],['# of Permanent House Under Construction]]),0),0)</f>
        <v>15</v>
      </c>
      <c r="R259" s="104"/>
      <c r="S259" s="164"/>
      <c r="T259" s="163" t="str">
        <f>IFERROR(VLOOKUP(Table_Shelter[[#This Row],[CampName]],CL,2,0),"")</f>
        <v>MMR001CMP049</v>
      </c>
      <c r="U259" s="163" t="str">
        <f>IFERROR(VLOOKUP(Table_Shelter[[#This Row],[CampName]],CL,3,0),"")</f>
        <v>Open</v>
      </c>
      <c r="V259" s="240">
        <f>IFERROR(Table_Shelter[[#This Row],[HH Covered]]/VLOOKUP(Table_Shelter[[#This Row],[CampName]],CL,5,0),"")</f>
        <v>0.11538461538461539</v>
      </c>
      <c r="W259" s="240" t="s">
        <v>1292</v>
      </c>
      <c r="X259" s="164"/>
    </row>
    <row r="260" spans="1:24" ht="15" customHeight="1" x14ac:dyDescent="0.25">
      <c r="A260" s="678"/>
      <c r="B260" s="162" t="s">
        <v>451</v>
      </c>
      <c r="C260" s="162" t="s">
        <v>504</v>
      </c>
      <c r="D260" s="169" t="s">
        <v>380</v>
      </c>
      <c r="E260" s="307" t="s">
        <v>5</v>
      </c>
      <c r="F260" s="162" t="s">
        <v>18</v>
      </c>
      <c r="G260" s="103">
        <v>1</v>
      </c>
      <c r="H260" s="105"/>
      <c r="I260" s="105"/>
      <c r="J260" s="105">
        <v>5</v>
      </c>
      <c r="K260" s="105">
        <v>5</v>
      </c>
      <c r="L260" s="164"/>
      <c r="M260" s="164"/>
      <c r="N260" s="164"/>
      <c r="O260" s="164"/>
      <c r="P260" s="936">
        <f>IFERROR(IF(VLOOKUP(Table_Shelter[[#This Row],[CampName]],CL,5,0)&lt;Table_Shelter[[#This Row],[HH Covered2]],VLOOKUP(Table_Shelter[[#This Row],[CampName]],CL,5,0),Table_Shelter[[#This Row],[HH Covered2]]),"")</f>
        <v>5</v>
      </c>
      <c r="Q260" s="104">
        <f>IF(Table_Shelter[[#This Row],[Status]]="Open",IF(W260="NO",Table_Shelter[[#This Row],[HH per Shelter]]*(Table_Shelter[[#This Row],['# of Temporary Shelter Units Built]]+Table_Shelter[[#This Row],['# of Temporary Shelter Under  Construction]]+Table_Shelter[[#This Row],['# of Permanent House Under Construction]]),0),0)</f>
        <v>5</v>
      </c>
      <c r="R260" s="104"/>
      <c r="S260" s="104"/>
      <c r="T260" s="104" t="str">
        <f>IFERROR(VLOOKUP(Table_Shelter[[#This Row],[CampName]],CL,2,0),"")</f>
        <v>MMR001CMP049</v>
      </c>
      <c r="U260" s="104" t="str">
        <f>IFERROR(VLOOKUP(Table_Shelter[[#This Row],[CampName]],CL,3,0),"")</f>
        <v>Open</v>
      </c>
      <c r="V260" s="240">
        <f>IFERROR(Table_Shelter[[#This Row],[HH Covered]]/VLOOKUP(Table_Shelter[[#This Row],[CampName]],CL,5,0),"")</f>
        <v>3.8461538461538464E-2</v>
      </c>
      <c r="W260" s="240" t="s">
        <v>1292</v>
      </c>
      <c r="X260" s="104"/>
    </row>
    <row r="261" spans="1:24" ht="15" customHeight="1" x14ac:dyDescent="0.25">
      <c r="A261" s="678"/>
      <c r="B261" s="164" t="s">
        <v>451</v>
      </c>
      <c r="C261" s="164"/>
      <c r="D261" s="164" t="s">
        <v>380</v>
      </c>
      <c r="E261" s="168" t="s">
        <v>185</v>
      </c>
      <c r="F261" s="164" t="s">
        <v>186</v>
      </c>
      <c r="G261" s="105">
        <v>1</v>
      </c>
      <c r="H261" s="105"/>
      <c r="I261" s="105"/>
      <c r="J261" s="105">
        <v>12</v>
      </c>
      <c r="K261" s="105">
        <v>12</v>
      </c>
      <c r="L261" s="164"/>
      <c r="M261" s="164"/>
      <c r="N261" s="164"/>
      <c r="O261" s="164"/>
      <c r="P261" s="936">
        <f>IFERROR(IF(VLOOKUP(Table_Shelter[[#This Row],[CampName]],CL,5,0)&lt;Table_Shelter[[#This Row],[HH Covered2]],VLOOKUP(Table_Shelter[[#This Row],[CampName]],CL,5,0),Table_Shelter[[#This Row],[HH Covered2]]),"")</f>
        <v>12</v>
      </c>
      <c r="Q261" s="139">
        <f>IF(Table_Shelter[[#This Row],[Status]]="Open",IF(W261="NO",Table_Shelter[[#This Row],[HH per Shelter]]*(Table_Shelter[[#This Row],['# of Temporary Shelter Units Built]]+Table_Shelter[[#This Row],['# of Temporary Shelter Under  Construction]]+Table_Shelter[[#This Row],['# of Permanent House Under Construction]]),0),0)</f>
        <v>12</v>
      </c>
      <c r="R261" s="104"/>
      <c r="S261" s="164"/>
      <c r="T261" s="163" t="str">
        <f>IFERROR(VLOOKUP(Table_Shelter[[#This Row],[CampName]],CL,2,0),"")</f>
        <v>MMR001CMP071</v>
      </c>
      <c r="U261" s="163" t="str">
        <f>IFERROR(VLOOKUP(Table_Shelter[[#This Row],[CampName]],CL,3,0),"")</f>
        <v>Open</v>
      </c>
      <c r="V261" s="240">
        <f>IFERROR(Table_Shelter[[#This Row],[HH Covered]]/VLOOKUP(Table_Shelter[[#This Row],[CampName]],CL,5,0),"")</f>
        <v>0.30769230769230771</v>
      </c>
      <c r="W261" s="240" t="s">
        <v>1292</v>
      </c>
      <c r="X261" s="164"/>
    </row>
    <row r="262" spans="1:24" ht="15" customHeight="1" x14ac:dyDescent="0.25">
      <c r="A262" s="678"/>
      <c r="B262" s="162" t="s">
        <v>847</v>
      </c>
      <c r="C262" s="162" t="s">
        <v>459</v>
      </c>
      <c r="D262" s="165" t="s">
        <v>380</v>
      </c>
      <c r="E262" s="307" t="s">
        <v>237</v>
      </c>
      <c r="F262" s="162" t="s">
        <v>269</v>
      </c>
      <c r="G262" s="103">
        <v>1</v>
      </c>
      <c r="H262" s="105"/>
      <c r="I262" s="105"/>
      <c r="J262" s="105">
        <v>32</v>
      </c>
      <c r="K262" s="105">
        <v>32</v>
      </c>
      <c r="L262" s="164"/>
      <c r="M262" s="164"/>
      <c r="N262" s="164"/>
      <c r="O262" s="164"/>
      <c r="P262" s="936">
        <f>IFERROR(IF(VLOOKUP(Table_Shelter[[#This Row],[CampName]],CL,5,0)&lt;Table_Shelter[[#This Row],[HH Covered2]],VLOOKUP(Table_Shelter[[#This Row],[CampName]],CL,5,0),Table_Shelter[[#This Row],[HH Covered2]]),"")</f>
        <v>32</v>
      </c>
      <c r="Q262" s="104">
        <f>IF(Table_Shelter[[#This Row],[Status]]="Open",IF(W262="NO",Table_Shelter[[#This Row],[HH per Shelter]]*(Table_Shelter[[#This Row],['# of Temporary Shelter Units Built]]+Table_Shelter[[#This Row],['# of Temporary Shelter Under  Construction]]+Table_Shelter[[#This Row],['# of Permanent House Under Construction]]),0),0)</f>
        <v>32</v>
      </c>
      <c r="R262" s="104"/>
      <c r="S262" s="164"/>
      <c r="T262" s="164" t="str">
        <f>IFERROR(VLOOKUP(Table_Shelter[[#This Row],[CampName]],CL,2,0),"")</f>
        <v>MMR001CMP002</v>
      </c>
      <c r="U262" s="164" t="str">
        <f>IFERROR(VLOOKUP(Table_Shelter[[#This Row],[CampName]],CL,3,0),"")</f>
        <v>Open</v>
      </c>
      <c r="V262" s="240">
        <f>IFERROR(Table_Shelter[[#This Row],[HH Covered]]/VLOOKUP(Table_Shelter[[#This Row],[CampName]],CL,5,0),"")</f>
        <v>0.49230769230769234</v>
      </c>
      <c r="W262" s="240" t="s">
        <v>1292</v>
      </c>
      <c r="X262" s="164"/>
    </row>
    <row r="263" spans="1:24" ht="15" customHeight="1" x14ac:dyDescent="0.25">
      <c r="A263" s="483"/>
      <c r="B263" s="162" t="s">
        <v>591</v>
      </c>
      <c r="C263" s="162"/>
      <c r="D263" s="165" t="s">
        <v>380</v>
      </c>
      <c r="E263" s="307" t="s">
        <v>185</v>
      </c>
      <c r="F263" s="162" t="s">
        <v>223</v>
      </c>
      <c r="G263" s="103">
        <v>1</v>
      </c>
      <c r="H263" s="103"/>
      <c r="I263" s="103"/>
      <c r="J263" s="103">
        <v>40</v>
      </c>
      <c r="K263" s="103">
        <v>40</v>
      </c>
      <c r="L263" s="162"/>
      <c r="M263" s="162"/>
      <c r="N263" s="162"/>
      <c r="O263" s="162"/>
      <c r="P263" s="934">
        <f>IFERROR(IF(VLOOKUP(Table_Shelter[[#This Row],[CampName]],CL,5,0)&lt;Table_Shelter[[#This Row],[HH Covered2]],VLOOKUP(Table_Shelter[[#This Row],[CampName]],CL,5,0),Table_Shelter[[#This Row],[HH Covered2]]),"")</f>
        <v>40</v>
      </c>
      <c r="Q263" s="139">
        <f>IF(Table_Shelter[[#This Row],[Status]]="Open",IF(W263="NO",Table_Shelter[[#This Row],[HH per Shelter]]*(Table_Shelter[[#This Row],['# of Temporary Shelter Units Built]]+Table_Shelter[[#This Row],['# of Temporary Shelter Under  Construction]]+Table_Shelter[[#This Row],['# of Permanent House Under Construction]]),0),0)</f>
        <v>40</v>
      </c>
      <c r="R263" s="102"/>
      <c r="S263" s="162"/>
      <c r="T263" s="163" t="str">
        <f>IFERROR(VLOOKUP(Table_Shelter[[#This Row],[CampName]],CL,2,0),"")</f>
        <v>MMR001CMP069</v>
      </c>
      <c r="U263" s="163" t="str">
        <f>IFERROR(VLOOKUP(Table_Shelter[[#This Row],[CampName]],CL,3,0),"")</f>
        <v>Open</v>
      </c>
      <c r="V263" s="240">
        <f>IFERROR(Table_Shelter[[#This Row],[HH Covered]]/VLOOKUP(Table_Shelter[[#This Row],[CampName]],CL,5,0),"")</f>
        <v>0.38834951456310679</v>
      </c>
      <c r="W263" s="240" t="s">
        <v>1292</v>
      </c>
      <c r="X263" s="164"/>
    </row>
    <row r="264" spans="1:24" ht="15" customHeight="1" x14ac:dyDescent="0.25">
      <c r="A264" s="483"/>
      <c r="B264" s="162" t="s">
        <v>451</v>
      </c>
      <c r="C264" s="162"/>
      <c r="D264" s="162" t="s">
        <v>380</v>
      </c>
      <c r="E264" s="307" t="s">
        <v>185</v>
      </c>
      <c r="F264" s="162" t="s">
        <v>223</v>
      </c>
      <c r="G264" s="103">
        <v>1</v>
      </c>
      <c r="H264" s="103"/>
      <c r="I264" s="103"/>
      <c r="J264" s="103">
        <v>6</v>
      </c>
      <c r="K264" s="103">
        <v>6</v>
      </c>
      <c r="L264" s="162"/>
      <c r="M264" s="162"/>
      <c r="N264" s="162"/>
      <c r="O264" s="162"/>
      <c r="P264" s="934">
        <f>IFERROR(IF(VLOOKUP(Table_Shelter[[#This Row],[CampName]],CL,5,0)&lt;Table_Shelter[[#This Row],[HH Covered2]],VLOOKUP(Table_Shelter[[#This Row],[CampName]],CL,5,0),Table_Shelter[[#This Row],[HH Covered2]]),"")</f>
        <v>6</v>
      </c>
      <c r="Q264" s="139">
        <f>IF(Table_Shelter[[#This Row],[Status]]="Open",IF(W264="NO",Table_Shelter[[#This Row],[HH per Shelter]]*(Table_Shelter[[#This Row],['# of Temporary Shelter Units Built]]+Table_Shelter[[#This Row],['# of Temporary Shelter Under  Construction]]+Table_Shelter[[#This Row],['# of Permanent House Under Construction]]),0),0)</f>
        <v>6</v>
      </c>
      <c r="R264" s="102"/>
      <c r="S264" s="162"/>
      <c r="T264" s="163" t="str">
        <f>IFERROR(VLOOKUP(Table_Shelter[[#This Row],[CampName]],CL,2,0),"")</f>
        <v>MMR001CMP069</v>
      </c>
      <c r="U264" s="163" t="str">
        <f>IFERROR(VLOOKUP(Table_Shelter[[#This Row],[CampName]],CL,3,0),"")</f>
        <v>Open</v>
      </c>
      <c r="V264" s="240">
        <f>IFERROR(Table_Shelter[[#This Row],[HH Covered]]/VLOOKUP(Table_Shelter[[#This Row],[CampName]],CL,5,0),"")</f>
        <v>5.8252427184466021E-2</v>
      </c>
      <c r="W264" s="240" t="s">
        <v>1292</v>
      </c>
      <c r="X264" s="164"/>
    </row>
    <row r="265" spans="1:24" ht="15" customHeight="1" x14ac:dyDescent="0.25">
      <c r="A265" s="483"/>
      <c r="B265" s="162" t="s">
        <v>451</v>
      </c>
      <c r="C265" s="162"/>
      <c r="D265" s="162" t="s">
        <v>380</v>
      </c>
      <c r="E265" s="307" t="s">
        <v>185</v>
      </c>
      <c r="F265" s="162" t="s">
        <v>190</v>
      </c>
      <c r="G265" s="103">
        <v>1</v>
      </c>
      <c r="H265" s="103"/>
      <c r="I265" s="103"/>
      <c r="J265" s="103">
        <v>5</v>
      </c>
      <c r="K265" s="103">
        <v>57</v>
      </c>
      <c r="L265" s="162"/>
      <c r="M265" s="162"/>
      <c r="N265" s="162"/>
      <c r="O265" s="162"/>
      <c r="P265" s="934">
        <f>IFERROR(IF(VLOOKUP(Table_Shelter[[#This Row],[CampName]],CL,5,0)&lt;Table_Shelter[[#This Row],[HH Covered2]],VLOOKUP(Table_Shelter[[#This Row],[CampName]],CL,5,0),Table_Shelter[[#This Row],[HH Covered2]]),"")</f>
        <v>57</v>
      </c>
      <c r="Q265" s="139">
        <f>IF(Table_Shelter[[#This Row],[Status]]="Open",IF(W265="NO",Table_Shelter[[#This Row],[HH per Shelter]]*(Table_Shelter[[#This Row],['# of Temporary Shelter Units Built]]+Table_Shelter[[#This Row],['# of Temporary Shelter Under  Construction]]+Table_Shelter[[#This Row],['# of Permanent House Under Construction]]),0),0)</f>
        <v>57</v>
      </c>
      <c r="R265" s="102"/>
      <c r="S265" s="162"/>
      <c r="T265" s="163" t="str">
        <f>IFERROR(VLOOKUP(Table_Shelter[[#This Row],[CampName]],CL,2,0),"")</f>
        <v>MMR001CMP070</v>
      </c>
      <c r="U265" s="163" t="str">
        <f>IFERROR(VLOOKUP(Table_Shelter[[#This Row],[CampName]],CL,3,0),"")</f>
        <v>Open</v>
      </c>
      <c r="V265" s="240">
        <f>IFERROR(Table_Shelter[[#This Row],[HH Covered]]/VLOOKUP(Table_Shelter[[#This Row],[CampName]],CL,5,0),"")</f>
        <v>0.29381443298969073</v>
      </c>
      <c r="W265" s="240" t="s">
        <v>1292</v>
      </c>
      <c r="X265" s="164"/>
    </row>
    <row r="266" spans="1:24" ht="15" customHeight="1" x14ac:dyDescent="0.25">
      <c r="A266" s="678"/>
      <c r="B266" s="164" t="s">
        <v>591</v>
      </c>
      <c r="C266" s="164" t="s">
        <v>458</v>
      </c>
      <c r="D266" s="164" t="s">
        <v>380</v>
      </c>
      <c r="E266" s="168" t="s">
        <v>151</v>
      </c>
      <c r="F266" s="164" t="s">
        <v>158</v>
      </c>
      <c r="G266" s="105">
        <v>1</v>
      </c>
      <c r="H266" s="105"/>
      <c r="I266" s="105"/>
      <c r="J266" s="105">
        <v>100</v>
      </c>
      <c r="K266" s="105">
        <v>100</v>
      </c>
      <c r="L266" s="164"/>
      <c r="M266" s="164"/>
      <c r="N266" s="164"/>
      <c r="O266" s="164"/>
      <c r="P266" s="936">
        <f>IFERROR(IF(VLOOKUP(Table_Shelter[[#This Row],[CampName]],CL,5,0)&lt;Table_Shelter[[#This Row],[HH Covered2]],VLOOKUP(Table_Shelter[[#This Row],[CampName]],CL,5,0),Table_Shelter[[#This Row],[HH Covered2]]),"")</f>
        <v>0</v>
      </c>
      <c r="Q266" s="139">
        <f>IF(Table_Shelter[[#This Row],[Status]]="Open",IF(W266="NO",Table_Shelter[[#This Row],[HH per Shelter]]*(Table_Shelter[[#This Row],['# of Temporary Shelter Units Built]]+Table_Shelter[[#This Row],['# of Temporary Shelter Under  Construction]]+Table_Shelter[[#This Row],['# of Permanent House Under Construction]]),0),0)</f>
        <v>0</v>
      </c>
      <c r="R266" s="104"/>
      <c r="S266" s="164"/>
      <c r="T266" s="163" t="str">
        <f>IFERROR(VLOOKUP(Table_Shelter[[#This Row],[CampName]],CL,2,0),"")</f>
        <v>MMR001CMP135</v>
      </c>
      <c r="U266" s="163" t="str">
        <f>IFERROR(VLOOKUP(Table_Shelter[[#This Row],[CampName]],CL,3,0),"")</f>
        <v>Closed</v>
      </c>
      <c r="V266" s="240" t="str">
        <f>IFERROR(Table_Shelter[[#This Row],[HH Covered]]/VLOOKUP(Table_Shelter[[#This Row],[CampName]],CL,5,0),"")</f>
        <v/>
      </c>
      <c r="W266" s="240" t="s">
        <v>1292</v>
      </c>
      <c r="X266" s="164"/>
    </row>
    <row r="267" spans="1:24" ht="15" customHeight="1" x14ac:dyDescent="0.25">
      <c r="A267" s="483"/>
      <c r="B267" s="162" t="s">
        <v>451</v>
      </c>
      <c r="C267" s="162" t="s">
        <v>504</v>
      </c>
      <c r="D267" s="162" t="s">
        <v>380</v>
      </c>
      <c r="E267" s="307" t="s">
        <v>310</v>
      </c>
      <c r="F267" s="162" t="s">
        <v>320</v>
      </c>
      <c r="G267" s="103">
        <v>1</v>
      </c>
      <c r="H267" s="103"/>
      <c r="I267" s="103"/>
      <c r="J267" s="103">
        <v>25</v>
      </c>
      <c r="K267" s="103">
        <v>25</v>
      </c>
      <c r="L267" s="162"/>
      <c r="M267" s="162"/>
      <c r="N267" s="162"/>
      <c r="O267" s="162"/>
      <c r="P267" s="934">
        <f>IFERROR(IF(VLOOKUP(Table_Shelter[[#This Row],[CampName]],CL,5,0)&lt;Table_Shelter[[#This Row],[HH Covered2]],VLOOKUP(Table_Shelter[[#This Row],[CampName]],CL,5,0),Table_Shelter[[#This Row],[HH Covered2]]),"")</f>
        <v>25</v>
      </c>
      <c r="Q267" s="139">
        <f>IF(Table_Shelter[[#This Row],[Status]]="Open",IF(W267="NO",Table_Shelter[[#This Row],[HH per Shelter]]*(Table_Shelter[[#This Row],['# of Temporary Shelter Units Built]]+Table_Shelter[[#This Row],['# of Temporary Shelter Under  Construction]]+Table_Shelter[[#This Row],['# of Permanent House Under Construction]]),0),0)</f>
        <v>25</v>
      </c>
      <c r="R267" s="102"/>
      <c r="S267" s="162"/>
      <c r="T267" s="163" t="str">
        <f>IFERROR(VLOOKUP(Table_Shelter[[#This Row],[CampName]],CL,2,0),"")</f>
        <v>MMR001CMP027</v>
      </c>
      <c r="U267" s="163" t="str">
        <f>IFERROR(VLOOKUP(Table_Shelter[[#This Row],[CampName]],CL,3,0),"")</f>
        <v>Open</v>
      </c>
      <c r="V267" s="240">
        <f>IFERROR(Table_Shelter[[#This Row],[HH Covered]]/VLOOKUP(Table_Shelter[[#This Row],[CampName]],CL,5,0),"")</f>
        <v>0.83333333333333337</v>
      </c>
      <c r="W267" s="240" t="s">
        <v>1292</v>
      </c>
      <c r="X267" s="164"/>
    </row>
    <row r="268" spans="1:24" ht="15" customHeight="1" x14ac:dyDescent="0.25">
      <c r="A268" s="483"/>
      <c r="B268" s="162" t="s">
        <v>452</v>
      </c>
      <c r="C268" s="162" t="s">
        <v>505</v>
      </c>
      <c r="D268" s="165" t="s">
        <v>380</v>
      </c>
      <c r="E268" s="307" t="s">
        <v>310</v>
      </c>
      <c r="F268" s="162" t="s">
        <v>322</v>
      </c>
      <c r="G268" s="103">
        <v>1</v>
      </c>
      <c r="H268" s="103"/>
      <c r="I268" s="103"/>
      <c r="J268" s="105">
        <v>604</v>
      </c>
      <c r="K268" s="103">
        <v>604</v>
      </c>
      <c r="L268" s="162"/>
      <c r="M268" s="162"/>
      <c r="N268" s="162"/>
      <c r="O268" s="162"/>
      <c r="P268" s="934">
        <f>IFERROR(IF(VLOOKUP(Table_Shelter[[#This Row],[CampName]],CL,5,0)&lt;Table_Shelter[[#This Row],[HH Covered2]],VLOOKUP(Table_Shelter[[#This Row],[CampName]],CL,5,0),Table_Shelter[[#This Row],[HH Covered2]]),"")</f>
        <v>431</v>
      </c>
      <c r="Q268" s="139">
        <f>IF(Table_Shelter[[#This Row],[Status]]="Open",IF(W268="NO",Table_Shelter[[#This Row],[HH per Shelter]]*(Table_Shelter[[#This Row],['# of Temporary Shelter Units Built]]+Table_Shelter[[#This Row],['# of Temporary Shelter Under  Construction]]+Table_Shelter[[#This Row],['# of Permanent House Under Construction]]),0),0)</f>
        <v>604</v>
      </c>
      <c r="R268" s="102"/>
      <c r="S268" s="162"/>
      <c r="T268" s="163" t="str">
        <f>IFERROR(VLOOKUP(Table_Shelter[[#This Row],[CampName]],CL,2,0),"")</f>
        <v>MMR001CMP119</v>
      </c>
      <c r="U268" s="163" t="str">
        <f>IFERROR(VLOOKUP(Table_Shelter[[#This Row],[CampName]],CL,3,0),"")</f>
        <v>Open</v>
      </c>
      <c r="V268" s="240">
        <f>IFERROR(Table_Shelter[[#This Row],[HH Covered]]/VLOOKUP(Table_Shelter[[#This Row],[CampName]],CL,5,0),"")</f>
        <v>1</v>
      </c>
      <c r="W268" s="240" t="s">
        <v>1292</v>
      </c>
      <c r="X268" s="164"/>
    </row>
    <row r="269" spans="1:24" ht="15" customHeight="1" x14ac:dyDescent="0.25">
      <c r="A269" s="483"/>
      <c r="B269" s="162"/>
      <c r="C269" s="162"/>
      <c r="D269" s="162" t="s">
        <v>380</v>
      </c>
      <c r="E269" s="307" t="s">
        <v>185</v>
      </c>
      <c r="F269" s="162" t="s">
        <v>200</v>
      </c>
      <c r="G269" s="103">
        <v>1</v>
      </c>
      <c r="H269" s="103"/>
      <c r="I269" s="103"/>
      <c r="J269" s="103">
        <v>92</v>
      </c>
      <c r="K269" s="103">
        <v>92</v>
      </c>
      <c r="L269" s="162"/>
      <c r="M269" s="162"/>
      <c r="N269" s="162"/>
      <c r="O269" s="162"/>
      <c r="P269" s="934">
        <f>IFERROR(IF(VLOOKUP(Table_Shelter[[#This Row],[CampName]],CL,5,0)&lt;Table_Shelter[[#This Row],[HH Covered2]],VLOOKUP(Table_Shelter[[#This Row],[CampName]],CL,5,0),Table_Shelter[[#This Row],[HH Covered2]]),"")</f>
        <v>0</v>
      </c>
      <c r="Q269" s="139">
        <f>IF(Table_Shelter[[#This Row],[Status]]="Open",IF(W269="NO",Table_Shelter[[#This Row],[HH per Shelter]]*(Table_Shelter[[#This Row],['# of Temporary Shelter Units Built]]+Table_Shelter[[#This Row],['# of Temporary Shelter Under  Construction]]+Table_Shelter[[#This Row],['# of Permanent House Under Construction]]),0),0)</f>
        <v>0</v>
      </c>
      <c r="R269" s="102"/>
      <c r="S269" s="162"/>
      <c r="T269" s="163" t="str">
        <f>IFERROR(VLOOKUP(Table_Shelter[[#This Row],[CampName]],CL,2,0),"")</f>
        <v>MMR001CMP064</v>
      </c>
      <c r="U269" s="163" t="str">
        <f>IFERROR(VLOOKUP(Table_Shelter[[#This Row],[CampName]],CL,3,0),"")</f>
        <v>Closed</v>
      </c>
      <c r="V269" s="240" t="str">
        <f>IFERROR(Table_Shelter[[#This Row],[HH Covered]]/VLOOKUP(Table_Shelter[[#This Row],[CampName]],CL,5,0),"")</f>
        <v/>
      </c>
      <c r="W269" s="240" t="s">
        <v>1292</v>
      </c>
      <c r="X269" s="164"/>
    </row>
    <row r="270" spans="1:24" ht="15" customHeight="1" x14ac:dyDescent="0.25">
      <c r="A270" s="483"/>
      <c r="B270" s="162" t="s">
        <v>451</v>
      </c>
      <c r="C270" s="162" t="s">
        <v>504</v>
      </c>
      <c r="D270" s="162" t="s">
        <v>380</v>
      </c>
      <c r="E270" s="307" t="s">
        <v>310</v>
      </c>
      <c r="F270" s="162" t="s">
        <v>328</v>
      </c>
      <c r="G270" s="103">
        <v>1</v>
      </c>
      <c r="H270" s="103"/>
      <c r="I270" s="103"/>
      <c r="J270" s="103">
        <v>54</v>
      </c>
      <c r="K270" s="103">
        <v>54</v>
      </c>
      <c r="L270" s="162"/>
      <c r="M270" s="162"/>
      <c r="N270" s="162"/>
      <c r="O270" s="162"/>
      <c r="P270" s="934">
        <f>IFERROR(IF(VLOOKUP(Table_Shelter[[#This Row],[CampName]],CL,5,0)&lt;Table_Shelter[[#This Row],[HH Covered2]],VLOOKUP(Table_Shelter[[#This Row],[CampName]],CL,5,0),Table_Shelter[[#This Row],[HH Covered2]]),"")</f>
        <v>54</v>
      </c>
      <c r="Q270" s="139">
        <f>IF(Table_Shelter[[#This Row],[Status]]="Open",IF(W270="NO",Table_Shelter[[#This Row],[HH per Shelter]]*(Table_Shelter[[#This Row],['# of Temporary Shelter Units Built]]+Table_Shelter[[#This Row],['# of Temporary Shelter Under  Construction]]+Table_Shelter[[#This Row],['# of Permanent House Under Construction]]),0),0)</f>
        <v>54</v>
      </c>
      <c r="R270" s="102"/>
      <c r="S270" s="162"/>
      <c r="T270" s="163" t="str">
        <f>IFERROR(VLOOKUP(Table_Shelter[[#This Row],[CampName]],CL,2,0),"")</f>
        <v>MMR001CMP031</v>
      </c>
      <c r="U270" s="163" t="str">
        <f>IFERROR(VLOOKUP(Table_Shelter[[#This Row],[CampName]],CL,3,0),"")</f>
        <v>Open</v>
      </c>
      <c r="V270" s="240">
        <f>IFERROR(Table_Shelter[[#This Row],[HH Covered]]/VLOOKUP(Table_Shelter[[#This Row],[CampName]],CL,5,0),"")</f>
        <v>0.18685121107266436</v>
      </c>
      <c r="W270" s="240" t="s">
        <v>1292</v>
      </c>
      <c r="X270" s="164"/>
    </row>
    <row r="271" spans="1:24" ht="15" customHeight="1" x14ac:dyDescent="0.25">
      <c r="A271" s="483"/>
      <c r="B271" s="162" t="s">
        <v>568</v>
      </c>
      <c r="C271" s="162"/>
      <c r="D271" s="162" t="s">
        <v>380</v>
      </c>
      <c r="E271" s="307" t="s">
        <v>310</v>
      </c>
      <c r="F271" s="162" t="s">
        <v>328</v>
      </c>
      <c r="G271" s="103">
        <v>1</v>
      </c>
      <c r="H271" s="103"/>
      <c r="I271" s="103"/>
      <c r="J271" s="103">
        <v>18</v>
      </c>
      <c r="K271" s="103">
        <v>18</v>
      </c>
      <c r="L271" s="162"/>
      <c r="M271" s="162"/>
      <c r="N271" s="162"/>
      <c r="O271" s="162"/>
      <c r="P271" s="934">
        <f>IFERROR(IF(VLOOKUP(Table_Shelter[[#This Row],[CampName]],CL,5,0)&lt;Table_Shelter[[#This Row],[HH Covered2]],VLOOKUP(Table_Shelter[[#This Row],[CampName]],CL,5,0),Table_Shelter[[#This Row],[HH Covered2]]),"")</f>
        <v>18</v>
      </c>
      <c r="Q271" s="139">
        <f>IF(Table_Shelter[[#This Row],[Status]]="Open",IF(W271="NO",Table_Shelter[[#This Row],[HH per Shelter]]*(Table_Shelter[[#This Row],['# of Temporary Shelter Units Built]]+Table_Shelter[[#This Row],['# of Temporary Shelter Under  Construction]]+Table_Shelter[[#This Row],['# of Permanent House Under Construction]]),0),0)</f>
        <v>18</v>
      </c>
      <c r="R271" s="102"/>
      <c r="S271" s="162"/>
      <c r="T271" s="163" t="str">
        <f>IFERROR(VLOOKUP(Table_Shelter[[#This Row],[CampName]],CL,2,0),"")</f>
        <v>MMR001CMP031</v>
      </c>
      <c r="U271" s="163" t="str">
        <f>IFERROR(VLOOKUP(Table_Shelter[[#This Row],[CampName]],CL,3,0),"")</f>
        <v>Open</v>
      </c>
      <c r="V271" s="240">
        <f>IFERROR(Table_Shelter[[#This Row],[HH Covered]]/VLOOKUP(Table_Shelter[[#This Row],[CampName]],CL,5,0),"")</f>
        <v>6.228373702422145E-2</v>
      </c>
      <c r="W271" s="240" t="s">
        <v>1292</v>
      </c>
      <c r="X271" s="164"/>
    </row>
    <row r="272" spans="1:24" ht="15" customHeight="1" x14ac:dyDescent="0.25">
      <c r="A272" s="678"/>
      <c r="B272" s="164" t="s">
        <v>452</v>
      </c>
      <c r="C272" s="164" t="s">
        <v>505</v>
      </c>
      <c r="D272" s="166" t="s">
        <v>380</v>
      </c>
      <c r="E272" s="168" t="s">
        <v>310</v>
      </c>
      <c r="F272" s="164" t="s">
        <v>330</v>
      </c>
      <c r="G272" s="105">
        <v>1</v>
      </c>
      <c r="H272" s="105"/>
      <c r="I272" s="105"/>
      <c r="J272" s="105">
        <v>12</v>
      </c>
      <c r="K272" s="103">
        <v>12</v>
      </c>
      <c r="L272" s="164"/>
      <c r="M272" s="164"/>
      <c r="N272" s="164"/>
      <c r="O272" s="164"/>
      <c r="P272" s="936">
        <f>IFERROR(IF(VLOOKUP(Table_Shelter[[#This Row],[CampName]],CL,5,0)&lt;Table_Shelter[[#This Row],[HH Covered2]],VLOOKUP(Table_Shelter[[#This Row],[CampName]],CL,5,0),Table_Shelter[[#This Row],[HH Covered2]]),"")</f>
        <v>12</v>
      </c>
      <c r="Q272" s="139">
        <f>IF(Table_Shelter[[#This Row],[Status]]="Open",IF(W272="NO",Table_Shelter[[#This Row],[HH per Shelter]]*(Table_Shelter[[#This Row],['# of Temporary Shelter Units Built]]+Table_Shelter[[#This Row],['# of Temporary Shelter Under  Construction]]+Table_Shelter[[#This Row],['# of Permanent House Under Construction]]),0),0)</f>
        <v>12</v>
      </c>
      <c r="R272" s="104"/>
      <c r="S272" s="164"/>
      <c r="T272" s="163" t="str">
        <f>IFERROR(VLOOKUP(Table_Shelter[[#This Row],[CampName]],CL,2,0),"")</f>
        <v>MMR001CMP029</v>
      </c>
      <c r="U272" s="163" t="str">
        <f>IFERROR(VLOOKUP(Table_Shelter[[#This Row],[CampName]],CL,3,0),"")</f>
        <v>Open</v>
      </c>
      <c r="V272" s="240">
        <f>IFERROR(Table_Shelter[[#This Row],[HH Covered]]/VLOOKUP(Table_Shelter[[#This Row],[CampName]],CL,5,0),"")</f>
        <v>4.2553191489361701E-2</v>
      </c>
      <c r="W272" s="240" t="s">
        <v>1292</v>
      </c>
      <c r="X272" s="164"/>
    </row>
    <row r="273" spans="1:24" ht="15" customHeight="1" x14ac:dyDescent="0.25">
      <c r="A273" s="678"/>
      <c r="B273" s="164" t="s">
        <v>451</v>
      </c>
      <c r="C273" s="164" t="s">
        <v>505</v>
      </c>
      <c r="D273" s="164" t="s">
        <v>380</v>
      </c>
      <c r="E273" s="168" t="s">
        <v>310</v>
      </c>
      <c r="F273" s="164" t="s">
        <v>330</v>
      </c>
      <c r="G273" s="105">
        <v>1</v>
      </c>
      <c r="H273" s="105"/>
      <c r="I273" s="105"/>
      <c r="J273" s="105">
        <v>78</v>
      </c>
      <c r="K273" s="105">
        <v>78</v>
      </c>
      <c r="L273" s="164"/>
      <c r="M273" s="164"/>
      <c r="N273" s="164"/>
      <c r="O273" s="164"/>
      <c r="P273" s="936">
        <f>IFERROR(IF(VLOOKUP(Table_Shelter[[#This Row],[CampName]],CL,5,0)&lt;Table_Shelter[[#This Row],[HH Covered2]],VLOOKUP(Table_Shelter[[#This Row],[CampName]],CL,5,0),Table_Shelter[[#This Row],[HH Covered2]]),"")</f>
        <v>78</v>
      </c>
      <c r="Q273" s="139">
        <f>IF(Table_Shelter[[#This Row],[Status]]="Open",IF(W273="NO",Table_Shelter[[#This Row],[HH per Shelter]]*(Table_Shelter[[#This Row],['# of Temporary Shelter Units Built]]+Table_Shelter[[#This Row],['# of Temporary Shelter Under  Construction]]+Table_Shelter[[#This Row],['# of Permanent House Under Construction]]),0),0)</f>
        <v>78</v>
      </c>
      <c r="R273" s="104">
        <v>138</v>
      </c>
      <c r="S273" s="164"/>
      <c r="T273" s="163" t="str">
        <f>IFERROR(VLOOKUP(Table_Shelter[[#This Row],[CampName]],CL,2,0),"")</f>
        <v>MMR001CMP029</v>
      </c>
      <c r="U273" s="163" t="str">
        <f>IFERROR(VLOOKUP(Table_Shelter[[#This Row],[CampName]],CL,3,0),"")</f>
        <v>Open</v>
      </c>
      <c r="V273" s="240">
        <f>IFERROR(Table_Shelter[[#This Row],[HH Covered]]/VLOOKUP(Table_Shelter[[#This Row],[CampName]],CL,5,0),"")</f>
        <v>0.27659574468085107</v>
      </c>
      <c r="W273" s="240" t="s">
        <v>1292</v>
      </c>
      <c r="X273" s="164"/>
    </row>
    <row r="274" spans="1:24" ht="15" customHeight="1" x14ac:dyDescent="0.25">
      <c r="A274" s="483"/>
      <c r="B274" s="162" t="s">
        <v>451</v>
      </c>
      <c r="C274" s="162"/>
      <c r="D274" s="162" t="s">
        <v>380</v>
      </c>
      <c r="E274" s="307" t="s">
        <v>310</v>
      </c>
      <c r="F274" s="162" t="s">
        <v>330</v>
      </c>
      <c r="G274" s="103">
        <v>1</v>
      </c>
      <c r="H274" s="103"/>
      <c r="I274" s="103"/>
      <c r="J274" s="103">
        <v>120</v>
      </c>
      <c r="K274" s="103">
        <v>120</v>
      </c>
      <c r="L274" s="162"/>
      <c r="M274" s="162"/>
      <c r="N274" s="162"/>
      <c r="O274" s="162"/>
      <c r="P274" s="934">
        <f>IFERROR(IF(VLOOKUP(Table_Shelter[[#This Row],[CampName]],CL,5,0)&lt;Table_Shelter[[#This Row],[HH Covered2]],VLOOKUP(Table_Shelter[[#This Row],[CampName]],CL,5,0),Table_Shelter[[#This Row],[HH Covered2]]),"")</f>
        <v>120</v>
      </c>
      <c r="Q274" s="139">
        <f>IF(Table_Shelter[[#This Row],[Status]]="Open",IF(W274="NO",Table_Shelter[[#This Row],[HH per Shelter]]*(Table_Shelter[[#This Row],['# of Temporary Shelter Units Built]]+Table_Shelter[[#This Row],['# of Temporary Shelter Under  Construction]]+Table_Shelter[[#This Row],['# of Permanent House Under Construction]]),0),0)</f>
        <v>120</v>
      </c>
      <c r="R274" s="102"/>
      <c r="S274" s="162"/>
      <c r="T274" s="163" t="str">
        <f>IFERROR(VLOOKUP(Table_Shelter[[#This Row],[CampName]],CL,2,0),"")</f>
        <v>MMR001CMP029</v>
      </c>
      <c r="U274" s="163" t="str">
        <f>IFERROR(VLOOKUP(Table_Shelter[[#This Row],[CampName]],CL,3,0),"")</f>
        <v>Open</v>
      </c>
      <c r="V274" s="240">
        <f>IFERROR(Table_Shelter[[#This Row],[HH Covered]]/VLOOKUP(Table_Shelter[[#This Row],[CampName]],CL,5,0),"")</f>
        <v>0.42553191489361702</v>
      </c>
      <c r="W274" s="240" t="s">
        <v>1292</v>
      </c>
      <c r="X274" s="164"/>
    </row>
    <row r="275" spans="1:24" ht="15" customHeight="1" x14ac:dyDescent="0.25">
      <c r="A275" s="678"/>
      <c r="B275" s="162" t="s">
        <v>451</v>
      </c>
      <c r="C275" s="162" t="s">
        <v>459</v>
      </c>
      <c r="D275" s="165" t="s">
        <v>380</v>
      </c>
      <c r="E275" s="307" t="s">
        <v>237</v>
      </c>
      <c r="F275" s="162" t="s">
        <v>269</v>
      </c>
      <c r="G275" s="103">
        <v>1</v>
      </c>
      <c r="H275" s="105"/>
      <c r="I275" s="105"/>
      <c r="J275" s="105">
        <v>20</v>
      </c>
      <c r="K275" s="105">
        <v>20</v>
      </c>
      <c r="L275" s="164"/>
      <c r="M275" s="164"/>
      <c r="N275" s="164"/>
      <c r="O275" s="164"/>
      <c r="P275" s="936">
        <f>IFERROR(IF(VLOOKUP(Table_Shelter[[#This Row],[CampName]],CL,5,0)&lt;Table_Shelter[[#This Row],[HH Covered2]],VLOOKUP(Table_Shelter[[#This Row],[CampName]],CL,5,0),Table_Shelter[[#This Row],[HH Covered2]]),"")</f>
        <v>20</v>
      </c>
      <c r="Q275" s="104">
        <f>IF(Table_Shelter[[#This Row],[Status]]="Open",IF(W275="NO",Table_Shelter[[#This Row],[HH per Shelter]]*(Table_Shelter[[#This Row],['# of Temporary Shelter Units Built]]+Table_Shelter[[#This Row],['# of Temporary Shelter Under  Construction]]+Table_Shelter[[#This Row],['# of Permanent House Under Construction]]),0),0)</f>
        <v>20</v>
      </c>
      <c r="R275" s="104"/>
      <c r="S275" s="164"/>
      <c r="T275" s="164" t="str">
        <f>IFERROR(VLOOKUP(Table_Shelter[[#This Row],[CampName]],CL,2,0),"")</f>
        <v>MMR001CMP002</v>
      </c>
      <c r="U275" s="164" t="str">
        <f>IFERROR(VLOOKUP(Table_Shelter[[#This Row],[CampName]],CL,3,0),"")</f>
        <v>Open</v>
      </c>
      <c r="V275" s="240">
        <f>IFERROR(Table_Shelter[[#This Row],[HH Covered]]/VLOOKUP(Table_Shelter[[#This Row],[CampName]],CL,5,0),"")</f>
        <v>0.30769230769230771</v>
      </c>
      <c r="W275" s="240" t="s">
        <v>1292</v>
      </c>
      <c r="X275" s="164"/>
    </row>
    <row r="276" spans="1:24" ht="15" customHeight="1" x14ac:dyDescent="0.25">
      <c r="A276" s="678"/>
      <c r="B276" s="164" t="s">
        <v>568</v>
      </c>
      <c r="C276" s="164"/>
      <c r="D276" s="164" t="s">
        <v>380</v>
      </c>
      <c r="E276" s="168" t="s">
        <v>310</v>
      </c>
      <c r="F276" s="164" t="s">
        <v>326</v>
      </c>
      <c r="G276" s="105">
        <v>1</v>
      </c>
      <c r="H276" s="105"/>
      <c r="I276" s="105"/>
      <c r="J276" s="105">
        <v>10</v>
      </c>
      <c r="K276" s="105">
        <v>10</v>
      </c>
      <c r="L276" s="164"/>
      <c r="M276" s="164"/>
      <c r="N276" s="164"/>
      <c r="O276" s="164"/>
      <c r="P276" s="936">
        <f>IFERROR(IF(VLOOKUP(Table_Shelter[[#This Row],[CampName]],CL,5,0)&lt;Table_Shelter[[#This Row],[HH Covered2]],VLOOKUP(Table_Shelter[[#This Row],[CampName]],CL,5,0),Table_Shelter[[#This Row],[HH Covered2]]),"")</f>
        <v>10</v>
      </c>
      <c r="Q276" s="139">
        <f>IF(Table_Shelter[[#This Row],[Status]]="Open",IF(W276="NO",Table_Shelter[[#This Row],[HH per Shelter]]*(Table_Shelter[[#This Row],['# of Temporary Shelter Units Built]]+Table_Shelter[[#This Row],['# of Temporary Shelter Under  Construction]]+Table_Shelter[[#This Row],['# of Permanent House Under Construction]]),0),0)</f>
        <v>10</v>
      </c>
      <c r="R276" s="104"/>
      <c r="S276" s="164"/>
      <c r="T276" s="163" t="str">
        <f>IFERROR(VLOOKUP(Table_Shelter[[#This Row],[CampName]],CL,2,0),"")</f>
        <v>MMR001CMP039</v>
      </c>
      <c r="U276" s="163" t="str">
        <f>IFERROR(VLOOKUP(Table_Shelter[[#This Row],[CampName]],CL,3,0),"")</f>
        <v>Open</v>
      </c>
      <c r="V276" s="240">
        <f>IFERROR(Table_Shelter[[#This Row],[HH Covered]]/VLOOKUP(Table_Shelter[[#This Row],[CampName]],CL,5,0),"")</f>
        <v>0.22222222222222221</v>
      </c>
      <c r="W276" s="240" t="s">
        <v>1292</v>
      </c>
      <c r="X276" s="164"/>
    </row>
    <row r="277" spans="1:24" ht="15" customHeight="1" x14ac:dyDescent="0.25">
      <c r="A277" s="678"/>
      <c r="B277" s="162" t="s">
        <v>451</v>
      </c>
      <c r="C277" s="162" t="s">
        <v>459</v>
      </c>
      <c r="D277" s="165" t="s">
        <v>380</v>
      </c>
      <c r="E277" s="307" t="s">
        <v>310</v>
      </c>
      <c r="F277" s="162" t="s">
        <v>1231</v>
      </c>
      <c r="G277" s="103">
        <v>1</v>
      </c>
      <c r="H277" s="105"/>
      <c r="I277" s="105"/>
      <c r="J277" s="105">
        <v>24</v>
      </c>
      <c r="K277" s="105">
        <v>24</v>
      </c>
      <c r="L277" s="164"/>
      <c r="M277" s="164"/>
      <c r="N277" s="164"/>
      <c r="O277" s="164"/>
      <c r="P277" s="936">
        <f>IFERROR(IF(VLOOKUP(Table_Shelter[[#This Row],[CampName]],CL,5,0)&lt;Table_Shelter[[#This Row],[HH Covered2]],VLOOKUP(Table_Shelter[[#This Row],[CampName]],CL,5,0),Table_Shelter[[#This Row],[HH Covered2]]),"")</f>
        <v>24</v>
      </c>
      <c r="Q277" s="104">
        <f>IF(Table_Shelter[[#This Row],[Status]]="Open",IF(W277="NO",Table_Shelter[[#This Row],[HH per Shelter]]*(Table_Shelter[[#This Row],['# of Temporary Shelter Units Built]]+Table_Shelter[[#This Row],['# of Temporary Shelter Under  Construction]]+Table_Shelter[[#This Row],['# of Permanent House Under Construction]]),0),0)</f>
        <v>24</v>
      </c>
      <c r="R277" s="104"/>
      <c r="S277" s="164"/>
      <c r="T277" s="164" t="str">
        <f>IFERROR(VLOOKUP(Table_Shelter[[#This Row],[CampName]],CL,2,0),"")</f>
        <v>MMR001CMP120</v>
      </c>
      <c r="U277" s="164" t="str">
        <f>IFERROR(VLOOKUP(Table_Shelter[[#This Row],[CampName]],CL,3,0),"")</f>
        <v>Open</v>
      </c>
      <c r="V277" s="240">
        <f>IFERROR(Table_Shelter[[#This Row],[HH Covered]]/VLOOKUP(Table_Shelter[[#This Row],[CampName]],CL,5,0),"")</f>
        <v>0.12903225806451613</v>
      </c>
      <c r="W277" s="240" t="s">
        <v>1292</v>
      </c>
      <c r="X277" s="164"/>
    </row>
    <row r="278" spans="1:24" ht="15" customHeight="1" x14ac:dyDescent="0.25">
      <c r="A278" s="678"/>
      <c r="B278" s="164" t="s">
        <v>452</v>
      </c>
      <c r="C278" s="164"/>
      <c r="D278" s="164" t="s">
        <v>380</v>
      </c>
      <c r="E278" s="168" t="s">
        <v>151</v>
      </c>
      <c r="F278" s="164" t="s">
        <v>884</v>
      </c>
      <c r="G278" s="105">
        <v>1</v>
      </c>
      <c r="H278" s="105"/>
      <c r="I278" s="105"/>
      <c r="J278" s="105">
        <v>144</v>
      </c>
      <c r="K278" s="105">
        <v>144</v>
      </c>
      <c r="L278" s="164"/>
      <c r="M278" s="164"/>
      <c r="N278" s="164"/>
      <c r="O278" s="164"/>
      <c r="P278" s="936">
        <f>IFERROR(IF(VLOOKUP(Table_Shelter[[#This Row],[CampName]],CL,5,0)&lt;Table_Shelter[[#This Row],[HH Covered2]],VLOOKUP(Table_Shelter[[#This Row],[CampName]],CL,5,0),Table_Shelter[[#This Row],[HH Covered2]]),"")</f>
        <v>144</v>
      </c>
      <c r="Q278" s="139">
        <f>IF(Table_Shelter[[#This Row],[Status]]="Open",IF(W278="NO",Table_Shelter[[#This Row],[HH per Shelter]]*(Table_Shelter[[#This Row],['# of Temporary Shelter Units Built]]+Table_Shelter[[#This Row],['# of Temporary Shelter Under  Construction]]+Table_Shelter[[#This Row],['# of Permanent House Under Construction]]),0),0)</f>
        <v>144</v>
      </c>
      <c r="R278" s="104"/>
      <c r="S278" s="164"/>
      <c r="T278" s="163" t="str">
        <f>IFERROR(VLOOKUP(Table_Shelter[[#This Row],[CampName]],CL,2,0),"")</f>
        <v>MMR001CMP218</v>
      </c>
      <c r="U278" s="163" t="str">
        <f>IFERROR(VLOOKUP(Table_Shelter[[#This Row],[CampName]],CL,3,0),"")</f>
        <v>Open</v>
      </c>
      <c r="V278" s="240">
        <f>IFERROR(Table_Shelter[[#This Row],[HH Covered]]/VLOOKUP(Table_Shelter[[#This Row],[CampName]],CL,5,0),"")</f>
        <v>0.35732009925558311</v>
      </c>
      <c r="W278" s="240" t="s">
        <v>1292</v>
      </c>
      <c r="X278" s="164"/>
    </row>
    <row r="279" spans="1:24" ht="15" customHeight="1" x14ac:dyDescent="0.25">
      <c r="A279" s="678"/>
      <c r="B279" s="164" t="s">
        <v>1094</v>
      </c>
      <c r="C279" s="164"/>
      <c r="D279" s="164" t="s">
        <v>380</v>
      </c>
      <c r="E279" s="168" t="s">
        <v>151</v>
      </c>
      <c r="F279" s="164" t="s">
        <v>941</v>
      </c>
      <c r="G279" s="105">
        <v>1</v>
      </c>
      <c r="H279" s="105"/>
      <c r="I279" s="105"/>
      <c r="J279" s="105">
        <v>20</v>
      </c>
      <c r="K279" s="105">
        <v>20</v>
      </c>
      <c r="L279" s="164"/>
      <c r="M279" s="164"/>
      <c r="N279" s="164"/>
      <c r="O279" s="164"/>
      <c r="P279" s="936">
        <f>IFERROR(IF(VLOOKUP(Table_Shelter[[#This Row],[CampName]],CL,5,0)&lt;Table_Shelter[[#This Row],[HH Covered2]],VLOOKUP(Table_Shelter[[#This Row],[CampName]],CL,5,0),Table_Shelter[[#This Row],[HH Covered2]]),"")</f>
        <v>20</v>
      </c>
      <c r="Q279" s="139">
        <f>IF(Table_Shelter[[#This Row],[Status]]="Open",IF(W279="NO",Table_Shelter[[#This Row],[HH per Shelter]]*(Table_Shelter[[#This Row],['# of Temporary Shelter Units Built]]+Table_Shelter[[#This Row],['# of Temporary Shelter Under  Construction]]+Table_Shelter[[#This Row],['# of Permanent House Under Construction]]),0),0)</f>
        <v>20</v>
      </c>
      <c r="R279" s="104"/>
      <c r="S279" s="164"/>
      <c r="T279" s="163" t="str">
        <f>IFERROR(VLOOKUP(Table_Shelter[[#This Row],[CampName]],CL,2,0),"")</f>
        <v>MMR001CMP223</v>
      </c>
      <c r="U279" s="163" t="str">
        <f>IFERROR(VLOOKUP(Table_Shelter[[#This Row],[CampName]],CL,3,0),"")</f>
        <v>Open</v>
      </c>
      <c r="V279" s="240">
        <f>IFERROR(Table_Shelter[[#This Row],[HH Covered]]/VLOOKUP(Table_Shelter[[#This Row],[CampName]],CL,5,0),"")</f>
        <v>0.11494252873563218</v>
      </c>
      <c r="W279" s="240" t="s">
        <v>1292</v>
      </c>
      <c r="X279" s="164"/>
    </row>
    <row r="280" spans="1:24" ht="15" customHeight="1" x14ac:dyDescent="0.25">
      <c r="A280" s="678"/>
      <c r="B280" s="164"/>
      <c r="C280" s="164"/>
      <c r="D280" s="164" t="s">
        <v>380</v>
      </c>
      <c r="E280" s="168" t="s">
        <v>151</v>
      </c>
      <c r="F280" s="164" t="s">
        <v>941</v>
      </c>
      <c r="G280" s="105">
        <v>1</v>
      </c>
      <c r="H280" s="105"/>
      <c r="I280" s="105"/>
      <c r="J280" s="105">
        <v>30</v>
      </c>
      <c r="K280" s="105">
        <v>30</v>
      </c>
      <c r="L280" s="164"/>
      <c r="M280" s="164"/>
      <c r="N280" s="164"/>
      <c r="O280" s="164"/>
      <c r="P280" s="936">
        <f>IFERROR(IF(VLOOKUP(Table_Shelter[[#This Row],[CampName]],CL,5,0)&lt;Table_Shelter[[#This Row],[HH Covered2]],VLOOKUP(Table_Shelter[[#This Row],[CampName]],CL,5,0),Table_Shelter[[#This Row],[HH Covered2]]),"")</f>
        <v>30</v>
      </c>
      <c r="Q280" s="139">
        <f>IF(Table_Shelter[[#This Row],[Status]]="Open",IF(W280="NO",Table_Shelter[[#This Row],[HH per Shelter]]*(Table_Shelter[[#This Row],['# of Temporary Shelter Units Built]]+Table_Shelter[[#This Row],['# of Temporary Shelter Under  Construction]]+Table_Shelter[[#This Row],['# of Permanent House Under Construction]]),0),0)</f>
        <v>30</v>
      </c>
      <c r="R280" s="104"/>
      <c r="S280" s="164"/>
      <c r="T280" s="163" t="str">
        <f>IFERROR(VLOOKUP(Table_Shelter[[#This Row],[CampName]],CL,2,0),"")</f>
        <v>MMR001CMP223</v>
      </c>
      <c r="U280" s="163" t="str">
        <f>IFERROR(VLOOKUP(Table_Shelter[[#This Row],[CampName]],CL,3,0),"")</f>
        <v>Open</v>
      </c>
      <c r="V280" s="240">
        <f>IFERROR(Table_Shelter[[#This Row],[HH Covered]]/VLOOKUP(Table_Shelter[[#This Row],[CampName]],CL,5,0),"")</f>
        <v>0.17241379310344829</v>
      </c>
      <c r="W280" s="240" t="s">
        <v>1292</v>
      </c>
      <c r="X280" s="164"/>
    </row>
    <row r="281" spans="1:24" ht="15" customHeight="1" x14ac:dyDescent="0.25">
      <c r="A281" s="483"/>
      <c r="B281" s="162" t="s">
        <v>845</v>
      </c>
      <c r="C281" s="162"/>
      <c r="D281" s="162" t="s">
        <v>380</v>
      </c>
      <c r="E281" s="307" t="s">
        <v>185</v>
      </c>
      <c r="F281" s="162" t="s">
        <v>202</v>
      </c>
      <c r="G281" s="103">
        <v>1</v>
      </c>
      <c r="H281" s="103"/>
      <c r="I281" s="103"/>
      <c r="J281" s="103">
        <v>18</v>
      </c>
      <c r="K281" s="103">
        <v>18</v>
      </c>
      <c r="L281" s="162"/>
      <c r="M281" s="162"/>
      <c r="N281" s="162"/>
      <c r="O281" s="162"/>
      <c r="P281" s="934">
        <f>IFERROR(IF(VLOOKUP(Table_Shelter[[#This Row],[CampName]],CL,5,0)&lt;Table_Shelter[[#This Row],[HH Covered2]],VLOOKUP(Table_Shelter[[#This Row],[CampName]],CL,5,0),Table_Shelter[[#This Row],[HH Covered2]]),"")</f>
        <v>18</v>
      </c>
      <c r="Q281" s="139">
        <f>IF(Table_Shelter[[#This Row],[Status]]="Open",IF(W281="NO",Table_Shelter[[#This Row],[HH per Shelter]]*(Table_Shelter[[#This Row],['# of Temporary Shelter Units Built]]+Table_Shelter[[#This Row],['# of Temporary Shelter Under  Construction]]+Table_Shelter[[#This Row],['# of Permanent House Under Construction]]),0),0)</f>
        <v>18</v>
      </c>
      <c r="R281" s="102"/>
      <c r="S281" s="162"/>
      <c r="T281" s="163" t="str">
        <f>IFERROR(VLOOKUP(Table_Shelter[[#This Row],[CampName]],CL,2,0),"")</f>
        <v>MMR001CMP062</v>
      </c>
      <c r="U281" s="163" t="str">
        <f>IFERROR(VLOOKUP(Table_Shelter[[#This Row],[CampName]],CL,3,0),"")</f>
        <v>Open</v>
      </c>
      <c r="V281" s="240">
        <f>IFERROR(Table_Shelter[[#This Row],[HH Covered]]/VLOOKUP(Table_Shelter[[#This Row],[CampName]],CL,5,0),"")</f>
        <v>6.7924528301886791E-2</v>
      </c>
      <c r="W281" s="240" t="s">
        <v>1292</v>
      </c>
      <c r="X281" s="164"/>
    </row>
    <row r="282" spans="1:24" ht="15" customHeight="1" x14ac:dyDescent="0.25">
      <c r="A282" s="483"/>
      <c r="B282" s="162" t="s">
        <v>451</v>
      </c>
      <c r="C282" s="162"/>
      <c r="D282" s="162" t="s">
        <v>380</v>
      </c>
      <c r="E282" s="307" t="s">
        <v>185</v>
      </c>
      <c r="F282" s="162" t="s">
        <v>202</v>
      </c>
      <c r="G282" s="103">
        <v>1</v>
      </c>
      <c r="H282" s="103"/>
      <c r="I282" s="103"/>
      <c r="J282" s="103">
        <v>55</v>
      </c>
      <c r="K282" s="103">
        <v>55</v>
      </c>
      <c r="L282" s="162"/>
      <c r="M282" s="162"/>
      <c r="N282" s="162"/>
      <c r="O282" s="162"/>
      <c r="P282" s="934">
        <f>IFERROR(IF(VLOOKUP(Table_Shelter[[#This Row],[CampName]],CL,5,0)&lt;Table_Shelter[[#This Row],[HH Covered2]],VLOOKUP(Table_Shelter[[#This Row],[CampName]],CL,5,0),Table_Shelter[[#This Row],[HH Covered2]]),"")</f>
        <v>55</v>
      </c>
      <c r="Q282" s="139">
        <f>IF(Table_Shelter[[#This Row],[Status]]="Open",IF(W282="NO",Table_Shelter[[#This Row],[HH per Shelter]]*(Table_Shelter[[#This Row],['# of Temporary Shelter Units Built]]+Table_Shelter[[#This Row],['# of Temporary Shelter Under  Construction]]+Table_Shelter[[#This Row],['# of Permanent House Under Construction]]),0),0)</f>
        <v>55</v>
      </c>
      <c r="R282" s="102"/>
      <c r="S282" s="162"/>
      <c r="T282" s="163" t="str">
        <f>IFERROR(VLOOKUP(Table_Shelter[[#This Row],[CampName]],CL,2,0),"")</f>
        <v>MMR001CMP062</v>
      </c>
      <c r="U282" s="163" t="str">
        <f>IFERROR(VLOOKUP(Table_Shelter[[#This Row],[CampName]],CL,3,0),"")</f>
        <v>Open</v>
      </c>
      <c r="V282" s="240">
        <f>IFERROR(Table_Shelter[[#This Row],[HH Covered]]/VLOOKUP(Table_Shelter[[#This Row],[CampName]],CL,5,0),"")</f>
        <v>0.20754716981132076</v>
      </c>
      <c r="W282" s="240" t="s">
        <v>1292</v>
      </c>
      <c r="X282" s="164"/>
    </row>
    <row r="283" spans="1:24" ht="15" customHeight="1" x14ac:dyDescent="0.25">
      <c r="A283" s="483"/>
      <c r="B283" s="162" t="s">
        <v>451</v>
      </c>
      <c r="C283" s="162"/>
      <c r="D283" s="162" t="s">
        <v>380</v>
      </c>
      <c r="E283" s="307" t="s">
        <v>237</v>
      </c>
      <c r="F283" s="162" t="s">
        <v>261</v>
      </c>
      <c r="G283" s="103">
        <v>1</v>
      </c>
      <c r="H283" s="103"/>
      <c r="I283" s="103"/>
      <c r="J283" s="103">
        <v>20</v>
      </c>
      <c r="K283" s="103">
        <v>20</v>
      </c>
      <c r="L283" s="162"/>
      <c r="M283" s="162"/>
      <c r="N283" s="162"/>
      <c r="O283" s="162"/>
      <c r="P283" s="934">
        <f>IFERROR(IF(VLOOKUP(Table_Shelter[[#This Row],[CampName]],CL,5,0)&lt;Table_Shelter[[#This Row],[HH Covered2]],VLOOKUP(Table_Shelter[[#This Row],[CampName]],CL,5,0),Table_Shelter[[#This Row],[HH Covered2]]),"")</f>
        <v>20</v>
      </c>
      <c r="Q283" s="139">
        <f>IF(Table_Shelter[[#This Row],[Status]]="Open",IF(W283="NO",Table_Shelter[[#This Row],[HH per Shelter]]*(Table_Shelter[[#This Row],['# of Temporary Shelter Units Built]]+Table_Shelter[[#This Row],['# of Temporary Shelter Under  Construction]]+Table_Shelter[[#This Row],['# of Permanent House Under Construction]]),0),0)</f>
        <v>20</v>
      </c>
      <c r="R283" s="102"/>
      <c r="S283" s="162"/>
      <c r="T283" s="163" t="str">
        <f>IFERROR(VLOOKUP(Table_Shelter[[#This Row],[CampName]],CL,2,0),"")</f>
        <v>MMR001CMP008</v>
      </c>
      <c r="U283" s="163" t="str">
        <f>IFERROR(VLOOKUP(Table_Shelter[[#This Row],[CampName]],CL,3,0),"")</f>
        <v>Open</v>
      </c>
      <c r="V283" s="240">
        <f>IFERROR(Table_Shelter[[#This Row],[HH Covered]]/VLOOKUP(Table_Shelter[[#This Row],[CampName]],CL,5,0),"")</f>
        <v>0.19230769230769232</v>
      </c>
      <c r="W283" s="240" t="s">
        <v>1292</v>
      </c>
      <c r="X283" s="164"/>
    </row>
    <row r="284" spans="1:24" ht="15" customHeight="1" x14ac:dyDescent="0.25">
      <c r="A284" s="483"/>
      <c r="B284" s="162" t="s">
        <v>845</v>
      </c>
      <c r="C284" s="162"/>
      <c r="D284" s="162" t="s">
        <v>380</v>
      </c>
      <c r="E284" s="307" t="s">
        <v>151</v>
      </c>
      <c r="F284" s="162" t="s">
        <v>160</v>
      </c>
      <c r="G284" s="103">
        <v>1</v>
      </c>
      <c r="H284" s="103"/>
      <c r="I284" s="103"/>
      <c r="J284" s="103">
        <v>15</v>
      </c>
      <c r="K284" s="103">
        <v>15</v>
      </c>
      <c r="L284" s="162"/>
      <c r="M284" s="162"/>
      <c r="N284" s="162"/>
      <c r="O284" s="162"/>
      <c r="P284" s="934">
        <f>IFERROR(IF(VLOOKUP(Table_Shelter[[#This Row],[CampName]],CL,5,0)&lt;Table_Shelter[[#This Row],[HH Covered2]],VLOOKUP(Table_Shelter[[#This Row],[CampName]],CL,5,0),Table_Shelter[[#This Row],[HH Covered2]]),"")</f>
        <v>15</v>
      </c>
      <c r="Q284" s="139">
        <f>IF(Table_Shelter[[#This Row],[Status]]="Open",IF(W284="NO",Table_Shelter[[#This Row],[HH per Shelter]]*(Table_Shelter[[#This Row],['# of Temporary Shelter Units Built]]+Table_Shelter[[#This Row],['# of Temporary Shelter Under  Construction]]+Table_Shelter[[#This Row],['# of Permanent House Under Construction]]),0),0)</f>
        <v>15</v>
      </c>
      <c r="R284" s="102"/>
      <c r="S284" s="162"/>
      <c r="T284" s="163" t="str">
        <f>IFERROR(VLOOKUP(Table_Shelter[[#This Row],[CampName]],CL,2,0),"")</f>
        <v>MMR001CMP133</v>
      </c>
      <c r="U284" s="163" t="str">
        <f>IFERROR(VLOOKUP(Table_Shelter[[#This Row],[CampName]],CL,3,0),"")</f>
        <v>Open</v>
      </c>
      <c r="V284" s="240">
        <f>IFERROR(Table_Shelter[[#This Row],[HH Covered]]/VLOOKUP(Table_Shelter[[#This Row],[CampName]],CL,5,0),"")</f>
        <v>0.15306122448979592</v>
      </c>
      <c r="W284" s="240" t="s">
        <v>1292</v>
      </c>
      <c r="X284" s="164"/>
    </row>
    <row r="285" spans="1:24" ht="15" customHeight="1" x14ac:dyDescent="0.25">
      <c r="A285" s="678"/>
      <c r="B285" s="162" t="s">
        <v>846</v>
      </c>
      <c r="C285" s="162" t="s">
        <v>459</v>
      </c>
      <c r="D285" s="165" t="s">
        <v>380</v>
      </c>
      <c r="E285" s="307" t="s">
        <v>310</v>
      </c>
      <c r="F285" s="162" t="s">
        <v>342</v>
      </c>
      <c r="G285" s="103">
        <v>1</v>
      </c>
      <c r="H285" s="105"/>
      <c r="I285" s="105"/>
      <c r="J285" s="105">
        <v>8</v>
      </c>
      <c r="K285" s="105">
        <v>8</v>
      </c>
      <c r="L285" s="164"/>
      <c r="M285" s="164"/>
      <c r="N285" s="164"/>
      <c r="O285" s="164"/>
      <c r="P285" s="936">
        <f>IFERROR(IF(VLOOKUP(Table_Shelter[[#This Row],[CampName]],CL,5,0)&lt;Table_Shelter[[#This Row],[HH Covered2]],VLOOKUP(Table_Shelter[[#This Row],[CampName]],CL,5,0),Table_Shelter[[#This Row],[HH Covered2]]),"")</f>
        <v>8</v>
      </c>
      <c r="Q285" s="104">
        <f>IF(Table_Shelter[[#This Row],[Status]]="Open",IF(W285="NO",Table_Shelter[[#This Row],[HH per Shelter]]*(Table_Shelter[[#This Row],['# of Temporary Shelter Units Built]]+Table_Shelter[[#This Row],['# of Temporary Shelter Under  Construction]]+Table_Shelter[[#This Row],['# of Permanent House Under Construction]]),0),0)</f>
        <v>8</v>
      </c>
      <c r="R285" s="104"/>
      <c r="S285" s="164"/>
      <c r="T285" s="164" t="str">
        <f>IFERROR(VLOOKUP(Table_Shelter[[#This Row],[CampName]],CL,2,0),"")</f>
        <v>MMR001CMP025</v>
      </c>
      <c r="U285" s="164" t="str">
        <f>IFERROR(VLOOKUP(Table_Shelter[[#This Row],[CampName]],CL,3,0),"")</f>
        <v>Open</v>
      </c>
      <c r="V285" s="240">
        <f>IFERROR(Table_Shelter[[#This Row],[HH Covered]]/VLOOKUP(Table_Shelter[[#This Row],[CampName]],CL,5,0),"")</f>
        <v>0.12307692307692308</v>
      </c>
      <c r="W285" s="240" t="s">
        <v>1292</v>
      </c>
      <c r="X285" s="164"/>
    </row>
    <row r="286" spans="1:24" ht="15" customHeight="1" x14ac:dyDescent="0.25">
      <c r="A286" s="483"/>
      <c r="B286" s="162" t="s">
        <v>451</v>
      </c>
      <c r="C286" s="162" t="s">
        <v>504</v>
      </c>
      <c r="D286" s="162" t="s">
        <v>380</v>
      </c>
      <c r="E286" s="307" t="s">
        <v>185</v>
      </c>
      <c r="F286" s="162" t="s">
        <v>207</v>
      </c>
      <c r="G286" s="103">
        <v>1</v>
      </c>
      <c r="H286" s="103"/>
      <c r="I286" s="103"/>
      <c r="J286" s="103"/>
      <c r="K286" s="103"/>
      <c r="L286" s="162"/>
      <c r="M286" s="162"/>
      <c r="N286" s="162"/>
      <c r="O286" s="162"/>
      <c r="P286" s="934">
        <f>IFERROR(IF(VLOOKUP(Table_Shelter[[#This Row],[CampName]],CL,5,0)&lt;Table_Shelter[[#This Row],[HH Covered2]],VLOOKUP(Table_Shelter[[#This Row],[CampName]],CL,5,0),Table_Shelter[[#This Row],[HH Covered2]]),"")</f>
        <v>0</v>
      </c>
      <c r="Q286" s="139">
        <f>IF(Table_Shelter[[#This Row],[Status]]="Open",IF(W286="NO",Table_Shelter[[#This Row],[HH per Shelter]]*(Table_Shelter[[#This Row],['# of Temporary Shelter Units Built]]+Table_Shelter[[#This Row],['# of Temporary Shelter Under  Construction]]+Table_Shelter[[#This Row],['# of Permanent House Under Construction]]),0),0)</f>
        <v>0</v>
      </c>
      <c r="R286" s="102">
        <v>5</v>
      </c>
      <c r="S286" s="162"/>
      <c r="T286" s="163" t="str">
        <f>IFERROR(VLOOKUP(Table_Shelter[[#This Row],[CampName]],CL,2,0),"")</f>
        <v>MMR001CMP058</v>
      </c>
      <c r="U286" s="163" t="str">
        <f>IFERROR(VLOOKUP(Table_Shelter[[#This Row],[CampName]],CL,3,0),"")</f>
        <v>Closed</v>
      </c>
      <c r="V286" s="240" t="str">
        <f>IFERROR(Table_Shelter[[#This Row],[HH Covered]]/VLOOKUP(Table_Shelter[[#This Row],[CampName]],CL,5,0),"")</f>
        <v/>
      </c>
      <c r="W286" s="240" t="s">
        <v>1292</v>
      </c>
      <c r="X286" s="164"/>
    </row>
    <row r="287" spans="1:24" ht="15" customHeight="1" x14ac:dyDescent="0.25">
      <c r="A287" s="483"/>
      <c r="B287" s="162" t="s">
        <v>451</v>
      </c>
      <c r="C287" s="162" t="s">
        <v>458</v>
      </c>
      <c r="D287" s="162" t="s">
        <v>380</v>
      </c>
      <c r="E287" s="307" t="s">
        <v>151</v>
      </c>
      <c r="F287" s="162" t="s">
        <v>154</v>
      </c>
      <c r="G287" s="103">
        <v>1</v>
      </c>
      <c r="H287" s="103"/>
      <c r="I287" s="103"/>
      <c r="J287" s="103">
        <v>200</v>
      </c>
      <c r="K287" s="103">
        <v>200</v>
      </c>
      <c r="L287" s="162"/>
      <c r="M287" s="162"/>
      <c r="N287" s="162"/>
      <c r="O287" s="162"/>
      <c r="P287" s="934">
        <f>IFERROR(IF(VLOOKUP(Table_Shelter[[#This Row],[CampName]],CL,5,0)&lt;Table_Shelter[[#This Row],[HH Covered2]],VLOOKUP(Table_Shelter[[#This Row],[CampName]],CL,5,0),Table_Shelter[[#This Row],[HH Covered2]]),"")</f>
        <v>200</v>
      </c>
      <c r="Q287" s="139">
        <f>IF(Table_Shelter[[#This Row],[Status]]="Open",IF(W287="NO",Table_Shelter[[#This Row],[HH per Shelter]]*(Table_Shelter[[#This Row],['# of Temporary Shelter Units Built]]+Table_Shelter[[#This Row],['# of Temporary Shelter Under  Construction]]+Table_Shelter[[#This Row],['# of Permanent House Under Construction]]),0),0)</f>
        <v>200</v>
      </c>
      <c r="R287" s="102"/>
      <c r="S287" s="162"/>
      <c r="T287" s="163" t="str">
        <f>IFERROR(VLOOKUP(Table_Shelter[[#This Row],[CampName]],CL,2,0),"")</f>
        <v>MMR001CMP132</v>
      </c>
      <c r="U287" s="163" t="str">
        <f>IFERROR(VLOOKUP(Table_Shelter[[#This Row],[CampName]],CL,3,0),"")</f>
        <v>Open</v>
      </c>
      <c r="V287" s="240">
        <f>IFERROR(Table_Shelter[[#This Row],[HH Covered]]/VLOOKUP(Table_Shelter[[#This Row],[CampName]],CL,5,0),"")</f>
        <v>0.44543429844097998</v>
      </c>
      <c r="W287" s="240" t="s">
        <v>1292</v>
      </c>
      <c r="X287" s="164"/>
    </row>
    <row r="288" spans="1:24" ht="15" customHeight="1" x14ac:dyDescent="0.25">
      <c r="A288" s="483"/>
      <c r="B288" s="162" t="s">
        <v>845</v>
      </c>
      <c r="C288" s="162"/>
      <c r="D288" s="162" t="s">
        <v>380</v>
      </c>
      <c r="E288" s="307" t="s">
        <v>185</v>
      </c>
      <c r="F288" s="162" t="s">
        <v>207</v>
      </c>
      <c r="G288" s="103">
        <v>1</v>
      </c>
      <c r="H288" s="103"/>
      <c r="I288" s="103"/>
      <c r="J288" s="103">
        <v>6</v>
      </c>
      <c r="K288" s="103">
        <v>6</v>
      </c>
      <c r="L288" s="162"/>
      <c r="M288" s="162"/>
      <c r="N288" s="162"/>
      <c r="O288" s="162"/>
      <c r="P288" s="934">
        <f>IFERROR(IF(VLOOKUP(Table_Shelter[[#This Row],[CampName]],CL,5,0)&lt;Table_Shelter[[#This Row],[HH Covered2]],VLOOKUP(Table_Shelter[[#This Row],[CampName]],CL,5,0),Table_Shelter[[#This Row],[HH Covered2]]),"")</f>
        <v>0</v>
      </c>
      <c r="Q288" s="139">
        <f>IF(Table_Shelter[[#This Row],[Status]]="Open",IF(W288="NO",Table_Shelter[[#This Row],[HH per Shelter]]*(Table_Shelter[[#This Row],['# of Temporary Shelter Units Built]]+Table_Shelter[[#This Row],['# of Temporary Shelter Under  Construction]]+Table_Shelter[[#This Row],['# of Permanent House Under Construction]]),0),0)</f>
        <v>0</v>
      </c>
      <c r="R288" s="102"/>
      <c r="S288" s="162"/>
      <c r="T288" s="163" t="str">
        <f>IFERROR(VLOOKUP(Table_Shelter[[#This Row],[CampName]],CL,2,0),"")</f>
        <v>MMR001CMP058</v>
      </c>
      <c r="U288" s="163" t="str">
        <f>IFERROR(VLOOKUP(Table_Shelter[[#This Row],[CampName]],CL,3,0),"")</f>
        <v>Closed</v>
      </c>
      <c r="V288" s="240" t="str">
        <f>IFERROR(Table_Shelter[[#This Row],[HH Covered]]/VLOOKUP(Table_Shelter[[#This Row],[CampName]],CL,5,0),"")</f>
        <v/>
      </c>
      <c r="W288" s="240" t="s">
        <v>1292</v>
      </c>
      <c r="X288" s="164"/>
    </row>
    <row r="289" spans="1:24" ht="15" customHeight="1" x14ac:dyDescent="0.25">
      <c r="A289" s="678"/>
      <c r="B289" s="162" t="s">
        <v>451</v>
      </c>
      <c r="C289" s="162" t="s">
        <v>459</v>
      </c>
      <c r="D289" s="165" t="s">
        <v>380</v>
      </c>
      <c r="E289" s="307" t="s">
        <v>310</v>
      </c>
      <c r="F289" s="162" t="s">
        <v>342</v>
      </c>
      <c r="G289" s="103">
        <v>1</v>
      </c>
      <c r="H289" s="105"/>
      <c r="I289" s="105"/>
      <c r="J289" s="105">
        <v>10</v>
      </c>
      <c r="K289" s="105">
        <v>10</v>
      </c>
      <c r="L289" s="164"/>
      <c r="M289" s="164"/>
      <c r="N289" s="164"/>
      <c r="O289" s="164"/>
      <c r="P289" s="936">
        <f>IFERROR(IF(VLOOKUP(Table_Shelter[[#This Row],[CampName]],CL,5,0)&lt;Table_Shelter[[#This Row],[HH Covered2]],VLOOKUP(Table_Shelter[[#This Row],[CampName]],CL,5,0),Table_Shelter[[#This Row],[HH Covered2]]),"")</f>
        <v>10</v>
      </c>
      <c r="Q289" s="104">
        <f>IF(Table_Shelter[[#This Row],[Status]]="Open",IF(W289="NO",Table_Shelter[[#This Row],[HH per Shelter]]*(Table_Shelter[[#This Row],['# of Temporary Shelter Units Built]]+Table_Shelter[[#This Row],['# of Temporary Shelter Under  Construction]]+Table_Shelter[[#This Row],['# of Permanent House Under Construction]]),0),0)</f>
        <v>10</v>
      </c>
      <c r="R289" s="104"/>
      <c r="S289" s="164"/>
      <c r="T289" s="164" t="str">
        <f>IFERROR(VLOOKUP(Table_Shelter[[#This Row],[CampName]],CL,2,0),"")</f>
        <v>MMR001CMP025</v>
      </c>
      <c r="U289" s="164" t="str">
        <f>IFERROR(VLOOKUP(Table_Shelter[[#This Row],[CampName]],CL,3,0),"")</f>
        <v>Open</v>
      </c>
      <c r="V289" s="240">
        <f>IFERROR(Table_Shelter[[#This Row],[HH Covered]]/VLOOKUP(Table_Shelter[[#This Row],[CampName]],CL,5,0),"")</f>
        <v>0.15384615384615385</v>
      </c>
      <c r="W289" s="240" t="s">
        <v>1292</v>
      </c>
      <c r="X289" s="164"/>
    </row>
    <row r="290" spans="1:24" ht="15" customHeight="1" x14ac:dyDescent="0.25">
      <c r="A290" s="483"/>
      <c r="B290" s="162" t="s">
        <v>451</v>
      </c>
      <c r="C290" s="162"/>
      <c r="D290" s="162" t="s">
        <v>380</v>
      </c>
      <c r="E290" s="307" t="s">
        <v>151</v>
      </c>
      <c r="F290" s="162" t="s">
        <v>152</v>
      </c>
      <c r="G290" s="103">
        <v>1</v>
      </c>
      <c r="H290" s="103"/>
      <c r="I290" s="103"/>
      <c r="J290" s="103">
        <v>41</v>
      </c>
      <c r="K290" s="103">
        <v>10</v>
      </c>
      <c r="L290" s="162"/>
      <c r="M290" s="162"/>
      <c r="N290" s="162"/>
      <c r="O290" s="162"/>
      <c r="P290" s="934">
        <f>IFERROR(IF(VLOOKUP(Table_Shelter[[#This Row],[CampName]],CL,5,0)&lt;Table_Shelter[[#This Row],[HH Covered2]],VLOOKUP(Table_Shelter[[#This Row],[CampName]],CL,5,0),Table_Shelter[[#This Row],[HH Covered2]]),"")</f>
        <v>10</v>
      </c>
      <c r="Q290" s="139">
        <f>IF(Table_Shelter[[#This Row],[Status]]="Open",IF(W290="NO",Table_Shelter[[#This Row],[HH per Shelter]]*(Table_Shelter[[#This Row],['# of Temporary Shelter Units Built]]+Table_Shelter[[#This Row],['# of Temporary Shelter Under  Construction]]+Table_Shelter[[#This Row],['# of Permanent House Under Construction]]),0),0)</f>
        <v>10</v>
      </c>
      <c r="R290" s="102"/>
      <c r="S290" s="162"/>
      <c r="T290" s="163" t="str">
        <f>IFERROR(VLOOKUP(Table_Shelter[[#This Row],[CampName]],CL,2,0),"")</f>
        <v>MMR001CMP066</v>
      </c>
      <c r="U290" s="163" t="str">
        <f>IFERROR(VLOOKUP(Table_Shelter[[#This Row],[CampName]],CL,3,0),"")</f>
        <v>Open</v>
      </c>
      <c r="V290" s="240">
        <f>IFERROR(Table_Shelter[[#This Row],[HH Covered]]/VLOOKUP(Table_Shelter[[#This Row],[CampName]],CL,5,0),"")</f>
        <v>5.1546391752577317E-2</v>
      </c>
      <c r="W290" s="240" t="s">
        <v>1292</v>
      </c>
      <c r="X290" s="164"/>
    </row>
    <row r="291" spans="1:24" ht="15" customHeight="1" x14ac:dyDescent="0.25">
      <c r="A291" s="483"/>
      <c r="B291" s="162" t="s">
        <v>846</v>
      </c>
      <c r="C291" s="162" t="s">
        <v>846</v>
      </c>
      <c r="D291" s="162" t="s">
        <v>380</v>
      </c>
      <c r="E291" s="307" t="s">
        <v>526</v>
      </c>
      <c r="F291" s="162" t="s">
        <v>54</v>
      </c>
      <c r="G291" s="103">
        <v>1</v>
      </c>
      <c r="H291" s="103"/>
      <c r="I291" s="103"/>
      <c r="J291" s="103">
        <v>10</v>
      </c>
      <c r="K291" s="103">
        <v>10</v>
      </c>
      <c r="L291" s="162"/>
      <c r="M291" s="162"/>
      <c r="N291" s="162"/>
      <c r="O291" s="162"/>
      <c r="P291" s="934">
        <f>IFERROR(IF(VLOOKUP(Table_Shelter[[#This Row],[CampName]],CL,5,0)&lt;Table_Shelter[[#This Row],[HH Covered2]],VLOOKUP(Table_Shelter[[#This Row],[CampName]],CL,5,0),Table_Shelter[[#This Row],[HH Covered2]]),"")</f>
        <v>0</v>
      </c>
      <c r="Q291" s="139">
        <f>IF(Table_Shelter[[#This Row],[Status]]="Open",IF(W291="NO",Table_Shelter[[#This Row],[HH per Shelter]]*(Table_Shelter[[#This Row],['# of Temporary Shelter Units Built]]+Table_Shelter[[#This Row],['# of Temporary Shelter Under  Construction]]+Table_Shelter[[#This Row],['# of Permanent House Under Construction]]),0),0)</f>
        <v>0</v>
      </c>
      <c r="R291" s="102"/>
      <c r="S291" s="162"/>
      <c r="T291" s="163" t="str">
        <f>IFERROR(VLOOKUP(Table_Shelter[[#This Row],[CampName]],CL,2,0),"")</f>
        <v>MMR001CMP094</v>
      </c>
      <c r="U291" s="163" t="str">
        <f>IFERROR(VLOOKUP(Table_Shelter[[#This Row],[CampName]],CL,3,0),"")</f>
        <v>Closed</v>
      </c>
      <c r="V291" s="240" t="str">
        <f>IFERROR(Table_Shelter[[#This Row],[HH Covered]]/VLOOKUP(Table_Shelter[[#This Row],[CampName]],CL,5,0),"")</f>
        <v/>
      </c>
      <c r="W291" s="240" t="s">
        <v>1292</v>
      </c>
      <c r="X291" s="164"/>
    </row>
    <row r="292" spans="1:24" ht="15" customHeight="1" x14ac:dyDescent="0.25">
      <c r="A292" s="483"/>
      <c r="B292" s="162" t="s">
        <v>451</v>
      </c>
      <c r="C292" s="162" t="s">
        <v>504</v>
      </c>
      <c r="D292" s="162" t="s">
        <v>380</v>
      </c>
      <c r="E292" s="307" t="s">
        <v>526</v>
      </c>
      <c r="F292" s="162" t="s">
        <v>54</v>
      </c>
      <c r="G292" s="103">
        <v>1</v>
      </c>
      <c r="H292" s="103"/>
      <c r="I292" s="103"/>
      <c r="J292" s="103">
        <v>10</v>
      </c>
      <c r="K292" s="103">
        <v>10</v>
      </c>
      <c r="L292" s="162"/>
      <c r="M292" s="162"/>
      <c r="N292" s="162"/>
      <c r="O292" s="162"/>
      <c r="P292" s="934">
        <f>IFERROR(IF(VLOOKUP(Table_Shelter[[#This Row],[CampName]],CL,5,0)&lt;Table_Shelter[[#This Row],[HH Covered2]],VLOOKUP(Table_Shelter[[#This Row],[CampName]],CL,5,0),Table_Shelter[[#This Row],[HH Covered2]]),"")</f>
        <v>0</v>
      </c>
      <c r="Q292" s="139">
        <f>IF(Table_Shelter[[#This Row],[Status]]="Open",IF(W292="NO",Table_Shelter[[#This Row],[HH per Shelter]]*(Table_Shelter[[#This Row],['# of Temporary Shelter Units Built]]+Table_Shelter[[#This Row],['# of Temporary Shelter Under  Construction]]+Table_Shelter[[#This Row],['# of Permanent House Under Construction]]),0),0)</f>
        <v>0</v>
      </c>
      <c r="R292" s="102"/>
      <c r="S292" s="162"/>
      <c r="T292" s="163" t="str">
        <f>IFERROR(VLOOKUP(Table_Shelter[[#This Row],[CampName]],CL,2,0),"")</f>
        <v>MMR001CMP094</v>
      </c>
      <c r="U292" s="163" t="str">
        <f>IFERROR(VLOOKUP(Table_Shelter[[#This Row],[CampName]],CL,3,0),"")</f>
        <v>Closed</v>
      </c>
      <c r="V292" s="240" t="str">
        <f>IFERROR(Table_Shelter[[#This Row],[HH Covered]]/VLOOKUP(Table_Shelter[[#This Row],[CampName]],CL,5,0),"")</f>
        <v/>
      </c>
      <c r="W292" s="240" t="s">
        <v>1292</v>
      </c>
      <c r="X292" s="164"/>
    </row>
    <row r="293" spans="1:24" ht="15" customHeight="1" x14ac:dyDescent="0.25">
      <c r="A293" s="678"/>
      <c r="B293" s="164" t="s">
        <v>451</v>
      </c>
      <c r="C293" s="164" t="s">
        <v>504</v>
      </c>
      <c r="D293" s="164" t="s">
        <v>380</v>
      </c>
      <c r="E293" s="168" t="s">
        <v>237</v>
      </c>
      <c r="F293" s="164" t="s">
        <v>263</v>
      </c>
      <c r="G293" s="105">
        <v>1</v>
      </c>
      <c r="H293" s="105"/>
      <c r="I293" s="105"/>
      <c r="J293" s="105">
        <v>27</v>
      </c>
      <c r="K293" s="105">
        <v>27</v>
      </c>
      <c r="L293" s="164"/>
      <c r="M293" s="164"/>
      <c r="N293" s="164"/>
      <c r="O293" s="164"/>
      <c r="P293" s="936">
        <f>IFERROR(IF(VLOOKUP(Table_Shelter[[#This Row],[CampName]],CL,5,0)&lt;Table_Shelter[[#This Row],[HH Covered2]],VLOOKUP(Table_Shelter[[#This Row],[CampName]],CL,5,0),Table_Shelter[[#This Row],[HH Covered2]]),"")</f>
        <v>23</v>
      </c>
      <c r="Q293" s="139">
        <f>IF(Table_Shelter[[#This Row],[Status]]="Open",IF(W293="NO",Table_Shelter[[#This Row],[HH per Shelter]]*(Table_Shelter[[#This Row],['# of Temporary Shelter Units Built]]+Table_Shelter[[#This Row],['# of Temporary Shelter Under  Construction]]+Table_Shelter[[#This Row],['# of Permanent House Under Construction]]),0),0)</f>
        <v>27</v>
      </c>
      <c r="R293" s="104"/>
      <c r="S293" s="164"/>
      <c r="T293" s="163" t="str">
        <f>IFERROR(VLOOKUP(Table_Shelter[[#This Row],[CampName]],CL,2,0),"")</f>
        <v>MMR001CMP020</v>
      </c>
      <c r="U293" s="163" t="str">
        <f>IFERROR(VLOOKUP(Table_Shelter[[#This Row],[CampName]],CL,3,0),"")</f>
        <v>Open</v>
      </c>
      <c r="V293" s="240">
        <f>IFERROR(Table_Shelter[[#This Row],[HH Covered]]/VLOOKUP(Table_Shelter[[#This Row],[CampName]],CL,5,0),"")</f>
        <v>1</v>
      </c>
      <c r="W293" s="240" t="s">
        <v>1292</v>
      </c>
      <c r="X293" s="164"/>
    </row>
    <row r="294" spans="1:24" ht="15" customHeight="1" x14ac:dyDescent="0.25">
      <c r="A294" s="483"/>
      <c r="B294" s="162" t="s">
        <v>451</v>
      </c>
      <c r="C294" s="162" t="s">
        <v>504</v>
      </c>
      <c r="D294" s="162" t="s">
        <v>380</v>
      </c>
      <c r="E294" s="307" t="s">
        <v>237</v>
      </c>
      <c r="F294" s="162" t="s">
        <v>265</v>
      </c>
      <c r="G294" s="103">
        <v>1</v>
      </c>
      <c r="H294" s="103"/>
      <c r="I294" s="103"/>
      <c r="J294" s="103">
        <v>4</v>
      </c>
      <c r="K294" s="103">
        <v>4</v>
      </c>
      <c r="L294" s="162"/>
      <c r="M294" s="162"/>
      <c r="N294" s="162"/>
      <c r="O294" s="162"/>
      <c r="P294" s="934">
        <f>IFERROR(IF(VLOOKUP(Table_Shelter[[#This Row],[CampName]],CL,5,0)&lt;Table_Shelter[[#This Row],[HH Covered2]],VLOOKUP(Table_Shelter[[#This Row],[CampName]],CL,5,0),Table_Shelter[[#This Row],[HH Covered2]]),"")</f>
        <v>4</v>
      </c>
      <c r="Q294" s="139">
        <f>IF(Table_Shelter[[#This Row],[Status]]="Open",IF(W294="NO",Table_Shelter[[#This Row],[HH per Shelter]]*(Table_Shelter[[#This Row],['# of Temporary Shelter Units Built]]+Table_Shelter[[#This Row],['# of Temporary Shelter Under  Construction]]+Table_Shelter[[#This Row],['# of Permanent House Under Construction]]),0),0)</f>
        <v>4</v>
      </c>
      <c r="R294" s="102"/>
      <c r="S294" s="162"/>
      <c r="T294" s="163" t="str">
        <f>IFERROR(VLOOKUP(Table_Shelter[[#This Row],[CampName]],CL,2,0),"")</f>
        <v>MMR001CMP021</v>
      </c>
      <c r="U294" s="163" t="str">
        <f>IFERROR(VLOOKUP(Table_Shelter[[#This Row],[CampName]],CL,3,0),"")</f>
        <v>Open</v>
      </c>
      <c r="V294" s="240">
        <f>IFERROR(Table_Shelter[[#This Row],[HH Covered]]/VLOOKUP(Table_Shelter[[#This Row],[CampName]],CL,5,0),"")</f>
        <v>0.26666666666666666</v>
      </c>
      <c r="W294" s="240" t="s">
        <v>1292</v>
      </c>
      <c r="X294" s="164"/>
    </row>
    <row r="295" spans="1:24" ht="15" customHeight="1" x14ac:dyDescent="0.25">
      <c r="A295" s="482"/>
      <c r="B295" s="163" t="s">
        <v>451</v>
      </c>
      <c r="C295" s="163" t="s">
        <v>504</v>
      </c>
      <c r="D295" s="163" t="s">
        <v>380</v>
      </c>
      <c r="E295" s="167" t="s">
        <v>526</v>
      </c>
      <c r="F295" s="163" t="s">
        <v>100</v>
      </c>
      <c r="G295" s="138">
        <v>1</v>
      </c>
      <c r="H295" s="138"/>
      <c r="I295" s="138"/>
      <c r="J295" s="138">
        <v>5</v>
      </c>
      <c r="K295" s="138">
        <v>5</v>
      </c>
      <c r="L295" s="163"/>
      <c r="M295" s="163"/>
      <c r="N295" s="163"/>
      <c r="O295" s="163"/>
      <c r="P295" s="939">
        <f>IFERROR(IF(VLOOKUP(Table_Shelter[[#This Row],[CampName]],CL,5,0)&lt;Table_Shelter[[#This Row],[HH Covered2]],VLOOKUP(Table_Shelter[[#This Row],[CampName]],CL,5,0),Table_Shelter[[#This Row],[HH Covered2]]),"")</f>
        <v>4</v>
      </c>
      <c r="Q295" s="139">
        <f>IF(Table_Shelter[[#This Row],[Status]]="Open",IF(W295="NO",Table_Shelter[[#This Row],[HH per Shelter]]*(Table_Shelter[[#This Row],['# of Temporary Shelter Units Built]]+Table_Shelter[[#This Row],['# of Temporary Shelter Under  Construction]]+Table_Shelter[[#This Row],['# of Permanent House Under Construction]]),0),0)</f>
        <v>5</v>
      </c>
      <c r="R295" s="139"/>
      <c r="S295" s="163"/>
      <c r="T295" s="163" t="str">
        <f>IFERROR(VLOOKUP(Table_Shelter[[#This Row],[CampName]],CL,2,0),"")</f>
        <v>MMR001CMP091</v>
      </c>
      <c r="U295" s="163" t="str">
        <f>IFERROR(VLOOKUP(Table_Shelter[[#This Row],[CampName]],CL,3,0),"")</f>
        <v>Open</v>
      </c>
      <c r="V295" s="240">
        <f>IFERROR(Table_Shelter[[#This Row],[HH Covered]]/VLOOKUP(Table_Shelter[[#This Row],[CampName]],CL,5,0),"")</f>
        <v>1</v>
      </c>
      <c r="W295" s="240" t="s">
        <v>1292</v>
      </c>
      <c r="X295" s="164"/>
    </row>
    <row r="296" spans="1:24" ht="15" customHeight="1" x14ac:dyDescent="0.25">
      <c r="A296" s="482"/>
      <c r="B296" s="163" t="s">
        <v>1092</v>
      </c>
      <c r="C296" s="163" t="s">
        <v>943</v>
      </c>
      <c r="D296" s="163" t="s">
        <v>552</v>
      </c>
      <c r="E296" s="167" t="s">
        <v>146</v>
      </c>
      <c r="F296" s="163" t="s">
        <v>368</v>
      </c>
      <c r="G296" s="138">
        <v>1</v>
      </c>
      <c r="H296" s="138"/>
      <c r="I296" s="138"/>
      <c r="J296" s="138">
        <v>63</v>
      </c>
      <c r="K296" s="138">
        <v>63</v>
      </c>
      <c r="L296" s="163"/>
      <c r="M296" s="163"/>
      <c r="N296" s="163"/>
      <c r="O296" s="163"/>
      <c r="P296" s="939">
        <f>IFERROR(IF(VLOOKUP(Table_Shelter[[#This Row],[CampName]],CL,5,0)&lt;Table_Shelter[[#This Row],[HH Covered2]],VLOOKUP(Table_Shelter[[#This Row],[CampName]],CL,5,0),Table_Shelter[[#This Row],[HH Covered2]]),"")</f>
        <v>63</v>
      </c>
      <c r="Q296" s="139">
        <f>IF(Table_Shelter[[#This Row],[Status]]="Open",IF(W296="NO",Table_Shelter[[#This Row],[HH per Shelter]]*(Table_Shelter[[#This Row],['# of Temporary Shelter Units Built]]+Table_Shelter[[#This Row],['# of Temporary Shelter Under  Construction]]+Table_Shelter[[#This Row],['# of Permanent House Under Construction]]),0),0)</f>
        <v>63</v>
      </c>
      <c r="R296" s="139"/>
      <c r="S296" s="163"/>
      <c r="T296" s="163" t="str">
        <f>IFERROR(VLOOKUP(Table_Shelter[[#This Row],[CampName]],CL,2,0),"")</f>
        <v>MMR015CMP018</v>
      </c>
      <c r="U296" s="163" t="str">
        <f>IFERROR(VLOOKUP(Table_Shelter[[#This Row],[CampName]],CL,3,0),"")</f>
        <v>Open</v>
      </c>
      <c r="V296" s="240">
        <f>IFERROR(Table_Shelter[[#This Row],[HH Covered]]/VLOOKUP(Table_Shelter[[#This Row],[CampName]],CL,5,0),"")</f>
        <v>0.92647058823529416</v>
      </c>
      <c r="W296" s="240" t="s">
        <v>1292</v>
      </c>
      <c r="X296" s="164"/>
    </row>
    <row r="297" spans="1:24" ht="15" customHeight="1" x14ac:dyDescent="0.25">
      <c r="A297" s="678"/>
      <c r="B297" s="162" t="s">
        <v>846</v>
      </c>
      <c r="C297" s="162" t="s">
        <v>845</v>
      </c>
      <c r="D297" s="165" t="s">
        <v>380</v>
      </c>
      <c r="E297" s="307" t="s">
        <v>185</v>
      </c>
      <c r="F297" s="162" t="s">
        <v>209</v>
      </c>
      <c r="G297" s="103">
        <v>1</v>
      </c>
      <c r="H297" s="105"/>
      <c r="I297" s="105"/>
      <c r="J297" s="105">
        <v>32</v>
      </c>
      <c r="K297" s="105">
        <v>32</v>
      </c>
      <c r="L297" s="164"/>
      <c r="M297" s="164"/>
      <c r="N297" s="164"/>
      <c r="O297" s="164"/>
      <c r="P297" s="936">
        <f>IFERROR(IF(VLOOKUP(Table_Shelter[[#This Row],[CampName]],CL,5,0)&lt;Table_Shelter[[#This Row],[HH Covered2]],VLOOKUP(Table_Shelter[[#This Row],[CampName]],CL,5,0),Table_Shelter[[#This Row],[HH Covered2]]),"")</f>
        <v>32</v>
      </c>
      <c r="Q297" s="104">
        <f>IF(Table_Shelter[[#This Row],[Status]]="Open",IF(W297="NO",Table_Shelter[[#This Row],[HH per Shelter]]*(Table_Shelter[[#This Row],['# of Temporary Shelter Units Built]]+Table_Shelter[[#This Row],['# of Temporary Shelter Under  Construction]]+Table_Shelter[[#This Row],['# of Permanent House Under Construction]]),0),0)</f>
        <v>32</v>
      </c>
      <c r="R297" s="104"/>
      <c r="S297" s="164"/>
      <c r="T297" s="164" t="str">
        <f>IFERROR(VLOOKUP(Table_Shelter[[#This Row],[CampName]],CL,2,0),"")</f>
        <v>MMR001CMP056</v>
      </c>
      <c r="U297" s="164" t="str">
        <f>IFERROR(VLOOKUP(Table_Shelter[[#This Row],[CampName]],CL,3,0),"")</f>
        <v>Open</v>
      </c>
      <c r="V297" s="240">
        <f>IFERROR(Table_Shelter[[#This Row],[HH Covered]]/VLOOKUP(Table_Shelter[[#This Row],[CampName]],CL,5,0),"")</f>
        <v>8.2687338501291993E-2</v>
      </c>
      <c r="W297" s="240" t="s">
        <v>1292</v>
      </c>
      <c r="X297" s="164"/>
    </row>
    <row r="298" spans="1:24" ht="15" customHeight="1" x14ac:dyDescent="0.25">
      <c r="A298" s="678"/>
      <c r="B298" s="162" t="s">
        <v>845</v>
      </c>
      <c r="C298" s="554"/>
      <c r="D298" s="165" t="s">
        <v>380</v>
      </c>
      <c r="E298" s="307" t="s">
        <v>185</v>
      </c>
      <c r="F298" s="162" t="s">
        <v>209</v>
      </c>
      <c r="G298" s="103">
        <v>1</v>
      </c>
      <c r="H298" s="105"/>
      <c r="I298" s="105"/>
      <c r="J298" s="105">
        <v>144</v>
      </c>
      <c r="K298" s="105">
        <v>144</v>
      </c>
      <c r="L298" s="164"/>
      <c r="M298" s="164"/>
      <c r="N298" s="164"/>
      <c r="O298" s="164"/>
      <c r="P298" s="936">
        <f>IFERROR(IF(VLOOKUP(Table_Shelter[[#This Row],[CampName]],CL,5,0)&lt;Table_Shelter[[#This Row],[HH Covered2]],VLOOKUP(Table_Shelter[[#This Row],[CampName]],CL,5,0),Table_Shelter[[#This Row],[HH Covered2]]),"")</f>
        <v>144</v>
      </c>
      <c r="Q298" s="104">
        <f>IF(Table_Shelter[[#This Row],[Status]]="Open",IF(W298="NO",Table_Shelter[[#This Row],[HH per Shelter]]*(Table_Shelter[[#This Row],['# of Temporary Shelter Units Built]]+Table_Shelter[[#This Row],['# of Temporary Shelter Under  Construction]]+Table_Shelter[[#This Row],['# of Permanent House Under Construction]]),0),0)</f>
        <v>144</v>
      </c>
      <c r="R298" s="104"/>
      <c r="S298" s="164"/>
      <c r="T298" s="164" t="str">
        <f>IFERROR(VLOOKUP(Table_Shelter[[#This Row],[CampName]],CL,2,0),"")</f>
        <v>MMR001CMP056</v>
      </c>
      <c r="U298" s="164" t="str">
        <f>IFERROR(VLOOKUP(Table_Shelter[[#This Row],[CampName]],CL,3,0),"")</f>
        <v>Open</v>
      </c>
      <c r="V298" s="240">
        <f>IFERROR(Table_Shelter[[#This Row],[HH Covered]]/VLOOKUP(Table_Shelter[[#This Row],[CampName]],CL,5,0),"")</f>
        <v>0.37209302325581395</v>
      </c>
      <c r="W298" s="240" t="s">
        <v>1292</v>
      </c>
      <c r="X298" s="164"/>
    </row>
    <row r="299" spans="1:24" ht="15" customHeight="1" x14ac:dyDescent="0.25">
      <c r="A299" s="678"/>
      <c r="B299" s="162" t="s">
        <v>591</v>
      </c>
      <c r="C299" s="162" t="s">
        <v>458</v>
      </c>
      <c r="D299" s="165" t="s">
        <v>380</v>
      </c>
      <c r="E299" s="307" t="s">
        <v>185</v>
      </c>
      <c r="F299" s="162" t="s">
        <v>211</v>
      </c>
      <c r="G299" s="103">
        <v>1</v>
      </c>
      <c r="H299" s="105"/>
      <c r="I299" s="105"/>
      <c r="J299" s="105">
        <v>92</v>
      </c>
      <c r="K299" s="105">
        <v>92</v>
      </c>
      <c r="L299" s="164"/>
      <c r="M299" s="164"/>
      <c r="N299" s="164"/>
      <c r="O299" s="164"/>
      <c r="P299" s="936">
        <f>IFERROR(IF(VLOOKUP(Table_Shelter[[#This Row],[CampName]],CL,5,0)&lt;Table_Shelter[[#This Row],[HH Covered2]],VLOOKUP(Table_Shelter[[#This Row],[CampName]],CL,5,0),Table_Shelter[[#This Row],[HH Covered2]]),"")</f>
        <v>0</v>
      </c>
      <c r="Q299" s="104">
        <f>IF(Table_Shelter[[#This Row],[Status]]="Open",IF(W299="NO",Table_Shelter[[#This Row],[HH per Shelter]]*(Table_Shelter[[#This Row],['# of Temporary Shelter Units Built]]+Table_Shelter[[#This Row],['# of Temporary Shelter Under  Construction]]+Table_Shelter[[#This Row],['# of Permanent House Under Construction]]),0),0)</f>
        <v>0</v>
      </c>
      <c r="R299" s="104"/>
      <c r="S299" s="164"/>
      <c r="T299" s="164" t="str">
        <f>IFERROR(VLOOKUP(Table_Shelter[[#This Row],[CampName]],CL,2,0),"")</f>
        <v>MMR001CMP057</v>
      </c>
      <c r="U299" s="164" t="str">
        <f>IFERROR(VLOOKUP(Table_Shelter[[#This Row],[CampName]],CL,3,0),"")</f>
        <v>Closed</v>
      </c>
      <c r="V299" s="240" t="str">
        <f>IFERROR(Table_Shelter[[#This Row],[HH Covered]]/VLOOKUP(Table_Shelter[[#This Row],[CampName]],CL,5,0),"")</f>
        <v/>
      </c>
      <c r="W299" s="240" t="s">
        <v>1292</v>
      </c>
      <c r="X299" s="164"/>
    </row>
    <row r="300" spans="1:24" ht="15" customHeight="1" x14ac:dyDescent="0.25">
      <c r="A300" s="678"/>
      <c r="B300" s="162" t="s">
        <v>591</v>
      </c>
      <c r="C300" s="162" t="s">
        <v>458</v>
      </c>
      <c r="D300" s="165" t="s">
        <v>380</v>
      </c>
      <c r="E300" s="307" t="s">
        <v>151</v>
      </c>
      <c r="F300" s="162" t="s">
        <v>517</v>
      </c>
      <c r="G300" s="103">
        <v>1</v>
      </c>
      <c r="H300" s="105"/>
      <c r="I300" s="105"/>
      <c r="J300" s="105">
        <v>24</v>
      </c>
      <c r="K300" s="105">
        <v>24</v>
      </c>
      <c r="L300" s="164"/>
      <c r="M300" s="164"/>
      <c r="N300" s="164"/>
      <c r="O300" s="164"/>
      <c r="P300" s="936">
        <f>IFERROR(IF(VLOOKUP(Table_Shelter[[#This Row],[CampName]],CL,5,0)&lt;Table_Shelter[[#This Row],[HH Covered2]],VLOOKUP(Table_Shelter[[#This Row],[CampName]],CL,5,0),Table_Shelter[[#This Row],[HH Covered2]]),"")</f>
        <v>0</v>
      </c>
      <c r="Q300" s="104">
        <f>IF(Table_Shelter[[#This Row],[Status]]="Open",IF(W300="NO",Table_Shelter[[#This Row],[HH per Shelter]]*(Table_Shelter[[#This Row],['# of Temporary Shelter Units Built]]+Table_Shelter[[#This Row],['# of Temporary Shelter Under  Construction]]+Table_Shelter[[#This Row],['# of Permanent House Under Construction]]),0),0)</f>
        <v>0</v>
      </c>
      <c r="R300" s="104"/>
      <c r="S300" s="164"/>
      <c r="T300" s="164" t="str">
        <f>IFERROR(VLOOKUP(Table_Shelter[[#This Row],[CampName]],CL,2,0),"")</f>
        <v>MMR001CMP203</v>
      </c>
      <c r="U300" s="164" t="str">
        <f>IFERROR(VLOOKUP(Table_Shelter[[#This Row],[CampName]],CL,3,0),"")</f>
        <v>Closed</v>
      </c>
      <c r="V300" s="240" t="str">
        <f>IFERROR(Table_Shelter[[#This Row],[HH Covered]]/VLOOKUP(Table_Shelter[[#This Row],[CampName]],CL,5,0),"")</f>
        <v/>
      </c>
      <c r="W300" s="240" t="s">
        <v>1292</v>
      </c>
      <c r="X300" s="164"/>
    </row>
    <row r="301" spans="1:24" ht="15" customHeight="1" x14ac:dyDescent="0.25">
      <c r="A301" s="678"/>
      <c r="B301" s="162" t="s">
        <v>845</v>
      </c>
      <c r="C301" s="162"/>
      <c r="D301" s="165" t="s">
        <v>552</v>
      </c>
      <c r="E301" s="307" t="s">
        <v>230</v>
      </c>
      <c r="F301" s="162" t="s">
        <v>1059</v>
      </c>
      <c r="G301" s="103">
        <v>1</v>
      </c>
      <c r="H301" s="105"/>
      <c r="I301" s="105"/>
      <c r="J301" s="105">
        <v>20</v>
      </c>
      <c r="K301" s="105">
        <v>20</v>
      </c>
      <c r="L301" s="164"/>
      <c r="M301" s="164"/>
      <c r="N301" s="164"/>
      <c r="O301" s="164"/>
      <c r="P301" s="936">
        <f>IFERROR(IF(VLOOKUP(Table_Shelter[[#This Row],[CampName]],CL,5,0)&lt;Table_Shelter[[#This Row],[HH Covered2]],VLOOKUP(Table_Shelter[[#This Row],[CampName]],CL,5,0),Table_Shelter[[#This Row],[HH Covered2]]),"")</f>
        <v>20</v>
      </c>
      <c r="Q301" s="104">
        <f>IF(Table_Shelter[[#This Row],[Status]]="Open",IF(W301="NO",Table_Shelter[[#This Row],[HH per Shelter]]*(Table_Shelter[[#This Row],['# of Temporary Shelter Units Built]]+Table_Shelter[[#This Row],['# of Temporary Shelter Under  Construction]]+Table_Shelter[[#This Row],['# of Permanent House Under Construction]]),0),0)</f>
        <v>20</v>
      </c>
      <c r="R301" s="104"/>
      <c r="S301" s="164"/>
      <c r="T301" s="164" t="str">
        <f>IFERROR(VLOOKUP(Table_Shelter[[#This Row],[CampName]],CL,2,0),"")</f>
        <v>MMR015CMP216</v>
      </c>
      <c r="U301" s="164" t="str">
        <f>IFERROR(VLOOKUP(Table_Shelter[[#This Row],[CampName]],CL,3,0),"")</f>
        <v>Open</v>
      </c>
      <c r="V301" s="240">
        <f>IFERROR(Table_Shelter[[#This Row],[HH Covered]]/VLOOKUP(Table_Shelter[[#This Row],[CampName]],CL,5,0),"")</f>
        <v>0.8</v>
      </c>
      <c r="W301" s="240" t="s">
        <v>1292</v>
      </c>
      <c r="X301" s="164"/>
    </row>
    <row r="302" spans="1:24" ht="15" customHeight="1" x14ac:dyDescent="0.25">
      <c r="A302" s="678"/>
      <c r="B302" s="162" t="s">
        <v>451</v>
      </c>
      <c r="C302" s="162" t="s">
        <v>1250</v>
      </c>
      <c r="D302" s="169" t="s">
        <v>552</v>
      </c>
      <c r="E302" s="307" t="s">
        <v>230</v>
      </c>
      <c r="F302" s="162" t="s">
        <v>1059</v>
      </c>
      <c r="G302" s="103">
        <v>1</v>
      </c>
      <c r="H302" s="105"/>
      <c r="I302" s="105"/>
      <c r="J302" s="105">
        <v>10</v>
      </c>
      <c r="K302" s="105">
        <v>10</v>
      </c>
      <c r="L302" s="164"/>
      <c r="M302" s="164"/>
      <c r="N302" s="164"/>
      <c r="O302" s="164"/>
      <c r="P302" s="936">
        <f>IFERROR(IF(VLOOKUP(Table_Shelter[[#This Row],[CampName]],CL,5,0)&lt;Table_Shelter[[#This Row],[HH Covered2]],VLOOKUP(Table_Shelter[[#This Row],[CampName]],CL,5,0),Table_Shelter[[#This Row],[HH Covered2]]),"")</f>
        <v>10</v>
      </c>
      <c r="Q302" s="104">
        <f>IF(Table_Shelter[[#This Row],[Status]]="Open",IF(W302="NO",Table_Shelter[[#This Row],[HH per Shelter]]*(Table_Shelter[[#This Row],['# of Temporary Shelter Units Built]]+Table_Shelter[[#This Row],['# of Temporary Shelter Under  Construction]]+Table_Shelter[[#This Row],['# of Permanent House Under Construction]]),0),0)</f>
        <v>10</v>
      </c>
      <c r="R302" s="104"/>
      <c r="S302" s="104"/>
      <c r="T302" s="104" t="str">
        <f>IFERROR(VLOOKUP(Table_Shelter[[#This Row],[CampName]],CL,2,0),"")</f>
        <v>MMR015CMP216</v>
      </c>
      <c r="U302" s="104" t="str">
        <f>IFERROR(VLOOKUP(Table_Shelter[[#This Row],[CampName]],CL,3,0),"")</f>
        <v>Open</v>
      </c>
      <c r="V302" s="240">
        <f>IFERROR(Table_Shelter[[#This Row],[HH Covered]]/VLOOKUP(Table_Shelter[[#This Row],[CampName]],CL,5,0),"")</f>
        <v>0.4</v>
      </c>
      <c r="W302" s="240" t="s">
        <v>1292</v>
      </c>
      <c r="X302" s="104"/>
    </row>
    <row r="303" spans="1:24" ht="15" customHeight="1" x14ac:dyDescent="0.25">
      <c r="A303" s="678"/>
      <c r="B303" s="162" t="s">
        <v>845</v>
      </c>
      <c r="C303" s="162"/>
      <c r="D303" s="165" t="s">
        <v>552</v>
      </c>
      <c r="E303" s="307" t="s">
        <v>289</v>
      </c>
      <c r="F303" s="162" t="s">
        <v>1051</v>
      </c>
      <c r="G303" s="103">
        <v>1</v>
      </c>
      <c r="H303" s="105"/>
      <c r="I303" s="105"/>
      <c r="J303" s="105">
        <v>24</v>
      </c>
      <c r="K303" s="105">
        <v>12</v>
      </c>
      <c r="L303" s="164"/>
      <c r="M303" s="164"/>
      <c r="N303" s="164"/>
      <c r="O303" s="164"/>
      <c r="P303" s="936">
        <f>IFERROR(IF(VLOOKUP(Table_Shelter[[#This Row],[CampName]],CL,5,0)&lt;Table_Shelter[[#This Row],[HH Covered2]],VLOOKUP(Table_Shelter[[#This Row],[CampName]],CL,5,0),Table_Shelter[[#This Row],[HH Covered2]]),"")</f>
        <v>12</v>
      </c>
      <c r="Q303" s="104">
        <f>IF(Table_Shelter[[#This Row],[Status]]="Open",IF(W303="NO",Table_Shelter[[#This Row],[HH per Shelter]]*(Table_Shelter[[#This Row],['# of Temporary Shelter Units Built]]+Table_Shelter[[#This Row],['# of Temporary Shelter Under  Construction]]+Table_Shelter[[#This Row],['# of Permanent House Under Construction]]),0),0)</f>
        <v>12</v>
      </c>
      <c r="R303" s="104"/>
      <c r="S303" s="164"/>
      <c r="T303" s="164" t="str">
        <f>IFERROR(VLOOKUP(Table_Shelter[[#This Row],[CampName]],CL,2,0),"")</f>
        <v>MMR015CMP214</v>
      </c>
      <c r="U303" s="164" t="str">
        <f>IFERROR(VLOOKUP(Table_Shelter[[#This Row],[CampName]],CL,3,0),"")</f>
        <v>Open</v>
      </c>
      <c r="V303" s="240">
        <f>IFERROR(Table_Shelter[[#This Row],[HH Covered]]/VLOOKUP(Table_Shelter[[#This Row],[CampName]],CL,5,0),"")</f>
        <v>0.33333333333333331</v>
      </c>
      <c r="W303" s="240" t="s">
        <v>1292</v>
      </c>
      <c r="X303" s="164"/>
    </row>
    <row r="304" spans="1:24" ht="15" customHeight="1" x14ac:dyDescent="0.25">
      <c r="A304" s="678"/>
      <c r="B304" s="162" t="s">
        <v>451</v>
      </c>
      <c r="C304" s="162" t="s">
        <v>459</v>
      </c>
      <c r="D304" s="165" t="s">
        <v>380</v>
      </c>
      <c r="E304" s="307" t="s">
        <v>237</v>
      </c>
      <c r="F304" s="162" t="s">
        <v>277</v>
      </c>
      <c r="G304" s="103">
        <v>1</v>
      </c>
      <c r="H304" s="105"/>
      <c r="I304" s="105"/>
      <c r="J304" s="105">
        <v>10</v>
      </c>
      <c r="K304" s="105">
        <v>10</v>
      </c>
      <c r="L304" s="164"/>
      <c r="M304" s="164"/>
      <c r="N304" s="164"/>
      <c r="O304" s="164"/>
      <c r="P304" s="936">
        <f>IFERROR(IF(VLOOKUP(Table_Shelter[[#This Row],[CampName]],CL,5,0)&lt;Table_Shelter[[#This Row],[HH Covered2]],VLOOKUP(Table_Shelter[[#This Row],[CampName]],CL,5,0),Table_Shelter[[#This Row],[HH Covered2]]),"")</f>
        <v>10</v>
      </c>
      <c r="Q304" s="104">
        <f>IF(Table_Shelter[[#This Row],[Status]]="Open",IF(W304="NO",Table_Shelter[[#This Row],[HH per Shelter]]*(Table_Shelter[[#This Row],['# of Temporary Shelter Units Built]]+Table_Shelter[[#This Row],['# of Temporary Shelter Under  Construction]]+Table_Shelter[[#This Row],['# of Permanent House Under Construction]]),0),0)</f>
        <v>10</v>
      </c>
      <c r="R304" s="104"/>
      <c r="S304" s="164"/>
      <c r="T304" s="164" t="str">
        <f>IFERROR(VLOOKUP(Table_Shelter[[#This Row],[CampName]],CL,2,0),"")</f>
        <v>MMR001CMP006</v>
      </c>
      <c r="U304" s="164" t="str">
        <f>IFERROR(VLOOKUP(Table_Shelter[[#This Row],[CampName]],CL,3,0),"")</f>
        <v>Open</v>
      </c>
      <c r="V304" s="240">
        <f>IFERROR(Table_Shelter[[#This Row],[HH Covered]]/VLOOKUP(Table_Shelter[[#This Row],[CampName]],CL,5,0),"")</f>
        <v>8.4745762711864403E-2</v>
      </c>
      <c r="W304" s="240" t="s">
        <v>1292</v>
      </c>
      <c r="X304" s="164"/>
    </row>
    <row r="305" spans="1:24" ht="15" customHeight="1" x14ac:dyDescent="0.25">
      <c r="A305" s="678"/>
      <c r="B305" s="162" t="s">
        <v>861</v>
      </c>
      <c r="C305" s="162"/>
      <c r="D305" s="165" t="s">
        <v>380</v>
      </c>
      <c r="E305" s="307" t="s">
        <v>526</v>
      </c>
      <c r="F305" s="162" t="s">
        <v>610</v>
      </c>
      <c r="G305" s="103">
        <v>1</v>
      </c>
      <c r="H305" s="105">
        <v>8</v>
      </c>
      <c r="I305" s="105">
        <v>8</v>
      </c>
      <c r="J305" s="105"/>
      <c r="K305" s="105"/>
      <c r="L305" s="164"/>
      <c r="M305" s="164"/>
      <c r="N305" s="164"/>
      <c r="O305" s="164"/>
      <c r="P305" s="936">
        <f>IFERROR(IF(VLOOKUP(Table_Shelter[[#This Row],[CampName]],CL,5,0)&lt;Table_Shelter[[#This Row],[HH Covered2]],VLOOKUP(Table_Shelter[[#This Row],[CampName]],CL,5,0),Table_Shelter[[#This Row],[HH Covered2]]),"")</f>
        <v>0</v>
      </c>
      <c r="Q305" s="104">
        <f>IF(Table_Shelter[[#This Row],[Status]]="Open",IF(W305="NO",Table_Shelter[[#This Row],[HH per Shelter]]*(Table_Shelter[[#This Row],['# of Temporary Shelter Units Built]]+Table_Shelter[[#This Row],['# of Temporary Shelter Under  Construction]]+Table_Shelter[[#This Row],['# of Permanent House Under Construction]]),0),0)</f>
        <v>0</v>
      </c>
      <c r="R305" s="104"/>
      <c r="S305" s="164"/>
      <c r="T305" s="164" t="str">
        <f>IFERROR(VLOOKUP(Table_Shelter[[#This Row],[CampName]],CL,2,0),"")</f>
        <v>MMR001CMP192</v>
      </c>
      <c r="U305" s="164" t="str">
        <f>IFERROR(VLOOKUP(Table_Shelter[[#This Row],[CampName]],CL,3,0),"")</f>
        <v>Open</v>
      </c>
      <c r="V305" s="240">
        <f>IFERROR(Table_Shelter[[#This Row],[HH Covered]]/VLOOKUP(Table_Shelter[[#This Row],[CampName]],CL,5,0),"")</f>
        <v>0</v>
      </c>
      <c r="W305" s="240" t="s">
        <v>1292</v>
      </c>
      <c r="X305" s="164"/>
    </row>
    <row r="306" spans="1:24" ht="15" customHeight="1" x14ac:dyDescent="0.25">
      <c r="A306" s="678"/>
      <c r="B306" s="162" t="s">
        <v>451</v>
      </c>
      <c r="C306" s="162" t="s">
        <v>845</v>
      </c>
      <c r="D306" s="165" t="s">
        <v>552</v>
      </c>
      <c r="E306" s="307" t="s">
        <v>146</v>
      </c>
      <c r="F306" s="162" t="s">
        <v>149</v>
      </c>
      <c r="G306" s="103">
        <v>1</v>
      </c>
      <c r="H306" s="105"/>
      <c r="I306" s="105"/>
      <c r="J306" s="105">
        <v>6</v>
      </c>
      <c r="K306" s="105">
        <v>6</v>
      </c>
      <c r="L306" s="164"/>
      <c r="M306" s="164"/>
      <c r="N306" s="164"/>
      <c r="O306" s="164"/>
      <c r="P306" s="936">
        <f>IFERROR(IF(VLOOKUP(Table_Shelter[[#This Row],[CampName]],CL,5,0)&lt;Table_Shelter[[#This Row],[HH Covered2]],VLOOKUP(Table_Shelter[[#This Row],[CampName]],CL,5,0),Table_Shelter[[#This Row],[HH Covered2]]),"")</f>
        <v>6</v>
      </c>
      <c r="Q306" s="104">
        <f>IF(Table_Shelter[[#This Row],[Status]]="Open",IF(W306="NO",Table_Shelter[[#This Row],[HH per Shelter]]*(Table_Shelter[[#This Row],['# of Temporary Shelter Units Built]]+Table_Shelter[[#This Row],['# of Temporary Shelter Under  Construction]]+Table_Shelter[[#This Row],['# of Permanent House Under Construction]]),0),0)</f>
        <v>6</v>
      </c>
      <c r="R306" s="104"/>
      <c r="S306" s="164"/>
      <c r="T306" s="164" t="str">
        <f>IFERROR(VLOOKUP(Table_Shelter[[#This Row],[CampName]],CL,2,0),"")</f>
        <v>MMR015CMP007</v>
      </c>
      <c r="U306" s="164" t="str">
        <f>IFERROR(VLOOKUP(Table_Shelter[[#This Row],[CampName]],CL,3,0),"")</f>
        <v>Open</v>
      </c>
      <c r="V306" s="240">
        <f>IFERROR(Table_Shelter[[#This Row],[HH Covered]]/VLOOKUP(Table_Shelter[[#This Row],[CampName]],CL,5,0),"")</f>
        <v>9.5238095238095233E-2</v>
      </c>
      <c r="W306" s="240" t="s">
        <v>1292</v>
      </c>
      <c r="X306" s="164"/>
    </row>
    <row r="307" spans="1:24" ht="15" customHeight="1" x14ac:dyDescent="0.25">
      <c r="A307" s="678"/>
      <c r="B307" s="162" t="s">
        <v>861</v>
      </c>
      <c r="C307" s="162"/>
      <c r="D307" s="165" t="s">
        <v>380</v>
      </c>
      <c r="E307" s="307" t="s">
        <v>237</v>
      </c>
      <c r="F307" s="162" t="s">
        <v>271</v>
      </c>
      <c r="G307" s="103">
        <v>1</v>
      </c>
      <c r="H307" s="105">
        <v>1</v>
      </c>
      <c r="I307" s="105">
        <v>1</v>
      </c>
      <c r="J307" s="105"/>
      <c r="K307" s="105"/>
      <c r="L307" s="164"/>
      <c r="M307" s="164"/>
      <c r="N307" s="164"/>
      <c r="O307" s="164"/>
      <c r="P307" s="936">
        <f>IFERROR(IF(VLOOKUP(Table_Shelter[[#This Row],[CampName]],CL,5,0)&lt;Table_Shelter[[#This Row],[HH Covered2]],VLOOKUP(Table_Shelter[[#This Row],[CampName]],CL,5,0),Table_Shelter[[#This Row],[HH Covered2]]),"")</f>
        <v>0</v>
      </c>
      <c r="Q307" s="104">
        <f>IF(Table_Shelter[[#This Row],[Status]]="Open",IF(W307="NO",Table_Shelter[[#This Row],[HH per Shelter]]*(Table_Shelter[[#This Row],['# of Temporary Shelter Units Built]]+Table_Shelter[[#This Row],['# of Temporary Shelter Under  Construction]]+Table_Shelter[[#This Row],['# of Permanent House Under Construction]]),0),0)</f>
        <v>0</v>
      </c>
      <c r="R307" s="104"/>
      <c r="S307" s="164"/>
      <c r="T307" s="164" t="str">
        <f>IFERROR(VLOOKUP(Table_Shelter[[#This Row],[CampName]],CL,2,0),"")</f>
        <v>MMR001CMP024</v>
      </c>
      <c r="U307" s="164" t="str">
        <f>IFERROR(VLOOKUP(Table_Shelter[[#This Row],[CampName]],CL,3,0),"")</f>
        <v>Open</v>
      </c>
      <c r="V307" s="240">
        <f>IFERROR(Table_Shelter[[#This Row],[HH Covered]]/VLOOKUP(Table_Shelter[[#This Row],[CampName]],CL,5,0),"")</f>
        <v>0</v>
      </c>
      <c r="W307" s="240" t="s">
        <v>1292</v>
      </c>
      <c r="X307" s="164"/>
    </row>
    <row r="308" spans="1:24" ht="15" customHeight="1" x14ac:dyDescent="0.25">
      <c r="A308" s="678"/>
      <c r="B308" s="162" t="s">
        <v>451</v>
      </c>
      <c r="C308" s="162" t="s">
        <v>458</v>
      </c>
      <c r="D308" s="165" t="s">
        <v>380</v>
      </c>
      <c r="E308" s="307" t="s">
        <v>151</v>
      </c>
      <c r="F308" s="162" t="s">
        <v>864</v>
      </c>
      <c r="G308" s="103">
        <v>1</v>
      </c>
      <c r="H308" s="105"/>
      <c r="I308" s="105"/>
      <c r="J308" s="105">
        <v>36</v>
      </c>
      <c r="K308" s="105">
        <v>36</v>
      </c>
      <c r="L308" s="164"/>
      <c r="M308" s="164"/>
      <c r="N308" s="164"/>
      <c r="O308" s="164"/>
      <c r="P308" s="936">
        <f>IFERROR(IF(VLOOKUP(Table_Shelter[[#This Row],[CampName]],CL,5,0)&lt;Table_Shelter[[#This Row],[HH Covered2]],VLOOKUP(Table_Shelter[[#This Row],[CampName]],CL,5,0),Table_Shelter[[#This Row],[HH Covered2]]),"")</f>
        <v>0</v>
      </c>
      <c r="Q308" s="104">
        <f>IF(Table_Shelter[[#This Row],[Status]]="Open",IF(W308="NO",Table_Shelter[[#This Row],[HH per Shelter]]*(Table_Shelter[[#This Row],['# of Temporary Shelter Units Built]]+Table_Shelter[[#This Row],['# of Temporary Shelter Under  Construction]]+Table_Shelter[[#This Row],['# of Permanent House Under Construction]]),0),0)</f>
        <v>0</v>
      </c>
      <c r="R308" s="104"/>
      <c r="S308" s="164"/>
      <c r="T308" s="164" t="str">
        <f>IFERROR(VLOOKUP(Table_Shelter[[#This Row],[CampName]],CL,2,0),"")</f>
        <v>MMR001CMP204</v>
      </c>
      <c r="U308" s="164" t="str">
        <f>IFERROR(VLOOKUP(Table_Shelter[[#This Row],[CampName]],CL,3,0),"")</f>
        <v>Closed</v>
      </c>
      <c r="V308" s="240" t="str">
        <f>IFERROR(Table_Shelter[[#This Row],[HH Covered]]/VLOOKUP(Table_Shelter[[#This Row],[CampName]],CL,5,0),"")</f>
        <v/>
      </c>
      <c r="W308" s="240" t="s">
        <v>1292</v>
      </c>
      <c r="X308" s="164"/>
    </row>
    <row r="309" spans="1:24" ht="15" customHeight="1" x14ac:dyDescent="0.25">
      <c r="A309" s="678"/>
      <c r="B309" s="162" t="s">
        <v>845</v>
      </c>
      <c r="C309" s="162"/>
      <c r="D309" s="165" t="s">
        <v>552</v>
      </c>
      <c r="E309" s="307" t="s">
        <v>289</v>
      </c>
      <c r="F309" s="162" t="s">
        <v>1063</v>
      </c>
      <c r="G309" s="103">
        <v>1</v>
      </c>
      <c r="H309" s="105"/>
      <c r="I309" s="105"/>
      <c r="J309" s="105">
        <v>50</v>
      </c>
      <c r="K309" s="105">
        <v>36</v>
      </c>
      <c r="L309" s="164"/>
      <c r="M309" s="164"/>
      <c r="N309" s="164"/>
      <c r="O309" s="164"/>
      <c r="P309" s="936">
        <f>IFERROR(IF(VLOOKUP(Table_Shelter[[#This Row],[CampName]],CL,5,0)&lt;Table_Shelter[[#This Row],[HH Covered2]],VLOOKUP(Table_Shelter[[#This Row],[CampName]],CL,5,0),Table_Shelter[[#This Row],[HH Covered2]]),"")</f>
        <v>36</v>
      </c>
      <c r="Q309" s="104">
        <f>IF(Table_Shelter[[#This Row],[Status]]="Open",IF(W309="NO",Table_Shelter[[#This Row],[HH per Shelter]]*(Table_Shelter[[#This Row],['# of Temporary Shelter Units Built]]+Table_Shelter[[#This Row],['# of Temporary Shelter Under  Construction]]+Table_Shelter[[#This Row],['# of Permanent House Under Construction]]),0),0)</f>
        <v>36</v>
      </c>
      <c r="R309" s="104"/>
      <c r="S309" s="164"/>
      <c r="T309" s="164" t="str">
        <f>IFERROR(VLOOKUP(Table_Shelter[[#This Row],[CampName]],CL,2,0),"")</f>
        <v>MMR015CMP215</v>
      </c>
      <c r="U309" s="164" t="str">
        <f>IFERROR(VLOOKUP(Table_Shelter[[#This Row],[CampName]],CL,3,0),"")</f>
        <v>Open</v>
      </c>
      <c r="V309" s="240">
        <f>IFERROR(Table_Shelter[[#This Row],[HH Covered]]/VLOOKUP(Table_Shelter[[#This Row],[CampName]],CL,5,0),"")</f>
        <v>0.3</v>
      </c>
      <c r="W309" s="240" t="s">
        <v>1292</v>
      </c>
      <c r="X309" s="164"/>
    </row>
    <row r="310" spans="1:24" ht="15" customHeight="1" x14ac:dyDescent="0.25">
      <c r="A310" s="678"/>
      <c r="B310" s="162" t="s">
        <v>452</v>
      </c>
      <c r="C310" s="162" t="s">
        <v>505</v>
      </c>
      <c r="D310" s="165" t="s">
        <v>380</v>
      </c>
      <c r="E310" s="307" t="s">
        <v>237</v>
      </c>
      <c r="F310" s="162" t="s">
        <v>271</v>
      </c>
      <c r="G310" s="103">
        <v>1</v>
      </c>
      <c r="H310" s="105"/>
      <c r="I310" s="105"/>
      <c r="J310" s="105">
        <v>46</v>
      </c>
      <c r="K310" s="105">
        <v>46</v>
      </c>
      <c r="L310" s="164"/>
      <c r="M310" s="164"/>
      <c r="N310" s="164"/>
      <c r="O310" s="164"/>
      <c r="P310" s="936">
        <f>IFERROR(IF(VLOOKUP(Table_Shelter[[#This Row],[CampName]],CL,5,0)&lt;Table_Shelter[[#This Row],[HH Covered2]],VLOOKUP(Table_Shelter[[#This Row],[CampName]],CL,5,0),Table_Shelter[[#This Row],[HH Covered2]]),"")</f>
        <v>46</v>
      </c>
      <c r="Q310" s="104">
        <f>IF(Table_Shelter[[#This Row],[Status]]="Open",IF(W310="NO",Table_Shelter[[#This Row],[HH per Shelter]]*(Table_Shelter[[#This Row],['# of Temporary Shelter Units Built]]+Table_Shelter[[#This Row],['# of Temporary Shelter Under  Construction]]+Table_Shelter[[#This Row],['# of Permanent House Under Construction]]),0),0)</f>
        <v>46</v>
      </c>
      <c r="R310" s="104"/>
      <c r="S310" s="164"/>
      <c r="T310" s="164" t="str">
        <f>IFERROR(VLOOKUP(Table_Shelter[[#This Row],[CampName]],CL,2,0),"")</f>
        <v>MMR001CMP024</v>
      </c>
      <c r="U310" s="164" t="str">
        <f>IFERROR(VLOOKUP(Table_Shelter[[#This Row],[CampName]],CL,3,0),"")</f>
        <v>Open</v>
      </c>
      <c r="V310" s="240">
        <f>IFERROR(Table_Shelter[[#This Row],[HH Covered]]/VLOOKUP(Table_Shelter[[#This Row],[CampName]],CL,5,0),"")</f>
        <v>0.73015873015873012</v>
      </c>
      <c r="W310" s="240" t="s">
        <v>1292</v>
      </c>
      <c r="X310" s="164"/>
    </row>
    <row r="311" spans="1:24" ht="15" customHeight="1" x14ac:dyDescent="0.25">
      <c r="A311" s="678"/>
      <c r="B311" s="162" t="s">
        <v>451</v>
      </c>
      <c r="C311" s="162" t="s">
        <v>505</v>
      </c>
      <c r="D311" s="165" t="s">
        <v>380</v>
      </c>
      <c r="E311" s="307" t="s">
        <v>237</v>
      </c>
      <c r="F311" s="162" t="s">
        <v>271</v>
      </c>
      <c r="G311" s="103">
        <v>1</v>
      </c>
      <c r="H311" s="105"/>
      <c r="I311" s="105"/>
      <c r="J311" s="105">
        <v>21</v>
      </c>
      <c r="K311" s="105">
        <v>21</v>
      </c>
      <c r="L311" s="164"/>
      <c r="M311" s="164"/>
      <c r="N311" s="164"/>
      <c r="O311" s="164"/>
      <c r="P311" s="936">
        <f>IFERROR(IF(VLOOKUP(Table_Shelter[[#This Row],[CampName]],CL,5,0)&lt;Table_Shelter[[#This Row],[HH Covered2]],VLOOKUP(Table_Shelter[[#This Row],[CampName]],CL,5,0),Table_Shelter[[#This Row],[HH Covered2]]),"")</f>
        <v>21</v>
      </c>
      <c r="Q311" s="104">
        <f>IF(Table_Shelter[[#This Row],[Status]]="Open",IF(W311="NO",Table_Shelter[[#This Row],[HH per Shelter]]*(Table_Shelter[[#This Row],['# of Temporary Shelter Units Built]]+Table_Shelter[[#This Row],['# of Temporary Shelter Under  Construction]]+Table_Shelter[[#This Row],['# of Permanent House Under Construction]]),0),0)</f>
        <v>21</v>
      </c>
      <c r="R311" s="104">
        <v>21</v>
      </c>
      <c r="S311" s="164"/>
      <c r="T311" s="164" t="str">
        <f>IFERROR(VLOOKUP(Table_Shelter[[#This Row],[CampName]],CL,2,0),"")</f>
        <v>MMR001CMP024</v>
      </c>
      <c r="U311" s="164" t="str">
        <f>IFERROR(VLOOKUP(Table_Shelter[[#This Row],[CampName]],CL,3,0),"")</f>
        <v>Open</v>
      </c>
      <c r="V311" s="240">
        <f>IFERROR(Table_Shelter[[#This Row],[HH Covered]]/VLOOKUP(Table_Shelter[[#This Row],[CampName]],CL,5,0),"")</f>
        <v>0.33333333333333331</v>
      </c>
      <c r="W311" s="240" t="s">
        <v>1292</v>
      </c>
      <c r="X311" s="164"/>
    </row>
    <row r="312" spans="1:24" ht="15" customHeight="1" x14ac:dyDescent="0.25">
      <c r="A312" s="678"/>
      <c r="B312" s="162" t="s">
        <v>451</v>
      </c>
      <c r="C312" s="162"/>
      <c r="D312" s="165" t="s">
        <v>380</v>
      </c>
      <c r="E312" s="307" t="s">
        <v>5</v>
      </c>
      <c r="F312" s="162" t="s">
        <v>20</v>
      </c>
      <c r="G312" s="103">
        <v>1</v>
      </c>
      <c r="H312" s="105"/>
      <c r="I312" s="105"/>
      <c r="J312" s="105">
        <v>10</v>
      </c>
      <c r="K312" s="105">
        <v>10</v>
      </c>
      <c r="L312" s="164"/>
      <c r="M312" s="164"/>
      <c r="N312" s="164"/>
      <c r="O312" s="164"/>
      <c r="P312" s="936">
        <f>IFERROR(IF(VLOOKUP(Table_Shelter[[#This Row],[CampName]],CL,5,0)&lt;Table_Shelter[[#This Row],[HH Covered2]],VLOOKUP(Table_Shelter[[#This Row],[CampName]],CL,5,0),Table_Shelter[[#This Row],[HH Covered2]]),"")</f>
        <v>10</v>
      </c>
      <c r="Q312" s="104">
        <f>IF(Table_Shelter[[#This Row],[Status]]="Open",IF(W312="NO",Table_Shelter[[#This Row],[HH per Shelter]]*(Table_Shelter[[#This Row],['# of Temporary Shelter Units Built]]+Table_Shelter[[#This Row],['# of Temporary Shelter Under  Construction]]+Table_Shelter[[#This Row],['# of Permanent House Under Construction]]),0),0)</f>
        <v>10</v>
      </c>
      <c r="R312" s="104"/>
      <c r="S312" s="164"/>
      <c r="T312" s="164" t="str">
        <f>IFERROR(VLOOKUP(Table_Shelter[[#This Row],[CampName]],CL,2,0),"")</f>
        <v>MMR001CMP054</v>
      </c>
      <c r="U312" s="164" t="str">
        <f>IFERROR(VLOOKUP(Table_Shelter[[#This Row],[CampName]],CL,3,0),"")</f>
        <v>Open</v>
      </c>
      <c r="V312" s="240">
        <f>IFERROR(Table_Shelter[[#This Row],[HH Covered]]/VLOOKUP(Table_Shelter[[#This Row],[CampName]],CL,5,0),"")</f>
        <v>0.47619047619047616</v>
      </c>
      <c r="W312" s="240" t="s">
        <v>1292</v>
      </c>
      <c r="X312" s="164"/>
    </row>
    <row r="313" spans="1:24" ht="15" customHeight="1" x14ac:dyDescent="0.25">
      <c r="A313" s="678"/>
      <c r="B313" s="162" t="s">
        <v>451</v>
      </c>
      <c r="C313" s="162" t="s">
        <v>504</v>
      </c>
      <c r="D313" s="169" t="s">
        <v>380</v>
      </c>
      <c r="E313" s="307" t="s">
        <v>526</v>
      </c>
      <c r="F313" s="162" t="s">
        <v>108</v>
      </c>
      <c r="G313" s="103">
        <v>1</v>
      </c>
      <c r="H313" s="105"/>
      <c r="I313" s="105"/>
      <c r="J313" s="105">
        <v>15</v>
      </c>
      <c r="K313" s="105">
        <v>15</v>
      </c>
      <c r="L313" s="164"/>
      <c r="M313" s="164"/>
      <c r="N313" s="164"/>
      <c r="O313" s="164"/>
      <c r="P313" s="936">
        <f>IFERROR(IF(VLOOKUP(Table_Shelter[[#This Row],[CampName]],CL,5,0)&lt;Table_Shelter[[#This Row],[HH Covered2]],VLOOKUP(Table_Shelter[[#This Row],[CampName]],CL,5,0),Table_Shelter[[#This Row],[HH Covered2]]),"")</f>
        <v>15</v>
      </c>
      <c r="Q313" s="104">
        <f>IF(Table_Shelter[[#This Row],[Status]]="Open",IF(W313="NO",Table_Shelter[[#This Row],[HH per Shelter]]*(Table_Shelter[[#This Row],['# of Temporary Shelter Units Built]]+Table_Shelter[[#This Row],['# of Temporary Shelter Under  Construction]]+Table_Shelter[[#This Row],['# of Permanent House Under Construction]]),0),0)</f>
        <v>15</v>
      </c>
      <c r="R313" s="104"/>
      <c r="S313" s="104"/>
      <c r="T313" s="104" t="str">
        <f>IFERROR(VLOOKUP(Table_Shelter[[#This Row],[CampName]],CL,2,0),"")</f>
        <v>MMR001CMP103</v>
      </c>
      <c r="U313" s="104" t="str">
        <f>IFERROR(VLOOKUP(Table_Shelter[[#This Row],[CampName]],CL,3,0),"")</f>
        <v>Open</v>
      </c>
      <c r="V313" s="240">
        <f>IFERROR(Table_Shelter[[#This Row],[HH Covered]]/VLOOKUP(Table_Shelter[[#This Row],[CampName]],CL,5,0),"")</f>
        <v>0.3</v>
      </c>
      <c r="W313" s="240" t="s">
        <v>1292</v>
      </c>
      <c r="X313" s="104"/>
    </row>
    <row r="314" spans="1:24" ht="15" customHeight="1" x14ac:dyDescent="0.25">
      <c r="A314" s="678"/>
      <c r="B314" s="162" t="s">
        <v>861</v>
      </c>
      <c r="C314" s="162"/>
      <c r="D314" s="165" t="s">
        <v>380</v>
      </c>
      <c r="E314" s="307" t="s">
        <v>526</v>
      </c>
      <c r="F314" s="162" t="s">
        <v>110</v>
      </c>
      <c r="G314" s="103">
        <v>1</v>
      </c>
      <c r="H314" s="105">
        <v>50</v>
      </c>
      <c r="I314" s="105">
        <v>50</v>
      </c>
      <c r="J314" s="105"/>
      <c r="K314" s="105"/>
      <c r="L314" s="164"/>
      <c r="M314" s="164"/>
      <c r="N314" s="164"/>
      <c r="O314" s="164"/>
      <c r="P314" s="936">
        <f>IFERROR(IF(VLOOKUP(Table_Shelter[[#This Row],[CampName]],CL,5,0)&lt;Table_Shelter[[#This Row],[HH Covered2]],VLOOKUP(Table_Shelter[[#This Row],[CampName]],CL,5,0),Table_Shelter[[#This Row],[HH Covered2]]),"")</f>
        <v>0</v>
      </c>
      <c r="Q314" s="104">
        <f>IF(Table_Shelter[[#This Row],[Status]]="Open",IF(W314="NO",Table_Shelter[[#This Row],[HH per Shelter]]*(Table_Shelter[[#This Row],['# of Temporary Shelter Units Built]]+Table_Shelter[[#This Row],['# of Temporary Shelter Under  Construction]]+Table_Shelter[[#This Row],['# of Permanent House Under Construction]]),0),0)</f>
        <v>0</v>
      </c>
      <c r="R314" s="104"/>
      <c r="S314" s="164"/>
      <c r="T314" s="164" t="str">
        <f>IFERROR(VLOOKUP(Table_Shelter[[#This Row],[CampName]],CL,2,0),"")</f>
        <v>MMR001CMP082</v>
      </c>
      <c r="U314" s="164" t="str">
        <f>IFERROR(VLOOKUP(Table_Shelter[[#This Row],[CampName]],CL,3,0),"")</f>
        <v>Closed</v>
      </c>
      <c r="V314" s="240" t="str">
        <f>IFERROR(Table_Shelter[[#This Row],[HH Covered]]/VLOOKUP(Table_Shelter[[#This Row],[CampName]],CL,5,0),"")</f>
        <v/>
      </c>
      <c r="W314" s="240" t="s">
        <v>1292</v>
      </c>
      <c r="X314" s="164"/>
    </row>
    <row r="315" spans="1:24" ht="15" customHeight="1" x14ac:dyDescent="0.25">
      <c r="A315" s="678"/>
      <c r="B315" s="162" t="s">
        <v>451</v>
      </c>
      <c r="C315" s="162" t="s">
        <v>459</v>
      </c>
      <c r="D315" s="165" t="s">
        <v>380</v>
      </c>
      <c r="E315" s="307" t="s">
        <v>310</v>
      </c>
      <c r="F315" s="162" t="s">
        <v>347</v>
      </c>
      <c r="G315" s="103">
        <v>1</v>
      </c>
      <c r="H315" s="105"/>
      <c r="I315" s="105"/>
      <c r="J315" s="105">
        <v>170</v>
      </c>
      <c r="K315" s="105">
        <v>170</v>
      </c>
      <c r="L315" s="164"/>
      <c r="M315" s="164"/>
      <c r="N315" s="164"/>
      <c r="O315" s="164"/>
      <c r="P315" s="936">
        <f>IFERROR(IF(VLOOKUP(Table_Shelter[[#This Row],[CampName]],CL,5,0)&lt;Table_Shelter[[#This Row],[HH Covered2]],VLOOKUP(Table_Shelter[[#This Row],[CampName]],CL,5,0),Table_Shelter[[#This Row],[HH Covered2]]),"")</f>
        <v>170</v>
      </c>
      <c r="Q315" s="104">
        <f>IF(Table_Shelter[[#This Row],[Status]]="Open",IF(W315="NO",Table_Shelter[[#This Row],[HH per Shelter]]*(Table_Shelter[[#This Row],['# of Temporary Shelter Units Built]]+Table_Shelter[[#This Row],['# of Temporary Shelter Under  Construction]]+Table_Shelter[[#This Row],['# of Permanent House Under Construction]]),0),0)</f>
        <v>170</v>
      </c>
      <c r="R315" s="104"/>
      <c r="S315" s="164"/>
      <c r="T315" s="164" t="str">
        <f>IFERROR(VLOOKUP(Table_Shelter[[#This Row],[CampName]],CL,2,0),"")</f>
        <v>MMR001CMP041</v>
      </c>
      <c r="U315" s="164" t="str">
        <f>IFERROR(VLOOKUP(Table_Shelter[[#This Row],[CampName]],CL,3,0),"")</f>
        <v>Open</v>
      </c>
      <c r="V315" s="240">
        <f>IFERROR(Table_Shelter[[#This Row],[HH Covered]]/VLOOKUP(Table_Shelter[[#This Row],[CampName]],CL,5,0),"")</f>
        <v>0.92391304347826086</v>
      </c>
      <c r="W315" s="240" t="s">
        <v>1292</v>
      </c>
      <c r="X315" s="164"/>
    </row>
    <row r="316" spans="1:24" ht="15" customHeight="1" x14ac:dyDescent="0.25">
      <c r="A316" s="678"/>
      <c r="B316" s="162" t="s">
        <v>451</v>
      </c>
      <c r="C316" s="162" t="s">
        <v>459</v>
      </c>
      <c r="D316" s="165" t="s">
        <v>380</v>
      </c>
      <c r="E316" s="307" t="s">
        <v>237</v>
      </c>
      <c r="F316" s="162" t="s">
        <v>281</v>
      </c>
      <c r="G316" s="103">
        <v>1</v>
      </c>
      <c r="H316" s="105"/>
      <c r="I316" s="105"/>
      <c r="J316" s="105">
        <v>50</v>
      </c>
      <c r="K316" s="105">
        <v>50</v>
      </c>
      <c r="L316" s="164"/>
      <c r="M316" s="164"/>
      <c r="N316" s="164"/>
      <c r="O316" s="164"/>
      <c r="P316" s="936">
        <f>IFERROR(IF(VLOOKUP(Table_Shelter[[#This Row],[CampName]],CL,5,0)&lt;Table_Shelter[[#This Row],[HH Covered2]],VLOOKUP(Table_Shelter[[#This Row],[CampName]],CL,5,0),Table_Shelter[[#This Row],[HH Covered2]]),"")</f>
        <v>50</v>
      </c>
      <c r="Q316" s="104">
        <f>IF(Table_Shelter[[#This Row],[Status]]="Open",IF(W316="NO",Table_Shelter[[#This Row],[HH per Shelter]]*(Table_Shelter[[#This Row],['# of Temporary Shelter Units Built]]+Table_Shelter[[#This Row],['# of Temporary Shelter Under  Construction]]+Table_Shelter[[#This Row],['# of Permanent House Under Construction]]),0),0)</f>
        <v>50</v>
      </c>
      <c r="R316" s="104"/>
      <c r="S316" s="164"/>
      <c r="T316" s="164" t="str">
        <f>IFERROR(VLOOKUP(Table_Shelter[[#This Row],[CampName]],CL,2,0),"")</f>
        <v>MMR001CMP009</v>
      </c>
      <c r="U316" s="164" t="str">
        <f>IFERROR(VLOOKUP(Table_Shelter[[#This Row],[CampName]],CL,3,0),"")</f>
        <v>Open</v>
      </c>
      <c r="V316" s="240">
        <f>IFERROR(Table_Shelter[[#This Row],[HH Covered]]/VLOOKUP(Table_Shelter[[#This Row],[CampName]],CL,5,0),"")</f>
        <v>0.54347826086956519</v>
      </c>
      <c r="W316" s="240" t="s">
        <v>1292</v>
      </c>
      <c r="X316" s="164"/>
    </row>
    <row r="317" spans="1:24" ht="15" customHeight="1" x14ac:dyDescent="0.25">
      <c r="A317" s="678"/>
      <c r="B317" s="162" t="s">
        <v>451</v>
      </c>
      <c r="C317" s="162" t="s">
        <v>504</v>
      </c>
      <c r="D317" s="165" t="s">
        <v>380</v>
      </c>
      <c r="E317" s="307" t="s">
        <v>526</v>
      </c>
      <c r="F317" s="162" t="s">
        <v>110</v>
      </c>
      <c r="G317" s="103">
        <v>1</v>
      </c>
      <c r="H317" s="105"/>
      <c r="I317" s="105"/>
      <c r="J317" s="105">
        <v>20</v>
      </c>
      <c r="K317" s="105">
        <v>20</v>
      </c>
      <c r="L317" s="164"/>
      <c r="M317" s="164"/>
      <c r="N317" s="164"/>
      <c r="O317" s="164"/>
      <c r="P317" s="936">
        <f>IFERROR(IF(VLOOKUP(Table_Shelter[[#This Row],[CampName]],CL,5,0)&lt;Table_Shelter[[#This Row],[HH Covered2]],VLOOKUP(Table_Shelter[[#This Row],[CampName]],CL,5,0),Table_Shelter[[#This Row],[HH Covered2]]),"")</f>
        <v>0</v>
      </c>
      <c r="Q317" s="104">
        <f>IF(Table_Shelter[[#This Row],[Status]]="Open",IF(W317="NO",Table_Shelter[[#This Row],[HH per Shelter]]*(Table_Shelter[[#This Row],['# of Temporary Shelter Units Built]]+Table_Shelter[[#This Row],['# of Temporary Shelter Under  Construction]]+Table_Shelter[[#This Row],['# of Permanent House Under Construction]]),0),0)</f>
        <v>0</v>
      </c>
      <c r="R317" s="104"/>
      <c r="S317" s="164"/>
      <c r="T317" s="164" t="str">
        <f>IFERROR(VLOOKUP(Table_Shelter[[#This Row],[CampName]],CL,2,0),"")</f>
        <v>MMR001CMP082</v>
      </c>
      <c r="U317" s="164" t="str">
        <f>IFERROR(VLOOKUP(Table_Shelter[[#This Row],[CampName]],CL,3,0),"")</f>
        <v>Closed</v>
      </c>
      <c r="V317" s="240" t="str">
        <f>IFERROR(Table_Shelter[[#This Row],[HH Covered]]/VLOOKUP(Table_Shelter[[#This Row],[CampName]],CL,5,0),"")</f>
        <v/>
      </c>
      <c r="W317" s="240" t="s">
        <v>1292</v>
      </c>
      <c r="X317" s="164"/>
    </row>
    <row r="318" spans="1:24" ht="15" customHeight="1" x14ac:dyDescent="0.25">
      <c r="A318" s="678"/>
      <c r="B318" s="162" t="s">
        <v>591</v>
      </c>
      <c r="C318" s="162" t="s">
        <v>458</v>
      </c>
      <c r="D318" s="165" t="s">
        <v>380</v>
      </c>
      <c r="E318" s="307" t="s">
        <v>185</v>
      </c>
      <c r="F318" s="162" t="s">
        <v>215</v>
      </c>
      <c r="G318" s="103">
        <v>1</v>
      </c>
      <c r="H318" s="105"/>
      <c r="I318" s="105"/>
      <c r="J318" s="105">
        <v>100</v>
      </c>
      <c r="K318" s="105">
        <v>100</v>
      </c>
      <c r="L318" s="164"/>
      <c r="M318" s="164"/>
      <c r="N318" s="164"/>
      <c r="O318" s="164"/>
      <c r="P318" s="936">
        <f>IFERROR(IF(VLOOKUP(Table_Shelter[[#This Row],[CampName]],CL,5,0)&lt;Table_Shelter[[#This Row],[HH Covered2]],VLOOKUP(Table_Shelter[[#This Row],[CampName]],CL,5,0),Table_Shelter[[#This Row],[HH Covered2]]),"")</f>
        <v>100</v>
      </c>
      <c r="Q318" s="104">
        <f>IF(Table_Shelter[[#This Row],[Status]]="Open",IF(W318="NO",Table_Shelter[[#This Row],[HH per Shelter]]*(Table_Shelter[[#This Row],['# of Temporary Shelter Units Built]]+Table_Shelter[[#This Row],['# of Temporary Shelter Under  Construction]]+Table_Shelter[[#This Row],['# of Permanent House Under Construction]]),0),0)</f>
        <v>100</v>
      </c>
      <c r="R318" s="104"/>
      <c r="S318" s="164"/>
      <c r="T318" s="164" t="str">
        <f>IFERROR(VLOOKUP(Table_Shelter[[#This Row],[CampName]],CL,2,0),"")</f>
        <v>MMR001CMP131</v>
      </c>
      <c r="U318" s="164" t="str">
        <f>IFERROR(VLOOKUP(Table_Shelter[[#This Row],[CampName]],CL,3,0),"")</f>
        <v>Open</v>
      </c>
      <c r="V318" s="240">
        <f>IFERROR(Table_Shelter[[#This Row],[HH Covered]]/VLOOKUP(Table_Shelter[[#This Row],[CampName]],CL,5,0),"")</f>
        <v>0.27932960893854747</v>
      </c>
      <c r="W318" s="240" t="s">
        <v>1292</v>
      </c>
      <c r="X318" s="164"/>
    </row>
    <row r="319" spans="1:24" ht="15" customHeight="1" x14ac:dyDescent="0.25">
      <c r="A319" s="678"/>
      <c r="B319" s="162" t="s">
        <v>900</v>
      </c>
      <c r="C319" s="162" t="s">
        <v>458</v>
      </c>
      <c r="D319" s="165" t="s">
        <v>380</v>
      </c>
      <c r="E319" s="307" t="s">
        <v>185</v>
      </c>
      <c r="F319" s="162" t="s">
        <v>215</v>
      </c>
      <c r="G319" s="103">
        <v>1</v>
      </c>
      <c r="H319" s="105"/>
      <c r="I319" s="105"/>
      <c r="J319" s="105">
        <v>350</v>
      </c>
      <c r="K319" s="105">
        <v>350</v>
      </c>
      <c r="L319" s="164"/>
      <c r="M319" s="164"/>
      <c r="N319" s="164"/>
      <c r="O319" s="164"/>
      <c r="P319" s="936">
        <f>IFERROR(IF(VLOOKUP(Table_Shelter[[#This Row],[CampName]],CL,5,0)&lt;Table_Shelter[[#This Row],[HH Covered2]],VLOOKUP(Table_Shelter[[#This Row],[CampName]],CL,5,0),Table_Shelter[[#This Row],[HH Covered2]]),"")</f>
        <v>350</v>
      </c>
      <c r="Q319" s="104">
        <f>IF(Table_Shelter[[#This Row],[Status]]="Open",IF(W319="NO",Table_Shelter[[#This Row],[HH per Shelter]]*(Table_Shelter[[#This Row],['# of Temporary Shelter Units Built]]+Table_Shelter[[#This Row],['# of Temporary Shelter Under  Construction]]+Table_Shelter[[#This Row],['# of Permanent House Under Construction]]),0),0)</f>
        <v>350</v>
      </c>
      <c r="R319" s="104"/>
      <c r="S319" s="164"/>
      <c r="T319" s="164" t="str">
        <f>IFERROR(VLOOKUP(Table_Shelter[[#This Row],[CampName]],CL,2,0),"")</f>
        <v>MMR001CMP131</v>
      </c>
      <c r="U319" s="164" t="str">
        <f>IFERROR(VLOOKUP(Table_Shelter[[#This Row],[CampName]],CL,3,0),"")</f>
        <v>Open</v>
      </c>
      <c r="V319" s="240">
        <f>IFERROR(Table_Shelter[[#This Row],[HH Covered]]/VLOOKUP(Table_Shelter[[#This Row],[CampName]],CL,5,0),"")</f>
        <v>0.97765363128491622</v>
      </c>
      <c r="W319" s="240" t="s">
        <v>1292</v>
      </c>
      <c r="X319" s="164"/>
    </row>
    <row r="320" spans="1:24" ht="15" customHeight="1" x14ac:dyDescent="0.25">
      <c r="A320" s="678"/>
      <c r="B320" s="162" t="s">
        <v>845</v>
      </c>
      <c r="C320" s="162"/>
      <c r="D320" s="165" t="s">
        <v>380</v>
      </c>
      <c r="E320" s="307" t="s">
        <v>185</v>
      </c>
      <c r="F320" s="162" t="s">
        <v>217</v>
      </c>
      <c r="G320" s="103">
        <v>1</v>
      </c>
      <c r="H320" s="105"/>
      <c r="I320" s="105"/>
      <c r="J320" s="105">
        <v>18</v>
      </c>
      <c r="K320" s="105">
        <v>18</v>
      </c>
      <c r="L320" s="164"/>
      <c r="M320" s="164"/>
      <c r="N320" s="164"/>
      <c r="O320" s="164"/>
      <c r="P320" s="936">
        <f>IFERROR(IF(VLOOKUP(Table_Shelter[[#This Row],[CampName]],CL,5,0)&lt;Table_Shelter[[#This Row],[HH Covered2]],VLOOKUP(Table_Shelter[[#This Row],[CampName]],CL,5,0),Table_Shelter[[#This Row],[HH Covered2]]),"")</f>
        <v>0</v>
      </c>
      <c r="Q320" s="104">
        <f>IF(Table_Shelter[[#This Row],[Status]]="Open",IF(W320="NO",Table_Shelter[[#This Row],[HH per Shelter]]*(Table_Shelter[[#This Row],['# of Temporary Shelter Units Built]]+Table_Shelter[[#This Row],['# of Temporary Shelter Under  Construction]]+Table_Shelter[[#This Row],['# of Permanent House Under Construction]]),0),0)</f>
        <v>0</v>
      </c>
      <c r="R320" s="104"/>
      <c r="S320" s="164"/>
      <c r="T320" s="164" t="str">
        <f>IFERROR(VLOOKUP(Table_Shelter[[#This Row],[CampName]],CL,2,0),"")</f>
        <v>MMR001CMP059</v>
      </c>
      <c r="U320" s="164" t="str">
        <f>IFERROR(VLOOKUP(Table_Shelter[[#This Row],[CampName]],CL,3,0),"")</f>
        <v>Closed</v>
      </c>
      <c r="V320" s="240" t="str">
        <f>IFERROR(Table_Shelter[[#This Row],[HH Covered]]/VLOOKUP(Table_Shelter[[#This Row],[CampName]],CL,5,0),"")</f>
        <v/>
      </c>
      <c r="W320" s="240" t="s">
        <v>1292</v>
      </c>
      <c r="X320" s="164"/>
    </row>
    <row r="321" spans="1:24" ht="15" customHeight="1" x14ac:dyDescent="0.25">
      <c r="A321" s="678"/>
      <c r="B321" s="162" t="s">
        <v>451</v>
      </c>
      <c r="C321" s="162"/>
      <c r="D321" s="165" t="s">
        <v>380</v>
      </c>
      <c r="E321" s="307" t="s">
        <v>185</v>
      </c>
      <c r="F321" s="162" t="s">
        <v>217</v>
      </c>
      <c r="G321" s="103">
        <v>1</v>
      </c>
      <c r="H321" s="105"/>
      <c r="I321" s="105"/>
      <c r="J321" s="105">
        <v>9</v>
      </c>
      <c r="K321" s="105">
        <v>9</v>
      </c>
      <c r="L321" s="164"/>
      <c r="M321" s="164"/>
      <c r="N321" s="164"/>
      <c r="O321" s="164"/>
      <c r="P321" s="936">
        <f>IFERROR(IF(VLOOKUP(Table_Shelter[[#This Row],[CampName]],CL,5,0)&lt;Table_Shelter[[#This Row],[HH Covered2]],VLOOKUP(Table_Shelter[[#This Row],[CampName]],CL,5,0),Table_Shelter[[#This Row],[HH Covered2]]),"")</f>
        <v>0</v>
      </c>
      <c r="Q321" s="104">
        <f>IF(Table_Shelter[[#This Row],[Status]]="Open",IF(W321="NO",Table_Shelter[[#This Row],[HH per Shelter]]*(Table_Shelter[[#This Row],['# of Temporary Shelter Units Built]]+Table_Shelter[[#This Row],['# of Temporary Shelter Under  Construction]]+Table_Shelter[[#This Row],['# of Permanent House Under Construction]]),0),0)</f>
        <v>0</v>
      </c>
      <c r="R321" s="104"/>
      <c r="S321" s="164"/>
      <c r="T321" s="164" t="str">
        <f>IFERROR(VLOOKUP(Table_Shelter[[#This Row],[CampName]],CL,2,0),"")</f>
        <v>MMR001CMP059</v>
      </c>
      <c r="U321" s="164" t="str">
        <f>IFERROR(VLOOKUP(Table_Shelter[[#This Row],[CampName]],CL,3,0),"")</f>
        <v>Closed</v>
      </c>
      <c r="V321" s="240" t="str">
        <f>IFERROR(Table_Shelter[[#This Row],[HH Covered]]/VLOOKUP(Table_Shelter[[#This Row],[CampName]],CL,5,0),"")</f>
        <v/>
      </c>
      <c r="W321" s="240" t="s">
        <v>1292</v>
      </c>
      <c r="X321" s="164"/>
    </row>
    <row r="322" spans="1:24" ht="15" customHeight="1" x14ac:dyDescent="0.25">
      <c r="A322" s="678"/>
      <c r="B322" s="162" t="s">
        <v>451</v>
      </c>
      <c r="C322" s="162" t="s">
        <v>459</v>
      </c>
      <c r="D322" s="165" t="s">
        <v>380</v>
      </c>
      <c r="E322" s="307" t="s">
        <v>237</v>
      </c>
      <c r="F322" s="162" t="s">
        <v>238</v>
      </c>
      <c r="G322" s="103">
        <v>1</v>
      </c>
      <c r="H322" s="105"/>
      <c r="I322" s="105"/>
      <c r="J322" s="105">
        <v>60</v>
      </c>
      <c r="K322" s="105">
        <v>60</v>
      </c>
      <c r="L322" s="164"/>
      <c r="M322" s="164"/>
      <c r="N322" s="164"/>
      <c r="O322" s="164"/>
      <c r="P322" s="936">
        <f>IFERROR(IF(VLOOKUP(Table_Shelter[[#This Row],[CampName]],CL,5,0)&lt;Table_Shelter[[#This Row],[HH Covered2]],VLOOKUP(Table_Shelter[[#This Row],[CampName]],CL,5,0),Table_Shelter[[#This Row],[HH Covered2]]),"")</f>
        <v>60</v>
      </c>
      <c r="Q322" s="104">
        <f>IF(Table_Shelter[[#This Row],[Status]]="Open",IF(W322="NO",Table_Shelter[[#This Row],[HH per Shelter]]*(Table_Shelter[[#This Row],['# of Temporary Shelter Units Built]]+Table_Shelter[[#This Row],['# of Temporary Shelter Under  Construction]]+Table_Shelter[[#This Row],['# of Permanent House Under Construction]]),0),0)</f>
        <v>60</v>
      </c>
      <c r="R322" s="104"/>
      <c r="S322" s="164"/>
      <c r="T322" s="164" t="str">
        <f>IFERROR(VLOOKUP(Table_Shelter[[#This Row],[CampName]],CL,2,0),"")</f>
        <v>MMR001CMP001</v>
      </c>
      <c r="U322" s="164" t="str">
        <f>IFERROR(VLOOKUP(Table_Shelter[[#This Row],[CampName]],CL,3,0),"")</f>
        <v>Open</v>
      </c>
      <c r="V322" s="240">
        <f>IFERROR(Table_Shelter[[#This Row],[HH Covered]]/VLOOKUP(Table_Shelter[[#This Row],[CampName]],CL,5,0),"")</f>
        <v>0.90909090909090906</v>
      </c>
      <c r="W322" s="240" t="s">
        <v>1292</v>
      </c>
      <c r="X322" s="164"/>
    </row>
    <row r="323" spans="1:24" ht="15" customHeight="1" x14ac:dyDescent="0.25">
      <c r="A323" s="678"/>
      <c r="B323" s="162" t="s">
        <v>451</v>
      </c>
      <c r="C323" s="162"/>
      <c r="D323" s="165" t="s">
        <v>380</v>
      </c>
      <c r="E323" s="307" t="s">
        <v>185</v>
      </c>
      <c r="F323" s="162" t="s">
        <v>229</v>
      </c>
      <c r="G323" s="103">
        <v>1</v>
      </c>
      <c r="H323" s="105"/>
      <c r="I323" s="105"/>
      <c r="J323" s="105">
        <v>45</v>
      </c>
      <c r="K323" s="105">
        <v>45</v>
      </c>
      <c r="L323" s="164"/>
      <c r="M323" s="164"/>
      <c r="N323" s="164"/>
      <c r="O323" s="164"/>
      <c r="P323" s="936">
        <f>IFERROR(IF(VLOOKUP(Table_Shelter[[#This Row],[CampName]],CL,5,0)&lt;Table_Shelter[[#This Row],[HH Covered2]],VLOOKUP(Table_Shelter[[#This Row],[CampName]],CL,5,0),Table_Shelter[[#This Row],[HH Covered2]]),"")</f>
        <v>45</v>
      </c>
      <c r="Q323" s="104">
        <f>IF(Table_Shelter[[#This Row],[Status]]="Open",IF(W323="NO",Table_Shelter[[#This Row],[HH per Shelter]]*(Table_Shelter[[#This Row],['# of Temporary Shelter Units Built]]+Table_Shelter[[#This Row],['# of Temporary Shelter Under  Construction]]+Table_Shelter[[#This Row],['# of Permanent House Under Construction]]),0),0)</f>
        <v>45</v>
      </c>
      <c r="R323" s="104"/>
      <c r="S323" s="164"/>
      <c r="T323" s="164" t="str">
        <f>IFERROR(VLOOKUP(Table_Shelter[[#This Row],[CampName]],CL,2,0),"")</f>
        <v>MMR001CMP072</v>
      </c>
      <c r="U323" s="164" t="str">
        <f>IFERROR(VLOOKUP(Table_Shelter[[#This Row],[CampName]],CL,3,0),"")</f>
        <v>Open</v>
      </c>
      <c r="V323" s="240">
        <f>IFERROR(Table_Shelter[[#This Row],[HH Covered]]/VLOOKUP(Table_Shelter[[#This Row],[CampName]],CL,5,0),"")</f>
        <v>0.91836734693877553</v>
      </c>
      <c r="W323" s="240" t="s">
        <v>1292</v>
      </c>
      <c r="X323" s="164"/>
    </row>
    <row r="324" spans="1:24" ht="15" customHeight="1" x14ac:dyDescent="0.25">
      <c r="A324" s="678"/>
      <c r="B324" s="162" t="s">
        <v>591</v>
      </c>
      <c r="C324" s="162" t="s">
        <v>505</v>
      </c>
      <c r="D324" s="165" t="s">
        <v>380</v>
      </c>
      <c r="E324" s="307" t="s">
        <v>237</v>
      </c>
      <c r="F324" s="162" t="s">
        <v>273</v>
      </c>
      <c r="G324" s="103">
        <v>1</v>
      </c>
      <c r="H324" s="105"/>
      <c r="I324" s="105"/>
      <c r="J324" s="105">
        <v>30</v>
      </c>
      <c r="K324" s="105">
        <v>30</v>
      </c>
      <c r="L324" s="164"/>
      <c r="M324" s="164"/>
      <c r="N324" s="164"/>
      <c r="O324" s="164"/>
      <c r="P324" s="936">
        <f>IFERROR(IF(VLOOKUP(Table_Shelter[[#This Row],[CampName]],CL,5,0)&lt;Table_Shelter[[#This Row],[HH Covered2]],VLOOKUP(Table_Shelter[[#This Row],[CampName]],CL,5,0),Table_Shelter[[#This Row],[HH Covered2]]),"")</f>
        <v>30</v>
      </c>
      <c r="Q324" s="104">
        <f>IF(Table_Shelter[[#This Row],[Status]]="Open",IF(W324="NO",Table_Shelter[[#This Row],[HH per Shelter]]*(Table_Shelter[[#This Row],['# of Temporary Shelter Units Built]]+Table_Shelter[[#This Row],['# of Temporary Shelter Under  Construction]]+Table_Shelter[[#This Row],['# of Permanent House Under Construction]]),0),0)</f>
        <v>30</v>
      </c>
      <c r="R324" s="104"/>
      <c r="S324" s="164"/>
      <c r="T324" s="164" t="str">
        <f>IFERROR(VLOOKUP(Table_Shelter[[#This Row],[CampName]],CL,2,0),"")</f>
        <v>MMR001CMP162</v>
      </c>
      <c r="U324" s="164" t="str">
        <f>IFERROR(VLOOKUP(Table_Shelter[[#This Row],[CampName]],CL,3,0),"")</f>
        <v>Open</v>
      </c>
      <c r="V324" s="240">
        <f>IFERROR(Table_Shelter[[#This Row],[HH Covered]]/VLOOKUP(Table_Shelter[[#This Row],[CampName]],CL,5,0),"")</f>
        <v>0.61224489795918369</v>
      </c>
      <c r="W324" s="240" t="s">
        <v>1292</v>
      </c>
      <c r="X324" s="164"/>
    </row>
    <row r="325" spans="1:24" ht="15" customHeight="1" x14ac:dyDescent="0.25">
      <c r="A325" s="678"/>
      <c r="B325" s="162" t="s">
        <v>591</v>
      </c>
      <c r="C325" s="162" t="s">
        <v>571</v>
      </c>
      <c r="D325" s="165" t="s">
        <v>380</v>
      </c>
      <c r="E325" s="307" t="s">
        <v>185</v>
      </c>
      <c r="F325" s="162" t="s">
        <v>219</v>
      </c>
      <c r="G325" s="103">
        <v>1</v>
      </c>
      <c r="H325" s="105"/>
      <c r="I325" s="105"/>
      <c r="J325" s="105">
        <v>447</v>
      </c>
      <c r="K325" s="105">
        <v>447</v>
      </c>
      <c r="L325" s="164"/>
      <c r="M325" s="164"/>
      <c r="N325" s="164"/>
      <c r="O325" s="164"/>
      <c r="P325" s="936">
        <f>IFERROR(IF(VLOOKUP(Table_Shelter[[#This Row],[CampName]],CL,5,0)&lt;Table_Shelter[[#This Row],[HH Covered2]],VLOOKUP(Table_Shelter[[#This Row],[CampName]],CL,5,0),Table_Shelter[[#This Row],[HH Covered2]]),"")</f>
        <v>447</v>
      </c>
      <c r="Q325" s="104">
        <f>IF(Table_Shelter[[#This Row],[Status]]="Open",IF(W325="NO",Table_Shelter[[#This Row],[HH per Shelter]]*(Table_Shelter[[#This Row],['# of Temporary Shelter Units Built]]+Table_Shelter[[#This Row],['# of Temporary Shelter Under  Construction]]+Table_Shelter[[#This Row],['# of Permanent House Under Construction]]),0),0)</f>
        <v>447</v>
      </c>
      <c r="R325" s="104"/>
      <c r="S325" s="164"/>
      <c r="T325" s="164" t="str">
        <f>IFERROR(VLOOKUP(Table_Shelter[[#This Row],[CampName]],CL,2,0),"")</f>
        <v>MMR001CMP126</v>
      </c>
      <c r="U325" s="164" t="str">
        <f>IFERROR(VLOOKUP(Table_Shelter[[#This Row],[CampName]],CL,3,0),"")</f>
        <v>Open</v>
      </c>
      <c r="V325" s="240">
        <f>IFERROR(Table_Shelter[[#This Row],[HH Covered]]/VLOOKUP(Table_Shelter[[#This Row],[CampName]],CL,5,0),"")</f>
        <v>0.74874371859296485</v>
      </c>
      <c r="W325" s="240" t="s">
        <v>1292</v>
      </c>
      <c r="X325" s="164"/>
    </row>
    <row r="326" spans="1:24" ht="15" customHeight="1" x14ac:dyDescent="0.25">
      <c r="A326" s="678"/>
      <c r="B326" s="162" t="s">
        <v>451</v>
      </c>
      <c r="C326" s="162" t="s">
        <v>458</v>
      </c>
      <c r="D326" s="165" t="s">
        <v>380</v>
      </c>
      <c r="E326" s="307" t="s">
        <v>185</v>
      </c>
      <c r="F326" s="162" t="s">
        <v>219</v>
      </c>
      <c r="G326" s="103">
        <v>1</v>
      </c>
      <c r="H326" s="105"/>
      <c r="I326" s="105"/>
      <c r="J326" s="105">
        <v>130</v>
      </c>
      <c r="K326" s="105">
        <v>130</v>
      </c>
      <c r="L326" s="164"/>
      <c r="M326" s="164"/>
      <c r="N326" s="164"/>
      <c r="O326" s="164"/>
      <c r="P326" s="936">
        <f>IFERROR(IF(VLOOKUP(Table_Shelter[[#This Row],[CampName]],CL,5,0)&lt;Table_Shelter[[#This Row],[HH Covered2]],VLOOKUP(Table_Shelter[[#This Row],[CampName]],CL,5,0),Table_Shelter[[#This Row],[HH Covered2]]),"")</f>
        <v>130</v>
      </c>
      <c r="Q326" s="104">
        <f>IF(Table_Shelter[[#This Row],[Status]]="Open",IF(W326="NO",Table_Shelter[[#This Row],[HH per Shelter]]*(Table_Shelter[[#This Row],['# of Temporary Shelter Units Built]]+Table_Shelter[[#This Row],['# of Temporary Shelter Under  Construction]]+Table_Shelter[[#This Row],['# of Permanent House Under Construction]]),0),0)</f>
        <v>130</v>
      </c>
      <c r="R326" s="104"/>
      <c r="S326" s="164"/>
      <c r="T326" s="164" t="str">
        <f>IFERROR(VLOOKUP(Table_Shelter[[#This Row],[CampName]],CL,2,0),"")</f>
        <v>MMR001CMP126</v>
      </c>
      <c r="U326" s="164" t="str">
        <f>IFERROR(VLOOKUP(Table_Shelter[[#This Row],[CampName]],CL,3,0),"")</f>
        <v>Open</v>
      </c>
      <c r="V326" s="240">
        <f>IFERROR(Table_Shelter[[#This Row],[HH Covered]]/VLOOKUP(Table_Shelter[[#This Row],[CampName]],CL,5,0),"")</f>
        <v>0.21775544388609716</v>
      </c>
      <c r="W326" s="240" t="s">
        <v>1292</v>
      </c>
      <c r="X326" s="164"/>
    </row>
    <row r="327" spans="1:24" ht="15" customHeight="1" x14ac:dyDescent="0.25">
      <c r="A327" s="678"/>
      <c r="B327" s="162" t="s">
        <v>845</v>
      </c>
      <c r="C327" s="162"/>
      <c r="D327" s="165" t="s">
        <v>380</v>
      </c>
      <c r="E327" s="307" t="s">
        <v>5</v>
      </c>
      <c r="F327" s="162" t="s">
        <v>366</v>
      </c>
      <c r="G327" s="103">
        <v>1</v>
      </c>
      <c r="H327" s="105"/>
      <c r="I327" s="105"/>
      <c r="J327" s="105">
        <v>36</v>
      </c>
      <c r="K327" s="105">
        <v>36</v>
      </c>
      <c r="L327" s="164"/>
      <c r="M327" s="164"/>
      <c r="N327" s="164"/>
      <c r="O327" s="164"/>
      <c r="P327" s="936">
        <f>IFERROR(IF(VLOOKUP(Table_Shelter[[#This Row],[CampName]],CL,5,0)&lt;Table_Shelter[[#This Row],[HH Covered2]],VLOOKUP(Table_Shelter[[#This Row],[CampName]],CL,5,0),Table_Shelter[[#This Row],[HH Covered2]]),"")</f>
        <v>36</v>
      </c>
      <c r="Q327" s="104">
        <f>IF(Table_Shelter[[#This Row],[Status]]="Open",IF(W327="NO",Table_Shelter[[#This Row],[HH per Shelter]]*(Table_Shelter[[#This Row],['# of Temporary Shelter Units Built]]+Table_Shelter[[#This Row],['# of Temporary Shelter Under  Construction]]+Table_Shelter[[#This Row],['# of Permanent House Under Construction]]),0),0)</f>
        <v>36</v>
      </c>
      <c r="R327" s="104"/>
      <c r="S327" s="164"/>
      <c r="T327" s="164" t="str">
        <f>IFERROR(VLOOKUP(Table_Shelter[[#This Row],[CampName]],CL,2,0),"")</f>
        <v>MMR001CMP193</v>
      </c>
      <c r="U327" s="164" t="str">
        <f>IFERROR(VLOOKUP(Table_Shelter[[#This Row],[CampName]],CL,3,0),"")</f>
        <v>Open</v>
      </c>
      <c r="V327" s="240">
        <f>IFERROR(Table_Shelter[[#This Row],[HH Covered]]/VLOOKUP(Table_Shelter[[#This Row],[CampName]],CL,5,0),"")</f>
        <v>0.23529411764705882</v>
      </c>
      <c r="W327" s="240" t="s">
        <v>1292</v>
      </c>
      <c r="X327" s="164"/>
    </row>
    <row r="328" spans="1:24" ht="15" customHeight="1" x14ac:dyDescent="0.25">
      <c r="A328" s="678"/>
      <c r="B328" s="162" t="s">
        <v>861</v>
      </c>
      <c r="C328" s="162"/>
      <c r="D328" s="165" t="s">
        <v>380</v>
      </c>
      <c r="E328" s="307" t="s">
        <v>310</v>
      </c>
      <c r="F328" s="162" t="s">
        <v>355</v>
      </c>
      <c r="G328" s="103">
        <v>1</v>
      </c>
      <c r="H328" s="105">
        <v>207</v>
      </c>
      <c r="I328" s="105">
        <v>207</v>
      </c>
      <c r="J328" s="105"/>
      <c r="K328" s="105"/>
      <c r="L328" s="164"/>
      <c r="M328" s="164"/>
      <c r="N328" s="164"/>
      <c r="O328" s="164"/>
      <c r="P328" s="936">
        <f>IFERROR(IF(VLOOKUP(Table_Shelter[[#This Row],[CampName]],CL,5,0)&lt;Table_Shelter[[#This Row],[HH Covered2]],VLOOKUP(Table_Shelter[[#This Row],[CampName]],CL,5,0),Table_Shelter[[#This Row],[HH Covered2]]),"")</f>
        <v>0</v>
      </c>
      <c r="Q328" s="104">
        <f>IF(Table_Shelter[[#This Row],[Status]]="Open",IF(W328="NO",Table_Shelter[[#This Row],[HH per Shelter]]*(Table_Shelter[[#This Row],['# of Temporary Shelter Units Built]]+Table_Shelter[[#This Row],['# of Temporary Shelter Under  Construction]]+Table_Shelter[[#This Row],['# of Permanent House Under Construction]]),0),0)</f>
        <v>0</v>
      </c>
      <c r="R328" s="104"/>
      <c r="S328" s="164"/>
      <c r="T328" s="164" t="str">
        <f>IFERROR(VLOOKUP(Table_Shelter[[#This Row],[CampName]],CL,2,0),"")</f>
        <v>MMR001CMP160</v>
      </c>
      <c r="U328" s="164" t="str">
        <f>IFERROR(VLOOKUP(Table_Shelter[[#This Row],[CampName]],CL,3,0),"")</f>
        <v>Open</v>
      </c>
      <c r="V328" s="240">
        <f>IFERROR(Table_Shelter[[#This Row],[HH Covered]]/VLOOKUP(Table_Shelter[[#This Row],[CampName]],CL,5,0),"")</f>
        <v>0</v>
      </c>
      <c r="W328" s="240" t="s">
        <v>1292</v>
      </c>
      <c r="X328" s="164"/>
    </row>
    <row r="329" spans="1:24" ht="15" customHeight="1" x14ac:dyDescent="0.25">
      <c r="A329" s="678"/>
      <c r="B329" s="162" t="s">
        <v>451</v>
      </c>
      <c r="C329" s="162"/>
      <c r="D329" s="165" t="s">
        <v>380</v>
      </c>
      <c r="E329" s="307" t="s">
        <v>5</v>
      </c>
      <c r="F329" s="162" t="s">
        <v>366</v>
      </c>
      <c r="G329" s="103">
        <v>1</v>
      </c>
      <c r="H329" s="105"/>
      <c r="I329" s="105"/>
      <c r="J329" s="105">
        <v>30</v>
      </c>
      <c r="K329" s="105">
        <v>30</v>
      </c>
      <c r="L329" s="164"/>
      <c r="M329" s="164"/>
      <c r="N329" s="164"/>
      <c r="O329" s="164"/>
      <c r="P329" s="936">
        <f>IFERROR(IF(VLOOKUP(Table_Shelter[[#This Row],[CampName]],CL,5,0)&lt;Table_Shelter[[#This Row],[HH Covered2]],VLOOKUP(Table_Shelter[[#This Row],[CampName]],CL,5,0),Table_Shelter[[#This Row],[HH Covered2]]),"")</f>
        <v>30</v>
      </c>
      <c r="Q329" s="104">
        <f>IF(Table_Shelter[[#This Row],[Status]]="Open",IF(W329="NO",Table_Shelter[[#This Row],[HH per Shelter]]*(Table_Shelter[[#This Row],['# of Temporary Shelter Units Built]]+Table_Shelter[[#This Row],['# of Temporary Shelter Under  Construction]]+Table_Shelter[[#This Row],['# of Permanent House Under Construction]]),0),0)</f>
        <v>30</v>
      </c>
      <c r="R329" s="104"/>
      <c r="S329" s="164"/>
      <c r="T329" s="164" t="str">
        <f>IFERROR(VLOOKUP(Table_Shelter[[#This Row],[CampName]],CL,2,0),"")</f>
        <v>MMR001CMP193</v>
      </c>
      <c r="U329" s="164" t="str">
        <f>IFERROR(VLOOKUP(Table_Shelter[[#This Row],[CampName]],CL,3,0),"")</f>
        <v>Open</v>
      </c>
      <c r="V329" s="240">
        <f>IFERROR(Table_Shelter[[#This Row],[HH Covered]]/VLOOKUP(Table_Shelter[[#This Row],[CampName]],CL,5,0),"")</f>
        <v>0.19607843137254902</v>
      </c>
      <c r="W329" s="240" t="s">
        <v>1292</v>
      </c>
      <c r="X329" s="164"/>
    </row>
    <row r="330" spans="1:24" ht="15" customHeight="1" x14ac:dyDescent="0.25">
      <c r="A330" s="678"/>
      <c r="B330" s="162" t="s">
        <v>451</v>
      </c>
      <c r="C330" s="162" t="s">
        <v>504</v>
      </c>
      <c r="D330" s="165" t="s">
        <v>380</v>
      </c>
      <c r="E330" s="307" t="s">
        <v>310</v>
      </c>
      <c r="F330" s="162" t="s">
        <v>318</v>
      </c>
      <c r="G330" s="103">
        <v>1</v>
      </c>
      <c r="H330" s="105"/>
      <c r="I330" s="105"/>
      <c r="J330" s="105">
        <v>45</v>
      </c>
      <c r="K330" s="105">
        <v>45</v>
      </c>
      <c r="L330" s="164"/>
      <c r="M330" s="164"/>
      <c r="N330" s="164"/>
      <c r="O330" s="164"/>
      <c r="P330" s="936">
        <f>IFERROR(IF(VLOOKUP(Table_Shelter[[#This Row],[CampName]],CL,5,0)&lt;Table_Shelter[[#This Row],[HH Covered2]],VLOOKUP(Table_Shelter[[#This Row],[CampName]],CL,5,0),Table_Shelter[[#This Row],[HH Covered2]]),"")</f>
        <v>45</v>
      </c>
      <c r="Q330" s="104">
        <f>IF(Table_Shelter[[#This Row],[Status]]="Open",IF(W330="NO",Table_Shelter[[#This Row],[HH per Shelter]]*(Table_Shelter[[#This Row],['# of Temporary Shelter Units Built]]+Table_Shelter[[#This Row],['# of Temporary Shelter Under  Construction]]+Table_Shelter[[#This Row],['# of Permanent House Under Construction]]),0),0)</f>
        <v>45</v>
      </c>
      <c r="R330" s="104">
        <v>10</v>
      </c>
      <c r="S330" s="164"/>
      <c r="T330" s="164" t="str">
        <f>IFERROR(VLOOKUP(Table_Shelter[[#This Row],[CampName]],CL,2,0),"")</f>
        <v>MMR001CMP032</v>
      </c>
      <c r="U330" s="164" t="str">
        <f>IFERROR(VLOOKUP(Table_Shelter[[#This Row],[CampName]],CL,3,0),"")</f>
        <v>Open</v>
      </c>
      <c r="V330" s="240">
        <f>IFERROR(Table_Shelter[[#This Row],[HH Covered]]/VLOOKUP(Table_Shelter[[#This Row],[CampName]],CL,5,0),"")</f>
        <v>0.40540540540540543</v>
      </c>
      <c r="W330" s="240" t="s">
        <v>1292</v>
      </c>
      <c r="X330" s="164"/>
    </row>
    <row r="331" spans="1:24" ht="15" customHeight="1" x14ac:dyDescent="0.25">
      <c r="A331" s="678"/>
      <c r="B331" s="162" t="s">
        <v>451</v>
      </c>
      <c r="C331" s="162"/>
      <c r="D331" s="165" t="s">
        <v>380</v>
      </c>
      <c r="E331" s="307" t="s">
        <v>310</v>
      </c>
      <c r="F331" s="162" t="s">
        <v>318</v>
      </c>
      <c r="G331" s="103">
        <v>1</v>
      </c>
      <c r="H331" s="105"/>
      <c r="I331" s="105"/>
      <c r="J331" s="105">
        <v>5</v>
      </c>
      <c r="K331" s="105">
        <v>5</v>
      </c>
      <c r="L331" s="164"/>
      <c r="M331" s="164"/>
      <c r="N331" s="164"/>
      <c r="O331" s="164"/>
      <c r="P331" s="936">
        <f>IFERROR(IF(VLOOKUP(Table_Shelter[[#This Row],[CampName]],CL,5,0)&lt;Table_Shelter[[#This Row],[HH Covered2]],VLOOKUP(Table_Shelter[[#This Row],[CampName]],CL,5,0),Table_Shelter[[#This Row],[HH Covered2]]),"")</f>
        <v>5</v>
      </c>
      <c r="Q331" s="104">
        <f>IF(Table_Shelter[[#This Row],[Status]]="Open",IF(W331="NO",Table_Shelter[[#This Row],[HH per Shelter]]*(Table_Shelter[[#This Row],['# of Temporary Shelter Units Built]]+Table_Shelter[[#This Row],['# of Temporary Shelter Under  Construction]]+Table_Shelter[[#This Row],['# of Permanent House Under Construction]]),0),0)</f>
        <v>5</v>
      </c>
      <c r="R331" s="104"/>
      <c r="S331" s="164"/>
      <c r="T331" s="164" t="str">
        <f>IFERROR(VLOOKUP(Table_Shelter[[#This Row],[CampName]],CL,2,0),"")</f>
        <v>MMR001CMP032</v>
      </c>
      <c r="U331" s="164" t="str">
        <f>IFERROR(VLOOKUP(Table_Shelter[[#This Row],[CampName]],CL,3,0),"")</f>
        <v>Open</v>
      </c>
      <c r="V331" s="240">
        <f>IFERROR(Table_Shelter[[#This Row],[HH Covered]]/VLOOKUP(Table_Shelter[[#This Row],[CampName]],CL,5,0),"")</f>
        <v>4.5045045045045043E-2</v>
      </c>
      <c r="W331" s="240" t="s">
        <v>1292</v>
      </c>
      <c r="X331" s="164"/>
    </row>
    <row r="332" spans="1:24" ht="15" customHeight="1" x14ac:dyDescent="0.25">
      <c r="A332" s="678"/>
      <c r="B332" s="162" t="s">
        <v>568</v>
      </c>
      <c r="C332" s="162"/>
      <c r="D332" s="165" t="s">
        <v>380</v>
      </c>
      <c r="E332" s="307" t="s">
        <v>310</v>
      </c>
      <c r="F332" s="162" t="s">
        <v>318</v>
      </c>
      <c r="G332" s="103">
        <v>1</v>
      </c>
      <c r="H332" s="105"/>
      <c r="I332" s="105"/>
      <c r="J332" s="105">
        <v>10</v>
      </c>
      <c r="K332" s="105">
        <v>10</v>
      </c>
      <c r="L332" s="164"/>
      <c r="M332" s="164"/>
      <c r="N332" s="164"/>
      <c r="O332" s="164"/>
      <c r="P332" s="936">
        <f>IFERROR(IF(VLOOKUP(Table_Shelter[[#This Row],[CampName]],CL,5,0)&lt;Table_Shelter[[#This Row],[HH Covered2]],VLOOKUP(Table_Shelter[[#This Row],[CampName]],CL,5,0),Table_Shelter[[#This Row],[HH Covered2]]),"")</f>
        <v>10</v>
      </c>
      <c r="Q332" s="104">
        <f>IF(Table_Shelter[[#This Row],[Status]]="Open",IF(W332="NO",Table_Shelter[[#This Row],[HH per Shelter]]*(Table_Shelter[[#This Row],['# of Temporary Shelter Units Built]]+Table_Shelter[[#This Row],['# of Temporary Shelter Under  Construction]]+Table_Shelter[[#This Row],['# of Permanent House Under Construction]]),0),0)</f>
        <v>10</v>
      </c>
      <c r="R332" s="104"/>
      <c r="S332" s="164"/>
      <c r="T332" s="164" t="str">
        <f>IFERROR(VLOOKUP(Table_Shelter[[#This Row],[CampName]],CL,2,0),"")</f>
        <v>MMR001CMP032</v>
      </c>
      <c r="U332" s="164" t="str">
        <f>IFERROR(VLOOKUP(Table_Shelter[[#This Row],[CampName]],CL,3,0),"")</f>
        <v>Open</v>
      </c>
      <c r="V332" s="240">
        <f>IFERROR(Table_Shelter[[#This Row],[HH Covered]]/VLOOKUP(Table_Shelter[[#This Row],[CampName]],CL,5,0),"")</f>
        <v>9.0090090090090086E-2</v>
      </c>
      <c r="W332" s="240" t="s">
        <v>1292</v>
      </c>
      <c r="X332" s="164"/>
    </row>
    <row r="333" spans="1:24" ht="15" customHeight="1" x14ac:dyDescent="0.25">
      <c r="A333" s="678"/>
      <c r="B333" s="162" t="s">
        <v>451</v>
      </c>
      <c r="C333" s="162" t="s">
        <v>504</v>
      </c>
      <c r="D333" s="169" t="s">
        <v>380</v>
      </c>
      <c r="E333" s="307" t="s">
        <v>310</v>
      </c>
      <c r="F333" s="162" t="s">
        <v>318</v>
      </c>
      <c r="G333" s="103">
        <v>1</v>
      </c>
      <c r="H333" s="105"/>
      <c r="I333" s="105"/>
      <c r="J333" s="105">
        <v>5</v>
      </c>
      <c r="K333" s="105">
        <v>5</v>
      </c>
      <c r="L333" s="164"/>
      <c r="M333" s="164"/>
      <c r="N333" s="164"/>
      <c r="O333" s="164"/>
      <c r="P333" s="936">
        <f>IFERROR(IF(VLOOKUP(Table_Shelter[[#This Row],[CampName]],CL,5,0)&lt;Table_Shelter[[#This Row],[HH Covered2]],VLOOKUP(Table_Shelter[[#This Row],[CampName]],CL,5,0),Table_Shelter[[#This Row],[HH Covered2]]),"")</f>
        <v>5</v>
      </c>
      <c r="Q333" s="104">
        <f>IF(Table_Shelter[[#This Row],[Status]]="Open",IF(W333="NO",Table_Shelter[[#This Row],[HH per Shelter]]*(Table_Shelter[[#This Row],['# of Temporary Shelter Units Built]]+Table_Shelter[[#This Row],['# of Temporary Shelter Under  Construction]]+Table_Shelter[[#This Row],['# of Permanent House Under Construction]]),0),0)</f>
        <v>5</v>
      </c>
      <c r="R333" s="104"/>
      <c r="S333" s="104"/>
      <c r="T333" s="104" t="str">
        <f>IFERROR(VLOOKUP(Table_Shelter[[#This Row],[CampName]],CL,2,0),"")</f>
        <v>MMR001CMP032</v>
      </c>
      <c r="U333" s="104" t="str">
        <f>IFERROR(VLOOKUP(Table_Shelter[[#This Row],[CampName]],CL,3,0),"")</f>
        <v>Open</v>
      </c>
      <c r="V333" s="240">
        <f>IFERROR(Table_Shelter[[#This Row],[HH Covered]]/VLOOKUP(Table_Shelter[[#This Row],[CampName]],CL,5,0),"")</f>
        <v>4.5045045045045043E-2</v>
      </c>
      <c r="W333" s="240" t="s">
        <v>1292</v>
      </c>
      <c r="X333" s="104"/>
    </row>
    <row r="334" spans="1:24" ht="15" customHeight="1" x14ac:dyDescent="0.25">
      <c r="A334" s="678"/>
      <c r="B334" s="162" t="s">
        <v>451</v>
      </c>
      <c r="C334" s="162" t="s">
        <v>459</v>
      </c>
      <c r="D334" s="165" t="s">
        <v>380</v>
      </c>
      <c r="E334" s="307" t="s">
        <v>237</v>
      </c>
      <c r="F334" s="162" t="s">
        <v>251</v>
      </c>
      <c r="G334" s="103">
        <v>1</v>
      </c>
      <c r="H334" s="105"/>
      <c r="I334" s="105"/>
      <c r="J334" s="105">
        <v>20</v>
      </c>
      <c r="K334" s="105">
        <v>20</v>
      </c>
      <c r="L334" s="164"/>
      <c r="M334" s="164"/>
      <c r="N334" s="164"/>
      <c r="O334" s="164"/>
      <c r="P334" s="936">
        <f>IFERROR(IF(VLOOKUP(Table_Shelter[[#This Row],[CampName]],CL,5,0)&lt;Table_Shelter[[#This Row],[HH Covered2]],VLOOKUP(Table_Shelter[[#This Row],[CampName]],CL,5,0),Table_Shelter[[#This Row],[HH Covered2]]),"")</f>
        <v>20</v>
      </c>
      <c r="Q334" s="104">
        <f>IF(Table_Shelter[[#This Row],[Status]]="Open",IF(W334="NO",Table_Shelter[[#This Row],[HH per Shelter]]*(Table_Shelter[[#This Row],['# of Temporary Shelter Units Built]]+Table_Shelter[[#This Row],['# of Temporary Shelter Under  Construction]]+Table_Shelter[[#This Row],['# of Permanent House Under Construction]]),0),0)</f>
        <v>20</v>
      </c>
      <c r="R334" s="104"/>
      <c r="S334" s="164"/>
      <c r="T334" s="164" t="str">
        <f>IFERROR(VLOOKUP(Table_Shelter[[#This Row],[CampName]],CL,2,0),"")</f>
        <v>MMR001CMP003</v>
      </c>
      <c r="U334" s="164" t="str">
        <f>IFERROR(VLOOKUP(Table_Shelter[[#This Row],[CampName]],CL,3,0),"")</f>
        <v>Open</v>
      </c>
      <c r="V334" s="240">
        <f>IFERROR(Table_Shelter[[#This Row],[HH Covered]]/VLOOKUP(Table_Shelter[[#This Row],[CampName]],CL,5,0),"")</f>
        <v>0.64516129032258063</v>
      </c>
      <c r="W334" s="240" t="s">
        <v>1292</v>
      </c>
      <c r="X334" s="164"/>
    </row>
    <row r="335" spans="1:24" ht="15" customHeight="1" x14ac:dyDescent="0.25">
      <c r="A335" s="678"/>
      <c r="B335" s="162" t="s">
        <v>451</v>
      </c>
      <c r="C335" s="162"/>
      <c r="D335" s="165" t="s">
        <v>380</v>
      </c>
      <c r="E335" s="307" t="s">
        <v>310</v>
      </c>
      <c r="F335" s="162" t="s">
        <v>342</v>
      </c>
      <c r="G335" s="103">
        <v>1</v>
      </c>
      <c r="H335" s="105"/>
      <c r="I335" s="105"/>
      <c r="J335" s="105">
        <v>20</v>
      </c>
      <c r="K335" s="105">
        <v>20</v>
      </c>
      <c r="L335" s="164"/>
      <c r="M335" s="164"/>
      <c r="N335" s="164"/>
      <c r="O335" s="164"/>
      <c r="P335" s="936">
        <f>IFERROR(IF(VLOOKUP(Table_Shelter[[#This Row],[CampName]],CL,5,0)&lt;Table_Shelter[[#This Row],[HH Covered2]],VLOOKUP(Table_Shelter[[#This Row],[CampName]],CL,5,0),Table_Shelter[[#This Row],[HH Covered2]]),"")</f>
        <v>20</v>
      </c>
      <c r="Q335" s="104">
        <f>IF(Table_Shelter[[#This Row],[Status]]="Open",IF(W335="NO",Table_Shelter[[#This Row],[HH per Shelter]]*(Table_Shelter[[#This Row],['# of Temporary Shelter Units Built]]+Table_Shelter[[#This Row],['# of Temporary Shelter Under  Construction]]+Table_Shelter[[#This Row],['# of Permanent House Under Construction]]),0),0)</f>
        <v>20</v>
      </c>
      <c r="R335" s="104"/>
      <c r="S335" s="164"/>
      <c r="T335" s="164" t="str">
        <f>IFERROR(VLOOKUP(Table_Shelter[[#This Row],[CampName]],CL,2,0),"")</f>
        <v>MMR001CMP025</v>
      </c>
      <c r="U335" s="164" t="str">
        <f>IFERROR(VLOOKUP(Table_Shelter[[#This Row],[CampName]],CL,3,0),"")</f>
        <v>Open</v>
      </c>
      <c r="V335" s="240">
        <f>IFERROR(Table_Shelter[[#This Row],[HH Covered]]/VLOOKUP(Table_Shelter[[#This Row],[CampName]],CL,5,0),"")</f>
        <v>0.30769230769230771</v>
      </c>
      <c r="W335" s="240" t="s">
        <v>1292</v>
      </c>
      <c r="X335" s="164"/>
    </row>
    <row r="336" spans="1:24" ht="15" customHeight="1" x14ac:dyDescent="0.25">
      <c r="A336" s="678"/>
      <c r="B336" s="162" t="s">
        <v>451</v>
      </c>
      <c r="C336" s="162" t="s">
        <v>504</v>
      </c>
      <c r="D336" s="165" t="s">
        <v>380</v>
      </c>
      <c r="E336" s="307" t="s">
        <v>310</v>
      </c>
      <c r="F336" s="162" t="s">
        <v>338</v>
      </c>
      <c r="G336" s="103">
        <v>1</v>
      </c>
      <c r="H336" s="105"/>
      <c r="I336" s="105"/>
      <c r="J336" s="105">
        <v>23</v>
      </c>
      <c r="K336" s="105">
        <v>23</v>
      </c>
      <c r="L336" s="164"/>
      <c r="M336" s="164"/>
      <c r="N336" s="164"/>
      <c r="O336" s="164"/>
      <c r="P336" s="936">
        <f>IFERROR(IF(VLOOKUP(Table_Shelter[[#This Row],[CampName]],CL,5,0)&lt;Table_Shelter[[#This Row],[HH Covered2]],VLOOKUP(Table_Shelter[[#This Row],[CampName]],CL,5,0),Table_Shelter[[#This Row],[HH Covered2]]),"")</f>
        <v>23</v>
      </c>
      <c r="Q336" s="104">
        <f>IF(Table_Shelter[[#This Row],[Status]]="Open",IF(W336="NO",Table_Shelter[[#This Row],[HH per Shelter]]*(Table_Shelter[[#This Row],['# of Temporary Shelter Units Built]]+Table_Shelter[[#This Row],['# of Temporary Shelter Under  Construction]]+Table_Shelter[[#This Row],['# of Permanent House Under Construction]]),0),0)</f>
        <v>23</v>
      </c>
      <c r="R336" s="104"/>
      <c r="S336" s="164"/>
      <c r="T336" s="164" t="str">
        <f>IFERROR(VLOOKUP(Table_Shelter[[#This Row],[CampName]],CL,2,0),"")</f>
        <v>MMR001CMP030</v>
      </c>
      <c r="U336" s="164" t="str">
        <f>IFERROR(VLOOKUP(Table_Shelter[[#This Row],[CampName]],CL,3,0),"")</f>
        <v>Open</v>
      </c>
      <c r="V336" s="240">
        <f>IFERROR(Table_Shelter[[#This Row],[HH Covered]]/VLOOKUP(Table_Shelter[[#This Row],[CampName]],CL,5,0),"")</f>
        <v>0.74193548387096775</v>
      </c>
      <c r="W336" s="240" t="s">
        <v>1292</v>
      </c>
      <c r="X336" s="164"/>
    </row>
    <row r="337" spans="1:24" ht="15" customHeight="1" x14ac:dyDescent="0.25">
      <c r="A337" s="678"/>
      <c r="B337" s="103" t="s">
        <v>451</v>
      </c>
      <c r="C337" s="103" t="s">
        <v>504</v>
      </c>
      <c r="D337" s="169" t="s">
        <v>380</v>
      </c>
      <c r="E337" s="170" t="s">
        <v>310</v>
      </c>
      <c r="F337" s="103" t="s">
        <v>338</v>
      </c>
      <c r="G337" s="103">
        <v>1</v>
      </c>
      <c r="H337" s="105"/>
      <c r="I337" s="105"/>
      <c r="J337" s="105">
        <v>3</v>
      </c>
      <c r="K337" s="105">
        <v>3</v>
      </c>
      <c r="L337" s="105"/>
      <c r="M337" s="105"/>
      <c r="N337" s="105"/>
      <c r="O337" s="105"/>
      <c r="P337" s="936">
        <f>IFERROR(IF(VLOOKUP(Table_Shelter[[#This Row],[CampName]],CL,5,0)&lt;Table_Shelter[[#This Row],[HH Covered2]],VLOOKUP(Table_Shelter[[#This Row],[CampName]],CL,5,0),Table_Shelter[[#This Row],[HH Covered2]]),"")</f>
        <v>3</v>
      </c>
      <c r="Q337" s="104">
        <f>IF(Table_Shelter[[#This Row],[Status]]="Open",IF(W337="NO",Table_Shelter[[#This Row],[HH per Shelter]]*(Table_Shelter[[#This Row],['# of Temporary Shelter Units Built]]+Table_Shelter[[#This Row],['# of Temporary Shelter Under  Construction]]+Table_Shelter[[#This Row],['# of Permanent House Under Construction]]),0),0)</f>
        <v>3</v>
      </c>
      <c r="R337" s="104"/>
      <c r="S337" s="104"/>
      <c r="T337" s="104" t="str">
        <f>IFERROR(VLOOKUP(Table_Shelter[[#This Row],[CampName]],CL,2,0),"")</f>
        <v>MMR001CMP030</v>
      </c>
      <c r="U337" s="104" t="str">
        <f>IFERROR(VLOOKUP(Table_Shelter[[#This Row],[CampName]],CL,3,0),"")</f>
        <v>Open</v>
      </c>
      <c r="V337" s="241">
        <f>IFERROR(Table_Shelter[[#This Row],[HH Covered]]/VLOOKUP(Table_Shelter[[#This Row],[CampName]],CL,5,0),"")</f>
        <v>9.6774193548387094E-2</v>
      </c>
      <c r="W337" s="240" t="s">
        <v>1292</v>
      </c>
      <c r="X337" s="104"/>
    </row>
    <row r="338" spans="1:24" ht="15" customHeight="1" x14ac:dyDescent="0.25">
      <c r="A338" s="678"/>
      <c r="B338" s="162" t="s">
        <v>451</v>
      </c>
      <c r="C338" s="162" t="s">
        <v>504</v>
      </c>
      <c r="D338" s="165" t="s">
        <v>380</v>
      </c>
      <c r="E338" s="307" t="s">
        <v>310</v>
      </c>
      <c r="F338" s="162" t="s">
        <v>351</v>
      </c>
      <c r="G338" s="103">
        <v>1</v>
      </c>
      <c r="H338" s="105"/>
      <c r="I338" s="105"/>
      <c r="J338" s="105">
        <v>100</v>
      </c>
      <c r="K338" s="105">
        <v>100</v>
      </c>
      <c r="L338" s="164"/>
      <c r="M338" s="164"/>
      <c r="N338" s="164"/>
      <c r="O338" s="164"/>
      <c r="P338" s="936">
        <f>IFERROR(IF(VLOOKUP(Table_Shelter[[#This Row],[CampName]],CL,5,0)&lt;Table_Shelter[[#This Row],[HH Covered2]],VLOOKUP(Table_Shelter[[#This Row],[CampName]],CL,5,0),Table_Shelter[[#This Row],[HH Covered2]]),"")</f>
        <v>92</v>
      </c>
      <c r="Q338" s="104">
        <f>IF(Table_Shelter[[#This Row],[Status]]="Open",IF(W338="NO",Table_Shelter[[#This Row],[HH per Shelter]]*(Table_Shelter[[#This Row],['# of Temporary Shelter Units Built]]+Table_Shelter[[#This Row],['# of Temporary Shelter Under  Construction]]+Table_Shelter[[#This Row],['# of Permanent House Under Construction]]),0),0)</f>
        <v>100</v>
      </c>
      <c r="R338" s="104">
        <v>15</v>
      </c>
      <c r="S338" s="164"/>
      <c r="T338" s="164" t="str">
        <f>IFERROR(VLOOKUP(Table_Shelter[[#This Row],[CampName]],CL,2,0),"")</f>
        <v>MMR001CMP026</v>
      </c>
      <c r="U338" s="164" t="str">
        <f>IFERROR(VLOOKUP(Table_Shelter[[#This Row],[CampName]],CL,3,0),"")</f>
        <v>Open</v>
      </c>
      <c r="V338" s="240">
        <f>IFERROR(Table_Shelter[[#This Row],[HH Covered]]/VLOOKUP(Table_Shelter[[#This Row],[CampName]],CL,5,0),"")</f>
        <v>1</v>
      </c>
      <c r="W338" s="240" t="s">
        <v>1292</v>
      </c>
      <c r="X338" s="164"/>
    </row>
    <row r="339" spans="1:24" ht="15" customHeight="1" x14ac:dyDescent="0.25">
      <c r="A339" s="678"/>
      <c r="B339" s="162" t="s">
        <v>861</v>
      </c>
      <c r="C339" s="162"/>
      <c r="D339" s="165" t="s">
        <v>380</v>
      </c>
      <c r="E339" s="307" t="s">
        <v>526</v>
      </c>
      <c r="F339" s="162" t="s">
        <v>118</v>
      </c>
      <c r="G339" s="103">
        <v>1</v>
      </c>
      <c r="H339" s="105">
        <v>9</v>
      </c>
      <c r="I339" s="105">
        <v>9</v>
      </c>
      <c r="J339" s="105"/>
      <c r="K339" s="105"/>
      <c r="L339" s="164"/>
      <c r="M339" s="164"/>
      <c r="N339" s="164"/>
      <c r="O339" s="164"/>
      <c r="P339" s="936">
        <f>IFERROR(IF(VLOOKUP(Table_Shelter[[#This Row],[CampName]],CL,5,0)&lt;Table_Shelter[[#This Row],[HH Covered2]],VLOOKUP(Table_Shelter[[#This Row],[CampName]],CL,5,0),Table_Shelter[[#This Row],[HH Covered2]]),"")</f>
        <v>0</v>
      </c>
      <c r="Q339" s="104">
        <f>IF(Table_Shelter[[#This Row],[Status]]="Open",IF(W339="NO",Table_Shelter[[#This Row],[HH per Shelter]]*(Table_Shelter[[#This Row],['# of Temporary Shelter Units Built]]+Table_Shelter[[#This Row],['# of Temporary Shelter Under  Construction]]+Table_Shelter[[#This Row],['# of Permanent House Under Construction]]),0),0)</f>
        <v>0</v>
      </c>
      <c r="R339" s="104"/>
      <c r="S339" s="164"/>
      <c r="T339" s="164" t="str">
        <f>IFERROR(VLOOKUP(Table_Shelter[[#This Row],[CampName]],CL,2,0),"")</f>
        <v>MMR001CMP182</v>
      </c>
      <c r="U339" s="164" t="str">
        <f>IFERROR(VLOOKUP(Table_Shelter[[#This Row],[CampName]],CL,3,0),"")</f>
        <v>Open</v>
      </c>
      <c r="V339" s="240">
        <f>IFERROR(Table_Shelter[[#This Row],[HH Covered]]/VLOOKUP(Table_Shelter[[#This Row],[CampName]],CL,5,0),"")</f>
        <v>0</v>
      </c>
      <c r="W339" s="240" t="s">
        <v>1292</v>
      </c>
      <c r="X339" s="164"/>
    </row>
    <row r="340" spans="1:24" ht="15" customHeight="1" x14ac:dyDescent="0.25">
      <c r="A340" s="678"/>
      <c r="B340" s="162" t="s">
        <v>846</v>
      </c>
      <c r="C340" s="162"/>
      <c r="D340" s="165" t="s">
        <v>380</v>
      </c>
      <c r="E340" s="307" t="s">
        <v>5</v>
      </c>
      <c r="F340" s="162" t="s">
        <v>22</v>
      </c>
      <c r="G340" s="103">
        <v>1</v>
      </c>
      <c r="H340" s="105"/>
      <c r="I340" s="105"/>
      <c r="J340" s="105">
        <v>162</v>
      </c>
      <c r="K340" s="105">
        <v>162</v>
      </c>
      <c r="L340" s="164"/>
      <c r="M340" s="164"/>
      <c r="N340" s="164"/>
      <c r="O340" s="164"/>
      <c r="P340" s="936">
        <f>IFERROR(IF(VLOOKUP(Table_Shelter[[#This Row],[CampName]],CL,5,0)&lt;Table_Shelter[[#This Row],[HH Covered2]],VLOOKUP(Table_Shelter[[#This Row],[CampName]],CL,5,0),Table_Shelter[[#This Row],[HH Covered2]]),"")</f>
        <v>162</v>
      </c>
      <c r="Q340" s="104">
        <f>IF(Table_Shelter[[#This Row],[Status]]="Open",IF(W340="NO",Table_Shelter[[#This Row],[HH per Shelter]]*(Table_Shelter[[#This Row],['# of Temporary Shelter Units Built]]+Table_Shelter[[#This Row],['# of Temporary Shelter Under  Construction]]+Table_Shelter[[#This Row],['# of Permanent House Under Construction]]),0),0)</f>
        <v>162</v>
      </c>
      <c r="R340" s="104"/>
      <c r="S340" s="164"/>
      <c r="T340" s="164" t="str">
        <f>IFERROR(VLOOKUP(Table_Shelter[[#This Row],[CampName]],CL,2,0),"")</f>
        <v>MMR001CMP047</v>
      </c>
      <c r="U340" s="164" t="str">
        <f>IFERROR(VLOOKUP(Table_Shelter[[#This Row],[CampName]],CL,3,0),"")</f>
        <v>Open</v>
      </c>
      <c r="V340" s="240">
        <f>IFERROR(Table_Shelter[[#This Row],[HH Covered]]/VLOOKUP(Table_Shelter[[#This Row],[CampName]],CL,5,0),"")</f>
        <v>0.25391849529780564</v>
      </c>
      <c r="W340" s="240" t="s">
        <v>1292</v>
      </c>
      <c r="X340" s="164"/>
    </row>
    <row r="341" spans="1:24" ht="15" customHeight="1" x14ac:dyDescent="0.25">
      <c r="A341" s="678"/>
      <c r="B341" s="162" t="s">
        <v>845</v>
      </c>
      <c r="C341" s="162"/>
      <c r="D341" s="165" t="s">
        <v>380</v>
      </c>
      <c r="E341" s="307" t="s">
        <v>5</v>
      </c>
      <c r="F341" s="162" t="s">
        <v>22</v>
      </c>
      <c r="G341" s="103">
        <v>1</v>
      </c>
      <c r="H341" s="105"/>
      <c r="I341" s="105"/>
      <c r="J341" s="105">
        <v>163</v>
      </c>
      <c r="K341" s="105">
        <v>163</v>
      </c>
      <c r="L341" s="164"/>
      <c r="M341" s="164"/>
      <c r="N341" s="164"/>
      <c r="O341" s="164"/>
      <c r="P341" s="936">
        <f>IFERROR(IF(VLOOKUP(Table_Shelter[[#This Row],[CampName]],CL,5,0)&lt;Table_Shelter[[#This Row],[HH Covered2]],VLOOKUP(Table_Shelter[[#This Row],[CampName]],CL,5,0),Table_Shelter[[#This Row],[HH Covered2]]),"")</f>
        <v>163</v>
      </c>
      <c r="Q341" s="104">
        <f>IF(Table_Shelter[[#This Row],[Status]]="Open",IF(W341="NO",Table_Shelter[[#This Row],[HH per Shelter]]*(Table_Shelter[[#This Row],['# of Temporary Shelter Units Built]]+Table_Shelter[[#This Row],['# of Temporary Shelter Under  Construction]]+Table_Shelter[[#This Row],['# of Permanent House Under Construction]]),0),0)</f>
        <v>163</v>
      </c>
      <c r="R341" s="104"/>
      <c r="S341" s="164"/>
      <c r="T341" s="164" t="str">
        <f>IFERROR(VLOOKUP(Table_Shelter[[#This Row],[CampName]],CL,2,0),"")</f>
        <v>MMR001CMP047</v>
      </c>
      <c r="U341" s="164" t="str">
        <f>IFERROR(VLOOKUP(Table_Shelter[[#This Row],[CampName]],CL,3,0),"")</f>
        <v>Open</v>
      </c>
      <c r="V341" s="240">
        <f>IFERROR(Table_Shelter[[#This Row],[HH Covered]]/VLOOKUP(Table_Shelter[[#This Row],[CampName]],CL,5,0),"")</f>
        <v>0.2554858934169279</v>
      </c>
      <c r="W341" s="240" t="s">
        <v>1292</v>
      </c>
      <c r="X341" s="164"/>
    </row>
    <row r="342" spans="1:24" ht="15" customHeight="1" x14ac:dyDescent="0.25">
      <c r="A342" s="678"/>
      <c r="B342" s="162" t="s">
        <v>451</v>
      </c>
      <c r="C342" s="162"/>
      <c r="D342" s="165" t="s">
        <v>380</v>
      </c>
      <c r="E342" s="307" t="s">
        <v>5</v>
      </c>
      <c r="F342" s="162" t="s">
        <v>22</v>
      </c>
      <c r="G342" s="103">
        <v>1</v>
      </c>
      <c r="H342" s="105"/>
      <c r="I342" s="105"/>
      <c r="J342" s="105">
        <v>70</v>
      </c>
      <c r="K342" s="105">
        <v>70</v>
      </c>
      <c r="L342" s="164"/>
      <c r="M342" s="164"/>
      <c r="N342" s="164"/>
      <c r="O342" s="164"/>
      <c r="P342" s="936">
        <f>IFERROR(IF(VLOOKUP(Table_Shelter[[#This Row],[CampName]],CL,5,0)&lt;Table_Shelter[[#This Row],[HH Covered2]],VLOOKUP(Table_Shelter[[#This Row],[CampName]],CL,5,0),Table_Shelter[[#This Row],[HH Covered2]]),"")</f>
        <v>70</v>
      </c>
      <c r="Q342" s="104">
        <f>IF(Table_Shelter[[#This Row],[Status]]="Open",IF(W342="NO",Table_Shelter[[#This Row],[HH per Shelter]]*(Table_Shelter[[#This Row],['# of Temporary Shelter Units Built]]+Table_Shelter[[#This Row],['# of Temporary Shelter Under  Construction]]+Table_Shelter[[#This Row],['# of Permanent House Under Construction]]),0),0)</f>
        <v>70</v>
      </c>
      <c r="R342" s="104"/>
      <c r="S342" s="164"/>
      <c r="T342" s="164" t="str">
        <f>IFERROR(VLOOKUP(Table_Shelter[[#This Row],[CampName]],CL,2,0),"")</f>
        <v>MMR001CMP047</v>
      </c>
      <c r="U342" s="164" t="str">
        <f>IFERROR(VLOOKUP(Table_Shelter[[#This Row],[CampName]],CL,3,0),"")</f>
        <v>Open</v>
      </c>
      <c r="V342" s="240">
        <f>IFERROR(Table_Shelter[[#This Row],[HH Covered]]/VLOOKUP(Table_Shelter[[#This Row],[CampName]],CL,5,0),"")</f>
        <v>0.109717868338558</v>
      </c>
      <c r="W342" s="240" t="s">
        <v>1292</v>
      </c>
      <c r="X342" s="164"/>
    </row>
    <row r="343" spans="1:24" ht="15" customHeight="1" x14ac:dyDescent="0.25">
      <c r="A343" s="678"/>
      <c r="B343" s="162" t="s">
        <v>861</v>
      </c>
      <c r="C343" s="162"/>
      <c r="D343" s="165" t="s">
        <v>380</v>
      </c>
      <c r="E343" s="307" t="s">
        <v>237</v>
      </c>
      <c r="F343" s="162" t="s">
        <v>897</v>
      </c>
      <c r="G343" s="103">
        <v>1</v>
      </c>
      <c r="H343" s="105">
        <v>1</v>
      </c>
      <c r="I343" s="105">
        <v>1</v>
      </c>
      <c r="J343" s="105"/>
      <c r="K343" s="105"/>
      <c r="L343" s="164"/>
      <c r="M343" s="164"/>
      <c r="N343" s="164"/>
      <c r="O343" s="164"/>
      <c r="P343" s="936" t="str">
        <f>IFERROR(IF(VLOOKUP(Table_Shelter[[#This Row],[CampName]],CL,5,0)&lt;Table_Shelter[[#This Row],[HH Covered2]],VLOOKUP(Table_Shelter[[#This Row],[CampName]],CL,5,0),Table_Shelter[[#This Row],[HH Covered2]]),"")</f>
        <v/>
      </c>
      <c r="Q343" s="104">
        <f>IF(Table_Shelter[[#This Row],[Status]]="Open",IF(W343="NO",Table_Shelter[[#This Row],[HH per Shelter]]*(Table_Shelter[[#This Row],['# of Temporary Shelter Units Built]]+Table_Shelter[[#This Row],['# of Temporary Shelter Under  Construction]]+Table_Shelter[[#This Row],['# of Permanent House Under Construction]]),0),0)</f>
        <v>0</v>
      </c>
      <c r="R343" s="104"/>
      <c r="S343" s="164"/>
      <c r="T343" s="164" t="str">
        <f>IFERROR(VLOOKUP(Table_Shelter[[#This Row],[CampName]],CL,2,0),"")</f>
        <v/>
      </c>
      <c r="U343" s="164" t="str">
        <f>IFERROR(VLOOKUP(Table_Shelter[[#This Row],[CampName]],CL,3,0),"")</f>
        <v/>
      </c>
      <c r="V343" s="240" t="str">
        <f>IFERROR(Table_Shelter[[#This Row],[HH Covered]]/VLOOKUP(Table_Shelter[[#This Row],[CampName]],CL,5,0),"")</f>
        <v/>
      </c>
      <c r="W343" s="240" t="s">
        <v>1292</v>
      </c>
      <c r="X343" s="164"/>
    </row>
    <row r="344" spans="1:24" ht="15" customHeight="1" x14ac:dyDescent="0.25">
      <c r="A344" s="678"/>
      <c r="B344" s="162" t="s">
        <v>861</v>
      </c>
      <c r="C344" s="162"/>
      <c r="D344" s="165" t="s">
        <v>380</v>
      </c>
      <c r="E344" s="307" t="s">
        <v>526</v>
      </c>
      <c r="F344" s="162" t="s">
        <v>124</v>
      </c>
      <c r="G344" s="103">
        <v>1</v>
      </c>
      <c r="H344" s="105">
        <v>7</v>
      </c>
      <c r="I344" s="105">
        <v>7</v>
      </c>
      <c r="J344" s="105"/>
      <c r="K344" s="105"/>
      <c r="L344" s="164"/>
      <c r="M344" s="164"/>
      <c r="N344" s="164"/>
      <c r="O344" s="164"/>
      <c r="P344" s="936">
        <f>IFERROR(IF(VLOOKUP(Table_Shelter[[#This Row],[CampName]],CL,5,0)&lt;Table_Shelter[[#This Row],[HH Covered2]],VLOOKUP(Table_Shelter[[#This Row],[CampName]],CL,5,0),Table_Shelter[[#This Row],[HH Covered2]]),"")</f>
        <v>0</v>
      </c>
      <c r="Q344" s="104">
        <f>IF(Table_Shelter[[#This Row],[Status]]="Open",IF(W344="NO",Table_Shelter[[#This Row],[HH per Shelter]]*(Table_Shelter[[#This Row],['# of Temporary Shelter Units Built]]+Table_Shelter[[#This Row],['# of Temporary Shelter Under  Construction]]+Table_Shelter[[#This Row],['# of Permanent House Under Construction]]),0),0)</f>
        <v>0</v>
      </c>
      <c r="R344" s="104"/>
      <c r="S344" s="164"/>
      <c r="T344" s="164" t="str">
        <f>IFERROR(VLOOKUP(Table_Shelter[[#This Row],[CampName]],CL,2,0),"")</f>
        <v>MMR001CMP183</v>
      </c>
      <c r="U344" s="164" t="str">
        <f>IFERROR(VLOOKUP(Table_Shelter[[#This Row],[CampName]],CL,3,0),"")</f>
        <v>Open</v>
      </c>
      <c r="V344" s="240">
        <f>IFERROR(Table_Shelter[[#This Row],[HH Covered]]/VLOOKUP(Table_Shelter[[#This Row],[CampName]],CL,5,0),"")</f>
        <v>0</v>
      </c>
      <c r="W344" s="240" t="s">
        <v>1292</v>
      </c>
      <c r="X344" s="164"/>
    </row>
    <row r="345" spans="1:24" ht="15" customHeight="1" x14ac:dyDescent="0.25">
      <c r="A345" s="678"/>
      <c r="B345" s="162" t="s">
        <v>451</v>
      </c>
      <c r="C345" s="162"/>
      <c r="D345" s="165" t="s">
        <v>380</v>
      </c>
      <c r="E345" s="307" t="s">
        <v>185</v>
      </c>
      <c r="F345" s="162" t="s">
        <v>225</v>
      </c>
      <c r="G345" s="103">
        <v>1</v>
      </c>
      <c r="H345" s="105"/>
      <c r="I345" s="105"/>
      <c r="J345" s="105">
        <v>40</v>
      </c>
      <c r="K345" s="105">
        <v>40</v>
      </c>
      <c r="L345" s="164"/>
      <c r="M345" s="164"/>
      <c r="N345" s="164"/>
      <c r="O345" s="164"/>
      <c r="P345" s="936">
        <f>IFERROR(IF(VLOOKUP(Table_Shelter[[#This Row],[CampName]],CL,5,0)&lt;Table_Shelter[[#This Row],[HH Covered2]],VLOOKUP(Table_Shelter[[#This Row],[CampName]],CL,5,0),Table_Shelter[[#This Row],[HH Covered2]]),"")</f>
        <v>40</v>
      </c>
      <c r="Q345" s="104">
        <f>IF(Table_Shelter[[#This Row],[Status]]="Open",IF(W345="NO",Table_Shelter[[#This Row],[HH per Shelter]]*(Table_Shelter[[#This Row],['# of Temporary Shelter Units Built]]+Table_Shelter[[#This Row],['# of Temporary Shelter Under  Construction]]+Table_Shelter[[#This Row],['# of Permanent House Under Construction]]),0),0)</f>
        <v>40</v>
      </c>
      <c r="R345" s="104"/>
      <c r="S345" s="164"/>
      <c r="T345" s="164" t="str">
        <f>IFERROR(VLOOKUP(Table_Shelter[[#This Row],[CampName]],CL,2,0),"")</f>
        <v>MMR001CMP073</v>
      </c>
      <c r="U345" s="164" t="str">
        <f>IFERROR(VLOOKUP(Table_Shelter[[#This Row],[CampName]],CL,3,0),"")</f>
        <v>Open</v>
      </c>
      <c r="V345" s="240">
        <f>IFERROR(Table_Shelter[[#This Row],[HH Covered]]/VLOOKUP(Table_Shelter[[#This Row],[CampName]],CL,5,0),"")</f>
        <v>0.97560975609756095</v>
      </c>
      <c r="W345" s="240" t="s">
        <v>1292</v>
      </c>
      <c r="X345" s="164"/>
    </row>
    <row r="346" spans="1:24" ht="15" customHeight="1" x14ac:dyDescent="0.25">
      <c r="A346" s="678"/>
      <c r="B346" s="162" t="s">
        <v>846</v>
      </c>
      <c r="C346" s="162" t="s">
        <v>504</v>
      </c>
      <c r="D346" s="165" t="s">
        <v>380</v>
      </c>
      <c r="E346" s="307" t="s">
        <v>237</v>
      </c>
      <c r="F346" s="162" t="s">
        <v>277</v>
      </c>
      <c r="G346" s="103">
        <v>1</v>
      </c>
      <c r="H346" s="105"/>
      <c r="I346" s="105"/>
      <c r="J346" s="105">
        <v>14</v>
      </c>
      <c r="K346" s="105">
        <v>14</v>
      </c>
      <c r="L346" s="164"/>
      <c r="M346" s="164"/>
      <c r="N346" s="164"/>
      <c r="O346" s="164"/>
      <c r="P346" s="936">
        <f>IFERROR(IF(VLOOKUP(Table_Shelter[[#This Row],[CampName]],CL,5,0)&lt;Table_Shelter[[#This Row],[HH Covered2]],VLOOKUP(Table_Shelter[[#This Row],[CampName]],CL,5,0),Table_Shelter[[#This Row],[HH Covered2]]),"")</f>
        <v>14</v>
      </c>
      <c r="Q346" s="104">
        <f>IF(Table_Shelter[[#This Row],[Status]]="Open",IF(W346="NO",Table_Shelter[[#This Row],[HH per Shelter]]*(Table_Shelter[[#This Row],['# of Temporary Shelter Units Built]]+Table_Shelter[[#This Row],['# of Temporary Shelter Under  Construction]]+Table_Shelter[[#This Row],['# of Permanent House Under Construction]]),0),0)</f>
        <v>14</v>
      </c>
      <c r="R346" s="104"/>
      <c r="S346" s="164"/>
      <c r="T346" s="164" t="str">
        <f>IFERROR(VLOOKUP(Table_Shelter[[#This Row],[CampName]],CL,2,0),"")</f>
        <v>MMR001CMP006</v>
      </c>
      <c r="U346" s="164" t="str">
        <f>IFERROR(VLOOKUP(Table_Shelter[[#This Row],[CampName]],CL,3,0),"")</f>
        <v>Open</v>
      </c>
      <c r="V346" s="240">
        <f>IFERROR(Table_Shelter[[#This Row],[HH Covered]]/VLOOKUP(Table_Shelter[[#This Row],[CampName]],CL,5,0),"")</f>
        <v>0.11864406779661017</v>
      </c>
      <c r="W346" s="240" t="s">
        <v>1292</v>
      </c>
      <c r="X346" s="164"/>
    </row>
    <row r="347" spans="1:24" ht="15" customHeight="1" x14ac:dyDescent="0.25">
      <c r="A347" s="678"/>
      <c r="B347" s="162" t="s">
        <v>846</v>
      </c>
      <c r="C347" s="162" t="s">
        <v>459</v>
      </c>
      <c r="D347" s="165" t="s">
        <v>380</v>
      </c>
      <c r="E347" s="307" t="s">
        <v>237</v>
      </c>
      <c r="F347" s="162" t="s">
        <v>275</v>
      </c>
      <c r="G347" s="103">
        <v>1</v>
      </c>
      <c r="H347" s="105"/>
      <c r="I347" s="105"/>
      <c r="J347" s="105">
        <v>14</v>
      </c>
      <c r="K347" s="105">
        <v>14</v>
      </c>
      <c r="L347" s="164"/>
      <c r="M347" s="164"/>
      <c r="N347" s="164"/>
      <c r="O347" s="164"/>
      <c r="P347" s="936">
        <f>IFERROR(IF(VLOOKUP(Table_Shelter[[#This Row],[CampName]],CL,5,0)&lt;Table_Shelter[[#This Row],[HH Covered2]],VLOOKUP(Table_Shelter[[#This Row],[CampName]],CL,5,0),Table_Shelter[[#This Row],[HH Covered2]]),"")</f>
        <v>14</v>
      </c>
      <c r="Q347" s="104">
        <f>IF(Table_Shelter[[#This Row],[Status]]="Open",IF(W347="NO",Table_Shelter[[#This Row],[HH per Shelter]]*(Table_Shelter[[#This Row],['# of Temporary Shelter Units Built]]+Table_Shelter[[#This Row],['# of Temporary Shelter Under  Construction]]+Table_Shelter[[#This Row],['# of Permanent House Under Construction]]),0),0)</f>
        <v>14</v>
      </c>
      <c r="R347" s="104"/>
      <c r="S347" s="164"/>
      <c r="T347" s="164" t="str">
        <f>IFERROR(VLOOKUP(Table_Shelter[[#This Row],[CampName]],CL,2,0),"")</f>
        <v>MMR001CMP005</v>
      </c>
      <c r="U347" s="164" t="str">
        <f>IFERROR(VLOOKUP(Table_Shelter[[#This Row],[CampName]],CL,3,0),"")</f>
        <v>Open</v>
      </c>
      <c r="V347" s="240">
        <f>IFERROR(Table_Shelter[[#This Row],[HH Covered]]/VLOOKUP(Table_Shelter[[#This Row],[CampName]],CL,5,0),"")</f>
        <v>0.30434782608695654</v>
      </c>
      <c r="W347" s="240" t="s">
        <v>1292</v>
      </c>
      <c r="X347" s="164"/>
    </row>
    <row r="348" spans="1:24" ht="15" customHeight="1" x14ac:dyDescent="0.25">
      <c r="A348" s="678"/>
      <c r="B348" s="162" t="s">
        <v>451</v>
      </c>
      <c r="C348" s="162"/>
      <c r="D348" s="165" t="s">
        <v>380</v>
      </c>
      <c r="E348" s="307" t="s">
        <v>237</v>
      </c>
      <c r="F348" s="162" t="s">
        <v>277</v>
      </c>
      <c r="G348" s="103">
        <v>1</v>
      </c>
      <c r="H348" s="105"/>
      <c r="I348" s="105"/>
      <c r="J348" s="105">
        <v>40</v>
      </c>
      <c r="K348" s="105">
        <v>40</v>
      </c>
      <c r="L348" s="164"/>
      <c r="M348" s="164"/>
      <c r="N348" s="164"/>
      <c r="O348" s="164"/>
      <c r="P348" s="936">
        <f>IFERROR(IF(VLOOKUP(Table_Shelter[[#This Row],[CampName]],CL,5,0)&lt;Table_Shelter[[#This Row],[HH Covered2]],VLOOKUP(Table_Shelter[[#This Row],[CampName]],CL,5,0),Table_Shelter[[#This Row],[HH Covered2]]),"")</f>
        <v>40</v>
      </c>
      <c r="Q348" s="104">
        <f>IF(Table_Shelter[[#This Row],[Status]]="Open",IF(W348="NO",Table_Shelter[[#This Row],[HH per Shelter]]*(Table_Shelter[[#This Row],['# of Temporary Shelter Units Built]]+Table_Shelter[[#This Row],['# of Temporary Shelter Under  Construction]]+Table_Shelter[[#This Row],['# of Permanent House Under Construction]]),0),0)</f>
        <v>40</v>
      </c>
      <c r="R348" s="104"/>
      <c r="S348" s="164"/>
      <c r="T348" s="164" t="str">
        <f>IFERROR(VLOOKUP(Table_Shelter[[#This Row],[CampName]],CL,2,0),"")</f>
        <v>MMR001CMP006</v>
      </c>
      <c r="U348" s="164" t="str">
        <f>IFERROR(VLOOKUP(Table_Shelter[[#This Row],[CampName]],CL,3,0),"")</f>
        <v>Open</v>
      </c>
      <c r="V348" s="240">
        <f>IFERROR(Table_Shelter[[#This Row],[HH Covered]]/VLOOKUP(Table_Shelter[[#This Row],[CampName]],CL,5,0),"")</f>
        <v>0.33898305084745761</v>
      </c>
      <c r="W348" s="240" t="s">
        <v>1292</v>
      </c>
      <c r="X348" s="164"/>
    </row>
    <row r="349" spans="1:24" ht="15" customHeight="1" x14ac:dyDescent="0.25">
      <c r="A349" s="678"/>
      <c r="B349" s="162" t="s">
        <v>451</v>
      </c>
      <c r="C349" s="162" t="s">
        <v>459</v>
      </c>
      <c r="D349" s="165" t="s">
        <v>380</v>
      </c>
      <c r="E349" s="307" t="s">
        <v>237</v>
      </c>
      <c r="F349" s="162" t="s">
        <v>275</v>
      </c>
      <c r="G349" s="103">
        <v>1</v>
      </c>
      <c r="H349" s="105"/>
      <c r="I349" s="105"/>
      <c r="J349" s="105">
        <v>10</v>
      </c>
      <c r="K349" s="105">
        <v>10</v>
      </c>
      <c r="L349" s="164"/>
      <c r="M349" s="164"/>
      <c r="N349" s="164"/>
      <c r="O349" s="164"/>
      <c r="P349" s="936">
        <f>IFERROR(IF(VLOOKUP(Table_Shelter[[#This Row],[CampName]],CL,5,0)&lt;Table_Shelter[[#This Row],[HH Covered2]],VLOOKUP(Table_Shelter[[#This Row],[CampName]],CL,5,0),Table_Shelter[[#This Row],[HH Covered2]]),"")</f>
        <v>10</v>
      </c>
      <c r="Q349" s="104">
        <f>IF(Table_Shelter[[#This Row],[Status]]="Open",IF(W349="NO",Table_Shelter[[#This Row],[HH per Shelter]]*(Table_Shelter[[#This Row],['# of Temporary Shelter Units Built]]+Table_Shelter[[#This Row],['# of Temporary Shelter Under  Construction]]+Table_Shelter[[#This Row],['# of Permanent House Under Construction]]),0),0)</f>
        <v>10</v>
      </c>
      <c r="R349" s="104"/>
      <c r="S349" s="164"/>
      <c r="T349" s="164" t="str">
        <f>IFERROR(VLOOKUP(Table_Shelter[[#This Row],[CampName]],CL,2,0),"")</f>
        <v>MMR001CMP005</v>
      </c>
      <c r="U349" s="164" t="str">
        <f>IFERROR(VLOOKUP(Table_Shelter[[#This Row],[CampName]],CL,3,0),"")</f>
        <v>Open</v>
      </c>
      <c r="V349" s="240">
        <f>IFERROR(Table_Shelter[[#This Row],[HH Covered]]/VLOOKUP(Table_Shelter[[#This Row],[CampName]],CL,5,0),"")</f>
        <v>0.21739130434782608</v>
      </c>
      <c r="W349" s="240" t="s">
        <v>1292</v>
      </c>
      <c r="X349" s="164"/>
    </row>
    <row r="350" spans="1:24" ht="15" customHeight="1" x14ac:dyDescent="0.25">
      <c r="A350" s="678"/>
      <c r="B350" s="162" t="s">
        <v>845</v>
      </c>
      <c r="C350" s="162"/>
      <c r="D350" s="165" t="s">
        <v>380</v>
      </c>
      <c r="E350" s="307" t="s">
        <v>302</v>
      </c>
      <c r="F350" s="162" t="s">
        <v>306</v>
      </c>
      <c r="G350" s="103">
        <v>1</v>
      </c>
      <c r="H350" s="105"/>
      <c r="I350" s="105"/>
      <c r="J350" s="105">
        <v>42</v>
      </c>
      <c r="K350" s="105">
        <v>42</v>
      </c>
      <c r="L350" s="164"/>
      <c r="M350" s="164"/>
      <c r="N350" s="164"/>
      <c r="O350" s="164"/>
      <c r="P350" s="936">
        <f>IFERROR(IF(VLOOKUP(Table_Shelter[[#This Row],[CampName]],CL,5,0)&lt;Table_Shelter[[#This Row],[HH Covered2]],VLOOKUP(Table_Shelter[[#This Row],[CampName]],CL,5,0),Table_Shelter[[#This Row],[HH Covered2]]),"")</f>
        <v>42</v>
      </c>
      <c r="Q350" s="104">
        <f>IF(Table_Shelter[[#This Row],[Status]]="Open",IF(W350="NO",Table_Shelter[[#This Row],[HH per Shelter]]*(Table_Shelter[[#This Row],['# of Temporary Shelter Units Built]]+Table_Shelter[[#This Row],['# of Temporary Shelter Under  Construction]]+Table_Shelter[[#This Row],['# of Permanent House Under Construction]]),0),0)</f>
        <v>42</v>
      </c>
      <c r="R350" s="104"/>
      <c r="S350" s="164"/>
      <c r="T350" s="164" t="str">
        <f>IFERROR(VLOOKUP(Table_Shelter[[#This Row],[CampName]],CL,2,0),"")</f>
        <v>MMR001CMP067</v>
      </c>
      <c r="U350" s="164" t="str">
        <f>IFERROR(VLOOKUP(Table_Shelter[[#This Row],[CampName]],CL,3,0),"")</f>
        <v>Open</v>
      </c>
      <c r="V350" s="240">
        <f>IFERROR(Table_Shelter[[#This Row],[HH Covered]]/VLOOKUP(Table_Shelter[[#This Row],[CampName]],CL,5,0),"")</f>
        <v>0.48837209302325579</v>
      </c>
      <c r="W350" s="240" t="s">
        <v>1292</v>
      </c>
      <c r="X350" s="164"/>
    </row>
    <row r="351" spans="1:24" ht="15" customHeight="1" x14ac:dyDescent="0.25">
      <c r="A351" s="678"/>
      <c r="B351" s="162" t="s">
        <v>591</v>
      </c>
      <c r="C351" s="162" t="s">
        <v>458</v>
      </c>
      <c r="D351" s="165" t="s">
        <v>380</v>
      </c>
      <c r="E351" s="307" t="s">
        <v>302</v>
      </c>
      <c r="F351" s="162" t="s">
        <v>308</v>
      </c>
      <c r="G351" s="103">
        <v>1</v>
      </c>
      <c r="H351" s="105"/>
      <c r="I351" s="105"/>
      <c r="J351" s="105">
        <v>36</v>
      </c>
      <c r="K351" s="105">
        <v>36</v>
      </c>
      <c r="L351" s="164"/>
      <c r="M351" s="164"/>
      <c r="N351" s="164"/>
      <c r="O351" s="164"/>
      <c r="P351" s="936">
        <f>IFERROR(IF(VLOOKUP(Table_Shelter[[#This Row],[CampName]],CL,5,0)&lt;Table_Shelter[[#This Row],[HH Covered2]],VLOOKUP(Table_Shelter[[#This Row],[CampName]],CL,5,0),Table_Shelter[[#This Row],[HH Covered2]]),"")</f>
        <v>36</v>
      </c>
      <c r="Q351" s="104">
        <f>IF(Table_Shelter[[#This Row],[Status]]="Open",IF(W351="NO",Table_Shelter[[#This Row],[HH per Shelter]]*(Table_Shelter[[#This Row],['# of Temporary Shelter Units Built]]+Table_Shelter[[#This Row],['# of Temporary Shelter Under  Construction]]+Table_Shelter[[#This Row],['# of Permanent House Under Construction]]),0),0)</f>
        <v>36</v>
      </c>
      <c r="R351" s="104"/>
      <c r="S351" s="164"/>
      <c r="T351" s="164" t="str">
        <f>IFERROR(VLOOKUP(Table_Shelter[[#This Row],[CampName]],CL,2,0),"")</f>
        <v>MMR001CMP068</v>
      </c>
      <c r="U351" s="164" t="str">
        <f>IFERROR(VLOOKUP(Table_Shelter[[#This Row],[CampName]],CL,3,0),"")</f>
        <v>Open</v>
      </c>
      <c r="V351" s="240">
        <f>IFERROR(Table_Shelter[[#This Row],[HH Covered]]/VLOOKUP(Table_Shelter[[#This Row],[CampName]],CL,5,0),"")</f>
        <v>0.83720930232558144</v>
      </c>
      <c r="W351" s="240" t="s">
        <v>1292</v>
      </c>
      <c r="X351" s="164"/>
    </row>
    <row r="352" spans="1:24" ht="15" customHeight="1" x14ac:dyDescent="0.25">
      <c r="A352" s="678"/>
      <c r="B352" s="162" t="s">
        <v>451</v>
      </c>
      <c r="C352" s="162" t="s">
        <v>458</v>
      </c>
      <c r="D352" s="165" t="s">
        <v>380</v>
      </c>
      <c r="E352" s="307" t="s">
        <v>302</v>
      </c>
      <c r="F352" s="162" t="s">
        <v>308</v>
      </c>
      <c r="G352" s="103">
        <v>1</v>
      </c>
      <c r="H352" s="105"/>
      <c r="I352" s="105"/>
      <c r="J352" s="105">
        <v>10</v>
      </c>
      <c r="K352" s="105">
        <v>10</v>
      </c>
      <c r="L352" s="164"/>
      <c r="M352" s="164"/>
      <c r="N352" s="164"/>
      <c r="O352" s="164"/>
      <c r="P352" s="936">
        <f>IFERROR(IF(VLOOKUP(Table_Shelter[[#This Row],[CampName]],CL,5,0)&lt;Table_Shelter[[#This Row],[HH Covered2]],VLOOKUP(Table_Shelter[[#This Row],[CampName]],CL,5,0),Table_Shelter[[#This Row],[HH Covered2]]),"")</f>
        <v>10</v>
      </c>
      <c r="Q352" s="104">
        <f>IF(Table_Shelter[[#This Row],[Status]]="Open",IF(W352="NO",Table_Shelter[[#This Row],[HH per Shelter]]*(Table_Shelter[[#This Row],['# of Temporary Shelter Units Built]]+Table_Shelter[[#This Row],['# of Temporary Shelter Under  Construction]]+Table_Shelter[[#This Row],['# of Permanent House Under Construction]]),0),0)</f>
        <v>10</v>
      </c>
      <c r="R352" s="104"/>
      <c r="S352" s="164"/>
      <c r="T352" s="164" t="str">
        <f>IFERROR(VLOOKUP(Table_Shelter[[#This Row],[CampName]],CL,2,0),"")</f>
        <v>MMR001CMP068</v>
      </c>
      <c r="U352" s="164" t="str">
        <f>IFERROR(VLOOKUP(Table_Shelter[[#This Row],[CampName]],CL,3,0),"")</f>
        <v>Open</v>
      </c>
      <c r="V352" s="240">
        <f>IFERROR(Table_Shelter[[#This Row],[HH Covered]]/VLOOKUP(Table_Shelter[[#This Row],[CampName]],CL,5,0),"")</f>
        <v>0.23255813953488372</v>
      </c>
      <c r="W352" s="240" t="s">
        <v>1292</v>
      </c>
      <c r="X352" s="164"/>
    </row>
    <row r="353" spans="1:24" ht="15" customHeight="1" x14ac:dyDescent="0.25">
      <c r="A353" s="678"/>
      <c r="B353" s="162" t="s">
        <v>451</v>
      </c>
      <c r="C353" s="162" t="s">
        <v>459</v>
      </c>
      <c r="D353" s="169" t="s">
        <v>380</v>
      </c>
      <c r="E353" s="170" t="s">
        <v>237</v>
      </c>
      <c r="F353" s="103" t="s">
        <v>275</v>
      </c>
      <c r="G353" s="103">
        <v>1</v>
      </c>
      <c r="H353" s="105"/>
      <c r="I353" s="105"/>
      <c r="J353" s="105">
        <v>8</v>
      </c>
      <c r="K353" s="105">
        <v>8</v>
      </c>
      <c r="L353" s="105"/>
      <c r="M353" s="105"/>
      <c r="N353" s="105"/>
      <c r="O353" s="105"/>
      <c r="P353" s="936">
        <f>IFERROR(IF(VLOOKUP(Table_Shelter[[#This Row],[CampName]],CL,5,0)&lt;Table_Shelter[[#This Row],[HH Covered2]],VLOOKUP(Table_Shelter[[#This Row],[CampName]],CL,5,0),Table_Shelter[[#This Row],[HH Covered2]]),"")</f>
        <v>8</v>
      </c>
      <c r="Q353" s="104">
        <f>IF(Table_Shelter[[#This Row],[Status]]="Open",IF(W353="NO",Table_Shelter[[#This Row],[HH per Shelter]]*(Table_Shelter[[#This Row],['# of Temporary Shelter Units Built]]+Table_Shelter[[#This Row],['# of Temporary Shelter Under  Construction]]+Table_Shelter[[#This Row],['# of Permanent House Under Construction]]),0),0)</f>
        <v>8</v>
      </c>
      <c r="R353" s="104"/>
      <c r="S353" s="104"/>
      <c r="T353" s="104" t="str">
        <f>IFERROR(VLOOKUP(Table_Shelter[[#This Row],[CampName]],CL,2,0),"")</f>
        <v>MMR001CMP005</v>
      </c>
      <c r="U353" s="104" t="str">
        <f>IFERROR(VLOOKUP(Table_Shelter[[#This Row],[CampName]],CL,3,0),"")</f>
        <v>Open</v>
      </c>
      <c r="V353" s="241">
        <f>IFERROR(Table_Shelter[[#This Row],[HH Covered]]/VLOOKUP(Table_Shelter[[#This Row],[CampName]],CL,5,0),"")</f>
        <v>0.17391304347826086</v>
      </c>
      <c r="W353" s="240" t="s">
        <v>1292</v>
      </c>
      <c r="X353" s="104"/>
    </row>
    <row r="354" spans="1:24" ht="15" customHeight="1" x14ac:dyDescent="0.25">
      <c r="A354" s="678"/>
      <c r="B354" s="162" t="s">
        <v>591</v>
      </c>
      <c r="C354" s="162" t="s">
        <v>505</v>
      </c>
      <c r="D354" s="165" t="s">
        <v>380</v>
      </c>
      <c r="E354" s="307" t="s">
        <v>180</v>
      </c>
      <c r="F354" s="162" t="s">
        <v>181</v>
      </c>
      <c r="G354" s="103">
        <v>1</v>
      </c>
      <c r="H354" s="105"/>
      <c r="I354" s="105"/>
      <c r="J354" s="105">
        <v>12</v>
      </c>
      <c r="K354" s="105">
        <v>12</v>
      </c>
      <c r="L354" s="164"/>
      <c r="M354" s="164"/>
      <c r="N354" s="164"/>
      <c r="O354" s="164"/>
      <c r="P354" s="936">
        <f>IFERROR(IF(VLOOKUP(Table_Shelter[[#This Row],[CampName]],CL,5,0)&lt;Table_Shelter[[#This Row],[HH Covered2]],VLOOKUP(Table_Shelter[[#This Row],[CampName]],CL,5,0),Table_Shelter[[#This Row],[HH Covered2]]),"")</f>
        <v>11</v>
      </c>
      <c r="Q354" s="104">
        <f>IF(Table_Shelter[[#This Row],[Status]]="Open",IF(W354="NO",Table_Shelter[[#This Row],[HH per Shelter]]*(Table_Shelter[[#This Row],['# of Temporary Shelter Units Built]]+Table_Shelter[[#This Row],['# of Temporary Shelter Under  Construction]]+Table_Shelter[[#This Row],['# of Permanent House Under Construction]]),0),0)</f>
        <v>12</v>
      </c>
      <c r="R354" s="104"/>
      <c r="S354" s="164"/>
      <c r="T354" s="164" t="str">
        <f>IFERROR(VLOOKUP(Table_Shelter[[#This Row],[CampName]],CL,2,0),"")</f>
        <v>MMR001CMP080</v>
      </c>
      <c r="U354" s="164" t="str">
        <f>IFERROR(VLOOKUP(Table_Shelter[[#This Row],[CampName]],CL,3,0),"")</f>
        <v>Open</v>
      </c>
      <c r="V354" s="240">
        <f>IFERROR(Table_Shelter[[#This Row],[HH Covered]]/VLOOKUP(Table_Shelter[[#This Row],[CampName]],CL,5,0),"")</f>
        <v>1</v>
      </c>
      <c r="W354" s="240" t="s">
        <v>1292</v>
      </c>
      <c r="X354" s="164"/>
    </row>
    <row r="355" spans="1:24" ht="15" customHeight="1" x14ac:dyDescent="0.25">
      <c r="A355" s="678"/>
      <c r="B355" s="162" t="s">
        <v>451</v>
      </c>
      <c r="C355" s="162"/>
      <c r="D355" s="165" t="s">
        <v>380</v>
      </c>
      <c r="E355" s="307" t="s">
        <v>5</v>
      </c>
      <c r="F355" s="162" t="s">
        <v>24</v>
      </c>
      <c r="G355" s="103">
        <v>1</v>
      </c>
      <c r="H355" s="105"/>
      <c r="I355" s="105"/>
      <c r="J355" s="105">
        <v>40</v>
      </c>
      <c r="K355" s="105">
        <v>40</v>
      </c>
      <c r="L355" s="164"/>
      <c r="M355" s="164"/>
      <c r="N355" s="164"/>
      <c r="O355" s="164"/>
      <c r="P355" s="936">
        <f>IFERROR(IF(VLOOKUP(Table_Shelter[[#This Row],[CampName]],CL,5,0)&lt;Table_Shelter[[#This Row],[HH Covered2]],VLOOKUP(Table_Shelter[[#This Row],[CampName]],CL,5,0),Table_Shelter[[#This Row],[HH Covered2]]),"")</f>
        <v>20</v>
      </c>
      <c r="Q355" s="104">
        <f>IF(Table_Shelter[[#This Row],[Status]]="Open",IF(W355="NO",Table_Shelter[[#This Row],[HH per Shelter]]*(Table_Shelter[[#This Row],['# of Temporary Shelter Units Built]]+Table_Shelter[[#This Row],['# of Temporary Shelter Under  Construction]]+Table_Shelter[[#This Row],['# of Permanent House Under Construction]]),0),0)</f>
        <v>40</v>
      </c>
      <c r="R355" s="104"/>
      <c r="S355" s="164"/>
      <c r="T355" s="164" t="str">
        <f>IFERROR(VLOOKUP(Table_Shelter[[#This Row],[CampName]],CL,2,0),"")</f>
        <v>MMR001CMP055</v>
      </c>
      <c r="U355" s="164" t="str">
        <f>IFERROR(VLOOKUP(Table_Shelter[[#This Row],[CampName]],CL,3,0),"")</f>
        <v>Open</v>
      </c>
      <c r="V355" s="240">
        <f>IFERROR(Table_Shelter[[#This Row],[HH Covered]]/VLOOKUP(Table_Shelter[[#This Row],[CampName]],CL,5,0),"")</f>
        <v>1</v>
      </c>
      <c r="W355" s="240" t="s">
        <v>1292</v>
      </c>
      <c r="X355" s="164"/>
    </row>
    <row r="356" spans="1:24" ht="15" customHeight="1" x14ac:dyDescent="0.25">
      <c r="A356" s="678"/>
      <c r="B356" s="162" t="s">
        <v>451</v>
      </c>
      <c r="C356" s="162" t="s">
        <v>459</v>
      </c>
      <c r="D356" s="165" t="s">
        <v>380</v>
      </c>
      <c r="E356" s="307" t="s">
        <v>310</v>
      </c>
      <c r="F356" s="162" t="s">
        <v>311</v>
      </c>
      <c r="G356" s="103">
        <v>1</v>
      </c>
      <c r="H356" s="105"/>
      <c r="I356" s="105"/>
      <c r="J356" s="105">
        <v>10</v>
      </c>
      <c r="K356" s="105">
        <v>10</v>
      </c>
      <c r="L356" s="164"/>
      <c r="M356" s="164"/>
      <c r="N356" s="164"/>
      <c r="O356" s="164"/>
      <c r="P356" s="936">
        <f>IFERROR(IF(VLOOKUP(Table_Shelter[[#This Row],[CampName]],CL,5,0)&lt;Table_Shelter[[#This Row],[HH Covered2]],VLOOKUP(Table_Shelter[[#This Row],[CampName]],CL,5,0),Table_Shelter[[#This Row],[HH Covered2]]),"")</f>
        <v>0</v>
      </c>
      <c r="Q356" s="104">
        <f>IF(Table_Shelter[[#This Row],[Status]]="Open",IF(W356="NO",Table_Shelter[[#This Row],[HH per Shelter]]*(Table_Shelter[[#This Row],['# of Temporary Shelter Units Built]]+Table_Shelter[[#This Row],['# of Temporary Shelter Under  Construction]]+Table_Shelter[[#This Row],['# of Permanent House Under Construction]]),0),0)</f>
        <v>0</v>
      </c>
      <c r="R356" s="104"/>
      <c r="S356" s="164"/>
      <c r="T356" s="164" t="str">
        <f>IFERROR(VLOOKUP(Table_Shelter[[#This Row],[CampName]],CL,2,0),"")</f>
        <v>MMR001CMP036</v>
      </c>
      <c r="U356" s="164" t="str">
        <f>IFERROR(VLOOKUP(Table_Shelter[[#This Row],[CampName]],CL,3,0),"")</f>
        <v>Closed</v>
      </c>
      <c r="V356" s="240" t="str">
        <f>IFERROR(Table_Shelter[[#This Row],[HH Covered]]/VLOOKUP(Table_Shelter[[#This Row],[CampName]],CL,5,0),"")</f>
        <v/>
      </c>
      <c r="W356" s="240" t="s">
        <v>1292</v>
      </c>
      <c r="X356" s="164"/>
    </row>
    <row r="357" spans="1:24" ht="15" customHeight="1" x14ac:dyDescent="0.25">
      <c r="A357" s="678"/>
      <c r="B357" s="162" t="s">
        <v>848</v>
      </c>
      <c r="C357" s="162" t="s">
        <v>504</v>
      </c>
      <c r="D357" s="165" t="s">
        <v>380</v>
      </c>
      <c r="E357" s="307" t="s">
        <v>237</v>
      </c>
      <c r="F357" s="162" t="s">
        <v>1232</v>
      </c>
      <c r="G357" s="103">
        <v>1</v>
      </c>
      <c r="H357" s="105"/>
      <c r="I357" s="105"/>
      <c r="J357" s="105">
        <v>12</v>
      </c>
      <c r="K357" s="105">
        <v>12</v>
      </c>
      <c r="L357" s="164"/>
      <c r="M357" s="164"/>
      <c r="N357" s="164"/>
      <c r="O357" s="164"/>
      <c r="P357" s="936">
        <f>IFERROR(IF(VLOOKUP(Table_Shelter[[#This Row],[CampName]],CL,5,0)&lt;Table_Shelter[[#This Row],[HH Covered2]],VLOOKUP(Table_Shelter[[#This Row],[CampName]],CL,5,0),Table_Shelter[[#This Row],[HH Covered2]]),"")</f>
        <v>12</v>
      </c>
      <c r="Q357" s="104">
        <f>IF(Table_Shelter[[#This Row],[Status]]="Open",IF(W357="NO",Table_Shelter[[#This Row],[HH per Shelter]]*(Table_Shelter[[#This Row],['# of Temporary Shelter Units Built]]+Table_Shelter[[#This Row],['# of Temporary Shelter Under  Construction]]+Table_Shelter[[#This Row],['# of Permanent House Under Construction]]),0),0)</f>
        <v>12</v>
      </c>
      <c r="R357" s="104"/>
      <c r="S357" s="164"/>
      <c r="T357" s="164" t="str">
        <f>IFERROR(VLOOKUP(Table_Shelter[[#This Row],[CampName]],CL,2,0),"")</f>
        <v>MMR001CMP023</v>
      </c>
      <c r="U357" s="164" t="str">
        <f>IFERROR(VLOOKUP(Table_Shelter[[#This Row],[CampName]],CL,3,0),"")</f>
        <v>Open</v>
      </c>
      <c r="V357" s="240">
        <f>IFERROR(Table_Shelter[[#This Row],[HH Covered]]/VLOOKUP(Table_Shelter[[#This Row],[CampName]],CL,5,0),"")</f>
        <v>0.22222222222222221</v>
      </c>
      <c r="W357" s="240" t="s">
        <v>1292</v>
      </c>
      <c r="X357" s="164"/>
    </row>
    <row r="358" spans="1:24" ht="15" customHeight="1" x14ac:dyDescent="0.25">
      <c r="A358" s="678"/>
      <c r="B358" s="162" t="s">
        <v>451</v>
      </c>
      <c r="C358" s="162" t="s">
        <v>504</v>
      </c>
      <c r="D358" s="165" t="s">
        <v>380</v>
      </c>
      <c r="E358" s="307" t="s">
        <v>237</v>
      </c>
      <c r="F358" s="162" t="s">
        <v>1232</v>
      </c>
      <c r="G358" s="103">
        <v>1</v>
      </c>
      <c r="H358" s="105"/>
      <c r="I358" s="105"/>
      <c r="J358" s="105">
        <v>40</v>
      </c>
      <c r="K358" s="105">
        <v>40</v>
      </c>
      <c r="L358" s="164"/>
      <c r="M358" s="164"/>
      <c r="N358" s="164"/>
      <c r="O358" s="164"/>
      <c r="P358" s="936">
        <f>IFERROR(IF(VLOOKUP(Table_Shelter[[#This Row],[CampName]],CL,5,0)&lt;Table_Shelter[[#This Row],[HH Covered2]],VLOOKUP(Table_Shelter[[#This Row],[CampName]],CL,5,0),Table_Shelter[[#This Row],[HH Covered2]]),"")</f>
        <v>40</v>
      </c>
      <c r="Q358" s="104">
        <f>IF(Table_Shelter[[#This Row],[Status]]="Open",IF(W358="NO",Table_Shelter[[#This Row],[HH per Shelter]]*(Table_Shelter[[#This Row],['# of Temporary Shelter Units Built]]+Table_Shelter[[#This Row],['# of Temporary Shelter Under  Construction]]+Table_Shelter[[#This Row],['# of Permanent House Under Construction]]),0),0)</f>
        <v>40</v>
      </c>
      <c r="R358" s="104"/>
      <c r="S358" s="164"/>
      <c r="T358" s="164" t="str">
        <f>IFERROR(VLOOKUP(Table_Shelter[[#This Row],[CampName]],CL,2,0),"")</f>
        <v>MMR001CMP023</v>
      </c>
      <c r="U358" s="164" t="str">
        <f>IFERROR(VLOOKUP(Table_Shelter[[#This Row],[CampName]],CL,3,0),"")</f>
        <v>Open</v>
      </c>
      <c r="V358" s="240">
        <f>IFERROR(Table_Shelter[[#This Row],[HH Covered]]/VLOOKUP(Table_Shelter[[#This Row],[CampName]],CL,5,0),"")</f>
        <v>0.7407407407407407</v>
      </c>
      <c r="W358" s="240" t="s">
        <v>1292</v>
      </c>
      <c r="X358" s="164"/>
    </row>
    <row r="359" spans="1:24" ht="15" customHeight="1" x14ac:dyDescent="0.25">
      <c r="A359" s="678"/>
      <c r="B359" s="103" t="s">
        <v>451</v>
      </c>
      <c r="C359" s="103" t="s">
        <v>504</v>
      </c>
      <c r="D359" s="169" t="s">
        <v>380</v>
      </c>
      <c r="E359" s="170" t="s">
        <v>237</v>
      </c>
      <c r="F359" s="103" t="s">
        <v>1232</v>
      </c>
      <c r="G359" s="103">
        <v>1</v>
      </c>
      <c r="H359" s="105"/>
      <c r="I359" s="105"/>
      <c r="J359" s="105">
        <v>20</v>
      </c>
      <c r="K359" s="105">
        <v>20</v>
      </c>
      <c r="L359" s="105"/>
      <c r="M359" s="105"/>
      <c r="N359" s="105"/>
      <c r="O359" s="105"/>
      <c r="P359" s="936">
        <f>IFERROR(IF(VLOOKUP(Table_Shelter[[#This Row],[CampName]],CL,5,0)&lt;Table_Shelter[[#This Row],[HH Covered2]],VLOOKUP(Table_Shelter[[#This Row],[CampName]],CL,5,0),Table_Shelter[[#This Row],[HH Covered2]]),"")</f>
        <v>20</v>
      </c>
      <c r="Q359" s="104">
        <f>IF(Table_Shelter[[#This Row],[Status]]="Open",IF(W359="NO",Table_Shelter[[#This Row],[HH per Shelter]]*(Table_Shelter[[#This Row],['# of Temporary Shelter Units Built]]+Table_Shelter[[#This Row],['# of Temporary Shelter Under  Construction]]+Table_Shelter[[#This Row],['# of Permanent House Under Construction]]),0),0)</f>
        <v>20</v>
      </c>
      <c r="R359" s="104"/>
      <c r="S359" s="104"/>
      <c r="T359" s="104" t="str">
        <f>IFERROR(VLOOKUP(Table_Shelter[[#This Row],[CampName]],CL,2,0),"")</f>
        <v>MMR001CMP023</v>
      </c>
      <c r="U359" s="104" t="str">
        <f>IFERROR(VLOOKUP(Table_Shelter[[#This Row],[CampName]],CL,3,0),"")</f>
        <v>Open</v>
      </c>
      <c r="V359" s="241">
        <f>IFERROR(Table_Shelter[[#This Row],[HH Covered]]/VLOOKUP(Table_Shelter[[#This Row],[CampName]],CL,5,0),"")</f>
        <v>0.37037037037037035</v>
      </c>
      <c r="W359" s="240" t="s">
        <v>1292</v>
      </c>
      <c r="X359" s="104"/>
    </row>
    <row r="360" spans="1:24" ht="15" customHeight="1" x14ac:dyDescent="0.25">
      <c r="A360" s="677"/>
      <c r="B360" s="554" t="s">
        <v>451</v>
      </c>
      <c r="C360" s="554" t="s">
        <v>504</v>
      </c>
      <c r="D360" s="555" t="s">
        <v>380</v>
      </c>
      <c r="E360" s="556" t="s">
        <v>237</v>
      </c>
      <c r="F360" s="554" t="s">
        <v>249</v>
      </c>
      <c r="G360" s="514">
        <v>1</v>
      </c>
      <c r="H360" s="515"/>
      <c r="I360" s="515"/>
      <c r="J360" s="515">
        <v>10</v>
      </c>
      <c r="K360" s="515">
        <v>10</v>
      </c>
      <c r="L360" s="557"/>
      <c r="M360" s="557"/>
      <c r="N360" s="557"/>
      <c r="O360" s="557"/>
      <c r="P360" s="940">
        <f>IFERROR(IF(VLOOKUP(Table_Shelter[[#This Row],[CampName]],CL,5,0)&lt;Table_Shelter[[#This Row],[HH Covered2]],VLOOKUP(Table_Shelter[[#This Row],[CampName]],CL,5,0),Table_Shelter[[#This Row],[HH Covered2]]),"")</f>
        <v>4</v>
      </c>
      <c r="Q360" s="104">
        <f>IF(Table_Shelter[[#This Row],[Status]]="Open",IF(W360="NO",Table_Shelter[[#This Row],[HH per Shelter]]*(Table_Shelter[[#This Row],['# of Temporary Shelter Units Built]]+Table_Shelter[[#This Row],['# of Temporary Shelter Under  Construction]]+Table_Shelter[[#This Row],['# of Permanent House Under Construction]]),0),0)</f>
        <v>10</v>
      </c>
      <c r="R360" s="516"/>
      <c r="S360" s="557"/>
      <c r="T360" s="557" t="str">
        <f>IFERROR(VLOOKUP(Table_Shelter[[#This Row],[CampName]],CL,2,0),"")</f>
        <v>MMR001CMP004</v>
      </c>
      <c r="U360" s="164" t="str">
        <f>IFERROR(VLOOKUP(Table_Shelter[[#This Row],[CampName]],CL,3,0),"")</f>
        <v>Open</v>
      </c>
      <c r="V360" s="558">
        <f>IFERROR(Table_Shelter[[#This Row],[HH Covered]]/VLOOKUP(Table_Shelter[[#This Row],[CampName]],CL,5,0),"")</f>
        <v>1</v>
      </c>
      <c r="W360" s="558" t="s">
        <v>1292</v>
      </c>
      <c r="X360" s="557"/>
    </row>
    <row r="361" spans="1:24" ht="15" customHeight="1" x14ac:dyDescent="0.25">
      <c r="A361" s="678"/>
      <c r="B361" s="162" t="s">
        <v>451</v>
      </c>
      <c r="C361" s="162"/>
      <c r="D361" s="165" t="s">
        <v>380</v>
      </c>
      <c r="E361" s="307" t="s">
        <v>237</v>
      </c>
      <c r="F361" s="162" t="s">
        <v>249</v>
      </c>
      <c r="G361" s="103">
        <v>1</v>
      </c>
      <c r="H361" s="105"/>
      <c r="I361" s="105"/>
      <c r="J361" s="105">
        <v>5</v>
      </c>
      <c r="K361" s="105">
        <v>5</v>
      </c>
      <c r="L361" s="164"/>
      <c r="M361" s="164"/>
      <c r="N361" s="164"/>
      <c r="O361" s="164"/>
      <c r="P361" s="936">
        <f>IFERROR(IF(VLOOKUP(Table_Shelter[[#This Row],[CampName]],CL,5,0)&lt;Table_Shelter[[#This Row],[HH Covered2]],VLOOKUP(Table_Shelter[[#This Row],[CampName]],CL,5,0),Table_Shelter[[#This Row],[HH Covered2]]),"")</f>
        <v>4</v>
      </c>
      <c r="Q361" s="104">
        <f>IF(Table_Shelter[[#This Row],[Status]]="Open",IF(W361="NO",Table_Shelter[[#This Row],[HH per Shelter]]*(Table_Shelter[[#This Row],['# of Temporary Shelter Units Built]]+Table_Shelter[[#This Row],['# of Temporary Shelter Under  Construction]]+Table_Shelter[[#This Row],['# of Permanent House Under Construction]]),0),0)</f>
        <v>5</v>
      </c>
      <c r="R361" s="104"/>
      <c r="S361" s="164"/>
      <c r="T361" s="164" t="str">
        <f>IFERROR(VLOOKUP(Table_Shelter[[#This Row],[CampName]],CL,2,0),"")</f>
        <v>MMR001CMP004</v>
      </c>
      <c r="U361" s="164" t="str">
        <f>IFERROR(VLOOKUP(Table_Shelter[[#This Row],[CampName]],CL,3,0),"")</f>
        <v>Open</v>
      </c>
      <c r="V361" s="240">
        <f>IFERROR(Table_Shelter[[#This Row],[HH Covered]]/VLOOKUP(Table_Shelter[[#This Row],[CampName]],CL,5,0),"")</f>
        <v>1</v>
      </c>
      <c r="W361" s="240" t="s">
        <v>1292</v>
      </c>
      <c r="X361" s="164"/>
    </row>
    <row r="362" spans="1:24" ht="15" customHeight="1" x14ac:dyDescent="0.25">
      <c r="A362" s="678"/>
      <c r="B362" s="162" t="s">
        <v>451</v>
      </c>
      <c r="C362" s="162" t="s">
        <v>504</v>
      </c>
      <c r="D362" s="165" t="s">
        <v>380</v>
      </c>
      <c r="E362" s="307" t="s">
        <v>310</v>
      </c>
      <c r="F362" s="162" t="s">
        <v>349</v>
      </c>
      <c r="G362" s="103">
        <v>1</v>
      </c>
      <c r="H362" s="105"/>
      <c r="I362" s="105"/>
      <c r="J362" s="105">
        <v>45</v>
      </c>
      <c r="K362" s="105">
        <v>45</v>
      </c>
      <c r="L362" s="164"/>
      <c r="M362" s="164"/>
      <c r="N362" s="164"/>
      <c r="O362" s="164"/>
      <c r="P362" s="936">
        <f>IFERROR(IF(VLOOKUP(Table_Shelter[[#This Row],[CampName]],CL,5,0)&lt;Table_Shelter[[#This Row],[HH Covered2]],VLOOKUP(Table_Shelter[[#This Row],[CampName]],CL,5,0),Table_Shelter[[#This Row],[HH Covered2]]),"")</f>
        <v>45</v>
      </c>
      <c r="Q362" s="104">
        <f>IF(Table_Shelter[[#This Row],[Status]]="Open",IF(W362="NO",Table_Shelter[[#This Row],[HH per Shelter]]*(Table_Shelter[[#This Row],['# of Temporary Shelter Units Built]]+Table_Shelter[[#This Row],['# of Temporary Shelter Under  Construction]]+Table_Shelter[[#This Row],['# of Permanent House Under Construction]]),0),0)</f>
        <v>45</v>
      </c>
      <c r="R362" s="104"/>
      <c r="S362" s="164"/>
      <c r="T362" s="164" t="str">
        <f>IFERROR(VLOOKUP(Table_Shelter[[#This Row],[CampName]],CL,2,0),"")</f>
        <v>MMR001CMP037</v>
      </c>
      <c r="U362" s="164" t="str">
        <f>IFERROR(VLOOKUP(Table_Shelter[[#This Row],[CampName]],CL,3,0),"")</f>
        <v>Open</v>
      </c>
      <c r="V362" s="240">
        <f>IFERROR(Table_Shelter[[#This Row],[HH Covered]]/VLOOKUP(Table_Shelter[[#This Row],[CampName]],CL,5,0),"")</f>
        <v>0.97826086956521741</v>
      </c>
      <c r="W362" s="240" t="s">
        <v>1292</v>
      </c>
      <c r="X362" s="164"/>
    </row>
    <row r="363" spans="1:24" ht="15" customHeight="1" x14ac:dyDescent="0.25">
      <c r="A363" s="678"/>
      <c r="B363" s="162" t="s">
        <v>568</v>
      </c>
      <c r="C363" s="162"/>
      <c r="D363" s="165" t="s">
        <v>380</v>
      </c>
      <c r="E363" s="307" t="s">
        <v>310</v>
      </c>
      <c r="F363" s="162" t="s">
        <v>349</v>
      </c>
      <c r="G363" s="103">
        <v>1</v>
      </c>
      <c r="H363" s="105"/>
      <c r="I363" s="105"/>
      <c r="J363" s="105">
        <v>24</v>
      </c>
      <c r="K363" s="105">
        <v>24</v>
      </c>
      <c r="L363" s="164"/>
      <c r="M363" s="164"/>
      <c r="N363" s="164"/>
      <c r="O363" s="164"/>
      <c r="P363" s="936">
        <f>IFERROR(IF(VLOOKUP(Table_Shelter[[#This Row],[CampName]],CL,5,0)&lt;Table_Shelter[[#This Row],[HH Covered2]],VLOOKUP(Table_Shelter[[#This Row],[CampName]],CL,5,0),Table_Shelter[[#This Row],[HH Covered2]]),"")</f>
        <v>24</v>
      </c>
      <c r="Q363" s="104">
        <f>IF(Table_Shelter[[#This Row],[Status]]="Open",IF(W363="NO",Table_Shelter[[#This Row],[HH per Shelter]]*(Table_Shelter[[#This Row],['# of Temporary Shelter Units Built]]+Table_Shelter[[#This Row],['# of Temporary Shelter Under  Construction]]+Table_Shelter[[#This Row],['# of Permanent House Under Construction]]),0),0)</f>
        <v>24</v>
      </c>
      <c r="R363" s="104"/>
      <c r="S363" s="164"/>
      <c r="T363" s="164" t="str">
        <f>IFERROR(VLOOKUP(Table_Shelter[[#This Row],[CampName]],CL,2,0),"")</f>
        <v>MMR001CMP037</v>
      </c>
      <c r="U363" s="164" t="str">
        <f>IFERROR(VLOOKUP(Table_Shelter[[#This Row],[CampName]],CL,3,0),"")</f>
        <v>Open</v>
      </c>
      <c r="V363" s="240">
        <f>IFERROR(Table_Shelter[[#This Row],[HH Covered]]/VLOOKUP(Table_Shelter[[#This Row],[CampName]],CL,5,0),"")</f>
        <v>0.52173913043478259</v>
      </c>
      <c r="W363" s="240" t="s">
        <v>1292</v>
      </c>
      <c r="X363" s="164"/>
    </row>
    <row r="364" spans="1:24" ht="15" customHeight="1" x14ac:dyDescent="0.25">
      <c r="A364" s="677"/>
      <c r="B364" s="554" t="s">
        <v>451</v>
      </c>
      <c r="C364" s="554" t="s">
        <v>504</v>
      </c>
      <c r="D364" s="555" t="s">
        <v>380</v>
      </c>
      <c r="E364" s="556" t="s">
        <v>5</v>
      </c>
      <c r="F364" s="554" t="s">
        <v>1019</v>
      </c>
      <c r="G364" s="514">
        <v>1</v>
      </c>
      <c r="H364" s="515"/>
      <c r="I364" s="515"/>
      <c r="J364" s="515">
        <v>6</v>
      </c>
      <c r="K364" s="515"/>
      <c r="L364" s="557"/>
      <c r="M364" s="557"/>
      <c r="N364" s="557"/>
      <c r="O364" s="557"/>
      <c r="P364" s="940">
        <f>IFERROR(IF(VLOOKUP(Table_Shelter[[#This Row],[CampName]],CL,5,0)&lt;Table_Shelter[[#This Row],[HH Covered2]],VLOOKUP(Table_Shelter[[#This Row],[CampName]],CL,5,0),Table_Shelter[[#This Row],[HH Covered2]]),"")</f>
        <v>0</v>
      </c>
      <c r="Q364" s="516">
        <f>IF(Table_Shelter[[#This Row],[Status]]="Open",IF(W364="NO",Table_Shelter[[#This Row],[HH per Shelter]]*(Table_Shelter[[#This Row],['# of Temporary Shelter Units Built]]+Table_Shelter[[#This Row],['# of Temporary Shelter Under  Construction]]+Table_Shelter[[#This Row],['# of Permanent House Under Construction]]),0),0)</f>
        <v>0</v>
      </c>
      <c r="R364" s="516"/>
      <c r="S364" s="557"/>
      <c r="T364" s="164" t="str">
        <f>IFERROR(VLOOKUP(Table_Shelter[[#This Row],[CampName]],CL,2,0),"")</f>
        <v>MMR001CMP224</v>
      </c>
      <c r="U364" s="164" t="str">
        <f>IFERROR(VLOOKUP(Table_Shelter[[#This Row],[CampName]],CL,3,0),"")</f>
        <v>Closed</v>
      </c>
      <c r="V364" s="558" t="str">
        <f>IFERROR(Table_Shelter[[#This Row],[HH Covered]]/VLOOKUP(Table_Shelter[[#This Row],[CampName]],CL,5,0),"")</f>
        <v/>
      </c>
      <c r="W364" s="240" t="s">
        <v>1292</v>
      </c>
      <c r="X364" s="557"/>
    </row>
    <row r="365" spans="1:24" ht="15" customHeight="1" x14ac:dyDescent="0.25">
      <c r="A365" s="677"/>
      <c r="B365" s="554" t="s">
        <v>451</v>
      </c>
      <c r="C365" s="554"/>
      <c r="D365" s="555" t="s">
        <v>380</v>
      </c>
      <c r="E365" s="556" t="s">
        <v>5</v>
      </c>
      <c r="F365" s="554" t="s">
        <v>1019</v>
      </c>
      <c r="G365" s="514">
        <v>1</v>
      </c>
      <c r="H365" s="515"/>
      <c r="I365" s="515"/>
      <c r="J365" s="515">
        <v>5</v>
      </c>
      <c r="K365" s="515"/>
      <c r="L365" s="557"/>
      <c r="M365" s="557"/>
      <c r="N365" s="557"/>
      <c r="O365" s="557"/>
      <c r="P365" s="940">
        <f>IFERROR(IF(VLOOKUP(Table_Shelter[[#This Row],[CampName]],CL,5,0)&lt;Table_Shelter[[#This Row],[HH Covered2]],VLOOKUP(Table_Shelter[[#This Row],[CampName]],CL,5,0),Table_Shelter[[#This Row],[HH Covered2]]),"")</f>
        <v>0</v>
      </c>
      <c r="Q365" s="516">
        <f>IF(Table_Shelter[[#This Row],[Status]]="Open",IF(W365="NO",Table_Shelter[[#This Row],[HH per Shelter]]*(Table_Shelter[[#This Row],['# of Temporary Shelter Units Built]]+Table_Shelter[[#This Row],['# of Temporary Shelter Under  Construction]]+Table_Shelter[[#This Row],['# of Permanent House Under Construction]]),0),0)</f>
        <v>0</v>
      </c>
      <c r="R365" s="516"/>
      <c r="S365" s="557"/>
      <c r="T365" s="557" t="str">
        <f>IFERROR(VLOOKUP(Table_Shelter[[#This Row],[CampName]],CL,2,0),"")</f>
        <v>MMR001CMP224</v>
      </c>
      <c r="U365" s="164" t="str">
        <f>IFERROR(VLOOKUP(Table_Shelter[[#This Row],[CampName]],CL,3,0),"")</f>
        <v>Closed</v>
      </c>
      <c r="V365" s="558" t="str">
        <f>IFERROR(Table_Shelter[[#This Row],[HH Covered]]/VLOOKUP(Table_Shelter[[#This Row],[CampName]],CL,5,0),"")</f>
        <v/>
      </c>
      <c r="W365" s="558" t="s">
        <v>1292</v>
      </c>
      <c r="X365" s="557"/>
    </row>
    <row r="366" spans="1:24" ht="15" customHeight="1" x14ac:dyDescent="0.25">
      <c r="A366" s="678"/>
      <c r="B366" s="162" t="s">
        <v>451</v>
      </c>
      <c r="C366" s="162" t="s">
        <v>504</v>
      </c>
      <c r="D366" s="165" t="s">
        <v>380</v>
      </c>
      <c r="E366" s="307" t="s">
        <v>310</v>
      </c>
      <c r="F366" s="162" t="s">
        <v>316</v>
      </c>
      <c r="G366" s="514">
        <v>1</v>
      </c>
      <c r="H366" s="515"/>
      <c r="I366" s="515"/>
      <c r="J366" s="515">
        <v>34</v>
      </c>
      <c r="K366" s="515">
        <v>34</v>
      </c>
      <c r="L366" s="557"/>
      <c r="M366" s="557"/>
      <c r="N366" s="557"/>
      <c r="O366" s="557"/>
      <c r="P366" s="940">
        <f>IFERROR(IF(VLOOKUP(Table_Shelter[[#This Row],[CampName]],CL,5,0)&lt;Table_Shelter[[#This Row],[HH Covered2]],VLOOKUP(Table_Shelter[[#This Row],[CampName]],CL,5,0),Table_Shelter[[#This Row],[HH Covered2]]),"")</f>
        <v>34</v>
      </c>
      <c r="Q366" s="516">
        <f>IF(Table_Shelter[[#This Row],[Status]]="Open",IF(W366="NO",Table_Shelter[[#This Row],[HH per Shelter]]*(Table_Shelter[[#This Row],['# of Temporary Shelter Units Built]]+Table_Shelter[[#This Row],['# of Temporary Shelter Under  Construction]]+Table_Shelter[[#This Row],['# of Permanent House Under Construction]]),0),0)</f>
        <v>34</v>
      </c>
      <c r="R366" s="516"/>
      <c r="S366" s="557"/>
      <c r="T366" s="557" t="str">
        <f>IFERROR(VLOOKUP(Table_Shelter[[#This Row],[CampName]],CL,2,0),"")</f>
        <v>MMR001CMP038</v>
      </c>
      <c r="U366" s="557" t="str">
        <f>IFERROR(VLOOKUP(Table_Shelter[[#This Row],[CampName]],CL,3,0),"")</f>
        <v>Open</v>
      </c>
      <c r="V366" s="558">
        <f>IFERROR(Table_Shelter[[#This Row],[HH Covered]]/VLOOKUP(Table_Shelter[[#This Row],[CampName]],CL,5,0),"")</f>
        <v>0.52307692307692311</v>
      </c>
      <c r="W366" s="558" t="s">
        <v>1292</v>
      </c>
      <c r="X366" s="557"/>
    </row>
    <row r="367" spans="1:24" x14ac:dyDescent="0.25">
      <c r="A367" s="677"/>
      <c r="B367" s="554" t="s">
        <v>568</v>
      </c>
      <c r="C367" s="554"/>
      <c r="D367" s="165" t="s">
        <v>380</v>
      </c>
      <c r="E367" s="556" t="s">
        <v>310</v>
      </c>
      <c r="F367" s="162" t="s">
        <v>316</v>
      </c>
      <c r="G367" s="514">
        <v>1</v>
      </c>
      <c r="H367" s="515"/>
      <c r="I367" s="515"/>
      <c r="J367" s="515">
        <v>15</v>
      </c>
      <c r="K367" s="515">
        <v>15</v>
      </c>
      <c r="L367" s="557"/>
      <c r="M367" s="557"/>
      <c r="N367" s="557"/>
      <c r="O367" s="557"/>
      <c r="P367" s="940">
        <f>IFERROR(IF(VLOOKUP(Table_Shelter[[#This Row],[CampName]],CL,5,0)&lt;Table_Shelter[[#This Row],[HH Covered2]],VLOOKUP(Table_Shelter[[#This Row],[CampName]],CL,5,0),Table_Shelter[[#This Row],[HH Covered2]]),"")</f>
        <v>15</v>
      </c>
      <c r="Q367" s="516">
        <f>IF(Table_Shelter[[#This Row],[Status]]="Open",IF(W367="NO",Table_Shelter[[#This Row],[HH per Shelter]]*(Table_Shelter[[#This Row],['# of Temporary Shelter Units Built]]+Table_Shelter[[#This Row],['# of Temporary Shelter Under  Construction]]+Table_Shelter[[#This Row],['# of Permanent House Under Construction]]),0),0)</f>
        <v>15</v>
      </c>
      <c r="R367" s="516"/>
      <c r="S367" s="557"/>
      <c r="T367" s="557" t="str">
        <f>IFERROR(VLOOKUP(Table_Shelter[[#This Row],[CampName]],CL,2,0),"")</f>
        <v>MMR001CMP038</v>
      </c>
      <c r="U367" s="557" t="str">
        <f>IFERROR(VLOOKUP(Table_Shelter[[#This Row],[CampName]],CL,3,0),"")</f>
        <v>Open</v>
      </c>
      <c r="V367" s="558">
        <f>IFERROR(Table_Shelter[[#This Row],[HH Covered]]/VLOOKUP(Table_Shelter[[#This Row],[CampName]],CL,5,0),"")</f>
        <v>0.23076923076923078</v>
      </c>
      <c r="W367" s="558" t="s">
        <v>1292</v>
      </c>
      <c r="X367" s="557"/>
    </row>
    <row r="368" spans="1:24" ht="15" customHeight="1" x14ac:dyDescent="0.25">
      <c r="A368" s="677"/>
      <c r="B368" s="554" t="s">
        <v>451</v>
      </c>
      <c r="C368" s="554"/>
      <c r="D368" s="165" t="s">
        <v>380</v>
      </c>
      <c r="E368" s="556" t="s">
        <v>310</v>
      </c>
      <c r="F368" s="162" t="s">
        <v>311</v>
      </c>
      <c r="G368" s="103">
        <v>1</v>
      </c>
      <c r="H368" s="105"/>
      <c r="I368" s="105"/>
      <c r="J368" s="105">
        <v>5</v>
      </c>
      <c r="K368" s="105">
        <v>5</v>
      </c>
      <c r="L368" s="164"/>
      <c r="M368" s="164"/>
      <c r="N368" s="164"/>
      <c r="O368" s="164"/>
      <c r="P368" s="936">
        <f>IFERROR(IF(VLOOKUP(Table_Shelter[[#This Row],[CampName]],CL,5,0)&lt;Table_Shelter[[#This Row],[HH Covered2]],VLOOKUP(Table_Shelter[[#This Row],[CampName]],CL,5,0),Table_Shelter[[#This Row],[HH Covered2]]),"")</f>
        <v>0</v>
      </c>
      <c r="Q368" s="104">
        <f>IF(Table_Shelter[[#This Row],[Status]]="Open",IF(W368="NO",Table_Shelter[[#This Row],[HH per Shelter]]*(Table_Shelter[[#This Row],['# of Temporary Shelter Units Built]]+Table_Shelter[[#This Row],['# of Temporary Shelter Under  Construction]]+Table_Shelter[[#This Row],['# of Permanent House Under Construction]]),0),0)</f>
        <v>0</v>
      </c>
      <c r="R368" s="104"/>
      <c r="S368" s="164"/>
      <c r="T368" s="164" t="str">
        <f>IFERROR(VLOOKUP(Table_Shelter[[#This Row],[CampName]],CL,2,0),"")</f>
        <v>MMR001CMP036</v>
      </c>
      <c r="U368" s="164" t="str">
        <f>IFERROR(VLOOKUP(Table_Shelter[[#This Row],[CampName]],CL,3,0),"")</f>
        <v>Closed</v>
      </c>
      <c r="V368" s="240" t="str">
        <f>IFERROR(Table_Shelter[[#This Row],[HH Covered]]/VLOOKUP(Table_Shelter[[#This Row],[CampName]],CL,5,0),"")</f>
        <v/>
      </c>
      <c r="W368" s="240" t="s">
        <v>1292</v>
      </c>
      <c r="X368" s="164"/>
    </row>
    <row r="369" spans="1:24" ht="15" customHeight="1" x14ac:dyDescent="0.25">
      <c r="A369" s="677"/>
      <c r="B369" s="554" t="s">
        <v>568</v>
      </c>
      <c r="C369" s="554"/>
      <c r="D369" s="555" t="s">
        <v>380</v>
      </c>
      <c r="E369" s="556" t="s">
        <v>310</v>
      </c>
      <c r="F369" s="554" t="s">
        <v>311</v>
      </c>
      <c r="G369" s="514">
        <v>1</v>
      </c>
      <c r="H369" s="515"/>
      <c r="I369" s="515"/>
      <c r="J369" s="515">
        <v>10</v>
      </c>
      <c r="K369" s="515">
        <v>10</v>
      </c>
      <c r="L369" s="557"/>
      <c r="M369" s="557"/>
      <c r="N369" s="557"/>
      <c r="O369" s="557"/>
      <c r="P369" s="940">
        <f>IFERROR(IF(VLOOKUP(Table_Shelter[[#This Row],[CampName]],CL,5,0)&lt;Table_Shelter[[#This Row],[HH Covered2]],VLOOKUP(Table_Shelter[[#This Row],[CampName]],CL,5,0),Table_Shelter[[#This Row],[HH Covered2]]),"")</f>
        <v>0</v>
      </c>
      <c r="Q369" s="516">
        <f>IF(Table_Shelter[[#This Row],[Status]]="Open",IF(W369="NO",Table_Shelter[[#This Row],[HH per Shelter]]*(Table_Shelter[[#This Row],['# of Temporary Shelter Units Built]]+Table_Shelter[[#This Row],['# of Temporary Shelter Under  Construction]]+Table_Shelter[[#This Row],['# of Permanent House Under Construction]]),0),0)</f>
        <v>0</v>
      </c>
      <c r="R369" s="516"/>
      <c r="S369" s="557"/>
      <c r="T369" s="557" t="str">
        <f>IFERROR(VLOOKUP(Table_Shelter[[#This Row],[CampName]],CL,2,0),"")</f>
        <v>MMR001CMP036</v>
      </c>
      <c r="U369" s="557" t="str">
        <f>IFERROR(VLOOKUP(Table_Shelter[[#This Row],[CampName]],CL,3,0),"")</f>
        <v>Closed</v>
      </c>
      <c r="V369" s="558" t="str">
        <f>IFERROR(Table_Shelter[[#This Row],[HH Covered]]/VLOOKUP(Table_Shelter[[#This Row],[CampName]],CL,5,0),"")</f>
        <v/>
      </c>
      <c r="W369" s="558" t="s">
        <v>1292</v>
      </c>
      <c r="X369" s="557"/>
    </row>
    <row r="370" spans="1:24" ht="15" customHeight="1" x14ac:dyDescent="0.25">
      <c r="A370" s="677"/>
      <c r="B370" s="554" t="s">
        <v>451</v>
      </c>
      <c r="C370" s="554" t="s">
        <v>505</v>
      </c>
      <c r="D370" s="555" t="s">
        <v>380</v>
      </c>
      <c r="E370" s="556" t="s">
        <v>526</v>
      </c>
      <c r="F370" s="554" t="s">
        <v>64</v>
      </c>
      <c r="G370" s="514">
        <v>1</v>
      </c>
      <c r="H370" s="515"/>
      <c r="I370" s="515"/>
      <c r="J370" s="515"/>
      <c r="K370" s="515"/>
      <c r="L370" s="557"/>
      <c r="M370" s="557"/>
      <c r="N370" s="557"/>
      <c r="O370" s="557"/>
      <c r="P370" s="940">
        <f>IFERROR(IF(VLOOKUP(Table_Shelter[[#This Row],[CampName]],CL,5,0)&lt;Table_Shelter[[#This Row],[HH Covered2]],VLOOKUP(Table_Shelter[[#This Row],[CampName]],CL,5,0),Table_Shelter[[#This Row],[HH Covered2]]),"")</f>
        <v>0</v>
      </c>
      <c r="Q370" s="516">
        <f>IF(Table_Shelter[[#This Row],[Status]]="Open",IF(W370="NO",Table_Shelter[[#This Row],[HH per Shelter]]*(Table_Shelter[[#This Row],['# of Temporary Shelter Units Built]]+Table_Shelter[[#This Row],['# of Temporary Shelter Under  Construction]]+Table_Shelter[[#This Row],['# of Permanent House Under Construction]]),0),0)</f>
        <v>0</v>
      </c>
      <c r="R370" s="516">
        <v>14</v>
      </c>
      <c r="S370" s="557"/>
      <c r="T370" s="557" t="str">
        <f>IFERROR(VLOOKUP(Table_Shelter[[#This Row],[CampName]],CL,2,0),"")</f>
        <v>MMR001CMP185</v>
      </c>
      <c r="U370" s="557" t="str">
        <f>IFERROR(VLOOKUP(Table_Shelter[[#This Row],[CampName]],CL,3,0),"")</f>
        <v>Closed</v>
      </c>
      <c r="V370" s="558" t="str">
        <f>IFERROR(Table_Shelter[[#This Row],[HH Covered]]/VLOOKUP(Table_Shelter[[#This Row],[CampName]],CL,5,0),"")</f>
        <v/>
      </c>
      <c r="W370" s="558" t="s">
        <v>1292</v>
      </c>
      <c r="X370" s="557"/>
    </row>
    <row r="371" spans="1:24" ht="15" customHeight="1" x14ac:dyDescent="0.25">
      <c r="A371" s="677"/>
      <c r="B371" s="554" t="s">
        <v>861</v>
      </c>
      <c r="C371" s="554"/>
      <c r="D371" s="555" t="s">
        <v>380</v>
      </c>
      <c r="E371" s="556" t="s">
        <v>526</v>
      </c>
      <c r="F371" s="554" t="s">
        <v>126</v>
      </c>
      <c r="G371" s="514">
        <v>1</v>
      </c>
      <c r="H371" s="515">
        <v>7</v>
      </c>
      <c r="I371" s="515">
        <v>7</v>
      </c>
      <c r="J371" s="515"/>
      <c r="K371" s="515"/>
      <c r="L371" s="557"/>
      <c r="M371" s="557"/>
      <c r="N371" s="557"/>
      <c r="O371" s="557"/>
      <c r="P371" s="940">
        <f>IFERROR(IF(VLOOKUP(Table_Shelter[[#This Row],[CampName]],CL,5,0)&lt;Table_Shelter[[#This Row],[HH Covered2]],VLOOKUP(Table_Shelter[[#This Row],[CampName]],CL,5,0),Table_Shelter[[#This Row],[HH Covered2]]),"")</f>
        <v>0</v>
      </c>
      <c r="Q371" s="516">
        <f>IF(Table_Shelter[[#This Row],[Status]]="Open",IF(W371="NO",Table_Shelter[[#This Row],[HH per Shelter]]*(Table_Shelter[[#This Row],['# of Temporary Shelter Units Built]]+Table_Shelter[[#This Row],['# of Temporary Shelter Under  Construction]]+Table_Shelter[[#This Row],['# of Permanent House Under Construction]]),0),0)</f>
        <v>0</v>
      </c>
      <c r="R371" s="516"/>
      <c r="S371" s="557"/>
      <c r="T371" s="557" t="str">
        <f>IFERROR(VLOOKUP(Table_Shelter[[#This Row],[CampName]],CL,2,0),"")</f>
        <v>MMR001CMP184</v>
      </c>
      <c r="U371" s="557" t="str">
        <f>IFERROR(VLOOKUP(Table_Shelter[[#This Row],[CampName]],CL,3,0),"")</f>
        <v>Open</v>
      </c>
      <c r="V371" s="558">
        <f>IFERROR(Table_Shelter[[#This Row],[HH Covered]]/VLOOKUP(Table_Shelter[[#This Row],[CampName]],CL,5,0),"")</f>
        <v>0</v>
      </c>
      <c r="W371" s="558" t="s">
        <v>1292</v>
      </c>
      <c r="X371" s="557"/>
    </row>
    <row r="372" spans="1:24" ht="15" customHeight="1" x14ac:dyDescent="0.25">
      <c r="A372" s="677"/>
      <c r="B372" s="554" t="s">
        <v>861</v>
      </c>
      <c r="C372" s="554"/>
      <c r="D372" s="555" t="s">
        <v>380</v>
      </c>
      <c r="E372" s="556" t="s">
        <v>526</v>
      </c>
      <c r="F372" s="554" t="s">
        <v>898</v>
      </c>
      <c r="G372" s="514">
        <v>1</v>
      </c>
      <c r="H372" s="515">
        <v>47</v>
      </c>
      <c r="I372" s="515">
        <v>47</v>
      </c>
      <c r="J372" s="515"/>
      <c r="K372" s="515"/>
      <c r="L372" s="557"/>
      <c r="M372" s="557"/>
      <c r="N372" s="557"/>
      <c r="O372" s="557"/>
      <c r="P372" s="940" t="str">
        <f>IFERROR(IF(VLOOKUP(Table_Shelter[[#This Row],[CampName]],CL,5,0)&lt;Table_Shelter[[#This Row],[HH Covered2]],VLOOKUP(Table_Shelter[[#This Row],[CampName]],CL,5,0),Table_Shelter[[#This Row],[HH Covered2]]),"")</f>
        <v/>
      </c>
      <c r="Q372" s="516">
        <f>IF(Table_Shelter[[#This Row],[Status]]="Open",IF(W372="NO",Table_Shelter[[#This Row],[HH per Shelter]]*(Table_Shelter[[#This Row],['# of Temporary Shelter Units Built]]+Table_Shelter[[#This Row],['# of Temporary Shelter Under  Construction]]+Table_Shelter[[#This Row],['# of Permanent House Under Construction]]),0),0)</f>
        <v>0</v>
      </c>
      <c r="R372" s="516"/>
      <c r="S372" s="557"/>
      <c r="T372" s="557" t="str">
        <f>IFERROR(VLOOKUP(Table_Shelter[[#This Row],[CampName]],CL,2,0),"")</f>
        <v/>
      </c>
      <c r="U372" s="557" t="str">
        <f>IFERROR(VLOOKUP(Table_Shelter[[#This Row],[CampName]],CL,3,0),"")</f>
        <v/>
      </c>
      <c r="V372" s="558" t="str">
        <f>IFERROR(Table_Shelter[[#This Row],[HH Covered]]/VLOOKUP(Table_Shelter[[#This Row],[CampName]],CL,5,0),"")</f>
        <v/>
      </c>
      <c r="W372" s="558" t="s">
        <v>1292</v>
      </c>
      <c r="X372" s="557"/>
    </row>
    <row r="373" spans="1:24" ht="15" customHeight="1" x14ac:dyDescent="0.25">
      <c r="A373" s="677"/>
      <c r="B373" s="554" t="s">
        <v>845</v>
      </c>
      <c r="C373" s="554"/>
      <c r="D373" s="555" t="s">
        <v>380</v>
      </c>
      <c r="E373" s="556" t="s">
        <v>310</v>
      </c>
      <c r="F373" s="554" t="s">
        <v>353</v>
      </c>
      <c r="G373" s="514">
        <v>1</v>
      </c>
      <c r="H373" s="515"/>
      <c r="I373" s="515"/>
      <c r="J373" s="515">
        <v>300</v>
      </c>
      <c r="K373" s="515"/>
      <c r="L373" s="557"/>
      <c r="M373" s="557"/>
      <c r="N373" s="557"/>
      <c r="O373" s="557"/>
      <c r="P373" s="940">
        <f>IFERROR(IF(VLOOKUP(Table_Shelter[[#This Row],[CampName]],CL,5,0)&lt;Table_Shelter[[#This Row],[HH Covered2]],VLOOKUP(Table_Shelter[[#This Row],[CampName]],CL,5,0),Table_Shelter[[#This Row],[HH Covered2]]),"")</f>
        <v>0</v>
      </c>
      <c r="Q373" s="516">
        <f>IF(Table_Shelter[[#This Row],[Status]]="Open",IF(W373="NO",Table_Shelter[[#This Row],[HH per Shelter]]*(Table_Shelter[[#This Row],['# of Temporary Shelter Units Built]]+Table_Shelter[[#This Row],['# of Temporary Shelter Under  Construction]]+Table_Shelter[[#This Row],['# of Permanent House Under Construction]]),0),0)</f>
        <v>0</v>
      </c>
      <c r="R373" s="516"/>
      <c r="S373" s="557"/>
      <c r="T373" s="557" t="str">
        <f>IFERROR(VLOOKUP(Table_Shelter[[#This Row],[CampName]],CL,2,0),"")</f>
        <v>MMR001CMP116</v>
      </c>
      <c r="U373" s="557" t="str">
        <f>IFERROR(VLOOKUP(Table_Shelter[[#This Row],[CampName]],CL,3,0),"")</f>
        <v>Open</v>
      </c>
      <c r="V373" s="558">
        <f>IFERROR(Table_Shelter[[#This Row],[HH Covered]]/VLOOKUP(Table_Shelter[[#This Row],[CampName]],CL,5,0),"")</f>
        <v>0</v>
      </c>
      <c r="W373" s="558" t="s">
        <v>1292</v>
      </c>
      <c r="X373" s="557"/>
    </row>
    <row r="374" spans="1:24" ht="15" customHeight="1" x14ac:dyDescent="0.25">
      <c r="A374" s="677"/>
      <c r="B374" s="554" t="s">
        <v>451</v>
      </c>
      <c r="C374" s="554" t="s">
        <v>504</v>
      </c>
      <c r="D374" s="555" t="s">
        <v>380</v>
      </c>
      <c r="E374" s="556" t="s">
        <v>237</v>
      </c>
      <c r="F374" s="554" t="s">
        <v>283</v>
      </c>
      <c r="G374" s="514">
        <v>1</v>
      </c>
      <c r="H374" s="515"/>
      <c r="I374" s="515"/>
      <c r="J374" s="515">
        <v>24</v>
      </c>
      <c r="K374" s="515">
        <v>24</v>
      </c>
      <c r="L374" s="557"/>
      <c r="M374" s="557"/>
      <c r="N374" s="557"/>
      <c r="O374" s="557"/>
      <c r="P374" s="940">
        <f>IFERROR(IF(VLOOKUP(Table_Shelter[[#This Row],[CampName]],CL,5,0)&lt;Table_Shelter[[#This Row],[HH Covered2]],VLOOKUP(Table_Shelter[[#This Row],[CampName]],CL,5,0),Table_Shelter[[#This Row],[HH Covered2]]),"")</f>
        <v>7</v>
      </c>
      <c r="Q374" s="516">
        <f>IF(Table_Shelter[[#This Row],[Status]]="Open",IF(W374="NO",Table_Shelter[[#This Row],[HH per Shelter]]*(Table_Shelter[[#This Row],['# of Temporary Shelter Units Built]]+Table_Shelter[[#This Row],['# of Temporary Shelter Under  Construction]]+Table_Shelter[[#This Row],['# of Permanent House Under Construction]]),0),0)</f>
        <v>24</v>
      </c>
      <c r="R374" s="516"/>
      <c r="S374" s="557"/>
      <c r="T374" s="557" t="str">
        <f>IFERROR(VLOOKUP(Table_Shelter[[#This Row],[CampName]],CL,2,0),"")</f>
        <v>MMR001CMP022</v>
      </c>
      <c r="U374" s="557" t="str">
        <f>IFERROR(VLOOKUP(Table_Shelter[[#This Row],[CampName]],CL,3,0),"")</f>
        <v>Open</v>
      </c>
      <c r="V374" s="558">
        <f>IFERROR(Table_Shelter[[#This Row],[HH Covered]]/VLOOKUP(Table_Shelter[[#This Row],[CampName]],CL,5,0),"")</f>
        <v>1</v>
      </c>
      <c r="W374" s="558" t="s">
        <v>1292</v>
      </c>
      <c r="X374" s="557"/>
    </row>
    <row r="375" spans="1:24" ht="15" customHeight="1" x14ac:dyDescent="0.25">
      <c r="A375" s="677"/>
      <c r="B375" s="554" t="s">
        <v>845</v>
      </c>
      <c r="C375" s="554"/>
      <c r="D375" s="555" t="s">
        <v>380</v>
      </c>
      <c r="E375" s="556" t="s">
        <v>5</v>
      </c>
      <c r="F375" s="554" t="s">
        <v>26</v>
      </c>
      <c r="G375" s="514">
        <v>1</v>
      </c>
      <c r="H375" s="515"/>
      <c r="I375" s="515"/>
      <c r="J375" s="515">
        <v>30</v>
      </c>
      <c r="K375" s="515">
        <v>30</v>
      </c>
      <c r="L375" s="557"/>
      <c r="M375" s="557"/>
      <c r="N375" s="557"/>
      <c r="O375" s="557"/>
      <c r="P375" s="940">
        <f>IFERROR(IF(VLOOKUP(Table_Shelter[[#This Row],[CampName]],CL,5,0)&lt;Table_Shelter[[#This Row],[HH Covered2]],VLOOKUP(Table_Shelter[[#This Row],[CampName]],CL,5,0),Table_Shelter[[#This Row],[HH Covered2]]),"")</f>
        <v>15</v>
      </c>
      <c r="Q375" s="516">
        <f>IF(Table_Shelter[[#This Row],[Status]]="Open",IF(W375="NO",Table_Shelter[[#This Row],[HH per Shelter]]*(Table_Shelter[[#This Row],['# of Temporary Shelter Units Built]]+Table_Shelter[[#This Row],['# of Temporary Shelter Under  Construction]]+Table_Shelter[[#This Row],['# of Permanent House Under Construction]]),0),0)</f>
        <v>30</v>
      </c>
      <c r="R375" s="516"/>
      <c r="S375" s="557"/>
      <c r="T375" s="557" t="str">
        <f>IFERROR(VLOOKUP(Table_Shelter[[#This Row],[CampName]],CL,2,0),"")</f>
        <v>MMR001CMP053</v>
      </c>
      <c r="U375" s="557" t="str">
        <f>IFERROR(VLOOKUP(Table_Shelter[[#This Row],[CampName]],CL,3,0),"")</f>
        <v>Open</v>
      </c>
      <c r="V375" s="558">
        <f>IFERROR(Table_Shelter[[#This Row],[HH Covered]]/VLOOKUP(Table_Shelter[[#This Row],[CampName]],CL,5,0),"")</f>
        <v>1</v>
      </c>
      <c r="W375" s="558" t="s">
        <v>1292</v>
      </c>
      <c r="X375" s="557"/>
    </row>
    <row r="376" spans="1:24" ht="15" customHeight="1" x14ac:dyDescent="0.25">
      <c r="A376" s="677"/>
      <c r="B376" s="554" t="s">
        <v>451</v>
      </c>
      <c r="C376" s="554" t="s">
        <v>845</v>
      </c>
      <c r="D376" s="555" t="s">
        <v>380</v>
      </c>
      <c r="E376" s="556" t="s">
        <v>5</v>
      </c>
      <c r="F376" s="554" t="s">
        <v>26</v>
      </c>
      <c r="G376" s="514">
        <v>1</v>
      </c>
      <c r="H376" s="515"/>
      <c r="I376" s="515"/>
      <c r="J376" s="515">
        <v>12</v>
      </c>
      <c r="K376" s="515">
        <v>12</v>
      </c>
      <c r="L376" s="557"/>
      <c r="M376" s="557"/>
      <c r="N376" s="557"/>
      <c r="O376" s="557"/>
      <c r="P376" s="940">
        <f>IFERROR(IF(VLOOKUP(Table_Shelter[[#This Row],[CampName]],CL,5,0)&lt;Table_Shelter[[#This Row],[HH Covered2]],VLOOKUP(Table_Shelter[[#This Row],[CampName]],CL,5,0),Table_Shelter[[#This Row],[HH Covered2]]),"")</f>
        <v>12</v>
      </c>
      <c r="Q376" s="516">
        <f>IF(Table_Shelter[[#This Row],[Status]]="Open",IF(W376="NO",Table_Shelter[[#This Row],[HH per Shelter]]*(Table_Shelter[[#This Row],['# of Temporary Shelter Units Built]]+Table_Shelter[[#This Row],['# of Temporary Shelter Under  Construction]]+Table_Shelter[[#This Row],['# of Permanent House Under Construction]]),0),0)</f>
        <v>12</v>
      </c>
      <c r="R376" s="516"/>
      <c r="S376" s="557"/>
      <c r="T376" s="557" t="str">
        <f>IFERROR(VLOOKUP(Table_Shelter[[#This Row],[CampName]],CL,2,0),"")</f>
        <v>MMR001CMP053</v>
      </c>
      <c r="U376" s="557" t="str">
        <f>IFERROR(VLOOKUP(Table_Shelter[[#This Row],[CampName]],CL,3,0),"")</f>
        <v>Open</v>
      </c>
      <c r="V376" s="558">
        <f>IFERROR(Table_Shelter[[#This Row],[HH Covered]]/VLOOKUP(Table_Shelter[[#This Row],[CampName]],CL,5,0),"")</f>
        <v>0.8</v>
      </c>
      <c r="W376" s="558" t="s">
        <v>1292</v>
      </c>
      <c r="X376" s="557"/>
    </row>
    <row r="377" spans="1:24" ht="15" customHeight="1" x14ac:dyDescent="0.25">
      <c r="A377" s="677"/>
      <c r="B377" s="554" t="s">
        <v>451</v>
      </c>
      <c r="C377" s="554" t="s">
        <v>504</v>
      </c>
      <c r="D377" s="555" t="s">
        <v>380</v>
      </c>
      <c r="E377" s="556" t="s">
        <v>5</v>
      </c>
      <c r="F377" s="554" t="s">
        <v>26</v>
      </c>
      <c r="G377" s="514">
        <v>1</v>
      </c>
      <c r="H377" s="515"/>
      <c r="I377" s="515"/>
      <c r="J377" s="515">
        <v>10</v>
      </c>
      <c r="K377" s="515">
        <v>10</v>
      </c>
      <c r="L377" s="557"/>
      <c r="M377" s="557"/>
      <c r="N377" s="557"/>
      <c r="O377" s="557"/>
      <c r="P377" s="940">
        <f>IFERROR(IF(VLOOKUP(Table_Shelter[[#This Row],[CampName]],CL,5,0)&lt;Table_Shelter[[#This Row],[HH Covered2]],VLOOKUP(Table_Shelter[[#This Row],[CampName]],CL,5,0),Table_Shelter[[#This Row],[HH Covered2]]),"")</f>
        <v>10</v>
      </c>
      <c r="Q377" s="516">
        <f>IF(Table_Shelter[[#This Row],[Status]]="Open",IF(W377="NO",Table_Shelter[[#This Row],[HH per Shelter]]*(Table_Shelter[[#This Row],['# of Temporary Shelter Units Built]]+Table_Shelter[[#This Row],['# of Temporary Shelter Under  Construction]]+Table_Shelter[[#This Row],['# of Permanent House Under Construction]]),0),0)</f>
        <v>10</v>
      </c>
      <c r="R377" s="516"/>
      <c r="S377" s="557"/>
      <c r="T377" s="557" t="str">
        <f>IFERROR(VLOOKUP(Table_Shelter[[#This Row],[CampName]],CL,2,0),"")</f>
        <v>MMR001CMP053</v>
      </c>
      <c r="U377" s="557" t="str">
        <f>IFERROR(VLOOKUP(Table_Shelter[[#This Row],[CampName]],CL,3,0),"")</f>
        <v>Open</v>
      </c>
      <c r="V377" s="558">
        <f>IFERROR(Table_Shelter[[#This Row],[HH Covered]]/VLOOKUP(Table_Shelter[[#This Row],[CampName]],CL,5,0),"")</f>
        <v>0.66666666666666663</v>
      </c>
      <c r="W377" s="558" t="s">
        <v>1292</v>
      </c>
      <c r="X377" s="557"/>
    </row>
    <row r="378" spans="1:24" ht="15" customHeight="1" x14ac:dyDescent="0.25">
      <c r="A378" s="677"/>
      <c r="B378" s="554" t="s">
        <v>451</v>
      </c>
      <c r="C378" s="554"/>
      <c r="D378" s="555" t="s">
        <v>380</v>
      </c>
      <c r="E378" s="556" t="s">
        <v>5</v>
      </c>
      <c r="F378" s="554" t="s">
        <v>26</v>
      </c>
      <c r="G378" s="514">
        <v>1</v>
      </c>
      <c r="H378" s="515"/>
      <c r="I378" s="515"/>
      <c r="J378" s="515">
        <v>6</v>
      </c>
      <c r="K378" s="515"/>
      <c r="L378" s="557"/>
      <c r="M378" s="557"/>
      <c r="N378" s="557"/>
      <c r="O378" s="557"/>
      <c r="P378" s="940">
        <f>IFERROR(IF(VLOOKUP(Table_Shelter[[#This Row],[CampName]],CL,5,0)&lt;Table_Shelter[[#This Row],[HH Covered2]],VLOOKUP(Table_Shelter[[#This Row],[CampName]],CL,5,0),Table_Shelter[[#This Row],[HH Covered2]]),"")</f>
        <v>0</v>
      </c>
      <c r="Q378" s="516">
        <f>IF(Table_Shelter[[#This Row],[Status]]="Open",IF(W378="NO",Table_Shelter[[#This Row],[HH per Shelter]]*(Table_Shelter[[#This Row],['# of Temporary Shelter Units Built]]+Table_Shelter[[#This Row],['# of Temporary Shelter Under  Construction]]+Table_Shelter[[#This Row],['# of Permanent House Under Construction]]),0),0)</f>
        <v>0</v>
      </c>
      <c r="R378" s="516"/>
      <c r="S378" s="557"/>
      <c r="T378" s="557" t="str">
        <f>IFERROR(VLOOKUP(Table_Shelter[[#This Row],[CampName]],CL,2,0),"")</f>
        <v>MMR001CMP053</v>
      </c>
      <c r="U378" s="557" t="str">
        <f>IFERROR(VLOOKUP(Table_Shelter[[#This Row],[CampName]],CL,3,0),"")</f>
        <v>Open</v>
      </c>
      <c r="V378" s="558">
        <f>IFERROR(Table_Shelter[[#This Row],[HH Covered]]/VLOOKUP(Table_Shelter[[#This Row],[CampName]],CL,5,0),"")</f>
        <v>0</v>
      </c>
      <c r="W378" s="558" t="s">
        <v>1292</v>
      </c>
      <c r="X378" s="557"/>
    </row>
    <row r="379" spans="1:24" ht="15" customHeight="1" x14ac:dyDescent="0.25">
      <c r="A379" s="677"/>
      <c r="B379" s="554" t="s">
        <v>451</v>
      </c>
      <c r="C379" s="554" t="s">
        <v>504</v>
      </c>
      <c r="D379" s="555" t="s">
        <v>380</v>
      </c>
      <c r="E379" s="556" t="s">
        <v>526</v>
      </c>
      <c r="F379" s="554" t="s">
        <v>140</v>
      </c>
      <c r="G379" s="514">
        <v>1</v>
      </c>
      <c r="H379" s="515"/>
      <c r="I379" s="515"/>
      <c r="J379" s="515">
        <v>10</v>
      </c>
      <c r="K379" s="515">
        <v>10</v>
      </c>
      <c r="L379" s="557"/>
      <c r="M379" s="557"/>
      <c r="N379" s="557"/>
      <c r="O379" s="557"/>
      <c r="P379" s="940">
        <f>IFERROR(IF(VLOOKUP(Table_Shelter[[#This Row],[CampName]],CL,5,0)&lt;Table_Shelter[[#This Row],[HH Covered2]],VLOOKUP(Table_Shelter[[#This Row],[CampName]],CL,5,0),Table_Shelter[[#This Row],[HH Covered2]]),"")</f>
        <v>10</v>
      </c>
      <c r="Q379" s="516">
        <f>IF(Table_Shelter[[#This Row],[Status]]="Open",IF(W379="NO",Table_Shelter[[#This Row],[HH per Shelter]]*(Table_Shelter[[#This Row],['# of Temporary Shelter Units Built]]+Table_Shelter[[#This Row],['# of Temporary Shelter Under  Construction]]+Table_Shelter[[#This Row],['# of Permanent House Under Construction]]),0),0)</f>
        <v>10</v>
      </c>
      <c r="R379" s="516"/>
      <c r="S379" s="557"/>
      <c r="T379" s="557" t="str">
        <f>IFERROR(VLOOKUP(Table_Shelter[[#This Row],[CampName]],CL,2,0),"")</f>
        <v>MMR001CMP105</v>
      </c>
      <c r="U379" s="557" t="str">
        <f>IFERROR(VLOOKUP(Table_Shelter[[#This Row],[CampName]],CL,3,0),"")</f>
        <v>Open</v>
      </c>
      <c r="V379" s="558">
        <f>IFERROR(Table_Shelter[[#This Row],[HH Covered]]/VLOOKUP(Table_Shelter[[#This Row],[CampName]],CL,5,0),"")</f>
        <v>0.90909090909090906</v>
      </c>
      <c r="W379" s="558" t="s">
        <v>1292</v>
      </c>
      <c r="X379" s="557"/>
    </row>
    <row r="380" spans="1:24" ht="15" customHeight="1" x14ac:dyDescent="0.25">
      <c r="A380" s="677"/>
      <c r="B380" s="554" t="s">
        <v>569</v>
      </c>
      <c r="C380" s="554" t="s">
        <v>459</v>
      </c>
      <c r="D380" s="555" t="s">
        <v>380</v>
      </c>
      <c r="E380" s="556" t="s">
        <v>310</v>
      </c>
      <c r="F380" s="162" t="s">
        <v>1233</v>
      </c>
      <c r="G380" s="103">
        <v>1</v>
      </c>
      <c r="H380" s="105"/>
      <c r="I380" s="105"/>
      <c r="J380" s="105">
        <v>220</v>
      </c>
      <c r="K380" s="105">
        <v>220</v>
      </c>
      <c r="L380" s="164"/>
      <c r="M380" s="164"/>
      <c r="N380" s="164"/>
      <c r="O380" s="164"/>
      <c r="P380" s="936">
        <f>IFERROR(IF(VLOOKUP(Table_Shelter[[#This Row],[CampName]],CL,5,0)&lt;Table_Shelter[[#This Row],[HH Covered2]],VLOOKUP(Table_Shelter[[#This Row],[CampName]],CL,5,0),Table_Shelter[[#This Row],[HH Covered2]]),"")</f>
        <v>0</v>
      </c>
      <c r="Q380" s="104">
        <f>IF(Table_Shelter[[#This Row],[Status]]="Open",IF(W380="NO",Table_Shelter[[#This Row],[HH per Shelter]]*(Table_Shelter[[#This Row],['# of Temporary Shelter Units Built]]+Table_Shelter[[#This Row],['# of Temporary Shelter Under  Construction]]+Table_Shelter[[#This Row],['# of Permanent House Under Construction]]),0),0)</f>
        <v>0</v>
      </c>
      <c r="R380" s="104"/>
      <c r="S380" s="164"/>
      <c r="T380" s="164" t="str">
        <f>IFERROR(VLOOKUP(Table_Shelter[[#This Row],[CampName]],CL,2,0),"")</f>
        <v>MMR001CMP111</v>
      </c>
      <c r="U380" s="164" t="str">
        <f>IFERROR(VLOOKUP(Table_Shelter[[#This Row],[CampName]],CL,3,0),"")</f>
        <v>Closed</v>
      </c>
      <c r="V380" s="240" t="str">
        <f>IFERROR(Table_Shelter[[#This Row],[HH Covered]]/VLOOKUP(Table_Shelter[[#This Row],[CampName]],CL,5,0),"")</f>
        <v/>
      </c>
      <c r="W380" s="240" t="s">
        <v>1292</v>
      </c>
      <c r="X380" s="164"/>
    </row>
    <row r="381" spans="1:24" ht="15" customHeight="1" x14ac:dyDescent="0.25">
      <c r="A381" s="677"/>
      <c r="B381" s="554" t="s">
        <v>451</v>
      </c>
      <c r="C381" s="554" t="s">
        <v>459</v>
      </c>
      <c r="D381" s="555" t="s">
        <v>380</v>
      </c>
      <c r="E381" s="556" t="s">
        <v>310</v>
      </c>
      <c r="F381" s="162" t="s">
        <v>1233</v>
      </c>
      <c r="G381" s="514">
        <v>1</v>
      </c>
      <c r="H381" s="515"/>
      <c r="I381" s="515"/>
      <c r="J381" s="515">
        <v>325</v>
      </c>
      <c r="K381" s="515">
        <v>325</v>
      </c>
      <c r="L381" s="557"/>
      <c r="M381" s="557"/>
      <c r="N381" s="557"/>
      <c r="O381" s="557"/>
      <c r="P381" s="940">
        <f>IFERROR(IF(VLOOKUP(Table_Shelter[[#This Row],[CampName]],CL,5,0)&lt;Table_Shelter[[#This Row],[HH Covered2]],VLOOKUP(Table_Shelter[[#This Row],[CampName]],CL,5,0),Table_Shelter[[#This Row],[HH Covered2]]),"")</f>
        <v>0</v>
      </c>
      <c r="Q381" s="516">
        <f>IF(Table_Shelter[[#This Row],[Status]]="Open",IF(W381="NO",Table_Shelter[[#This Row],[HH per Shelter]]*(Table_Shelter[[#This Row],['# of Temporary Shelter Units Built]]+Table_Shelter[[#This Row],['# of Temporary Shelter Under  Construction]]+Table_Shelter[[#This Row],['# of Permanent House Under Construction]]),0),0)</f>
        <v>0</v>
      </c>
      <c r="R381" s="516"/>
      <c r="S381" s="557"/>
      <c r="T381" s="557" t="str">
        <f>IFERROR(VLOOKUP(Table_Shelter[[#This Row],[CampName]],CL,2,0),"")</f>
        <v>MMR001CMP111</v>
      </c>
      <c r="U381" s="164" t="str">
        <f>IFERROR(VLOOKUP(Table_Shelter[[#This Row],[CampName]],CL,3,0),"")</f>
        <v>Closed</v>
      </c>
      <c r="V381" s="558" t="str">
        <f>IFERROR(Table_Shelter[[#This Row],[HH Covered]]/VLOOKUP(Table_Shelter[[#This Row],[CampName]],CL,5,0),"")</f>
        <v/>
      </c>
      <c r="W381" s="240" t="s">
        <v>1292</v>
      </c>
      <c r="X381" s="557"/>
    </row>
    <row r="382" spans="1:24" ht="15" customHeight="1" x14ac:dyDescent="0.25">
      <c r="A382" s="678"/>
      <c r="B382" s="162" t="s">
        <v>1092</v>
      </c>
      <c r="C382" s="162" t="s">
        <v>943</v>
      </c>
      <c r="D382" s="165" t="s">
        <v>552</v>
      </c>
      <c r="E382" s="307" t="s">
        <v>146</v>
      </c>
      <c r="F382" s="162" t="s">
        <v>373</v>
      </c>
      <c r="G382" s="103">
        <v>1</v>
      </c>
      <c r="H382" s="105"/>
      <c r="I382" s="105"/>
      <c r="J382" s="105">
        <v>85</v>
      </c>
      <c r="K382" s="105">
        <v>85</v>
      </c>
      <c r="L382" s="164"/>
      <c r="M382" s="164"/>
      <c r="N382" s="164"/>
      <c r="O382" s="164"/>
      <c r="P382" s="936">
        <f>IFERROR(IF(VLOOKUP(Table_Shelter[[#This Row],[CampName]],CL,5,0)&lt;Table_Shelter[[#This Row],[HH Covered2]],VLOOKUP(Table_Shelter[[#This Row],[CampName]],CL,5,0),Table_Shelter[[#This Row],[HH Covered2]]),"")</f>
        <v>85</v>
      </c>
      <c r="Q382" s="104">
        <f>IF(Table_Shelter[[#This Row],[Status]]="Open",IF(W382="NO",Table_Shelter[[#This Row],[HH per Shelter]]*(Table_Shelter[[#This Row],['# of Temporary Shelter Units Built]]+Table_Shelter[[#This Row],['# of Temporary Shelter Under  Construction]]+Table_Shelter[[#This Row],['# of Permanent House Under Construction]]),0),0)</f>
        <v>85</v>
      </c>
      <c r="R382" s="104"/>
      <c r="S382" s="164"/>
      <c r="T382" s="164" t="str">
        <f>IFERROR(VLOOKUP(Table_Shelter[[#This Row],[CampName]],CL,2,0),"")</f>
        <v>MMR015CMP020</v>
      </c>
      <c r="U382" s="164" t="str">
        <f>IFERROR(VLOOKUP(Table_Shelter[[#This Row],[CampName]],CL,3,0),"")</f>
        <v>Open</v>
      </c>
      <c r="V382" s="240">
        <f>IFERROR(Table_Shelter[[#This Row],[HH Covered]]/VLOOKUP(Table_Shelter[[#This Row],[CampName]],CL,5,0),"")</f>
        <v>0.45698924731182794</v>
      </c>
      <c r="W382" s="240" t="s">
        <v>1292</v>
      </c>
      <c r="X382" s="164"/>
    </row>
    <row r="383" spans="1:24" ht="15" customHeight="1" x14ac:dyDescent="0.25">
      <c r="A383" s="678"/>
      <c r="B383" s="162" t="s">
        <v>451</v>
      </c>
      <c r="C383" s="162"/>
      <c r="D383" s="165" t="s">
        <v>380</v>
      </c>
      <c r="E383" s="556" t="s">
        <v>526</v>
      </c>
      <c r="F383" s="162"/>
      <c r="G383" s="103">
        <v>1</v>
      </c>
      <c r="H383" s="105">
        <v>30</v>
      </c>
      <c r="I383" s="105">
        <v>30</v>
      </c>
      <c r="J383" s="105"/>
      <c r="K383" s="105"/>
      <c r="L383" s="164"/>
      <c r="M383" s="164"/>
      <c r="N383" s="164"/>
      <c r="O383" s="164"/>
      <c r="P383" s="936" t="str">
        <f>IFERROR(IF(VLOOKUP(Table_Shelter[[#This Row],[CampName]],CL,5,0)&lt;Table_Shelter[[#This Row],[HH Covered2]],VLOOKUP(Table_Shelter[[#This Row],[CampName]],CL,5,0),Table_Shelter[[#This Row],[HH Covered2]]),"")</f>
        <v/>
      </c>
      <c r="Q383" s="104">
        <f>IF(Table_Shelter[[#This Row],[Status]]="Open",IF(W383="NO",Table_Shelter[[#This Row],[HH per Shelter]]*(Table_Shelter[[#This Row],['# of Temporary Shelter Units Built]]+Table_Shelter[[#This Row],['# of Temporary Shelter Under  Construction]]+Table_Shelter[[#This Row],['# of Permanent House Under Construction]]),0),0)</f>
        <v>0</v>
      </c>
      <c r="R383" s="104"/>
      <c r="S383" s="164"/>
      <c r="T383" s="164" t="str">
        <f>IFERROR(VLOOKUP(Table_Shelter[[#This Row],[CampName]],CL,2,0),"")</f>
        <v/>
      </c>
      <c r="U383" s="164" t="str">
        <f>IFERROR(VLOOKUP(Table_Shelter[[#This Row],[CampName]],CL,3,0),"")</f>
        <v/>
      </c>
      <c r="V383" s="240" t="str">
        <f>IFERROR(Table_Shelter[[#This Row],[HH Covered]]/VLOOKUP(Table_Shelter[[#This Row],[CampName]],CL,5,0),"")</f>
        <v/>
      </c>
      <c r="W383" s="240" t="s">
        <v>1292</v>
      </c>
      <c r="X383" s="164"/>
    </row>
    <row r="384" spans="1:24" ht="15" customHeight="1" x14ac:dyDescent="0.25">
      <c r="A384" s="678"/>
      <c r="B384" s="162" t="s">
        <v>569</v>
      </c>
      <c r="C384" s="162" t="s">
        <v>459</v>
      </c>
      <c r="D384" s="165" t="s">
        <v>380</v>
      </c>
      <c r="E384" s="556" t="s">
        <v>237</v>
      </c>
      <c r="F384" s="162"/>
      <c r="G384" s="103">
        <v>1</v>
      </c>
      <c r="H384" s="105"/>
      <c r="I384" s="105"/>
      <c r="J384" s="105">
        <v>15</v>
      </c>
      <c r="K384" s="105">
        <v>15</v>
      </c>
      <c r="L384" s="164"/>
      <c r="M384" s="164"/>
      <c r="N384" s="164"/>
      <c r="O384" s="164"/>
      <c r="P384" s="936" t="str">
        <f>IFERROR(IF(VLOOKUP(Table_Shelter[[#This Row],[CampName]],CL,5,0)&lt;Table_Shelter[[#This Row],[HH Covered2]],VLOOKUP(Table_Shelter[[#This Row],[CampName]],CL,5,0),Table_Shelter[[#This Row],[HH Covered2]]),"")</f>
        <v/>
      </c>
      <c r="Q384" s="104">
        <f>IF(Table_Shelter[[#This Row],[Status]]="Open",IF(W384="NO",Table_Shelter[[#This Row],[HH per Shelter]]*(Table_Shelter[[#This Row],['# of Temporary Shelter Units Built]]+Table_Shelter[[#This Row],['# of Temporary Shelter Under  Construction]]+Table_Shelter[[#This Row],['# of Permanent House Under Construction]]),0),0)</f>
        <v>0</v>
      </c>
      <c r="R384" s="104"/>
      <c r="S384" s="164"/>
      <c r="T384" s="164" t="str">
        <f>IFERROR(VLOOKUP(Table_Shelter[[#This Row],[CampName]],CL,2,0),"")</f>
        <v/>
      </c>
      <c r="U384" s="164" t="str">
        <f>IFERROR(VLOOKUP(Table_Shelter[[#This Row],[CampName]],CL,3,0),"")</f>
        <v/>
      </c>
      <c r="V384" s="240" t="str">
        <f>IFERROR(Table_Shelter[[#This Row],[HH Covered]]/VLOOKUP(Table_Shelter[[#This Row],[CampName]],CL,5,0),"")</f>
        <v/>
      </c>
      <c r="W384" s="240" t="s">
        <v>1292</v>
      </c>
      <c r="X384" s="164"/>
    </row>
    <row r="385" spans="1:24" ht="15" customHeight="1" x14ac:dyDescent="0.25">
      <c r="A385" s="678"/>
      <c r="B385" s="162" t="s">
        <v>451</v>
      </c>
      <c r="C385" s="162"/>
      <c r="D385" s="165" t="s">
        <v>380</v>
      </c>
      <c r="E385" s="556" t="s">
        <v>300</v>
      </c>
      <c r="F385" s="554"/>
      <c r="G385" s="514">
        <v>1</v>
      </c>
      <c r="H385" s="515">
        <v>55</v>
      </c>
      <c r="I385" s="515">
        <v>55</v>
      </c>
      <c r="J385" s="515"/>
      <c r="K385" s="515"/>
      <c r="L385" s="557"/>
      <c r="M385" s="557"/>
      <c r="N385" s="557"/>
      <c r="O385" s="557"/>
      <c r="P385" s="940" t="str">
        <f>IFERROR(IF(VLOOKUP(Table_Shelter[[#This Row],[CampName]],CL,5,0)&lt;Table_Shelter[[#This Row],[HH Covered2]],VLOOKUP(Table_Shelter[[#This Row],[CampName]],CL,5,0),Table_Shelter[[#This Row],[HH Covered2]]),"")</f>
        <v/>
      </c>
      <c r="Q385" s="516">
        <f>IF(Table_Shelter[[#This Row],[Status]]="Open",IF(W385="NO",Table_Shelter[[#This Row],[HH per Shelter]]*(Table_Shelter[[#This Row],['# of Temporary Shelter Units Built]]+Table_Shelter[[#This Row],['# of Temporary Shelter Under  Construction]]+Table_Shelter[[#This Row],['# of Permanent House Under Construction]]),0),0)</f>
        <v>0</v>
      </c>
      <c r="R385" s="516"/>
      <c r="S385" s="557"/>
      <c r="T385" s="557" t="str">
        <f>IFERROR(VLOOKUP(Table_Shelter[[#This Row],[CampName]],CL,2,0),"")</f>
        <v/>
      </c>
      <c r="U385" s="557" t="str">
        <f>IFERROR(VLOOKUP(Table_Shelter[[#This Row],[CampName]],CL,3,0),"")</f>
        <v/>
      </c>
      <c r="V385" s="558" t="str">
        <f>IFERROR(Table_Shelter[[#This Row],[HH Covered]]/VLOOKUP(Table_Shelter[[#This Row],[CampName]],CL,5,0),"")</f>
        <v/>
      </c>
      <c r="W385" s="240" t="s">
        <v>1292</v>
      </c>
      <c r="X385" s="557"/>
    </row>
    <row r="386" spans="1:24" x14ac:dyDescent="0.25">
      <c r="A386" s="4"/>
      <c r="B386" s="4"/>
      <c r="C386" s="4"/>
      <c r="D386" s="4"/>
      <c r="E386" s="4"/>
      <c r="F386" s="4"/>
      <c r="G386" s="4"/>
      <c r="H386" s="4"/>
      <c r="I386" s="4"/>
      <c r="J386" s="4"/>
      <c r="K386" s="4"/>
      <c r="L386" s="4"/>
      <c r="M386" s="4"/>
      <c r="N386" s="4"/>
      <c r="O386" s="4"/>
      <c r="P386" s="941"/>
      <c r="Q386" s="4"/>
      <c r="T386" s="4"/>
      <c r="U386" s="4"/>
      <c r="V386" s="4"/>
      <c r="W386" s="4"/>
      <c r="X386" s="4"/>
    </row>
  </sheetData>
  <mergeCells count="2">
    <mergeCell ref="A2:C2"/>
    <mergeCell ref="A3:Q3"/>
  </mergeCells>
  <conditionalFormatting sqref="S1:S3 U248 S248 U86:U112 U236:U246 S236:S246 S275:S276 U275:U276 U4:U84 S31:S84 U278:U365 S278:S1048576 U114:U234 S114:S234">
    <cfRule type="containsText" dxfId="1286" priority="119" operator="containsText" text="close">
      <formula>NOT(ISERROR(SEARCH("close",S1)))</formula>
    </cfRule>
    <cfRule type="containsText" dxfId="1285" priority="120" operator="containsText" text="open">
      <formula>NOT(ISERROR(SEARCH("open",S1)))</formula>
    </cfRule>
  </conditionalFormatting>
  <conditionalFormatting sqref="S86:S112">
    <cfRule type="containsText" dxfId="1284" priority="117" operator="containsText" text="close">
      <formula>NOT(ISERROR(SEARCH("close",S86)))</formula>
    </cfRule>
    <cfRule type="containsText" dxfId="1283" priority="118" operator="containsText" text="open">
      <formula>NOT(ISERROR(SEARCH("open",S86)))</formula>
    </cfRule>
  </conditionalFormatting>
  <conditionalFormatting sqref="S266 U266">
    <cfRule type="containsText" dxfId="1282" priority="63" operator="containsText" text="close">
      <formula>NOT(ISERROR(SEARCH("close",S266)))</formula>
    </cfRule>
    <cfRule type="containsText" dxfId="1281" priority="64" operator="containsText" text="open">
      <formula>NOT(ISERROR(SEARCH("open",S266)))</formula>
    </cfRule>
  </conditionalFormatting>
  <conditionalFormatting sqref="U249 S249">
    <cfRule type="containsText" dxfId="1280" priority="115" operator="containsText" text="close">
      <formula>NOT(ISERROR(SEARCH("close",S249)))</formula>
    </cfRule>
    <cfRule type="containsText" dxfId="1279" priority="116" operator="containsText" text="open">
      <formula>NOT(ISERROR(SEARCH("open",S249)))</formula>
    </cfRule>
  </conditionalFormatting>
  <conditionalFormatting sqref="U250">
    <cfRule type="containsText" dxfId="1278" priority="113" operator="containsText" text="close">
      <formula>NOT(ISERROR(SEARCH("close",U250)))</formula>
    </cfRule>
    <cfRule type="containsText" dxfId="1277" priority="114" operator="containsText" text="open">
      <formula>NOT(ISERROR(SEARCH("open",U250)))</formula>
    </cfRule>
  </conditionalFormatting>
  <conditionalFormatting sqref="U251">
    <cfRule type="containsText" dxfId="1276" priority="111" operator="containsText" text="close">
      <formula>NOT(ISERROR(SEARCH("close",U251)))</formula>
    </cfRule>
    <cfRule type="containsText" dxfId="1275" priority="112" operator="containsText" text="open">
      <formula>NOT(ISERROR(SEARCH("open",U251)))</formula>
    </cfRule>
  </conditionalFormatting>
  <conditionalFormatting sqref="S251">
    <cfRule type="containsText" dxfId="1274" priority="109" operator="containsText" text="close">
      <formula>NOT(ISERROR(SEARCH("close",S251)))</formula>
    </cfRule>
    <cfRule type="containsText" dxfId="1273" priority="110" operator="containsText" text="open">
      <formula>NOT(ISERROR(SEARCH("open",S251)))</formula>
    </cfRule>
  </conditionalFormatting>
  <conditionalFormatting sqref="U252">
    <cfRule type="containsText" dxfId="1272" priority="103" operator="containsText" text="close">
      <formula>NOT(ISERROR(SEARCH("close",U252)))</formula>
    </cfRule>
    <cfRule type="containsText" dxfId="1271" priority="104" operator="containsText" text="open">
      <formula>NOT(ISERROR(SEARCH("open",U252)))</formula>
    </cfRule>
  </conditionalFormatting>
  <conditionalFormatting sqref="S252">
    <cfRule type="containsText" dxfId="1270" priority="101" operator="containsText" text="close">
      <formula>NOT(ISERROR(SEARCH("close",S252)))</formula>
    </cfRule>
    <cfRule type="containsText" dxfId="1269" priority="102" operator="containsText" text="open">
      <formula>NOT(ISERROR(SEARCH("open",S252)))</formula>
    </cfRule>
  </conditionalFormatting>
  <conditionalFormatting sqref="U253">
    <cfRule type="containsText" dxfId="1268" priority="99" operator="containsText" text="close">
      <formula>NOT(ISERROR(SEARCH("close",U253)))</formula>
    </cfRule>
    <cfRule type="containsText" dxfId="1267" priority="100" operator="containsText" text="open">
      <formula>NOT(ISERROR(SEARCH("open",U253)))</formula>
    </cfRule>
  </conditionalFormatting>
  <conditionalFormatting sqref="S253">
    <cfRule type="containsText" dxfId="1266" priority="97" operator="containsText" text="close">
      <formula>NOT(ISERROR(SEARCH("close",S253)))</formula>
    </cfRule>
    <cfRule type="containsText" dxfId="1265" priority="98" operator="containsText" text="open">
      <formula>NOT(ISERROR(SEARCH("open",S253)))</formula>
    </cfRule>
  </conditionalFormatting>
  <conditionalFormatting sqref="U254 S254">
    <cfRule type="containsText" dxfId="1264" priority="95" operator="containsText" text="close">
      <formula>NOT(ISERROR(SEARCH("close",S254)))</formula>
    </cfRule>
    <cfRule type="containsText" dxfId="1263" priority="96" operator="containsText" text="open">
      <formula>NOT(ISERROR(SEARCH("open",S254)))</formula>
    </cfRule>
  </conditionalFormatting>
  <conditionalFormatting sqref="U255 S255">
    <cfRule type="containsText" dxfId="1262" priority="91" operator="containsText" text="close">
      <formula>NOT(ISERROR(SEARCH("close",S255)))</formula>
    </cfRule>
    <cfRule type="containsText" dxfId="1261" priority="92" operator="containsText" text="open">
      <formula>NOT(ISERROR(SEARCH("open",S255)))</formula>
    </cfRule>
  </conditionalFormatting>
  <conditionalFormatting sqref="U256 S256">
    <cfRule type="containsText" dxfId="1260" priority="89" operator="containsText" text="close">
      <formula>NOT(ISERROR(SEARCH("close",S256)))</formula>
    </cfRule>
    <cfRule type="containsText" dxfId="1259" priority="90" operator="containsText" text="open">
      <formula>NOT(ISERROR(SEARCH("open",S256)))</formula>
    </cfRule>
  </conditionalFormatting>
  <conditionalFormatting sqref="U257 S257">
    <cfRule type="containsText" dxfId="1258" priority="87" operator="containsText" text="close">
      <formula>NOT(ISERROR(SEARCH("close",S257)))</formula>
    </cfRule>
    <cfRule type="containsText" dxfId="1257" priority="88" operator="containsText" text="open">
      <formula>NOT(ISERROR(SEARCH("open",S257)))</formula>
    </cfRule>
  </conditionalFormatting>
  <conditionalFormatting sqref="U259">
    <cfRule type="containsText" dxfId="1256" priority="83" operator="containsText" text="close">
      <formula>NOT(ISERROR(SEARCH("close",U259)))</formula>
    </cfRule>
    <cfRule type="containsText" dxfId="1255" priority="84" operator="containsText" text="open">
      <formula>NOT(ISERROR(SEARCH("open",U259)))</formula>
    </cfRule>
  </conditionalFormatting>
  <conditionalFormatting sqref="S259">
    <cfRule type="containsText" dxfId="1254" priority="81" operator="containsText" text="close">
      <formula>NOT(ISERROR(SEARCH("close",S259)))</formula>
    </cfRule>
    <cfRule type="containsText" dxfId="1253" priority="82" operator="containsText" text="open">
      <formula>NOT(ISERROR(SEARCH("open",S259)))</formula>
    </cfRule>
  </conditionalFormatting>
  <conditionalFormatting sqref="U260">
    <cfRule type="containsText" dxfId="1252" priority="79" operator="containsText" text="close">
      <formula>NOT(ISERROR(SEARCH("close",U260)))</formula>
    </cfRule>
    <cfRule type="containsText" dxfId="1251" priority="80" operator="containsText" text="open">
      <formula>NOT(ISERROR(SEARCH("open",U260)))</formula>
    </cfRule>
  </conditionalFormatting>
  <conditionalFormatting sqref="S261 U261">
    <cfRule type="containsText" dxfId="1250" priority="73" operator="containsText" text="close">
      <formula>NOT(ISERROR(SEARCH("close",S261)))</formula>
    </cfRule>
    <cfRule type="containsText" dxfId="1249" priority="74" operator="containsText" text="open">
      <formula>NOT(ISERROR(SEARCH("open",S261)))</formula>
    </cfRule>
  </conditionalFormatting>
  <conditionalFormatting sqref="U264">
    <cfRule type="containsText" dxfId="1248" priority="71" operator="containsText" text="close">
      <formula>NOT(ISERROR(SEARCH("close",U264)))</formula>
    </cfRule>
    <cfRule type="containsText" dxfId="1247" priority="72" operator="containsText" text="open">
      <formula>NOT(ISERROR(SEARCH("open",U264)))</formula>
    </cfRule>
  </conditionalFormatting>
  <conditionalFormatting sqref="S264">
    <cfRule type="containsText" dxfId="1246" priority="69" operator="containsText" text="close">
      <formula>NOT(ISERROR(SEARCH("close",S264)))</formula>
    </cfRule>
    <cfRule type="containsText" dxfId="1245" priority="70" operator="containsText" text="open">
      <formula>NOT(ISERROR(SEARCH("open",S264)))</formula>
    </cfRule>
  </conditionalFormatting>
  <conditionalFormatting sqref="U265">
    <cfRule type="containsText" dxfId="1244" priority="67" operator="containsText" text="close">
      <formula>NOT(ISERROR(SEARCH("close",U265)))</formula>
    </cfRule>
    <cfRule type="containsText" dxfId="1243" priority="68" operator="containsText" text="open">
      <formula>NOT(ISERROR(SEARCH("open",U265)))</formula>
    </cfRule>
  </conditionalFormatting>
  <conditionalFormatting sqref="S265">
    <cfRule type="containsText" dxfId="1242" priority="65" operator="containsText" text="close">
      <formula>NOT(ISERROR(SEARCH("close",S265)))</formula>
    </cfRule>
    <cfRule type="containsText" dxfId="1241" priority="66" operator="containsText" text="open">
      <formula>NOT(ISERROR(SEARCH("open",S265)))</formula>
    </cfRule>
  </conditionalFormatting>
  <conditionalFormatting sqref="U262:U263 S262:S263">
    <cfRule type="containsText" dxfId="1240" priority="51" operator="containsText" text="close">
      <formula>NOT(ISERROR(SEARCH("close",S262)))</formula>
    </cfRule>
    <cfRule type="containsText" dxfId="1239" priority="52" operator="containsText" text="open">
      <formula>NOT(ISERROR(SEARCH("open",S262)))</formula>
    </cfRule>
  </conditionalFormatting>
  <conditionalFormatting sqref="S267:S269 U267:U269">
    <cfRule type="containsText" dxfId="1238" priority="45" operator="containsText" text="close">
      <formula>NOT(ISERROR(SEARCH("close",S267)))</formula>
    </cfRule>
    <cfRule type="containsText" dxfId="1237" priority="46" operator="containsText" text="open">
      <formula>NOT(ISERROR(SEARCH("open",S267)))</formula>
    </cfRule>
  </conditionalFormatting>
  <conditionalFormatting sqref="U272 S272">
    <cfRule type="containsText" dxfId="1236" priority="33" operator="containsText" text="close">
      <formula>NOT(ISERROR(SEARCH("close",S272)))</formula>
    </cfRule>
    <cfRule type="containsText" dxfId="1235" priority="34" operator="containsText" text="open">
      <formula>NOT(ISERROR(SEARCH("open",S272)))</formula>
    </cfRule>
  </conditionalFormatting>
  <conditionalFormatting sqref="U270:U271 S270:S271">
    <cfRule type="containsText" dxfId="1234" priority="35" operator="containsText" text="close">
      <formula>NOT(ISERROR(SEARCH("close",S270)))</formula>
    </cfRule>
    <cfRule type="containsText" dxfId="1233" priority="36" operator="containsText" text="open">
      <formula>NOT(ISERROR(SEARCH("open",S270)))</formula>
    </cfRule>
  </conditionalFormatting>
  <conditionalFormatting sqref="U273 S273">
    <cfRule type="containsText" dxfId="1232" priority="31" operator="containsText" text="close">
      <formula>NOT(ISERROR(SEARCH("close",S273)))</formula>
    </cfRule>
    <cfRule type="containsText" dxfId="1231" priority="32" operator="containsText" text="open">
      <formula>NOT(ISERROR(SEARCH("open",S273)))</formula>
    </cfRule>
  </conditionalFormatting>
  <conditionalFormatting sqref="U274 S274">
    <cfRule type="containsText" dxfId="1230" priority="29" operator="containsText" text="close">
      <formula>NOT(ISERROR(SEARCH("close",S274)))</formula>
    </cfRule>
    <cfRule type="containsText" dxfId="1229" priority="30" operator="containsText" text="open">
      <formula>NOT(ISERROR(SEARCH("open",S274)))</formula>
    </cfRule>
  </conditionalFormatting>
  <conditionalFormatting sqref="U113">
    <cfRule type="containsText" dxfId="1228" priority="27" operator="containsText" text="close">
      <formula>NOT(ISERROR(SEARCH("close",U113)))</formula>
    </cfRule>
    <cfRule type="containsText" dxfId="1227" priority="28" operator="containsText" text="open">
      <formula>NOT(ISERROR(SEARCH("open",U113)))</formula>
    </cfRule>
  </conditionalFormatting>
  <conditionalFormatting sqref="S113">
    <cfRule type="containsText" dxfId="1226" priority="25" operator="containsText" text="close">
      <formula>NOT(ISERROR(SEARCH("close",S113)))</formula>
    </cfRule>
    <cfRule type="containsText" dxfId="1225" priority="26" operator="containsText" text="open">
      <formula>NOT(ISERROR(SEARCH("open",S113)))</formula>
    </cfRule>
  </conditionalFormatting>
  <conditionalFormatting sqref="U247 S247">
    <cfRule type="containsText" dxfId="1224" priority="23" operator="containsText" text="close">
      <formula>NOT(ISERROR(SEARCH("close",S247)))</formula>
    </cfRule>
    <cfRule type="containsText" dxfId="1223" priority="24" operator="containsText" text="open">
      <formula>NOT(ISERROR(SEARCH("open",S247)))</formula>
    </cfRule>
  </conditionalFormatting>
  <conditionalFormatting sqref="U85">
    <cfRule type="containsText" dxfId="1222" priority="21" operator="containsText" text="close">
      <formula>NOT(ISERROR(SEARCH("close",U85)))</formula>
    </cfRule>
    <cfRule type="containsText" dxfId="1221" priority="22" operator="containsText" text="open">
      <formula>NOT(ISERROR(SEARCH("open",U85)))</formula>
    </cfRule>
  </conditionalFormatting>
  <conditionalFormatting sqref="S85">
    <cfRule type="containsText" dxfId="1220" priority="19" operator="containsText" text="close">
      <formula>NOT(ISERROR(SEARCH("close",S85)))</formula>
    </cfRule>
    <cfRule type="containsText" dxfId="1219" priority="20" operator="containsText" text="open">
      <formula>NOT(ISERROR(SEARCH("open",S85)))</formula>
    </cfRule>
  </conditionalFormatting>
  <conditionalFormatting sqref="U258">
    <cfRule type="containsText" dxfId="1218" priority="17" operator="containsText" text="close">
      <formula>NOT(ISERROR(SEARCH("close",U258)))</formula>
    </cfRule>
    <cfRule type="containsText" dxfId="1217" priority="18" operator="containsText" text="open">
      <formula>NOT(ISERROR(SEARCH("open",U258)))</formula>
    </cfRule>
  </conditionalFormatting>
  <conditionalFormatting sqref="S258">
    <cfRule type="containsText" dxfId="1216" priority="15" operator="containsText" text="close">
      <formula>NOT(ISERROR(SEARCH("close",S258)))</formula>
    </cfRule>
    <cfRule type="containsText" dxfId="1215" priority="16" operator="containsText" text="open">
      <formula>NOT(ISERROR(SEARCH("open",S258)))</formula>
    </cfRule>
  </conditionalFormatting>
  <conditionalFormatting sqref="U235 S235">
    <cfRule type="containsText" dxfId="1214" priority="13" operator="containsText" text="close">
      <formula>NOT(ISERROR(SEARCH("close",S235)))</formula>
    </cfRule>
    <cfRule type="containsText" dxfId="1213" priority="14" operator="containsText" text="open">
      <formula>NOT(ISERROR(SEARCH("open",S235)))</formula>
    </cfRule>
  </conditionalFormatting>
  <conditionalFormatting sqref="U277 S277">
    <cfRule type="containsText" dxfId="1212" priority="5" operator="containsText" text="close">
      <formula>NOT(ISERROR(SEARCH("close",S277)))</formula>
    </cfRule>
    <cfRule type="containsText" dxfId="1211" priority="6" operator="containsText" text="open">
      <formula>NOT(ISERROR(SEARCH("open",S277)))</formula>
    </cfRule>
  </conditionalFormatting>
  <dataValidations count="3">
    <dataValidation type="list" allowBlank="1" showInputMessage="1" showErrorMessage="1" sqref="D5:D385">
      <formula1>State</formula1>
    </dataValidation>
    <dataValidation type="list" allowBlank="1" showInputMessage="1" showErrorMessage="1" sqref="F5:F385">
      <formula1>OFFSET(TCL_T1,MATCH(E5,TCL_T,0)-1,1,COUNTIF(TCL_T,E5),1)</formula1>
    </dataValidation>
    <dataValidation type="list" showInputMessage="1" showErrorMessage="1" sqref="E5:E385">
      <formula1>INDIRECT(D5)</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Definition!$S$2:$S$3</xm:f>
          </x14:formula1>
          <xm:sqref>W254 W258:W261 W264:W269 W275:W357 W5:W252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sheetPr>
  <dimension ref="A1:V285"/>
  <sheetViews>
    <sheetView topLeftCell="I1" workbookViewId="0">
      <selection activeCell="H7" sqref="H7"/>
    </sheetView>
  </sheetViews>
  <sheetFormatPr defaultRowHeight="15" x14ac:dyDescent="0.25"/>
  <cols>
    <col min="1" max="1" width="13.85546875" customWidth="1"/>
    <col min="2" max="2" width="56.5703125" customWidth="1"/>
    <col min="3" max="3" width="56.5703125" bestFit="1" customWidth="1"/>
    <col min="4" max="4" width="13.85546875" customWidth="1"/>
    <col min="6" max="6" width="4.5703125" customWidth="1"/>
    <col min="7" max="7" width="56.7109375" bestFit="1" customWidth="1"/>
    <col min="8" max="8" width="16.140625" bestFit="1" customWidth="1"/>
    <col min="9" max="9" width="7" bestFit="1" customWidth="1"/>
    <col min="10" max="10" width="16.42578125" customWidth="1"/>
    <col min="13" max="13" width="16.140625" style="89" bestFit="1" customWidth="1"/>
    <col min="14" max="14" width="56.7109375" style="89" bestFit="1" customWidth="1"/>
    <col min="15" max="15" width="13.85546875" style="89" bestFit="1" customWidth="1"/>
    <col min="16" max="16" width="10.140625" style="89" bestFit="1" customWidth="1"/>
    <col min="17" max="17" width="12" bestFit="1" customWidth="1"/>
    <col min="21" max="21" width="16.140625" bestFit="1" customWidth="1"/>
    <col min="22" max="22" width="23.28515625" customWidth="1"/>
  </cols>
  <sheetData>
    <row r="1" spans="1:22" x14ac:dyDescent="0.25">
      <c r="A1" s="305" t="s">
        <v>497</v>
      </c>
      <c r="B1" s="758" t="s">
        <v>595</v>
      </c>
      <c r="M1" s="305" t="s">
        <v>497</v>
      </c>
      <c r="N1" s="758" t="s">
        <v>595</v>
      </c>
    </row>
    <row r="2" spans="1:22" x14ac:dyDescent="0.25">
      <c r="G2" s="88"/>
      <c r="U2" s="305" t="s">
        <v>497</v>
      </c>
      <c r="V2" s="758" t="s">
        <v>595</v>
      </c>
    </row>
    <row r="3" spans="1:22" x14ac:dyDescent="0.25">
      <c r="A3" s="305" t="s">
        <v>0</v>
      </c>
      <c r="B3" s="305" t="s">
        <v>553</v>
      </c>
      <c r="G3" s="305" t="s">
        <v>553</v>
      </c>
      <c r="H3" s="305" t="s">
        <v>924</v>
      </c>
      <c r="I3" s="305" t="s">
        <v>497</v>
      </c>
      <c r="J3" s="305" t="s">
        <v>853</v>
      </c>
      <c r="K3" t="s">
        <v>867</v>
      </c>
      <c r="M3" s="305" t="s">
        <v>924</v>
      </c>
      <c r="N3" s="305" t="s">
        <v>553</v>
      </c>
      <c r="O3" s="305" t="s">
        <v>0</v>
      </c>
      <c r="P3" s="758" t="s">
        <v>867</v>
      </c>
      <c r="Q3" s="758" t="s">
        <v>825</v>
      </c>
    </row>
    <row r="4" spans="1:22" x14ac:dyDescent="0.25">
      <c r="A4" s="758" t="s">
        <v>5</v>
      </c>
      <c r="B4" s="758" t="s">
        <v>6</v>
      </c>
      <c r="G4" s="758" t="s">
        <v>128</v>
      </c>
      <c r="H4" s="758" t="s">
        <v>127</v>
      </c>
      <c r="I4" s="758" t="s">
        <v>842</v>
      </c>
      <c r="J4" s="758" t="s">
        <v>1505</v>
      </c>
      <c r="K4" s="299">
        <v>0</v>
      </c>
      <c r="M4" s="758" t="s">
        <v>236</v>
      </c>
      <c r="N4" s="758" t="s">
        <v>238</v>
      </c>
      <c r="O4" s="758" t="s">
        <v>237</v>
      </c>
      <c r="P4" s="299">
        <v>66</v>
      </c>
      <c r="Q4" s="299">
        <v>344</v>
      </c>
      <c r="U4" s="305" t="s">
        <v>924</v>
      </c>
      <c r="V4" s="305" t="s">
        <v>401</v>
      </c>
    </row>
    <row r="5" spans="1:22" x14ac:dyDescent="0.25">
      <c r="A5" s="758" t="s">
        <v>5</v>
      </c>
      <c r="B5" s="758" t="s">
        <v>511</v>
      </c>
      <c r="G5" s="758" t="s">
        <v>62</v>
      </c>
      <c r="H5" s="758" t="s">
        <v>61</v>
      </c>
      <c r="I5" s="758" t="s">
        <v>842</v>
      </c>
      <c r="J5" s="136">
        <v>41275</v>
      </c>
      <c r="K5" s="299"/>
      <c r="M5" s="758" t="s">
        <v>268</v>
      </c>
      <c r="N5" s="758" t="s">
        <v>269</v>
      </c>
      <c r="O5" s="758" t="s">
        <v>237</v>
      </c>
      <c r="P5" s="299">
        <v>65</v>
      </c>
      <c r="Q5" s="299">
        <v>292</v>
      </c>
      <c r="U5" s="758" t="s">
        <v>236</v>
      </c>
      <c r="V5" s="758" t="s">
        <v>553</v>
      </c>
    </row>
    <row r="6" spans="1:22" x14ac:dyDescent="0.25">
      <c r="A6" s="758" t="s">
        <v>5</v>
      </c>
      <c r="B6" s="758" t="s">
        <v>10</v>
      </c>
      <c r="G6" s="758" t="s">
        <v>120</v>
      </c>
      <c r="H6" s="758" t="s">
        <v>119</v>
      </c>
      <c r="I6" s="758" t="s">
        <v>499</v>
      </c>
      <c r="J6" s="136">
        <v>41275</v>
      </c>
      <c r="K6" s="299">
        <v>72</v>
      </c>
      <c r="M6" s="758" t="s">
        <v>250</v>
      </c>
      <c r="N6" s="758" t="s">
        <v>251</v>
      </c>
      <c r="O6" s="758" t="s">
        <v>237</v>
      </c>
      <c r="P6" s="299">
        <v>31</v>
      </c>
      <c r="Q6" s="299">
        <v>170</v>
      </c>
      <c r="U6" s="758" t="s">
        <v>268</v>
      </c>
      <c r="V6" s="758" t="s">
        <v>553</v>
      </c>
    </row>
    <row r="7" spans="1:22" x14ac:dyDescent="0.25">
      <c r="A7" s="758" t="s">
        <v>5</v>
      </c>
      <c r="B7" s="758" t="s">
        <v>12</v>
      </c>
      <c r="G7" s="758" t="s">
        <v>1428</v>
      </c>
      <c r="H7" s="758" t="s">
        <v>1434</v>
      </c>
      <c r="I7" s="758" t="s">
        <v>842</v>
      </c>
      <c r="J7" s="136">
        <v>42584</v>
      </c>
      <c r="K7" s="299"/>
      <c r="M7" s="758" t="s">
        <v>248</v>
      </c>
      <c r="N7" s="758" t="s">
        <v>249</v>
      </c>
      <c r="O7" s="758" t="s">
        <v>237</v>
      </c>
      <c r="P7" s="299">
        <v>4</v>
      </c>
      <c r="Q7" s="299">
        <v>22</v>
      </c>
      <c r="U7" s="758" t="s">
        <v>250</v>
      </c>
      <c r="V7" s="758" t="s">
        <v>553</v>
      </c>
    </row>
    <row r="8" spans="1:22" x14ac:dyDescent="0.25">
      <c r="A8" s="758" t="s">
        <v>5</v>
      </c>
      <c r="B8" s="758" t="s">
        <v>14</v>
      </c>
      <c r="G8" s="758" t="s">
        <v>6</v>
      </c>
      <c r="H8" s="758" t="s">
        <v>4</v>
      </c>
      <c r="I8" s="758" t="s">
        <v>499</v>
      </c>
      <c r="J8" s="136">
        <v>40848</v>
      </c>
      <c r="K8" s="299">
        <v>257</v>
      </c>
      <c r="M8" s="758" t="s">
        <v>274</v>
      </c>
      <c r="N8" s="758" t="s">
        <v>275</v>
      </c>
      <c r="O8" s="758" t="s">
        <v>237</v>
      </c>
      <c r="P8" s="299">
        <v>46</v>
      </c>
      <c r="Q8" s="299">
        <v>238</v>
      </c>
      <c r="U8" s="758" t="s">
        <v>248</v>
      </c>
      <c r="V8" s="758" t="s">
        <v>553</v>
      </c>
    </row>
    <row r="9" spans="1:22" x14ac:dyDescent="0.25">
      <c r="A9" s="758" t="s">
        <v>5</v>
      </c>
      <c r="B9" s="758" t="s">
        <v>16</v>
      </c>
      <c r="G9" s="758" t="s">
        <v>41</v>
      </c>
      <c r="H9" s="758" t="s">
        <v>40</v>
      </c>
      <c r="I9" s="758" t="s">
        <v>499</v>
      </c>
      <c r="J9" s="136">
        <v>41275</v>
      </c>
      <c r="K9" s="299">
        <v>66</v>
      </c>
      <c r="M9" s="758" t="s">
        <v>276</v>
      </c>
      <c r="N9" s="758" t="s">
        <v>277</v>
      </c>
      <c r="O9" s="758" t="s">
        <v>237</v>
      </c>
      <c r="P9" s="299">
        <v>118</v>
      </c>
      <c r="Q9" s="299">
        <v>529</v>
      </c>
      <c r="U9" s="758" t="s">
        <v>274</v>
      </c>
      <c r="V9" s="758" t="s">
        <v>553</v>
      </c>
    </row>
    <row r="10" spans="1:22" x14ac:dyDescent="0.25">
      <c r="A10" s="758" t="s">
        <v>5</v>
      </c>
      <c r="B10" s="758" t="s">
        <v>18</v>
      </c>
      <c r="G10" s="758" t="s">
        <v>43</v>
      </c>
      <c r="H10" s="758" t="s">
        <v>42</v>
      </c>
      <c r="I10" s="758" t="s">
        <v>499</v>
      </c>
      <c r="J10" s="136">
        <v>41275</v>
      </c>
      <c r="K10" s="299">
        <v>14</v>
      </c>
      <c r="M10" s="758" t="s">
        <v>278</v>
      </c>
      <c r="N10" s="758" t="s">
        <v>279</v>
      </c>
      <c r="O10" s="758" t="s">
        <v>237</v>
      </c>
      <c r="P10" s="299">
        <v>22</v>
      </c>
      <c r="Q10" s="299">
        <v>111</v>
      </c>
      <c r="U10" s="758" t="s">
        <v>276</v>
      </c>
      <c r="V10" s="758" t="s">
        <v>553</v>
      </c>
    </row>
    <row r="11" spans="1:22" x14ac:dyDescent="0.25">
      <c r="A11" s="758" t="s">
        <v>5</v>
      </c>
      <c r="B11" s="758" t="s">
        <v>8</v>
      </c>
      <c r="G11" s="758" t="s">
        <v>39</v>
      </c>
      <c r="H11" s="758" t="s">
        <v>38</v>
      </c>
      <c r="I11" s="758" t="s">
        <v>842</v>
      </c>
      <c r="J11" s="758" t="s">
        <v>1505</v>
      </c>
      <c r="K11" s="299"/>
      <c r="M11" s="758" t="s">
        <v>260</v>
      </c>
      <c r="N11" s="758" t="s">
        <v>261</v>
      </c>
      <c r="O11" s="758" t="s">
        <v>237</v>
      </c>
      <c r="P11" s="299">
        <v>104</v>
      </c>
      <c r="Q11" s="299">
        <v>574</v>
      </c>
      <c r="U11" s="758" t="s">
        <v>278</v>
      </c>
      <c r="V11" s="758" t="s">
        <v>553</v>
      </c>
    </row>
    <row r="12" spans="1:22" x14ac:dyDescent="0.25">
      <c r="A12" s="758" t="s">
        <v>5</v>
      </c>
      <c r="B12" s="758" t="s">
        <v>20</v>
      </c>
      <c r="G12" s="758" t="s">
        <v>1491</v>
      </c>
      <c r="H12" s="758" t="s">
        <v>1459</v>
      </c>
      <c r="I12" s="758" t="s">
        <v>842</v>
      </c>
      <c r="J12" s="758" t="s">
        <v>1505</v>
      </c>
      <c r="K12" s="299"/>
      <c r="M12" s="758" t="s">
        <v>280</v>
      </c>
      <c r="N12" s="758" t="s">
        <v>281</v>
      </c>
      <c r="O12" s="758" t="s">
        <v>237</v>
      </c>
      <c r="P12" s="299">
        <v>92</v>
      </c>
      <c r="Q12" s="299">
        <v>499</v>
      </c>
      <c r="U12" s="758" t="s">
        <v>260</v>
      </c>
      <c r="V12" s="758" t="s">
        <v>553</v>
      </c>
    </row>
    <row r="13" spans="1:22" x14ac:dyDescent="0.25">
      <c r="A13" s="758" t="s">
        <v>5</v>
      </c>
      <c r="B13" s="758" t="s">
        <v>366</v>
      </c>
      <c r="G13" s="758" t="s">
        <v>511</v>
      </c>
      <c r="H13" s="758" t="s">
        <v>377</v>
      </c>
      <c r="I13" s="758" t="s">
        <v>499</v>
      </c>
      <c r="J13" s="136">
        <v>40787</v>
      </c>
      <c r="K13" s="299">
        <v>12</v>
      </c>
      <c r="M13" s="758" t="s">
        <v>244</v>
      </c>
      <c r="N13" s="758" t="s">
        <v>245</v>
      </c>
      <c r="O13" s="758" t="s">
        <v>237</v>
      </c>
      <c r="P13" s="299">
        <v>7</v>
      </c>
      <c r="Q13" s="299">
        <v>46</v>
      </c>
      <c r="U13" s="758" t="s">
        <v>280</v>
      </c>
      <c r="V13" s="758" t="s">
        <v>553</v>
      </c>
    </row>
    <row r="14" spans="1:22" x14ac:dyDescent="0.25">
      <c r="A14" s="758" t="s">
        <v>5</v>
      </c>
      <c r="B14" s="758" t="s">
        <v>22</v>
      </c>
      <c r="G14" s="758" t="s">
        <v>48</v>
      </c>
      <c r="H14" s="758" t="s">
        <v>47</v>
      </c>
      <c r="I14" s="758" t="s">
        <v>842</v>
      </c>
      <c r="J14" s="758" t="s">
        <v>1505</v>
      </c>
      <c r="K14" s="299"/>
      <c r="M14" s="758" t="s">
        <v>246</v>
      </c>
      <c r="N14" s="758" t="s">
        <v>247</v>
      </c>
      <c r="O14" s="758" t="s">
        <v>237</v>
      </c>
      <c r="P14" s="299">
        <v>31</v>
      </c>
      <c r="Q14" s="299">
        <v>118</v>
      </c>
      <c r="U14" s="758" t="s">
        <v>244</v>
      </c>
      <c r="V14" s="758" t="s">
        <v>553</v>
      </c>
    </row>
    <row r="15" spans="1:22" x14ac:dyDescent="0.25">
      <c r="A15" s="758" t="s">
        <v>5</v>
      </c>
      <c r="B15" s="758" t="s">
        <v>896</v>
      </c>
      <c r="G15" s="758" t="s">
        <v>50</v>
      </c>
      <c r="H15" s="758" t="s">
        <v>49</v>
      </c>
      <c r="I15" s="758" t="s">
        <v>842</v>
      </c>
      <c r="J15" s="758" t="s">
        <v>1505</v>
      </c>
      <c r="K15" s="299"/>
      <c r="M15" s="758" t="s">
        <v>242</v>
      </c>
      <c r="N15" s="758" t="s">
        <v>243</v>
      </c>
      <c r="O15" s="758" t="s">
        <v>237</v>
      </c>
      <c r="P15" s="299">
        <v>6</v>
      </c>
      <c r="Q15" s="299">
        <v>32</v>
      </c>
      <c r="U15" s="758" t="s">
        <v>246</v>
      </c>
      <c r="V15" s="758" t="s">
        <v>553</v>
      </c>
    </row>
    <row r="16" spans="1:22" x14ac:dyDescent="0.25">
      <c r="A16" s="758" t="s">
        <v>5</v>
      </c>
      <c r="B16" s="758" t="s">
        <v>24</v>
      </c>
      <c r="G16" s="758" t="s">
        <v>1475</v>
      </c>
      <c r="H16" s="758" t="s">
        <v>1463</v>
      </c>
      <c r="I16" s="758" t="s">
        <v>842</v>
      </c>
      <c r="J16" s="758" t="s">
        <v>1505</v>
      </c>
      <c r="K16" s="299"/>
      <c r="M16" s="758" t="s">
        <v>256</v>
      </c>
      <c r="N16" s="758" t="s">
        <v>257</v>
      </c>
      <c r="O16" s="758" t="s">
        <v>237</v>
      </c>
      <c r="P16" s="299">
        <v>42</v>
      </c>
      <c r="Q16" s="299">
        <v>186</v>
      </c>
      <c r="U16" s="758" t="s">
        <v>242</v>
      </c>
      <c r="V16" s="758" t="s">
        <v>553</v>
      </c>
    </row>
    <row r="17" spans="1:22" x14ac:dyDescent="0.25">
      <c r="A17" s="758" t="s">
        <v>5</v>
      </c>
      <c r="B17" s="758" t="s">
        <v>868</v>
      </c>
      <c r="G17" s="758" t="s">
        <v>1476</v>
      </c>
      <c r="H17" s="758" t="s">
        <v>1464</v>
      </c>
      <c r="I17" s="758" t="s">
        <v>842</v>
      </c>
      <c r="J17" s="758" t="s">
        <v>1505</v>
      </c>
      <c r="K17" s="299"/>
      <c r="M17" s="758" t="s">
        <v>284</v>
      </c>
      <c r="N17" s="758" t="s">
        <v>285</v>
      </c>
      <c r="O17" s="758" t="s">
        <v>237</v>
      </c>
      <c r="P17" s="299">
        <v>139</v>
      </c>
      <c r="Q17" s="299">
        <v>705</v>
      </c>
      <c r="U17" s="758" t="s">
        <v>256</v>
      </c>
      <c r="V17" s="758" t="s">
        <v>553</v>
      </c>
    </row>
    <row r="18" spans="1:22" x14ac:dyDescent="0.25">
      <c r="A18" s="758" t="s">
        <v>5</v>
      </c>
      <c r="B18" s="758" t="s">
        <v>26</v>
      </c>
      <c r="G18" s="758" t="s">
        <v>881</v>
      </c>
      <c r="H18" s="758" t="s">
        <v>879</v>
      </c>
      <c r="I18" s="758" t="s">
        <v>842</v>
      </c>
      <c r="J18" s="758" t="s">
        <v>1505</v>
      </c>
      <c r="K18" s="299">
        <v>0</v>
      </c>
      <c r="M18" s="758" t="s">
        <v>239</v>
      </c>
      <c r="N18" s="758" t="s">
        <v>240</v>
      </c>
      <c r="O18" s="758" t="s">
        <v>237</v>
      </c>
      <c r="P18" s="299">
        <v>105</v>
      </c>
      <c r="Q18" s="299">
        <v>580</v>
      </c>
      <c r="U18" s="758" t="s">
        <v>284</v>
      </c>
      <c r="V18" s="758" t="s">
        <v>553</v>
      </c>
    </row>
    <row r="19" spans="1:22" x14ac:dyDescent="0.25">
      <c r="A19" s="758" t="s">
        <v>5</v>
      </c>
      <c r="B19" s="758" t="s">
        <v>1019</v>
      </c>
      <c r="G19" s="758" t="s">
        <v>876</v>
      </c>
      <c r="H19" s="758" t="s">
        <v>880</v>
      </c>
      <c r="I19" s="758" t="s">
        <v>842</v>
      </c>
      <c r="J19" s="758" t="s">
        <v>1505</v>
      </c>
      <c r="K19" s="299">
        <v>0</v>
      </c>
      <c r="M19" s="758" t="s">
        <v>258</v>
      </c>
      <c r="N19" s="758" t="s">
        <v>259</v>
      </c>
      <c r="O19" s="758" t="s">
        <v>237</v>
      </c>
      <c r="P19" s="299">
        <v>62</v>
      </c>
      <c r="Q19" s="299">
        <v>309</v>
      </c>
      <c r="U19" s="758" t="s">
        <v>239</v>
      </c>
      <c r="V19" s="758" t="s">
        <v>553</v>
      </c>
    </row>
    <row r="20" spans="1:22" x14ac:dyDescent="0.25">
      <c r="A20" s="758" t="s">
        <v>27</v>
      </c>
      <c r="B20" s="758" t="s">
        <v>28</v>
      </c>
      <c r="G20" s="758" t="s">
        <v>877</v>
      </c>
      <c r="H20" s="758" t="s">
        <v>878</v>
      </c>
      <c r="I20" s="758" t="s">
        <v>842</v>
      </c>
      <c r="J20" s="758" t="s">
        <v>1505</v>
      </c>
      <c r="K20" s="299">
        <v>0</v>
      </c>
      <c r="M20" s="758" t="s">
        <v>266</v>
      </c>
      <c r="N20" s="758" t="s">
        <v>267</v>
      </c>
      <c r="O20" s="758" t="s">
        <v>237</v>
      </c>
      <c r="P20" s="299"/>
      <c r="Q20" s="299"/>
      <c r="U20" s="758" t="s">
        <v>258</v>
      </c>
      <c r="V20" s="758" t="s">
        <v>553</v>
      </c>
    </row>
    <row r="21" spans="1:22" x14ac:dyDescent="0.25">
      <c r="A21" s="758" t="s">
        <v>27</v>
      </c>
      <c r="B21" s="758" t="s">
        <v>32</v>
      </c>
      <c r="G21" s="758" t="s">
        <v>52</v>
      </c>
      <c r="H21" s="758" t="s">
        <v>51</v>
      </c>
      <c r="I21" s="758" t="s">
        <v>499</v>
      </c>
      <c r="J21" s="136">
        <v>41275</v>
      </c>
      <c r="K21" s="299">
        <v>38</v>
      </c>
      <c r="M21" s="758" t="s">
        <v>252</v>
      </c>
      <c r="N21" s="758" t="s">
        <v>253</v>
      </c>
      <c r="O21" s="758" t="s">
        <v>237</v>
      </c>
      <c r="P21" s="299">
        <v>200</v>
      </c>
      <c r="Q21" s="299">
        <v>1112</v>
      </c>
      <c r="U21" s="758" t="s">
        <v>266</v>
      </c>
      <c r="V21" s="758" t="s">
        <v>553</v>
      </c>
    </row>
    <row r="22" spans="1:22" x14ac:dyDescent="0.25">
      <c r="A22" s="758" t="s">
        <v>27</v>
      </c>
      <c r="B22" s="758" t="s">
        <v>364</v>
      </c>
      <c r="G22" s="758" t="s">
        <v>58</v>
      </c>
      <c r="H22" s="758" t="s">
        <v>57</v>
      </c>
      <c r="I22" s="758" t="s">
        <v>842</v>
      </c>
      <c r="J22" s="758" t="s">
        <v>1505</v>
      </c>
      <c r="K22" s="299"/>
      <c r="M22" s="758" t="s">
        <v>254</v>
      </c>
      <c r="N22" s="758" t="s">
        <v>255</v>
      </c>
      <c r="O22" s="758" t="s">
        <v>237</v>
      </c>
      <c r="P22" s="299">
        <v>122</v>
      </c>
      <c r="Q22" s="299">
        <v>595</v>
      </c>
      <c r="U22" s="758" t="s">
        <v>252</v>
      </c>
      <c r="V22" s="758" t="s">
        <v>553</v>
      </c>
    </row>
    <row r="23" spans="1:22" x14ac:dyDescent="0.25">
      <c r="A23" s="758" t="s">
        <v>27</v>
      </c>
      <c r="B23" s="758" t="s">
        <v>34</v>
      </c>
      <c r="G23" s="758" t="s">
        <v>60</v>
      </c>
      <c r="H23" s="758" t="s">
        <v>59</v>
      </c>
      <c r="I23" s="758" t="s">
        <v>842</v>
      </c>
      <c r="J23" s="136">
        <v>41275</v>
      </c>
      <c r="K23" s="299"/>
      <c r="M23" s="758" t="s">
        <v>262</v>
      </c>
      <c r="N23" s="758" t="s">
        <v>263</v>
      </c>
      <c r="O23" s="758" t="s">
        <v>237</v>
      </c>
      <c r="P23" s="299">
        <v>23</v>
      </c>
      <c r="Q23" s="299">
        <v>93</v>
      </c>
      <c r="U23" s="758" t="s">
        <v>254</v>
      </c>
      <c r="V23" s="758" t="s">
        <v>553</v>
      </c>
    </row>
    <row r="24" spans="1:22" x14ac:dyDescent="0.25">
      <c r="A24" s="758" t="s">
        <v>27</v>
      </c>
      <c r="B24" s="758" t="s">
        <v>365</v>
      </c>
      <c r="G24" s="758" t="s">
        <v>358</v>
      </c>
      <c r="H24" s="758" t="s">
        <v>357</v>
      </c>
      <c r="I24" s="758" t="s">
        <v>842</v>
      </c>
      <c r="J24" s="758" t="s">
        <v>1505</v>
      </c>
      <c r="K24" s="299">
        <v>0</v>
      </c>
      <c r="M24" s="758" t="s">
        <v>264</v>
      </c>
      <c r="N24" s="758" t="s">
        <v>265</v>
      </c>
      <c r="O24" s="758" t="s">
        <v>237</v>
      </c>
      <c r="P24" s="299">
        <v>15</v>
      </c>
      <c r="Q24" s="299">
        <v>78</v>
      </c>
      <c r="U24" s="758" t="s">
        <v>262</v>
      </c>
      <c r="V24" s="758" t="s">
        <v>553</v>
      </c>
    </row>
    <row r="25" spans="1:22" x14ac:dyDescent="0.25">
      <c r="A25" s="758" t="s">
        <v>27</v>
      </c>
      <c r="B25" s="758" t="s">
        <v>863</v>
      </c>
      <c r="G25" s="758" t="s">
        <v>334</v>
      </c>
      <c r="H25" s="758" t="s">
        <v>333</v>
      </c>
      <c r="I25" s="758" t="s">
        <v>499</v>
      </c>
      <c r="J25" s="136">
        <v>40848</v>
      </c>
      <c r="K25" s="299">
        <v>152</v>
      </c>
      <c r="M25" s="758" t="s">
        <v>282</v>
      </c>
      <c r="N25" s="758" t="s">
        <v>283</v>
      </c>
      <c r="O25" s="758" t="s">
        <v>237</v>
      </c>
      <c r="P25" s="299">
        <v>7</v>
      </c>
      <c r="Q25" s="299">
        <v>37</v>
      </c>
      <c r="U25" s="758" t="s">
        <v>264</v>
      </c>
      <c r="V25" s="758" t="s">
        <v>553</v>
      </c>
    </row>
    <row r="26" spans="1:22" x14ac:dyDescent="0.25">
      <c r="A26" s="758" t="s">
        <v>27</v>
      </c>
      <c r="B26" s="758" t="s">
        <v>37</v>
      </c>
      <c r="G26" s="758" t="s">
        <v>188</v>
      </c>
      <c r="H26" s="758" t="s">
        <v>187</v>
      </c>
      <c r="I26" s="758" t="s">
        <v>499</v>
      </c>
      <c r="J26" s="136">
        <v>40817</v>
      </c>
      <c r="K26" s="299">
        <v>386</v>
      </c>
      <c r="M26" s="758" t="s">
        <v>241</v>
      </c>
      <c r="N26" s="758" t="s">
        <v>1232</v>
      </c>
      <c r="O26" s="758" t="s">
        <v>237</v>
      </c>
      <c r="P26" s="299">
        <v>54</v>
      </c>
      <c r="Q26" s="299">
        <v>262</v>
      </c>
      <c r="U26" s="758" t="s">
        <v>282</v>
      </c>
      <c r="V26" s="758" t="s">
        <v>553</v>
      </c>
    </row>
    <row r="27" spans="1:22" x14ac:dyDescent="0.25">
      <c r="A27" s="758" t="s">
        <v>27</v>
      </c>
      <c r="B27" s="758" t="s">
        <v>1017</v>
      </c>
      <c r="G27" s="758" t="s">
        <v>1032</v>
      </c>
      <c r="H27" s="758" t="s">
        <v>1033</v>
      </c>
      <c r="I27" s="758" t="s">
        <v>842</v>
      </c>
      <c r="J27" s="136">
        <v>40817</v>
      </c>
      <c r="K27" s="299"/>
      <c r="M27" s="758" t="s">
        <v>270</v>
      </c>
      <c r="N27" s="758" t="s">
        <v>271</v>
      </c>
      <c r="O27" s="758" t="s">
        <v>237</v>
      </c>
      <c r="P27" s="299">
        <v>63</v>
      </c>
      <c r="Q27" s="299">
        <v>322</v>
      </c>
      <c r="U27" s="758" t="s">
        <v>241</v>
      </c>
      <c r="V27" s="758" t="s">
        <v>553</v>
      </c>
    </row>
    <row r="28" spans="1:22" x14ac:dyDescent="0.25">
      <c r="A28" s="758" t="s">
        <v>526</v>
      </c>
      <c r="B28" s="758" t="s">
        <v>128</v>
      </c>
      <c r="G28" s="758" t="s">
        <v>72</v>
      </c>
      <c r="H28" s="758" t="s">
        <v>71</v>
      </c>
      <c r="I28" s="758" t="s">
        <v>499</v>
      </c>
      <c r="J28" s="136">
        <v>41487</v>
      </c>
      <c r="K28" s="299">
        <v>6</v>
      </c>
      <c r="M28" s="758" t="s">
        <v>341</v>
      </c>
      <c r="N28" s="758" t="s">
        <v>342</v>
      </c>
      <c r="O28" s="758" t="s">
        <v>310</v>
      </c>
      <c r="P28" s="299">
        <v>65</v>
      </c>
      <c r="Q28" s="299">
        <v>323</v>
      </c>
      <c r="U28" s="758" t="s">
        <v>270</v>
      </c>
      <c r="V28" s="758" t="s">
        <v>553</v>
      </c>
    </row>
    <row r="29" spans="1:22" x14ac:dyDescent="0.25">
      <c r="A29" s="758" t="s">
        <v>526</v>
      </c>
      <c r="B29" s="758" t="s">
        <v>62</v>
      </c>
      <c r="G29" s="758" t="s">
        <v>70</v>
      </c>
      <c r="H29" s="758" t="s">
        <v>69</v>
      </c>
      <c r="I29" s="758" t="s">
        <v>842</v>
      </c>
      <c r="J29" s="758" t="s">
        <v>1505</v>
      </c>
      <c r="K29" s="299"/>
      <c r="M29" s="758" t="s">
        <v>350</v>
      </c>
      <c r="N29" s="758" t="s">
        <v>351</v>
      </c>
      <c r="O29" s="758" t="s">
        <v>310</v>
      </c>
      <c r="P29" s="299">
        <v>92</v>
      </c>
      <c r="Q29" s="299">
        <v>493</v>
      </c>
      <c r="U29" s="758" t="s">
        <v>341</v>
      </c>
      <c r="V29" s="758" t="s">
        <v>553</v>
      </c>
    </row>
    <row r="30" spans="1:22" x14ac:dyDescent="0.25">
      <c r="A30" s="758" t="s">
        <v>526</v>
      </c>
      <c r="B30" s="758" t="s">
        <v>120</v>
      </c>
      <c r="G30" s="758" t="s">
        <v>28</v>
      </c>
      <c r="H30" s="758" t="s">
        <v>30</v>
      </c>
      <c r="I30" s="758" t="s">
        <v>499</v>
      </c>
      <c r="J30" s="136">
        <v>41244</v>
      </c>
      <c r="K30" s="299">
        <v>108</v>
      </c>
      <c r="M30" s="758" t="s">
        <v>319</v>
      </c>
      <c r="N30" s="758" t="s">
        <v>320</v>
      </c>
      <c r="O30" s="758" t="s">
        <v>310</v>
      </c>
      <c r="P30" s="299">
        <v>30</v>
      </c>
      <c r="Q30" s="299">
        <v>261</v>
      </c>
      <c r="U30" s="758" t="s">
        <v>350</v>
      </c>
      <c r="V30" s="758" t="s">
        <v>553</v>
      </c>
    </row>
    <row r="31" spans="1:22" x14ac:dyDescent="0.25">
      <c r="A31" s="758" t="s">
        <v>526</v>
      </c>
      <c r="B31" s="758" t="s">
        <v>41</v>
      </c>
      <c r="G31" s="758" t="s">
        <v>10</v>
      </c>
      <c r="H31" s="758" t="s">
        <v>9</v>
      </c>
      <c r="I31" s="758" t="s">
        <v>842</v>
      </c>
      <c r="J31" s="758" t="s">
        <v>1505</v>
      </c>
      <c r="K31" s="299">
        <v>0</v>
      </c>
      <c r="M31" s="758" t="s">
        <v>312</v>
      </c>
      <c r="N31" s="758" t="s">
        <v>313</v>
      </c>
      <c r="O31" s="758" t="s">
        <v>310</v>
      </c>
      <c r="P31" s="299">
        <v>102</v>
      </c>
      <c r="Q31" s="299">
        <v>502</v>
      </c>
      <c r="U31" s="758" t="s">
        <v>319</v>
      </c>
      <c r="V31" s="758" t="s">
        <v>553</v>
      </c>
    </row>
    <row r="32" spans="1:22" x14ac:dyDescent="0.25">
      <c r="A32" s="758" t="s">
        <v>526</v>
      </c>
      <c r="B32" s="758" t="s">
        <v>43</v>
      </c>
      <c r="G32" s="758" t="s">
        <v>1300</v>
      </c>
      <c r="H32" s="758" t="s">
        <v>1301</v>
      </c>
      <c r="I32" s="758" t="s">
        <v>842</v>
      </c>
      <c r="J32" s="758" t="s">
        <v>1505</v>
      </c>
      <c r="K32" s="299"/>
      <c r="M32" s="758" t="s">
        <v>329</v>
      </c>
      <c r="N32" s="758" t="s">
        <v>330</v>
      </c>
      <c r="O32" s="758" t="s">
        <v>310</v>
      </c>
      <c r="P32" s="299">
        <v>282</v>
      </c>
      <c r="Q32" s="299">
        <v>1466</v>
      </c>
      <c r="U32" s="758" t="s">
        <v>312</v>
      </c>
      <c r="V32" s="758" t="s">
        <v>553</v>
      </c>
    </row>
    <row r="33" spans="1:22" x14ac:dyDescent="0.25">
      <c r="A33" s="758" t="s">
        <v>526</v>
      </c>
      <c r="B33" s="758" t="s">
        <v>39</v>
      </c>
      <c r="G33" s="758" t="s">
        <v>76</v>
      </c>
      <c r="H33" s="758" t="s">
        <v>75</v>
      </c>
      <c r="I33" s="758" t="s">
        <v>499</v>
      </c>
      <c r="J33" s="136">
        <v>41275</v>
      </c>
      <c r="K33" s="299">
        <v>70</v>
      </c>
      <c r="M33" s="758" t="s">
        <v>337</v>
      </c>
      <c r="N33" s="758" t="s">
        <v>338</v>
      </c>
      <c r="O33" s="758" t="s">
        <v>310</v>
      </c>
      <c r="P33" s="299">
        <v>31</v>
      </c>
      <c r="Q33" s="299">
        <v>171</v>
      </c>
      <c r="U33" s="758" t="s">
        <v>329</v>
      </c>
      <c r="V33" s="758" t="s">
        <v>553</v>
      </c>
    </row>
    <row r="34" spans="1:22" x14ac:dyDescent="0.25">
      <c r="A34" s="758" t="s">
        <v>526</v>
      </c>
      <c r="B34" s="758" t="s">
        <v>48</v>
      </c>
      <c r="G34" s="758" t="s">
        <v>243</v>
      </c>
      <c r="H34" s="758" t="s">
        <v>242</v>
      </c>
      <c r="I34" s="758" t="s">
        <v>499</v>
      </c>
      <c r="J34" s="136">
        <v>40695</v>
      </c>
      <c r="K34" s="299">
        <v>6</v>
      </c>
      <c r="M34" s="758" t="s">
        <v>327</v>
      </c>
      <c r="N34" s="758" t="s">
        <v>328</v>
      </c>
      <c r="O34" s="758" t="s">
        <v>310</v>
      </c>
      <c r="P34" s="299">
        <v>289</v>
      </c>
      <c r="Q34" s="299">
        <v>1584</v>
      </c>
      <c r="U34" s="758" t="s">
        <v>337</v>
      </c>
      <c r="V34" s="758" t="s">
        <v>553</v>
      </c>
    </row>
    <row r="35" spans="1:22" x14ac:dyDescent="0.25">
      <c r="A35" s="758" t="s">
        <v>526</v>
      </c>
      <c r="B35" s="758" t="s">
        <v>50</v>
      </c>
      <c r="G35" s="758" t="s">
        <v>245</v>
      </c>
      <c r="H35" s="758" t="s">
        <v>244</v>
      </c>
      <c r="I35" s="758" t="s">
        <v>499</v>
      </c>
      <c r="J35" s="136">
        <v>40695</v>
      </c>
      <c r="K35" s="299">
        <v>7</v>
      </c>
      <c r="M35" s="758" t="s">
        <v>317</v>
      </c>
      <c r="N35" s="758" t="s">
        <v>318</v>
      </c>
      <c r="O35" s="758" t="s">
        <v>310</v>
      </c>
      <c r="P35" s="299">
        <v>111</v>
      </c>
      <c r="Q35" s="299">
        <v>445</v>
      </c>
      <c r="U35" s="758" t="s">
        <v>327</v>
      </c>
      <c r="V35" s="758" t="s">
        <v>553</v>
      </c>
    </row>
    <row r="36" spans="1:22" x14ac:dyDescent="0.25">
      <c r="A36" s="758" t="s">
        <v>526</v>
      </c>
      <c r="B36" s="758" t="s">
        <v>52</v>
      </c>
      <c r="G36" s="758" t="s">
        <v>247</v>
      </c>
      <c r="H36" s="758" t="s">
        <v>246</v>
      </c>
      <c r="I36" s="758" t="s">
        <v>499</v>
      </c>
      <c r="J36" s="136">
        <v>40695</v>
      </c>
      <c r="K36" s="299">
        <v>31</v>
      </c>
      <c r="M36" s="758" t="s">
        <v>343</v>
      </c>
      <c r="N36" s="758" t="s">
        <v>344</v>
      </c>
      <c r="O36" s="758" t="s">
        <v>310</v>
      </c>
      <c r="P36" s="299">
        <v>20</v>
      </c>
      <c r="Q36" s="299">
        <v>86</v>
      </c>
      <c r="U36" s="758" t="s">
        <v>317</v>
      </c>
      <c r="V36" s="758" t="s">
        <v>553</v>
      </c>
    </row>
    <row r="37" spans="1:22" x14ac:dyDescent="0.25">
      <c r="A37" s="758" t="s">
        <v>526</v>
      </c>
      <c r="B37" s="758" t="s">
        <v>58</v>
      </c>
      <c r="G37" s="758" t="s">
        <v>192</v>
      </c>
      <c r="H37" s="758" t="s">
        <v>191</v>
      </c>
      <c r="I37" s="758" t="s">
        <v>499</v>
      </c>
      <c r="J37" s="136">
        <v>40756</v>
      </c>
      <c r="K37" s="299">
        <v>103</v>
      </c>
      <c r="M37" s="758" t="s">
        <v>360</v>
      </c>
      <c r="N37" s="758" t="s">
        <v>1235</v>
      </c>
      <c r="O37" s="758" t="s">
        <v>310</v>
      </c>
      <c r="P37" s="299"/>
      <c r="Q37" s="299"/>
      <c r="U37" s="758" t="s">
        <v>343</v>
      </c>
      <c r="V37" s="758" t="s">
        <v>553</v>
      </c>
    </row>
    <row r="38" spans="1:22" x14ac:dyDescent="0.25">
      <c r="A38" s="758" t="s">
        <v>526</v>
      </c>
      <c r="B38" s="758" t="s">
        <v>60</v>
      </c>
      <c r="G38" s="758" t="s">
        <v>78</v>
      </c>
      <c r="H38" s="758" t="s">
        <v>77</v>
      </c>
      <c r="I38" s="758" t="s">
        <v>842</v>
      </c>
      <c r="J38" s="758" t="s">
        <v>1505</v>
      </c>
      <c r="K38" s="299"/>
      <c r="M38" s="758" t="s">
        <v>359</v>
      </c>
      <c r="N38" s="758" t="s">
        <v>1234</v>
      </c>
      <c r="O38" s="758" t="s">
        <v>310</v>
      </c>
      <c r="P38" s="299"/>
      <c r="Q38" s="299"/>
      <c r="U38" s="758" t="s">
        <v>360</v>
      </c>
      <c r="V38" s="758" t="s">
        <v>553</v>
      </c>
    </row>
    <row r="39" spans="1:22" x14ac:dyDescent="0.25">
      <c r="A39" s="758" t="s">
        <v>526</v>
      </c>
      <c r="B39" s="758" t="s">
        <v>72</v>
      </c>
      <c r="G39" s="758" t="s">
        <v>82</v>
      </c>
      <c r="H39" s="758" t="s">
        <v>81</v>
      </c>
      <c r="I39" s="758" t="s">
        <v>842</v>
      </c>
      <c r="J39" s="758" t="s">
        <v>1505</v>
      </c>
      <c r="K39" s="299"/>
      <c r="M39" s="758" t="s">
        <v>309</v>
      </c>
      <c r="N39" s="758" t="s">
        <v>311</v>
      </c>
      <c r="O39" s="758" t="s">
        <v>310</v>
      </c>
      <c r="P39" s="299"/>
      <c r="Q39" s="299"/>
      <c r="U39" s="758" t="s">
        <v>359</v>
      </c>
      <c r="V39" s="758" t="s">
        <v>553</v>
      </c>
    </row>
    <row r="40" spans="1:22" x14ac:dyDescent="0.25">
      <c r="A40" s="758" t="s">
        <v>526</v>
      </c>
      <c r="B40" s="758" t="s">
        <v>70</v>
      </c>
      <c r="G40" s="758" t="s">
        <v>929</v>
      </c>
      <c r="H40" s="758" t="s">
        <v>930</v>
      </c>
      <c r="I40" s="758" t="s">
        <v>842</v>
      </c>
      <c r="J40" s="758" t="s">
        <v>1505</v>
      </c>
      <c r="K40" s="299">
        <v>0</v>
      </c>
      <c r="M40" s="758" t="s">
        <v>348</v>
      </c>
      <c r="N40" s="758" t="s">
        <v>349</v>
      </c>
      <c r="O40" s="758" t="s">
        <v>310</v>
      </c>
      <c r="P40" s="299">
        <v>46</v>
      </c>
      <c r="Q40" s="299">
        <v>190</v>
      </c>
      <c r="U40" s="758" t="s">
        <v>309</v>
      </c>
      <c r="V40" s="758" t="s">
        <v>985</v>
      </c>
    </row>
    <row r="41" spans="1:22" x14ac:dyDescent="0.25">
      <c r="A41" s="758" t="s">
        <v>526</v>
      </c>
      <c r="B41" s="758" t="s">
        <v>76</v>
      </c>
      <c r="G41" s="758" t="s">
        <v>931</v>
      </c>
      <c r="H41" s="758" t="s">
        <v>932</v>
      </c>
      <c r="I41" s="758" t="s">
        <v>842</v>
      </c>
      <c r="J41" s="758" t="s">
        <v>1505</v>
      </c>
      <c r="K41" s="299">
        <v>0</v>
      </c>
      <c r="M41" s="758" t="s">
        <v>315</v>
      </c>
      <c r="N41" s="758" t="s">
        <v>316</v>
      </c>
      <c r="O41" s="758" t="s">
        <v>310</v>
      </c>
      <c r="P41" s="299">
        <v>65</v>
      </c>
      <c r="Q41" s="299">
        <v>275</v>
      </c>
      <c r="U41" s="758" t="s">
        <v>348</v>
      </c>
      <c r="V41" s="758" t="s">
        <v>553</v>
      </c>
    </row>
    <row r="42" spans="1:22" x14ac:dyDescent="0.25">
      <c r="A42" s="758" t="s">
        <v>526</v>
      </c>
      <c r="B42" s="758" t="s">
        <v>78</v>
      </c>
      <c r="G42" s="758" t="s">
        <v>32</v>
      </c>
      <c r="H42" s="758" t="s">
        <v>31</v>
      </c>
      <c r="I42" s="758" t="s">
        <v>842</v>
      </c>
      <c r="J42" s="758" t="s">
        <v>1505</v>
      </c>
      <c r="K42" s="299"/>
      <c r="M42" s="758" t="s">
        <v>325</v>
      </c>
      <c r="N42" s="758" t="s">
        <v>326</v>
      </c>
      <c r="O42" s="758" t="s">
        <v>310</v>
      </c>
      <c r="P42" s="299">
        <v>45</v>
      </c>
      <c r="Q42" s="299">
        <v>190</v>
      </c>
      <c r="U42" s="758" t="s">
        <v>315</v>
      </c>
      <c r="V42" s="758" t="s">
        <v>553</v>
      </c>
    </row>
    <row r="43" spans="1:22" x14ac:dyDescent="0.25">
      <c r="A43" s="758" t="s">
        <v>526</v>
      </c>
      <c r="B43" s="758" t="s">
        <v>82</v>
      </c>
      <c r="G43" s="758" t="s">
        <v>1474</v>
      </c>
      <c r="H43" s="758" t="s">
        <v>1462</v>
      </c>
      <c r="I43" s="758" t="s">
        <v>842</v>
      </c>
      <c r="J43" s="758" t="s">
        <v>1505</v>
      </c>
      <c r="K43" s="299"/>
      <c r="M43" s="758" t="s">
        <v>323</v>
      </c>
      <c r="N43" s="758" t="s">
        <v>324</v>
      </c>
      <c r="O43" s="758" t="s">
        <v>310</v>
      </c>
      <c r="P43" s="299">
        <v>498</v>
      </c>
      <c r="Q43" s="299">
        <v>2531</v>
      </c>
      <c r="U43" s="758" t="s">
        <v>325</v>
      </c>
      <c r="V43" s="758" t="s">
        <v>553</v>
      </c>
    </row>
    <row r="44" spans="1:22" x14ac:dyDescent="0.25">
      <c r="A44" s="758" t="s">
        <v>526</v>
      </c>
      <c r="B44" s="758" t="s">
        <v>88</v>
      </c>
      <c r="G44" s="758" t="s">
        <v>1556</v>
      </c>
      <c r="H44" s="758" t="s">
        <v>1547</v>
      </c>
      <c r="I44" s="758" t="s">
        <v>499</v>
      </c>
      <c r="J44" s="758" t="s">
        <v>1505</v>
      </c>
      <c r="K44" s="299">
        <v>62</v>
      </c>
      <c r="M44" s="758" t="s">
        <v>346</v>
      </c>
      <c r="N44" s="758" t="s">
        <v>347</v>
      </c>
      <c r="O44" s="758" t="s">
        <v>310</v>
      </c>
      <c r="P44" s="299">
        <v>184</v>
      </c>
      <c r="Q44" s="299">
        <v>966</v>
      </c>
      <c r="U44" s="758" t="s">
        <v>323</v>
      </c>
      <c r="V44" s="758" t="s">
        <v>553</v>
      </c>
    </row>
    <row r="45" spans="1:22" x14ac:dyDescent="0.25">
      <c r="A45" s="758" t="s">
        <v>526</v>
      </c>
      <c r="B45" s="758" t="s">
        <v>44</v>
      </c>
      <c r="G45" s="758" t="s">
        <v>313</v>
      </c>
      <c r="H45" s="758" t="s">
        <v>312</v>
      </c>
      <c r="I45" s="758" t="s">
        <v>499</v>
      </c>
      <c r="J45" s="136">
        <v>40695</v>
      </c>
      <c r="K45" s="299">
        <v>102</v>
      </c>
      <c r="M45" s="758" t="s">
        <v>30</v>
      </c>
      <c r="N45" s="758" t="s">
        <v>28</v>
      </c>
      <c r="O45" s="758" t="s">
        <v>27</v>
      </c>
      <c r="P45" s="299">
        <v>108</v>
      </c>
      <c r="Q45" s="299">
        <v>529</v>
      </c>
      <c r="U45" s="758" t="s">
        <v>346</v>
      </c>
      <c r="V45" s="758" t="s">
        <v>553</v>
      </c>
    </row>
    <row r="46" spans="1:22" x14ac:dyDescent="0.25">
      <c r="A46" s="758" t="s">
        <v>526</v>
      </c>
      <c r="B46" s="758" t="s">
        <v>56</v>
      </c>
      <c r="G46" s="758" t="s">
        <v>336</v>
      </c>
      <c r="H46" s="758" t="s">
        <v>335</v>
      </c>
      <c r="I46" s="758" t="s">
        <v>499</v>
      </c>
      <c r="J46" s="136">
        <v>40878</v>
      </c>
      <c r="K46" s="299">
        <v>149</v>
      </c>
      <c r="M46" s="758" t="s">
        <v>29</v>
      </c>
      <c r="N46" s="758" t="s">
        <v>364</v>
      </c>
      <c r="O46" s="758" t="s">
        <v>27</v>
      </c>
      <c r="P46" s="299">
        <v>158</v>
      </c>
      <c r="Q46" s="299">
        <v>945</v>
      </c>
      <c r="U46" s="758" t="s">
        <v>30</v>
      </c>
      <c r="V46" s="758" t="s">
        <v>553</v>
      </c>
    </row>
    <row r="47" spans="1:22" x14ac:dyDescent="0.25">
      <c r="A47" s="758" t="s">
        <v>526</v>
      </c>
      <c r="B47" s="758" t="s">
        <v>90</v>
      </c>
      <c r="G47" s="758" t="s">
        <v>88</v>
      </c>
      <c r="H47" s="758" t="s">
        <v>87</v>
      </c>
      <c r="I47" s="758" t="s">
        <v>499</v>
      </c>
      <c r="J47" s="136">
        <v>41183</v>
      </c>
      <c r="K47" s="299">
        <v>13</v>
      </c>
      <c r="M47" s="758" t="s">
        <v>36</v>
      </c>
      <c r="N47" s="758" t="s">
        <v>37</v>
      </c>
      <c r="O47" s="758" t="s">
        <v>27</v>
      </c>
      <c r="P47" s="299"/>
      <c r="Q47" s="299"/>
      <c r="U47" s="758" t="s">
        <v>29</v>
      </c>
      <c r="V47" s="758" t="s">
        <v>553</v>
      </c>
    </row>
    <row r="48" spans="1:22" x14ac:dyDescent="0.25">
      <c r="A48" s="758" t="s">
        <v>526</v>
      </c>
      <c r="B48" s="758" t="s">
        <v>92</v>
      </c>
      <c r="G48" s="758" t="s">
        <v>44</v>
      </c>
      <c r="H48" s="758" t="s">
        <v>45</v>
      </c>
      <c r="I48" s="758" t="s">
        <v>499</v>
      </c>
      <c r="J48" s="136">
        <v>41122</v>
      </c>
      <c r="K48" s="299">
        <v>4</v>
      </c>
      <c r="M48" s="758" t="s">
        <v>33</v>
      </c>
      <c r="N48" s="758" t="s">
        <v>34</v>
      </c>
      <c r="O48" s="758" t="s">
        <v>27</v>
      </c>
      <c r="P48" s="299"/>
      <c r="Q48" s="299"/>
      <c r="U48" s="758" t="s">
        <v>36</v>
      </c>
      <c r="V48" s="758" t="s">
        <v>553</v>
      </c>
    </row>
    <row r="49" spans="1:22" x14ac:dyDescent="0.25">
      <c r="A49" s="758" t="s">
        <v>526</v>
      </c>
      <c r="B49" s="758" t="s">
        <v>94</v>
      </c>
      <c r="G49" s="758" t="s">
        <v>56</v>
      </c>
      <c r="H49" s="758" t="s">
        <v>55</v>
      </c>
      <c r="I49" s="758" t="s">
        <v>842</v>
      </c>
      <c r="J49" s="758" t="s">
        <v>1505</v>
      </c>
      <c r="K49" s="299">
        <v>0</v>
      </c>
      <c r="M49" s="758" t="s">
        <v>31</v>
      </c>
      <c r="N49" s="758" t="s">
        <v>32</v>
      </c>
      <c r="O49" s="758" t="s">
        <v>27</v>
      </c>
      <c r="P49" s="299"/>
      <c r="Q49" s="299"/>
      <c r="U49" s="758" t="s">
        <v>33</v>
      </c>
      <c r="V49" s="758" t="s">
        <v>12</v>
      </c>
    </row>
    <row r="50" spans="1:22" x14ac:dyDescent="0.25">
      <c r="A50" s="758" t="s">
        <v>526</v>
      </c>
      <c r="B50" s="758" t="s">
        <v>54</v>
      </c>
      <c r="G50" s="758" t="s">
        <v>1150</v>
      </c>
      <c r="H50" s="758" t="s">
        <v>1152</v>
      </c>
      <c r="I50" s="758" t="s">
        <v>499</v>
      </c>
      <c r="J50" s="136">
        <v>41275</v>
      </c>
      <c r="K50" s="299">
        <v>26</v>
      </c>
      <c r="M50" s="758" t="s">
        <v>21</v>
      </c>
      <c r="N50" s="758" t="s">
        <v>22</v>
      </c>
      <c r="O50" s="758" t="s">
        <v>5</v>
      </c>
      <c r="P50" s="299">
        <v>638</v>
      </c>
      <c r="Q50" s="299">
        <v>4050</v>
      </c>
      <c r="U50" s="758" t="s">
        <v>31</v>
      </c>
      <c r="V50" s="758" t="s">
        <v>553</v>
      </c>
    </row>
    <row r="51" spans="1:22" x14ac:dyDescent="0.25">
      <c r="A51" s="758" t="s">
        <v>526</v>
      </c>
      <c r="B51" s="758" t="s">
        <v>66</v>
      </c>
      <c r="G51" s="758" t="s">
        <v>12</v>
      </c>
      <c r="H51" s="758" t="s">
        <v>11</v>
      </c>
      <c r="I51" s="758" t="s">
        <v>499</v>
      </c>
      <c r="J51" s="758" t="s">
        <v>1505</v>
      </c>
      <c r="K51" s="299">
        <v>197</v>
      </c>
      <c r="M51" s="758" t="s">
        <v>15</v>
      </c>
      <c r="N51" s="758" t="s">
        <v>16</v>
      </c>
      <c r="O51" s="758" t="s">
        <v>5</v>
      </c>
      <c r="P51" s="299"/>
      <c r="Q51" s="299"/>
      <c r="U51" s="758" t="s">
        <v>21</v>
      </c>
      <c r="V51" s="758" t="s">
        <v>553</v>
      </c>
    </row>
    <row r="52" spans="1:22" x14ac:dyDescent="0.25">
      <c r="A52" s="758" t="s">
        <v>526</v>
      </c>
      <c r="B52" s="758" t="s">
        <v>80</v>
      </c>
      <c r="G52" s="758" t="s">
        <v>12</v>
      </c>
      <c r="H52" s="758" t="s">
        <v>390</v>
      </c>
      <c r="I52" s="758" t="s">
        <v>499</v>
      </c>
      <c r="J52" s="758" t="s">
        <v>1505</v>
      </c>
      <c r="K52" s="299">
        <v>73</v>
      </c>
      <c r="M52" s="758" t="s">
        <v>17</v>
      </c>
      <c r="N52" s="758" t="s">
        <v>18</v>
      </c>
      <c r="O52" s="758" t="s">
        <v>5</v>
      </c>
      <c r="P52" s="299">
        <v>130</v>
      </c>
      <c r="Q52" s="299">
        <v>747</v>
      </c>
      <c r="U52" s="758" t="s">
        <v>15</v>
      </c>
      <c r="V52" s="758" t="s">
        <v>553</v>
      </c>
    </row>
    <row r="53" spans="1:22" x14ac:dyDescent="0.25">
      <c r="A53" s="758" t="s">
        <v>526</v>
      </c>
      <c r="B53" s="758" t="s">
        <v>102</v>
      </c>
      <c r="G53" s="758" t="s">
        <v>12</v>
      </c>
      <c r="H53" s="758" t="s">
        <v>391</v>
      </c>
      <c r="I53" s="758" t="s">
        <v>499</v>
      </c>
      <c r="J53" s="758" t="s">
        <v>1505</v>
      </c>
      <c r="K53" s="299">
        <v>226</v>
      </c>
      <c r="M53" s="758" t="s">
        <v>4</v>
      </c>
      <c r="N53" s="758" t="s">
        <v>6</v>
      </c>
      <c r="O53" s="758" t="s">
        <v>5</v>
      </c>
      <c r="P53" s="299">
        <v>257</v>
      </c>
      <c r="Q53" s="299">
        <v>1266</v>
      </c>
      <c r="U53" s="758" t="s">
        <v>17</v>
      </c>
      <c r="V53" s="758" t="s">
        <v>553</v>
      </c>
    </row>
    <row r="54" spans="1:22" x14ac:dyDescent="0.25">
      <c r="A54" s="758" t="s">
        <v>526</v>
      </c>
      <c r="B54" s="758" t="s">
        <v>106</v>
      </c>
      <c r="G54" s="758" t="s">
        <v>12</v>
      </c>
      <c r="H54" s="758" t="s">
        <v>393</v>
      </c>
      <c r="I54" s="758" t="s">
        <v>842</v>
      </c>
      <c r="J54" s="758" t="s">
        <v>1505</v>
      </c>
      <c r="K54" s="299"/>
      <c r="M54" s="758" t="s">
        <v>7</v>
      </c>
      <c r="N54" s="758" t="s">
        <v>8</v>
      </c>
      <c r="O54" s="758" t="s">
        <v>5</v>
      </c>
      <c r="P54" s="299">
        <v>13</v>
      </c>
      <c r="Q54" s="299">
        <v>56</v>
      </c>
      <c r="U54" s="758" t="s">
        <v>4</v>
      </c>
      <c r="V54" s="758" t="s">
        <v>553</v>
      </c>
    </row>
    <row r="55" spans="1:22" x14ac:dyDescent="0.25">
      <c r="A55" s="758" t="s">
        <v>526</v>
      </c>
      <c r="B55" s="758" t="s">
        <v>116</v>
      </c>
      <c r="G55" s="758" t="s">
        <v>169</v>
      </c>
      <c r="H55" s="758" t="s">
        <v>168</v>
      </c>
      <c r="I55" s="758" t="s">
        <v>842</v>
      </c>
      <c r="J55" s="758" t="s">
        <v>1505</v>
      </c>
      <c r="K55" s="299"/>
      <c r="M55" s="758" t="s">
        <v>13</v>
      </c>
      <c r="N55" s="758" t="s">
        <v>14</v>
      </c>
      <c r="O55" s="758" t="s">
        <v>5</v>
      </c>
      <c r="P55" s="299">
        <v>38</v>
      </c>
      <c r="Q55" s="299">
        <v>214</v>
      </c>
      <c r="U55" s="758" t="s">
        <v>7</v>
      </c>
      <c r="V55" s="758" t="s">
        <v>553</v>
      </c>
    </row>
    <row r="56" spans="1:22" x14ac:dyDescent="0.25">
      <c r="A56" s="758" t="s">
        <v>526</v>
      </c>
      <c r="B56" s="758" t="s">
        <v>130</v>
      </c>
      <c r="G56" s="758" t="s">
        <v>775</v>
      </c>
      <c r="H56" s="758" t="s">
        <v>1537</v>
      </c>
      <c r="I56" s="758" t="s">
        <v>499</v>
      </c>
      <c r="J56" s="758" t="s">
        <v>1505</v>
      </c>
      <c r="K56" s="299">
        <v>208</v>
      </c>
      <c r="M56" s="758" t="s">
        <v>25</v>
      </c>
      <c r="N56" s="758" t="s">
        <v>26</v>
      </c>
      <c r="O56" s="758" t="s">
        <v>5</v>
      </c>
      <c r="P56" s="299">
        <v>15</v>
      </c>
      <c r="Q56" s="299">
        <v>79</v>
      </c>
      <c r="U56" s="758" t="s">
        <v>13</v>
      </c>
      <c r="V56" s="758" t="s">
        <v>553</v>
      </c>
    </row>
    <row r="57" spans="1:22" x14ac:dyDescent="0.25">
      <c r="A57" s="758" t="s">
        <v>526</v>
      </c>
      <c r="B57" s="758" t="s">
        <v>138</v>
      </c>
      <c r="G57" s="758" t="s">
        <v>231</v>
      </c>
      <c r="H57" s="758" t="s">
        <v>388</v>
      </c>
      <c r="I57" s="758" t="s">
        <v>499</v>
      </c>
      <c r="J57" s="758" t="s">
        <v>1505</v>
      </c>
      <c r="K57" s="299">
        <v>32</v>
      </c>
      <c r="M57" s="758" t="s">
        <v>19</v>
      </c>
      <c r="N57" s="758" t="s">
        <v>20</v>
      </c>
      <c r="O57" s="758" t="s">
        <v>5</v>
      </c>
      <c r="P57" s="299">
        <v>21</v>
      </c>
      <c r="Q57" s="299">
        <v>111</v>
      </c>
      <c r="U57" s="758" t="s">
        <v>25</v>
      </c>
      <c r="V57" s="758" t="s">
        <v>553</v>
      </c>
    </row>
    <row r="58" spans="1:22" x14ac:dyDescent="0.25">
      <c r="A58" s="758" t="s">
        <v>526</v>
      </c>
      <c r="B58" s="758" t="s">
        <v>136</v>
      </c>
      <c r="G58" s="758" t="s">
        <v>1061</v>
      </c>
      <c r="H58" s="758" t="s">
        <v>1062</v>
      </c>
      <c r="I58" s="758" t="s">
        <v>499</v>
      </c>
      <c r="J58" s="136">
        <v>41122</v>
      </c>
      <c r="K58" s="299">
        <v>103</v>
      </c>
      <c r="M58" s="758" t="s">
        <v>23</v>
      </c>
      <c r="N58" s="758" t="s">
        <v>24</v>
      </c>
      <c r="O58" s="758" t="s">
        <v>5</v>
      </c>
      <c r="P58" s="299">
        <v>20</v>
      </c>
      <c r="Q58" s="299">
        <v>95</v>
      </c>
      <c r="U58" s="758" t="s">
        <v>19</v>
      </c>
      <c r="V58" s="758" t="s">
        <v>553</v>
      </c>
    </row>
    <row r="59" spans="1:22" x14ac:dyDescent="0.25">
      <c r="A59" s="758" t="s">
        <v>526</v>
      </c>
      <c r="B59" s="758" t="s">
        <v>68</v>
      </c>
      <c r="G59" s="758" t="s">
        <v>364</v>
      </c>
      <c r="H59" s="758" t="s">
        <v>29</v>
      </c>
      <c r="I59" s="758" t="s">
        <v>499</v>
      </c>
      <c r="J59" s="136">
        <v>41030</v>
      </c>
      <c r="K59" s="299">
        <v>158</v>
      </c>
      <c r="M59" s="758" t="s">
        <v>208</v>
      </c>
      <c r="N59" s="758" t="s">
        <v>209</v>
      </c>
      <c r="O59" s="758" t="s">
        <v>185</v>
      </c>
      <c r="P59" s="299">
        <v>387</v>
      </c>
      <c r="Q59" s="299">
        <v>1874</v>
      </c>
      <c r="U59" s="758" t="s">
        <v>23</v>
      </c>
      <c r="V59" s="758" t="s">
        <v>553</v>
      </c>
    </row>
    <row r="60" spans="1:22" x14ac:dyDescent="0.25">
      <c r="A60" s="758" t="s">
        <v>526</v>
      </c>
      <c r="B60" s="758" t="s">
        <v>84</v>
      </c>
      <c r="G60" s="758" t="s">
        <v>194</v>
      </c>
      <c r="H60" s="758" t="s">
        <v>193</v>
      </c>
      <c r="I60" s="758" t="s">
        <v>499</v>
      </c>
      <c r="J60" s="136">
        <v>40695</v>
      </c>
      <c r="K60" s="299">
        <v>718</v>
      </c>
      <c r="M60" s="758" t="s">
        <v>210</v>
      </c>
      <c r="N60" s="758" t="s">
        <v>211</v>
      </c>
      <c r="O60" s="758" t="s">
        <v>185</v>
      </c>
      <c r="P60" s="299"/>
      <c r="Q60" s="299"/>
      <c r="U60" s="758" t="s">
        <v>208</v>
      </c>
      <c r="V60" s="758" t="s">
        <v>553</v>
      </c>
    </row>
    <row r="61" spans="1:22" x14ac:dyDescent="0.25">
      <c r="A61" s="758" t="s">
        <v>526</v>
      </c>
      <c r="B61" s="758" t="s">
        <v>86</v>
      </c>
      <c r="G61" s="758" t="s">
        <v>14</v>
      </c>
      <c r="H61" s="758" t="s">
        <v>13</v>
      </c>
      <c r="I61" s="758" t="s">
        <v>499</v>
      </c>
      <c r="J61" s="136">
        <v>40878</v>
      </c>
      <c r="K61" s="299">
        <v>38</v>
      </c>
      <c r="M61" s="758" t="s">
        <v>206</v>
      </c>
      <c r="N61" s="758" t="s">
        <v>207</v>
      </c>
      <c r="O61" s="758" t="s">
        <v>185</v>
      </c>
      <c r="P61" s="299"/>
      <c r="Q61" s="299"/>
      <c r="U61" s="758" t="s">
        <v>210</v>
      </c>
      <c r="V61" s="758" t="s">
        <v>553</v>
      </c>
    </row>
    <row r="62" spans="1:22" x14ac:dyDescent="0.25">
      <c r="A62" s="758" t="s">
        <v>526</v>
      </c>
      <c r="B62" s="758" t="s">
        <v>100</v>
      </c>
      <c r="G62" s="758" t="s">
        <v>812</v>
      </c>
      <c r="H62" s="758" t="s">
        <v>813</v>
      </c>
      <c r="I62" s="758" t="s">
        <v>499</v>
      </c>
      <c r="J62" s="758" t="s">
        <v>1505</v>
      </c>
      <c r="K62" s="299"/>
      <c r="M62" s="758" t="s">
        <v>216</v>
      </c>
      <c r="N62" s="758" t="s">
        <v>217</v>
      </c>
      <c r="O62" s="758" t="s">
        <v>185</v>
      </c>
      <c r="P62" s="299"/>
      <c r="Q62" s="299"/>
      <c r="U62" s="758" t="s">
        <v>206</v>
      </c>
      <c r="V62" s="758" t="s">
        <v>553</v>
      </c>
    </row>
    <row r="63" spans="1:22" x14ac:dyDescent="0.25">
      <c r="A63" s="758" t="s">
        <v>526</v>
      </c>
      <c r="B63" s="758" t="s">
        <v>104</v>
      </c>
      <c r="G63" s="758" t="s">
        <v>883</v>
      </c>
      <c r="H63" s="758" t="s">
        <v>882</v>
      </c>
      <c r="I63" s="758" t="s">
        <v>842</v>
      </c>
      <c r="J63" s="758" t="s">
        <v>1505</v>
      </c>
      <c r="K63" s="299">
        <v>0</v>
      </c>
      <c r="M63" s="758" t="s">
        <v>226</v>
      </c>
      <c r="N63" s="758" t="s">
        <v>227</v>
      </c>
      <c r="O63" s="758" t="s">
        <v>185</v>
      </c>
      <c r="P63" s="299"/>
      <c r="Q63" s="299"/>
      <c r="U63" s="758" t="s">
        <v>216</v>
      </c>
      <c r="V63" s="758" t="s">
        <v>553</v>
      </c>
    </row>
    <row r="64" spans="1:22" x14ac:dyDescent="0.25">
      <c r="A64" s="758" t="s">
        <v>526</v>
      </c>
      <c r="B64" s="758" t="s">
        <v>98</v>
      </c>
      <c r="G64" s="758" t="s">
        <v>1038</v>
      </c>
      <c r="H64" s="758" t="s">
        <v>1039</v>
      </c>
      <c r="I64" s="758" t="s">
        <v>499</v>
      </c>
      <c r="J64" s="136">
        <v>41487</v>
      </c>
      <c r="K64" s="299">
        <v>10</v>
      </c>
      <c r="M64" s="758" t="s">
        <v>212</v>
      </c>
      <c r="N64" s="758" t="s">
        <v>213</v>
      </c>
      <c r="O64" s="758" t="s">
        <v>185</v>
      </c>
      <c r="P64" s="299">
        <v>44</v>
      </c>
      <c r="Q64" s="299">
        <v>143</v>
      </c>
      <c r="U64" s="758" t="s">
        <v>226</v>
      </c>
      <c r="V64" s="758" t="s">
        <v>12</v>
      </c>
    </row>
    <row r="65" spans="1:22" x14ac:dyDescent="0.25">
      <c r="A65" s="758" t="s">
        <v>526</v>
      </c>
      <c r="B65" s="758" t="s">
        <v>142</v>
      </c>
      <c r="G65" s="758" t="s">
        <v>253</v>
      </c>
      <c r="H65" s="758" t="s">
        <v>252</v>
      </c>
      <c r="I65" s="758" t="s">
        <v>499</v>
      </c>
      <c r="J65" s="136">
        <v>40725</v>
      </c>
      <c r="K65" s="299">
        <v>200</v>
      </c>
      <c r="M65" s="758" t="s">
        <v>201</v>
      </c>
      <c r="N65" s="758" t="s">
        <v>202</v>
      </c>
      <c r="O65" s="758" t="s">
        <v>185</v>
      </c>
      <c r="P65" s="299">
        <v>265</v>
      </c>
      <c r="Q65" s="299">
        <v>1183</v>
      </c>
      <c r="U65" s="758" t="s">
        <v>212</v>
      </c>
      <c r="V65" s="758" t="s">
        <v>12</v>
      </c>
    </row>
    <row r="66" spans="1:22" x14ac:dyDescent="0.25">
      <c r="A66" s="758" t="s">
        <v>526</v>
      </c>
      <c r="B66" s="758" t="s">
        <v>610</v>
      </c>
      <c r="G66" s="758" t="s">
        <v>255</v>
      </c>
      <c r="H66" s="758" t="s">
        <v>254</v>
      </c>
      <c r="I66" s="758" t="s">
        <v>499</v>
      </c>
      <c r="J66" s="136">
        <v>40725</v>
      </c>
      <c r="K66" s="299">
        <v>122</v>
      </c>
      <c r="M66" s="758" t="s">
        <v>203</v>
      </c>
      <c r="N66" s="758" t="s">
        <v>204</v>
      </c>
      <c r="O66" s="758" t="s">
        <v>185</v>
      </c>
      <c r="P66" s="299"/>
      <c r="Q66" s="299"/>
      <c r="U66" s="758" t="s">
        <v>201</v>
      </c>
      <c r="V66" s="758" t="s">
        <v>553</v>
      </c>
    </row>
    <row r="67" spans="1:22" x14ac:dyDescent="0.25">
      <c r="A67" s="758" t="s">
        <v>526</v>
      </c>
      <c r="B67" s="758" t="s">
        <v>108</v>
      </c>
      <c r="G67" s="758" t="s">
        <v>196</v>
      </c>
      <c r="H67" s="758" t="s">
        <v>195</v>
      </c>
      <c r="I67" s="758" t="s">
        <v>499</v>
      </c>
      <c r="J67" s="136">
        <v>41061</v>
      </c>
      <c r="K67" s="299">
        <v>1546</v>
      </c>
      <c r="M67" s="758" t="s">
        <v>199</v>
      </c>
      <c r="N67" s="758" t="s">
        <v>200</v>
      </c>
      <c r="O67" s="758" t="s">
        <v>185</v>
      </c>
      <c r="P67" s="299"/>
      <c r="Q67" s="299"/>
      <c r="U67" s="758" t="s">
        <v>203</v>
      </c>
      <c r="V67" s="758" t="s">
        <v>12</v>
      </c>
    </row>
    <row r="68" spans="1:22" x14ac:dyDescent="0.25">
      <c r="A68" s="758" t="s">
        <v>526</v>
      </c>
      <c r="B68" s="758" t="s">
        <v>110</v>
      </c>
      <c r="G68" s="758" t="s">
        <v>1480</v>
      </c>
      <c r="H68" s="758" t="s">
        <v>1458</v>
      </c>
      <c r="I68" s="758" t="s">
        <v>842</v>
      </c>
      <c r="J68" s="758" t="s">
        <v>1505</v>
      </c>
      <c r="K68" s="299"/>
      <c r="M68" s="758" t="s">
        <v>220</v>
      </c>
      <c r="N68" s="758" t="s">
        <v>221</v>
      </c>
      <c r="O68" s="758" t="s">
        <v>185</v>
      </c>
      <c r="P68" s="299"/>
      <c r="Q68" s="299"/>
      <c r="U68" s="758" t="s">
        <v>199</v>
      </c>
      <c r="V68" s="758" t="s">
        <v>12</v>
      </c>
    </row>
    <row r="69" spans="1:22" x14ac:dyDescent="0.25">
      <c r="A69" s="758" t="s">
        <v>526</v>
      </c>
      <c r="B69" s="758" t="s">
        <v>112</v>
      </c>
      <c r="G69" s="758" t="s">
        <v>1490</v>
      </c>
      <c r="H69" s="758" t="s">
        <v>1457</v>
      </c>
      <c r="I69" s="758" t="s">
        <v>842</v>
      </c>
      <c r="J69" s="758" t="s">
        <v>1505</v>
      </c>
      <c r="K69" s="299"/>
      <c r="M69" s="758" t="s">
        <v>150</v>
      </c>
      <c r="N69" s="758" t="s">
        <v>152</v>
      </c>
      <c r="O69" s="758" t="s">
        <v>151</v>
      </c>
      <c r="P69" s="299">
        <v>194</v>
      </c>
      <c r="Q69" s="299">
        <v>874</v>
      </c>
      <c r="U69" s="758" t="s">
        <v>220</v>
      </c>
      <c r="V69" s="758" t="s">
        <v>12</v>
      </c>
    </row>
    <row r="70" spans="1:22" x14ac:dyDescent="0.25">
      <c r="A70" s="758" t="s">
        <v>526</v>
      </c>
      <c r="B70" s="758" t="s">
        <v>114</v>
      </c>
      <c r="G70" s="758" t="s">
        <v>16</v>
      </c>
      <c r="H70" s="758" t="s">
        <v>15</v>
      </c>
      <c r="I70" s="758" t="s">
        <v>842</v>
      </c>
      <c r="J70" s="758" t="s">
        <v>1505</v>
      </c>
      <c r="K70" s="299"/>
      <c r="M70" s="758" t="s">
        <v>305</v>
      </c>
      <c r="N70" s="758" t="s">
        <v>306</v>
      </c>
      <c r="O70" s="758" t="s">
        <v>302</v>
      </c>
      <c r="P70" s="299">
        <v>86</v>
      </c>
      <c r="Q70" s="299">
        <v>314</v>
      </c>
      <c r="U70" s="758" t="s">
        <v>150</v>
      </c>
      <c r="V70" s="758" t="s">
        <v>553</v>
      </c>
    </row>
    <row r="71" spans="1:22" x14ac:dyDescent="0.25">
      <c r="A71" s="758" t="s">
        <v>526</v>
      </c>
      <c r="B71" s="758" t="s">
        <v>118</v>
      </c>
      <c r="G71" s="758" t="s">
        <v>1479</v>
      </c>
      <c r="H71" s="758" t="s">
        <v>1455</v>
      </c>
      <c r="I71" s="758" t="s">
        <v>842</v>
      </c>
      <c r="J71" s="758" t="s">
        <v>1505</v>
      </c>
      <c r="K71" s="299"/>
      <c r="M71" s="758" t="s">
        <v>307</v>
      </c>
      <c r="N71" s="758" t="s">
        <v>308</v>
      </c>
      <c r="O71" s="758" t="s">
        <v>302</v>
      </c>
      <c r="P71" s="299">
        <v>43</v>
      </c>
      <c r="Q71" s="299">
        <v>159</v>
      </c>
      <c r="U71" s="758" t="s">
        <v>305</v>
      </c>
      <c r="V71" s="758" t="s">
        <v>553</v>
      </c>
    </row>
    <row r="72" spans="1:22" x14ac:dyDescent="0.25">
      <c r="A72" s="758" t="s">
        <v>526</v>
      </c>
      <c r="B72" s="758" t="s">
        <v>122</v>
      </c>
      <c r="G72" s="758" t="s">
        <v>520</v>
      </c>
      <c r="H72" s="758" t="s">
        <v>521</v>
      </c>
      <c r="I72" s="758" t="s">
        <v>499</v>
      </c>
      <c r="J72" s="758" t="s">
        <v>1505</v>
      </c>
      <c r="K72" s="299">
        <v>4</v>
      </c>
      <c r="M72" s="758" t="s">
        <v>222</v>
      </c>
      <c r="N72" s="758" t="s">
        <v>223</v>
      </c>
      <c r="O72" s="758" t="s">
        <v>185</v>
      </c>
      <c r="P72" s="299">
        <v>103</v>
      </c>
      <c r="Q72" s="299">
        <v>495</v>
      </c>
      <c r="U72" s="758" t="s">
        <v>307</v>
      </c>
      <c r="V72" s="758" t="s">
        <v>553</v>
      </c>
    </row>
    <row r="73" spans="1:22" x14ac:dyDescent="0.25">
      <c r="A73" s="758" t="s">
        <v>526</v>
      </c>
      <c r="B73" s="758" t="s">
        <v>124</v>
      </c>
      <c r="G73" s="758" t="s">
        <v>372</v>
      </c>
      <c r="H73" s="758" t="s">
        <v>382</v>
      </c>
      <c r="I73" s="758" t="s">
        <v>842</v>
      </c>
      <c r="J73" s="136">
        <v>41275</v>
      </c>
      <c r="K73" s="299"/>
      <c r="M73" s="758" t="s">
        <v>189</v>
      </c>
      <c r="N73" s="758" t="s">
        <v>190</v>
      </c>
      <c r="O73" s="758" t="s">
        <v>185</v>
      </c>
      <c r="P73" s="299">
        <v>194</v>
      </c>
      <c r="Q73" s="299">
        <v>1071</v>
      </c>
      <c r="U73" s="758" t="s">
        <v>222</v>
      </c>
      <c r="V73" s="758" t="s">
        <v>553</v>
      </c>
    </row>
    <row r="74" spans="1:22" x14ac:dyDescent="0.25">
      <c r="A74" s="758" t="s">
        <v>526</v>
      </c>
      <c r="B74" s="758" t="s">
        <v>96</v>
      </c>
      <c r="G74" s="758" t="s">
        <v>1115</v>
      </c>
      <c r="H74" s="758" t="s">
        <v>1116</v>
      </c>
      <c r="I74" s="758" t="s">
        <v>842</v>
      </c>
      <c r="J74" s="136">
        <v>42019</v>
      </c>
      <c r="K74" s="299"/>
      <c r="M74" s="758" t="s">
        <v>184</v>
      </c>
      <c r="N74" s="758" t="s">
        <v>186</v>
      </c>
      <c r="O74" s="758" t="s">
        <v>185</v>
      </c>
      <c r="P74" s="299">
        <v>39</v>
      </c>
      <c r="Q74" s="299">
        <v>234</v>
      </c>
      <c r="U74" s="758" t="s">
        <v>189</v>
      </c>
      <c r="V74" s="758" t="s">
        <v>553</v>
      </c>
    </row>
    <row r="75" spans="1:22" x14ac:dyDescent="0.25">
      <c r="A75" s="758" t="s">
        <v>526</v>
      </c>
      <c r="B75" s="758" t="s">
        <v>132</v>
      </c>
      <c r="G75" s="758" t="s">
        <v>369</v>
      </c>
      <c r="H75" s="758" t="s">
        <v>383</v>
      </c>
      <c r="I75" s="758" t="s">
        <v>499</v>
      </c>
      <c r="J75" s="136">
        <v>41244</v>
      </c>
      <c r="K75" s="299">
        <v>57</v>
      </c>
      <c r="M75" s="758" t="s">
        <v>228</v>
      </c>
      <c r="N75" s="758" t="s">
        <v>229</v>
      </c>
      <c r="O75" s="758" t="s">
        <v>185</v>
      </c>
      <c r="P75" s="299">
        <v>49</v>
      </c>
      <c r="Q75" s="299">
        <v>300</v>
      </c>
      <c r="U75" s="758" t="s">
        <v>184</v>
      </c>
      <c r="V75" s="758" t="s">
        <v>553</v>
      </c>
    </row>
    <row r="76" spans="1:22" x14ac:dyDescent="0.25">
      <c r="A76" s="758" t="s">
        <v>526</v>
      </c>
      <c r="B76" s="758" t="s">
        <v>134</v>
      </c>
      <c r="G76" s="758" t="s">
        <v>1518</v>
      </c>
      <c r="H76" s="758" t="s">
        <v>1517</v>
      </c>
      <c r="I76" s="758" t="s">
        <v>499</v>
      </c>
      <c r="J76" s="136">
        <v>42724</v>
      </c>
      <c r="K76" s="299">
        <v>40</v>
      </c>
      <c r="M76" s="758" t="s">
        <v>224</v>
      </c>
      <c r="N76" s="758" t="s">
        <v>225</v>
      </c>
      <c r="O76" s="758" t="s">
        <v>185</v>
      </c>
      <c r="P76" s="299">
        <v>41</v>
      </c>
      <c r="Q76" s="299">
        <v>245</v>
      </c>
      <c r="U76" s="758" t="s">
        <v>228</v>
      </c>
      <c r="V76" s="758" t="s">
        <v>553</v>
      </c>
    </row>
    <row r="77" spans="1:22" x14ac:dyDescent="0.25">
      <c r="A77" s="758" t="s">
        <v>526</v>
      </c>
      <c r="B77" s="758" t="s">
        <v>64</v>
      </c>
      <c r="G77" s="758" t="s">
        <v>370</v>
      </c>
      <c r="H77" s="758" t="s">
        <v>384</v>
      </c>
      <c r="I77" s="758" t="s">
        <v>499</v>
      </c>
      <c r="J77" s="136">
        <v>41244</v>
      </c>
      <c r="K77" s="299">
        <v>30</v>
      </c>
      <c r="M77" s="758" t="s">
        <v>143</v>
      </c>
      <c r="N77" s="758" t="s">
        <v>145</v>
      </c>
      <c r="O77" s="758" t="s">
        <v>144</v>
      </c>
      <c r="P77" s="299"/>
      <c r="Q77" s="299"/>
      <c r="U77" s="758" t="s">
        <v>224</v>
      </c>
      <c r="V77" s="758" t="s">
        <v>553</v>
      </c>
    </row>
    <row r="78" spans="1:22" x14ac:dyDescent="0.25">
      <c r="A78" s="758" t="s">
        <v>526</v>
      </c>
      <c r="B78" s="758" t="s">
        <v>126</v>
      </c>
      <c r="G78" s="758" t="s">
        <v>1708</v>
      </c>
      <c r="H78" s="758" t="s">
        <v>1707</v>
      </c>
      <c r="I78" s="758" t="s">
        <v>499</v>
      </c>
      <c r="J78" s="136">
        <v>42781</v>
      </c>
      <c r="K78" s="299">
        <v>35</v>
      </c>
      <c r="M78" s="758" t="s">
        <v>299</v>
      </c>
      <c r="N78" s="758" t="s">
        <v>301</v>
      </c>
      <c r="O78" s="758" t="s">
        <v>300</v>
      </c>
      <c r="P78" s="299">
        <v>14</v>
      </c>
      <c r="Q78" s="299">
        <v>75</v>
      </c>
      <c r="U78" s="758" t="s">
        <v>143</v>
      </c>
      <c r="V78" s="758" t="s">
        <v>553</v>
      </c>
    </row>
    <row r="79" spans="1:22" x14ac:dyDescent="0.25">
      <c r="A79" s="758" t="s">
        <v>526</v>
      </c>
      <c r="B79" s="758" t="s">
        <v>74</v>
      </c>
      <c r="G79" s="758" t="s">
        <v>257</v>
      </c>
      <c r="H79" s="758" t="s">
        <v>256</v>
      </c>
      <c r="I79" s="758" t="s">
        <v>499</v>
      </c>
      <c r="J79" s="136">
        <v>40909</v>
      </c>
      <c r="K79" s="299">
        <v>42</v>
      </c>
      <c r="M79" s="758" t="s">
        <v>175</v>
      </c>
      <c r="N79" s="758" t="s">
        <v>176</v>
      </c>
      <c r="O79" s="758" t="s">
        <v>173</v>
      </c>
      <c r="P79" s="299">
        <v>15</v>
      </c>
      <c r="Q79" s="299">
        <v>72</v>
      </c>
      <c r="U79" s="758" t="s">
        <v>299</v>
      </c>
      <c r="V79" s="758" t="s">
        <v>12</v>
      </c>
    </row>
    <row r="80" spans="1:22" x14ac:dyDescent="0.25">
      <c r="A80" s="758" t="s">
        <v>526</v>
      </c>
      <c r="B80" s="758" t="s">
        <v>140</v>
      </c>
      <c r="G80" s="758" t="s">
        <v>174</v>
      </c>
      <c r="H80" s="758" t="s">
        <v>172</v>
      </c>
      <c r="I80" s="758" t="s">
        <v>499</v>
      </c>
      <c r="J80" s="136">
        <v>41030</v>
      </c>
      <c r="K80" s="299">
        <v>13</v>
      </c>
      <c r="M80" s="758" t="s">
        <v>172</v>
      </c>
      <c r="N80" s="758" t="s">
        <v>174</v>
      </c>
      <c r="O80" s="758" t="s">
        <v>173</v>
      </c>
      <c r="P80" s="299">
        <v>13</v>
      </c>
      <c r="Q80" s="299">
        <v>66</v>
      </c>
      <c r="U80" s="758" t="s">
        <v>175</v>
      </c>
      <c r="V80" s="758" t="s">
        <v>553</v>
      </c>
    </row>
    <row r="81" spans="1:22" x14ac:dyDescent="0.25">
      <c r="A81" s="758" t="s">
        <v>526</v>
      </c>
      <c r="B81" s="758" t="s">
        <v>513</v>
      </c>
      <c r="G81" s="758" t="s">
        <v>145</v>
      </c>
      <c r="H81" s="758" t="s">
        <v>143</v>
      </c>
      <c r="I81" s="758" t="s">
        <v>842</v>
      </c>
      <c r="J81" s="758" t="s">
        <v>1505</v>
      </c>
      <c r="K81" s="299"/>
      <c r="M81" s="758" t="s">
        <v>177</v>
      </c>
      <c r="N81" s="758" t="s">
        <v>178</v>
      </c>
      <c r="O81" s="758" t="s">
        <v>173</v>
      </c>
      <c r="P81" s="299">
        <v>12</v>
      </c>
      <c r="Q81" s="299">
        <v>47</v>
      </c>
      <c r="U81" s="758" t="s">
        <v>172</v>
      </c>
      <c r="V81" s="758" t="s">
        <v>553</v>
      </c>
    </row>
    <row r="82" spans="1:22" x14ac:dyDescent="0.25">
      <c r="A82" s="758" t="s">
        <v>526</v>
      </c>
      <c r="B82" s="758" t="s">
        <v>1061</v>
      </c>
      <c r="G82" s="758" t="s">
        <v>515</v>
      </c>
      <c r="H82" s="758" t="s">
        <v>516</v>
      </c>
      <c r="I82" s="758" t="s">
        <v>842</v>
      </c>
      <c r="J82" s="136">
        <v>41365</v>
      </c>
      <c r="K82" s="299">
        <v>0</v>
      </c>
      <c r="M82" s="758" t="s">
        <v>179</v>
      </c>
      <c r="N82" s="758" t="s">
        <v>181</v>
      </c>
      <c r="O82" s="758" t="s">
        <v>180</v>
      </c>
      <c r="P82" s="299">
        <v>11</v>
      </c>
      <c r="Q82" s="299">
        <v>57</v>
      </c>
      <c r="U82" s="758" t="s">
        <v>177</v>
      </c>
      <c r="V82" s="758" t="s">
        <v>553</v>
      </c>
    </row>
    <row r="83" spans="1:22" x14ac:dyDescent="0.25">
      <c r="A83" s="758" t="s">
        <v>526</v>
      </c>
      <c r="B83" s="758" t="s">
        <v>1115</v>
      </c>
      <c r="G83" s="758" t="s">
        <v>1236</v>
      </c>
      <c r="H83" s="758" t="s">
        <v>314</v>
      </c>
      <c r="I83" s="758" t="s">
        <v>842</v>
      </c>
      <c r="J83" s="136">
        <v>40695</v>
      </c>
      <c r="K83" s="299">
        <v>0</v>
      </c>
      <c r="M83" s="758" t="s">
        <v>182</v>
      </c>
      <c r="N83" s="758" t="s">
        <v>183</v>
      </c>
      <c r="O83" s="758" t="s">
        <v>180</v>
      </c>
      <c r="P83" s="299">
        <v>0</v>
      </c>
      <c r="Q83" s="299">
        <v>0</v>
      </c>
      <c r="U83" s="758" t="s">
        <v>179</v>
      </c>
      <c r="V83" s="758" t="s">
        <v>553</v>
      </c>
    </row>
    <row r="84" spans="1:22" x14ac:dyDescent="0.25">
      <c r="A84" s="758" t="s">
        <v>526</v>
      </c>
      <c r="B84" s="758" t="s">
        <v>1393</v>
      </c>
      <c r="G84" s="758" t="s">
        <v>340</v>
      </c>
      <c r="H84" s="758" t="s">
        <v>339</v>
      </c>
      <c r="I84" s="758" t="s">
        <v>499</v>
      </c>
      <c r="J84" s="758" t="s">
        <v>1505</v>
      </c>
      <c r="K84" s="299">
        <v>355</v>
      </c>
      <c r="M84" s="758" t="s">
        <v>109</v>
      </c>
      <c r="N84" s="758" t="s">
        <v>110</v>
      </c>
      <c r="O84" s="758" t="s">
        <v>526</v>
      </c>
      <c r="P84" s="299">
        <v>0</v>
      </c>
      <c r="Q84" s="299">
        <v>0</v>
      </c>
      <c r="U84" s="758" t="s">
        <v>182</v>
      </c>
      <c r="V84" s="758" t="s">
        <v>553</v>
      </c>
    </row>
    <row r="85" spans="1:22" x14ac:dyDescent="0.25">
      <c r="A85" s="758" t="s">
        <v>526</v>
      </c>
      <c r="B85" s="758" t="s">
        <v>1428</v>
      </c>
      <c r="G85" s="758" t="s">
        <v>34</v>
      </c>
      <c r="H85" s="758" t="s">
        <v>33</v>
      </c>
      <c r="I85" s="758" t="s">
        <v>842</v>
      </c>
      <c r="J85" s="758" t="s">
        <v>1505</v>
      </c>
      <c r="K85" s="299"/>
      <c r="M85" s="758" t="s">
        <v>111</v>
      </c>
      <c r="N85" s="758" t="s">
        <v>112</v>
      </c>
      <c r="O85" s="758" t="s">
        <v>526</v>
      </c>
      <c r="P85" s="299">
        <v>0</v>
      </c>
      <c r="Q85" s="299">
        <v>0</v>
      </c>
      <c r="U85" s="758" t="s">
        <v>109</v>
      </c>
      <c r="V85" s="758" t="s">
        <v>553</v>
      </c>
    </row>
    <row r="86" spans="1:22" x14ac:dyDescent="0.25">
      <c r="A86" s="758" t="s">
        <v>526</v>
      </c>
      <c r="B86" s="758" t="s">
        <v>1432</v>
      </c>
      <c r="G86" s="758" t="s">
        <v>198</v>
      </c>
      <c r="H86" s="758" t="s">
        <v>197</v>
      </c>
      <c r="I86" s="758" t="s">
        <v>499</v>
      </c>
      <c r="J86" s="136">
        <v>40817</v>
      </c>
      <c r="K86" s="299">
        <v>547</v>
      </c>
      <c r="M86" s="758" t="s">
        <v>85</v>
      </c>
      <c r="N86" s="758" t="s">
        <v>86</v>
      </c>
      <c r="O86" s="758" t="s">
        <v>526</v>
      </c>
      <c r="P86" s="299">
        <v>0</v>
      </c>
      <c r="Q86" s="299">
        <v>0</v>
      </c>
      <c r="U86" s="758" t="s">
        <v>111</v>
      </c>
      <c r="V86" s="758" t="s">
        <v>553</v>
      </c>
    </row>
    <row r="87" spans="1:22" x14ac:dyDescent="0.25">
      <c r="A87" s="758" t="s">
        <v>526</v>
      </c>
      <c r="B87" s="758" t="s">
        <v>1429</v>
      </c>
      <c r="G87" s="758" t="s">
        <v>304</v>
      </c>
      <c r="H87" s="758" t="s">
        <v>303</v>
      </c>
      <c r="I87" s="758" t="s">
        <v>499</v>
      </c>
      <c r="J87" s="136">
        <v>41701</v>
      </c>
      <c r="K87" s="299">
        <v>375</v>
      </c>
      <c r="M87" s="758" t="s">
        <v>83</v>
      </c>
      <c r="N87" s="758" t="s">
        <v>84</v>
      </c>
      <c r="O87" s="758" t="s">
        <v>526</v>
      </c>
      <c r="P87" s="299">
        <v>0</v>
      </c>
      <c r="Q87" s="299">
        <v>0</v>
      </c>
      <c r="U87" s="758" t="s">
        <v>85</v>
      </c>
      <c r="V87" s="758" t="s">
        <v>553</v>
      </c>
    </row>
    <row r="88" spans="1:22" x14ac:dyDescent="0.25">
      <c r="A88" s="758" t="s">
        <v>526</v>
      </c>
      <c r="B88" s="758" t="s">
        <v>1431</v>
      </c>
      <c r="G88" s="758" t="s">
        <v>35</v>
      </c>
      <c r="H88" s="758" t="s">
        <v>362</v>
      </c>
      <c r="I88" s="758" t="s">
        <v>842</v>
      </c>
      <c r="J88" s="758" t="s">
        <v>1505</v>
      </c>
      <c r="K88" s="299">
        <v>0</v>
      </c>
      <c r="M88" s="758" t="s">
        <v>69</v>
      </c>
      <c r="N88" s="758" t="s">
        <v>70</v>
      </c>
      <c r="O88" s="758" t="s">
        <v>526</v>
      </c>
      <c r="P88" s="299"/>
      <c r="Q88" s="299"/>
      <c r="U88" s="758" t="s">
        <v>83</v>
      </c>
      <c r="V88" s="758" t="s">
        <v>553</v>
      </c>
    </row>
    <row r="89" spans="1:22" x14ac:dyDescent="0.25">
      <c r="A89" s="758" t="s">
        <v>526</v>
      </c>
      <c r="B89" s="758" t="s">
        <v>1430</v>
      </c>
      <c r="G89" s="758" t="s">
        <v>1710</v>
      </c>
      <c r="H89" s="758" t="s">
        <v>1698</v>
      </c>
      <c r="I89" s="758" t="s">
        <v>499</v>
      </c>
      <c r="J89" s="136">
        <v>42887</v>
      </c>
      <c r="K89" s="299">
        <v>118</v>
      </c>
      <c r="M89" s="758" t="s">
        <v>103</v>
      </c>
      <c r="N89" s="758" t="s">
        <v>104</v>
      </c>
      <c r="O89" s="758" t="s">
        <v>526</v>
      </c>
      <c r="P89" s="299">
        <v>0</v>
      </c>
      <c r="Q89" s="299">
        <v>0</v>
      </c>
      <c r="U89" s="758" t="s">
        <v>69</v>
      </c>
      <c r="V89" s="758" t="s">
        <v>553</v>
      </c>
    </row>
    <row r="90" spans="1:22" x14ac:dyDescent="0.25">
      <c r="A90" s="758" t="s">
        <v>526</v>
      </c>
      <c r="B90" s="758" t="s">
        <v>1710</v>
      </c>
      <c r="G90" s="758" t="s">
        <v>240</v>
      </c>
      <c r="H90" s="758" t="s">
        <v>239</v>
      </c>
      <c r="I90" s="758" t="s">
        <v>499</v>
      </c>
      <c r="J90" s="136">
        <v>40603</v>
      </c>
      <c r="K90" s="299">
        <v>105</v>
      </c>
      <c r="M90" s="758" t="s">
        <v>67</v>
      </c>
      <c r="N90" s="758" t="s">
        <v>68</v>
      </c>
      <c r="O90" s="758" t="s">
        <v>526</v>
      </c>
      <c r="P90" s="299">
        <v>0</v>
      </c>
      <c r="Q90" s="299">
        <v>0</v>
      </c>
      <c r="U90" s="758" t="s">
        <v>103</v>
      </c>
      <c r="V90" s="758" t="s">
        <v>553</v>
      </c>
    </row>
    <row r="91" spans="1:22" x14ac:dyDescent="0.25">
      <c r="A91" s="758" t="s">
        <v>778</v>
      </c>
      <c r="B91" s="758" t="s">
        <v>593</v>
      </c>
      <c r="G91" s="758" t="s">
        <v>285</v>
      </c>
      <c r="H91" s="758" t="s">
        <v>284</v>
      </c>
      <c r="I91" s="758" t="s">
        <v>499</v>
      </c>
      <c r="J91" s="136">
        <v>40695</v>
      </c>
      <c r="K91" s="299">
        <v>139</v>
      </c>
      <c r="M91" s="758" t="s">
        <v>99</v>
      </c>
      <c r="N91" s="758" t="s">
        <v>100</v>
      </c>
      <c r="O91" s="758" t="s">
        <v>526</v>
      </c>
      <c r="P91" s="299">
        <v>4</v>
      </c>
      <c r="Q91" s="299">
        <v>14</v>
      </c>
      <c r="U91" s="758" t="s">
        <v>67</v>
      </c>
      <c r="V91" s="758" t="s">
        <v>553</v>
      </c>
    </row>
    <row r="92" spans="1:22" x14ac:dyDescent="0.25">
      <c r="A92" s="758" t="s">
        <v>778</v>
      </c>
      <c r="B92" s="758" t="s">
        <v>1262</v>
      </c>
      <c r="G92" s="758" t="s">
        <v>365</v>
      </c>
      <c r="H92" s="758" t="s">
        <v>378</v>
      </c>
      <c r="I92" s="758" t="s">
        <v>499</v>
      </c>
      <c r="J92" s="136">
        <v>40940</v>
      </c>
      <c r="K92" s="299">
        <v>144</v>
      </c>
      <c r="M92" s="758" t="s">
        <v>49</v>
      </c>
      <c r="N92" s="758" t="s">
        <v>50</v>
      </c>
      <c r="O92" s="758" t="s">
        <v>526</v>
      </c>
      <c r="P92" s="299"/>
      <c r="Q92" s="299"/>
      <c r="U92" s="758" t="s">
        <v>99</v>
      </c>
      <c r="V92" s="758" t="s">
        <v>553</v>
      </c>
    </row>
    <row r="93" spans="1:22" x14ac:dyDescent="0.25">
      <c r="A93" s="758" t="s">
        <v>778</v>
      </c>
      <c r="B93" s="758" t="s">
        <v>1403</v>
      </c>
      <c r="G93" s="758" t="s">
        <v>90</v>
      </c>
      <c r="H93" s="758" t="s">
        <v>89</v>
      </c>
      <c r="I93" s="758" t="s">
        <v>499</v>
      </c>
      <c r="J93" s="136">
        <v>41275</v>
      </c>
      <c r="K93" s="299">
        <v>20</v>
      </c>
      <c r="M93" s="758" t="s">
        <v>65</v>
      </c>
      <c r="N93" s="758" t="s">
        <v>66</v>
      </c>
      <c r="O93" s="758" t="s">
        <v>526</v>
      </c>
      <c r="P93" s="299">
        <v>0</v>
      </c>
      <c r="Q93" s="299">
        <v>0</v>
      </c>
      <c r="U93" s="758" t="s">
        <v>49</v>
      </c>
      <c r="V93" s="758" t="s">
        <v>553</v>
      </c>
    </row>
    <row r="94" spans="1:22" x14ac:dyDescent="0.25">
      <c r="A94" s="758" t="s">
        <v>363</v>
      </c>
      <c r="B94" s="758" t="s">
        <v>35</v>
      </c>
      <c r="G94" s="758" t="s">
        <v>92</v>
      </c>
      <c r="H94" s="758" t="s">
        <v>91</v>
      </c>
      <c r="I94" s="758" t="s">
        <v>499</v>
      </c>
      <c r="J94" s="136">
        <v>41275</v>
      </c>
      <c r="K94" s="299">
        <v>12</v>
      </c>
      <c r="M94" s="758" t="s">
        <v>53</v>
      </c>
      <c r="N94" s="758" t="s">
        <v>54</v>
      </c>
      <c r="O94" s="758" t="s">
        <v>526</v>
      </c>
      <c r="P94" s="299">
        <v>0</v>
      </c>
      <c r="Q94" s="299">
        <v>0</v>
      </c>
      <c r="U94" s="758" t="s">
        <v>65</v>
      </c>
      <c r="V94" s="758" t="s">
        <v>553</v>
      </c>
    </row>
    <row r="95" spans="1:22" x14ac:dyDescent="0.25">
      <c r="A95" s="758" t="s">
        <v>144</v>
      </c>
      <c r="B95" s="758" t="s">
        <v>145</v>
      </c>
      <c r="G95" s="758" t="s">
        <v>18</v>
      </c>
      <c r="H95" s="758" t="s">
        <v>17</v>
      </c>
      <c r="I95" s="758" t="s">
        <v>499</v>
      </c>
      <c r="J95" s="136">
        <v>40695</v>
      </c>
      <c r="K95" s="299">
        <v>130</v>
      </c>
      <c r="M95" s="758" t="s">
        <v>115</v>
      </c>
      <c r="N95" s="758" t="s">
        <v>116</v>
      </c>
      <c r="O95" s="758" t="s">
        <v>526</v>
      </c>
      <c r="P95" s="299">
        <v>0</v>
      </c>
      <c r="Q95" s="299">
        <v>0</v>
      </c>
      <c r="U95" s="758" t="s">
        <v>53</v>
      </c>
      <c r="V95" s="758" t="s">
        <v>553</v>
      </c>
    </row>
    <row r="96" spans="1:22" x14ac:dyDescent="0.25">
      <c r="A96" s="758" t="s">
        <v>146</v>
      </c>
      <c r="B96" s="758" t="s">
        <v>929</v>
      </c>
      <c r="G96" s="758" t="s">
        <v>1472</v>
      </c>
      <c r="H96" s="758" t="s">
        <v>1454</v>
      </c>
      <c r="I96" s="758" t="s">
        <v>499</v>
      </c>
      <c r="J96" s="758" t="s">
        <v>1505</v>
      </c>
      <c r="K96" s="299">
        <v>59</v>
      </c>
      <c r="M96" s="758" t="s">
        <v>79</v>
      </c>
      <c r="N96" s="758" t="s">
        <v>80</v>
      </c>
      <c r="O96" s="758" t="s">
        <v>526</v>
      </c>
      <c r="P96" s="299">
        <v>0</v>
      </c>
      <c r="Q96" s="299">
        <v>0</v>
      </c>
      <c r="U96" s="758" t="s">
        <v>115</v>
      </c>
      <c r="V96" s="758" t="s">
        <v>553</v>
      </c>
    </row>
    <row r="97" spans="1:22" x14ac:dyDescent="0.25">
      <c r="A97" s="758" t="s">
        <v>146</v>
      </c>
      <c r="B97" s="758" t="s">
        <v>931</v>
      </c>
      <c r="G97" s="758" t="s">
        <v>186</v>
      </c>
      <c r="H97" s="758" t="s">
        <v>184</v>
      </c>
      <c r="I97" s="758" t="s">
        <v>499</v>
      </c>
      <c r="J97" s="136">
        <v>41030</v>
      </c>
      <c r="K97" s="299">
        <v>39</v>
      </c>
      <c r="M97" s="758" t="s">
        <v>137</v>
      </c>
      <c r="N97" s="758" t="s">
        <v>138</v>
      </c>
      <c r="O97" s="758" t="s">
        <v>526</v>
      </c>
      <c r="P97" s="299">
        <v>0</v>
      </c>
      <c r="Q97" s="299">
        <v>0</v>
      </c>
      <c r="U97" s="758" t="s">
        <v>79</v>
      </c>
      <c r="V97" s="758" t="s">
        <v>553</v>
      </c>
    </row>
    <row r="98" spans="1:22" x14ac:dyDescent="0.25">
      <c r="A98" s="758" t="s">
        <v>146</v>
      </c>
      <c r="B98" s="758" t="s">
        <v>372</v>
      </c>
      <c r="G98" s="758" t="s">
        <v>223</v>
      </c>
      <c r="H98" s="758" t="s">
        <v>222</v>
      </c>
      <c r="I98" s="758" t="s">
        <v>499</v>
      </c>
      <c r="J98" s="136">
        <v>40848</v>
      </c>
      <c r="K98" s="299">
        <v>103</v>
      </c>
      <c r="M98" s="758" t="s">
        <v>101</v>
      </c>
      <c r="N98" s="758" t="s">
        <v>102</v>
      </c>
      <c r="O98" s="758" t="s">
        <v>526</v>
      </c>
      <c r="P98" s="299">
        <v>0</v>
      </c>
      <c r="Q98" s="299">
        <v>0</v>
      </c>
      <c r="U98" s="758" t="s">
        <v>137</v>
      </c>
      <c r="V98" s="758" t="s">
        <v>553</v>
      </c>
    </row>
    <row r="99" spans="1:22" x14ac:dyDescent="0.25">
      <c r="A99" s="758" t="s">
        <v>146</v>
      </c>
      <c r="B99" s="758" t="s">
        <v>369</v>
      </c>
      <c r="G99" s="758" t="s">
        <v>190</v>
      </c>
      <c r="H99" s="758" t="s">
        <v>189</v>
      </c>
      <c r="I99" s="758" t="s">
        <v>499</v>
      </c>
      <c r="J99" s="136">
        <v>41000</v>
      </c>
      <c r="K99" s="299">
        <v>194</v>
      </c>
      <c r="M99" s="758" t="s">
        <v>105</v>
      </c>
      <c r="N99" s="758" t="s">
        <v>106</v>
      </c>
      <c r="O99" s="758" t="s">
        <v>526</v>
      </c>
      <c r="P99" s="299">
        <v>0</v>
      </c>
      <c r="Q99" s="299">
        <v>0</v>
      </c>
      <c r="U99" s="758" t="s">
        <v>101</v>
      </c>
      <c r="V99" s="758" t="s">
        <v>553</v>
      </c>
    </row>
    <row r="100" spans="1:22" x14ac:dyDescent="0.25">
      <c r="A100" s="758" t="s">
        <v>146</v>
      </c>
      <c r="B100" s="758" t="s">
        <v>370</v>
      </c>
      <c r="G100" s="758" t="s">
        <v>158</v>
      </c>
      <c r="H100" s="758" t="s">
        <v>157</v>
      </c>
      <c r="I100" s="758" t="s">
        <v>842</v>
      </c>
      <c r="J100" s="136">
        <v>41122</v>
      </c>
      <c r="K100" s="299">
        <v>0</v>
      </c>
      <c r="M100" s="758" t="s">
        <v>129</v>
      </c>
      <c r="N100" s="758" t="s">
        <v>130</v>
      </c>
      <c r="O100" s="758" t="s">
        <v>526</v>
      </c>
      <c r="P100" s="299">
        <v>0</v>
      </c>
      <c r="Q100" s="299">
        <v>0</v>
      </c>
      <c r="U100" s="758" t="s">
        <v>105</v>
      </c>
      <c r="V100" s="758" t="s">
        <v>553</v>
      </c>
    </row>
    <row r="101" spans="1:22" x14ac:dyDescent="0.25">
      <c r="A101" s="758" t="s">
        <v>146</v>
      </c>
      <c r="B101" s="758" t="s">
        <v>368</v>
      </c>
      <c r="G101" s="758" t="s">
        <v>1248</v>
      </c>
      <c r="H101" s="758" t="s">
        <v>1247</v>
      </c>
      <c r="I101" s="758" t="s">
        <v>499</v>
      </c>
      <c r="J101" s="136">
        <v>42180</v>
      </c>
      <c r="K101" s="299">
        <v>61</v>
      </c>
      <c r="M101" s="758" t="s">
        <v>133</v>
      </c>
      <c r="N101" s="758" t="s">
        <v>134</v>
      </c>
      <c r="O101" s="758" t="s">
        <v>526</v>
      </c>
      <c r="P101" s="299"/>
      <c r="Q101" s="299"/>
      <c r="U101" s="758" t="s">
        <v>129</v>
      </c>
      <c r="V101" s="758" t="s">
        <v>553</v>
      </c>
    </row>
    <row r="102" spans="1:22" x14ac:dyDescent="0.25">
      <c r="A102" s="758" t="s">
        <v>146</v>
      </c>
      <c r="B102" s="758" t="s">
        <v>371</v>
      </c>
      <c r="G102" s="758" t="s">
        <v>1256</v>
      </c>
      <c r="H102" s="758" t="s">
        <v>1259</v>
      </c>
      <c r="I102" s="758" t="s">
        <v>499</v>
      </c>
      <c r="J102" s="136">
        <v>42125</v>
      </c>
      <c r="K102" s="299">
        <v>7</v>
      </c>
      <c r="M102" s="758" t="s">
        <v>113</v>
      </c>
      <c r="N102" s="758" t="s">
        <v>114</v>
      </c>
      <c r="O102" s="758" t="s">
        <v>526</v>
      </c>
      <c r="P102" s="299">
        <v>0</v>
      </c>
      <c r="Q102" s="299">
        <v>0</v>
      </c>
      <c r="U102" s="758" t="s">
        <v>133</v>
      </c>
      <c r="V102" s="758" t="s">
        <v>553</v>
      </c>
    </row>
    <row r="103" spans="1:22" x14ac:dyDescent="0.25">
      <c r="A103" s="758" t="s">
        <v>146</v>
      </c>
      <c r="B103" s="758" t="s">
        <v>367</v>
      </c>
      <c r="G103" s="758" t="s">
        <v>94</v>
      </c>
      <c r="H103" s="758" t="s">
        <v>93</v>
      </c>
      <c r="I103" s="758" t="s">
        <v>842</v>
      </c>
      <c r="J103" s="758" t="s">
        <v>1505</v>
      </c>
      <c r="K103" s="299">
        <v>0</v>
      </c>
      <c r="M103" s="758" t="s">
        <v>107</v>
      </c>
      <c r="N103" s="758" t="s">
        <v>108</v>
      </c>
      <c r="O103" s="758" t="s">
        <v>526</v>
      </c>
      <c r="P103" s="299">
        <v>50</v>
      </c>
      <c r="Q103" s="299">
        <v>218</v>
      </c>
      <c r="U103" s="758" t="s">
        <v>113</v>
      </c>
      <c r="V103" s="758" t="s">
        <v>553</v>
      </c>
    </row>
    <row r="104" spans="1:22" x14ac:dyDescent="0.25">
      <c r="A104" s="758" t="s">
        <v>146</v>
      </c>
      <c r="B104" s="758" t="s">
        <v>149</v>
      </c>
      <c r="G104" s="758" t="s">
        <v>893</v>
      </c>
      <c r="H104" s="758" t="s">
        <v>894</v>
      </c>
      <c r="I104" s="758" t="s">
        <v>842</v>
      </c>
      <c r="J104" s="136">
        <v>41518</v>
      </c>
      <c r="K104" s="299"/>
      <c r="M104" s="758" t="s">
        <v>95</v>
      </c>
      <c r="N104" s="758" t="s">
        <v>96</v>
      </c>
      <c r="O104" s="758" t="s">
        <v>526</v>
      </c>
      <c r="P104" s="299">
        <v>0</v>
      </c>
      <c r="Q104" s="299">
        <v>0</v>
      </c>
      <c r="U104" s="758" t="s">
        <v>107</v>
      </c>
      <c r="V104" s="758" t="s">
        <v>553</v>
      </c>
    </row>
    <row r="105" spans="1:22" x14ac:dyDescent="0.25">
      <c r="A105" s="758" t="s">
        <v>146</v>
      </c>
      <c r="B105" s="758" t="s">
        <v>373</v>
      </c>
      <c r="G105" s="758" t="s">
        <v>320</v>
      </c>
      <c r="H105" s="758" t="s">
        <v>319</v>
      </c>
      <c r="I105" s="758" t="s">
        <v>499</v>
      </c>
      <c r="J105" s="136">
        <v>41030</v>
      </c>
      <c r="K105" s="299">
        <v>30</v>
      </c>
      <c r="M105" s="758" t="s">
        <v>139</v>
      </c>
      <c r="N105" s="758" t="s">
        <v>140</v>
      </c>
      <c r="O105" s="758" t="s">
        <v>526</v>
      </c>
      <c r="P105" s="299">
        <v>11</v>
      </c>
      <c r="Q105" s="299">
        <v>48</v>
      </c>
      <c r="U105" s="758" t="s">
        <v>95</v>
      </c>
      <c r="V105" s="758" t="s">
        <v>553</v>
      </c>
    </row>
    <row r="106" spans="1:22" x14ac:dyDescent="0.25">
      <c r="A106" s="758" t="s">
        <v>146</v>
      </c>
      <c r="B106" s="758" t="s">
        <v>1097</v>
      </c>
      <c r="G106" s="758" t="s">
        <v>322</v>
      </c>
      <c r="H106" s="758" t="s">
        <v>321</v>
      </c>
      <c r="I106" s="758" t="s">
        <v>499</v>
      </c>
      <c r="J106" s="136">
        <v>40695</v>
      </c>
      <c r="K106" s="299">
        <v>431</v>
      </c>
      <c r="M106" s="758" t="s">
        <v>135</v>
      </c>
      <c r="N106" s="758" t="s">
        <v>136</v>
      </c>
      <c r="O106" s="758" t="s">
        <v>526</v>
      </c>
      <c r="P106" s="299">
        <v>0</v>
      </c>
      <c r="Q106" s="299">
        <v>0</v>
      </c>
      <c r="U106" s="758" t="s">
        <v>139</v>
      </c>
      <c r="V106" s="758" t="s">
        <v>553</v>
      </c>
    </row>
    <row r="107" spans="1:22" x14ac:dyDescent="0.25">
      <c r="A107" s="758" t="s">
        <v>146</v>
      </c>
      <c r="B107" s="758" t="s">
        <v>1302</v>
      </c>
      <c r="G107" s="758" t="s">
        <v>200</v>
      </c>
      <c r="H107" s="758" t="s">
        <v>199</v>
      </c>
      <c r="I107" s="758" t="s">
        <v>842</v>
      </c>
      <c r="J107" s="758" t="s">
        <v>1505</v>
      </c>
      <c r="K107" s="299"/>
      <c r="M107" s="758" t="s">
        <v>93</v>
      </c>
      <c r="N107" s="758" t="s">
        <v>94</v>
      </c>
      <c r="O107" s="758" t="s">
        <v>526</v>
      </c>
      <c r="P107" s="299">
        <v>0</v>
      </c>
      <c r="Q107" s="299">
        <v>0</v>
      </c>
      <c r="U107" s="758" t="s">
        <v>135</v>
      </c>
      <c r="V107" s="758" t="s">
        <v>553</v>
      </c>
    </row>
    <row r="108" spans="1:22" x14ac:dyDescent="0.25">
      <c r="A108" s="758" t="s">
        <v>146</v>
      </c>
      <c r="B108" s="758" t="s">
        <v>1387</v>
      </c>
      <c r="G108" s="758" t="s">
        <v>1387</v>
      </c>
      <c r="H108" s="758" t="s">
        <v>1379</v>
      </c>
      <c r="I108" s="758" t="s">
        <v>499</v>
      </c>
      <c r="J108" s="136">
        <v>42435</v>
      </c>
      <c r="K108" s="299">
        <v>146</v>
      </c>
      <c r="M108" s="758" t="s">
        <v>121</v>
      </c>
      <c r="N108" s="758" t="s">
        <v>122</v>
      </c>
      <c r="O108" s="758" t="s">
        <v>526</v>
      </c>
      <c r="P108" s="299">
        <v>0</v>
      </c>
      <c r="Q108" s="299">
        <v>0</v>
      </c>
      <c r="U108" s="758" t="s">
        <v>93</v>
      </c>
      <c r="V108" s="758" t="s">
        <v>553</v>
      </c>
    </row>
    <row r="109" spans="1:22" x14ac:dyDescent="0.25">
      <c r="A109" s="758" t="s">
        <v>146</v>
      </c>
      <c r="B109" s="758" t="s">
        <v>1390</v>
      </c>
      <c r="G109" s="758" t="s">
        <v>328</v>
      </c>
      <c r="H109" s="758" t="s">
        <v>327</v>
      </c>
      <c r="I109" s="758" t="s">
        <v>499</v>
      </c>
      <c r="J109" s="136">
        <v>41456</v>
      </c>
      <c r="K109" s="299">
        <v>289</v>
      </c>
      <c r="M109" s="758" t="s">
        <v>71</v>
      </c>
      <c r="N109" s="758" t="s">
        <v>72</v>
      </c>
      <c r="O109" s="758" t="s">
        <v>526</v>
      </c>
      <c r="P109" s="299">
        <v>6</v>
      </c>
      <c r="Q109" s="299">
        <v>30</v>
      </c>
      <c r="U109" s="758" t="s">
        <v>121</v>
      </c>
      <c r="V109" s="758" t="s">
        <v>553</v>
      </c>
    </row>
    <row r="110" spans="1:22" x14ac:dyDescent="0.25">
      <c r="A110" s="758" t="s">
        <v>146</v>
      </c>
      <c r="B110" s="758" t="s">
        <v>1406</v>
      </c>
      <c r="G110" s="758" t="s">
        <v>330</v>
      </c>
      <c r="H110" s="758" t="s">
        <v>329</v>
      </c>
      <c r="I110" s="758" t="s">
        <v>499</v>
      </c>
      <c r="J110" s="136">
        <v>41426</v>
      </c>
      <c r="K110" s="299">
        <v>282</v>
      </c>
      <c r="M110" s="758" t="s">
        <v>131</v>
      </c>
      <c r="N110" s="758" t="s">
        <v>132</v>
      </c>
      <c r="O110" s="758" t="s">
        <v>526</v>
      </c>
      <c r="P110" s="299">
        <v>0</v>
      </c>
      <c r="Q110" s="299">
        <v>0</v>
      </c>
      <c r="U110" s="758" t="s">
        <v>71</v>
      </c>
      <c r="V110" s="758" t="s">
        <v>553</v>
      </c>
    </row>
    <row r="111" spans="1:22" x14ac:dyDescent="0.25">
      <c r="A111" s="758" t="s">
        <v>146</v>
      </c>
      <c r="B111" s="758" t="s">
        <v>1518</v>
      </c>
      <c r="G111" s="758" t="s">
        <v>324</v>
      </c>
      <c r="H111" s="758" t="s">
        <v>323</v>
      </c>
      <c r="I111" s="758" t="s">
        <v>499</v>
      </c>
      <c r="J111" s="136">
        <v>41061</v>
      </c>
      <c r="K111" s="299">
        <v>498</v>
      </c>
      <c r="M111" s="758" t="s">
        <v>356</v>
      </c>
      <c r="N111" s="758" t="s">
        <v>1233</v>
      </c>
      <c r="O111" s="758" t="s">
        <v>310</v>
      </c>
      <c r="P111" s="299"/>
      <c r="Q111" s="299"/>
      <c r="U111" s="758" t="s">
        <v>131</v>
      </c>
      <c r="V111" s="758" t="s">
        <v>553</v>
      </c>
    </row>
    <row r="112" spans="1:22" x14ac:dyDescent="0.25">
      <c r="A112" s="758" t="s">
        <v>146</v>
      </c>
      <c r="B112" s="758" t="s">
        <v>1532</v>
      </c>
      <c r="G112" s="758" t="s">
        <v>326</v>
      </c>
      <c r="H112" s="758" t="s">
        <v>325</v>
      </c>
      <c r="I112" s="758" t="s">
        <v>499</v>
      </c>
      <c r="J112" s="136">
        <v>40878</v>
      </c>
      <c r="K112" s="299">
        <v>45</v>
      </c>
      <c r="M112" s="758" t="s">
        <v>333</v>
      </c>
      <c r="N112" s="758" t="s">
        <v>334</v>
      </c>
      <c r="O112" s="758" t="s">
        <v>310</v>
      </c>
      <c r="P112" s="299">
        <v>152</v>
      </c>
      <c r="Q112" s="299">
        <v>584</v>
      </c>
      <c r="U112" s="758" t="s">
        <v>356</v>
      </c>
      <c r="V112" s="758" t="s">
        <v>553</v>
      </c>
    </row>
    <row r="113" spans="1:22" x14ac:dyDescent="0.25">
      <c r="A113" s="758" t="s">
        <v>891</v>
      </c>
      <c r="B113" s="758" t="s">
        <v>893</v>
      </c>
      <c r="G113" s="758" t="s">
        <v>884</v>
      </c>
      <c r="H113" s="758" t="s">
        <v>885</v>
      </c>
      <c r="I113" s="758" t="s">
        <v>499</v>
      </c>
      <c r="J113" s="136">
        <v>41548</v>
      </c>
      <c r="K113" s="299">
        <v>403</v>
      </c>
      <c r="M113" s="758" t="s">
        <v>357</v>
      </c>
      <c r="N113" s="758" t="s">
        <v>358</v>
      </c>
      <c r="O113" s="758" t="s">
        <v>310</v>
      </c>
      <c r="P113" s="299">
        <v>0</v>
      </c>
      <c r="Q113" s="299">
        <v>0</v>
      </c>
      <c r="U113" s="758" t="s">
        <v>333</v>
      </c>
      <c r="V113" s="758" t="s">
        <v>553</v>
      </c>
    </row>
    <row r="114" spans="1:22" x14ac:dyDescent="0.25">
      <c r="A114" s="758" t="s">
        <v>151</v>
      </c>
      <c r="B114" s="758" t="s">
        <v>881</v>
      </c>
      <c r="G114" s="758" t="s">
        <v>941</v>
      </c>
      <c r="H114" s="758" t="s">
        <v>940</v>
      </c>
      <c r="I114" s="758" t="s">
        <v>499</v>
      </c>
      <c r="J114" s="136">
        <v>41548</v>
      </c>
      <c r="K114" s="299">
        <v>174</v>
      </c>
      <c r="M114" s="758" t="s">
        <v>335</v>
      </c>
      <c r="N114" s="758" t="s">
        <v>336</v>
      </c>
      <c r="O114" s="758" t="s">
        <v>310</v>
      </c>
      <c r="P114" s="299">
        <v>149</v>
      </c>
      <c r="Q114" s="299">
        <v>830</v>
      </c>
      <c r="U114" s="758" t="s">
        <v>357</v>
      </c>
      <c r="V114" s="758" t="s">
        <v>553</v>
      </c>
    </row>
    <row r="115" spans="1:22" x14ac:dyDescent="0.25">
      <c r="A115" s="758" t="s">
        <v>151</v>
      </c>
      <c r="B115" s="758" t="s">
        <v>876</v>
      </c>
      <c r="G115" s="758" t="s">
        <v>259</v>
      </c>
      <c r="H115" s="758" t="s">
        <v>258</v>
      </c>
      <c r="I115" s="758" t="s">
        <v>499</v>
      </c>
      <c r="J115" s="136">
        <v>40756</v>
      </c>
      <c r="K115" s="299">
        <v>62</v>
      </c>
      <c r="M115" s="758" t="s">
        <v>352</v>
      </c>
      <c r="N115" s="758" t="s">
        <v>353</v>
      </c>
      <c r="O115" s="758" t="s">
        <v>310</v>
      </c>
      <c r="P115" s="299">
        <v>1396</v>
      </c>
      <c r="Q115" s="299">
        <v>6821</v>
      </c>
      <c r="U115" s="758" t="s">
        <v>335</v>
      </c>
      <c r="V115" s="758" t="s">
        <v>553</v>
      </c>
    </row>
    <row r="116" spans="1:22" x14ac:dyDescent="0.25">
      <c r="A116" s="758" t="s">
        <v>151</v>
      </c>
      <c r="B116" s="758" t="s">
        <v>877</v>
      </c>
      <c r="G116" s="758" t="s">
        <v>202</v>
      </c>
      <c r="H116" s="758" t="s">
        <v>201</v>
      </c>
      <c r="I116" s="758" t="s">
        <v>499</v>
      </c>
      <c r="J116" s="136">
        <v>41030</v>
      </c>
      <c r="K116" s="299">
        <v>265</v>
      </c>
      <c r="M116" s="758" t="s">
        <v>314</v>
      </c>
      <c r="N116" s="758" t="s">
        <v>1236</v>
      </c>
      <c r="O116" s="758" t="s">
        <v>310</v>
      </c>
      <c r="P116" s="299">
        <v>0</v>
      </c>
      <c r="Q116" s="299">
        <v>0</v>
      </c>
      <c r="U116" s="758" t="s">
        <v>352</v>
      </c>
      <c r="V116" s="758" t="s">
        <v>553</v>
      </c>
    </row>
    <row r="117" spans="1:22" x14ac:dyDescent="0.25">
      <c r="A117" s="758" t="s">
        <v>151</v>
      </c>
      <c r="B117" s="758" t="s">
        <v>188</v>
      </c>
      <c r="G117" s="758" t="s">
        <v>261</v>
      </c>
      <c r="H117" s="758" t="s">
        <v>260</v>
      </c>
      <c r="I117" s="758" t="s">
        <v>499</v>
      </c>
      <c r="J117" s="136">
        <v>40725</v>
      </c>
      <c r="K117" s="299">
        <v>104</v>
      </c>
      <c r="M117" s="758" t="s">
        <v>331</v>
      </c>
      <c r="N117" s="758" t="s">
        <v>332</v>
      </c>
      <c r="O117" s="758" t="s">
        <v>310</v>
      </c>
      <c r="P117" s="299">
        <v>0</v>
      </c>
      <c r="Q117" s="299">
        <v>0</v>
      </c>
      <c r="U117" s="758" t="s">
        <v>314</v>
      </c>
      <c r="V117" s="758" t="s">
        <v>553</v>
      </c>
    </row>
    <row r="118" spans="1:22" x14ac:dyDescent="0.25">
      <c r="A118" s="758" t="s">
        <v>151</v>
      </c>
      <c r="B118" s="758" t="s">
        <v>12</v>
      </c>
      <c r="G118" s="758" t="s">
        <v>1478</v>
      </c>
      <c r="H118" s="758" t="s">
        <v>1466</v>
      </c>
      <c r="I118" s="758" t="s">
        <v>499</v>
      </c>
      <c r="J118" s="758" t="s">
        <v>1505</v>
      </c>
      <c r="K118" s="299">
        <v>37</v>
      </c>
      <c r="M118" s="758" t="s">
        <v>321</v>
      </c>
      <c r="N118" s="758" t="s">
        <v>322</v>
      </c>
      <c r="O118" s="758" t="s">
        <v>310</v>
      </c>
      <c r="P118" s="299">
        <v>431</v>
      </c>
      <c r="Q118" s="299">
        <v>1920</v>
      </c>
      <c r="U118" s="758" t="s">
        <v>331</v>
      </c>
      <c r="V118" s="758" t="s">
        <v>553</v>
      </c>
    </row>
    <row r="119" spans="1:22" x14ac:dyDescent="0.25">
      <c r="A119" s="758" t="s">
        <v>151</v>
      </c>
      <c r="B119" s="758" t="s">
        <v>883</v>
      </c>
      <c r="G119" s="758" t="s">
        <v>875</v>
      </c>
      <c r="H119" s="758" t="s">
        <v>869</v>
      </c>
      <c r="I119" s="758" t="s">
        <v>842</v>
      </c>
      <c r="J119" s="758" t="s">
        <v>1505</v>
      </c>
      <c r="K119" s="299">
        <v>0</v>
      </c>
      <c r="M119" s="758" t="s">
        <v>345</v>
      </c>
      <c r="N119" s="758" t="s">
        <v>1231</v>
      </c>
      <c r="O119" s="758" t="s">
        <v>310</v>
      </c>
      <c r="P119" s="299">
        <v>186</v>
      </c>
      <c r="Q119" s="299">
        <v>585</v>
      </c>
      <c r="U119" s="758" t="s">
        <v>321</v>
      </c>
      <c r="V119" s="758" t="s">
        <v>553</v>
      </c>
    </row>
    <row r="120" spans="1:22" x14ac:dyDescent="0.25">
      <c r="A120" s="758" t="s">
        <v>151</v>
      </c>
      <c r="B120" s="758" t="s">
        <v>515</v>
      </c>
      <c r="G120" s="758" t="s">
        <v>874</v>
      </c>
      <c r="H120" s="758" t="s">
        <v>873</v>
      </c>
      <c r="I120" s="758" t="s">
        <v>842</v>
      </c>
      <c r="J120" s="758" t="s">
        <v>1505</v>
      </c>
      <c r="K120" s="299">
        <v>0</v>
      </c>
      <c r="M120" s="758" t="s">
        <v>195</v>
      </c>
      <c r="N120" s="758" t="s">
        <v>196</v>
      </c>
      <c r="O120" s="758" t="s">
        <v>185</v>
      </c>
      <c r="P120" s="299">
        <v>1546</v>
      </c>
      <c r="Q120" s="299">
        <v>8610</v>
      </c>
      <c r="U120" s="758" t="s">
        <v>345</v>
      </c>
      <c r="V120" s="758" t="s">
        <v>553</v>
      </c>
    </row>
    <row r="121" spans="1:22" x14ac:dyDescent="0.25">
      <c r="A121" s="758" t="s">
        <v>151</v>
      </c>
      <c r="B121" s="758" t="s">
        <v>198</v>
      </c>
      <c r="G121" s="758" t="s">
        <v>1532</v>
      </c>
      <c r="H121" s="758" t="s">
        <v>1533</v>
      </c>
      <c r="I121" s="758" t="s">
        <v>499</v>
      </c>
      <c r="J121" s="758" t="s">
        <v>1505</v>
      </c>
      <c r="K121" s="299">
        <v>24</v>
      </c>
      <c r="M121" s="758" t="s">
        <v>193</v>
      </c>
      <c r="N121" s="758" t="s">
        <v>194</v>
      </c>
      <c r="O121" s="758" t="s">
        <v>185</v>
      </c>
      <c r="P121" s="299">
        <v>718</v>
      </c>
      <c r="Q121" s="299">
        <v>3321</v>
      </c>
      <c r="U121" s="758" t="s">
        <v>195</v>
      </c>
      <c r="V121" s="758" t="s">
        <v>553</v>
      </c>
    </row>
    <row r="122" spans="1:22" x14ac:dyDescent="0.25">
      <c r="A122" s="758" t="s">
        <v>151</v>
      </c>
      <c r="B122" s="758" t="s">
        <v>158</v>
      </c>
      <c r="G122" s="758" t="s">
        <v>204</v>
      </c>
      <c r="H122" s="758" t="s">
        <v>203</v>
      </c>
      <c r="I122" s="758" t="s">
        <v>842</v>
      </c>
      <c r="J122" s="758" t="s">
        <v>1505</v>
      </c>
      <c r="K122" s="299"/>
      <c r="M122" s="758" t="s">
        <v>191</v>
      </c>
      <c r="N122" s="758" t="s">
        <v>192</v>
      </c>
      <c r="O122" s="758" t="s">
        <v>185</v>
      </c>
      <c r="P122" s="299">
        <v>103</v>
      </c>
      <c r="Q122" s="299">
        <v>461</v>
      </c>
      <c r="U122" s="758" t="s">
        <v>193</v>
      </c>
      <c r="V122" s="758" t="s">
        <v>553</v>
      </c>
    </row>
    <row r="123" spans="1:22" x14ac:dyDescent="0.25">
      <c r="A123" s="758" t="s">
        <v>151</v>
      </c>
      <c r="B123" s="758" t="s">
        <v>884</v>
      </c>
      <c r="G123" s="758" t="s">
        <v>1400</v>
      </c>
      <c r="H123" s="758" t="s">
        <v>1381</v>
      </c>
      <c r="I123" s="758" t="s">
        <v>499</v>
      </c>
      <c r="J123" s="136">
        <v>42370</v>
      </c>
      <c r="K123" s="299">
        <v>36</v>
      </c>
      <c r="M123" s="758" t="s">
        <v>218</v>
      </c>
      <c r="N123" s="758" t="s">
        <v>219</v>
      </c>
      <c r="O123" s="758" t="s">
        <v>185</v>
      </c>
      <c r="P123" s="299">
        <v>597</v>
      </c>
      <c r="Q123" s="299">
        <v>3643</v>
      </c>
      <c r="U123" s="758" t="s">
        <v>191</v>
      </c>
      <c r="V123" s="758" t="s">
        <v>553</v>
      </c>
    </row>
    <row r="124" spans="1:22" x14ac:dyDescent="0.25">
      <c r="A124" s="758" t="s">
        <v>151</v>
      </c>
      <c r="B124" s="758" t="s">
        <v>875</v>
      </c>
      <c r="G124" s="758" t="s">
        <v>205</v>
      </c>
      <c r="H124" s="758" t="s">
        <v>392</v>
      </c>
      <c r="I124" s="758" t="s">
        <v>842</v>
      </c>
      <c r="J124" s="758" t="s">
        <v>1505</v>
      </c>
      <c r="K124" s="299"/>
      <c r="M124" s="758" t="s">
        <v>197</v>
      </c>
      <c r="N124" s="758" t="s">
        <v>198</v>
      </c>
      <c r="O124" s="758" t="s">
        <v>151</v>
      </c>
      <c r="P124" s="299">
        <v>547</v>
      </c>
      <c r="Q124" s="299">
        <v>2576</v>
      </c>
      <c r="U124" s="758" t="s">
        <v>218</v>
      </c>
      <c r="V124" s="758" t="s">
        <v>553</v>
      </c>
    </row>
    <row r="125" spans="1:22" x14ac:dyDescent="0.25">
      <c r="A125" s="758" t="s">
        <v>151</v>
      </c>
      <c r="B125" s="758" t="s">
        <v>874</v>
      </c>
      <c r="G125" s="758" t="s">
        <v>160</v>
      </c>
      <c r="H125" s="758" t="s">
        <v>159</v>
      </c>
      <c r="I125" s="758" t="s">
        <v>499</v>
      </c>
      <c r="J125" s="136">
        <v>40940</v>
      </c>
      <c r="K125" s="299">
        <v>98</v>
      </c>
      <c r="M125" s="758" t="s">
        <v>187</v>
      </c>
      <c r="N125" s="758" t="s">
        <v>188</v>
      </c>
      <c r="O125" s="758" t="s">
        <v>151</v>
      </c>
      <c r="P125" s="299">
        <v>386</v>
      </c>
      <c r="Q125" s="299">
        <v>1902</v>
      </c>
      <c r="U125" s="758" t="s">
        <v>197</v>
      </c>
      <c r="V125" s="758" t="s">
        <v>553</v>
      </c>
    </row>
    <row r="126" spans="1:22" x14ac:dyDescent="0.25">
      <c r="A126" s="758" t="s">
        <v>151</v>
      </c>
      <c r="B126" s="758" t="s">
        <v>160</v>
      </c>
      <c r="G126" s="758" t="s">
        <v>1090</v>
      </c>
      <c r="H126" s="758" t="s">
        <v>1091</v>
      </c>
      <c r="I126" s="758" t="s">
        <v>499</v>
      </c>
      <c r="J126" s="136">
        <v>41730</v>
      </c>
      <c r="K126" s="299">
        <v>117</v>
      </c>
      <c r="M126" s="758" t="s">
        <v>214</v>
      </c>
      <c r="N126" s="758" t="s">
        <v>215</v>
      </c>
      <c r="O126" s="758" t="s">
        <v>185</v>
      </c>
      <c r="P126" s="299">
        <v>358</v>
      </c>
      <c r="Q126" s="299">
        <v>1655</v>
      </c>
      <c r="U126" s="758" t="s">
        <v>187</v>
      </c>
      <c r="V126" s="758" t="s">
        <v>553</v>
      </c>
    </row>
    <row r="127" spans="1:22" x14ac:dyDescent="0.25">
      <c r="A127" s="758" t="s">
        <v>151</v>
      </c>
      <c r="B127" s="758" t="s">
        <v>154</v>
      </c>
      <c r="G127" s="758" t="s">
        <v>154</v>
      </c>
      <c r="H127" s="758" t="s">
        <v>153</v>
      </c>
      <c r="I127" s="758" t="s">
        <v>499</v>
      </c>
      <c r="J127" s="136">
        <v>40848</v>
      </c>
      <c r="K127" s="299">
        <v>449</v>
      </c>
      <c r="M127" s="758" t="s">
        <v>153</v>
      </c>
      <c r="N127" s="758" t="s">
        <v>154</v>
      </c>
      <c r="O127" s="758" t="s">
        <v>151</v>
      </c>
      <c r="P127" s="299">
        <v>449</v>
      </c>
      <c r="Q127" s="299">
        <v>2252</v>
      </c>
      <c r="U127" s="758" t="s">
        <v>214</v>
      </c>
      <c r="V127" s="758" t="s">
        <v>553</v>
      </c>
    </row>
    <row r="128" spans="1:22" x14ac:dyDescent="0.25">
      <c r="A128" s="758" t="s">
        <v>151</v>
      </c>
      <c r="B128" s="758" t="s">
        <v>156</v>
      </c>
      <c r="G128" s="758" t="s">
        <v>1057</v>
      </c>
      <c r="H128" s="758" t="s">
        <v>1058</v>
      </c>
      <c r="I128" s="758" t="s">
        <v>499</v>
      </c>
      <c r="J128" s="136">
        <v>41791</v>
      </c>
      <c r="K128" s="299">
        <v>145</v>
      </c>
      <c r="M128" s="758" t="s">
        <v>159</v>
      </c>
      <c r="N128" s="758" t="s">
        <v>160</v>
      </c>
      <c r="O128" s="758" t="s">
        <v>151</v>
      </c>
      <c r="P128" s="299">
        <v>98</v>
      </c>
      <c r="Q128" s="299">
        <v>524</v>
      </c>
      <c r="U128" s="758" t="s">
        <v>153</v>
      </c>
      <c r="V128" s="758" t="s">
        <v>553</v>
      </c>
    </row>
    <row r="129" spans="1:22" x14ac:dyDescent="0.25">
      <c r="A129" s="758" t="s">
        <v>151</v>
      </c>
      <c r="B129" s="758" t="s">
        <v>152</v>
      </c>
      <c r="G129" s="758" t="s">
        <v>156</v>
      </c>
      <c r="H129" s="758" t="s">
        <v>155</v>
      </c>
      <c r="I129" s="758" t="s">
        <v>499</v>
      </c>
      <c r="J129" s="758" t="s">
        <v>1505</v>
      </c>
      <c r="K129" s="299">
        <v>175</v>
      </c>
      <c r="M129" s="758" t="s">
        <v>155</v>
      </c>
      <c r="N129" s="758" t="s">
        <v>156</v>
      </c>
      <c r="O129" s="758" t="s">
        <v>151</v>
      </c>
      <c r="P129" s="299">
        <v>175</v>
      </c>
      <c r="Q129" s="299">
        <v>834</v>
      </c>
      <c r="U129" s="758" t="s">
        <v>159</v>
      </c>
      <c r="V129" s="758" t="s">
        <v>553</v>
      </c>
    </row>
    <row r="130" spans="1:22" x14ac:dyDescent="0.25">
      <c r="A130" s="758" t="s">
        <v>151</v>
      </c>
      <c r="B130" s="758" t="s">
        <v>296</v>
      </c>
      <c r="G130" s="758" t="s">
        <v>332</v>
      </c>
      <c r="H130" s="758" t="s">
        <v>331</v>
      </c>
      <c r="I130" s="758" t="s">
        <v>842</v>
      </c>
      <c r="J130" s="758" t="s">
        <v>1505</v>
      </c>
      <c r="K130" s="299">
        <v>0</v>
      </c>
      <c r="M130" s="758" t="s">
        <v>157</v>
      </c>
      <c r="N130" s="758" t="s">
        <v>158</v>
      </c>
      <c r="O130" s="758" t="s">
        <v>151</v>
      </c>
      <c r="P130" s="299">
        <v>0</v>
      </c>
      <c r="Q130" s="299">
        <v>0</v>
      </c>
      <c r="U130" s="758" t="s">
        <v>155</v>
      </c>
      <c r="V130" s="758" t="s">
        <v>12</v>
      </c>
    </row>
    <row r="131" spans="1:22" x14ac:dyDescent="0.25">
      <c r="A131" s="758" t="s">
        <v>151</v>
      </c>
      <c r="B131" s="758" t="s">
        <v>517</v>
      </c>
      <c r="G131" s="758" t="s">
        <v>207</v>
      </c>
      <c r="H131" s="758" t="s">
        <v>206</v>
      </c>
      <c r="I131" s="758" t="s">
        <v>842</v>
      </c>
      <c r="J131" s="136">
        <v>40817</v>
      </c>
      <c r="K131" s="299"/>
      <c r="M131" s="758" t="s">
        <v>161</v>
      </c>
      <c r="N131" s="758" t="s">
        <v>162</v>
      </c>
      <c r="O131" s="758" t="s">
        <v>151</v>
      </c>
      <c r="P131" s="299">
        <v>0</v>
      </c>
      <c r="Q131" s="299">
        <v>0</v>
      </c>
      <c r="U131" s="758" t="s">
        <v>157</v>
      </c>
      <c r="V131" s="758" t="s">
        <v>553</v>
      </c>
    </row>
    <row r="132" spans="1:22" x14ac:dyDescent="0.25">
      <c r="A132" s="758" t="s">
        <v>151</v>
      </c>
      <c r="B132" s="758" t="s">
        <v>162</v>
      </c>
      <c r="G132" s="758" t="s">
        <v>167</v>
      </c>
      <c r="H132" s="758" t="s">
        <v>165</v>
      </c>
      <c r="I132" s="758" t="s">
        <v>499</v>
      </c>
      <c r="J132" s="136">
        <v>41000</v>
      </c>
      <c r="K132" s="299">
        <v>35</v>
      </c>
      <c r="M132" s="758" t="s">
        <v>163</v>
      </c>
      <c r="N132" s="758" t="s">
        <v>164</v>
      </c>
      <c r="O132" s="758" t="s">
        <v>151</v>
      </c>
      <c r="P132" s="299">
        <v>0</v>
      </c>
      <c r="Q132" s="299">
        <v>0</v>
      </c>
      <c r="U132" s="758" t="s">
        <v>161</v>
      </c>
      <c r="V132" s="758" t="s">
        <v>553</v>
      </c>
    </row>
    <row r="133" spans="1:22" x14ac:dyDescent="0.25">
      <c r="A133" s="758" t="s">
        <v>151</v>
      </c>
      <c r="B133" s="758" t="s">
        <v>864</v>
      </c>
      <c r="G133" s="758" t="s">
        <v>821</v>
      </c>
      <c r="H133" s="758" t="s">
        <v>822</v>
      </c>
      <c r="I133" s="758" t="s">
        <v>499</v>
      </c>
      <c r="J133" s="136">
        <v>41030</v>
      </c>
      <c r="K133" s="299">
        <v>29</v>
      </c>
      <c r="M133" s="758" t="s">
        <v>362</v>
      </c>
      <c r="N133" s="758" t="s">
        <v>35</v>
      </c>
      <c r="O133" s="758" t="s">
        <v>363</v>
      </c>
      <c r="P133" s="299">
        <v>0</v>
      </c>
      <c r="Q133" s="299">
        <v>0</v>
      </c>
      <c r="U133" s="758" t="s">
        <v>163</v>
      </c>
      <c r="V133" s="758" t="s">
        <v>553</v>
      </c>
    </row>
    <row r="134" spans="1:22" x14ac:dyDescent="0.25">
      <c r="A134" s="758" t="s">
        <v>151</v>
      </c>
      <c r="B134" s="758" t="s">
        <v>865</v>
      </c>
      <c r="G134" s="758" t="s">
        <v>176</v>
      </c>
      <c r="H134" s="758" t="s">
        <v>175</v>
      </c>
      <c r="I134" s="758" t="s">
        <v>499</v>
      </c>
      <c r="J134" s="136">
        <v>41030</v>
      </c>
      <c r="K134" s="299">
        <v>15</v>
      </c>
      <c r="M134" s="758" t="s">
        <v>303</v>
      </c>
      <c r="N134" s="758" t="s">
        <v>304</v>
      </c>
      <c r="O134" s="758" t="s">
        <v>302</v>
      </c>
      <c r="P134" s="299">
        <v>375</v>
      </c>
      <c r="Q134" s="299">
        <v>1691</v>
      </c>
      <c r="U134" s="758" t="s">
        <v>362</v>
      </c>
      <c r="V134" s="758" t="s">
        <v>553</v>
      </c>
    </row>
    <row r="135" spans="1:22" x14ac:dyDescent="0.25">
      <c r="A135" s="758" t="s">
        <v>151</v>
      </c>
      <c r="B135" s="758" t="s">
        <v>164</v>
      </c>
      <c r="G135" s="758" t="s">
        <v>152</v>
      </c>
      <c r="H135" s="758" t="s">
        <v>150</v>
      </c>
      <c r="I135" s="758" t="s">
        <v>499</v>
      </c>
      <c r="J135" s="136">
        <v>41579</v>
      </c>
      <c r="K135" s="299">
        <v>194</v>
      </c>
      <c r="M135" s="758" t="s">
        <v>87</v>
      </c>
      <c r="N135" s="758" t="s">
        <v>88</v>
      </c>
      <c r="O135" s="758" t="s">
        <v>526</v>
      </c>
      <c r="P135" s="299">
        <v>13</v>
      </c>
      <c r="Q135" s="299">
        <v>45</v>
      </c>
      <c r="U135" s="758" t="s">
        <v>303</v>
      </c>
      <c r="V135" s="758" t="s">
        <v>12</v>
      </c>
    </row>
    <row r="136" spans="1:22" x14ac:dyDescent="0.25">
      <c r="A136" s="758" t="s">
        <v>151</v>
      </c>
      <c r="B136" s="758" t="s">
        <v>886</v>
      </c>
      <c r="G136" s="758" t="s">
        <v>54</v>
      </c>
      <c r="H136" s="758" t="s">
        <v>53</v>
      </c>
      <c r="I136" s="758" t="s">
        <v>842</v>
      </c>
      <c r="J136" s="758" t="s">
        <v>1505</v>
      </c>
      <c r="K136" s="299">
        <v>0</v>
      </c>
      <c r="M136" s="758" t="s">
        <v>339</v>
      </c>
      <c r="N136" s="758" t="s">
        <v>340</v>
      </c>
      <c r="O136" s="758" t="s">
        <v>310</v>
      </c>
      <c r="P136" s="299">
        <v>355</v>
      </c>
      <c r="Q136" s="299">
        <v>4450</v>
      </c>
      <c r="U136" s="758" t="s">
        <v>87</v>
      </c>
      <c r="V136" s="758" t="s">
        <v>553</v>
      </c>
    </row>
    <row r="137" spans="1:22" x14ac:dyDescent="0.25">
      <c r="A137" s="758" t="s">
        <v>151</v>
      </c>
      <c r="B137" s="758" t="s">
        <v>941</v>
      </c>
      <c r="G137" s="758" t="s">
        <v>66</v>
      </c>
      <c r="H137" s="758" t="s">
        <v>65</v>
      </c>
      <c r="I137" s="758" t="s">
        <v>842</v>
      </c>
      <c r="J137" s="758" t="s">
        <v>1505</v>
      </c>
      <c r="K137" s="299">
        <v>0</v>
      </c>
      <c r="M137" s="758" t="s">
        <v>286</v>
      </c>
      <c r="N137" s="758" t="s">
        <v>287</v>
      </c>
      <c r="O137" s="758" t="s">
        <v>180</v>
      </c>
      <c r="P137" s="299">
        <v>19</v>
      </c>
      <c r="Q137" s="299">
        <v>103</v>
      </c>
      <c r="U137" s="758" t="s">
        <v>339</v>
      </c>
      <c r="V137" s="758" t="s">
        <v>1224</v>
      </c>
    </row>
    <row r="138" spans="1:22" x14ac:dyDescent="0.25">
      <c r="A138" s="758" t="s">
        <v>151</v>
      </c>
      <c r="B138" s="758" t="s">
        <v>1032</v>
      </c>
      <c r="G138" s="758" t="s">
        <v>80</v>
      </c>
      <c r="H138" s="758" t="s">
        <v>79</v>
      </c>
      <c r="I138" s="758" t="s">
        <v>842</v>
      </c>
      <c r="J138" s="758" t="s">
        <v>1505</v>
      </c>
      <c r="K138" s="299">
        <v>0</v>
      </c>
      <c r="M138" s="758" t="s">
        <v>9</v>
      </c>
      <c r="N138" s="758" t="s">
        <v>10</v>
      </c>
      <c r="O138" s="758" t="s">
        <v>5</v>
      </c>
      <c r="P138" s="299">
        <v>0</v>
      </c>
      <c r="Q138" s="299">
        <v>0</v>
      </c>
      <c r="U138" s="758" t="s">
        <v>286</v>
      </c>
      <c r="V138" s="758" t="s">
        <v>553</v>
      </c>
    </row>
    <row r="139" spans="1:22" x14ac:dyDescent="0.25">
      <c r="A139" s="758" t="s">
        <v>151</v>
      </c>
      <c r="B139" s="758" t="s">
        <v>1057</v>
      </c>
      <c r="G139" s="758" t="s">
        <v>102</v>
      </c>
      <c r="H139" s="758" t="s">
        <v>101</v>
      </c>
      <c r="I139" s="758" t="s">
        <v>842</v>
      </c>
      <c r="J139" s="758" t="s">
        <v>1505</v>
      </c>
      <c r="K139" s="299">
        <v>0</v>
      </c>
      <c r="M139" s="758" t="s">
        <v>354</v>
      </c>
      <c r="N139" s="758" t="s">
        <v>355</v>
      </c>
      <c r="O139" s="758" t="s">
        <v>310</v>
      </c>
      <c r="P139" s="299">
        <v>100</v>
      </c>
      <c r="Q139" s="299">
        <v>612</v>
      </c>
      <c r="U139" s="758" t="s">
        <v>9</v>
      </c>
      <c r="V139" s="758" t="s">
        <v>12</v>
      </c>
    </row>
    <row r="140" spans="1:22" x14ac:dyDescent="0.25">
      <c r="A140" s="758" t="s">
        <v>151</v>
      </c>
      <c r="B140" s="758" t="s">
        <v>1090</v>
      </c>
      <c r="G140" s="758" t="s">
        <v>106</v>
      </c>
      <c r="H140" s="758" t="s">
        <v>105</v>
      </c>
      <c r="I140" s="758" t="s">
        <v>842</v>
      </c>
      <c r="J140" s="758" t="s">
        <v>1505</v>
      </c>
      <c r="K140" s="299">
        <v>0</v>
      </c>
      <c r="M140" s="758" t="s">
        <v>272</v>
      </c>
      <c r="N140" s="758" t="s">
        <v>273</v>
      </c>
      <c r="O140" s="758" t="s">
        <v>237</v>
      </c>
      <c r="P140" s="299">
        <v>49</v>
      </c>
      <c r="Q140" s="299">
        <v>290</v>
      </c>
      <c r="U140" s="758" t="s">
        <v>354</v>
      </c>
      <c r="V140" s="758" t="s">
        <v>553</v>
      </c>
    </row>
    <row r="141" spans="1:22" x14ac:dyDescent="0.25">
      <c r="A141" s="758" t="s">
        <v>166</v>
      </c>
      <c r="B141" s="758" t="s">
        <v>167</v>
      </c>
      <c r="G141" s="758" t="s">
        <v>116</v>
      </c>
      <c r="H141" s="758" t="s">
        <v>115</v>
      </c>
      <c r="I141" s="758" t="s">
        <v>842</v>
      </c>
      <c r="J141" s="758" t="s">
        <v>1505</v>
      </c>
      <c r="K141" s="299">
        <v>0</v>
      </c>
      <c r="M141" s="758" t="s">
        <v>11</v>
      </c>
      <c r="N141" s="758" t="s">
        <v>12</v>
      </c>
      <c r="O141" s="758" t="s">
        <v>5</v>
      </c>
      <c r="P141" s="299">
        <v>197</v>
      </c>
      <c r="Q141" s="299">
        <v>957</v>
      </c>
      <c r="U141" s="758" t="s">
        <v>272</v>
      </c>
      <c r="V141" s="758" t="s">
        <v>553</v>
      </c>
    </row>
    <row r="142" spans="1:22" x14ac:dyDescent="0.25">
      <c r="A142" s="758" t="s">
        <v>166</v>
      </c>
      <c r="B142" s="758" t="s">
        <v>821</v>
      </c>
      <c r="G142" s="758" t="s">
        <v>130</v>
      </c>
      <c r="H142" s="758" t="s">
        <v>129</v>
      </c>
      <c r="I142" s="758" t="s">
        <v>842</v>
      </c>
      <c r="J142" s="758" t="s">
        <v>1505</v>
      </c>
      <c r="K142" s="299">
        <v>0</v>
      </c>
      <c r="M142" s="758" t="s">
        <v>91</v>
      </c>
      <c r="N142" s="758" t="s">
        <v>92</v>
      </c>
      <c r="O142" s="758" t="s">
        <v>526</v>
      </c>
      <c r="P142" s="299">
        <v>12</v>
      </c>
      <c r="Q142" s="299">
        <v>62</v>
      </c>
      <c r="U142" s="758" t="s">
        <v>11</v>
      </c>
      <c r="V142" s="758" t="s">
        <v>12</v>
      </c>
    </row>
    <row r="143" spans="1:22" x14ac:dyDescent="0.25">
      <c r="A143" s="758" t="s">
        <v>166</v>
      </c>
      <c r="B143" s="758" t="s">
        <v>1400</v>
      </c>
      <c r="G143" s="758" t="s">
        <v>138</v>
      </c>
      <c r="H143" s="758" t="s">
        <v>137</v>
      </c>
      <c r="I143" s="758" t="s">
        <v>842</v>
      </c>
      <c r="J143" s="758" t="s">
        <v>1505</v>
      </c>
      <c r="K143" s="299">
        <v>0</v>
      </c>
      <c r="M143" s="758" t="s">
        <v>119</v>
      </c>
      <c r="N143" s="758" t="s">
        <v>120</v>
      </c>
      <c r="O143" s="758" t="s">
        <v>526</v>
      </c>
      <c r="P143" s="299">
        <v>72</v>
      </c>
      <c r="Q143" s="299">
        <v>347</v>
      </c>
      <c r="U143" s="758" t="s">
        <v>91</v>
      </c>
      <c r="V143" s="758" t="s">
        <v>553</v>
      </c>
    </row>
    <row r="144" spans="1:22" x14ac:dyDescent="0.25">
      <c r="A144" s="758" t="s">
        <v>173</v>
      </c>
      <c r="B144" s="758" t="s">
        <v>174</v>
      </c>
      <c r="G144" s="758" t="s">
        <v>263</v>
      </c>
      <c r="H144" s="758" t="s">
        <v>262</v>
      </c>
      <c r="I144" s="758" t="s">
        <v>499</v>
      </c>
      <c r="J144" s="136">
        <v>40817</v>
      </c>
      <c r="K144" s="299">
        <v>23</v>
      </c>
      <c r="M144" s="758" t="s">
        <v>51</v>
      </c>
      <c r="N144" s="758" t="s">
        <v>52</v>
      </c>
      <c r="O144" s="758" t="s">
        <v>526</v>
      </c>
      <c r="P144" s="299">
        <v>38</v>
      </c>
      <c r="Q144" s="299">
        <v>231</v>
      </c>
      <c r="U144" s="758" t="s">
        <v>119</v>
      </c>
      <c r="V144" s="758" t="s">
        <v>553</v>
      </c>
    </row>
    <row r="145" spans="1:22" x14ac:dyDescent="0.25">
      <c r="A145" s="758" t="s">
        <v>173</v>
      </c>
      <c r="B145" s="758" t="s">
        <v>176</v>
      </c>
      <c r="G145" s="758" t="s">
        <v>265</v>
      </c>
      <c r="H145" s="758" t="s">
        <v>264</v>
      </c>
      <c r="I145" s="758" t="s">
        <v>499</v>
      </c>
      <c r="J145" s="136">
        <v>40817</v>
      </c>
      <c r="K145" s="299">
        <v>15</v>
      </c>
      <c r="M145" s="758" t="s">
        <v>47</v>
      </c>
      <c r="N145" s="758" t="s">
        <v>48</v>
      </c>
      <c r="O145" s="758" t="s">
        <v>526</v>
      </c>
      <c r="P145" s="299"/>
      <c r="Q145" s="299"/>
      <c r="U145" s="758" t="s">
        <v>51</v>
      </c>
      <c r="V145" s="758" t="s">
        <v>553</v>
      </c>
    </row>
    <row r="146" spans="1:22" x14ac:dyDescent="0.25">
      <c r="A146" s="758" t="s">
        <v>173</v>
      </c>
      <c r="B146" s="758" t="s">
        <v>178</v>
      </c>
      <c r="G146" s="758" t="s">
        <v>136</v>
      </c>
      <c r="H146" s="758" t="s">
        <v>135</v>
      </c>
      <c r="I146" s="758" t="s">
        <v>842</v>
      </c>
      <c r="J146" s="758" t="s">
        <v>1505</v>
      </c>
      <c r="K146" s="299">
        <v>0</v>
      </c>
      <c r="M146" s="758" t="s">
        <v>127</v>
      </c>
      <c r="N146" s="758" t="s">
        <v>128</v>
      </c>
      <c r="O146" s="758" t="s">
        <v>526</v>
      </c>
      <c r="P146" s="299">
        <v>0</v>
      </c>
      <c r="Q146" s="299">
        <v>0</v>
      </c>
      <c r="U146" s="758" t="s">
        <v>47</v>
      </c>
      <c r="V146" s="758" t="s">
        <v>553</v>
      </c>
    </row>
    <row r="147" spans="1:22" x14ac:dyDescent="0.25">
      <c r="A147" s="758" t="s">
        <v>173</v>
      </c>
      <c r="B147" s="758" t="s">
        <v>1265</v>
      </c>
      <c r="G147" s="758" t="s">
        <v>68</v>
      </c>
      <c r="H147" s="758" t="s">
        <v>67</v>
      </c>
      <c r="I147" s="758" t="s">
        <v>842</v>
      </c>
      <c r="J147" s="758" t="s">
        <v>1505</v>
      </c>
      <c r="K147" s="299">
        <v>0</v>
      </c>
      <c r="M147" s="758" t="s">
        <v>59</v>
      </c>
      <c r="N147" s="758" t="s">
        <v>60</v>
      </c>
      <c r="O147" s="758" t="s">
        <v>526</v>
      </c>
      <c r="P147" s="299"/>
      <c r="Q147" s="299"/>
      <c r="U147" s="758" t="s">
        <v>127</v>
      </c>
      <c r="V147" s="758" t="s">
        <v>553</v>
      </c>
    </row>
    <row r="148" spans="1:22" x14ac:dyDescent="0.25">
      <c r="A148" s="758" t="s">
        <v>173</v>
      </c>
      <c r="B148" s="758" t="s">
        <v>1264</v>
      </c>
      <c r="G148" s="758" t="s">
        <v>84</v>
      </c>
      <c r="H148" s="758" t="s">
        <v>83</v>
      </c>
      <c r="I148" s="758" t="s">
        <v>842</v>
      </c>
      <c r="J148" s="758" t="s">
        <v>1505</v>
      </c>
      <c r="K148" s="299">
        <v>0</v>
      </c>
      <c r="M148" s="758" t="s">
        <v>38</v>
      </c>
      <c r="N148" s="758" t="s">
        <v>39</v>
      </c>
      <c r="O148" s="758" t="s">
        <v>526</v>
      </c>
      <c r="P148" s="299"/>
      <c r="Q148" s="299"/>
      <c r="U148" s="758" t="s">
        <v>59</v>
      </c>
      <c r="V148" s="758" t="s">
        <v>553</v>
      </c>
    </row>
    <row r="149" spans="1:22" x14ac:dyDescent="0.25">
      <c r="A149" s="758" t="s">
        <v>173</v>
      </c>
      <c r="B149" s="758" t="s">
        <v>1256</v>
      </c>
      <c r="G149" s="758" t="s">
        <v>86</v>
      </c>
      <c r="H149" s="758" t="s">
        <v>85</v>
      </c>
      <c r="I149" s="758" t="s">
        <v>842</v>
      </c>
      <c r="J149" s="758" t="s">
        <v>1505</v>
      </c>
      <c r="K149" s="299">
        <v>0</v>
      </c>
      <c r="M149" s="758" t="s">
        <v>75</v>
      </c>
      <c r="N149" s="758" t="s">
        <v>76</v>
      </c>
      <c r="O149" s="758" t="s">
        <v>526</v>
      </c>
      <c r="P149" s="299">
        <v>70</v>
      </c>
      <c r="Q149" s="299">
        <v>347</v>
      </c>
      <c r="U149" s="758" t="s">
        <v>38</v>
      </c>
      <c r="V149" s="758" t="s">
        <v>553</v>
      </c>
    </row>
    <row r="150" spans="1:22" x14ac:dyDescent="0.25">
      <c r="A150" s="758" t="s">
        <v>180</v>
      </c>
      <c r="B150" s="758" t="s">
        <v>183</v>
      </c>
      <c r="G150" s="758" t="s">
        <v>100</v>
      </c>
      <c r="H150" s="758" t="s">
        <v>99</v>
      </c>
      <c r="I150" s="758" t="s">
        <v>499</v>
      </c>
      <c r="J150" s="136">
        <v>41122</v>
      </c>
      <c r="K150" s="299">
        <v>4</v>
      </c>
      <c r="M150" s="758" t="s">
        <v>73</v>
      </c>
      <c r="N150" s="758" t="s">
        <v>74</v>
      </c>
      <c r="O150" s="758" t="s">
        <v>526</v>
      </c>
      <c r="P150" s="299"/>
      <c r="Q150" s="299"/>
      <c r="U150" s="758" t="s">
        <v>75</v>
      </c>
      <c r="V150" s="758" t="s">
        <v>553</v>
      </c>
    </row>
    <row r="151" spans="1:22" x14ac:dyDescent="0.25">
      <c r="A151" s="758" t="s">
        <v>180</v>
      </c>
      <c r="B151" s="758" t="s">
        <v>287</v>
      </c>
      <c r="G151" s="758" t="s">
        <v>104</v>
      </c>
      <c r="H151" s="758" t="s">
        <v>103</v>
      </c>
      <c r="I151" s="758" t="s">
        <v>842</v>
      </c>
      <c r="J151" s="758" t="s">
        <v>1505</v>
      </c>
      <c r="K151" s="299">
        <v>0</v>
      </c>
      <c r="M151" s="758" t="s">
        <v>40</v>
      </c>
      <c r="N151" s="758" t="s">
        <v>41</v>
      </c>
      <c r="O151" s="758" t="s">
        <v>526</v>
      </c>
      <c r="P151" s="299">
        <v>66</v>
      </c>
      <c r="Q151" s="299">
        <v>356</v>
      </c>
      <c r="U151" s="758" t="s">
        <v>73</v>
      </c>
      <c r="V151" s="758" t="s">
        <v>553</v>
      </c>
    </row>
    <row r="152" spans="1:22" x14ac:dyDescent="0.25">
      <c r="A152" s="758" t="s">
        <v>180</v>
      </c>
      <c r="B152" s="758" t="s">
        <v>181</v>
      </c>
      <c r="G152" s="758" t="s">
        <v>98</v>
      </c>
      <c r="H152" s="758" t="s">
        <v>97</v>
      </c>
      <c r="I152" s="758" t="s">
        <v>842</v>
      </c>
      <c r="J152" s="758" t="s">
        <v>1505</v>
      </c>
      <c r="K152" s="299">
        <v>0</v>
      </c>
      <c r="M152" s="758" t="s">
        <v>141</v>
      </c>
      <c r="N152" s="758" t="s">
        <v>142</v>
      </c>
      <c r="O152" s="758" t="s">
        <v>526</v>
      </c>
      <c r="P152" s="299">
        <v>0</v>
      </c>
      <c r="Q152" s="299">
        <v>0</v>
      </c>
      <c r="U152" s="758" t="s">
        <v>40</v>
      </c>
      <c r="V152" s="758" t="s">
        <v>553</v>
      </c>
    </row>
    <row r="153" spans="1:22" x14ac:dyDescent="0.25">
      <c r="A153" s="758" t="s">
        <v>180</v>
      </c>
      <c r="B153" s="758" t="s">
        <v>1150</v>
      </c>
      <c r="G153" s="758" t="s">
        <v>368</v>
      </c>
      <c r="H153" s="758" t="s">
        <v>385</v>
      </c>
      <c r="I153" s="758" t="s">
        <v>499</v>
      </c>
      <c r="J153" s="136">
        <v>41275</v>
      </c>
      <c r="K153" s="299">
        <v>68</v>
      </c>
      <c r="M153" s="758" t="s">
        <v>97</v>
      </c>
      <c r="N153" s="758" t="s">
        <v>98</v>
      </c>
      <c r="O153" s="758" t="s">
        <v>526</v>
      </c>
      <c r="P153" s="299">
        <v>0</v>
      </c>
      <c r="Q153" s="299">
        <v>0</v>
      </c>
      <c r="U153" s="758" t="s">
        <v>141</v>
      </c>
      <c r="V153" s="758" t="s">
        <v>553</v>
      </c>
    </row>
    <row r="154" spans="1:22" x14ac:dyDescent="0.25">
      <c r="A154" s="758" t="s">
        <v>180</v>
      </c>
      <c r="B154" s="758" t="s">
        <v>1151</v>
      </c>
      <c r="G154" s="758" t="s">
        <v>1151</v>
      </c>
      <c r="H154" s="758" t="s">
        <v>1153</v>
      </c>
      <c r="I154" s="758" t="s">
        <v>499</v>
      </c>
      <c r="J154" s="136">
        <v>41275</v>
      </c>
      <c r="K154" s="299">
        <v>14</v>
      </c>
      <c r="M154" s="758" t="s">
        <v>61</v>
      </c>
      <c r="N154" s="758" t="s">
        <v>62</v>
      </c>
      <c r="O154" s="758" t="s">
        <v>526</v>
      </c>
      <c r="P154" s="299"/>
      <c r="Q154" s="299"/>
      <c r="U154" s="758" t="s">
        <v>97</v>
      </c>
      <c r="V154" s="758" t="s">
        <v>553</v>
      </c>
    </row>
    <row r="155" spans="1:22" x14ac:dyDescent="0.25">
      <c r="A155" s="758" t="s">
        <v>185</v>
      </c>
      <c r="B155" s="758" t="s">
        <v>192</v>
      </c>
      <c r="G155" s="758" t="s">
        <v>1234</v>
      </c>
      <c r="H155" s="758" t="s">
        <v>359</v>
      </c>
      <c r="I155" s="758" t="s">
        <v>842</v>
      </c>
      <c r="J155" s="758" t="s">
        <v>1505</v>
      </c>
      <c r="K155" s="299"/>
      <c r="M155" s="758" t="s">
        <v>77</v>
      </c>
      <c r="N155" s="758" t="s">
        <v>78</v>
      </c>
      <c r="O155" s="758" t="s">
        <v>526</v>
      </c>
      <c r="P155" s="299"/>
      <c r="Q155" s="299"/>
      <c r="U155" s="758" t="s">
        <v>61</v>
      </c>
      <c r="V155" s="758" t="s">
        <v>553</v>
      </c>
    </row>
    <row r="156" spans="1:22" x14ac:dyDescent="0.25">
      <c r="A156" s="758" t="s">
        <v>185</v>
      </c>
      <c r="B156" s="758" t="s">
        <v>12</v>
      </c>
      <c r="G156" s="758" t="s">
        <v>209</v>
      </c>
      <c r="H156" s="758" t="s">
        <v>208</v>
      </c>
      <c r="I156" s="758" t="s">
        <v>499</v>
      </c>
      <c r="J156" s="136">
        <v>40695</v>
      </c>
      <c r="K156" s="299">
        <v>387</v>
      </c>
      <c r="M156" s="758" t="s">
        <v>89</v>
      </c>
      <c r="N156" s="758" t="s">
        <v>90</v>
      </c>
      <c r="O156" s="758" t="s">
        <v>526</v>
      </c>
      <c r="P156" s="299">
        <v>20</v>
      </c>
      <c r="Q156" s="299">
        <v>109</v>
      </c>
      <c r="U156" s="758" t="s">
        <v>77</v>
      </c>
      <c r="V156" s="758" t="s">
        <v>553</v>
      </c>
    </row>
    <row r="157" spans="1:22" x14ac:dyDescent="0.25">
      <c r="A157" s="758" t="s">
        <v>185</v>
      </c>
      <c r="B157" s="758" t="s">
        <v>194</v>
      </c>
      <c r="G157" s="758" t="s">
        <v>211</v>
      </c>
      <c r="H157" s="758" t="s">
        <v>210</v>
      </c>
      <c r="I157" s="758" t="s">
        <v>842</v>
      </c>
      <c r="J157" s="136">
        <v>40756</v>
      </c>
      <c r="K157" s="299"/>
      <c r="M157" s="758" t="s">
        <v>117</v>
      </c>
      <c r="N157" s="758" t="s">
        <v>118</v>
      </c>
      <c r="O157" s="758" t="s">
        <v>526</v>
      </c>
      <c r="P157" s="299">
        <v>9</v>
      </c>
      <c r="Q157" s="299">
        <v>37</v>
      </c>
      <c r="U157" s="758" t="s">
        <v>89</v>
      </c>
      <c r="V157" s="758" t="s">
        <v>553</v>
      </c>
    </row>
    <row r="158" spans="1:22" x14ac:dyDescent="0.25">
      <c r="A158" s="758" t="s">
        <v>185</v>
      </c>
      <c r="B158" s="758" t="s">
        <v>196</v>
      </c>
      <c r="G158" s="758" t="s">
        <v>1489</v>
      </c>
      <c r="H158" s="758" t="s">
        <v>1456</v>
      </c>
      <c r="I158" s="758" t="s">
        <v>842</v>
      </c>
      <c r="J158" s="758" t="s">
        <v>1505</v>
      </c>
      <c r="K158" s="299"/>
      <c r="M158" s="758" t="s">
        <v>123</v>
      </c>
      <c r="N158" s="758" t="s">
        <v>124</v>
      </c>
      <c r="O158" s="758" t="s">
        <v>526</v>
      </c>
      <c r="P158" s="299">
        <v>8</v>
      </c>
      <c r="Q158" s="299">
        <v>36</v>
      </c>
      <c r="U158" s="758" t="s">
        <v>117</v>
      </c>
      <c r="V158" s="758" t="s">
        <v>553</v>
      </c>
    </row>
    <row r="159" spans="1:22" x14ac:dyDescent="0.25">
      <c r="A159" s="758" t="s">
        <v>185</v>
      </c>
      <c r="B159" s="758" t="s">
        <v>520</v>
      </c>
      <c r="G159" s="758" t="s">
        <v>1389</v>
      </c>
      <c r="H159" s="758" t="s">
        <v>1383</v>
      </c>
      <c r="I159" s="758" t="s">
        <v>499</v>
      </c>
      <c r="J159" s="136">
        <v>42430</v>
      </c>
      <c r="K159" s="299">
        <v>61</v>
      </c>
      <c r="M159" s="758" t="s">
        <v>125</v>
      </c>
      <c r="N159" s="758" t="s">
        <v>126</v>
      </c>
      <c r="O159" s="758" t="s">
        <v>526</v>
      </c>
      <c r="P159" s="299">
        <v>33</v>
      </c>
      <c r="Q159" s="299">
        <v>171</v>
      </c>
      <c r="U159" s="758" t="s">
        <v>123</v>
      </c>
      <c r="V159" s="758" t="s">
        <v>553</v>
      </c>
    </row>
    <row r="160" spans="1:22" x14ac:dyDescent="0.25">
      <c r="A160" s="758" t="s">
        <v>185</v>
      </c>
      <c r="B160" s="758" t="s">
        <v>186</v>
      </c>
      <c r="G160" s="758" t="s">
        <v>1388</v>
      </c>
      <c r="H160" s="758" t="s">
        <v>1382</v>
      </c>
      <c r="I160" s="758" t="s">
        <v>842</v>
      </c>
      <c r="J160" s="136">
        <v>42401</v>
      </c>
      <c r="K160" s="299"/>
      <c r="M160" s="758" t="s">
        <v>63</v>
      </c>
      <c r="N160" s="758" t="s">
        <v>64</v>
      </c>
      <c r="O160" s="758" t="s">
        <v>526</v>
      </c>
      <c r="P160" s="299"/>
      <c r="Q160" s="299"/>
      <c r="U160" s="758" t="s">
        <v>125</v>
      </c>
      <c r="V160" s="758" t="s">
        <v>553</v>
      </c>
    </row>
    <row r="161" spans="1:22" x14ac:dyDescent="0.25">
      <c r="A161" s="758" t="s">
        <v>185</v>
      </c>
      <c r="B161" s="758" t="s">
        <v>223</v>
      </c>
      <c r="G161" s="758" t="s">
        <v>233</v>
      </c>
      <c r="H161" s="758" t="s">
        <v>232</v>
      </c>
      <c r="I161" s="758" t="s">
        <v>842</v>
      </c>
      <c r="J161" s="136">
        <v>41091</v>
      </c>
      <c r="K161" s="299"/>
      <c r="M161" s="758" t="s">
        <v>81</v>
      </c>
      <c r="N161" s="758" t="s">
        <v>82</v>
      </c>
      <c r="O161" s="758" t="s">
        <v>526</v>
      </c>
      <c r="P161" s="299"/>
      <c r="Q161" s="299"/>
      <c r="U161" s="758" t="s">
        <v>63</v>
      </c>
      <c r="V161" s="758" t="s">
        <v>553</v>
      </c>
    </row>
    <row r="162" spans="1:22" x14ac:dyDescent="0.25">
      <c r="A162" s="758" t="s">
        <v>185</v>
      </c>
      <c r="B162" s="758" t="s">
        <v>190</v>
      </c>
      <c r="G162" s="758" t="s">
        <v>235</v>
      </c>
      <c r="H162" s="758" t="s">
        <v>234</v>
      </c>
      <c r="I162" s="758" t="s">
        <v>842</v>
      </c>
      <c r="J162" s="758" t="s">
        <v>1505</v>
      </c>
      <c r="K162" s="299"/>
      <c r="M162" s="758" t="s">
        <v>57</v>
      </c>
      <c r="N162" s="758" t="s">
        <v>58</v>
      </c>
      <c r="O162" s="758" t="s">
        <v>526</v>
      </c>
      <c r="P162" s="299"/>
      <c r="Q162" s="299"/>
      <c r="U162" s="758" t="s">
        <v>81</v>
      </c>
      <c r="V162" s="758" t="s">
        <v>553</v>
      </c>
    </row>
    <row r="163" spans="1:22" x14ac:dyDescent="0.25">
      <c r="A163" s="758" t="s">
        <v>185</v>
      </c>
      <c r="B163" s="758" t="s">
        <v>200</v>
      </c>
      <c r="G163" s="758" t="s">
        <v>296</v>
      </c>
      <c r="H163" s="758" t="s">
        <v>1392</v>
      </c>
      <c r="I163" s="758" t="s">
        <v>842</v>
      </c>
      <c r="J163" s="758" t="s">
        <v>1505</v>
      </c>
      <c r="K163" s="299"/>
      <c r="M163" s="758" t="s">
        <v>55</v>
      </c>
      <c r="N163" s="758" t="s">
        <v>56</v>
      </c>
      <c r="O163" s="758" t="s">
        <v>526</v>
      </c>
      <c r="P163" s="299">
        <v>0</v>
      </c>
      <c r="Q163" s="299">
        <v>0</v>
      </c>
      <c r="U163" s="758" t="s">
        <v>57</v>
      </c>
      <c r="V163" s="758" t="s">
        <v>553</v>
      </c>
    </row>
    <row r="164" spans="1:22" x14ac:dyDescent="0.25">
      <c r="A164" s="758" t="s">
        <v>185</v>
      </c>
      <c r="B164" s="758" t="s">
        <v>202</v>
      </c>
      <c r="G164" s="758" t="s">
        <v>517</v>
      </c>
      <c r="H164" s="758" t="s">
        <v>518</v>
      </c>
      <c r="I164" s="758" t="s">
        <v>842</v>
      </c>
      <c r="J164" s="136">
        <v>41091</v>
      </c>
      <c r="K164" s="299">
        <v>0</v>
      </c>
      <c r="M164" s="758" t="s">
        <v>42</v>
      </c>
      <c r="N164" s="758" t="s">
        <v>43</v>
      </c>
      <c r="O164" s="758" t="s">
        <v>526</v>
      </c>
      <c r="P164" s="299">
        <v>14</v>
      </c>
      <c r="Q164" s="299">
        <v>81</v>
      </c>
      <c r="U164" s="758" t="s">
        <v>55</v>
      </c>
      <c r="V164" s="758" t="s">
        <v>553</v>
      </c>
    </row>
    <row r="165" spans="1:22" x14ac:dyDescent="0.25">
      <c r="A165" s="758" t="s">
        <v>185</v>
      </c>
      <c r="B165" s="758" t="s">
        <v>204</v>
      </c>
      <c r="G165" s="758" t="s">
        <v>1406</v>
      </c>
      <c r="H165" s="758" t="s">
        <v>1386</v>
      </c>
      <c r="I165" s="758" t="s">
        <v>499</v>
      </c>
      <c r="J165" s="136">
        <v>42401</v>
      </c>
      <c r="K165" s="299">
        <v>30</v>
      </c>
      <c r="M165" s="758" t="s">
        <v>45</v>
      </c>
      <c r="N165" s="758" t="s">
        <v>44</v>
      </c>
      <c r="O165" s="758" t="s">
        <v>526</v>
      </c>
      <c r="P165" s="299">
        <v>4</v>
      </c>
      <c r="Q165" s="299">
        <v>26</v>
      </c>
      <c r="U165" s="758" t="s">
        <v>42</v>
      </c>
      <c r="V165" s="758" t="s">
        <v>553</v>
      </c>
    </row>
    <row r="166" spans="1:22" x14ac:dyDescent="0.25">
      <c r="A166" s="758" t="s">
        <v>185</v>
      </c>
      <c r="B166" s="758" t="s">
        <v>205</v>
      </c>
      <c r="G166" s="758" t="s">
        <v>371</v>
      </c>
      <c r="H166" s="758" t="s">
        <v>147</v>
      </c>
      <c r="I166" s="758" t="s">
        <v>499</v>
      </c>
      <c r="J166" s="136">
        <v>40787</v>
      </c>
      <c r="K166" s="299">
        <v>46</v>
      </c>
      <c r="M166" s="758" t="s">
        <v>46</v>
      </c>
      <c r="N166" s="758" t="s">
        <v>610</v>
      </c>
      <c r="O166" s="758" t="s">
        <v>526</v>
      </c>
      <c r="P166" s="299">
        <v>12</v>
      </c>
      <c r="Q166" s="299">
        <v>55</v>
      </c>
      <c r="U166" s="758" t="s">
        <v>45</v>
      </c>
      <c r="V166" s="758" t="s">
        <v>553</v>
      </c>
    </row>
    <row r="167" spans="1:22" x14ac:dyDescent="0.25">
      <c r="A167" s="758" t="s">
        <v>185</v>
      </c>
      <c r="B167" s="758" t="s">
        <v>207</v>
      </c>
      <c r="G167" s="758" t="s">
        <v>1097</v>
      </c>
      <c r="H167" s="758" t="s">
        <v>1096</v>
      </c>
      <c r="I167" s="758" t="s">
        <v>499</v>
      </c>
      <c r="J167" s="136">
        <v>40787</v>
      </c>
      <c r="K167" s="299">
        <v>22</v>
      </c>
      <c r="M167" s="758" t="s">
        <v>376</v>
      </c>
      <c r="N167" s="758" t="s">
        <v>366</v>
      </c>
      <c r="O167" s="758" t="s">
        <v>5</v>
      </c>
      <c r="P167" s="299">
        <v>153</v>
      </c>
      <c r="Q167" s="299">
        <v>773</v>
      </c>
      <c r="U167" s="758" t="s">
        <v>46</v>
      </c>
      <c r="V167" s="758" t="s">
        <v>553</v>
      </c>
    </row>
    <row r="168" spans="1:22" x14ac:dyDescent="0.25">
      <c r="A168" s="758" t="s">
        <v>185</v>
      </c>
      <c r="B168" s="758" t="s">
        <v>209</v>
      </c>
      <c r="G168" s="758" t="s">
        <v>367</v>
      </c>
      <c r="H168" s="758" t="s">
        <v>386</v>
      </c>
      <c r="I168" s="758" t="s">
        <v>842</v>
      </c>
      <c r="J168" s="136">
        <v>40787</v>
      </c>
      <c r="K168" s="299">
        <v>0</v>
      </c>
      <c r="M168" s="758" t="s">
        <v>377</v>
      </c>
      <c r="N168" s="758" t="s">
        <v>511</v>
      </c>
      <c r="O168" s="758" t="s">
        <v>5</v>
      </c>
      <c r="P168" s="299">
        <v>12</v>
      </c>
      <c r="Q168" s="299">
        <v>55</v>
      </c>
      <c r="U168" s="758" t="s">
        <v>376</v>
      </c>
      <c r="V168" s="758" t="s">
        <v>553</v>
      </c>
    </row>
    <row r="169" spans="1:22" x14ac:dyDescent="0.25">
      <c r="A169" s="758" t="s">
        <v>185</v>
      </c>
      <c r="B169" s="758" t="s">
        <v>211</v>
      </c>
      <c r="G169" s="758" t="s">
        <v>142</v>
      </c>
      <c r="H169" s="758" t="s">
        <v>141</v>
      </c>
      <c r="I169" s="758" t="s">
        <v>842</v>
      </c>
      <c r="J169" s="136">
        <v>41275</v>
      </c>
      <c r="K169" s="299">
        <v>0</v>
      </c>
      <c r="M169" s="758" t="s">
        <v>378</v>
      </c>
      <c r="N169" s="758" t="s">
        <v>365</v>
      </c>
      <c r="O169" s="758" t="s">
        <v>27</v>
      </c>
      <c r="P169" s="299">
        <v>144</v>
      </c>
      <c r="Q169" s="299">
        <v>644</v>
      </c>
      <c r="U169" s="758" t="s">
        <v>377</v>
      </c>
      <c r="V169" s="758" t="s">
        <v>553</v>
      </c>
    </row>
    <row r="170" spans="1:22" x14ac:dyDescent="0.25">
      <c r="A170" s="758" t="s">
        <v>185</v>
      </c>
      <c r="B170" s="758" t="s">
        <v>213</v>
      </c>
      <c r="G170" s="758" t="s">
        <v>1049</v>
      </c>
      <c r="H170" s="758" t="s">
        <v>1050</v>
      </c>
      <c r="I170" s="758" t="s">
        <v>499</v>
      </c>
      <c r="J170" s="136">
        <v>41703</v>
      </c>
      <c r="K170" s="299">
        <v>44</v>
      </c>
      <c r="M170" s="758" t="s">
        <v>390</v>
      </c>
      <c r="N170" s="758" t="s">
        <v>12</v>
      </c>
      <c r="O170" s="758" t="s">
        <v>151</v>
      </c>
      <c r="P170" s="299">
        <v>73</v>
      </c>
      <c r="Q170" s="299">
        <v>274</v>
      </c>
      <c r="U170" s="758" t="s">
        <v>378</v>
      </c>
      <c r="V170" s="758" t="s">
        <v>553</v>
      </c>
    </row>
    <row r="171" spans="1:22" x14ac:dyDescent="0.25">
      <c r="A171" s="758" t="s">
        <v>185</v>
      </c>
      <c r="B171" s="758" t="s">
        <v>215</v>
      </c>
      <c r="G171" s="758" t="s">
        <v>1059</v>
      </c>
      <c r="H171" s="758" t="s">
        <v>1060</v>
      </c>
      <c r="I171" s="758" t="s">
        <v>499</v>
      </c>
      <c r="J171" s="136">
        <v>41734</v>
      </c>
      <c r="K171" s="299">
        <v>25</v>
      </c>
      <c r="M171" s="758" t="s">
        <v>391</v>
      </c>
      <c r="N171" s="758" t="s">
        <v>12</v>
      </c>
      <c r="O171" s="758" t="s">
        <v>185</v>
      </c>
      <c r="P171" s="299">
        <v>226</v>
      </c>
      <c r="Q171" s="299">
        <v>1048</v>
      </c>
      <c r="U171" s="758" t="s">
        <v>390</v>
      </c>
      <c r="V171" s="758" t="s">
        <v>12</v>
      </c>
    </row>
    <row r="172" spans="1:22" x14ac:dyDescent="0.25">
      <c r="A172" s="758" t="s">
        <v>185</v>
      </c>
      <c r="B172" s="758" t="s">
        <v>217</v>
      </c>
      <c r="G172" s="758" t="s">
        <v>8</v>
      </c>
      <c r="H172" s="758" t="s">
        <v>7</v>
      </c>
      <c r="I172" s="758" t="s">
        <v>499</v>
      </c>
      <c r="J172" s="136">
        <v>41183</v>
      </c>
      <c r="K172" s="299">
        <v>13</v>
      </c>
      <c r="M172" s="758" t="s">
        <v>392</v>
      </c>
      <c r="N172" s="758" t="s">
        <v>205</v>
      </c>
      <c r="O172" s="758" t="s">
        <v>185</v>
      </c>
      <c r="P172" s="299"/>
      <c r="Q172" s="299"/>
      <c r="U172" s="758" t="s">
        <v>391</v>
      </c>
      <c r="V172" s="758" t="s">
        <v>12</v>
      </c>
    </row>
    <row r="173" spans="1:22" x14ac:dyDescent="0.25">
      <c r="A173" s="758" t="s">
        <v>185</v>
      </c>
      <c r="B173" s="758" t="s">
        <v>229</v>
      </c>
      <c r="G173" s="758" t="s">
        <v>1430</v>
      </c>
      <c r="H173" s="758" t="s">
        <v>1438</v>
      </c>
      <c r="I173" s="758" t="s">
        <v>499</v>
      </c>
      <c r="J173" s="136">
        <v>42584</v>
      </c>
      <c r="K173" s="299">
        <v>20</v>
      </c>
      <c r="M173" s="758" t="s">
        <v>393</v>
      </c>
      <c r="N173" s="758" t="s">
        <v>12</v>
      </c>
      <c r="O173" s="758" t="s">
        <v>302</v>
      </c>
      <c r="P173" s="299"/>
      <c r="Q173" s="299"/>
      <c r="U173" s="758" t="s">
        <v>392</v>
      </c>
      <c r="V173" s="758" t="s">
        <v>12</v>
      </c>
    </row>
    <row r="174" spans="1:22" x14ac:dyDescent="0.25">
      <c r="A174" s="758" t="s">
        <v>185</v>
      </c>
      <c r="B174" s="758" t="s">
        <v>219</v>
      </c>
      <c r="G174" s="758" t="s">
        <v>267</v>
      </c>
      <c r="H174" s="758" t="s">
        <v>266</v>
      </c>
      <c r="I174" s="758" t="s">
        <v>842</v>
      </c>
      <c r="J174" s="136">
        <v>40817</v>
      </c>
      <c r="K174" s="299"/>
      <c r="M174" s="758" t="s">
        <v>521</v>
      </c>
      <c r="N174" s="758" t="s">
        <v>520</v>
      </c>
      <c r="O174" s="758" t="s">
        <v>185</v>
      </c>
      <c r="P174" s="299">
        <v>4</v>
      </c>
      <c r="Q174" s="299">
        <v>26</v>
      </c>
      <c r="U174" s="758" t="s">
        <v>393</v>
      </c>
      <c r="V174" s="758" t="s">
        <v>12</v>
      </c>
    </row>
    <row r="175" spans="1:22" x14ac:dyDescent="0.25">
      <c r="A175" s="758" t="s">
        <v>185</v>
      </c>
      <c r="B175" s="758" t="s">
        <v>221</v>
      </c>
      <c r="G175" s="758" t="s">
        <v>213</v>
      </c>
      <c r="H175" s="758" t="s">
        <v>212</v>
      </c>
      <c r="I175" s="758" t="s">
        <v>499</v>
      </c>
      <c r="J175" s="758" t="s">
        <v>1505</v>
      </c>
      <c r="K175" s="299">
        <v>44</v>
      </c>
      <c r="M175" s="758" t="s">
        <v>514</v>
      </c>
      <c r="N175" s="758" t="s">
        <v>513</v>
      </c>
      <c r="O175" s="758" t="s">
        <v>526</v>
      </c>
      <c r="P175" s="299">
        <v>0</v>
      </c>
      <c r="Q175" s="299">
        <v>0</v>
      </c>
      <c r="U175" s="758" t="s">
        <v>521</v>
      </c>
      <c r="V175" s="758" t="s">
        <v>12</v>
      </c>
    </row>
    <row r="176" spans="1:22" x14ac:dyDescent="0.25">
      <c r="A176" s="758" t="s">
        <v>185</v>
      </c>
      <c r="B176" s="758" t="s">
        <v>225</v>
      </c>
      <c r="G176" s="758" t="s">
        <v>162</v>
      </c>
      <c r="H176" s="758" t="s">
        <v>161</v>
      </c>
      <c r="I176" s="758" t="s">
        <v>842</v>
      </c>
      <c r="J176" s="758" t="s">
        <v>1505</v>
      </c>
      <c r="K176" s="299">
        <v>0</v>
      </c>
      <c r="M176" s="758" t="s">
        <v>516</v>
      </c>
      <c r="N176" s="758" t="s">
        <v>515</v>
      </c>
      <c r="O176" s="758" t="s">
        <v>151</v>
      </c>
      <c r="P176" s="299">
        <v>0</v>
      </c>
      <c r="Q176" s="299">
        <v>0</v>
      </c>
      <c r="U176" s="758" t="s">
        <v>514</v>
      </c>
      <c r="V176" s="758" t="s">
        <v>553</v>
      </c>
    </row>
    <row r="177" spans="1:22" x14ac:dyDescent="0.25">
      <c r="A177" s="758" t="s">
        <v>185</v>
      </c>
      <c r="B177" s="758" t="s">
        <v>227</v>
      </c>
      <c r="G177" s="758" t="s">
        <v>292</v>
      </c>
      <c r="H177" s="758" t="s">
        <v>291</v>
      </c>
      <c r="I177" s="758" t="s">
        <v>499</v>
      </c>
      <c r="J177" s="136">
        <v>41609</v>
      </c>
      <c r="K177" s="299">
        <v>74</v>
      </c>
      <c r="M177" s="758" t="s">
        <v>518</v>
      </c>
      <c r="N177" s="758" t="s">
        <v>517</v>
      </c>
      <c r="O177" s="758" t="s">
        <v>151</v>
      </c>
      <c r="P177" s="299">
        <v>0</v>
      </c>
      <c r="Q177" s="299">
        <v>0</v>
      </c>
      <c r="U177" s="758" t="s">
        <v>516</v>
      </c>
      <c r="V177" s="758" t="s">
        <v>553</v>
      </c>
    </row>
    <row r="178" spans="1:22" x14ac:dyDescent="0.25">
      <c r="A178" s="758" t="s">
        <v>185</v>
      </c>
      <c r="B178" s="758" t="s">
        <v>1300</v>
      </c>
      <c r="G178" s="758" t="s">
        <v>290</v>
      </c>
      <c r="H178" s="758" t="s">
        <v>288</v>
      </c>
      <c r="I178" s="758" t="s">
        <v>499</v>
      </c>
      <c r="J178" s="136">
        <v>40878</v>
      </c>
      <c r="K178" s="299">
        <v>67</v>
      </c>
      <c r="M178" s="758" t="s">
        <v>519</v>
      </c>
      <c r="N178" s="758" t="s">
        <v>864</v>
      </c>
      <c r="O178" s="758" t="s">
        <v>151</v>
      </c>
      <c r="P178" s="299">
        <v>0</v>
      </c>
      <c r="Q178" s="299">
        <v>0</v>
      </c>
      <c r="U178" s="758" t="s">
        <v>518</v>
      </c>
      <c r="V178" s="758" t="s">
        <v>553</v>
      </c>
    </row>
    <row r="179" spans="1:22" x14ac:dyDescent="0.25">
      <c r="A179" s="758" t="s">
        <v>230</v>
      </c>
      <c r="B179" s="758" t="s">
        <v>169</v>
      </c>
      <c r="G179" s="758" t="s">
        <v>1051</v>
      </c>
      <c r="H179" s="758" t="s">
        <v>1052</v>
      </c>
      <c r="I179" s="758" t="s">
        <v>499</v>
      </c>
      <c r="J179" s="136">
        <v>41947</v>
      </c>
      <c r="K179" s="299">
        <v>36</v>
      </c>
      <c r="M179" s="758" t="s">
        <v>811</v>
      </c>
      <c r="N179" s="758" t="s">
        <v>807</v>
      </c>
      <c r="O179" s="758" t="s">
        <v>807</v>
      </c>
      <c r="P179" s="299">
        <v>5</v>
      </c>
      <c r="Q179" s="299">
        <v>32</v>
      </c>
      <c r="U179" s="758" t="s">
        <v>519</v>
      </c>
      <c r="V179" s="758" t="s">
        <v>553</v>
      </c>
    </row>
    <row r="180" spans="1:22" x14ac:dyDescent="0.25">
      <c r="A180" s="758" t="s">
        <v>230</v>
      </c>
      <c r="B180" s="758" t="s">
        <v>231</v>
      </c>
      <c r="G180" s="758" t="s">
        <v>374</v>
      </c>
      <c r="H180" s="758" t="s">
        <v>295</v>
      </c>
      <c r="I180" s="758" t="s">
        <v>499</v>
      </c>
      <c r="J180" s="136">
        <v>40878</v>
      </c>
      <c r="K180" s="299">
        <v>44</v>
      </c>
      <c r="M180" s="758" t="s">
        <v>813</v>
      </c>
      <c r="N180" s="758" t="s">
        <v>812</v>
      </c>
      <c r="O180" s="758" t="s">
        <v>310</v>
      </c>
      <c r="P180" s="299"/>
      <c r="Q180" s="299">
        <v>1047</v>
      </c>
      <c r="U180" s="758" t="s">
        <v>811</v>
      </c>
      <c r="V180" s="758" t="s">
        <v>553</v>
      </c>
    </row>
    <row r="181" spans="1:22" x14ac:dyDescent="0.25">
      <c r="A181" s="758" t="s">
        <v>230</v>
      </c>
      <c r="B181" s="758" t="s">
        <v>233</v>
      </c>
      <c r="G181" s="758" t="s">
        <v>375</v>
      </c>
      <c r="H181" s="758" t="s">
        <v>389</v>
      </c>
      <c r="I181" s="758" t="s">
        <v>842</v>
      </c>
      <c r="J181" s="758" t="s">
        <v>1505</v>
      </c>
      <c r="K181" s="299">
        <v>0</v>
      </c>
      <c r="M181" s="758" t="s">
        <v>866</v>
      </c>
      <c r="N181" s="758" t="s">
        <v>865</v>
      </c>
      <c r="O181" s="758" t="s">
        <v>151</v>
      </c>
      <c r="P181" s="299">
        <v>0</v>
      </c>
      <c r="Q181" s="299">
        <v>0</v>
      </c>
      <c r="U181" s="758" t="s">
        <v>813</v>
      </c>
      <c r="V181" s="758" t="s">
        <v>985</v>
      </c>
    </row>
    <row r="182" spans="1:22" x14ac:dyDescent="0.25">
      <c r="A182" s="758" t="s">
        <v>230</v>
      </c>
      <c r="B182" s="758" t="s">
        <v>235</v>
      </c>
      <c r="G182" s="758" t="s">
        <v>294</v>
      </c>
      <c r="H182" s="758" t="s">
        <v>293</v>
      </c>
      <c r="I182" s="758" t="s">
        <v>842</v>
      </c>
      <c r="J182" s="758" t="s">
        <v>1505</v>
      </c>
      <c r="K182" s="299"/>
      <c r="M182" s="758" t="s">
        <v>862</v>
      </c>
      <c r="N182" s="758" t="s">
        <v>863</v>
      </c>
      <c r="O182" s="758" t="s">
        <v>27</v>
      </c>
      <c r="P182" s="299">
        <v>57</v>
      </c>
      <c r="Q182" s="299">
        <v>262</v>
      </c>
      <c r="U182" s="758" t="s">
        <v>866</v>
      </c>
      <c r="V182" s="758" t="s">
        <v>553</v>
      </c>
    </row>
    <row r="183" spans="1:22" x14ac:dyDescent="0.25">
      <c r="A183" s="758" t="s">
        <v>230</v>
      </c>
      <c r="B183" s="758" t="s">
        <v>361</v>
      </c>
      <c r="G183" s="758" t="s">
        <v>361</v>
      </c>
      <c r="H183" s="758" t="s">
        <v>836</v>
      </c>
      <c r="I183" s="758" t="s">
        <v>499</v>
      </c>
      <c r="J183" s="136">
        <v>40787</v>
      </c>
      <c r="K183" s="299">
        <v>9</v>
      </c>
      <c r="M183" s="758" t="s">
        <v>854</v>
      </c>
      <c r="N183" s="758" t="s">
        <v>868</v>
      </c>
      <c r="O183" s="758" t="s">
        <v>5</v>
      </c>
      <c r="P183" s="299">
        <v>0</v>
      </c>
      <c r="Q183" s="299">
        <v>0</v>
      </c>
      <c r="U183" s="758" t="s">
        <v>862</v>
      </c>
      <c r="V183" s="758" t="s">
        <v>553</v>
      </c>
    </row>
    <row r="184" spans="1:22" x14ac:dyDescent="0.25">
      <c r="A184" s="758" t="s">
        <v>230</v>
      </c>
      <c r="B184" s="758" t="s">
        <v>171</v>
      </c>
      <c r="G184" s="758" t="s">
        <v>171</v>
      </c>
      <c r="H184" s="758" t="s">
        <v>170</v>
      </c>
      <c r="I184" s="758" t="s">
        <v>842</v>
      </c>
      <c r="J184" s="758" t="s">
        <v>1505</v>
      </c>
      <c r="K184" s="299"/>
      <c r="M184" s="758" t="s">
        <v>869</v>
      </c>
      <c r="N184" s="758" t="s">
        <v>875</v>
      </c>
      <c r="O184" s="758" t="s">
        <v>151</v>
      </c>
      <c r="P184" s="299">
        <v>0</v>
      </c>
      <c r="Q184" s="299">
        <v>0</v>
      </c>
      <c r="U184" s="758" t="s">
        <v>854</v>
      </c>
      <c r="V184" s="758" t="s">
        <v>553</v>
      </c>
    </row>
    <row r="185" spans="1:22" x14ac:dyDescent="0.25">
      <c r="A185" s="758" t="s">
        <v>230</v>
      </c>
      <c r="B185" s="758" t="s">
        <v>1049</v>
      </c>
      <c r="G185" s="758" t="s">
        <v>149</v>
      </c>
      <c r="H185" s="758" t="s">
        <v>148</v>
      </c>
      <c r="I185" s="758" t="s">
        <v>499</v>
      </c>
      <c r="J185" s="136">
        <v>40878</v>
      </c>
      <c r="K185" s="299">
        <v>63</v>
      </c>
      <c r="M185" s="758" t="s">
        <v>873</v>
      </c>
      <c r="N185" s="758" t="s">
        <v>874</v>
      </c>
      <c r="O185" s="758" t="s">
        <v>151</v>
      </c>
      <c r="P185" s="299">
        <v>0</v>
      </c>
      <c r="Q185" s="299">
        <v>0</v>
      </c>
      <c r="U185" s="758" t="s">
        <v>869</v>
      </c>
      <c r="V185" s="758" t="s">
        <v>553</v>
      </c>
    </row>
    <row r="186" spans="1:22" x14ac:dyDescent="0.25">
      <c r="A186" s="758" t="s">
        <v>230</v>
      </c>
      <c r="B186" s="758" t="s">
        <v>1059</v>
      </c>
      <c r="G186" s="758" t="s">
        <v>1390</v>
      </c>
      <c r="H186" s="758" t="s">
        <v>1384</v>
      </c>
      <c r="I186" s="758" t="s">
        <v>499</v>
      </c>
      <c r="J186" s="136">
        <v>42401</v>
      </c>
      <c r="K186" s="299">
        <v>37</v>
      </c>
      <c r="M186" s="758" t="s">
        <v>878</v>
      </c>
      <c r="N186" s="758" t="s">
        <v>877</v>
      </c>
      <c r="O186" s="758" t="s">
        <v>151</v>
      </c>
      <c r="P186" s="299">
        <v>0</v>
      </c>
      <c r="Q186" s="299">
        <v>0</v>
      </c>
      <c r="U186" s="758" t="s">
        <v>873</v>
      </c>
      <c r="V186" s="758" t="s">
        <v>553</v>
      </c>
    </row>
    <row r="187" spans="1:22" x14ac:dyDescent="0.25">
      <c r="A187" s="758" t="s">
        <v>230</v>
      </c>
      <c r="B187" s="758" t="s">
        <v>1479</v>
      </c>
      <c r="G187" s="758" t="s">
        <v>864</v>
      </c>
      <c r="H187" s="758" t="s">
        <v>519</v>
      </c>
      <c r="I187" s="758" t="s">
        <v>842</v>
      </c>
      <c r="J187" s="136">
        <v>41091</v>
      </c>
      <c r="K187" s="299">
        <v>0</v>
      </c>
      <c r="M187" s="758" t="s">
        <v>879</v>
      </c>
      <c r="N187" s="758" t="s">
        <v>881</v>
      </c>
      <c r="O187" s="758" t="s">
        <v>151</v>
      </c>
      <c r="P187" s="299">
        <v>0</v>
      </c>
      <c r="Q187" s="299">
        <v>0</v>
      </c>
      <c r="U187" s="758" t="s">
        <v>878</v>
      </c>
      <c r="V187" s="758" t="s">
        <v>553</v>
      </c>
    </row>
    <row r="188" spans="1:22" x14ac:dyDescent="0.25">
      <c r="A188" s="758" t="s">
        <v>230</v>
      </c>
      <c r="B188" s="758" t="s">
        <v>1489</v>
      </c>
      <c r="G188" s="758" t="s">
        <v>865</v>
      </c>
      <c r="H188" s="758" t="s">
        <v>866</v>
      </c>
      <c r="I188" s="758" t="s">
        <v>842</v>
      </c>
      <c r="J188" s="758" t="s">
        <v>1505</v>
      </c>
      <c r="K188" s="299">
        <v>0</v>
      </c>
      <c r="M188" s="758" t="s">
        <v>880</v>
      </c>
      <c r="N188" s="758" t="s">
        <v>876</v>
      </c>
      <c r="O188" s="758" t="s">
        <v>151</v>
      </c>
      <c r="P188" s="299">
        <v>0</v>
      </c>
      <c r="Q188" s="299">
        <v>0</v>
      </c>
      <c r="U188" s="758" t="s">
        <v>879</v>
      </c>
      <c r="V188" s="758" t="s">
        <v>553</v>
      </c>
    </row>
    <row r="189" spans="1:22" x14ac:dyDescent="0.25">
      <c r="A189" s="758" t="s">
        <v>230</v>
      </c>
      <c r="B189" s="758" t="s">
        <v>1490</v>
      </c>
      <c r="G189" s="758" t="s">
        <v>164</v>
      </c>
      <c r="H189" s="758" t="s">
        <v>163</v>
      </c>
      <c r="I189" s="758" t="s">
        <v>842</v>
      </c>
      <c r="J189" s="758" t="s">
        <v>1505</v>
      </c>
      <c r="K189" s="299">
        <v>0</v>
      </c>
      <c r="M189" s="758" t="s">
        <v>882</v>
      </c>
      <c r="N189" s="758" t="s">
        <v>883</v>
      </c>
      <c r="O189" s="758" t="s">
        <v>151</v>
      </c>
      <c r="P189" s="299">
        <v>0</v>
      </c>
      <c r="Q189" s="299">
        <v>0</v>
      </c>
      <c r="U189" s="758" t="s">
        <v>880</v>
      </c>
      <c r="V189" s="758" t="s">
        <v>12</v>
      </c>
    </row>
    <row r="190" spans="1:22" x14ac:dyDescent="0.25">
      <c r="A190" s="758" t="s">
        <v>230</v>
      </c>
      <c r="B190" s="758" t="s">
        <v>1480</v>
      </c>
      <c r="G190" s="758" t="s">
        <v>610</v>
      </c>
      <c r="H190" s="758" t="s">
        <v>46</v>
      </c>
      <c r="I190" s="758" t="s">
        <v>499</v>
      </c>
      <c r="J190" s="136">
        <v>41275</v>
      </c>
      <c r="K190" s="299">
        <v>12</v>
      </c>
      <c r="M190" s="758" t="s">
        <v>885</v>
      </c>
      <c r="N190" s="758" t="s">
        <v>884</v>
      </c>
      <c r="O190" s="758" t="s">
        <v>151</v>
      </c>
      <c r="P190" s="299">
        <v>403</v>
      </c>
      <c r="Q190" s="299">
        <v>1855</v>
      </c>
      <c r="U190" s="758" t="s">
        <v>882</v>
      </c>
      <c r="V190" s="758" t="s">
        <v>855</v>
      </c>
    </row>
    <row r="191" spans="1:22" x14ac:dyDescent="0.25">
      <c r="A191" s="758" t="s">
        <v>230</v>
      </c>
      <c r="B191" s="758" t="s">
        <v>1491</v>
      </c>
      <c r="G191" s="758" t="s">
        <v>1262</v>
      </c>
      <c r="H191" s="758" t="s">
        <v>1246</v>
      </c>
      <c r="I191" s="758" t="s">
        <v>499</v>
      </c>
      <c r="J191" s="136">
        <v>42036</v>
      </c>
      <c r="K191" s="299">
        <v>34</v>
      </c>
      <c r="M191" s="758" t="s">
        <v>887</v>
      </c>
      <c r="N191" s="758" t="s">
        <v>886</v>
      </c>
      <c r="O191" s="758" t="s">
        <v>151</v>
      </c>
      <c r="P191" s="299">
        <v>0</v>
      </c>
      <c r="Q191" s="299">
        <v>0</v>
      </c>
      <c r="U191" s="758" t="s">
        <v>885</v>
      </c>
      <c r="V191" s="758" t="s">
        <v>553</v>
      </c>
    </row>
    <row r="192" spans="1:22" x14ac:dyDescent="0.25">
      <c r="A192" s="758" t="s">
        <v>230</v>
      </c>
      <c r="B192" s="758" t="s">
        <v>1495</v>
      </c>
      <c r="G192" s="758" t="s">
        <v>820</v>
      </c>
      <c r="H192" s="758" t="s">
        <v>297</v>
      </c>
      <c r="I192" s="758" t="s">
        <v>499</v>
      </c>
      <c r="J192" s="136">
        <v>41000</v>
      </c>
      <c r="K192" s="299">
        <v>44</v>
      </c>
      <c r="M192" s="758" t="s">
        <v>890</v>
      </c>
      <c r="N192" s="758" t="s">
        <v>889</v>
      </c>
      <c r="O192" s="758" t="s">
        <v>300</v>
      </c>
      <c r="P192" s="299">
        <v>0</v>
      </c>
      <c r="Q192" s="299">
        <v>0</v>
      </c>
      <c r="U192" s="758" t="s">
        <v>887</v>
      </c>
      <c r="V192" s="758" t="s">
        <v>553</v>
      </c>
    </row>
    <row r="193" spans="1:22" x14ac:dyDescent="0.25">
      <c r="A193" s="758" t="s">
        <v>230</v>
      </c>
      <c r="B193" s="758" t="s">
        <v>1473</v>
      </c>
      <c r="G193" s="758" t="s">
        <v>592</v>
      </c>
      <c r="H193" s="758" t="s">
        <v>823</v>
      </c>
      <c r="I193" s="758" t="s">
        <v>499</v>
      </c>
      <c r="J193" s="758" t="s">
        <v>1505</v>
      </c>
      <c r="K193" s="299">
        <v>118</v>
      </c>
      <c r="M193" s="758" t="s">
        <v>894</v>
      </c>
      <c r="N193" s="758" t="s">
        <v>893</v>
      </c>
      <c r="O193" s="758" t="s">
        <v>891</v>
      </c>
      <c r="P193" s="299"/>
      <c r="Q193" s="299"/>
      <c r="U193" s="758" t="s">
        <v>890</v>
      </c>
      <c r="V193" s="758" t="s">
        <v>553</v>
      </c>
    </row>
    <row r="194" spans="1:22" x14ac:dyDescent="0.25">
      <c r="A194" s="758" t="s">
        <v>230</v>
      </c>
      <c r="B194" s="758" t="s">
        <v>1474</v>
      </c>
      <c r="G194" s="758" t="s">
        <v>1063</v>
      </c>
      <c r="H194" s="758" t="s">
        <v>1056</v>
      </c>
      <c r="I194" s="758" t="s">
        <v>499</v>
      </c>
      <c r="J194" s="136">
        <v>41747</v>
      </c>
      <c r="K194" s="299">
        <v>120</v>
      </c>
      <c r="M194" s="758" t="s">
        <v>895</v>
      </c>
      <c r="N194" s="758" t="s">
        <v>896</v>
      </c>
      <c r="O194" s="758" t="s">
        <v>5</v>
      </c>
      <c r="P194" s="299"/>
      <c r="Q194" s="299"/>
      <c r="U194" s="758" t="s">
        <v>894</v>
      </c>
      <c r="V194" s="758" t="s">
        <v>553</v>
      </c>
    </row>
    <row r="195" spans="1:22" x14ac:dyDescent="0.25">
      <c r="A195" s="758" t="s">
        <v>230</v>
      </c>
      <c r="B195" s="758" t="s">
        <v>1475</v>
      </c>
      <c r="G195" s="758" t="s">
        <v>1495</v>
      </c>
      <c r="H195" s="758" t="s">
        <v>1460</v>
      </c>
      <c r="I195" s="758" t="s">
        <v>842</v>
      </c>
      <c r="J195" s="758" t="s">
        <v>1505</v>
      </c>
      <c r="K195" s="299"/>
      <c r="M195" s="758" t="s">
        <v>288</v>
      </c>
      <c r="N195" s="758" t="s">
        <v>290</v>
      </c>
      <c r="O195" s="758" t="s">
        <v>289</v>
      </c>
      <c r="P195" s="299">
        <v>67</v>
      </c>
      <c r="Q195" s="299">
        <v>357</v>
      </c>
      <c r="U195" s="758" t="s">
        <v>895</v>
      </c>
      <c r="V195" s="758" t="s">
        <v>553</v>
      </c>
    </row>
    <row r="196" spans="1:22" x14ac:dyDescent="0.25">
      <c r="A196" s="758" t="s">
        <v>230</v>
      </c>
      <c r="B196" s="758" t="s">
        <v>1476</v>
      </c>
      <c r="G196" s="758" t="s">
        <v>1470</v>
      </c>
      <c r="H196" s="758" t="s">
        <v>1452</v>
      </c>
      <c r="I196" s="758" t="s">
        <v>842</v>
      </c>
      <c r="J196" s="758" t="s">
        <v>1505</v>
      </c>
      <c r="K196" s="299"/>
      <c r="M196" s="758" t="s">
        <v>293</v>
      </c>
      <c r="N196" s="758" t="s">
        <v>294</v>
      </c>
      <c r="O196" s="758" t="s">
        <v>289</v>
      </c>
      <c r="P196" s="299"/>
      <c r="Q196" s="299"/>
      <c r="U196" s="758" t="s">
        <v>940</v>
      </c>
      <c r="V196" s="758" t="s">
        <v>553</v>
      </c>
    </row>
    <row r="197" spans="1:22" x14ac:dyDescent="0.25">
      <c r="A197" s="758" t="s">
        <v>230</v>
      </c>
      <c r="B197" s="758" t="s">
        <v>1477</v>
      </c>
      <c r="G197" s="758" t="s">
        <v>1471</v>
      </c>
      <c r="H197" s="758" t="s">
        <v>1453</v>
      </c>
      <c r="I197" s="758" t="s">
        <v>842</v>
      </c>
      <c r="J197" s="758" t="s">
        <v>1505</v>
      </c>
      <c r="K197" s="299"/>
      <c r="M197" s="758" t="s">
        <v>295</v>
      </c>
      <c r="N197" s="758" t="s">
        <v>374</v>
      </c>
      <c r="O197" s="758" t="s">
        <v>289</v>
      </c>
      <c r="P197" s="299">
        <v>44</v>
      </c>
      <c r="Q197" s="299">
        <v>214</v>
      </c>
      <c r="U197" s="758" t="s">
        <v>1016</v>
      </c>
      <c r="V197" s="758" t="s">
        <v>553</v>
      </c>
    </row>
    <row r="198" spans="1:22" x14ac:dyDescent="0.25">
      <c r="A198" s="758" t="s">
        <v>230</v>
      </c>
      <c r="B198" s="758" t="s">
        <v>775</v>
      </c>
      <c r="G198" s="758" t="s">
        <v>1469</v>
      </c>
      <c r="H198" s="758" t="s">
        <v>1451</v>
      </c>
      <c r="I198" s="758" t="s">
        <v>499</v>
      </c>
      <c r="J198" s="758" t="s">
        <v>1505</v>
      </c>
      <c r="K198" s="299">
        <v>13</v>
      </c>
      <c r="M198" s="758" t="s">
        <v>291</v>
      </c>
      <c r="N198" s="758" t="s">
        <v>292</v>
      </c>
      <c r="O198" s="758" t="s">
        <v>289</v>
      </c>
      <c r="P198" s="299">
        <v>74</v>
      </c>
      <c r="Q198" s="299">
        <v>387</v>
      </c>
      <c r="U198" s="758" t="s">
        <v>1018</v>
      </c>
      <c r="V198" s="758" t="s">
        <v>553</v>
      </c>
    </row>
    <row r="199" spans="1:22" x14ac:dyDescent="0.25">
      <c r="A199" s="758" t="s">
        <v>237</v>
      </c>
      <c r="B199" s="758" t="s">
        <v>243</v>
      </c>
      <c r="G199" s="758" t="s">
        <v>271</v>
      </c>
      <c r="H199" s="758" t="s">
        <v>270</v>
      </c>
      <c r="I199" s="758" t="s">
        <v>499</v>
      </c>
      <c r="J199" s="136">
        <v>40909</v>
      </c>
      <c r="K199" s="299">
        <v>63</v>
      </c>
      <c r="M199" s="758" t="s">
        <v>234</v>
      </c>
      <c r="N199" s="758" t="s">
        <v>235</v>
      </c>
      <c r="O199" s="758" t="s">
        <v>230</v>
      </c>
      <c r="P199" s="299"/>
      <c r="Q199" s="299"/>
      <c r="U199" s="758" t="s">
        <v>1033</v>
      </c>
      <c r="V199" s="758" t="s">
        <v>553</v>
      </c>
    </row>
    <row r="200" spans="1:22" x14ac:dyDescent="0.25">
      <c r="A200" s="758" t="s">
        <v>237</v>
      </c>
      <c r="B200" s="758" t="s">
        <v>245</v>
      </c>
      <c r="G200" s="758" t="s">
        <v>20</v>
      </c>
      <c r="H200" s="758" t="s">
        <v>19</v>
      </c>
      <c r="I200" s="758" t="s">
        <v>499</v>
      </c>
      <c r="J200" s="136">
        <v>40848</v>
      </c>
      <c r="K200" s="299">
        <v>21</v>
      </c>
      <c r="M200" s="758" t="s">
        <v>147</v>
      </c>
      <c r="N200" s="758" t="s">
        <v>371</v>
      </c>
      <c r="O200" s="758" t="s">
        <v>146</v>
      </c>
      <c r="P200" s="299">
        <v>46</v>
      </c>
      <c r="Q200" s="299">
        <v>252</v>
      </c>
      <c r="U200" s="758" t="s">
        <v>1039</v>
      </c>
      <c r="V200" s="758" t="s">
        <v>12</v>
      </c>
    </row>
    <row r="201" spans="1:22" x14ac:dyDescent="0.25">
      <c r="A201" s="758" t="s">
        <v>237</v>
      </c>
      <c r="B201" s="758" t="s">
        <v>247</v>
      </c>
      <c r="G201" s="758" t="s">
        <v>108</v>
      </c>
      <c r="H201" s="758" t="s">
        <v>107</v>
      </c>
      <c r="I201" s="758" t="s">
        <v>499</v>
      </c>
      <c r="J201" s="136">
        <v>41487</v>
      </c>
      <c r="K201" s="299">
        <v>50</v>
      </c>
      <c r="M201" s="758" t="s">
        <v>148</v>
      </c>
      <c r="N201" s="758" t="s">
        <v>149</v>
      </c>
      <c r="O201" s="758" t="s">
        <v>146</v>
      </c>
      <c r="P201" s="299">
        <v>63</v>
      </c>
      <c r="Q201" s="299">
        <v>279</v>
      </c>
      <c r="U201" s="758" t="s">
        <v>1058</v>
      </c>
      <c r="V201" s="758" t="s">
        <v>553</v>
      </c>
    </row>
    <row r="202" spans="1:22" x14ac:dyDescent="0.25">
      <c r="A202" s="758" t="s">
        <v>237</v>
      </c>
      <c r="B202" s="758" t="s">
        <v>253</v>
      </c>
      <c r="G202" s="758" t="s">
        <v>183</v>
      </c>
      <c r="H202" s="758" t="s">
        <v>182</v>
      </c>
      <c r="I202" s="758" t="s">
        <v>842</v>
      </c>
      <c r="J202" s="136">
        <v>40969</v>
      </c>
      <c r="K202" s="299">
        <v>0</v>
      </c>
      <c r="M202" s="758" t="s">
        <v>165</v>
      </c>
      <c r="N202" s="758" t="s">
        <v>167</v>
      </c>
      <c r="O202" s="758" t="s">
        <v>166</v>
      </c>
      <c r="P202" s="299">
        <v>35</v>
      </c>
      <c r="Q202" s="299">
        <v>178</v>
      </c>
      <c r="U202" s="758" t="s">
        <v>1062</v>
      </c>
      <c r="V202" s="758" t="s">
        <v>553</v>
      </c>
    </row>
    <row r="203" spans="1:22" x14ac:dyDescent="0.25">
      <c r="A203" s="758" t="s">
        <v>237</v>
      </c>
      <c r="B203" s="758" t="s">
        <v>255</v>
      </c>
      <c r="G203" s="758" t="s">
        <v>593</v>
      </c>
      <c r="H203" s="758" t="s">
        <v>837</v>
      </c>
      <c r="I203" s="758" t="s">
        <v>499</v>
      </c>
      <c r="J203" s="136">
        <v>41365</v>
      </c>
      <c r="K203" s="299">
        <v>67</v>
      </c>
      <c r="M203" s="758" t="s">
        <v>168</v>
      </c>
      <c r="N203" s="758" t="s">
        <v>169</v>
      </c>
      <c r="O203" s="758" t="s">
        <v>230</v>
      </c>
      <c r="P203" s="299"/>
      <c r="Q203" s="299"/>
      <c r="U203" s="758" t="s">
        <v>288</v>
      </c>
      <c r="V203" s="758" t="s">
        <v>553</v>
      </c>
    </row>
    <row r="204" spans="1:22" x14ac:dyDescent="0.25">
      <c r="A204" s="758" t="s">
        <v>237</v>
      </c>
      <c r="B204" s="758" t="s">
        <v>257</v>
      </c>
      <c r="G204" s="758" t="s">
        <v>178</v>
      </c>
      <c r="H204" s="758" t="s">
        <v>177</v>
      </c>
      <c r="I204" s="758" t="s">
        <v>499</v>
      </c>
      <c r="J204" s="136">
        <v>40969</v>
      </c>
      <c r="K204" s="299">
        <v>12</v>
      </c>
      <c r="M204" s="758" t="s">
        <v>170</v>
      </c>
      <c r="N204" s="758" t="s">
        <v>171</v>
      </c>
      <c r="O204" s="758" t="s">
        <v>230</v>
      </c>
      <c r="P204" s="299"/>
      <c r="Q204" s="299"/>
      <c r="U204" s="758" t="s">
        <v>293</v>
      </c>
      <c r="V204" s="758" t="s">
        <v>553</v>
      </c>
    </row>
    <row r="205" spans="1:22" x14ac:dyDescent="0.25">
      <c r="A205" s="758" t="s">
        <v>237</v>
      </c>
      <c r="B205" s="758" t="s">
        <v>240</v>
      </c>
      <c r="G205" s="758" t="s">
        <v>889</v>
      </c>
      <c r="H205" s="758" t="s">
        <v>890</v>
      </c>
      <c r="I205" s="758" t="s">
        <v>842</v>
      </c>
      <c r="J205" s="136">
        <v>41487</v>
      </c>
      <c r="K205" s="299">
        <v>0</v>
      </c>
      <c r="M205" s="758" t="s">
        <v>232</v>
      </c>
      <c r="N205" s="758" t="s">
        <v>233</v>
      </c>
      <c r="O205" s="758" t="s">
        <v>230</v>
      </c>
      <c r="P205" s="299"/>
      <c r="Q205" s="299"/>
      <c r="U205" s="758" t="s">
        <v>295</v>
      </c>
      <c r="V205" s="758" t="s">
        <v>553</v>
      </c>
    </row>
    <row r="206" spans="1:22" x14ac:dyDescent="0.25">
      <c r="A206" s="758" t="s">
        <v>237</v>
      </c>
      <c r="B206" s="758" t="s">
        <v>285</v>
      </c>
      <c r="G206" s="758" t="s">
        <v>344</v>
      </c>
      <c r="H206" s="758" t="s">
        <v>343</v>
      </c>
      <c r="I206" s="758" t="s">
        <v>499</v>
      </c>
      <c r="J206" s="136">
        <v>41030</v>
      </c>
      <c r="K206" s="299">
        <v>20</v>
      </c>
      <c r="M206" s="758" t="s">
        <v>297</v>
      </c>
      <c r="N206" s="758" t="s">
        <v>820</v>
      </c>
      <c r="O206" s="758" t="s">
        <v>298</v>
      </c>
      <c r="P206" s="299">
        <v>44</v>
      </c>
      <c r="Q206" s="299">
        <v>186</v>
      </c>
      <c r="U206" s="758" t="s">
        <v>291</v>
      </c>
      <c r="V206" s="758" t="s">
        <v>553</v>
      </c>
    </row>
    <row r="207" spans="1:22" x14ac:dyDescent="0.25">
      <c r="A207" s="758" t="s">
        <v>237</v>
      </c>
      <c r="B207" s="758" t="s">
        <v>259</v>
      </c>
      <c r="G207" s="758" t="s">
        <v>287</v>
      </c>
      <c r="H207" s="758" t="s">
        <v>286</v>
      </c>
      <c r="I207" s="758" t="s">
        <v>499</v>
      </c>
      <c r="J207" s="136">
        <v>40940</v>
      </c>
      <c r="K207" s="299">
        <v>19</v>
      </c>
      <c r="M207" s="758" t="s">
        <v>382</v>
      </c>
      <c r="N207" s="758" t="s">
        <v>372</v>
      </c>
      <c r="O207" s="758" t="s">
        <v>146</v>
      </c>
      <c r="P207" s="299"/>
      <c r="Q207" s="299"/>
      <c r="U207" s="758" t="s">
        <v>234</v>
      </c>
      <c r="V207" s="758" t="s">
        <v>12</v>
      </c>
    </row>
    <row r="208" spans="1:22" x14ac:dyDescent="0.25">
      <c r="A208" s="758" t="s">
        <v>237</v>
      </c>
      <c r="B208" s="758" t="s">
        <v>261</v>
      </c>
      <c r="G208" s="758" t="s">
        <v>1235</v>
      </c>
      <c r="H208" s="758" t="s">
        <v>360</v>
      </c>
      <c r="I208" s="758" t="s">
        <v>842</v>
      </c>
      <c r="J208" s="758" t="s">
        <v>1505</v>
      </c>
      <c r="K208" s="299"/>
      <c r="M208" s="758" t="s">
        <v>383</v>
      </c>
      <c r="N208" s="758" t="s">
        <v>369</v>
      </c>
      <c r="O208" s="758" t="s">
        <v>146</v>
      </c>
      <c r="P208" s="299">
        <v>57</v>
      </c>
      <c r="Q208" s="299">
        <v>280</v>
      </c>
      <c r="U208" s="758" t="s">
        <v>147</v>
      </c>
      <c r="V208" s="758" t="s">
        <v>553</v>
      </c>
    </row>
    <row r="209" spans="1:22" x14ac:dyDescent="0.25">
      <c r="A209" s="758" t="s">
        <v>237</v>
      </c>
      <c r="B209" s="758" t="s">
        <v>263</v>
      </c>
      <c r="G209" s="758" t="s">
        <v>1285</v>
      </c>
      <c r="H209" s="758" t="s">
        <v>1286</v>
      </c>
      <c r="I209" s="758" t="s">
        <v>499</v>
      </c>
      <c r="J209" s="136">
        <v>42036</v>
      </c>
      <c r="K209" s="299">
        <v>73</v>
      </c>
      <c r="M209" s="758" t="s">
        <v>384</v>
      </c>
      <c r="N209" s="758" t="s">
        <v>370</v>
      </c>
      <c r="O209" s="758" t="s">
        <v>146</v>
      </c>
      <c r="P209" s="299">
        <v>30</v>
      </c>
      <c r="Q209" s="299">
        <v>145</v>
      </c>
      <c r="U209" s="758" t="s">
        <v>148</v>
      </c>
      <c r="V209" s="758" t="s">
        <v>553</v>
      </c>
    </row>
    <row r="210" spans="1:22" x14ac:dyDescent="0.25">
      <c r="A210" s="758" t="s">
        <v>237</v>
      </c>
      <c r="B210" s="758" t="s">
        <v>265</v>
      </c>
      <c r="G210" s="758" t="s">
        <v>1302</v>
      </c>
      <c r="H210" s="758" t="s">
        <v>1303</v>
      </c>
      <c r="I210" s="758" t="s">
        <v>499</v>
      </c>
      <c r="J210" s="136">
        <v>42036</v>
      </c>
      <c r="K210" s="299">
        <v>105</v>
      </c>
      <c r="M210" s="758" t="s">
        <v>385</v>
      </c>
      <c r="N210" s="758" t="s">
        <v>368</v>
      </c>
      <c r="O210" s="758" t="s">
        <v>146</v>
      </c>
      <c r="P210" s="299">
        <v>68</v>
      </c>
      <c r="Q210" s="299">
        <v>305</v>
      </c>
      <c r="U210" s="758" t="s">
        <v>165</v>
      </c>
      <c r="V210" s="758" t="s">
        <v>553</v>
      </c>
    </row>
    <row r="211" spans="1:22" x14ac:dyDescent="0.25">
      <c r="A211" s="758" t="s">
        <v>237</v>
      </c>
      <c r="B211" s="758" t="s">
        <v>267</v>
      </c>
      <c r="G211" s="758" t="s">
        <v>110</v>
      </c>
      <c r="H211" s="758" t="s">
        <v>109</v>
      </c>
      <c r="I211" s="758" t="s">
        <v>842</v>
      </c>
      <c r="J211" s="136">
        <v>41122</v>
      </c>
      <c r="K211" s="299">
        <v>0</v>
      </c>
      <c r="M211" s="758" t="s">
        <v>386</v>
      </c>
      <c r="N211" s="758" t="s">
        <v>367</v>
      </c>
      <c r="O211" s="758" t="s">
        <v>146</v>
      </c>
      <c r="P211" s="299">
        <v>0</v>
      </c>
      <c r="Q211" s="299">
        <v>0</v>
      </c>
      <c r="U211" s="758" t="s">
        <v>168</v>
      </c>
      <c r="V211" s="758" t="s">
        <v>12</v>
      </c>
    </row>
    <row r="212" spans="1:22" x14ac:dyDescent="0.25">
      <c r="A212" s="758" t="s">
        <v>237</v>
      </c>
      <c r="B212" s="758" t="s">
        <v>271</v>
      </c>
      <c r="G212" s="758" t="s">
        <v>112</v>
      </c>
      <c r="H212" s="758" t="s">
        <v>111</v>
      </c>
      <c r="I212" s="758" t="s">
        <v>842</v>
      </c>
      <c r="J212" s="758" t="s">
        <v>1505</v>
      </c>
      <c r="K212" s="299">
        <v>0</v>
      </c>
      <c r="M212" s="758" t="s">
        <v>387</v>
      </c>
      <c r="N212" s="758" t="s">
        <v>373</v>
      </c>
      <c r="O212" s="758" t="s">
        <v>146</v>
      </c>
      <c r="P212" s="299">
        <v>186</v>
      </c>
      <c r="Q212" s="299">
        <v>951</v>
      </c>
      <c r="U212" s="758" t="s">
        <v>170</v>
      </c>
      <c r="V212" s="758" t="s">
        <v>12</v>
      </c>
    </row>
    <row r="213" spans="1:22" x14ac:dyDescent="0.25">
      <c r="A213" s="758" t="s">
        <v>237</v>
      </c>
      <c r="B213" s="758" t="s">
        <v>269</v>
      </c>
      <c r="G213" s="758" t="s">
        <v>215</v>
      </c>
      <c r="H213" s="758" t="s">
        <v>214</v>
      </c>
      <c r="I213" s="758" t="s">
        <v>499</v>
      </c>
      <c r="J213" s="136">
        <v>41000</v>
      </c>
      <c r="K213" s="299">
        <v>358</v>
      </c>
      <c r="M213" s="758" t="s">
        <v>388</v>
      </c>
      <c r="N213" s="758" t="s">
        <v>231</v>
      </c>
      <c r="O213" s="758" t="s">
        <v>230</v>
      </c>
      <c r="P213" s="299">
        <v>32</v>
      </c>
      <c r="Q213" s="299">
        <v>187</v>
      </c>
      <c r="U213" s="758" t="s">
        <v>232</v>
      </c>
      <c r="V213" s="758" t="s">
        <v>553</v>
      </c>
    </row>
    <row r="214" spans="1:22" x14ac:dyDescent="0.25">
      <c r="A214" s="758" t="s">
        <v>237</v>
      </c>
      <c r="B214" s="758" t="s">
        <v>273</v>
      </c>
      <c r="G214" s="758" t="s">
        <v>217</v>
      </c>
      <c r="H214" s="758" t="s">
        <v>216</v>
      </c>
      <c r="I214" s="758" t="s">
        <v>842</v>
      </c>
      <c r="J214" s="136">
        <v>40817</v>
      </c>
      <c r="K214" s="299"/>
      <c r="M214" s="758" t="s">
        <v>389</v>
      </c>
      <c r="N214" s="758" t="s">
        <v>375</v>
      </c>
      <c r="O214" s="758" t="s">
        <v>289</v>
      </c>
      <c r="P214" s="299">
        <v>0</v>
      </c>
      <c r="Q214" s="299">
        <v>0</v>
      </c>
      <c r="U214" s="758" t="s">
        <v>297</v>
      </c>
      <c r="V214" s="758" t="s">
        <v>553</v>
      </c>
    </row>
    <row r="215" spans="1:22" x14ac:dyDescent="0.25">
      <c r="A215" s="758" t="s">
        <v>237</v>
      </c>
      <c r="B215" s="758" t="s">
        <v>277</v>
      </c>
      <c r="G215" s="758" t="s">
        <v>269</v>
      </c>
      <c r="H215" s="758" t="s">
        <v>268</v>
      </c>
      <c r="I215" s="758" t="s">
        <v>499</v>
      </c>
      <c r="J215" s="136">
        <v>40695</v>
      </c>
      <c r="K215" s="299">
        <v>65</v>
      </c>
      <c r="M215" s="758" t="s">
        <v>836</v>
      </c>
      <c r="N215" s="758" t="s">
        <v>361</v>
      </c>
      <c r="O215" s="758" t="s">
        <v>230</v>
      </c>
      <c r="P215" s="299">
        <v>9</v>
      </c>
      <c r="Q215" s="299">
        <v>44</v>
      </c>
      <c r="U215" s="758" t="s">
        <v>382</v>
      </c>
      <c r="V215" s="758" t="s">
        <v>553</v>
      </c>
    </row>
    <row r="216" spans="1:22" x14ac:dyDescent="0.25">
      <c r="A216" s="758" t="s">
        <v>237</v>
      </c>
      <c r="B216" s="758" t="s">
        <v>279</v>
      </c>
      <c r="G216" s="758" t="s">
        <v>229</v>
      </c>
      <c r="H216" s="758" t="s">
        <v>228</v>
      </c>
      <c r="I216" s="758" t="s">
        <v>499</v>
      </c>
      <c r="J216" s="136">
        <v>41122</v>
      </c>
      <c r="K216" s="299">
        <v>49</v>
      </c>
      <c r="M216" s="758" t="s">
        <v>837</v>
      </c>
      <c r="N216" s="758" t="s">
        <v>593</v>
      </c>
      <c r="O216" s="758" t="s">
        <v>778</v>
      </c>
      <c r="P216" s="299">
        <v>67</v>
      </c>
      <c r="Q216" s="299">
        <v>392</v>
      </c>
      <c r="U216" s="758" t="s">
        <v>383</v>
      </c>
      <c r="V216" s="758" t="s">
        <v>553</v>
      </c>
    </row>
    <row r="217" spans="1:22" x14ac:dyDescent="0.25">
      <c r="A217" s="758" t="s">
        <v>237</v>
      </c>
      <c r="B217" s="758" t="s">
        <v>281</v>
      </c>
      <c r="G217" s="758" t="s">
        <v>273</v>
      </c>
      <c r="H217" s="758" t="s">
        <v>272</v>
      </c>
      <c r="I217" s="758" t="s">
        <v>499</v>
      </c>
      <c r="J217" s="136">
        <v>41244</v>
      </c>
      <c r="K217" s="299">
        <v>49</v>
      </c>
      <c r="M217" s="758" t="s">
        <v>822</v>
      </c>
      <c r="N217" s="758" t="s">
        <v>821</v>
      </c>
      <c r="O217" s="758" t="s">
        <v>166</v>
      </c>
      <c r="P217" s="299">
        <v>29</v>
      </c>
      <c r="Q217" s="299">
        <v>178</v>
      </c>
      <c r="U217" s="758" t="s">
        <v>384</v>
      </c>
      <c r="V217" s="758" t="s">
        <v>553</v>
      </c>
    </row>
    <row r="218" spans="1:22" x14ac:dyDescent="0.25">
      <c r="A218" s="758" t="s">
        <v>237</v>
      </c>
      <c r="B218" s="758" t="s">
        <v>238</v>
      </c>
      <c r="G218" s="758" t="s">
        <v>219</v>
      </c>
      <c r="H218" s="758" t="s">
        <v>218</v>
      </c>
      <c r="I218" s="758" t="s">
        <v>499</v>
      </c>
      <c r="J218" s="136">
        <v>41000</v>
      </c>
      <c r="K218" s="299">
        <v>597</v>
      </c>
      <c r="M218" s="758" t="s">
        <v>823</v>
      </c>
      <c r="N218" s="758" t="s">
        <v>592</v>
      </c>
      <c r="O218" s="758" t="s">
        <v>298</v>
      </c>
      <c r="P218" s="299">
        <v>118</v>
      </c>
      <c r="Q218" s="299">
        <v>520</v>
      </c>
      <c r="U218" s="758" t="s">
        <v>385</v>
      </c>
      <c r="V218" s="758" t="s">
        <v>553</v>
      </c>
    </row>
    <row r="219" spans="1:22" x14ac:dyDescent="0.25">
      <c r="A219" s="758" t="s">
        <v>237</v>
      </c>
      <c r="B219" s="758" t="s">
        <v>249</v>
      </c>
      <c r="G219" s="758" t="s">
        <v>1231</v>
      </c>
      <c r="H219" s="758" t="s">
        <v>345</v>
      </c>
      <c r="I219" s="758" t="s">
        <v>499</v>
      </c>
      <c r="J219" s="136">
        <v>40725</v>
      </c>
      <c r="K219" s="299">
        <v>186</v>
      </c>
      <c r="M219" s="758" t="s">
        <v>930</v>
      </c>
      <c r="N219" s="758" t="s">
        <v>929</v>
      </c>
      <c r="O219" s="758" t="s">
        <v>146</v>
      </c>
      <c r="P219" s="299">
        <v>0</v>
      </c>
      <c r="Q219" s="299">
        <v>0</v>
      </c>
      <c r="U219" s="758" t="s">
        <v>386</v>
      </c>
      <c r="V219" s="758" t="s">
        <v>553</v>
      </c>
    </row>
    <row r="220" spans="1:22" x14ac:dyDescent="0.25">
      <c r="A220" s="758" t="s">
        <v>237</v>
      </c>
      <c r="B220" s="758" t="s">
        <v>251</v>
      </c>
      <c r="G220" s="758" t="s">
        <v>1397</v>
      </c>
      <c r="H220" s="758" t="s">
        <v>1380</v>
      </c>
      <c r="I220" s="758" t="s">
        <v>499</v>
      </c>
      <c r="J220" s="136">
        <v>42370</v>
      </c>
      <c r="K220" s="299">
        <v>19</v>
      </c>
      <c r="M220" s="758" t="s">
        <v>932</v>
      </c>
      <c r="N220" s="758" t="s">
        <v>931</v>
      </c>
      <c r="O220" s="758" t="s">
        <v>146</v>
      </c>
      <c r="P220" s="299">
        <v>0</v>
      </c>
      <c r="Q220" s="299">
        <v>0</v>
      </c>
      <c r="U220" s="758" t="s">
        <v>387</v>
      </c>
      <c r="V220" s="758" t="s">
        <v>553</v>
      </c>
    </row>
    <row r="221" spans="1:22" x14ac:dyDescent="0.25">
      <c r="A221" s="758" t="s">
        <v>237</v>
      </c>
      <c r="B221" s="758" t="s">
        <v>275</v>
      </c>
      <c r="G221" s="758" t="s">
        <v>863</v>
      </c>
      <c r="H221" s="758" t="s">
        <v>862</v>
      </c>
      <c r="I221" s="758" t="s">
        <v>499</v>
      </c>
      <c r="J221" s="136">
        <v>41091</v>
      </c>
      <c r="K221" s="299">
        <v>57</v>
      </c>
      <c r="M221" s="758" t="s">
        <v>940</v>
      </c>
      <c r="N221" s="758" t="s">
        <v>941</v>
      </c>
      <c r="O221" s="758" t="s">
        <v>151</v>
      </c>
      <c r="P221" s="299">
        <v>174</v>
      </c>
      <c r="Q221" s="299">
        <v>779</v>
      </c>
      <c r="U221" s="758" t="s">
        <v>388</v>
      </c>
      <c r="V221" s="758" t="s">
        <v>12</v>
      </c>
    </row>
    <row r="222" spans="1:22" x14ac:dyDescent="0.25">
      <c r="A222" s="758" t="s">
        <v>237</v>
      </c>
      <c r="B222" s="758" t="s">
        <v>283</v>
      </c>
      <c r="G222" s="758" t="s">
        <v>114</v>
      </c>
      <c r="H222" s="758" t="s">
        <v>113</v>
      </c>
      <c r="I222" s="758" t="s">
        <v>842</v>
      </c>
      <c r="J222" s="758" t="s">
        <v>1505</v>
      </c>
      <c r="K222" s="299">
        <v>0</v>
      </c>
      <c r="M222" s="758" t="s">
        <v>1016</v>
      </c>
      <c r="N222" s="758" t="s">
        <v>1019</v>
      </c>
      <c r="O222" s="758" t="s">
        <v>5</v>
      </c>
      <c r="P222" s="299"/>
      <c r="Q222" s="299"/>
      <c r="U222" s="758" t="s">
        <v>389</v>
      </c>
      <c r="V222" s="758" t="s">
        <v>553</v>
      </c>
    </row>
    <row r="223" spans="1:22" x14ac:dyDescent="0.25">
      <c r="A223" s="758" t="s">
        <v>237</v>
      </c>
      <c r="B223" s="758" t="s">
        <v>1232</v>
      </c>
      <c r="G223" s="758" t="s">
        <v>366</v>
      </c>
      <c r="H223" s="758" t="s">
        <v>376</v>
      </c>
      <c r="I223" s="758" t="s">
        <v>499</v>
      </c>
      <c r="J223" s="136">
        <v>41275</v>
      </c>
      <c r="K223" s="299">
        <v>153</v>
      </c>
      <c r="M223" s="758" t="s">
        <v>1018</v>
      </c>
      <c r="N223" s="758" t="s">
        <v>1017</v>
      </c>
      <c r="O223" s="758" t="s">
        <v>27</v>
      </c>
      <c r="P223" s="299">
        <v>31</v>
      </c>
      <c r="Q223" s="299">
        <v>176</v>
      </c>
      <c r="U223" s="758" t="s">
        <v>836</v>
      </c>
      <c r="V223" s="758" t="s">
        <v>553</v>
      </c>
    </row>
    <row r="224" spans="1:22" x14ac:dyDescent="0.25">
      <c r="A224" s="758" t="s">
        <v>289</v>
      </c>
      <c r="B224" s="758" t="s">
        <v>292</v>
      </c>
      <c r="G224" s="758" t="s">
        <v>221</v>
      </c>
      <c r="H224" s="758" t="s">
        <v>220</v>
      </c>
      <c r="I224" s="758" t="s">
        <v>842</v>
      </c>
      <c r="J224" s="758" t="s">
        <v>1505</v>
      </c>
      <c r="K224" s="299"/>
      <c r="M224" s="758" t="s">
        <v>1033</v>
      </c>
      <c r="N224" s="758" t="s">
        <v>1032</v>
      </c>
      <c r="O224" s="758" t="s">
        <v>151</v>
      </c>
      <c r="P224" s="299"/>
      <c r="Q224" s="299"/>
      <c r="U224" s="758" t="s">
        <v>837</v>
      </c>
      <c r="V224" s="758" t="s">
        <v>12</v>
      </c>
    </row>
    <row r="225" spans="1:22" x14ac:dyDescent="0.25">
      <c r="A225" s="758" t="s">
        <v>289</v>
      </c>
      <c r="B225" s="758" t="s">
        <v>290</v>
      </c>
      <c r="G225" s="758" t="s">
        <v>355</v>
      </c>
      <c r="H225" s="758" t="s">
        <v>354</v>
      </c>
      <c r="I225" s="758" t="s">
        <v>499</v>
      </c>
      <c r="J225" s="136">
        <v>40848</v>
      </c>
      <c r="K225" s="299">
        <v>100</v>
      </c>
      <c r="M225" s="758" t="s">
        <v>1039</v>
      </c>
      <c r="N225" s="758" t="s">
        <v>1038</v>
      </c>
      <c r="O225" s="758" t="s">
        <v>300</v>
      </c>
      <c r="P225" s="299">
        <v>10</v>
      </c>
      <c r="Q225" s="299">
        <v>56</v>
      </c>
      <c r="U225" s="758" t="s">
        <v>822</v>
      </c>
      <c r="V225" s="758" t="s">
        <v>553</v>
      </c>
    </row>
    <row r="226" spans="1:22" x14ac:dyDescent="0.25">
      <c r="A226" s="758" t="s">
        <v>289</v>
      </c>
      <c r="B226" s="758" t="s">
        <v>374</v>
      </c>
      <c r="G226" s="758" t="s">
        <v>318</v>
      </c>
      <c r="H226" s="758" t="s">
        <v>317</v>
      </c>
      <c r="I226" s="758" t="s">
        <v>499</v>
      </c>
      <c r="J226" s="136">
        <v>40725</v>
      </c>
      <c r="K226" s="299">
        <v>111</v>
      </c>
      <c r="M226" s="758" t="s">
        <v>1050</v>
      </c>
      <c r="N226" s="758" t="s">
        <v>1049</v>
      </c>
      <c r="O226" s="758" t="s">
        <v>230</v>
      </c>
      <c r="P226" s="299">
        <v>44</v>
      </c>
      <c r="Q226" s="299">
        <v>214</v>
      </c>
      <c r="U226" s="758" t="s">
        <v>823</v>
      </c>
      <c r="V226" s="758" t="s">
        <v>12</v>
      </c>
    </row>
    <row r="227" spans="1:22" x14ac:dyDescent="0.25">
      <c r="A227" s="758" t="s">
        <v>289</v>
      </c>
      <c r="B227" s="758" t="s">
        <v>375</v>
      </c>
      <c r="G227" s="758" t="s">
        <v>342</v>
      </c>
      <c r="H227" s="758" t="s">
        <v>341</v>
      </c>
      <c r="I227" s="758" t="s">
        <v>499</v>
      </c>
      <c r="J227" s="136">
        <v>40695</v>
      </c>
      <c r="K227" s="299">
        <v>65</v>
      </c>
      <c r="M227" s="758" t="s">
        <v>1052</v>
      </c>
      <c r="N227" s="758" t="s">
        <v>1051</v>
      </c>
      <c r="O227" s="758" t="s">
        <v>289</v>
      </c>
      <c r="P227" s="299">
        <v>36</v>
      </c>
      <c r="Q227" s="299">
        <v>179</v>
      </c>
      <c r="U227" s="758" t="s">
        <v>930</v>
      </c>
      <c r="V227" s="758" t="s">
        <v>553</v>
      </c>
    </row>
    <row r="228" spans="1:22" x14ac:dyDescent="0.25">
      <c r="A228" s="758" t="s">
        <v>289</v>
      </c>
      <c r="B228" s="758" t="s">
        <v>294</v>
      </c>
      <c r="G228" s="758" t="s">
        <v>338</v>
      </c>
      <c r="H228" s="758" t="s">
        <v>337</v>
      </c>
      <c r="I228" s="758" t="s">
        <v>499</v>
      </c>
      <c r="J228" s="136">
        <v>40695</v>
      </c>
      <c r="K228" s="299">
        <v>31</v>
      </c>
      <c r="M228" s="758" t="s">
        <v>1056</v>
      </c>
      <c r="N228" s="758" t="s">
        <v>1063</v>
      </c>
      <c r="O228" s="758" t="s">
        <v>289</v>
      </c>
      <c r="P228" s="299">
        <v>120</v>
      </c>
      <c r="Q228" s="299">
        <v>563</v>
      </c>
      <c r="U228" s="758" t="s">
        <v>932</v>
      </c>
      <c r="V228" s="758" t="s">
        <v>553</v>
      </c>
    </row>
    <row r="229" spans="1:22" x14ac:dyDescent="0.25">
      <c r="A229" s="758" t="s">
        <v>289</v>
      </c>
      <c r="B229" s="758" t="s">
        <v>1051</v>
      </c>
      <c r="G229" s="758" t="s">
        <v>351</v>
      </c>
      <c r="H229" s="758" t="s">
        <v>350</v>
      </c>
      <c r="I229" s="758" t="s">
        <v>499</v>
      </c>
      <c r="J229" s="136">
        <v>40940</v>
      </c>
      <c r="K229" s="299">
        <v>92</v>
      </c>
      <c r="M229" s="758" t="s">
        <v>1058</v>
      </c>
      <c r="N229" s="758" t="s">
        <v>1057</v>
      </c>
      <c r="O229" s="758" t="s">
        <v>151</v>
      </c>
      <c r="P229" s="299">
        <v>145</v>
      </c>
      <c r="Q229" s="299">
        <v>654</v>
      </c>
      <c r="U229" s="758" t="s">
        <v>1050</v>
      </c>
      <c r="V229" s="758" t="s">
        <v>553</v>
      </c>
    </row>
    <row r="230" spans="1:22" x14ac:dyDescent="0.25">
      <c r="A230" s="758" t="s">
        <v>289</v>
      </c>
      <c r="B230" s="758" t="s">
        <v>1063</v>
      </c>
      <c r="G230" s="758" t="s">
        <v>118</v>
      </c>
      <c r="H230" s="758" t="s">
        <v>117</v>
      </c>
      <c r="I230" s="758" t="s">
        <v>499</v>
      </c>
      <c r="J230" s="136">
        <v>41275</v>
      </c>
      <c r="K230" s="299">
        <v>9</v>
      </c>
      <c r="M230" s="758" t="s">
        <v>1060</v>
      </c>
      <c r="N230" s="758" t="s">
        <v>1059</v>
      </c>
      <c r="O230" s="758" t="s">
        <v>230</v>
      </c>
      <c r="P230" s="299">
        <v>25</v>
      </c>
      <c r="Q230" s="299">
        <v>113</v>
      </c>
      <c r="U230" s="758" t="s">
        <v>1052</v>
      </c>
      <c r="V230" s="758" t="s">
        <v>553</v>
      </c>
    </row>
    <row r="231" spans="1:22" x14ac:dyDescent="0.25">
      <c r="A231" s="758" t="s">
        <v>289</v>
      </c>
      <c r="B231" s="758" t="s">
        <v>1388</v>
      </c>
      <c r="G231" s="758" t="s">
        <v>22</v>
      </c>
      <c r="H231" s="758" t="s">
        <v>21</v>
      </c>
      <c r="I231" s="758" t="s">
        <v>499</v>
      </c>
      <c r="J231" s="136">
        <v>40725</v>
      </c>
      <c r="K231" s="299">
        <v>638</v>
      </c>
      <c r="M231" s="758" t="s">
        <v>1062</v>
      </c>
      <c r="N231" s="758" t="s">
        <v>1061</v>
      </c>
      <c r="O231" s="758" t="s">
        <v>526</v>
      </c>
      <c r="P231" s="299">
        <v>103</v>
      </c>
      <c r="Q231" s="299">
        <v>497</v>
      </c>
      <c r="U231" s="758" t="s">
        <v>1056</v>
      </c>
      <c r="V231" s="758" t="s">
        <v>553</v>
      </c>
    </row>
    <row r="232" spans="1:22" x14ac:dyDescent="0.25">
      <c r="A232" s="758" t="s">
        <v>289</v>
      </c>
      <c r="B232" s="758" t="s">
        <v>1389</v>
      </c>
      <c r="G232" s="758" t="s">
        <v>122</v>
      </c>
      <c r="H232" s="758" t="s">
        <v>121</v>
      </c>
      <c r="I232" s="758" t="s">
        <v>842</v>
      </c>
      <c r="J232" s="758" t="s">
        <v>1505</v>
      </c>
      <c r="K232" s="299">
        <v>0</v>
      </c>
      <c r="M232" s="758" t="s">
        <v>1091</v>
      </c>
      <c r="N232" s="758" t="s">
        <v>1090</v>
      </c>
      <c r="O232" s="758" t="s">
        <v>151</v>
      </c>
      <c r="P232" s="299">
        <v>117</v>
      </c>
      <c r="Q232" s="299">
        <v>545</v>
      </c>
      <c r="U232" s="758" t="s">
        <v>1060</v>
      </c>
      <c r="V232" s="758" t="s">
        <v>553</v>
      </c>
    </row>
    <row r="233" spans="1:22" x14ac:dyDescent="0.25">
      <c r="A233" s="758" t="s">
        <v>298</v>
      </c>
      <c r="B233" s="758" t="s">
        <v>820</v>
      </c>
      <c r="G233" s="758" t="s">
        <v>124</v>
      </c>
      <c r="H233" s="758" t="s">
        <v>123</v>
      </c>
      <c r="I233" s="758" t="s">
        <v>499</v>
      </c>
      <c r="J233" s="136">
        <v>41275</v>
      </c>
      <c r="K233" s="299">
        <v>8</v>
      </c>
      <c r="M233" s="758" t="s">
        <v>1096</v>
      </c>
      <c r="N233" s="758" t="s">
        <v>1097</v>
      </c>
      <c r="O233" s="758" t="s">
        <v>146</v>
      </c>
      <c r="P233" s="299">
        <v>22</v>
      </c>
      <c r="Q233" s="299">
        <v>105</v>
      </c>
      <c r="U233" s="758" t="s">
        <v>1091</v>
      </c>
      <c r="V233" s="758" t="s">
        <v>553</v>
      </c>
    </row>
    <row r="234" spans="1:22" x14ac:dyDescent="0.25">
      <c r="A234" s="758" t="s">
        <v>298</v>
      </c>
      <c r="B234" s="758" t="s">
        <v>592</v>
      </c>
      <c r="G234" s="758" t="s">
        <v>1287</v>
      </c>
      <c r="H234" s="758" t="s">
        <v>1288</v>
      </c>
      <c r="I234" s="758" t="s">
        <v>499</v>
      </c>
      <c r="J234" s="136">
        <v>42036</v>
      </c>
      <c r="K234" s="299">
        <v>63</v>
      </c>
      <c r="M234" s="758" t="s">
        <v>1116</v>
      </c>
      <c r="N234" s="758" t="s">
        <v>1115</v>
      </c>
      <c r="O234" s="758" t="s">
        <v>526</v>
      </c>
      <c r="P234" s="299"/>
      <c r="Q234" s="299"/>
      <c r="U234" s="758" t="s">
        <v>1096</v>
      </c>
      <c r="V234" s="758" t="s">
        <v>553</v>
      </c>
    </row>
    <row r="235" spans="1:22" x14ac:dyDescent="0.25">
      <c r="A235" s="758" t="s">
        <v>298</v>
      </c>
      <c r="B235" s="758" t="s">
        <v>1397</v>
      </c>
      <c r="G235" s="758" t="s">
        <v>96</v>
      </c>
      <c r="H235" s="758" t="s">
        <v>95</v>
      </c>
      <c r="I235" s="758" t="s">
        <v>842</v>
      </c>
      <c r="J235" s="758" t="s">
        <v>1505</v>
      </c>
      <c r="K235" s="299">
        <v>0</v>
      </c>
      <c r="M235" s="758" t="s">
        <v>1152</v>
      </c>
      <c r="N235" s="758" t="s">
        <v>1150</v>
      </c>
      <c r="O235" s="758" t="s">
        <v>180</v>
      </c>
      <c r="P235" s="299">
        <v>26</v>
      </c>
      <c r="Q235" s="299">
        <v>119</v>
      </c>
      <c r="U235" s="758" t="s">
        <v>1116</v>
      </c>
      <c r="V235" s="758" t="s">
        <v>553</v>
      </c>
    </row>
    <row r="236" spans="1:22" x14ac:dyDescent="0.25">
      <c r="A236" s="758" t="s">
        <v>298</v>
      </c>
      <c r="B236" s="758" t="s">
        <v>1467</v>
      </c>
      <c r="G236" s="758" t="s">
        <v>1265</v>
      </c>
      <c r="H236" s="758" t="s">
        <v>1257</v>
      </c>
      <c r="I236" s="758" t="s">
        <v>842</v>
      </c>
      <c r="J236" s="136">
        <v>42125</v>
      </c>
      <c r="K236" s="299"/>
      <c r="M236" s="758" t="s">
        <v>1153</v>
      </c>
      <c r="N236" s="758" t="s">
        <v>1151</v>
      </c>
      <c r="O236" s="758" t="s">
        <v>180</v>
      </c>
      <c r="P236" s="299">
        <v>14</v>
      </c>
      <c r="Q236" s="299">
        <v>57</v>
      </c>
      <c r="U236" s="758" t="s">
        <v>1152</v>
      </c>
      <c r="V236" s="758" t="s">
        <v>12</v>
      </c>
    </row>
    <row r="237" spans="1:22" x14ac:dyDescent="0.25">
      <c r="A237" s="758" t="s">
        <v>298</v>
      </c>
      <c r="B237" s="758" t="s">
        <v>1469</v>
      </c>
      <c r="G237" s="758" t="s">
        <v>1264</v>
      </c>
      <c r="H237" s="758" t="s">
        <v>1258</v>
      </c>
      <c r="I237" s="758" t="s">
        <v>499</v>
      </c>
      <c r="J237" s="136">
        <v>42125</v>
      </c>
      <c r="K237" s="299">
        <v>28</v>
      </c>
      <c r="M237" s="758" t="s">
        <v>1246</v>
      </c>
      <c r="N237" s="758" t="s">
        <v>1262</v>
      </c>
      <c r="O237" s="758" t="s">
        <v>778</v>
      </c>
      <c r="P237" s="299">
        <v>34</v>
      </c>
      <c r="Q237" s="299">
        <v>185</v>
      </c>
      <c r="U237" s="758" t="s">
        <v>1153</v>
      </c>
      <c r="V237" s="758" t="s">
        <v>12</v>
      </c>
    </row>
    <row r="238" spans="1:22" x14ac:dyDescent="0.25">
      <c r="A238" s="758" t="s">
        <v>298</v>
      </c>
      <c r="B238" s="758" t="s">
        <v>1470</v>
      </c>
      <c r="G238" s="758" t="s">
        <v>1017</v>
      </c>
      <c r="H238" s="758" t="s">
        <v>1018</v>
      </c>
      <c r="I238" s="758" t="s">
        <v>499</v>
      </c>
      <c r="J238" s="136">
        <v>41091</v>
      </c>
      <c r="K238" s="299">
        <v>31</v>
      </c>
      <c r="M238" s="758" t="s">
        <v>1247</v>
      </c>
      <c r="N238" s="758" t="s">
        <v>1248</v>
      </c>
      <c r="O238" s="758" t="s">
        <v>300</v>
      </c>
      <c r="P238" s="299">
        <v>61</v>
      </c>
      <c r="Q238" s="299">
        <v>276</v>
      </c>
      <c r="U238" s="758" t="s">
        <v>1246</v>
      </c>
      <c r="V238" s="758" t="s">
        <v>553</v>
      </c>
    </row>
    <row r="239" spans="1:22" x14ac:dyDescent="0.25">
      <c r="A239" s="758" t="s">
        <v>298</v>
      </c>
      <c r="B239" s="758" t="s">
        <v>1471</v>
      </c>
      <c r="G239" s="758" t="s">
        <v>225</v>
      </c>
      <c r="H239" s="758" t="s">
        <v>224</v>
      </c>
      <c r="I239" s="758" t="s">
        <v>499</v>
      </c>
      <c r="J239" s="136">
        <v>41122</v>
      </c>
      <c r="K239" s="299">
        <v>41</v>
      </c>
      <c r="M239" s="758" t="s">
        <v>1257</v>
      </c>
      <c r="N239" s="758" t="s">
        <v>1265</v>
      </c>
      <c r="O239" s="758" t="s">
        <v>173</v>
      </c>
      <c r="P239" s="299"/>
      <c r="Q239" s="299"/>
      <c r="U239" s="758" t="s">
        <v>1247</v>
      </c>
      <c r="V239" s="758" t="s">
        <v>553</v>
      </c>
    </row>
    <row r="240" spans="1:22" x14ac:dyDescent="0.25">
      <c r="A240" s="758" t="s">
        <v>298</v>
      </c>
      <c r="B240" s="758" t="s">
        <v>1472</v>
      </c>
      <c r="G240" s="758" t="s">
        <v>1568</v>
      </c>
      <c r="H240" s="758" t="s">
        <v>1565</v>
      </c>
      <c r="I240" s="758" t="s">
        <v>499</v>
      </c>
      <c r="J240" s="136">
        <v>42752</v>
      </c>
      <c r="K240" s="299">
        <v>402</v>
      </c>
      <c r="M240" s="758" t="s">
        <v>1258</v>
      </c>
      <c r="N240" s="758" t="s">
        <v>1264</v>
      </c>
      <c r="O240" s="758" t="s">
        <v>173</v>
      </c>
      <c r="P240" s="299">
        <v>28</v>
      </c>
      <c r="Q240" s="299">
        <v>134</v>
      </c>
      <c r="U240" s="758" t="s">
        <v>1257</v>
      </c>
      <c r="V240" s="758" t="s">
        <v>12</v>
      </c>
    </row>
    <row r="241" spans="1:22" x14ac:dyDescent="0.25">
      <c r="A241" s="758" t="s">
        <v>298</v>
      </c>
      <c r="B241" s="758" t="s">
        <v>1708</v>
      </c>
      <c r="G241" s="758" t="s">
        <v>1432</v>
      </c>
      <c r="H241" s="758" t="s">
        <v>1435</v>
      </c>
      <c r="I241" s="758" t="s">
        <v>499</v>
      </c>
      <c r="J241" s="136">
        <v>42584</v>
      </c>
      <c r="K241" s="299">
        <v>30</v>
      </c>
      <c r="M241" s="758" t="s">
        <v>1259</v>
      </c>
      <c r="N241" s="758" t="s">
        <v>1256</v>
      </c>
      <c r="O241" s="758" t="s">
        <v>173</v>
      </c>
      <c r="P241" s="299">
        <v>7</v>
      </c>
      <c r="Q241" s="299">
        <v>31</v>
      </c>
      <c r="U241" s="758" t="s">
        <v>1258</v>
      </c>
      <c r="V241" s="758" t="s">
        <v>553</v>
      </c>
    </row>
    <row r="242" spans="1:22" x14ac:dyDescent="0.25">
      <c r="A242" s="758" t="s">
        <v>300</v>
      </c>
      <c r="B242" s="758" t="s">
        <v>889</v>
      </c>
      <c r="G242" s="758" t="s">
        <v>1431</v>
      </c>
      <c r="H242" s="758" t="s">
        <v>1437</v>
      </c>
      <c r="I242" s="758" t="s">
        <v>499</v>
      </c>
      <c r="J242" s="136">
        <v>42584</v>
      </c>
      <c r="K242" s="299">
        <v>6</v>
      </c>
      <c r="M242" s="758" t="s">
        <v>1286</v>
      </c>
      <c r="N242" s="758" t="s">
        <v>1285</v>
      </c>
      <c r="O242" s="758" t="s">
        <v>807</v>
      </c>
      <c r="P242" s="299">
        <v>73</v>
      </c>
      <c r="Q242" s="299">
        <v>407</v>
      </c>
      <c r="U242" s="758" t="s">
        <v>1259</v>
      </c>
      <c r="V242" s="758" t="s">
        <v>553</v>
      </c>
    </row>
    <row r="243" spans="1:22" x14ac:dyDescent="0.25">
      <c r="A243" s="758" t="s">
        <v>300</v>
      </c>
      <c r="B243" s="758" t="s">
        <v>301</v>
      </c>
      <c r="G243" s="758" t="s">
        <v>277</v>
      </c>
      <c r="H243" s="758" t="s">
        <v>276</v>
      </c>
      <c r="I243" s="758" t="s">
        <v>499</v>
      </c>
      <c r="J243" s="136">
        <v>40756</v>
      </c>
      <c r="K243" s="299">
        <v>118</v>
      </c>
      <c r="M243" s="758" t="s">
        <v>1288</v>
      </c>
      <c r="N243" s="758" t="s">
        <v>1287</v>
      </c>
      <c r="O243" s="758" t="s">
        <v>807</v>
      </c>
      <c r="P243" s="299">
        <v>63</v>
      </c>
      <c r="Q243" s="299">
        <v>320</v>
      </c>
      <c r="U243" s="758" t="s">
        <v>1286</v>
      </c>
      <c r="V243" s="758" t="s">
        <v>553</v>
      </c>
    </row>
    <row r="244" spans="1:22" x14ac:dyDescent="0.25">
      <c r="A244" s="758" t="s">
        <v>300</v>
      </c>
      <c r="B244" s="758" t="s">
        <v>1038</v>
      </c>
      <c r="G244" s="758" t="s">
        <v>279</v>
      </c>
      <c r="H244" s="758" t="s">
        <v>278</v>
      </c>
      <c r="I244" s="758" t="s">
        <v>499</v>
      </c>
      <c r="J244" s="136">
        <v>40909</v>
      </c>
      <c r="K244" s="299">
        <v>22</v>
      </c>
      <c r="M244" s="758" t="s">
        <v>1301</v>
      </c>
      <c r="N244" s="758" t="s">
        <v>1300</v>
      </c>
      <c r="O244" s="758" t="s">
        <v>185</v>
      </c>
      <c r="P244" s="299"/>
      <c r="Q244" s="299"/>
      <c r="U244" s="758" t="s">
        <v>1288</v>
      </c>
      <c r="V244" s="758" t="s">
        <v>553</v>
      </c>
    </row>
    <row r="245" spans="1:22" x14ac:dyDescent="0.25">
      <c r="A245" s="758" t="s">
        <v>300</v>
      </c>
      <c r="B245" s="758" t="s">
        <v>1248</v>
      </c>
      <c r="G245" s="758" t="s">
        <v>347</v>
      </c>
      <c r="H245" s="758" t="s">
        <v>346</v>
      </c>
      <c r="I245" s="758" t="s">
        <v>499</v>
      </c>
      <c r="J245" s="136">
        <v>40848</v>
      </c>
      <c r="K245" s="299">
        <v>184</v>
      </c>
      <c r="M245" s="758" t="s">
        <v>1303</v>
      </c>
      <c r="N245" s="758" t="s">
        <v>1302</v>
      </c>
      <c r="O245" s="758" t="s">
        <v>146</v>
      </c>
      <c r="P245" s="299">
        <v>105</v>
      </c>
      <c r="Q245" s="299">
        <v>568</v>
      </c>
      <c r="U245" s="758" t="s">
        <v>1301</v>
      </c>
      <c r="V245" s="758" t="s">
        <v>985</v>
      </c>
    </row>
    <row r="246" spans="1:22" x14ac:dyDescent="0.25">
      <c r="A246" s="758" t="s">
        <v>302</v>
      </c>
      <c r="B246" s="758" t="s">
        <v>12</v>
      </c>
      <c r="G246" s="758" t="s">
        <v>306</v>
      </c>
      <c r="H246" s="758" t="s">
        <v>305</v>
      </c>
      <c r="I246" s="758" t="s">
        <v>499</v>
      </c>
      <c r="J246" s="136">
        <v>40725</v>
      </c>
      <c r="K246" s="299">
        <v>86</v>
      </c>
      <c r="M246" s="758" t="s">
        <v>1394</v>
      </c>
      <c r="N246" s="758" t="s">
        <v>1393</v>
      </c>
      <c r="O246" s="758" t="s">
        <v>526</v>
      </c>
      <c r="P246" s="299"/>
      <c r="Q246" s="299"/>
      <c r="U246" s="758" t="s">
        <v>1303</v>
      </c>
      <c r="V246" s="758" t="s">
        <v>553</v>
      </c>
    </row>
    <row r="247" spans="1:22" x14ac:dyDescent="0.25">
      <c r="A247" s="758" t="s">
        <v>302</v>
      </c>
      <c r="B247" s="758" t="s">
        <v>304</v>
      </c>
      <c r="G247" s="758" t="s">
        <v>308</v>
      </c>
      <c r="H247" s="758" t="s">
        <v>307</v>
      </c>
      <c r="I247" s="758" t="s">
        <v>499</v>
      </c>
      <c r="J247" s="136">
        <v>40725</v>
      </c>
      <c r="K247" s="299">
        <v>43</v>
      </c>
      <c r="M247" s="758" t="s">
        <v>1392</v>
      </c>
      <c r="N247" s="758" t="s">
        <v>296</v>
      </c>
      <c r="O247" s="758" t="s">
        <v>151</v>
      </c>
      <c r="P247" s="299"/>
      <c r="Q247" s="299"/>
      <c r="U247" s="758" t="s">
        <v>1394</v>
      </c>
      <c r="V247" s="758" t="s">
        <v>553</v>
      </c>
    </row>
    <row r="248" spans="1:22" x14ac:dyDescent="0.25">
      <c r="A248" s="758" t="s">
        <v>302</v>
      </c>
      <c r="B248" s="758" t="s">
        <v>306</v>
      </c>
      <c r="G248" s="758" t="s">
        <v>1467</v>
      </c>
      <c r="H248" s="758" t="s">
        <v>1450</v>
      </c>
      <c r="I248" s="758" t="s">
        <v>842</v>
      </c>
      <c r="J248" s="758" t="s">
        <v>1505</v>
      </c>
      <c r="K248" s="299"/>
      <c r="M248" s="758" t="s">
        <v>1379</v>
      </c>
      <c r="N248" s="758" t="s">
        <v>1387</v>
      </c>
      <c r="O248" s="758" t="s">
        <v>146</v>
      </c>
      <c r="P248" s="299">
        <v>146</v>
      </c>
      <c r="Q248" s="299">
        <v>678</v>
      </c>
      <c r="U248" s="758" t="s">
        <v>1392</v>
      </c>
      <c r="V248" s="758" t="s">
        <v>553</v>
      </c>
    </row>
    <row r="249" spans="1:22" x14ac:dyDescent="0.25">
      <c r="A249" s="758" t="s">
        <v>302</v>
      </c>
      <c r="B249" s="758" t="s">
        <v>308</v>
      </c>
      <c r="G249" s="758" t="s">
        <v>281</v>
      </c>
      <c r="H249" s="758" t="s">
        <v>280</v>
      </c>
      <c r="I249" s="758" t="s">
        <v>499</v>
      </c>
      <c r="J249" s="136">
        <v>40725</v>
      </c>
      <c r="K249" s="299">
        <v>92</v>
      </c>
      <c r="M249" s="758" t="s">
        <v>1380</v>
      </c>
      <c r="N249" s="758" t="s">
        <v>1397</v>
      </c>
      <c r="O249" s="758" t="s">
        <v>298</v>
      </c>
      <c r="P249" s="299">
        <v>19</v>
      </c>
      <c r="Q249" s="299">
        <v>82</v>
      </c>
      <c r="U249" s="758" t="s">
        <v>1379</v>
      </c>
      <c r="V249" s="758" t="s">
        <v>553</v>
      </c>
    </row>
    <row r="250" spans="1:22" x14ac:dyDescent="0.25">
      <c r="A250" s="758" t="s">
        <v>807</v>
      </c>
      <c r="B250" s="758" t="s">
        <v>807</v>
      </c>
      <c r="G250" s="758" t="s">
        <v>886</v>
      </c>
      <c r="H250" s="758" t="s">
        <v>887</v>
      </c>
      <c r="I250" s="758" t="s">
        <v>842</v>
      </c>
      <c r="J250" s="758" t="s">
        <v>1505</v>
      </c>
      <c r="K250" s="299">
        <v>0</v>
      </c>
      <c r="M250" s="758" t="s">
        <v>1381</v>
      </c>
      <c r="N250" s="758" t="s">
        <v>1400</v>
      </c>
      <c r="O250" s="758" t="s">
        <v>166</v>
      </c>
      <c r="P250" s="299">
        <v>36</v>
      </c>
      <c r="Q250" s="299">
        <v>188</v>
      </c>
      <c r="U250" s="758" t="s">
        <v>1380</v>
      </c>
      <c r="V250" s="758" t="s">
        <v>553</v>
      </c>
    </row>
    <row r="251" spans="1:22" x14ac:dyDescent="0.25">
      <c r="A251" s="758" t="s">
        <v>807</v>
      </c>
      <c r="B251" s="758" t="s">
        <v>1285</v>
      </c>
      <c r="G251" s="758" t="s">
        <v>181</v>
      </c>
      <c r="H251" s="758" t="s">
        <v>179</v>
      </c>
      <c r="I251" s="758" t="s">
        <v>499</v>
      </c>
      <c r="J251" s="136">
        <v>41061</v>
      </c>
      <c r="K251" s="299">
        <v>11</v>
      </c>
      <c r="M251" s="758" t="s">
        <v>1382</v>
      </c>
      <c r="N251" s="758" t="s">
        <v>1388</v>
      </c>
      <c r="O251" s="758" t="s">
        <v>289</v>
      </c>
      <c r="P251" s="299"/>
      <c r="Q251" s="299"/>
      <c r="U251" s="758" t="s">
        <v>1381</v>
      </c>
      <c r="V251" s="758" t="s">
        <v>553</v>
      </c>
    </row>
    <row r="252" spans="1:22" x14ac:dyDescent="0.25">
      <c r="A252" s="758" t="s">
        <v>807</v>
      </c>
      <c r="B252" s="758" t="s">
        <v>1287</v>
      </c>
      <c r="G252" s="758" t="s">
        <v>896</v>
      </c>
      <c r="H252" s="758" t="s">
        <v>895</v>
      </c>
      <c r="I252" s="758" t="s">
        <v>842</v>
      </c>
      <c r="J252" s="758" t="s">
        <v>1505</v>
      </c>
      <c r="K252" s="299"/>
      <c r="M252" s="758" t="s">
        <v>1383</v>
      </c>
      <c r="N252" s="758" t="s">
        <v>1389</v>
      </c>
      <c r="O252" s="758" t="s">
        <v>289</v>
      </c>
      <c r="P252" s="299">
        <v>61</v>
      </c>
      <c r="Q252" s="299">
        <v>276</v>
      </c>
      <c r="U252" s="758" t="s">
        <v>1382</v>
      </c>
      <c r="V252" s="758" t="s">
        <v>553</v>
      </c>
    </row>
    <row r="253" spans="1:22" x14ac:dyDescent="0.25">
      <c r="A253" s="758" t="s">
        <v>310</v>
      </c>
      <c r="B253" s="758" t="s">
        <v>358</v>
      </c>
      <c r="G253" s="758" t="s">
        <v>1473</v>
      </c>
      <c r="H253" s="758" t="s">
        <v>1461</v>
      </c>
      <c r="I253" s="758" t="s">
        <v>842</v>
      </c>
      <c r="J253" s="758" t="s">
        <v>1505</v>
      </c>
      <c r="K253" s="299"/>
      <c r="M253" s="758" t="s">
        <v>1384</v>
      </c>
      <c r="N253" s="758" t="s">
        <v>1390</v>
      </c>
      <c r="O253" s="758" t="s">
        <v>146</v>
      </c>
      <c r="P253" s="299">
        <v>37</v>
      </c>
      <c r="Q253" s="299">
        <v>130</v>
      </c>
      <c r="U253" s="758" t="s">
        <v>1383</v>
      </c>
      <c r="V253" s="758" t="s">
        <v>553</v>
      </c>
    </row>
    <row r="254" spans="1:22" x14ac:dyDescent="0.25">
      <c r="A254" s="758" t="s">
        <v>310</v>
      </c>
      <c r="B254" s="758" t="s">
        <v>334</v>
      </c>
      <c r="G254" s="758" t="s">
        <v>807</v>
      </c>
      <c r="H254" s="758" t="s">
        <v>811</v>
      </c>
      <c r="I254" s="758" t="s">
        <v>499</v>
      </c>
      <c r="J254" s="758" t="s">
        <v>1505</v>
      </c>
      <c r="K254" s="299">
        <v>5</v>
      </c>
      <c r="M254" s="758" t="s">
        <v>1385</v>
      </c>
      <c r="N254" s="758" t="s">
        <v>1403</v>
      </c>
      <c r="O254" s="758" t="s">
        <v>778</v>
      </c>
      <c r="P254" s="299"/>
      <c r="Q254" s="299"/>
      <c r="U254" s="758" t="s">
        <v>1384</v>
      </c>
      <c r="V254" s="758" t="s">
        <v>553</v>
      </c>
    </row>
    <row r="255" spans="1:22" x14ac:dyDescent="0.25">
      <c r="A255" s="758" t="s">
        <v>310</v>
      </c>
      <c r="B255" s="758" t="s">
        <v>313</v>
      </c>
      <c r="G255" s="758" t="s">
        <v>24</v>
      </c>
      <c r="H255" s="758" t="s">
        <v>23</v>
      </c>
      <c r="I255" s="758" t="s">
        <v>499</v>
      </c>
      <c r="J255" s="136">
        <v>41030</v>
      </c>
      <c r="K255" s="299">
        <v>20</v>
      </c>
      <c r="M255" s="758" t="s">
        <v>1386</v>
      </c>
      <c r="N255" s="758" t="s">
        <v>1406</v>
      </c>
      <c r="O255" s="758" t="s">
        <v>146</v>
      </c>
      <c r="P255" s="299">
        <v>30</v>
      </c>
      <c r="Q255" s="299">
        <v>170</v>
      </c>
      <c r="U255" s="758" t="s">
        <v>1385</v>
      </c>
      <c r="V255" s="758" t="s">
        <v>553</v>
      </c>
    </row>
    <row r="256" spans="1:22" x14ac:dyDescent="0.25">
      <c r="A256" s="758" t="s">
        <v>310</v>
      </c>
      <c r="B256" s="758" t="s">
        <v>336</v>
      </c>
      <c r="G256" s="758" t="s">
        <v>132</v>
      </c>
      <c r="H256" s="758" t="s">
        <v>131</v>
      </c>
      <c r="I256" s="758" t="s">
        <v>842</v>
      </c>
      <c r="J256" s="758" t="s">
        <v>1505</v>
      </c>
      <c r="K256" s="299">
        <v>0</v>
      </c>
      <c r="M256" s="758" t="s">
        <v>1434</v>
      </c>
      <c r="N256" s="758" t="s">
        <v>1428</v>
      </c>
      <c r="O256" s="758" t="s">
        <v>526</v>
      </c>
      <c r="P256" s="299"/>
      <c r="Q256" s="299"/>
      <c r="U256" s="758" t="s">
        <v>1386</v>
      </c>
      <c r="V256" s="758" t="s">
        <v>553</v>
      </c>
    </row>
    <row r="257" spans="1:22" x14ac:dyDescent="0.25">
      <c r="A257" s="758" t="s">
        <v>310</v>
      </c>
      <c r="B257" s="758" t="s">
        <v>812</v>
      </c>
      <c r="G257" s="758" t="s">
        <v>227</v>
      </c>
      <c r="H257" s="758" t="s">
        <v>226</v>
      </c>
      <c r="I257" s="758" t="s">
        <v>842</v>
      </c>
      <c r="J257" s="758" t="s">
        <v>1505</v>
      </c>
      <c r="K257" s="299"/>
      <c r="M257" s="758" t="s">
        <v>1435</v>
      </c>
      <c r="N257" s="758" t="s">
        <v>1432</v>
      </c>
      <c r="O257" s="758" t="s">
        <v>526</v>
      </c>
      <c r="P257" s="299">
        <v>30</v>
      </c>
      <c r="Q257" s="299">
        <v>110</v>
      </c>
      <c r="U257" s="758" t="s">
        <v>1434</v>
      </c>
      <c r="V257" s="758" t="s">
        <v>553</v>
      </c>
    </row>
    <row r="258" spans="1:22" x14ac:dyDescent="0.25">
      <c r="A258" s="758" t="s">
        <v>310</v>
      </c>
      <c r="B258" s="758" t="s">
        <v>340</v>
      </c>
      <c r="G258" s="758" t="s">
        <v>238</v>
      </c>
      <c r="H258" s="758" t="s">
        <v>236</v>
      </c>
      <c r="I258" s="758" t="s">
        <v>499</v>
      </c>
      <c r="J258" s="136">
        <v>40695</v>
      </c>
      <c r="K258" s="299">
        <v>66</v>
      </c>
      <c r="M258" s="758" t="s">
        <v>1436</v>
      </c>
      <c r="N258" s="758" t="s">
        <v>1429</v>
      </c>
      <c r="O258" s="758" t="s">
        <v>526</v>
      </c>
      <c r="P258" s="299"/>
      <c r="Q258" s="299"/>
      <c r="U258" s="758" t="s">
        <v>1435</v>
      </c>
      <c r="V258" s="758" t="s">
        <v>553</v>
      </c>
    </row>
    <row r="259" spans="1:22" x14ac:dyDescent="0.25">
      <c r="A259" s="758" t="s">
        <v>310</v>
      </c>
      <c r="B259" s="758" t="s">
        <v>320</v>
      </c>
      <c r="G259" s="758" t="s">
        <v>1232</v>
      </c>
      <c r="H259" s="758" t="s">
        <v>241</v>
      </c>
      <c r="I259" s="758" t="s">
        <v>499</v>
      </c>
      <c r="J259" s="136">
        <v>41000</v>
      </c>
      <c r="K259" s="299">
        <v>54</v>
      </c>
      <c r="M259" s="758" t="s">
        <v>1437</v>
      </c>
      <c r="N259" s="758" t="s">
        <v>1431</v>
      </c>
      <c r="O259" s="758" t="s">
        <v>526</v>
      </c>
      <c r="P259" s="299">
        <v>6</v>
      </c>
      <c r="Q259" s="299">
        <v>16</v>
      </c>
      <c r="U259" s="758" t="s">
        <v>1436</v>
      </c>
      <c r="V259" s="758" t="s">
        <v>553</v>
      </c>
    </row>
    <row r="260" spans="1:22" x14ac:dyDescent="0.25">
      <c r="A260" s="758" t="s">
        <v>310</v>
      </c>
      <c r="B260" s="758" t="s">
        <v>322</v>
      </c>
      <c r="G260" s="758" t="s">
        <v>249</v>
      </c>
      <c r="H260" s="758" t="s">
        <v>248</v>
      </c>
      <c r="I260" s="758" t="s">
        <v>499</v>
      </c>
      <c r="J260" s="136">
        <v>40756</v>
      </c>
      <c r="K260" s="299">
        <v>4</v>
      </c>
      <c r="M260" s="758" t="s">
        <v>1438</v>
      </c>
      <c r="N260" s="758" t="s">
        <v>1430</v>
      </c>
      <c r="O260" s="758" t="s">
        <v>526</v>
      </c>
      <c r="P260" s="299">
        <v>20</v>
      </c>
      <c r="Q260" s="299">
        <v>84</v>
      </c>
      <c r="U260" s="758" t="s">
        <v>1437</v>
      </c>
      <c r="V260" s="758" t="s">
        <v>553</v>
      </c>
    </row>
    <row r="261" spans="1:22" x14ac:dyDescent="0.25">
      <c r="A261" s="758" t="s">
        <v>310</v>
      </c>
      <c r="B261" s="758" t="s">
        <v>328</v>
      </c>
      <c r="G261" s="758" t="s">
        <v>251</v>
      </c>
      <c r="H261" s="758" t="s">
        <v>250</v>
      </c>
      <c r="I261" s="758" t="s">
        <v>499</v>
      </c>
      <c r="J261" s="136">
        <v>40725</v>
      </c>
      <c r="K261" s="299">
        <v>31</v>
      </c>
      <c r="M261" s="758" t="s">
        <v>1450</v>
      </c>
      <c r="N261" s="758" t="s">
        <v>1467</v>
      </c>
      <c r="O261" s="758" t="s">
        <v>298</v>
      </c>
      <c r="P261" s="299"/>
      <c r="Q261" s="299"/>
      <c r="U261" s="758" t="s">
        <v>1438</v>
      </c>
      <c r="V261" s="758" t="s">
        <v>553</v>
      </c>
    </row>
    <row r="262" spans="1:22" x14ac:dyDescent="0.25">
      <c r="A262" s="758" t="s">
        <v>310</v>
      </c>
      <c r="B262" s="758" t="s">
        <v>330</v>
      </c>
      <c r="G262" s="758" t="s">
        <v>275</v>
      </c>
      <c r="H262" s="758" t="s">
        <v>274</v>
      </c>
      <c r="I262" s="758" t="s">
        <v>499</v>
      </c>
      <c r="J262" s="136">
        <v>40817</v>
      </c>
      <c r="K262" s="299">
        <v>46</v>
      </c>
      <c r="M262" s="758" t="s">
        <v>1451</v>
      </c>
      <c r="N262" s="758" t="s">
        <v>1469</v>
      </c>
      <c r="O262" s="758" t="s">
        <v>298</v>
      </c>
      <c r="P262" s="299">
        <v>13</v>
      </c>
      <c r="Q262" s="299">
        <v>45</v>
      </c>
      <c r="U262" s="758" t="s">
        <v>1450</v>
      </c>
      <c r="V262" s="758" t="s">
        <v>553</v>
      </c>
    </row>
    <row r="263" spans="1:22" x14ac:dyDescent="0.25">
      <c r="A263" s="758" t="s">
        <v>310</v>
      </c>
      <c r="B263" s="758" t="s">
        <v>324</v>
      </c>
      <c r="G263" s="758" t="s">
        <v>1429</v>
      </c>
      <c r="H263" s="758" t="s">
        <v>1436</v>
      </c>
      <c r="I263" s="758" t="s">
        <v>842</v>
      </c>
      <c r="J263" s="136">
        <v>42584</v>
      </c>
      <c r="K263" s="299"/>
      <c r="M263" s="758" t="s">
        <v>1452</v>
      </c>
      <c r="N263" s="758" t="s">
        <v>1470</v>
      </c>
      <c r="O263" s="758" t="s">
        <v>298</v>
      </c>
      <c r="P263" s="299"/>
      <c r="Q263" s="299"/>
      <c r="U263" s="758" t="s">
        <v>1451</v>
      </c>
      <c r="V263" s="758" t="s">
        <v>553</v>
      </c>
    </row>
    <row r="264" spans="1:22" x14ac:dyDescent="0.25">
      <c r="A264" s="758" t="s">
        <v>310</v>
      </c>
      <c r="B264" s="758" t="s">
        <v>326</v>
      </c>
      <c r="G264" s="758" t="s">
        <v>349</v>
      </c>
      <c r="H264" s="758" t="s">
        <v>348</v>
      </c>
      <c r="I264" s="758" t="s">
        <v>499</v>
      </c>
      <c r="J264" s="136">
        <v>40848</v>
      </c>
      <c r="K264" s="299">
        <v>46</v>
      </c>
      <c r="M264" s="758" t="s">
        <v>1453</v>
      </c>
      <c r="N264" s="758" t="s">
        <v>1471</v>
      </c>
      <c r="O264" s="758" t="s">
        <v>298</v>
      </c>
      <c r="P264" s="299"/>
      <c r="Q264" s="299"/>
      <c r="U264" s="758" t="s">
        <v>1452</v>
      </c>
      <c r="V264" s="758" t="s">
        <v>553</v>
      </c>
    </row>
    <row r="265" spans="1:22" x14ac:dyDescent="0.25">
      <c r="A265" s="758" t="s">
        <v>310</v>
      </c>
      <c r="B265" s="758" t="s">
        <v>332</v>
      </c>
      <c r="G265" s="758" t="s">
        <v>1019</v>
      </c>
      <c r="H265" s="758" t="s">
        <v>1016</v>
      </c>
      <c r="I265" s="758" t="s">
        <v>842</v>
      </c>
      <c r="J265" s="758" t="s">
        <v>1505</v>
      </c>
      <c r="K265" s="299"/>
      <c r="M265" s="758" t="s">
        <v>1454</v>
      </c>
      <c r="N265" s="758" t="s">
        <v>1472</v>
      </c>
      <c r="O265" s="758" t="s">
        <v>298</v>
      </c>
      <c r="P265" s="299">
        <v>59</v>
      </c>
      <c r="Q265" s="299">
        <v>268</v>
      </c>
      <c r="U265" s="758" t="s">
        <v>1453</v>
      </c>
      <c r="V265" s="758" t="s">
        <v>553</v>
      </c>
    </row>
    <row r="266" spans="1:22" x14ac:dyDescent="0.25">
      <c r="A266" s="758" t="s">
        <v>310</v>
      </c>
      <c r="B266" s="758" t="s">
        <v>344</v>
      </c>
      <c r="G266" s="758" t="s">
        <v>134</v>
      </c>
      <c r="H266" s="758" t="s">
        <v>133</v>
      </c>
      <c r="I266" s="758" t="s">
        <v>842</v>
      </c>
      <c r="J266" s="758" t="s">
        <v>1505</v>
      </c>
      <c r="K266" s="299"/>
      <c r="M266" s="758" t="s">
        <v>1455</v>
      </c>
      <c r="N266" s="758" t="s">
        <v>1479</v>
      </c>
      <c r="O266" s="758" t="s">
        <v>230</v>
      </c>
      <c r="P266" s="299"/>
      <c r="Q266" s="299"/>
      <c r="U266" s="758" t="s">
        <v>1454</v>
      </c>
      <c r="V266" s="758" t="s">
        <v>553</v>
      </c>
    </row>
    <row r="267" spans="1:22" x14ac:dyDescent="0.25">
      <c r="A267" s="758" t="s">
        <v>310</v>
      </c>
      <c r="B267" s="758" t="s">
        <v>355</v>
      </c>
      <c r="G267" s="758" t="s">
        <v>868</v>
      </c>
      <c r="H267" s="758" t="s">
        <v>854</v>
      </c>
      <c r="I267" s="758" t="s">
        <v>842</v>
      </c>
      <c r="J267" s="758" t="s">
        <v>1505</v>
      </c>
      <c r="K267" s="299">
        <v>0</v>
      </c>
      <c r="M267" s="758" t="s">
        <v>1456</v>
      </c>
      <c r="N267" s="758" t="s">
        <v>1489</v>
      </c>
      <c r="O267" s="758" t="s">
        <v>230</v>
      </c>
      <c r="P267" s="299"/>
      <c r="Q267" s="299"/>
      <c r="U267" s="758" t="s">
        <v>1455</v>
      </c>
      <c r="V267" s="758" t="s">
        <v>553</v>
      </c>
    </row>
    <row r="268" spans="1:22" x14ac:dyDescent="0.25">
      <c r="A268" s="758" t="s">
        <v>310</v>
      </c>
      <c r="B268" s="758" t="s">
        <v>318</v>
      </c>
      <c r="G268" s="758" t="s">
        <v>301</v>
      </c>
      <c r="H268" s="758" t="s">
        <v>299</v>
      </c>
      <c r="I268" s="758" t="s">
        <v>499</v>
      </c>
      <c r="J268" s="758" t="s">
        <v>1505</v>
      </c>
      <c r="K268" s="299">
        <v>14</v>
      </c>
      <c r="M268" s="758" t="s">
        <v>1457</v>
      </c>
      <c r="N268" s="758" t="s">
        <v>1490</v>
      </c>
      <c r="O268" s="758" t="s">
        <v>230</v>
      </c>
      <c r="P268" s="299"/>
      <c r="Q268" s="299"/>
      <c r="U268" s="758" t="s">
        <v>1456</v>
      </c>
      <c r="V268" s="758" t="s">
        <v>553</v>
      </c>
    </row>
    <row r="269" spans="1:22" x14ac:dyDescent="0.25">
      <c r="A269" s="758" t="s">
        <v>310</v>
      </c>
      <c r="B269" s="758" t="s">
        <v>342</v>
      </c>
      <c r="G269" s="758" t="s">
        <v>1403</v>
      </c>
      <c r="H269" s="758" t="s">
        <v>1385</v>
      </c>
      <c r="I269" s="758" t="s">
        <v>842</v>
      </c>
      <c r="J269" s="136">
        <v>42430</v>
      </c>
      <c r="K269" s="299"/>
      <c r="M269" s="758" t="s">
        <v>1458</v>
      </c>
      <c r="N269" s="758" t="s">
        <v>1480</v>
      </c>
      <c r="O269" s="758" t="s">
        <v>230</v>
      </c>
      <c r="P269" s="299"/>
      <c r="Q269" s="299"/>
      <c r="U269" s="758" t="s">
        <v>1457</v>
      </c>
      <c r="V269" s="758" t="s">
        <v>553</v>
      </c>
    </row>
    <row r="270" spans="1:22" x14ac:dyDescent="0.25">
      <c r="A270" s="758" t="s">
        <v>310</v>
      </c>
      <c r="B270" s="758" t="s">
        <v>338</v>
      </c>
      <c r="G270" s="758" t="s">
        <v>316</v>
      </c>
      <c r="H270" s="758" t="s">
        <v>315</v>
      </c>
      <c r="I270" s="758" t="s">
        <v>499</v>
      </c>
      <c r="J270" s="136">
        <v>40848</v>
      </c>
      <c r="K270" s="299">
        <v>65</v>
      </c>
      <c r="M270" s="758" t="s">
        <v>1459</v>
      </c>
      <c r="N270" s="758" t="s">
        <v>1491</v>
      </c>
      <c r="O270" s="758" t="s">
        <v>230</v>
      </c>
      <c r="P270" s="299"/>
      <c r="Q270" s="299"/>
      <c r="U270" s="758" t="s">
        <v>1458</v>
      </c>
      <c r="V270" s="758" t="s">
        <v>553</v>
      </c>
    </row>
    <row r="271" spans="1:22" x14ac:dyDescent="0.25">
      <c r="A271" s="758" t="s">
        <v>310</v>
      </c>
      <c r="B271" s="758" t="s">
        <v>351</v>
      </c>
      <c r="G271" s="758" t="s">
        <v>311</v>
      </c>
      <c r="H271" s="758" t="s">
        <v>309</v>
      </c>
      <c r="I271" s="758" t="s">
        <v>842</v>
      </c>
      <c r="J271" s="136">
        <v>40848</v>
      </c>
      <c r="K271" s="299"/>
      <c r="M271" s="758" t="s">
        <v>1460</v>
      </c>
      <c r="N271" s="758" t="s">
        <v>1495</v>
      </c>
      <c r="O271" s="758" t="s">
        <v>230</v>
      </c>
      <c r="P271" s="299"/>
      <c r="Q271" s="299"/>
      <c r="U271" s="758" t="s">
        <v>1459</v>
      </c>
      <c r="V271" s="758" t="s">
        <v>553</v>
      </c>
    </row>
    <row r="272" spans="1:22" x14ac:dyDescent="0.25">
      <c r="A272" s="758" t="s">
        <v>310</v>
      </c>
      <c r="B272" s="758" t="s">
        <v>347</v>
      </c>
      <c r="G272" s="758" t="s">
        <v>1393</v>
      </c>
      <c r="H272" s="758" t="s">
        <v>1394</v>
      </c>
      <c r="I272" s="758" t="s">
        <v>842</v>
      </c>
      <c r="J272" s="136">
        <v>42370</v>
      </c>
      <c r="K272" s="299"/>
      <c r="M272" s="758" t="s">
        <v>1461</v>
      </c>
      <c r="N272" s="758" t="s">
        <v>1473</v>
      </c>
      <c r="O272" s="758" t="s">
        <v>230</v>
      </c>
      <c r="P272" s="299"/>
      <c r="Q272" s="299"/>
      <c r="U272" s="758" t="s">
        <v>1460</v>
      </c>
      <c r="V272" s="758" t="s">
        <v>553</v>
      </c>
    </row>
    <row r="273" spans="1:22" x14ac:dyDescent="0.25">
      <c r="A273" s="758" t="s">
        <v>310</v>
      </c>
      <c r="B273" s="758" t="s">
        <v>349</v>
      </c>
      <c r="G273" s="758" t="s">
        <v>64</v>
      </c>
      <c r="H273" s="758" t="s">
        <v>63</v>
      </c>
      <c r="I273" s="758" t="s">
        <v>842</v>
      </c>
      <c r="J273" s="136">
        <v>41275</v>
      </c>
      <c r="K273" s="299"/>
      <c r="M273" s="758" t="s">
        <v>1462</v>
      </c>
      <c r="N273" s="758" t="s">
        <v>1474</v>
      </c>
      <c r="O273" s="758" t="s">
        <v>230</v>
      </c>
      <c r="P273" s="299"/>
      <c r="Q273" s="299"/>
      <c r="U273" s="758" t="s">
        <v>1461</v>
      </c>
      <c r="V273" s="758" t="s">
        <v>553</v>
      </c>
    </row>
    <row r="274" spans="1:22" x14ac:dyDescent="0.25">
      <c r="A274" s="758" t="s">
        <v>310</v>
      </c>
      <c r="B274" s="758" t="s">
        <v>316</v>
      </c>
      <c r="G274" s="758" t="s">
        <v>126</v>
      </c>
      <c r="H274" s="758" t="s">
        <v>125</v>
      </c>
      <c r="I274" s="758" t="s">
        <v>499</v>
      </c>
      <c r="J274" s="136">
        <v>41275</v>
      </c>
      <c r="K274" s="299">
        <v>33</v>
      </c>
      <c r="M274" s="758" t="s">
        <v>1463</v>
      </c>
      <c r="N274" s="758" t="s">
        <v>1475</v>
      </c>
      <c r="O274" s="758" t="s">
        <v>230</v>
      </c>
      <c r="P274" s="299"/>
      <c r="Q274" s="299"/>
      <c r="U274" s="758" t="s">
        <v>1462</v>
      </c>
      <c r="V274" s="758" t="s">
        <v>553</v>
      </c>
    </row>
    <row r="275" spans="1:22" x14ac:dyDescent="0.25">
      <c r="A275" s="758" t="s">
        <v>310</v>
      </c>
      <c r="B275" s="758" t="s">
        <v>311</v>
      </c>
      <c r="G275" s="758" t="s">
        <v>1477</v>
      </c>
      <c r="H275" s="758" t="s">
        <v>1465</v>
      </c>
      <c r="I275" s="758" t="s">
        <v>842</v>
      </c>
      <c r="J275" s="758" t="s">
        <v>1505</v>
      </c>
      <c r="K275" s="299"/>
      <c r="M275" s="758" t="s">
        <v>1464</v>
      </c>
      <c r="N275" s="758" t="s">
        <v>1476</v>
      </c>
      <c r="O275" s="758" t="s">
        <v>230</v>
      </c>
      <c r="P275" s="299"/>
      <c r="Q275" s="299"/>
      <c r="U275" s="758" t="s">
        <v>1463</v>
      </c>
      <c r="V275" s="758" t="s">
        <v>553</v>
      </c>
    </row>
    <row r="276" spans="1:22" x14ac:dyDescent="0.25">
      <c r="A276" s="758" t="s">
        <v>310</v>
      </c>
      <c r="B276" s="758" t="s">
        <v>353</v>
      </c>
      <c r="G276" s="758" t="s">
        <v>353</v>
      </c>
      <c r="H276" s="758" t="s">
        <v>352</v>
      </c>
      <c r="I276" s="758" t="s">
        <v>499</v>
      </c>
      <c r="J276" s="136">
        <v>40695</v>
      </c>
      <c r="K276" s="299">
        <v>1396</v>
      </c>
      <c r="M276" s="758" t="s">
        <v>1465</v>
      </c>
      <c r="N276" s="758" t="s">
        <v>1477</v>
      </c>
      <c r="O276" s="758" t="s">
        <v>230</v>
      </c>
      <c r="P276" s="299"/>
      <c r="Q276" s="299"/>
      <c r="U276" s="758" t="s">
        <v>1464</v>
      </c>
      <c r="V276" s="758" t="s">
        <v>553</v>
      </c>
    </row>
    <row r="277" spans="1:22" x14ac:dyDescent="0.25">
      <c r="A277" s="758" t="s">
        <v>310</v>
      </c>
      <c r="B277" s="758" t="s">
        <v>1234</v>
      </c>
      <c r="G277" s="758" t="s">
        <v>37</v>
      </c>
      <c r="H277" s="758" t="s">
        <v>36</v>
      </c>
      <c r="I277" s="758" t="s">
        <v>842</v>
      </c>
      <c r="J277" s="758" t="s">
        <v>1505</v>
      </c>
      <c r="K277" s="299"/>
      <c r="M277" s="758" t="s">
        <v>1466</v>
      </c>
      <c r="N277" s="758" t="s">
        <v>1478</v>
      </c>
      <c r="O277" s="758" t="s">
        <v>1481</v>
      </c>
      <c r="P277" s="299">
        <v>37</v>
      </c>
      <c r="Q277" s="299">
        <v>120</v>
      </c>
      <c r="U277" s="758" t="s">
        <v>1465</v>
      </c>
      <c r="V277" s="758" t="s">
        <v>553</v>
      </c>
    </row>
    <row r="278" spans="1:22" x14ac:dyDescent="0.25">
      <c r="A278" s="758" t="s">
        <v>310</v>
      </c>
      <c r="B278" s="758" t="s">
        <v>1235</v>
      </c>
      <c r="G278" s="758" t="s">
        <v>74</v>
      </c>
      <c r="H278" s="758" t="s">
        <v>73</v>
      </c>
      <c r="I278" s="758" t="s">
        <v>842</v>
      </c>
      <c r="J278" s="758" t="s">
        <v>1505</v>
      </c>
      <c r="K278" s="299"/>
      <c r="M278" s="758" t="s">
        <v>1517</v>
      </c>
      <c r="N278" s="758" t="s">
        <v>1518</v>
      </c>
      <c r="O278" s="758" t="s">
        <v>146</v>
      </c>
      <c r="P278" s="299">
        <v>40</v>
      </c>
      <c r="Q278" s="299">
        <v>195</v>
      </c>
      <c r="U278" s="758" t="s">
        <v>1466</v>
      </c>
      <c r="V278" s="758" t="s">
        <v>553</v>
      </c>
    </row>
    <row r="279" spans="1:22" x14ac:dyDescent="0.25">
      <c r="A279" s="758" t="s">
        <v>310</v>
      </c>
      <c r="B279" s="758" t="s">
        <v>1236</v>
      </c>
      <c r="G279" s="758" t="s">
        <v>283</v>
      </c>
      <c r="H279" s="758" t="s">
        <v>282</v>
      </c>
      <c r="I279" s="758" t="s">
        <v>499</v>
      </c>
      <c r="J279" s="136">
        <v>41000</v>
      </c>
      <c r="K279" s="299">
        <v>7</v>
      </c>
      <c r="M279" s="758" t="s">
        <v>1533</v>
      </c>
      <c r="N279" s="758" t="s">
        <v>1532</v>
      </c>
      <c r="O279" s="758" t="s">
        <v>146</v>
      </c>
      <c r="P279" s="299">
        <v>24</v>
      </c>
      <c r="Q279" s="299">
        <v>84</v>
      </c>
      <c r="U279" s="758" t="s">
        <v>1517</v>
      </c>
      <c r="V279" s="758" t="s">
        <v>553</v>
      </c>
    </row>
    <row r="280" spans="1:22" x14ac:dyDescent="0.25">
      <c r="A280" s="758" t="s">
        <v>310</v>
      </c>
      <c r="B280" s="758" t="s">
        <v>1231</v>
      </c>
      <c r="G280" s="758" t="s">
        <v>26</v>
      </c>
      <c r="H280" s="758" t="s">
        <v>25</v>
      </c>
      <c r="I280" s="758" t="s">
        <v>499</v>
      </c>
      <c r="J280" s="136">
        <v>41122</v>
      </c>
      <c r="K280" s="299">
        <v>15</v>
      </c>
      <c r="M280" s="758" t="s">
        <v>1537</v>
      </c>
      <c r="N280" s="758" t="s">
        <v>775</v>
      </c>
      <c r="O280" s="758" t="s">
        <v>230</v>
      </c>
      <c r="P280" s="299">
        <v>208</v>
      </c>
      <c r="Q280" s="299">
        <v>952</v>
      </c>
      <c r="U280" s="758" t="s">
        <v>1533</v>
      </c>
      <c r="V280" s="758" t="s">
        <v>553</v>
      </c>
    </row>
    <row r="281" spans="1:22" x14ac:dyDescent="0.25">
      <c r="A281" s="758" t="s">
        <v>310</v>
      </c>
      <c r="B281" s="758" t="s">
        <v>1233</v>
      </c>
      <c r="G281" s="758" t="s">
        <v>140</v>
      </c>
      <c r="H281" s="758" t="s">
        <v>139</v>
      </c>
      <c r="I281" s="758" t="s">
        <v>499</v>
      </c>
      <c r="J281" s="136">
        <v>41122</v>
      </c>
      <c r="K281" s="299">
        <v>11</v>
      </c>
      <c r="M281" s="758" t="s">
        <v>1547</v>
      </c>
      <c r="N281" s="758" t="s">
        <v>1556</v>
      </c>
      <c r="O281" s="758" t="s">
        <v>310</v>
      </c>
      <c r="P281" s="299">
        <v>62</v>
      </c>
      <c r="Q281" s="299">
        <v>410</v>
      </c>
      <c r="U281" s="758" t="s">
        <v>1537</v>
      </c>
      <c r="V281" s="758" t="s">
        <v>553</v>
      </c>
    </row>
    <row r="282" spans="1:22" x14ac:dyDescent="0.25">
      <c r="A282" s="758" t="s">
        <v>310</v>
      </c>
      <c r="B282" s="758" t="s">
        <v>1556</v>
      </c>
      <c r="G282" s="758" t="s">
        <v>1233</v>
      </c>
      <c r="H282" s="758" t="s">
        <v>356</v>
      </c>
      <c r="I282" s="758" t="s">
        <v>842</v>
      </c>
      <c r="J282" s="136">
        <v>40848</v>
      </c>
      <c r="K282" s="299"/>
      <c r="M282" s="758" t="s">
        <v>1565</v>
      </c>
      <c r="N282" s="758" t="s">
        <v>1568</v>
      </c>
      <c r="O282" s="758" t="s">
        <v>310</v>
      </c>
      <c r="P282" s="299">
        <v>402</v>
      </c>
      <c r="Q282" s="299">
        <v>1816</v>
      </c>
      <c r="U282" s="758" t="s">
        <v>1547</v>
      </c>
      <c r="V282" s="758" t="s">
        <v>553</v>
      </c>
    </row>
    <row r="283" spans="1:22" x14ac:dyDescent="0.25">
      <c r="A283" s="758" t="s">
        <v>310</v>
      </c>
      <c r="B283" s="758" t="s">
        <v>1568</v>
      </c>
      <c r="G283" s="758" t="s">
        <v>513</v>
      </c>
      <c r="H283" s="758" t="s">
        <v>514</v>
      </c>
      <c r="I283" s="758" t="s">
        <v>842</v>
      </c>
      <c r="J283" s="758" t="s">
        <v>1505</v>
      </c>
      <c r="K283" s="299">
        <v>0</v>
      </c>
      <c r="M283" s="758" t="s">
        <v>1698</v>
      </c>
      <c r="N283" s="758" t="s">
        <v>1710</v>
      </c>
      <c r="O283" s="758" t="s">
        <v>526</v>
      </c>
      <c r="P283" s="299">
        <v>118</v>
      </c>
      <c r="Q283" s="299">
        <v>617</v>
      </c>
      <c r="U283" s="758" t="s">
        <v>1565</v>
      </c>
      <c r="V283" s="758" t="s">
        <v>553</v>
      </c>
    </row>
    <row r="284" spans="1:22" x14ac:dyDescent="0.25">
      <c r="A284" s="758" t="s">
        <v>1481</v>
      </c>
      <c r="B284" s="758" t="s">
        <v>1478</v>
      </c>
      <c r="G284" s="758" t="s">
        <v>373</v>
      </c>
      <c r="H284" s="758" t="s">
        <v>387</v>
      </c>
      <c r="I284" s="758" t="s">
        <v>499</v>
      </c>
      <c r="J284" s="136">
        <v>41244</v>
      </c>
      <c r="K284" s="299">
        <v>186</v>
      </c>
      <c r="M284" s="758" t="s">
        <v>1707</v>
      </c>
      <c r="N284" s="758" t="s">
        <v>1708</v>
      </c>
      <c r="O284" s="758" t="s">
        <v>298</v>
      </c>
      <c r="P284" s="299">
        <v>35</v>
      </c>
      <c r="Q284" s="299">
        <v>116</v>
      </c>
      <c r="U284" s="758" t="s">
        <v>1698</v>
      </c>
      <c r="V284" s="758" t="s">
        <v>553</v>
      </c>
    </row>
    <row r="285" spans="1:22" x14ac:dyDescent="0.25">
      <c r="U285" s="758" t="s">
        <v>1707</v>
      </c>
      <c r="V285" s="758" t="s">
        <v>553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pageSetUpPr fitToPage="1"/>
  </sheetPr>
  <dimension ref="A1:BG103"/>
  <sheetViews>
    <sheetView showZeros="0" zoomScale="80" zoomScaleNormal="80" workbookViewId="0">
      <pane ySplit="2" topLeftCell="A15" activePane="bottomLeft" state="frozen"/>
      <selection activeCell="AS915" sqref="AS915"/>
      <selection pane="bottomLeft" activeCell="L89" sqref="L89"/>
    </sheetView>
  </sheetViews>
  <sheetFormatPr defaultRowHeight="15" x14ac:dyDescent="0.25"/>
  <cols>
    <col min="1" max="2" width="18.85546875" customWidth="1"/>
    <col min="3" max="3" width="17.85546875" customWidth="1"/>
    <col min="4" max="4" width="13.7109375" customWidth="1"/>
    <col min="5" max="5" width="12.140625" customWidth="1"/>
    <col min="6" max="6" width="14" customWidth="1"/>
    <col min="7" max="7" width="14.42578125" customWidth="1"/>
    <col min="8" max="9" width="18.85546875" customWidth="1"/>
    <col min="10" max="10" width="11.7109375" customWidth="1"/>
    <col min="11" max="11" width="11.85546875" customWidth="1"/>
    <col min="12" max="12" width="18.42578125" customWidth="1"/>
    <col min="13" max="13" width="11.7109375" customWidth="1"/>
    <col min="14" max="14" width="8.85546875" customWidth="1"/>
    <col min="15" max="15" width="12.42578125" style="37" customWidth="1"/>
    <col min="16" max="16" width="10.140625" customWidth="1"/>
    <col min="17" max="17" width="12.42578125" customWidth="1"/>
  </cols>
  <sheetData>
    <row r="1" spans="1:59" s="1" customFormat="1" ht="36" x14ac:dyDescent="0.25">
      <c r="A1" s="208"/>
      <c r="B1" s="209"/>
      <c r="C1" s="209"/>
      <c r="D1" s="209"/>
      <c r="E1" s="209"/>
      <c r="F1" s="209"/>
      <c r="G1" s="209"/>
      <c r="H1" s="209"/>
      <c r="I1" s="209"/>
      <c r="J1" s="209"/>
      <c r="K1" s="209"/>
      <c r="L1" s="209"/>
      <c r="M1" s="209"/>
      <c r="N1" s="209"/>
      <c r="O1" s="210"/>
      <c r="P1" s="43"/>
      <c r="Q1" s="37"/>
      <c r="R1" s="37"/>
      <c r="S1" s="37"/>
      <c r="T1" s="37"/>
      <c r="U1" s="37"/>
      <c r="BF1" s="44"/>
      <c r="BG1" s="44"/>
    </row>
    <row r="2" spans="1:59" s="1" customFormat="1" ht="36" x14ac:dyDescent="0.25">
      <c r="A2" s="961" t="s">
        <v>424</v>
      </c>
      <c r="B2" s="962"/>
      <c r="C2" s="962"/>
      <c r="D2" s="43"/>
      <c r="E2" s="43"/>
      <c r="F2" s="43"/>
      <c r="G2" s="43"/>
      <c r="H2" s="43"/>
      <c r="I2" s="43"/>
      <c r="J2" s="43"/>
      <c r="K2" s="43"/>
      <c r="L2" s="43"/>
      <c r="M2" s="43"/>
      <c r="N2" s="43"/>
      <c r="O2" s="220"/>
      <c r="P2" s="43"/>
      <c r="Q2" s="37"/>
      <c r="R2" s="37"/>
      <c r="S2" s="37"/>
      <c r="T2" s="37"/>
      <c r="U2" s="37"/>
      <c r="BF2" s="44"/>
      <c r="BG2" s="44"/>
    </row>
    <row r="3" spans="1:59" s="15" customFormat="1" ht="36" x14ac:dyDescent="0.25">
      <c r="A3" s="221">
        <f>Definition!B23</f>
        <v>42856</v>
      </c>
      <c r="B3" s="222"/>
      <c r="C3" s="222"/>
      <c r="D3" s="223"/>
      <c r="E3" s="223"/>
      <c r="F3" s="223"/>
      <c r="G3" s="223"/>
      <c r="H3" s="223"/>
      <c r="I3" s="223"/>
      <c r="J3" s="223"/>
      <c r="K3" s="224"/>
      <c r="L3" s="223"/>
      <c r="M3" s="223"/>
      <c r="N3" s="223"/>
      <c r="O3" s="225"/>
      <c r="P3" s="32"/>
      <c r="Q3" s="32"/>
      <c r="R3" s="32"/>
      <c r="S3" s="45"/>
      <c r="T3" s="32"/>
      <c r="U3" s="32"/>
      <c r="BF3" s="45"/>
      <c r="BG3" s="45"/>
    </row>
    <row r="4" spans="1:59" x14ac:dyDescent="0.25">
      <c r="E4" s="758"/>
      <c r="P4" s="25"/>
    </row>
    <row r="5" spans="1:59" ht="31.5" x14ac:dyDescent="0.5">
      <c r="A5" s="40" t="s">
        <v>380</v>
      </c>
      <c r="B5" s="41"/>
      <c r="C5" s="41"/>
      <c r="D5" s="41"/>
      <c r="E5" s="41"/>
      <c r="F5" s="41"/>
      <c r="G5" s="41"/>
      <c r="H5" s="41"/>
      <c r="I5" s="41"/>
      <c r="J5" s="41"/>
      <c r="K5" s="41"/>
      <c r="L5" s="41"/>
      <c r="M5" s="41"/>
      <c r="N5" s="41"/>
      <c r="O5" s="41"/>
      <c r="P5" s="25"/>
    </row>
    <row r="6" spans="1:59" ht="38.25" x14ac:dyDescent="0.25">
      <c r="A6" s="6" t="s">
        <v>0</v>
      </c>
      <c r="B6" s="6" t="s">
        <v>838</v>
      </c>
      <c r="C6" s="6" t="s">
        <v>839</v>
      </c>
      <c r="D6" s="6" t="s">
        <v>428</v>
      </c>
      <c r="E6" s="6" t="s">
        <v>422</v>
      </c>
      <c r="F6" s="6" t="s">
        <v>423</v>
      </c>
      <c r="G6" s="6" t="s">
        <v>421</v>
      </c>
      <c r="H6" s="6" t="s">
        <v>429</v>
      </c>
      <c r="I6" s="6" t="s">
        <v>430</v>
      </c>
      <c r="J6" s="6" t="s">
        <v>431</v>
      </c>
      <c r="K6" s="6" t="s">
        <v>432</v>
      </c>
      <c r="L6" s="6" t="s">
        <v>427</v>
      </c>
      <c r="M6" s="11" t="s">
        <v>502</v>
      </c>
      <c r="N6" s="11" t="s">
        <v>501</v>
      </c>
      <c r="O6" s="11" t="s">
        <v>503</v>
      </c>
      <c r="P6" s="25"/>
    </row>
    <row r="7" spans="1:59" x14ac:dyDescent="0.25">
      <c r="A7" s="18" t="s">
        <v>5</v>
      </c>
      <c r="B7" s="24">
        <f>SUMIFS(Camplist_HH,Camplist_Township,'Shelter Progress'!$A7,Camplist_Type_Of_Acc,"Camp")</f>
        <v>1297</v>
      </c>
      <c r="C7" s="24">
        <f>SUMIFS(Camplist_Popl,Camplist_Township,'Shelter Progress'!$A7,Camplist_Type_Of_Acc,"Camp")</f>
        <v>7446</v>
      </c>
      <c r="D7" s="39">
        <f t="shared" ref="D7:D28" si="0">SUMIF(Col_Shelter_Township,$A7,Col_Shelter_Tent_Dist)</f>
        <v>0</v>
      </c>
      <c r="E7" s="39">
        <f t="shared" ref="E7:E28" si="1">SUMIF(Col_Shelter_Township,$A7,Col_Shelter_Temp_B)</f>
        <v>1043</v>
      </c>
      <c r="F7" s="39">
        <f t="shared" ref="F7:F28" si="2">SUMIF(Col_Shelter_Township,$A7,Col_Shelter_Temp_U)</f>
        <v>140</v>
      </c>
      <c r="G7" s="39">
        <f t="shared" ref="G7:G28" si="3">SUMIF(Col_Shelter_Township,$A7,Col_Shelter_Temp_P)</f>
        <v>1257</v>
      </c>
      <c r="H7" s="39">
        <f>SUMIF(Col_Shelter_Township,$A7,Col_Shelter_Perm_B)</f>
        <v>0</v>
      </c>
      <c r="I7" s="39">
        <f t="shared" ref="I7:I28" si="4">SUMIF(Col_Shelter_Township,$A7,Col_Shelter_Perm_U)</f>
        <v>0</v>
      </c>
      <c r="J7" s="39">
        <f t="shared" ref="J7:J28" si="5">SUMIF(Col_Shelter_Township,$A7,Col_Shelter_Perm_P)</f>
        <v>0</v>
      </c>
      <c r="K7" s="39">
        <f>B7-M7</f>
        <v>931</v>
      </c>
      <c r="L7" s="376">
        <f>K7*P7</f>
        <v>5344.8157286044725</v>
      </c>
      <c r="M7" s="942">
        <f>SUMIFS(Shelter_Gap,Camplist_Township,'Shelter Progress'!$A7,Camplist_Type_Of_Acc,"Camp")</f>
        <v>366</v>
      </c>
      <c r="N7" s="247">
        <f>IF(IFERROR(K7/B7,0)&gt;1,1,IFERROR(K7/B7,0))</f>
        <v>0.71781033153430995</v>
      </c>
      <c r="O7" s="248">
        <f>MAX(0,C7-L7)</f>
        <v>2101.1842713955275</v>
      </c>
      <c r="P7" s="25">
        <f>IF(B7=0,5,C7/B7)</f>
        <v>5.7409406322282193</v>
      </c>
    </row>
    <row r="8" spans="1:59" x14ac:dyDescent="0.25">
      <c r="A8" s="18" t="s">
        <v>27</v>
      </c>
      <c r="B8" s="24">
        <f>SUMIFS(Camplist_HH,Camplist_Township,'Shelter Progress'!$A8,Camplist_Type_Of_Acc,"Camp")</f>
        <v>498</v>
      </c>
      <c r="C8" s="24">
        <f>SUMIFS(Camplist_Popl,Camplist_Township,'Shelter Progress'!$A8,Camplist_Type_Of_Acc,"Camp")</f>
        <v>2556</v>
      </c>
      <c r="D8" s="39">
        <f t="shared" si="0"/>
        <v>0</v>
      </c>
      <c r="E8" s="39">
        <f t="shared" si="1"/>
        <v>190</v>
      </c>
      <c r="F8" s="39">
        <f t="shared" si="2"/>
        <v>0</v>
      </c>
      <c r="G8" s="39">
        <f t="shared" si="3"/>
        <v>205</v>
      </c>
      <c r="H8" s="39">
        <f t="shared" ref="H8:H28" si="6">SUMIF(Col_Shelter_Township,$A8,Col_Shelter_Perm_B)</f>
        <v>0</v>
      </c>
      <c r="I8" s="39">
        <f t="shared" si="4"/>
        <v>0</v>
      </c>
      <c r="J8" s="39">
        <f t="shared" si="5"/>
        <v>0</v>
      </c>
      <c r="K8" s="39">
        <f t="shared" ref="K8:K28" si="7">B8-M8</f>
        <v>180</v>
      </c>
      <c r="L8" s="376">
        <f t="shared" ref="L8:L27" si="8">K8*P8</f>
        <v>923.85542168674692</v>
      </c>
      <c r="M8" s="942">
        <f>SUMIFS(Shelter_Gap,Camplist_Township,'Shelter Progress'!$A8,Camplist_Type_Of_Acc,"Camp")</f>
        <v>318</v>
      </c>
      <c r="N8" s="247">
        <f t="shared" ref="N8:N28" si="9">IF(IFERROR(K8/B8,0)&gt;1,1,IFERROR(K8/B8,0))</f>
        <v>0.36144578313253012</v>
      </c>
      <c r="O8" s="248">
        <f t="shared" ref="O8:O28" si="10">MAX(0,C8-L8)</f>
        <v>1632.1445783132531</v>
      </c>
      <c r="P8" s="25">
        <f t="shared" ref="P8:P28" si="11">IF(B8=0,5,C8/B8)</f>
        <v>5.1325301204819276</v>
      </c>
    </row>
    <row r="9" spans="1:59" x14ac:dyDescent="0.25">
      <c r="A9" s="249" t="s">
        <v>526</v>
      </c>
      <c r="B9" s="24">
        <f>SUMIFS(Camplist_HH,Camplist_Township,'Shelter Progress'!$A9,Camplist_Type_Of_Acc,"Camp")</f>
        <v>719</v>
      </c>
      <c r="C9" s="24">
        <f>SUMIFS(Camplist_Popl,Camplist_Township,'Shelter Progress'!$A9,Camplist_Type_Of_Acc,"Camp")</f>
        <v>3537</v>
      </c>
      <c r="D9" s="39">
        <f t="shared" si="0"/>
        <v>228</v>
      </c>
      <c r="E9" s="39">
        <f t="shared" si="1"/>
        <v>591</v>
      </c>
      <c r="F9" s="39">
        <f t="shared" si="2"/>
        <v>0</v>
      </c>
      <c r="G9" s="39">
        <f t="shared" si="3"/>
        <v>641</v>
      </c>
      <c r="H9" s="39">
        <f t="shared" si="6"/>
        <v>0</v>
      </c>
      <c r="I9" s="39">
        <f t="shared" si="4"/>
        <v>0</v>
      </c>
      <c r="J9" s="39">
        <f t="shared" si="5"/>
        <v>0</v>
      </c>
      <c r="K9" s="39">
        <f t="shared" si="7"/>
        <v>335</v>
      </c>
      <c r="L9" s="376">
        <f t="shared" si="8"/>
        <v>1647.9763560500696</v>
      </c>
      <c r="M9" s="942">
        <f>SUMIFS(Shelter_Gap,Camplist_Township,'Shelter Progress'!$A9,Camplist_Type_Of_Acc,"Camp")</f>
        <v>384</v>
      </c>
      <c r="N9" s="247">
        <f t="shared" si="9"/>
        <v>0.46592489568845619</v>
      </c>
      <c r="O9" s="248">
        <f t="shared" si="10"/>
        <v>1889.0236439499304</v>
      </c>
      <c r="P9" s="25">
        <f t="shared" si="11"/>
        <v>4.9193324061196106</v>
      </c>
    </row>
    <row r="10" spans="1:59" x14ac:dyDescent="0.25">
      <c r="A10" s="18" t="s">
        <v>778</v>
      </c>
      <c r="B10" s="24">
        <f>SUMIFS(Camplist_HH,Camplist_Township,'Shelter Progress'!$A10,Camplist_Type_Of_Acc,"Camp")</f>
        <v>34</v>
      </c>
      <c r="C10" s="24">
        <f>SUMIFS(Camplist_Popl,Camplist_Township,'Shelter Progress'!$A10,Camplist_Type_Of_Acc,"Camp")</f>
        <v>185</v>
      </c>
      <c r="D10" s="39">
        <f t="shared" si="0"/>
        <v>0</v>
      </c>
      <c r="E10" s="39">
        <f t="shared" si="1"/>
        <v>35</v>
      </c>
      <c r="F10" s="39">
        <f t="shared" si="2"/>
        <v>0</v>
      </c>
      <c r="G10" s="39">
        <f t="shared" si="3"/>
        <v>35</v>
      </c>
      <c r="H10" s="39">
        <f t="shared" si="6"/>
        <v>0</v>
      </c>
      <c r="I10" s="39">
        <f t="shared" si="4"/>
        <v>0</v>
      </c>
      <c r="J10" s="39">
        <f t="shared" si="5"/>
        <v>0</v>
      </c>
      <c r="K10" s="39">
        <f t="shared" si="7"/>
        <v>34</v>
      </c>
      <c r="L10" s="376">
        <f t="shared" si="8"/>
        <v>185</v>
      </c>
      <c r="M10" s="942">
        <f>SUMIFS(Shelter_Gap,Camplist_Township,'Shelter Progress'!$A10,Camplist_Type_Of_Acc,"Camp")</f>
        <v>0</v>
      </c>
      <c r="N10" s="247">
        <f t="shared" si="9"/>
        <v>1</v>
      </c>
      <c r="O10" s="248">
        <f>MAX(0,C10-L10)</f>
        <v>0</v>
      </c>
      <c r="P10" s="25">
        <f t="shared" si="11"/>
        <v>5.4411764705882355</v>
      </c>
    </row>
    <row r="11" spans="1:59" s="297" customFormat="1" x14ac:dyDescent="0.25">
      <c r="A11" s="18" t="s">
        <v>1481</v>
      </c>
      <c r="B11" s="24">
        <f>SUMIFS(Camplist_HH,Camplist_Township,'Shelter Progress'!$A11,Camplist_Type_Of_Acc,"Camp")</f>
        <v>37</v>
      </c>
      <c r="C11" s="24">
        <f>SUMIFS(Camplist_Popl,Camplist_Township,'Shelter Progress'!$A11,Camplist_Type_Of_Acc,"Camp")</f>
        <v>120</v>
      </c>
      <c r="D11" s="39">
        <f t="shared" si="0"/>
        <v>0</v>
      </c>
      <c r="E11" s="39">
        <f t="shared" si="1"/>
        <v>0</v>
      </c>
      <c r="F11" s="39">
        <f t="shared" si="2"/>
        <v>0</v>
      </c>
      <c r="G11" s="39">
        <f t="shared" si="3"/>
        <v>0</v>
      </c>
      <c r="H11" s="39">
        <f t="shared" si="6"/>
        <v>0</v>
      </c>
      <c r="I11" s="39">
        <f t="shared" si="4"/>
        <v>0</v>
      </c>
      <c r="J11" s="39">
        <f t="shared" si="5"/>
        <v>0</v>
      </c>
      <c r="K11" s="39">
        <f t="shared" si="7"/>
        <v>0</v>
      </c>
      <c r="L11" s="376">
        <f>K11*P11</f>
        <v>0</v>
      </c>
      <c r="M11" s="942">
        <f>SUMIFS(Shelter_Gap,Camplist_Township,'Shelter Progress'!$A11,Camplist_Type_Of_Acc,"Camp")</f>
        <v>37</v>
      </c>
      <c r="N11" s="247">
        <f t="shared" si="9"/>
        <v>0</v>
      </c>
      <c r="O11" s="248">
        <f t="shared" si="10"/>
        <v>120</v>
      </c>
      <c r="P11" s="25">
        <f t="shared" si="11"/>
        <v>3.2432432432432434</v>
      </c>
    </row>
    <row r="12" spans="1:59" x14ac:dyDescent="0.25">
      <c r="A12" s="16" t="s">
        <v>363</v>
      </c>
      <c r="B12" s="24">
        <f>SUMIFS(Camplist_HH,Camplist_Township,'Shelter Progress'!$A12,Camplist_Type_Of_Acc,"Camp")</f>
        <v>0</v>
      </c>
      <c r="C12" s="24">
        <f>SUMIFS(Camplist_Popl,Camplist_Township,'Shelter Progress'!$A12,Camplist_Type_Of_Acc,"Camp")</f>
        <v>0</v>
      </c>
      <c r="D12" s="39">
        <f t="shared" si="0"/>
        <v>0</v>
      </c>
      <c r="E12" s="39">
        <f t="shared" si="1"/>
        <v>0</v>
      </c>
      <c r="F12" s="39">
        <f t="shared" si="2"/>
        <v>0</v>
      </c>
      <c r="G12" s="39">
        <f t="shared" si="3"/>
        <v>0</v>
      </c>
      <c r="H12" s="39">
        <f t="shared" si="6"/>
        <v>0</v>
      </c>
      <c r="I12" s="39">
        <f t="shared" si="4"/>
        <v>0</v>
      </c>
      <c r="J12" s="39">
        <f t="shared" si="5"/>
        <v>0</v>
      </c>
      <c r="K12" s="39">
        <f t="shared" si="7"/>
        <v>0</v>
      </c>
      <c r="L12" s="376">
        <f t="shared" si="8"/>
        <v>0</v>
      </c>
      <c r="M12" s="942">
        <f>SUMIFS(Shelter_Gap,Camplist_Township,'Shelter Progress'!$A12,Camplist_Type_Of_Acc,"Camp")</f>
        <v>0</v>
      </c>
      <c r="N12" s="247">
        <f t="shared" si="9"/>
        <v>0</v>
      </c>
      <c r="O12" s="248">
        <f t="shared" si="10"/>
        <v>0</v>
      </c>
      <c r="P12" s="25">
        <f t="shared" si="11"/>
        <v>5</v>
      </c>
    </row>
    <row r="13" spans="1:59" x14ac:dyDescent="0.25">
      <c r="A13" s="18" t="s">
        <v>144</v>
      </c>
      <c r="B13" s="24">
        <f>SUMIFS(Camplist_HH,Camplist_Township,'Shelter Progress'!$A13,Camplist_Type_Of_Acc,"Camp")</f>
        <v>0</v>
      </c>
      <c r="C13" s="24">
        <f>SUMIFS(Camplist_Popl,Camplist_Township,'Shelter Progress'!$A13,Camplist_Type_Of_Acc,"Camp")</f>
        <v>0</v>
      </c>
      <c r="D13" s="39">
        <f t="shared" si="0"/>
        <v>0</v>
      </c>
      <c r="E13" s="39">
        <f t="shared" si="1"/>
        <v>0</v>
      </c>
      <c r="F13" s="39">
        <f t="shared" si="2"/>
        <v>0</v>
      </c>
      <c r="G13" s="39">
        <f t="shared" si="3"/>
        <v>0</v>
      </c>
      <c r="H13" s="39">
        <f t="shared" si="6"/>
        <v>0</v>
      </c>
      <c r="I13" s="39">
        <f t="shared" si="4"/>
        <v>0</v>
      </c>
      <c r="J13" s="39">
        <f t="shared" si="5"/>
        <v>0</v>
      </c>
      <c r="K13" s="39">
        <f t="shared" si="7"/>
        <v>0</v>
      </c>
      <c r="L13" s="376">
        <f t="shared" si="8"/>
        <v>0</v>
      </c>
      <c r="M13" s="942">
        <f>SUMIFS(Shelter_Gap,Camplist_Township,'Shelter Progress'!$A13,Camplist_Type_Of_Acc,"Camp")</f>
        <v>0</v>
      </c>
      <c r="N13" s="247">
        <f t="shared" si="9"/>
        <v>0</v>
      </c>
      <c r="O13" s="248">
        <f t="shared" si="10"/>
        <v>0</v>
      </c>
      <c r="P13" s="25">
        <f t="shared" si="11"/>
        <v>5</v>
      </c>
    </row>
    <row r="14" spans="1:59" x14ac:dyDescent="0.25">
      <c r="A14" s="18" t="s">
        <v>146</v>
      </c>
      <c r="B14" s="24">
        <f>SUMIFS(Camplist_HH,Camplist_Township,'Shelter Progress'!$A14,Camplist_Type_Of_Acc,"Camp")</f>
        <v>854</v>
      </c>
      <c r="C14" s="24">
        <f>SUMIFS(Camplist_Popl,Camplist_Township,'Shelter Progress'!$A14,Camplist_Type_Of_Acc,"Camp")</f>
        <v>4142</v>
      </c>
      <c r="D14" s="39">
        <f t="shared" si="0"/>
        <v>0</v>
      </c>
      <c r="E14" s="39">
        <f t="shared" si="1"/>
        <v>444</v>
      </c>
      <c r="F14" s="39">
        <f t="shared" si="2"/>
        <v>0</v>
      </c>
      <c r="G14" s="39">
        <f t="shared" si="3"/>
        <v>444</v>
      </c>
      <c r="H14" s="39">
        <f t="shared" si="6"/>
        <v>0</v>
      </c>
      <c r="I14" s="39">
        <f t="shared" si="4"/>
        <v>0</v>
      </c>
      <c r="J14" s="39">
        <f t="shared" si="5"/>
        <v>0</v>
      </c>
      <c r="K14" s="39">
        <f t="shared" si="7"/>
        <v>282</v>
      </c>
      <c r="L14" s="376">
        <f t="shared" si="8"/>
        <v>1367.7330210772834</v>
      </c>
      <c r="M14" s="942">
        <f>SUMIFS(Shelter_Gap,Camplist_Township,'Shelter Progress'!$A14,Camplist_Type_Of_Acc,"Camp")</f>
        <v>572</v>
      </c>
      <c r="N14" s="247">
        <f t="shared" si="9"/>
        <v>0.33021077283372363</v>
      </c>
      <c r="O14" s="248">
        <f t="shared" si="10"/>
        <v>2774.2669789227166</v>
      </c>
      <c r="P14" s="25">
        <f t="shared" si="11"/>
        <v>4.8501170960187352</v>
      </c>
    </row>
    <row r="15" spans="1:59" x14ac:dyDescent="0.25">
      <c r="A15" s="18" t="s">
        <v>891</v>
      </c>
      <c r="B15" s="24">
        <f>SUMIFS(Camplist_HH,Camplist_Township,'Shelter Progress'!$A15,Camplist_Type_Of_Acc,"Camp")</f>
        <v>0</v>
      </c>
      <c r="C15" s="24">
        <f>SUMIFS(Camplist_Popl,Camplist_Township,'Shelter Progress'!$A15,Camplist_Type_Of_Acc,"Camp")</f>
        <v>0</v>
      </c>
      <c r="D15" s="39">
        <f t="shared" si="0"/>
        <v>0</v>
      </c>
      <c r="E15" s="39">
        <f t="shared" si="1"/>
        <v>0</v>
      </c>
      <c r="F15" s="39">
        <f t="shared" si="2"/>
        <v>0</v>
      </c>
      <c r="G15" s="39">
        <f t="shared" si="3"/>
        <v>0</v>
      </c>
      <c r="H15" s="39">
        <f t="shared" si="6"/>
        <v>0</v>
      </c>
      <c r="I15" s="39">
        <f t="shared" si="4"/>
        <v>0</v>
      </c>
      <c r="J15" s="39">
        <f t="shared" si="5"/>
        <v>0</v>
      </c>
      <c r="K15" s="39">
        <f t="shared" si="7"/>
        <v>0</v>
      </c>
      <c r="L15" s="376">
        <f t="shared" si="8"/>
        <v>0</v>
      </c>
      <c r="M15" s="942">
        <f>SUMIFS(Shelter_Gap,Camplist_Township,'Shelter Progress'!$A15,Camplist_Type_Of_Acc,"Camp")</f>
        <v>0</v>
      </c>
      <c r="N15" s="247">
        <f t="shared" si="9"/>
        <v>0</v>
      </c>
      <c r="O15" s="248">
        <f t="shared" si="10"/>
        <v>0</v>
      </c>
      <c r="P15" s="25">
        <f t="shared" si="11"/>
        <v>5</v>
      </c>
    </row>
    <row r="16" spans="1:59" x14ac:dyDescent="0.25">
      <c r="A16" s="18" t="s">
        <v>151</v>
      </c>
      <c r="B16" s="24">
        <f>SUMIFS(Camplist_HH,Camplist_Township,'Shelter Progress'!$A16,Camplist_Type_Of_Acc,"Camp")</f>
        <v>2513</v>
      </c>
      <c r="C16" s="24">
        <f>SUMIFS(Camplist_Popl,Camplist_Township,'Shelter Progress'!$A16,Camplist_Type_Of_Acc,"Camp")</f>
        <v>11961</v>
      </c>
      <c r="D16" s="39">
        <f t="shared" si="0"/>
        <v>400</v>
      </c>
      <c r="E16" s="39">
        <f t="shared" si="1"/>
        <v>1902</v>
      </c>
      <c r="F16" s="39">
        <f t="shared" si="2"/>
        <v>20</v>
      </c>
      <c r="G16" s="39">
        <f t="shared" si="3"/>
        <v>2249</v>
      </c>
      <c r="H16" s="39">
        <f t="shared" si="6"/>
        <v>0</v>
      </c>
      <c r="I16" s="39">
        <f t="shared" si="4"/>
        <v>0</v>
      </c>
      <c r="J16" s="39">
        <f t="shared" si="5"/>
        <v>0</v>
      </c>
      <c r="K16" s="39">
        <f t="shared" si="7"/>
        <v>1462</v>
      </c>
      <c r="L16" s="376">
        <f t="shared" si="8"/>
        <v>6958.6080382013533</v>
      </c>
      <c r="M16" s="942">
        <f>SUMIFS(Shelter_Gap,Camplist_Township,'Shelter Progress'!$A16,Camplist_Type_Of_Acc,"Camp")</f>
        <v>1051</v>
      </c>
      <c r="N16" s="247">
        <f t="shared" si="9"/>
        <v>0.58177477118981302</v>
      </c>
      <c r="O16" s="248">
        <f t="shared" si="10"/>
        <v>5002.3919617986467</v>
      </c>
      <c r="P16" s="25">
        <f t="shared" si="11"/>
        <v>4.7596498209311582</v>
      </c>
    </row>
    <row r="17" spans="1:16" x14ac:dyDescent="0.25">
      <c r="A17" s="18" t="s">
        <v>166</v>
      </c>
      <c r="B17" s="24">
        <f>SUMIFS(Camplist_HH,Camplist_Township,'Shelter Progress'!$A17,Camplist_Type_Of_Acc,"Camp")</f>
        <v>100</v>
      </c>
      <c r="C17" s="24">
        <f>SUMIFS(Camplist_Popl,Camplist_Township,'Shelter Progress'!$A17,Camplist_Type_Of_Acc,"Camp")</f>
        <v>544</v>
      </c>
      <c r="D17" s="39">
        <f t="shared" si="0"/>
        <v>0</v>
      </c>
      <c r="E17" s="39">
        <f t="shared" si="1"/>
        <v>80</v>
      </c>
      <c r="F17" s="39">
        <f t="shared" si="2"/>
        <v>0</v>
      </c>
      <c r="G17" s="39">
        <f t="shared" si="3"/>
        <v>80</v>
      </c>
      <c r="H17" s="39">
        <f t="shared" si="6"/>
        <v>0</v>
      </c>
      <c r="I17" s="39">
        <f t="shared" si="4"/>
        <v>0</v>
      </c>
      <c r="J17" s="39">
        <f t="shared" si="5"/>
        <v>0</v>
      </c>
      <c r="K17" s="39">
        <f t="shared" si="7"/>
        <v>64</v>
      </c>
      <c r="L17" s="376">
        <f t="shared" si="8"/>
        <v>348.16</v>
      </c>
      <c r="M17" s="942">
        <f>SUMIFS(Shelter_Gap,Camplist_Township,'Shelter Progress'!$A17,Camplist_Type_Of_Acc,"Camp")</f>
        <v>36</v>
      </c>
      <c r="N17" s="247">
        <f t="shared" si="9"/>
        <v>0.64</v>
      </c>
      <c r="O17" s="248">
        <f t="shared" si="10"/>
        <v>195.83999999999997</v>
      </c>
      <c r="P17" s="25">
        <f t="shared" si="11"/>
        <v>5.44</v>
      </c>
    </row>
    <row r="18" spans="1:16" x14ac:dyDescent="0.25">
      <c r="A18" s="18" t="s">
        <v>173</v>
      </c>
      <c r="B18" s="24">
        <f>SUMIFS(Camplist_HH,Camplist_Township,'Shelter Progress'!$A18,Camplist_Type_Of_Acc,"Camp")</f>
        <v>75</v>
      </c>
      <c r="C18" s="24">
        <f>SUMIFS(Camplist_Popl,Camplist_Township,'Shelter Progress'!$A18,Camplist_Type_Of_Acc,"Camp")</f>
        <v>350</v>
      </c>
      <c r="D18" s="39">
        <f t="shared" si="0"/>
        <v>0</v>
      </c>
      <c r="E18" s="39">
        <f t="shared" si="1"/>
        <v>80</v>
      </c>
      <c r="F18" s="39">
        <f t="shared" si="2"/>
        <v>0</v>
      </c>
      <c r="G18" s="39">
        <f t="shared" si="3"/>
        <v>80</v>
      </c>
      <c r="H18" s="39">
        <f t="shared" si="6"/>
        <v>0</v>
      </c>
      <c r="I18" s="39">
        <f t="shared" si="4"/>
        <v>0</v>
      </c>
      <c r="J18" s="39">
        <f t="shared" si="5"/>
        <v>0</v>
      </c>
      <c r="K18" s="39">
        <f t="shared" si="7"/>
        <v>63</v>
      </c>
      <c r="L18" s="376">
        <f t="shared" si="8"/>
        <v>294</v>
      </c>
      <c r="M18" s="942">
        <f>SUMIFS(Shelter_Gap,Camplist_Township,'Shelter Progress'!$A18,Camplist_Type_Of_Acc,"Camp")</f>
        <v>12</v>
      </c>
      <c r="N18" s="247">
        <f t="shared" si="9"/>
        <v>0.84</v>
      </c>
      <c r="O18" s="248">
        <f t="shared" si="10"/>
        <v>56</v>
      </c>
      <c r="P18" s="25">
        <f t="shared" si="11"/>
        <v>4.666666666666667</v>
      </c>
    </row>
    <row r="19" spans="1:16" x14ac:dyDescent="0.25">
      <c r="A19" s="18" t="s">
        <v>180</v>
      </c>
      <c r="B19" s="24">
        <f>SUMIFS(Camplist_HH,Camplist_Township,'Shelter Progress'!$A19,Camplist_Type_Of_Acc,"Camp")</f>
        <v>30</v>
      </c>
      <c r="C19" s="24">
        <f>SUMIFS(Camplist_Popl,Camplist_Township,'Shelter Progress'!$A19,Camplist_Type_Of_Acc,"Camp")</f>
        <v>160</v>
      </c>
      <c r="D19" s="39">
        <f t="shared" si="0"/>
        <v>0</v>
      </c>
      <c r="E19" s="39">
        <f t="shared" si="1"/>
        <v>42</v>
      </c>
      <c r="F19" s="39">
        <f t="shared" si="2"/>
        <v>0</v>
      </c>
      <c r="G19" s="39">
        <f t="shared" si="3"/>
        <v>42</v>
      </c>
      <c r="H19" s="39">
        <f t="shared" si="6"/>
        <v>0</v>
      </c>
      <c r="I19" s="39">
        <f t="shared" si="4"/>
        <v>0</v>
      </c>
      <c r="J19" s="39">
        <f t="shared" si="5"/>
        <v>0</v>
      </c>
      <c r="K19" s="39">
        <f t="shared" si="7"/>
        <v>30</v>
      </c>
      <c r="L19" s="376">
        <f t="shared" si="8"/>
        <v>160</v>
      </c>
      <c r="M19" s="942">
        <f>SUMIFS(Shelter_Gap,Camplist_Township,'Shelter Progress'!$A19,Camplist_Type_Of_Acc,"Camp")</f>
        <v>0</v>
      </c>
      <c r="N19" s="247">
        <f t="shared" si="9"/>
        <v>1</v>
      </c>
      <c r="O19" s="248">
        <f t="shared" si="10"/>
        <v>0</v>
      </c>
      <c r="P19" s="25">
        <f t="shared" si="11"/>
        <v>5.333333333333333</v>
      </c>
    </row>
    <row r="20" spans="1:16" x14ac:dyDescent="0.25">
      <c r="A20" s="18" t="s">
        <v>185</v>
      </c>
      <c r="B20" s="24">
        <f>SUMIFS(Camplist_HH,Camplist_Township,'Shelter Progress'!$A20,Camplist_Type_Of_Acc,"Camp")</f>
        <v>4400</v>
      </c>
      <c r="C20" s="24">
        <f>SUMIFS(Camplist_Popl,Camplist_Township,'Shelter Progress'!$A20,Camplist_Type_Of_Acc,"Camp")</f>
        <v>23092</v>
      </c>
      <c r="D20" s="39">
        <f t="shared" si="0"/>
        <v>0</v>
      </c>
      <c r="E20" s="39">
        <f t="shared" si="1"/>
        <v>4862</v>
      </c>
      <c r="F20" s="39">
        <f t="shared" si="2"/>
        <v>0</v>
      </c>
      <c r="G20" s="39">
        <f t="shared" si="3"/>
        <v>5165</v>
      </c>
      <c r="H20" s="39">
        <f t="shared" si="6"/>
        <v>0</v>
      </c>
      <c r="I20" s="39">
        <f t="shared" si="4"/>
        <v>0</v>
      </c>
      <c r="J20" s="39">
        <f t="shared" si="5"/>
        <v>0</v>
      </c>
      <c r="K20" s="39">
        <f t="shared" si="7"/>
        <v>3573</v>
      </c>
      <c r="L20" s="376">
        <f t="shared" si="8"/>
        <v>18751.753636363635</v>
      </c>
      <c r="M20" s="942">
        <f>SUMIFS(Shelter_Gap,Camplist_Township,'Shelter Progress'!$A20,Camplist_Type_Of_Acc,"Camp")</f>
        <v>827</v>
      </c>
      <c r="N20" s="247">
        <f t="shared" si="9"/>
        <v>0.81204545454545451</v>
      </c>
      <c r="O20" s="248">
        <f t="shared" si="10"/>
        <v>4340.2463636363645</v>
      </c>
      <c r="P20" s="25">
        <f t="shared" si="11"/>
        <v>5.2481818181818181</v>
      </c>
    </row>
    <row r="21" spans="1:16" x14ac:dyDescent="0.25">
      <c r="A21" s="18" t="s">
        <v>230</v>
      </c>
      <c r="B21" s="24">
        <f>SUMIFS(Camplist_HH,Camplist_Township,'Shelter Progress'!$A21,Camplist_Type_Of_Acc,"Camp")</f>
        <v>286</v>
      </c>
      <c r="C21" s="24">
        <f>SUMIFS(Camplist_Popl,Camplist_Township,'Shelter Progress'!$A21,Camplist_Type_Of_Acc,"Camp")</f>
        <v>1323</v>
      </c>
      <c r="D21" s="39">
        <f t="shared" si="0"/>
        <v>110</v>
      </c>
      <c r="E21" s="39">
        <f t="shared" si="1"/>
        <v>93</v>
      </c>
      <c r="F21" s="39">
        <f t="shared" si="2"/>
        <v>0</v>
      </c>
      <c r="G21" s="39">
        <f t="shared" si="3"/>
        <v>93</v>
      </c>
      <c r="H21" s="39">
        <f t="shared" si="6"/>
        <v>0</v>
      </c>
      <c r="I21" s="39">
        <f t="shared" si="4"/>
        <v>0</v>
      </c>
      <c r="J21" s="39">
        <f t="shared" si="5"/>
        <v>0</v>
      </c>
      <c r="K21" s="39">
        <f t="shared" si="7"/>
        <v>78</v>
      </c>
      <c r="L21" s="376">
        <f t="shared" si="8"/>
        <v>360.81818181818181</v>
      </c>
      <c r="M21" s="942">
        <f>SUMIFS(Shelter_Gap,Camplist_Township,'Shelter Progress'!$A21,Camplist_Type_Of_Acc,"Camp")</f>
        <v>208</v>
      </c>
      <c r="N21" s="247">
        <f t="shared" si="9"/>
        <v>0.27272727272727271</v>
      </c>
      <c r="O21" s="248">
        <f t="shared" si="10"/>
        <v>962.18181818181824</v>
      </c>
      <c r="P21" s="25">
        <f t="shared" si="11"/>
        <v>4.6258741258741258</v>
      </c>
    </row>
    <row r="22" spans="1:16" x14ac:dyDescent="0.25">
      <c r="A22" s="18" t="s">
        <v>237</v>
      </c>
      <c r="B22" s="24">
        <f>SUMIFS(Camplist_HH,Camplist_Township,'Shelter Progress'!$A22,Camplist_Type_Of_Acc,"Camp")</f>
        <v>1473</v>
      </c>
      <c r="C22" s="24">
        <f>SUMIFS(Camplist_Popl,Camplist_Township,'Shelter Progress'!$A22,Camplist_Type_Of_Acc,"Camp")</f>
        <v>7544</v>
      </c>
      <c r="D22" s="39">
        <f t="shared" si="0"/>
        <v>2</v>
      </c>
      <c r="E22" s="39">
        <f t="shared" si="1"/>
        <v>1127</v>
      </c>
      <c r="F22" s="39">
        <f t="shared" si="2"/>
        <v>35</v>
      </c>
      <c r="G22" s="39">
        <f t="shared" si="3"/>
        <v>1162</v>
      </c>
      <c r="H22" s="39">
        <f t="shared" si="6"/>
        <v>0</v>
      </c>
      <c r="I22" s="39">
        <f t="shared" si="4"/>
        <v>0</v>
      </c>
      <c r="J22" s="39">
        <f t="shared" si="5"/>
        <v>0</v>
      </c>
      <c r="K22" s="39">
        <f t="shared" si="7"/>
        <v>1005</v>
      </c>
      <c r="L22" s="376">
        <f t="shared" si="8"/>
        <v>5147.1283095723011</v>
      </c>
      <c r="M22" s="942">
        <f>SUMIFS(Shelter_Gap,Camplist_Township,'Shelter Progress'!$A22,Camplist_Type_Of_Acc,"Camp")</f>
        <v>468</v>
      </c>
      <c r="N22" s="247">
        <f t="shared" si="9"/>
        <v>0.68228105906313641</v>
      </c>
      <c r="O22" s="248">
        <f t="shared" si="10"/>
        <v>2396.8716904276989</v>
      </c>
      <c r="P22" s="25">
        <f t="shared" si="11"/>
        <v>5.1215207060420909</v>
      </c>
    </row>
    <row r="23" spans="1:16" x14ac:dyDescent="0.25">
      <c r="A23" s="18" t="s">
        <v>289</v>
      </c>
      <c r="B23" s="24">
        <f>SUMIFS(Camplist_HH,Camplist_Township,'Shelter Progress'!$A23,Camplist_Type_Of_Acc,"Camp")</f>
        <v>402</v>
      </c>
      <c r="C23" s="24">
        <f>SUMIFS(Camplist_Popl,Camplist_Township,'Shelter Progress'!$A23,Camplist_Type_Of_Acc,"Camp")</f>
        <v>1976</v>
      </c>
      <c r="D23" s="39">
        <f t="shared" si="0"/>
        <v>0</v>
      </c>
      <c r="E23" s="39">
        <f t="shared" si="1"/>
        <v>237</v>
      </c>
      <c r="F23" s="39">
        <f t="shared" si="2"/>
        <v>0</v>
      </c>
      <c r="G23" s="39">
        <f t="shared" si="3"/>
        <v>263</v>
      </c>
      <c r="H23" s="39">
        <f t="shared" si="6"/>
        <v>0</v>
      </c>
      <c r="I23" s="39">
        <f t="shared" si="4"/>
        <v>0</v>
      </c>
      <c r="J23" s="39">
        <f t="shared" si="5"/>
        <v>0</v>
      </c>
      <c r="K23" s="39">
        <f t="shared" si="7"/>
        <v>212</v>
      </c>
      <c r="L23" s="376">
        <f t="shared" si="8"/>
        <v>1042.0696517412937</v>
      </c>
      <c r="M23" s="942">
        <f>SUMIFS(Shelter_Gap,Camplist_Township,'Shelter Progress'!$A23,Camplist_Type_Of_Acc,"Camp")</f>
        <v>190</v>
      </c>
      <c r="N23" s="247">
        <f t="shared" si="9"/>
        <v>0.52736318407960203</v>
      </c>
      <c r="O23" s="248">
        <f t="shared" si="10"/>
        <v>933.93034825870632</v>
      </c>
      <c r="P23" s="25">
        <f t="shared" si="11"/>
        <v>4.9154228855721396</v>
      </c>
    </row>
    <row r="24" spans="1:16" x14ac:dyDescent="0.25">
      <c r="A24" s="18" t="s">
        <v>298</v>
      </c>
      <c r="B24" s="24">
        <f>SUMIFS(Camplist_HH,Camplist_Township,'Shelter Progress'!$A24,Camplist_Type_Of_Acc,"Camp")</f>
        <v>170</v>
      </c>
      <c r="C24" s="24">
        <f>SUMIFS(Camplist_Popl,Camplist_Township,'Shelter Progress'!$A24,Camplist_Type_Of_Acc,"Camp")</f>
        <v>697</v>
      </c>
      <c r="D24" s="39">
        <f t="shared" si="0"/>
        <v>0</v>
      </c>
      <c r="E24" s="39">
        <f t="shared" si="1"/>
        <v>10</v>
      </c>
      <c r="F24" s="39">
        <f t="shared" si="2"/>
        <v>0</v>
      </c>
      <c r="G24" s="39">
        <f t="shared" si="3"/>
        <v>10</v>
      </c>
      <c r="H24" s="39">
        <f t="shared" si="6"/>
        <v>0</v>
      </c>
      <c r="I24" s="39">
        <f t="shared" si="4"/>
        <v>0</v>
      </c>
      <c r="J24" s="39">
        <f t="shared" si="5"/>
        <v>0</v>
      </c>
      <c r="K24" s="39">
        <f t="shared" si="7"/>
        <v>10</v>
      </c>
      <c r="L24" s="376">
        <f t="shared" si="8"/>
        <v>41</v>
      </c>
      <c r="M24" s="942">
        <f>SUMIFS(Shelter_Gap,Camplist_Township,'Shelter Progress'!$A24,Camplist_Type_Of_Acc,"Camp")</f>
        <v>160</v>
      </c>
      <c r="N24" s="247">
        <f>IF(IFERROR(K24/B24,0)&gt;1,1,IFERROR(K24/B24,0))</f>
        <v>5.8823529411764705E-2</v>
      </c>
      <c r="O24" s="248">
        <f t="shared" si="10"/>
        <v>656</v>
      </c>
      <c r="P24" s="25">
        <f t="shared" si="11"/>
        <v>4.0999999999999996</v>
      </c>
    </row>
    <row r="25" spans="1:16" s="62" customFormat="1" x14ac:dyDescent="0.25">
      <c r="A25" s="18" t="s">
        <v>300</v>
      </c>
      <c r="B25" s="24">
        <f>SUMIFS(Camplist_HH,Camplist_Township,'Shelter Progress'!$A25,Camplist_Type_Of_Acc,"Camp")</f>
        <v>61</v>
      </c>
      <c r="C25" s="24">
        <f>SUMIFS(Camplist_Popl,Camplist_Township,'Shelter Progress'!$A25,Camplist_Type_Of_Acc,"Camp")</f>
        <v>276</v>
      </c>
      <c r="D25" s="39">
        <f t="shared" si="0"/>
        <v>55</v>
      </c>
      <c r="E25" s="39">
        <f t="shared" si="1"/>
        <v>60</v>
      </c>
      <c r="F25" s="39">
        <f t="shared" si="2"/>
        <v>0</v>
      </c>
      <c r="G25" s="39">
        <f t="shared" si="3"/>
        <v>60</v>
      </c>
      <c r="H25" s="39">
        <f t="shared" si="6"/>
        <v>0</v>
      </c>
      <c r="I25" s="39">
        <f t="shared" si="4"/>
        <v>0</v>
      </c>
      <c r="J25" s="39">
        <f t="shared" si="5"/>
        <v>0</v>
      </c>
      <c r="K25" s="39">
        <f t="shared" si="7"/>
        <v>60</v>
      </c>
      <c r="L25" s="376">
        <f t="shared" si="8"/>
        <v>271.47540983606558</v>
      </c>
      <c r="M25" s="942">
        <f>SUMIFS(Shelter_Gap,Camplist_Township,'Shelter Progress'!$A25,Camplist_Type_Of_Acc,"Camp")</f>
        <v>1</v>
      </c>
      <c r="N25" s="247">
        <f t="shared" si="9"/>
        <v>0.98360655737704916</v>
      </c>
      <c r="O25" s="248">
        <f t="shared" si="10"/>
        <v>4.5245901639344197</v>
      </c>
      <c r="P25" s="25">
        <f t="shared" si="11"/>
        <v>4.5245901639344259</v>
      </c>
    </row>
    <row r="26" spans="1:16" s="62" customFormat="1" x14ac:dyDescent="0.25">
      <c r="A26" s="18" t="s">
        <v>302</v>
      </c>
      <c r="B26" s="24">
        <f>SUMIFS(Camplist_HH,Camplist_Township,'Shelter Progress'!$A26,Camplist_Type_Of_Acc,"Camp")</f>
        <v>129</v>
      </c>
      <c r="C26" s="24">
        <f>SUMIFS(Camplist_Popl,Camplist_Township,'Shelter Progress'!$A26,Camplist_Type_Of_Acc,"Camp")</f>
        <v>473</v>
      </c>
      <c r="D26" s="39">
        <f t="shared" si="0"/>
        <v>0</v>
      </c>
      <c r="E26" s="39">
        <f t="shared" si="1"/>
        <v>88</v>
      </c>
      <c r="F26" s="39">
        <f t="shared" si="2"/>
        <v>0</v>
      </c>
      <c r="G26" s="39">
        <f t="shared" si="3"/>
        <v>88</v>
      </c>
      <c r="H26" s="39">
        <f t="shared" si="6"/>
        <v>0</v>
      </c>
      <c r="I26" s="39">
        <f t="shared" si="4"/>
        <v>0</v>
      </c>
      <c r="J26" s="39">
        <f t="shared" si="5"/>
        <v>0</v>
      </c>
      <c r="K26" s="39">
        <f t="shared" si="7"/>
        <v>85</v>
      </c>
      <c r="L26" s="376">
        <f>K26*P26</f>
        <v>311.66666666666663</v>
      </c>
      <c r="M26" s="942">
        <f>SUMIFS(Shelter_Gap,Camplist_Township,'Shelter Progress'!$A26,Camplist_Type_Of_Acc,"Camp")</f>
        <v>44</v>
      </c>
      <c r="N26" s="247">
        <f t="shared" si="9"/>
        <v>0.65891472868217049</v>
      </c>
      <c r="O26" s="248">
        <f t="shared" si="10"/>
        <v>161.33333333333337</v>
      </c>
      <c r="P26" s="25">
        <f t="shared" si="11"/>
        <v>3.6666666666666665</v>
      </c>
    </row>
    <row r="27" spans="1:16" x14ac:dyDescent="0.25">
      <c r="A27" s="18" t="s">
        <v>807</v>
      </c>
      <c r="B27" s="24">
        <f>SUMIFS(Camplist_HH,Camplist_Township,'Shelter Progress'!$A27,Camplist_Type_Of_Acc,"Camp")</f>
        <v>141</v>
      </c>
      <c r="C27" s="24">
        <f>SUMIFS(Camplist_Popl,Camplist_Township,'Shelter Progress'!$A27,Camplist_Type_Of_Acc,"Camp")</f>
        <v>759</v>
      </c>
      <c r="D27" s="39">
        <f t="shared" si="0"/>
        <v>0</v>
      </c>
      <c r="E27" s="39">
        <f t="shared" si="1"/>
        <v>0</v>
      </c>
      <c r="F27" s="39">
        <f t="shared" si="2"/>
        <v>0</v>
      </c>
      <c r="G27" s="39">
        <f t="shared" si="3"/>
        <v>0</v>
      </c>
      <c r="H27" s="39">
        <f t="shared" si="6"/>
        <v>0</v>
      </c>
      <c r="I27" s="39">
        <f t="shared" si="4"/>
        <v>0</v>
      </c>
      <c r="J27" s="39">
        <f t="shared" si="5"/>
        <v>0</v>
      </c>
      <c r="K27" s="39">
        <f t="shared" si="7"/>
        <v>0</v>
      </c>
      <c r="L27" s="376">
        <f t="shared" si="8"/>
        <v>0</v>
      </c>
      <c r="M27" s="942">
        <f>SUMIFS(Shelter_Gap,Camplist_Township,'Shelter Progress'!$A27,Camplist_Type_Of_Acc,"Camp")</f>
        <v>141</v>
      </c>
      <c r="N27" s="247">
        <f t="shared" si="9"/>
        <v>0</v>
      </c>
      <c r="O27" s="248">
        <f t="shared" si="10"/>
        <v>759</v>
      </c>
      <c r="P27" s="25">
        <f t="shared" si="11"/>
        <v>5.3829787234042552</v>
      </c>
    </row>
    <row r="28" spans="1:16" s="37" customFormat="1" x14ac:dyDescent="0.25">
      <c r="A28" s="18" t="s">
        <v>310</v>
      </c>
      <c r="B28" s="24">
        <f>SUMIFS(Camplist_HH,Camplist_Township,'Shelter Progress'!$A28,Camplist_Type_Of_Acc,"Camp")</f>
        <v>4738</v>
      </c>
      <c r="C28" s="24">
        <f>SUMIFS(Camplist_Popl,Camplist_Township,'Shelter Progress'!$A28,Camplist_Type_Of_Acc,"Camp")</f>
        <v>23061</v>
      </c>
      <c r="D28" s="39">
        <f t="shared" si="0"/>
        <v>267</v>
      </c>
      <c r="E28" s="39">
        <f t="shared" si="1"/>
        <v>3630</v>
      </c>
      <c r="F28" s="39">
        <f t="shared" si="2"/>
        <v>152</v>
      </c>
      <c r="G28" s="39">
        <f t="shared" si="3"/>
        <v>4142</v>
      </c>
      <c r="H28" s="39">
        <f t="shared" si="6"/>
        <v>0</v>
      </c>
      <c r="I28" s="39">
        <f t="shared" si="4"/>
        <v>0</v>
      </c>
      <c r="J28" s="39">
        <f t="shared" si="5"/>
        <v>0</v>
      </c>
      <c r="K28" s="39">
        <f t="shared" si="7"/>
        <v>2550</v>
      </c>
      <c r="L28" s="376">
        <f>K28*P28</f>
        <v>12411.471084845925</v>
      </c>
      <c r="M28" s="942">
        <f>SUMIFS(Shelter_Gap,Camplist_Township,'Shelter Progress'!$A28,Camplist_Type_Of_Acc,"Camp")</f>
        <v>2188</v>
      </c>
      <c r="N28" s="247">
        <f t="shared" si="9"/>
        <v>0.53820177289995774</v>
      </c>
      <c r="O28" s="248">
        <f t="shared" si="10"/>
        <v>10649.528915154075</v>
      </c>
      <c r="P28" s="25">
        <f t="shared" si="11"/>
        <v>4.8672435626846768</v>
      </c>
    </row>
    <row r="29" spans="1:16" s="37" customFormat="1" x14ac:dyDescent="0.25">
      <c r="A29" s="242" t="s">
        <v>3</v>
      </c>
      <c r="B29" s="243">
        <f>SUM(B7:B28)</f>
        <v>17957</v>
      </c>
      <c r="C29" s="243">
        <f t="shared" ref="C29:J29" si="12">SUM(C7:C28)</f>
        <v>90202</v>
      </c>
      <c r="D29" s="243">
        <f t="shared" si="12"/>
        <v>1062</v>
      </c>
      <c r="E29" s="243">
        <f t="shared" si="12"/>
        <v>14514</v>
      </c>
      <c r="F29" s="243">
        <f t="shared" si="12"/>
        <v>347</v>
      </c>
      <c r="G29" s="243">
        <f>SUM(G7:G28)</f>
        <v>16016</v>
      </c>
      <c r="H29" s="243">
        <f t="shared" si="12"/>
        <v>0</v>
      </c>
      <c r="I29" s="243">
        <f t="shared" si="12"/>
        <v>0</v>
      </c>
      <c r="J29" s="243">
        <f t="shared" si="12"/>
        <v>0</v>
      </c>
      <c r="K29" s="243">
        <f>SUM(K7:K28)</f>
        <v>10954</v>
      </c>
      <c r="L29" s="244">
        <f>SUM(L7:L28)</f>
        <v>55567.531506464002</v>
      </c>
      <c r="M29" s="245">
        <f>SUM(M7:M28)</f>
        <v>7003</v>
      </c>
      <c r="N29" s="247">
        <f>IF(IFERROR(K29/B29,0)&gt;1,1,IFERROR(K29/B29,0))</f>
        <v>0.61001280837556382</v>
      </c>
      <c r="O29" s="246">
        <f>SUM(O7:O28)</f>
        <v>34634.468493536006</v>
      </c>
      <c r="P29" s="62"/>
    </row>
    <row r="30" spans="1:16" ht="271.5" hidden="1" customHeight="1" x14ac:dyDescent="0.25">
      <c r="A30" s="15" t="s">
        <v>507</v>
      </c>
      <c r="B30" s="1" t="s">
        <v>507</v>
      </c>
      <c r="C30" s="1"/>
      <c r="D30" s="1"/>
      <c r="E30" s="1"/>
      <c r="F30" s="1"/>
      <c r="G30" s="1"/>
      <c r="H30" s="1"/>
      <c r="I30" s="1"/>
      <c r="J30" s="1"/>
      <c r="K30" s="1"/>
      <c r="L30" s="1"/>
      <c r="M30" s="1"/>
      <c r="N30" s="1"/>
      <c r="O30" s="1"/>
    </row>
    <row r="31" spans="1:16" s="37" customFormat="1" hidden="1" x14ac:dyDescent="0.25">
      <c r="A31" s="15"/>
      <c r="P31" s="25"/>
    </row>
    <row r="32" spans="1:16" hidden="1" x14ac:dyDescent="0.25">
      <c r="A32" s="15" t="s">
        <v>506</v>
      </c>
      <c r="B32" t="s">
        <v>507</v>
      </c>
    </row>
    <row r="33" spans="1:15" ht="31.5" hidden="1" x14ac:dyDescent="0.5">
      <c r="A33" s="40" t="s">
        <v>381</v>
      </c>
      <c r="B33" s="41"/>
      <c r="C33" s="41"/>
      <c r="D33" s="41"/>
      <c r="E33" s="41"/>
      <c r="F33" s="41"/>
      <c r="G33" s="41"/>
      <c r="H33" s="41"/>
      <c r="I33" s="41"/>
      <c r="J33" s="41"/>
      <c r="K33" s="41"/>
      <c r="L33" s="41"/>
      <c r="M33" s="41"/>
      <c r="N33" s="41"/>
      <c r="O33" s="41"/>
    </row>
    <row r="34" spans="1:15" hidden="1" x14ac:dyDescent="0.25"/>
    <row r="35" spans="1:15" hidden="1" x14ac:dyDescent="0.25"/>
    <row r="36" spans="1:15" hidden="1" x14ac:dyDescent="0.25"/>
    <row r="37" spans="1:15" hidden="1" x14ac:dyDescent="0.25"/>
    <row r="38" spans="1:15" hidden="1" x14ac:dyDescent="0.25"/>
    <row r="39" spans="1:15" hidden="1" x14ac:dyDescent="0.25"/>
    <row r="40" spans="1:15" hidden="1" x14ac:dyDescent="0.25"/>
    <row r="41" spans="1:15" hidden="1" x14ac:dyDescent="0.25"/>
    <row r="42" spans="1:15" hidden="1" x14ac:dyDescent="0.25"/>
    <row r="43" spans="1:15" hidden="1" x14ac:dyDescent="0.25"/>
    <row r="44" spans="1:15" hidden="1" x14ac:dyDescent="0.25"/>
    <row r="45" spans="1:15" hidden="1" x14ac:dyDescent="0.25"/>
    <row r="46" spans="1:15" hidden="1" x14ac:dyDescent="0.25"/>
    <row r="47" spans="1:15" hidden="1" x14ac:dyDescent="0.25"/>
    <row r="48" spans="1:15" hidden="1" x14ac:dyDescent="0.25"/>
    <row r="49" spans="1:16" hidden="1" x14ac:dyDescent="0.25"/>
    <row r="50" spans="1:16" s="37" customFormat="1" hidden="1" x14ac:dyDescent="0.25">
      <c r="A50"/>
      <c r="B50"/>
      <c r="C50"/>
      <c r="D50"/>
      <c r="E50"/>
      <c r="F50"/>
      <c r="G50"/>
      <c r="H50"/>
      <c r="I50"/>
      <c r="J50"/>
      <c r="K50"/>
      <c r="L50"/>
      <c r="M50"/>
      <c r="N50"/>
    </row>
    <row r="51" spans="1:16" hidden="1" x14ac:dyDescent="0.25"/>
    <row r="52" spans="1:16" hidden="1" x14ac:dyDescent="0.25">
      <c r="A52" s="37"/>
      <c r="B52" s="37"/>
      <c r="C52" s="37"/>
      <c r="D52" s="37"/>
      <c r="E52" s="37"/>
      <c r="F52" s="37"/>
      <c r="G52" s="37"/>
      <c r="H52" s="37"/>
      <c r="I52" s="37"/>
      <c r="J52" s="37"/>
      <c r="K52" s="37"/>
      <c r="L52" s="37"/>
      <c r="M52" s="37"/>
      <c r="N52" s="37"/>
    </row>
    <row r="53" spans="1:16" hidden="1" x14ac:dyDescent="0.25"/>
    <row r="54" spans="1:16" hidden="1" x14ac:dyDescent="0.25"/>
    <row r="55" spans="1:16" hidden="1" x14ac:dyDescent="0.25"/>
    <row r="56" spans="1:16" s="37" customFormat="1" x14ac:dyDescent="0.25">
      <c r="A56"/>
      <c r="B56"/>
      <c r="C56"/>
      <c r="D56"/>
      <c r="E56"/>
      <c r="F56"/>
      <c r="G56"/>
      <c r="H56"/>
      <c r="I56"/>
      <c r="J56"/>
      <c r="K56"/>
      <c r="L56"/>
      <c r="M56"/>
      <c r="N56"/>
      <c r="P56" s="25"/>
    </row>
    <row r="57" spans="1:16" hidden="1" x14ac:dyDescent="0.25"/>
    <row r="58" spans="1:16" ht="31.5" x14ac:dyDescent="0.5">
      <c r="A58" s="40" t="s">
        <v>380</v>
      </c>
      <c r="B58" s="41"/>
      <c r="C58" s="41"/>
      <c r="D58" s="41"/>
      <c r="E58" s="41"/>
      <c r="F58" s="41"/>
      <c r="G58" s="41"/>
      <c r="H58" s="41"/>
      <c r="I58" s="41"/>
      <c r="J58" s="41"/>
      <c r="K58" s="41"/>
      <c r="L58" s="41"/>
      <c r="M58" s="41"/>
      <c r="N58" s="41"/>
      <c r="O58" s="41"/>
    </row>
    <row r="78" hidden="1" x14ac:dyDescent="0.25"/>
    <row r="79" hidden="1" x14ac:dyDescent="0.25"/>
    <row r="80" hidden="1" x14ac:dyDescent="0.25"/>
    <row r="81" spans="1:15" hidden="1" x14ac:dyDescent="0.25"/>
    <row r="82" spans="1:15" x14ac:dyDescent="0.25">
      <c r="A82" s="250" t="s">
        <v>395</v>
      </c>
      <c r="B82" s="752" t="s">
        <v>595</v>
      </c>
      <c r="H82" s="250" t="s">
        <v>395</v>
      </c>
      <c r="I82" s="752" t="s">
        <v>595</v>
      </c>
      <c r="J82" s="37"/>
      <c r="O82"/>
    </row>
    <row r="83" spans="1:15" x14ac:dyDescent="0.25">
      <c r="H83" s="37"/>
      <c r="I83" s="37"/>
      <c r="J83" s="37"/>
      <c r="O83"/>
    </row>
    <row r="84" spans="1:15" x14ac:dyDescent="0.25">
      <c r="A84" s="250" t="s">
        <v>414</v>
      </c>
      <c r="B84" s="752" t="s">
        <v>1281</v>
      </c>
      <c r="H84" s="752"/>
      <c r="I84" s="752" t="s">
        <v>1281</v>
      </c>
      <c r="O84"/>
    </row>
    <row r="85" spans="1:15" x14ac:dyDescent="0.25">
      <c r="A85" s="249" t="s">
        <v>452</v>
      </c>
      <c r="B85" s="251">
        <v>2431</v>
      </c>
      <c r="H85" s="249" t="s">
        <v>452</v>
      </c>
      <c r="I85" s="251">
        <v>2431</v>
      </c>
      <c r="O85"/>
    </row>
    <row r="86" spans="1:15" x14ac:dyDescent="0.25">
      <c r="A86" s="249" t="s">
        <v>451</v>
      </c>
      <c r="B86" s="251">
        <v>6399</v>
      </c>
      <c r="H86" s="249" t="s">
        <v>451</v>
      </c>
      <c r="I86" s="251">
        <v>6399</v>
      </c>
      <c r="O86"/>
    </row>
    <row r="87" spans="1:15" x14ac:dyDescent="0.25">
      <c r="A87" s="249" t="s">
        <v>568</v>
      </c>
      <c r="B87" s="251">
        <v>77</v>
      </c>
      <c r="H87" s="249" t="s">
        <v>568</v>
      </c>
      <c r="I87" s="251">
        <v>77</v>
      </c>
      <c r="O87"/>
    </row>
    <row r="88" spans="1:15" x14ac:dyDescent="0.25">
      <c r="A88" s="249" t="s">
        <v>569</v>
      </c>
      <c r="B88" s="251">
        <v>185</v>
      </c>
      <c r="H88" s="249" t="s">
        <v>569</v>
      </c>
      <c r="I88" s="251">
        <v>185</v>
      </c>
      <c r="O88"/>
    </row>
    <row r="89" spans="1:15" x14ac:dyDescent="0.25">
      <c r="A89" s="249" t="s">
        <v>571</v>
      </c>
      <c r="B89" s="251">
        <v>32</v>
      </c>
      <c r="H89" s="249" t="s">
        <v>571</v>
      </c>
      <c r="I89" s="251">
        <v>32</v>
      </c>
      <c r="O89"/>
    </row>
    <row r="90" spans="1:15" x14ac:dyDescent="0.25">
      <c r="A90" s="249" t="s">
        <v>591</v>
      </c>
      <c r="B90" s="251">
        <v>724</v>
      </c>
      <c r="H90" s="249" t="s">
        <v>591</v>
      </c>
      <c r="I90" s="251">
        <v>724</v>
      </c>
      <c r="O90"/>
    </row>
    <row r="91" spans="1:15" x14ac:dyDescent="0.25">
      <c r="A91" s="249" t="s">
        <v>845</v>
      </c>
      <c r="B91" s="251">
        <v>853</v>
      </c>
      <c r="H91" s="249" t="s">
        <v>845</v>
      </c>
      <c r="I91" s="251">
        <v>853</v>
      </c>
      <c r="O91"/>
    </row>
    <row r="92" spans="1:15" x14ac:dyDescent="0.25">
      <c r="A92" s="249" t="s">
        <v>846</v>
      </c>
      <c r="B92" s="251">
        <v>279</v>
      </c>
      <c r="H92" s="249" t="s">
        <v>846</v>
      </c>
      <c r="I92" s="251">
        <v>279</v>
      </c>
      <c r="O92"/>
    </row>
    <row r="93" spans="1:15" x14ac:dyDescent="0.25">
      <c r="A93" s="249" t="s">
        <v>847</v>
      </c>
      <c r="B93" s="251">
        <v>193</v>
      </c>
      <c r="H93" s="249" t="s">
        <v>847</v>
      </c>
      <c r="I93" s="251">
        <v>193</v>
      </c>
      <c r="O93"/>
    </row>
    <row r="94" spans="1:15" x14ac:dyDescent="0.25">
      <c r="A94" s="249" t="s">
        <v>848</v>
      </c>
      <c r="B94" s="251">
        <v>12</v>
      </c>
      <c r="H94" s="249" t="s">
        <v>848</v>
      </c>
      <c r="I94" s="251">
        <v>12</v>
      </c>
      <c r="O94"/>
    </row>
    <row r="95" spans="1:15" x14ac:dyDescent="0.25">
      <c r="A95" s="249" t="s">
        <v>849</v>
      </c>
      <c r="B95" s="251">
        <v>10</v>
      </c>
      <c r="H95" s="249" t="s">
        <v>849</v>
      </c>
      <c r="I95" s="251">
        <v>10</v>
      </c>
      <c r="O95"/>
    </row>
    <row r="96" spans="1:15" x14ac:dyDescent="0.25">
      <c r="A96" s="249" t="s">
        <v>861</v>
      </c>
      <c r="B96" s="251">
        <v>0</v>
      </c>
      <c r="H96" s="249" t="s">
        <v>861</v>
      </c>
      <c r="I96" s="251">
        <v>0</v>
      </c>
    </row>
    <row r="97" spans="1:9" x14ac:dyDescent="0.25">
      <c r="A97" s="249" t="s">
        <v>858</v>
      </c>
      <c r="B97" s="251">
        <v>30</v>
      </c>
      <c r="H97" s="249" t="s">
        <v>858</v>
      </c>
      <c r="I97" s="251">
        <v>30</v>
      </c>
    </row>
    <row r="98" spans="1:9" x14ac:dyDescent="0.25">
      <c r="A98" s="249" t="s">
        <v>1094</v>
      </c>
      <c r="B98" s="251">
        <v>20</v>
      </c>
      <c r="H98" s="249" t="s">
        <v>1094</v>
      </c>
      <c r="I98" s="251">
        <v>20</v>
      </c>
    </row>
    <row r="99" spans="1:9" x14ac:dyDescent="0.25">
      <c r="A99" s="249" t="s">
        <v>1092</v>
      </c>
      <c r="B99" s="251">
        <v>148</v>
      </c>
      <c r="H99" s="249" t="s">
        <v>1092</v>
      </c>
      <c r="I99" s="251">
        <v>148</v>
      </c>
    </row>
    <row r="100" spans="1:9" x14ac:dyDescent="0.25">
      <c r="A100" s="249" t="s">
        <v>900</v>
      </c>
      <c r="B100" s="251">
        <v>350</v>
      </c>
      <c r="H100" s="249" t="s">
        <v>900</v>
      </c>
      <c r="I100" s="251">
        <v>350</v>
      </c>
    </row>
    <row r="101" spans="1:9" x14ac:dyDescent="0.25">
      <c r="A101" s="249" t="s">
        <v>937</v>
      </c>
      <c r="B101" s="251">
        <v>0</v>
      </c>
      <c r="H101" s="249" t="s">
        <v>937</v>
      </c>
      <c r="I101" s="251">
        <v>0</v>
      </c>
    </row>
    <row r="102" spans="1:9" x14ac:dyDescent="0.25">
      <c r="A102" s="249" t="s">
        <v>1631</v>
      </c>
      <c r="B102" s="251">
        <v>111</v>
      </c>
      <c r="H102" s="249" t="s">
        <v>1631</v>
      </c>
      <c r="I102" s="251">
        <v>111</v>
      </c>
    </row>
    <row r="103" spans="1:9" x14ac:dyDescent="0.25">
      <c r="A103" s="249" t="s">
        <v>415</v>
      </c>
      <c r="B103" s="251">
        <v>11854</v>
      </c>
      <c r="H103" s="249" t="s">
        <v>415</v>
      </c>
      <c r="I103" s="251">
        <v>11854</v>
      </c>
    </row>
  </sheetData>
  <sortState ref="A23:O41">
    <sortCondition ref="A22"/>
  </sortState>
  <mergeCells count="1">
    <mergeCell ref="A2:C2"/>
  </mergeCells>
  <conditionalFormatting sqref="N7:N29">
    <cfRule type="colorScale" priority="42">
      <colorScale>
        <cfvo type="percent" val="0"/>
        <cfvo type="percent" val="100"/>
        <color rgb="FFFF0000"/>
        <color rgb="FF00FF00"/>
      </colorScale>
    </cfRule>
    <cfRule type="colorScale" priority="43">
      <colorScale>
        <cfvo type="min"/>
        <cfvo type="percentile" val="50"/>
        <cfvo type="max"/>
        <color rgb="FFF8696B"/>
        <color rgb="FFFFEB84"/>
        <color rgb="FF63BE7B"/>
      </colorScale>
    </cfRule>
  </conditionalFormatting>
  <pageMargins left="0.7" right="0.7" top="0.75" bottom="0.75" header="0.3" footer="0.3"/>
  <pageSetup scale="40" fitToHeight="2" orientation="landscape" r:id="rId3"/>
  <rowBreaks count="2" manualBreakCount="2">
    <brk id="28" max="16383" man="1"/>
    <brk id="29" max="16383" man="1"/>
  </row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BG205"/>
  <sheetViews>
    <sheetView showZeros="0" zoomScale="80" zoomScaleNormal="80" workbookViewId="0">
      <selection activeCell="H17" sqref="H17"/>
    </sheetView>
  </sheetViews>
  <sheetFormatPr defaultColWidth="23.85546875" defaultRowHeight="15" x14ac:dyDescent="0.25"/>
  <cols>
    <col min="1" max="1" width="20.85546875" style="29" customWidth="1"/>
    <col min="2" max="2" width="39.28515625" style="29" bestFit="1" customWidth="1"/>
    <col min="3" max="3" width="47.7109375" style="29" bestFit="1" customWidth="1"/>
    <col min="4" max="5" width="25.140625" style="29" customWidth="1"/>
    <col min="6" max="16384" width="23.85546875" style="29"/>
  </cols>
  <sheetData>
    <row r="1" spans="1:59" s="1" customFormat="1" ht="36" x14ac:dyDescent="0.25">
      <c r="A1" s="208"/>
      <c r="B1" s="209"/>
      <c r="C1" s="209"/>
      <c r="D1" s="209"/>
      <c r="E1" s="209"/>
      <c r="F1" s="210"/>
      <c r="BF1" s="44"/>
      <c r="BG1" s="44"/>
    </row>
    <row r="2" spans="1:59" s="1" customFormat="1" ht="56.25" customHeight="1" x14ac:dyDescent="0.25">
      <c r="A2" s="961" t="s">
        <v>460</v>
      </c>
      <c r="B2" s="962"/>
      <c r="C2" s="962"/>
      <c r="D2" s="43"/>
      <c r="E2" s="43"/>
      <c r="F2" s="220"/>
      <c r="BF2" s="44"/>
      <c r="BG2" s="44"/>
    </row>
    <row r="3" spans="1:59" s="15" customFormat="1" ht="18" customHeight="1" x14ac:dyDescent="0.25">
      <c r="A3" s="963">
        <f>Definition!B23</f>
        <v>42856</v>
      </c>
      <c r="B3" s="964"/>
      <c r="C3" s="964"/>
      <c r="D3" s="964"/>
      <c r="E3" s="964"/>
      <c r="F3" s="965"/>
      <c r="G3" s="32"/>
      <c r="H3" s="32"/>
      <c r="I3" s="32"/>
      <c r="J3" s="32"/>
      <c r="L3" s="32"/>
      <c r="M3" s="32"/>
      <c r="N3" s="32"/>
      <c r="O3" s="32"/>
      <c r="P3" s="32"/>
      <c r="Q3" s="32"/>
      <c r="R3" s="32"/>
      <c r="S3" s="45"/>
      <c r="T3" s="32"/>
      <c r="U3" s="32"/>
      <c r="BF3" s="45"/>
      <c r="BG3" s="45"/>
    </row>
    <row r="4" spans="1:59" ht="15" customHeight="1" x14ac:dyDescent="0.25"/>
    <row r="5" spans="1:59" x14ac:dyDescent="0.25">
      <c r="A5" s="354" t="s">
        <v>395</v>
      </c>
      <c r="B5" s="354" t="s">
        <v>595</v>
      </c>
      <c r="C5" s="235" t="s">
        <v>420</v>
      </c>
      <c r="E5" s="319" t="s">
        <v>395</v>
      </c>
      <c r="F5" s="320" t="s">
        <v>595</v>
      </c>
      <c r="G5"/>
    </row>
    <row r="6" spans="1:59" x14ac:dyDescent="0.25">
      <c r="E6" s="38"/>
      <c r="F6" s="38"/>
    </row>
    <row r="7" spans="1:59" x14ac:dyDescent="0.25">
      <c r="A7" s="319" t="s">
        <v>414</v>
      </c>
      <c r="B7" s="313" t="s">
        <v>1282</v>
      </c>
      <c r="C7" s="314" t="s">
        <v>1283</v>
      </c>
      <c r="D7"/>
      <c r="E7" s="319" t="s">
        <v>414</v>
      </c>
      <c r="F7" s="320" t="s">
        <v>1281</v>
      </c>
      <c r="H7"/>
      <c r="I7"/>
    </row>
    <row r="8" spans="1:59" x14ac:dyDescent="0.25">
      <c r="A8" s="347" t="s">
        <v>861</v>
      </c>
      <c r="B8" s="349"/>
      <c r="C8" s="353"/>
      <c r="D8"/>
      <c r="E8" s="347" t="s">
        <v>591</v>
      </c>
      <c r="F8" s="349">
        <v>724</v>
      </c>
      <c r="H8"/>
      <c r="I8"/>
    </row>
    <row r="9" spans="1:59" x14ac:dyDescent="0.25">
      <c r="A9" s="356" t="s">
        <v>591</v>
      </c>
      <c r="B9" s="362">
        <v>1041</v>
      </c>
      <c r="C9" s="350"/>
      <c r="D9"/>
      <c r="E9" s="356" t="s">
        <v>846</v>
      </c>
      <c r="F9" s="362">
        <v>279</v>
      </c>
      <c r="G9"/>
      <c r="H9"/>
      <c r="I9"/>
      <c r="J9"/>
      <c r="K9"/>
      <c r="L9"/>
      <c r="M9"/>
      <c r="N9"/>
      <c r="O9"/>
      <c r="P9"/>
      <c r="Q9"/>
    </row>
    <row r="10" spans="1:59" x14ac:dyDescent="0.25">
      <c r="A10" s="356" t="s">
        <v>846</v>
      </c>
      <c r="B10" s="362">
        <v>289</v>
      </c>
      <c r="C10" s="350"/>
      <c r="D10"/>
      <c r="E10" s="356" t="s">
        <v>1094</v>
      </c>
      <c r="F10" s="362">
        <v>20</v>
      </c>
      <c r="G10"/>
      <c r="H10"/>
      <c r="I10"/>
      <c r="J10"/>
      <c r="K10"/>
      <c r="L10"/>
      <c r="M10"/>
      <c r="N10"/>
      <c r="O10"/>
      <c r="P10"/>
      <c r="Q10"/>
    </row>
    <row r="11" spans="1:59" x14ac:dyDescent="0.25">
      <c r="A11" s="356" t="s">
        <v>1094</v>
      </c>
      <c r="B11" s="362">
        <v>20</v>
      </c>
      <c r="C11" s="350"/>
      <c r="D11"/>
      <c r="E11" s="356" t="s">
        <v>900</v>
      </c>
      <c r="F11" s="362">
        <v>350</v>
      </c>
      <c r="G11"/>
      <c r="H11"/>
      <c r="I11"/>
      <c r="J11"/>
      <c r="K11"/>
      <c r="L11"/>
      <c r="M11"/>
      <c r="N11"/>
      <c r="O11"/>
      <c r="P11"/>
      <c r="Q11"/>
    </row>
    <row r="12" spans="1:59" x14ac:dyDescent="0.25">
      <c r="A12" s="356" t="s">
        <v>900</v>
      </c>
      <c r="B12" s="362">
        <v>350</v>
      </c>
      <c r="C12" s="350"/>
      <c r="D12"/>
      <c r="E12" s="356" t="s">
        <v>452</v>
      </c>
      <c r="F12" s="362">
        <v>2431</v>
      </c>
      <c r="H12"/>
      <c r="I12"/>
    </row>
    <row r="13" spans="1:59" s="37" customFormat="1" x14ac:dyDescent="0.25">
      <c r="A13" s="356" t="s">
        <v>452</v>
      </c>
      <c r="B13" s="362">
        <v>3211</v>
      </c>
      <c r="C13" s="350">
        <v>5</v>
      </c>
      <c r="D13"/>
      <c r="E13" s="356" t="s">
        <v>1092</v>
      </c>
      <c r="F13" s="362">
        <v>148</v>
      </c>
    </row>
    <row r="14" spans="1:59" x14ac:dyDescent="0.25">
      <c r="A14" s="356" t="s">
        <v>1092</v>
      </c>
      <c r="B14" s="362">
        <v>269</v>
      </c>
      <c r="C14" s="350"/>
      <c r="D14"/>
      <c r="E14" s="356" t="s">
        <v>571</v>
      </c>
      <c r="F14" s="362">
        <v>32</v>
      </c>
      <c r="H14"/>
      <c r="I14"/>
    </row>
    <row r="15" spans="1:59" x14ac:dyDescent="0.25">
      <c r="A15" s="356" t="s">
        <v>571</v>
      </c>
      <c r="B15" s="362">
        <v>32</v>
      </c>
      <c r="C15" s="350"/>
      <c r="D15"/>
      <c r="E15" s="356" t="s">
        <v>847</v>
      </c>
      <c r="F15" s="362">
        <v>193</v>
      </c>
      <c r="H15"/>
      <c r="I15"/>
    </row>
    <row r="16" spans="1:59" x14ac:dyDescent="0.25">
      <c r="A16" s="356" t="s">
        <v>847</v>
      </c>
      <c r="B16" s="362">
        <v>205</v>
      </c>
      <c r="C16" s="350"/>
      <c r="D16"/>
      <c r="E16" s="356" t="s">
        <v>845</v>
      </c>
      <c r="F16" s="362">
        <v>853</v>
      </c>
      <c r="H16"/>
      <c r="I16"/>
    </row>
    <row r="17" spans="1:9" x14ac:dyDescent="0.25">
      <c r="A17" s="356" t="s">
        <v>845</v>
      </c>
      <c r="B17" s="362">
        <v>933</v>
      </c>
      <c r="C17" s="350"/>
      <c r="D17"/>
      <c r="E17" s="356" t="s">
        <v>1631</v>
      </c>
      <c r="F17" s="362">
        <v>111</v>
      </c>
      <c r="H17"/>
      <c r="I17"/>
    </row>
    <row r="18" spans="1:9" x14ac:dyDescent="0.25">
      <c r="A18" s="356" t="s">
        <v>1631</v>
      </c>
      <c r="B18" s="362"/>
      <c r="C18" s="350">
        <v>111</v>
      </c>
      <c r="D18"/>
      <c r="E18" s="356" t="s">
        <v>848</v>
      </c>
      <c r="F18" s="362">
        <v>12</v>
      </c>
      <c r="H18"/>
      <c r="I18"/>
    </row>
    <row r="19" spans="1:9" x14ac:dyDescent="0.25">
      <c r="A19" s="356" t="s">
        <v>848</v>
      </c>
      <c r="B19" s="362">
        <v>12</v>
      </c>
      <c r="C19" s="350"/>
      <c r="D19"/>
      <c r="E19" s="356" t="s">
        <v>569</v>
      </c>
      <c r="F19" s="362">
        <v>185</v>
      </c>
    </row>
    <row r="20" spans="1:9" x14ac:dyDescent="0.25">
      <c r="A20" s="356" t="s">
        <v>569</v>
      </c>
      <c r="B20" s="362">
        <v>420</v>
      </c>
      <c r="C20" s="350"/>
      <c r="D20"/>
      <c r="E20" s="356" t="s">
        <v>451</v>
      </c>
      <c r="F20" s="362">
        <v>6399</v>
      </c>
    </row>
    <row r="21" spans="1:9" x14ac:dyDescent="0.25">
      <c r="A21" s="356" t="s">
        <v>451</v>
      </c>
      <c r="B21" s="362">
        <v>7493</v>
      </c>
      <c r="C21" s="350">
        <v>71</v>
      </c>
      <c r="D21"/>
      <c r="E21" s="356" t="s">
        <v>568</v>
      </c>
      <c r="F21" s="362">
        <v>77</v>
      </c>
    </row>
    <row r="22" spans="1:9" x14ac:dyDescent="0.25">
      <c r="A22" s="356" t="s">
        <v>937</v>
      </c>
      <c r="B22" s="362">
        <v>10</v>
      </c>
      <c r="C22" s="350">
        <v>160</v>
      </c>
      <c r="D22"/>
      <c r="E22" s="356" t="s">
        <v>849</v>
      </c>
      <c r="F22" s="362">
        <v>10</v>
      </c>
    </row>
    <row r="23" spans="1:9" x14ac:dyDescent="0.25">
      <c r="A23" s="356" t="s">
        <v>568</v>
      </c>
      <c r="B23" s="362">
        <v>87</v>
      </c>
      <c r="C23" s="350"/>
      <c r="D23"/>
      <c r="E23" s="347" t="s">
        <v>415</v>
      </c>
      <c r="F23" s="349">
        <v>11824</v>
      </c>
      <c r="G23"/>
    </row>
    <row r="24" spans="1:9" x14ac:dyDescent="0.25">
      <c r="A24" s="356" t="s">
        <v>849</v>
      </c>
      <c r="B24" s="362">
        <v>10</v>
      </c>
      <c r="C24" s="350"/>
      <c r="D24"/>
      <c r="E24"/>
      <c r="F24"/>
      <c r="G24"/>
    </row>
    <row r="25" spans="1:9" x14ac:dyDescent="0.25">
      <c r="A25" s="356" t="s">
        <v>858</v>
      </c>
      <c r="B25" s="362">
        <v>132</v>
      </c>
      <c r="C25" s="350"/>
      <c r="D25"/>
      <c r="E25"/>
      <c r="F25"/>
      <c r="G25"/>
    </row>
    <row r="26" spans="1:9" x14ac:dyDescent="0.25">
      <c r="A26" s="347" t="s">
        <v>415</v>
      </c>
      <c r="B26" s="349">
        <v>14514</v>
      </c>
      <c r="C26" s="353">
        <v>347</v>
      </c>
      <c r="D26"/>
      <c r="E26"/>
      <c r="F26"/>
      <c r="G26"/>
    </row>
    <row r="27" spans="1:9" x14ac:dyDescent="0.25">
      <c r="A27"/>
      <c r="B27"/>
      <c r="C27"/>
      <c r="D27"/>
      <c r="E27"/>
      <c r="F27"/>
      <c r="G27"/>
    </row>
    <row r="28" spans="1:9" x14ac:dyDescent="0.25">
      <c r="A28"/>
      <c r="B28"/>
      <c r="C28"/>
      <c r="D28"/>
      <c r="E28"/>
      <c r="F28"/>
      <c r="G28"/>
    </row>
    <row r="29" spans="1:9" hidden="1" x14ac:dyDescent="0.25">
      <c r="A29"/>
      <c r="B29"/>
      <c r="C29"/>
      <c r="D29"/>
      <c r="E29"/>
      <c r="F29"/>
      <c r="G29"/>
    </row>
    <row r="30" spans="1:9" hidden="1" x14ac:dyDescent="0.25">
      <c r="A30"/>
      <c r="B30"/>
      <c r="C30"/>
      <c r="D30"/>
      <c r="E30"/>
      <c r="F30"/>
      <c r="G30"/>
    </row>
    <row r="31" spans="1:9" x14ac:dyDescent="0.25">
      <c r="A31"/>
      <c r="B31"/>
      <c r="C31"/>
      <c r="D31"/>
      <c r="E31" s="38"/>
      <c r="F31"/>
      <c r="G31"/>
    </row>
    <row r="32" spans="1:9" x14ac:dyDescent="0.25">
      <c r="A32"/>
      <c r="B32"/>
      <c r="C32"/>
      <c r="D32"/>
      <c r="E32" s="38"/>
      <c r="F32"/>
      <c r="G32"/>
    </row>
    <row r="33" spans="1:7" x14ac:dyDescent="0.25">
      <c r="A33"/>
      <c r="B33"/>
      <c r="C33"/>
      <c r="D33"/>
      <c r="E33"/>
      <c r="F33"/>
      <c r="G33"/>
    </row>
    <row r="34" spans="1:7" x14ac:dyDescent="0.25">
      <c r="A34"/>
      <c r="B34"/>
      <c r="C34"/>
      <c r="D34"/>
      <c r="E34"/>
      <c r="F34"/>
      <c r="G34"/>
    </row>
    <row r="35" spans="1:7" x14ac:dyDescent="0.25">
      <c r="A35"/>
      <c r="B35"/>
      <c r="C35"/>
      <c r="D35"/>
      <c r="E35"/>
      <c r="F35"/>
      <c r="G35"/>
    </row>
    <row r="36" spans="1:7" x14ac:dyDescent="0.25">
      <c r="A36"/>
      <c r="B36"/>
      <c r="C36"/>
      <c r="D36"/>
      <c r="E36"/>
      <c r="F36"/>
      <c r="G36"/>
    </row>
    <row r="37" spans="1:7" x14ac:dyDescent="0.25">
      <c r="A37"/>
      <c r="B37"/>
      <c r="C37"/>
      <c r="D37"/>
      <c r="E37"/>
      <c r="F37"/>
      <c r="G37"/>
    </row>
    <row r="38" spans="1:7" x14ac:dyDescent="0.25">
      <c r="A38"/>
      <c r="B38"/>
      <c r="C38"/>
      <c r="D38"/>
      <c r="E38"/>
      <c r="F38"/>
      <c r="G38"/>
    </row>
    <row r="39" spans="1:7" x14ac:dyDescent="0.25">
      <c r="A39"/>
      <c r="B39"/>
      <c r="C39"/>
      <c r="D39"/>
      <c r="E39"/>
      <c r="F39"/>
      <c r="G39"/>
    </row>
    <row r="40" spans="1:7" x14ac:dyDescent="0.25">
      <c r="A40"/>
      <c r="B40"/>
      <c r="C40"/>
      <c r="D40"/>
      <c r="E40"/>
      <c r="F40"/>
      <c r="G40"/>
    </row>
    <row r="41" spans="1:7" x14ac:dyDescent="0.25">
      <c r="A41"/>
      <c r="B41"/>
      <c r="C41"/>
      <c r="D41"/>
      <c r="E41"/>
      <c r="F41"/>
      <c r="G41"/>
    </row>
    <row r="42" spans="1:7" x14ac:dyDescent="0.25">
      <c r="A42"/>
      <c r="B42"/>
      <c r="C42"/>
      <c r="D42"/>
      <c r="E42"/>
      <c r="F42"/>
      <c r="G42"/>
    </row>
    <row r="43" spans="1:7" x14ac:dyDescent="0.25">
      <c r="A43"/>
      <c r="B43"/>
      <c r="C43"/>
      <c r="D43"/>
      <c r="E43"/>
      <c r="F43"/>
    </row>
    <row r="44" spans="1:7" x14ac:dyDescent="0.25">
      <c r="A44"/>
      <c r="B44"/>
      <c r="C44"/>
      <c r="D44"/>
      <c r="E44"/>
      <c r="F44"/>
    </row>
    <row r="45" spans="1:7" x14ac:dyDescent="0.25">
      <c r="A45"/>
      <c r="B45"/>
      <c r="C45"/>
      <c r="D45"/>
      <c r="E45"/>
      <c r="F45"/>
    </row>
    <row r="46" spans="1:7" x14ac:dyDescent="0.25">
      <c r="A46"/>
      <c r="B46"/>
      <c r="C46"/>
      <c r="D46"/>
      <c r="E46"/>
      <c r="F46"/>
    </row>
    <row r="47" spans="1:7" x14ac:dyDescent="0.25">
      <c r="A47"/>
      <c r="B47"/>
      <c r="C47"/>
      <c r="D47"/>
      <c r="E47"/>
      <c r="F47"/>
    </row>
    <row r="48" spans="1:7"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hidden="1" x14ac:dyDescent="0.25">
      <c r="A56"/>
      <c r="B56"/>
      <c r="C56"/>
      <c r="D56"/>
      <c r="E56"/>
      <c r="F56"/>
    </row>
    <row r="57" spans="1:6" hidden="1" x14ac:dyDescent="0.25">
      <c r="A57"/>
      <c r="B57"/>
      <c r="C57"/>
      <c r="D57"/>
      <c r="E57"/>
      <c r="F57"/>
    </row>
    <row r="58" spans="1:6" x14ac:dyDescent="0.25">
      <c r="A58"/>
      <c r="B58"/>
      <c r="C58"/>
      <c r="D58"/>
      <c r="E58"/>
      <c r="F58"/>
    </row>
    <row r="59" spans="1:6" x14ac:dyDescent="0.25">
      <c r="A59" s="354" t="s">
        <v>395</v>
      </c>
      <c r="B59" s="354" t="s">
        <v>595</v>
      </c>
      <c r="C59" s="179"/>
      <c r="D59"/>
      <c r="E59"/>
      <c r="F59"/>
    </row>
    <row r="60" spans="1:6" x14ac:dyDescent="0.25">
      <c r="A60" s="358" t="s">
        <v>0</v>
      </c>
      <c r="B60" s="354" t="s">
        <v>5</v>
      </c>
      <c r="C60" s="180"/>
      <c r="D60"/>
      <c r="E60"/>
      <c r="F60"/>
    </row>
    <row r="61" spans="1:6" x14ac:dyDescent="0.25">
      <c r="A61" s="354" t="s">
        <v>497</v>
      </c>
      <c r="B61" s="354" t="s">
        <v>1117</v>
      </c>
      <c r="C61" s="183" t="s">
        <v>420</v>
      </c>
      <c r="D61"/>
      <c r="E61"/>
    </row>
    <row r="62" spans="1:6" x14ac:dyDescent="0.25">
      <c r="A62" s="89"/>
      <c r="B62" s="89"/>
      <c r="C62" s="89"/>
      <c r="D62"/>
      <c r="E62"/>
    </row>
    <row r="63" spans="1:6" x14ac:dyDescent="0.25">
      <c r="A63" s="250" t="s">
        <v>414</v>
      </c>
      <c r="B63" s="752" t="s">
        <v>1230</v>
      </c>
      <c r="C63"/>
      <c r="D63"/>
      <c r="E63"/>
    </row>
    <row r="64" spans="1:6" x14ac:dyDescent="0.25">
      <c r="A64" s="249" t="s">
        <v>6</v>
      </c>
      <c r="B64" s="363">
        <v>0.16536964980544747</v>
      </c>
      <c r="C64"/>
      <c r="D64"/>
      <c r="E64"/>
    </row>
    <row r="65" spans="1:5" x14ac:dyDescent="0.25">
      <c r="A65" s="249" t="s">
        <v>511</v>
      </c>
      <c r="B65" s="363">
        <v>0.91666666666666674</v>
      </c>
      <c r="C65"/>
      <c r="D65"/>
      <c r="E65"/>
    </row>
    <row r="66" spans="1:5" x14ac:dyDescent="0.25">
      <c r="A66" s="249" t="s">
        <v>14</v>
      </c>
      <c r="B66" s="363">
        <v>0.5</v>
      </c>
      <c r="C66"/>
      <c r="D66"/>
      <c r="E66"/>
    </row>
    <row r="67" spans="1:5" x14ac:dyDescent="0.25">
      <c r="A67" s="249" t="s">
        <v>18</v>
      </c>
      <c r="B67" s="363">
        <v>9.8076923076923089E-2</v>
      </c>
      <c r="C67"/>
      <c r="D67"/>
      <c r="E67"/>
    </row>
    <row r="68" spans="1:5" x14ac:dyDescent="0.25">
      <c r="A68" s="249" t="s">
        <v>8</v>
      </c>
      <c r="B68" s="363">
        <v>0.69230769230769229</v>
      </c>
      <c r="C68"/>
      <c r="D68"/>
      <c r="E68"/>
    </row>
    <row r="69" spans="1:5" x14ac:dyDescent="0.25">
      <c r="A69" s="249" t="s">
        <v>20</v>
      </c>
      <c r="B69" s="363">
        <v>0.47619047619047616</v>
      </c>
      <c r="C69"/>
      <c r="D69"/>
      <c r="E69"/>
    </row>
    <row r="70" spans="1:5" x14ac:dyDescent="0.25">
      <c r="A70" s="249" t="s">
        <v>366</v>
      </c>
      <c r="B70" s="363">
        <v>0.20588235294117646</v>
      </c>
      <c r="C70"/>
      <c r="D70"/>
      <c r="E70"/>
    </row>
    <row r="71" spans="1:5" x14ac:dyDescent="0.25">
      <c r="A71" s="249" t="s">
        <v>22</v>
      </c>
      <c r="B71" s="363">
        <v>9.5163457232422741E-2</v>
      </c>
      <c r="C71"/>
      <c r="D71"/>
      <c r="E71"/>
    </row>
    <row r="72" spans="1:5" x14ac:dyDescent="0.25">
      <c r="A72" s="249" t="s">
        <v>24</v>
      </c>
      <c r="B72" s="363">
        <v>0.875</v>
      </c>
      <c r="C72"/>
      <c r="D72"/>
      <c r="E72"/>
    </row>
    <row r="73" spans="1:5" x14ac:dyDescent="0.25">
      <c r="A73" s="249" t="s">
        <v>26</v>
      </c>
      <c r="B73" s="363">
        <v>0.56000000000000005</v>
      </c>
      <c r="C73"/>
      <c r="D73"/>
      <c r="E73"/>
    </row>
    <row r="74" spans="1:5" x14ac:dyDescent="0.25">
      <c r="A74" s="249" t="s">
        <v>415</v>
      </c>
      <c r="B74" s="363">
        <v>0.32918667000994689</v>
      </c>
      <c r="C74"/>
      <c r="D74"/>
    </row>
    <row r="75" spans="1:5" x14ac:dyDescent="0.25">
      <c r="A75"/>
      <c r="B75"/>
      <c r="C75"/>
      <c r="D75"/>
    </row>
    <row r="76" spans="1:5" x14ac:dyDescent="0.25">
      <c r="A76"/>
      <c r="B76"/>
      <c r="C76"/>
      <c r="D76"/>
    </row>
    <row r="77" spans="1:5" x14ac:dyDescent="0.25">
      <c r="A77"/>
      <c r="B77"/>
      <c r="C77"/>
      <c r="D77"/>
    </row>
    <row r="78" spans="1:5" x14ac:dyDescent="0.25">
      <c r="A78"/>
      <c r="B78"/>
      <c r="C78"/>
      <c r="D78"/>
    </row>
    <row r="79" spans="1:5" x14ac:dyDescent="0.25">
      <c r="A79"/>
      <c r="B79"/>
      <c r="C79"/>
      <c r="D79"/>
    </row>
    <row r="80" spans="1:5" x14ac:dyDescent="0.25">
      <c r="A80"/>
      <c r="B80"/>
      <c r="C80"/>
      <c r="D80"/>
    </row>
    <row r="81" spans="1:4" x14ac:dyDescent="0.25">
      <c r="A81"/>
      <c r="B81"/>
      <c r="C81"/>
      <c r="D81"/>
    </row>
    <row r="82" spans="1:4" x14ac:dyDescent="0.25">
      <c r="A82"/>
      <c r="B82"/>
      <c r="C82"/>
      <c r="D82"/>
    </row>
    <row r="83" spans="1:4" x14ac:dyDescent="0.25">
      <c r="A83"/>
      <c r="B83"/>
      <c r="C83"/>
      <c r="D83"/>
    </row>
    <row r="84" spans="1:4" x14ac:dyDescent="0.25">
      <c r="A84"/>
      <c r="B84"/>
      <c r="C84"/>
      <c r="D84"/>
    </row>
    <row r="85" spans="1:4" x14ac:dyDescent="0.25">
      <c r="A85"/>
      <c r="B85"/>
      <c r="C85"/>
      <c r="D85"/>
    </row>
    <row r="86" spans="1:4" x14ac:dyDescent="0.25">
      <c r="A86"/>
      <c r="B86"/>
      <c r="C86"/>
      <c r="D86"/>
    </row>
    <row r="87" spans="1:4" x14ac:dyDescent="0.25">
      <c r="A87"/>
      <c r="B87"/>
      <c r="C87"/>
      <c r="D87"/>
    </row>
    <row r="88" spans="1:4" x14ac:dyDescent="0.25">
      <c r="A88"/>
      <c r="B88"/>
      <c r="C88"/>
      <c r="D88"/>
    </row>
    <row r="89" spans="1:4" x14ac:dyDescent="0.25">
      <c r="A89"/>
      <c r="B89"/>
      <c r="C89"/>
      <c r="D89"/>
    </row>
    <row r="90" spans="1:4" x14ac:dyDescent="0.25">
      <c r="A90"/>
      <c r="B90"/>
      <c r="C90"/>
      <c r="D90"/>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c r="B95"/>
      <c r="C95"/>
      <c r="D95"/>
    </row>
    <row r="96" spans="1:4" x14ac:dyDescent="0.25">
      <c r="A96"/>
      <c r="B96"/>
      <c r="C96"/>
      <c r="D96"/>
    </row>
    <row r="97" spans="1:4" x14ac:dyDescent="0.25">
      <c r="A97"/>
      <c r="B97"/>
      <c r="C97"/>
      <c r="D97"/>
    </row>
    <row r="98" spans="1:4" x14ac:dyDescent="0.25">
      <c r="A98"/>
      <c r="B98"/>
      <c r="C98"/>
      <c r="D98"/>
    </row>
    <row r="99" spans="1:4" x14ac:dyDescent="0.25">
      <c r="A99"/>
      <c r="B99"/>
      <c r="C99"/>
      <c r="D99"/>
    </row>
    <row r="100" spans="1:4" x14ac:dyDescent="0.25">
      <c r="A100"/>
      <c r="B100"/>
      <c r="C100"/>
      <c r="D100"/>
    </row>
    <row r="101" spans="1:4" x14ac:dyDescent="0.25">
      <c r="A101"/>
      <c r="B101"/>
      <c r="C101"/>
      <c r="D101"/>
    </row>
    <row r="102" spans="1:4" x14ac:dyDescent="0.25">
      <c r="A102"/>
      <c r="B102"/>
      <c r="C102"/>
      <c r="D102"/>
    </row>
    <row r="103" spans="1:4" x14ac:dyDescent="0.25">
      <c r="A103"/>
      <c r="B103"/>
      <c r="C103"/>
      <c r="D103"/>
    </row>
    <row r="104" spans="1:4" x14ac:dyDescent="0.25">
      <c r="A104"/>
      <c r="B104"/>
      <c r="C104"/>
      <c r="D104"/>
    </row>
    <row r="105" spans="1:4" x14ac:dyDescent="0.25">
      <c r="A105"/>
      <c r="B105"/>
      <c r="C105"/>
      <c r="D105"/>
    </row>
    <row r="106" spans="1:4" x14ac:dyDescent="0.25">
      <c r="A106"/>
      <c r="B106"/>
      <c r="C106"/>
      <c r="D106"/>
    </row>
    <row r="107" spans="1:4" x14ac:dyDescent="0.25">
      <c r="A107"/>
      <c r="B107"/>
      <c r="C107"/>
      <c r="D107"/>
    </row>
    <row r="108" spans="1:4" x14ac:dyDescent="0.25">
      <c r="A108"/>
      <c r="B108"/>
      <c r="C108"/>
      <c r="D108"/>
    </row>
    <row r="109" spans="1:4" x14ac:dyDescent="0.25">
      <c r="A109"/>
      <c r="B109"/>
      <c r="C109"/>
      <c r="D109"/>
    </row>
    <row r="110" spans="1:4" x14ac:dyDescent="0.25">
      <c r="A110"/>
      <c r="B110"/>
      <c r="C110"/>
      <c r="D110"/>
    </row>
    <row r="111" spans="1:4" x14ac:dyDescent="0.25">
      <c r="A111"/>
      <c r="B111"/>
      <c r="C111"/>
      <c r="D111"/>
    </row>
    <row r="112" spans="1:4" x14ac:dyDescent="0.25">
      <c r="A112"/>
      <c r="B112"/>
      <c r="C112"/>
      <c r="D112"/>
    </row>
    <row r="113" spans="1:4" x14ac:dyDescent="0.25">
      <c r="A113"/>
      <c r="B113"/>
      <c r="C113"/>
      <c r="D113"/>
    </row>
    <row r="114" spans="1:4" x14ac:dyDescent="0.25">
      <c r="A114"/>
      <c r="B114"/>
      <c r="C114"/>
      <c r="D114"/>
    </row>
    <row r="115" spans="1:4" x14ac:dyDescent="0.25">
      <c r="A115"/>
      <c r="B115"/>
      <c r="C115"/>
      <c r="D115"/>
    </row>
    <row r="116" spans="1:4" x14ac:dyDescent="0.25">
      <c r="A116"/>
      <c r="B116"/>
      <c r="C116"/>
      <c r="D116"/>
    </row>
    <row r="117" spans="1:4" x14ac:dyDescent="0.25">
      <c r="A117"/>
      <c r="B117"/>
      <c r="C117"/>
      <c r="D117"/>
    </row>
    <row r="118" spans="1:4" x14ac:dyDescent="0.25">
      <c r="A118"/>
      <c r="B118"/>
      <c r="C118"/>
      <c r="D118"/>
    </row>
    <row r="119" spans="1:4" x14ac:dyDescent="0.25">
      <c r="A119"/>
      <c r="B119"/>
      <c r="C119"/>
      <c r="D119"/>
    </row>
    <row r="120" spans="1:4" x14ac:dyDescent="0.25">
      <c r="A120"/>
      <c r="B120"/>
      <c r="C120"/>
      <c r="D120"/>
    </row>
    <row r="121" spans="1:4" x14ac:dyDescent="0.25">
      <c r="A121"/>
      <c r="B121"/>
      <c r="C121"/>
      <c r="D121"/>
    </row>
    <row r="122" spans="1:4" x14ac:dyDescent="0.25">
      <c r="A122"/>
      <c r="B122"/>
      <c r="C122"/>
      <c r="D122"/>
    </row>
    <row r="123" spans="1:4" x14ac:dyDescent="0.25">
      <c r="A123"/>
      <c r="B123"/>
      <c r="C123"/>
      <c r="D123"/>
    </row>
    <row r="124" spans="1:4" x14ac:dyDescent="0.25">
      <c r="A124"/>
      <c r="B124"/>
      <c r="C124"/>
      <c r="D124"/>
    </row>
    <row r="125" spans="1:4" x14ac:dyDescent="0.25">
      <c r="A125"/>
      <c r="B125"/>
      <c r="C125"/>
      <c r="D125"/>
    </row>
    <row r="126" spans="1:4" x14ac:dyDescent="0.25">
      <c r="A126"/>
      <c r="B126"/>
      <c r="C126"/>
      <c r="D126"/>
    </row>
    <row r="127" spans="1:4" x14ac:dyDescent="0.25">
      <c r="A127"/>
      <c r="B127"/>
      <c r="C127"/>
      <c r="D127"/>
    </row>
    <row r="128" spans="1:4" x14ac:dyDescent="0.25">
      <c r="A128"/>
      <c r="B128"/>
      <c r="C128"/>
      <c r="D128"/>
    </row>
    <row r="129" spans="1:4" x14ac:dyDescent="0.25">
      <c r="A129"/>
      <c r="B129"/>
      <c r="C129"/>
      <c r="D129"/>
    </row>
    <row r="130" spans="1:4" x14ac:dyDescent="0.25">
      <c r="A130"/>
      <c r="B130"/>
      <c r="C130"/>
      <c r="D130"/>
    </row>
    <row r="131" spans="1:4" x14ac:dyDescent="0.25">
      <c r="A131"/>
      <c r="B131"/>
      <c r="C131"/>
      <c r="D131"/>
    </row>
    <row r="132" spans="1:4" x14ac:dyDescent="0.25">
      <c r="A132"/>
      <c r="B132"/>
      <c r="C132"/>
      <c r="D132"/>
    </row>
    <row r="133" spans="1:4" x14ac:dyDescent="0.25">
      <c r="A133"/>
      <c r="B133"/>
      <c r="C133"/>
      <c r="D133"/>
    </row>
    <row r="134" spans="1:4" x14ac:dyDescent="0.25">
      <c r="A134"/>
      <c r="B134"/>
      <c r="C134"/>
      <c r="D134"/>
    </row>
    <row r="135" spans="1:4" x14ac:dyDescent="0.25">
      <c r="A135"/>
      <c r="B135"/>
      <c r="C135"/>
      <c r="D135"/>
    </row>
    <row r="136" spans="1:4" x14ac:dyDescent="0.25">
      <c r="A136"/>
      <c r="B136"/>
      <c r="C136"/>
      <c r="D136"/>
    </row>
    <row r="137" spans="1:4" x14ac:dyDescent="0.25">
      <c r="A137"/>
      <c r="B137"/>
      <c r="C137"/>
      <c r="D137"/>
    </row>
    <row r="138" spans="1:4" x14ac:dyDescent="0.25">
      <c r="A138"/>
      <c r="B138"/>
      <c r="C138"/>
      <c r="D138"/>
    </row>
    <row r="139" spans="1:4" x14ac:dyDescent="0.25">
      <c r="A139"/>
      <c r="B139"/>
      <c r="C139"/>
      <c r="D139"/>
    </row>
    <row r="140" spans="1:4" x14ac:dyDescent="0.25">
      <c r="A140"/>
      <c r="B140"/>
      <c r="C140"/>
      <c r="D140"/>
    </row>
    <row r="141" spans="1:4" x14ac:dyDescent="0.25">
      <c r="A141"/>
      <c r="B141"/>
      <c r="C141"/>
      <c r="D141"/>
    </row>
    <row r="142" spans="1:4" x14ac:dyDescent="0.25">
      <c r="A142"/>
      <c r="B142"/>
      <c r="C142"/>
      <c r="D142"/>
    </row>
    <row r="143" spans="1:4" x14ac:dyDescent="0.25">
      <c r="A143"/>
      <c r="B143"/>
      <c r="C143"/>
      <c r="D143"/>
    </row>
    <row r="144" spans="1:4" x14ac:dyDescent="0.25">
      <c r="A144"/>
      <c r="B144"/>
      <c r="C144"/>
      <c r="D144"/>
    </row>
    <row r="145" spans="1:4" x14ac:dyDescent="0.25">
      <c r="A145"/>
      <c r="B145"/>
      <c r="C145"/>
      <c r="D145"/>
    </row>
    <row r="146" spans="1:4" x14ac:dyDescent="0.25">
      <c r="A146"/>
      <c r="B146"/>
      <c r="C146"/>
      <c r="D146"/>
    </row>
    <row r="147" spans="1:4" x14ac:dyDescent="0.25">
      <c r="A147"/>
      <c r="B147"/>
      <c r="C147"/>
      <c r="D147"/>
    </row>
    <row r="148" spans="1:4" x14ac:dyDescent="0.25">
      <c r="A148"/>
      <c r="B148"/>
      <c r="C148"/>
      <c r="D148"/>
    </row>
    <row r="149" spans="1:4" x14ac:dyDescent="0.25">
      <c r="A149"/>
      <c r="B149"/>
      <c r="C149"/>
      <c r="D149"/>
    </row>
    <row r="150" spans="1:4" x14ac:dyDescent="0.25">
      <c r="A150"/>
      <c r="B150"/>
      <c r="C150"/>
      <c r="D150"/>
    </row>
    <row r="151" spans="1:4" x14ac:dyDescent="0.25">
      <c r="A151"/>
      <c r="B151"/>
      <c r="C151"/>
      <c r="D151"/>
    </row>
    <row r="152" spans="1:4" x14ac:dyDescent="0.25">
      <c r="A152"/>
      <c r="B152"/>
      <c r="C152"/>
      <c r="D152"/>
    </row>
    <row r="153" spans="1:4" x14ac:dyDescent="0.25">
      <c r="A153"/>
      <c r="B153"/>
      <c r="C153"/>
      <c r="D153"/>
    </row>
    <row r="154" spans="1:4" x14ac:dyDescent="0.25">
      <c r="A154"/>
      <c r="B154"/>
      <c r="C154"/>
      <c r="D154"/>
    </row>
    <row r="155" spans="1:4" x14ac:dyDescent="0.25">
      <c r="A155"/>
      <c r="B155"/>
      <c r="C155"/>
      <c r="D155"/>
    </row>
    <row r="156" spans="1:4" x14ac:dyDescent="0.25">
      <c r="A156"/>
      <c r="B156"/>
      <c r="C156"/>
      <c r="D156"/>
    </row>
    <row r="157" spans="1:4" x14ac:dyDescent="0.25">
      <c r="A157"/>
      <c r="B157"/>
      <c r="C157"/>
      <c r="D157"/>
    </row>
    <row r="158" spans="1:4" x14ac:dyDescent="0.25">
      <c r="A158"/>
      <c r="B158"/>
      <c r="C158"/>
      <c r="D158"/>
    </row>
    <row r="159" spans="1:4" x14ac:dyDescent="0.25">
      <c r="A159"/>
      <c r="B159"/>
      <c r="C159"/>
      <c r="D159"/>
    </row>
    <row r="160" spans="1:4" x14ac:dyDescent="0.25">
      <c r="A160"/>
      <c r="B160"/>
      <c r="C160"/>
      <c r="D160"/>
    </row>
    <row r="161" spans="1:4" x14ac:dyDescent="0.25">
      <c r="A161"/>
      <c r="B161"/>
      <c r="C161"/>
      <c r="D161"/>
    </row>
    <row r="162" spans="1:4" x14ac:dyDescent="0.25">
      <c r="A162"/>
      <c r="B162"/>
      <c r="C162"/>
      <c r="D162"/>
    </row>
    <row r="163" spans="1:4" x14ac:dyDescent="0.25">
      <c r="A163"/>
      <c r="B163"/>
      <c r="C163"/>
      <c r="D163"/>
    </row>
    <row r="164" spans="1:4" x14ac:dyDescent="0.25">
      <c r="A164"/>
      <c r="B164"/>
      <c r="C164"/>
      <c r="D164"/>
    </row>
    <row r="165" spans="1:4" x14ac:dyDescent="0.25">
      <c r="A165"/>
      <c r="B165"/>
      <c r="C165"/>
      <c r="D165"/>
    </row>
    <row r="166" spans="1:4" x14ac:dyDescent="0.25">
      <c r="A166"/>
      <c r="B166"/>
      <c r="C166"/>
      <c r="D166"/>
    </row>
    <row r="167" spans="1:4" x14ac:dyDescent="0.25">
      <c r="A167"/>
      <c r="B167"/>
      <c r="C167"/>
      <c r="D167"/>
    </row>
    <row r="168" spans="1:4" x14ac:dyDescent="0.25">
      <c r="A168"/>
      <c r="B168"/>
      <c r="C168"/>
      <c r="D168"/>
    </row>
    <row r="169" spans="1:4" x14ac:dyDescent="0.25">
      <c r="A169"/>
      <c r="B169"/>
      <c r="C169"/>
      <c r="D169"/>
    </row>
    <row r="170" spans="1:4" x14ac:dyDescent="0.25">
      <c r="A170"/>
      <c r="B170"/>
      <c r="C170"/>
      <c r="D170"/>
    </row>
    <row r="171" spans="1:4" x14ac:dyDescent="0.25">
      <c r="A171"/>
      <c r="B171"/>
      <c r="C171"/>
      <c r="D171"/>
    </row>
    <row r="172" spans="1:4" x14ac:dyDescent="0.25">
      <c r="A172"/>
      <c r="B172"/>
      <c r="C172"/>
      <c r="D172"/>
    </row>
    <row r="173" spans="1:4" x14ac:dyDescent="0.25">
      <c r="A173"/>
      <c r="B173"/>
      <c r="C173"/>
      <c r="D173"/>
    </row>
    <row r="174" spans="1:4" x14ac:dyDescent="0.25">
      <c r="A174"/>
      <c r="B174"/>
      <c r="C174"/>
      <c r="D174"/>
    </row>
    <row r="175" spans="1:4" x14ac:dyDescent="0.25">
      <c r="A175"/>
      <c r="B175"/>
      <c r="C175"/>
      <c r="D175"/>
    </row>
    <row r="176" spans="1:4" x14ac:dyDescent="0.25">
      <c r="A176"/>
      <c r="B176"/>
      <c r="C176"/>
      <c r="D176"/>
    </row>
    <row r="177" spans="1:4" x14ac:dyDescent="0.25">
      <c r="A177"/>
      <c r="B177"/>
      <c r="C177"/>
      <c r="D177"/>
    </row>
    <row r="178" spans="1:4" x14ac:dyDescent="0.25">
      <c r="A178"/>
      <c r="B178"/>
      <c r="C178"/>
      <c r="D178"/>
    </row>
    <row r="179" spans="1:4" x14ac:dyDescent="0.25">
      <c r="A179"/>
      <c r="B179"/>
      <c r="C179"/>
      <c r="D179"/>
    </row>
    <row r="180" spans="1:4" x14ac:dyDescent="0.25">
      <c r="A180"/>
      <c r="B180"/>
      <c r="C180"/>
      <c r="D180"/>
    </row>
    <row r="181" spans="1:4" x14ac:dyDescent="0.25">
      <c r="A181"/>
      <c r="B181"/>
      <c r="C181"/>
      <c r="D181"/>
    </row>
    <row r="182" spans="1:4" x14ac:dyDescent="0.25">
      <c r="A182"/>
      <c r="B182"/>
      <c r="C182"/>
      <c r="D182"/>
    </row>
    <row r="183" spans="1:4" x14ac:dyDescent="0.25">
      <c r="A183"/>
      <c r="B183"/>
      <c r="C183"/>
      <c r="D183"/>
    </row>
    <row r="184" spans="1:4" x14ac:dyDescent="0.25">
      <c r="A184"/>
      <c r="B184"/>
      <c r="C184"/>
      <c r="D184"/>
    </row>
    <row r="185" spans="1:4" x14ac:dyDescent="0.25">
      <c r="A185"/>
      <c r="B185"/>
      <c r="C185"/>
      <c r="D185"/>
    </row>
    <row r="186" spans="1:4" x14ac:dyDescent="0.25">
      <c r="A186"/>
      <c r="B186"/>
      <c r="C186"/>
      <c r="D186"/>
    </row>
    <row r="187" spans="1:4" x14ac:dyDescent="0.25">
      <c r="A187"/>
      <c r="B187"/>
      <c r="C187"/>
      <c r="D187"/>
    </row>
    <row r="188" spans="1:4" x14ac:dyDescent="0.25">
      <c r="A188"/>
      <c r="B188"/>
      <c r="C188"/>
      <c r="D188"/>
    </row>
    <row r="189" spans="1:4" x14ac:dyDescent="0.25">
      <c r="A189"/>
      <c r="B189"/>
      <c r="C189"/>
      <c r="D189"/>
    </row>
    <row r="190" spans="1:4" x14ac:dyDescent="0.25">
      <c r="A190"/>
      <c r="B190"/>
      <c r="C190"/>
      <c r="D190"/>
    </row>
    <row r="191" spans="1:4" x14ac:dyDescent="0.25">
      <c r="A191"/>
      <c r="B191"/>
      <c r="C191"/>
      <c r="D191"/>
    </row>
    <row r="192" spans="1:4" x14ac:dyDescent="0.25">
      <c r="A192"/>
      <c r="B192"/>
      <c r="C192"/>
      <c r="D192"/>
    </row>
    <row r="193" spans="1:4" x14ac:dyDescent="0.25">
      <c r="A193"/>
      <c r="B193"/>
      <c r="C193"/>
      <c r="D193"/>
    </row>
    <row r="194" spans="1:4" x14ac:dyDescent="0.25">
      <c r="A194"/>
      <c r="B194"/>
      <c r="C194"/>
      <c r="D194"/>
    </row>
    <row r="195" spans="1:4" x14ac:dyDescent="0.25">
      <c r="A195"/>
      <c r="B195"/>
      <c r="C195"/>
      <c r="D195"/>
    </row>
    <row r="196" spans="1:4" x14ac:dyDescent="0.25">
      <c r="A196"/>
      <c r="B196"/>
      <c r="C196"/>
      <c r="D196"/>
    </row>
    <row r="197" spans="1:4" x14ac:dyDescent="0.25">
      <c r="A197"/>
      <c r="B197"/>
      <c r="C197"/>
      <c r="D197"/>
    </row>
    <row r="198" spans="1:4" x14ac:dyDescent="0.25">
      <c r="A198"/>
      <c r="B198"/>
      <c r="C198"/>
      <c r="D198"/>
    </row>
    <row r="199" spans="1:4" x14ac:dyDescent="0.25">
      <c r="A199"/>
    </row>
    <row r="200" spans="1:4" x14ac:dyDescent="0.25">
      <c r="A200"/>
    </row>
    <row r="201" spans="1:4" x14ac:dyDescent="0.25">
      <c r="A201"/>
    </row>
    <row r="202" spans="1:4" x14ac:dyDescent="0.25">
      <c r="A202"/>
    </row>
    <row r="203" spans="1:4" x14ac:dyDescent="0.25">
      <c r="A203"/>
    </row>
    <row r="204" spans="1:4" x14ac:dyDescent="0.25">
      <c r="A204"/>
    </row>
    <row r="205" spans="1:4" x14ac:dyDescent="0.25">
      <c r="A205"/>
    </row>
  </sheetData>
  <mergeCells count="2">
    <mergeCell ref="A2:C2"/>
    <mergeCell ref="A3:F3"/>
  </mergeCells>
  <pageMargins left="0.7" right="0.7" top="0.75" bottom="0.75" header="0.3" footer="0.3"/>
  <pageSetup paperSize="9" scale="62"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sheetPr>
  <dimension ref="A1:K227"/>
  <sheetViews>
    <sheetView topLeftCell="B1" zoomScale="90" zoomScaleNormal="90" workbookViewId="0">
      <selection activeCell="C11" sqref="C11"/>
    </sheetView>
  </sheetViews>
  <sheetFormatPr defaultRowHeight="15" x14ac:dyDescent="0.25"/>
  <cols>
    <col min="1" max="1" width="14.28515625" customWidth="1"/>
    <col min="2" max="2" width="25.28515625" style="81" customWidth="1"/>
    <col min="3" max="3" width="47.28515625" customWidth="1"/>
    <col min="4" max="4" width="16" customWidth="1"/>
    <col min="6" max="7" width="0" hidden="1" customWidth="1"/>
    <col min="8" max="8" width="50.85546875" style="4" customWidth="1"/>
    <col min="9" max="9" width="10.140625" style="4" customWidth="1"/>
    <col min="10" max="10" width="18.28515625" style="4" customWidth="1"/>
    <col min="11" max="11" width="22.28515625" customWidth="1"/>
    <col min="12" max="12" width="7.42578125" customWidth="1"/>
    <col min="13" max="13" width="13.7109375" customWidth="1"/>
  </cols>
  <sheetData>
    <row r="1" spans="1:11" x14ac:dyDescent="0.25">
      <c r="A1" s="250" t="s">
        <v>497</v>
      </c>
      <c r="B1" s="752" t="s">
        <v>1117</v>
      </c>
      <c r="H1" s="404" t="s">
        <v>497</v>
      </c>
      <c r="I1" s="426" t="s">
        <v>499</v>
      </c>
    </row>
    <row r="2" spans="1:11" x14ac:dyDescent="0.25">
      <c r="H2" s="404" t="s">
        <v>401</v>
      </c>
      <c r="I2" s="426" t="s">
        <v>553</v>
      </c>
    </row>
    <row r="3" spans="1:11" x14ac:dyDescent="0.25">
      <c r="A3" s="342" t="s">
        <v>0</v>
      </c>
      <c r="B3" s="343" t="s">
        <v>557</v>
      </c>
      <c r="C3" s="258" t="s">
        <v>509</v>
      </c>
      <c r="D3" s="256" t="s">
        <v>1005</v>
      </c>
    </row>
    <row r="4" spans="1:11" x14ac:dyDescent="0.25">
      <c r="A4" s="351" t="s">
        <v>5</v>
      </c>
      <c r="B4" s="351" t="s">
        <v>21</v>
      </c>
      <c r="C4" s="752" t="s">
        <v>22</v>
      </c>
      <c r="D4" s="359">
        <v>0.66614420062695934</v>
      </c>
      <c r="H4" s="342" t="s">
        <v>414</v>
      </c>
      <c r="I4" s="427" t="s">
        <v>867</v>
      </c>
      <c r="J4" s="428" t="s">
        <v>1122</v>
      </c>
      <c r="K4" s="351" t="s">
        <v>1120</v>
      </c>
    </row>
    <row r="5" spans="1:11" x14ac:dyDescent="0.25">
      <c r="A5" s="254"/>
      <c r="B5" s="254" t="s">
        <v>17</v>
      </c>
      <c r="C5" s="752" t="s">
        <v>18</v>
      </c>
      <c r="D5" s="360">
        <v>0.7846153846153846</v>
      </c>
      <c r="H5" s="345" t="s">
        <v>310</v>
      </c>
      <c r="I5" s="429">
        <v>4738</v>
      </c>
      <c r="J5" s="430">
        <v>2188</v>
      </c>
      <c r="K5" s="352">
        <v>2188</v>
      </c>
    </row>
    <row r="6" spans="1:11" x14ac:dyDescent="0.25">
      <c r="A6" s="254"/>
      <c r="B6" s="254" t="s">
        <v>4</v>
      </c>
      <c r="C6" s="752" t="s">
        <v>6</v>
      </c>
      <c r="D6" s="360">
        <v>0.66147859922178998</v>
      </c>
      <c r="H6" s="855" t="s">
        <v>353</v>
      </c>
      <c r="I6" s="429">
        <v>1396</v>
      </c>
      <c r="J6" s="430">
        <v>1236</v>
      </c>
      <c r="K6" s="352">
        <v>1236</v>
      </c>
    </row>
    <row r="7" spans="1:11" x14ac:dyDescent="0.25">
      <c r="A7" s="254"/>
      <c r="B7" s="254" t="s">
        <v>13</v>
      </c>
      <c r="C7" s="752" t="s">
        <v>14</v>
      </c>
      <c r="D7" s="360">
        <v>1</v>
      </c>
      <c r="H7" s="669" t="s">
        <v>1568</v>
      </c>
      <c r="I7" s="429">
        <v>402</v>
      </c>
      <c r="J7" s="430">
        <v>402</v>
      </c>
      <c r="K7" s="352">
        <v>402</v>
      </c>
    </row>
    <row r="8" spans="1:11" x14ac:dyDescent="0.25">
      <c r="A8" s="254"/>
      <c r="B8" s="254" t="s">
        <v>25</v>
      </c>
      <c r="C8" s="752" t="s">
        <v>26</v>
      </c>
      <c r="D8" s="360">
        <v>2.8000000000000003</v>
      </c>
      <c r="H8" s="669" t="s">
        <v>328</v>
      </c>
      <c r="I8" s="429">
        <v>289</v>
      </c>
      <c r="J8" s="430">
        <v>182</v>
      </c>
      <c r="K8" s="352">
        <v>182</v>
      </c>
    </row>
    <row r="9" spans="1:11" x14ac:dyDescent="0.25">
      <c r="A9" s="254"/>
      <c r="B9" s="254" t="s">
        <v>19</v>
      </c>
      <c r="C9" s="752" t="s">
        <v>20</v>
      </c>
      <c r="D9" s="360">
        <v>0.47619047619047616</v>
      </c>
      <c r="H9" s="669" t="s">
        <v>1231</v>
      </c>
      <c r="I9" s="429">
        <v>186</v>
      </c>
      <c r="J9" s="430">
        <v>151</v>
      </c>
      <c r="K9" s="352">
        <v>151</v>
      </c>
    </row>
    <row r="10" spans="1:11" x14ac:dyDescent="0.25">
      <c r="A10" s="254"/>
      <c r="B10" s="254" t="s">
        <v>23</v>
      </c>
      <c r="C10" s="752" t="s">
        <v>24</v>
      </c>
      <c r="D10" s="360">
        <v>1.75</v>
      </c>
      <c r="H10" s="669" t="s">
        <v>1556</v>
      </c>
      <c r="I10" s="429">
        <v>62</v>
      </c>
      <c r="J10" s="430">
        <v>62</v>
      </c>
      <c r="K10" s="352">
        <v>62</v>
      </c>
    </row>
    <row r="11" spans="1:11" x14ac:dyDescent="0.25">
      <c r="A11" s="254"/>
      <c r="B11" s="254" t="s">
        <v>376</v>
      </c>
      <c r="C11" s="752" t="s">
        <v>366</v>
      </c>
      <c r="D11" s="360">
        <v>0.82352941176470584</v>
      </c>
      <c r="H11" s="669" t="s">
        <v>336</v>
      </c>
      <c r="I11" s="429">
        <v>149</v>
      </c>
      <c r="J11" s="430">
        <v>49</v>
      </c>
      <c r="K11" s="352">
        <v>49</v>
      </c>
    </row>
    <row r="12" spans="1:11" x14ac:dyDescent="0.25">
      <c r="A12" s="254"/>
      <c r="B12" s="254" t="s">
        <v>7</v>
      </c>
      <c r="C12" s="752" t="s">
        <v>8</v>
      </c>
      <c r="D12" s="360">
        <v>1.3846153846153846</v>
      </c>
      <c r="H12" s="855" t="s">
        <v>355</v>
      </c>
      <c r="I12" s="429">
        <v>100</v>
      </c>
      <c r="J12" s="430">
        <v>35</v>
      </c>
      <c r="K12" s="352">
        <v>35</v>
      </c>
    </row>
    <row r="13" spans="1:11" x14ac:dyDescent="0.25">
      <c r="A13" s="255"/>
      <c r="B13" s="255" t="s">
        <v>377</v>
      </c>
      <c r="C13" s="752" t="s">
        <v>511</v>
      </c>
      <c r="D13" s="361">
        <v>1.8333333333333335</v>
      </c>
      <c r="H13" s="669" t="s">
        <v>342</v>
      </c>
      <c r="I13" s="429">
        <v>65</v>
      </c>
      <c r="J13" s="430">
        <v>27</v>
      </c>
      <c r="K13" s="352">
        <v>27</v>
      </c>
    </row>
    <row r="14" spans="1:11" x14ac:dyDescent="0.25">
      <c r="A14" s="254" t="s">
        <v>27</v>
      </c>
      <c r="B14" s="254" t="s">
        <v>30</v>
      </c>
      <c r="C14" s="255" t="s">
        <v>28</v>
      </c>
      <c r="D14" s="360">
        <v>0.9907407407407407</v>
      </c>
      <c r="H14" s="669" t="s">
        <v>330</v>
      </c>
      <c r="I14" s="429">
        <v>282</v>
      </c>
      <c r="J14" s="430">
        <v>27</v>
      </c>
      <c r="K14" s="352">
        <v>27</v>
      </c>
    </row>
    <row r="15" spans="1:11" x14ac:dyDescent="0.25">
      <c r="A15" s="254"/>
      <c r="B15" s="254" t="s">
        <v>378</v>
      </c>
      <c r="C15" s="255" t="s">
        <v>365</v>
      </c>
      <c r="D15" s="360">
        <v>0.50694444444444442</v>
      </c>
      <c r="H15" s="669" t="s">
        <v>316</v>
      </c>
      <c r="I15" s="429">
        <v>65</v>
      </c>
      <c r="J15" s="430">
        <v>10</v>
      </c>
      <c r="K15" s="352">
        <v>10</v>
      </c>
    </row>
    <row r="16" spans="1:11" x14ac:dyDescent="0.25">
      <c r="A16" s="254"/>
      <c r="B16" s="255" t="s">
        <v>862</v>
      </c>
      <c r="C16" s="255" t="s">
        <v>863</v>
      </c>
      <c r="D16" s="361">
        <v>0</v>
      </c>
      <c r="H16" s="669" t="s">
        <v>326</v>
      </c>
      <c r="I16" s="429">
        <v>45</v>
      </c>
      <c r="J16" s="430">
        <v>5</v>
      </c>
      <c r="K16" s="352">
        <v>5</v>
      </c>
    </row>
    <row r="17" spans="1:11" x14ac:dyDescent="0.25">
      <c r="A17" s="254"/>
      <c r="B17" s="298" t="s">
        <v>29</v>
      </c>
      <c r="C17" s="298" t="s">
        <v>364</v>
      </c>
      <c r="D17" s="257">
        <v>0</v>
      </c>
      <c r="H17" s="669" t="s">
        <v>344</v>
      </c>
      <c r="I17" s="429">
        <v>20</v>
      </c>
      <c r="J17" s="430">
        <v>1</v>
      </c>
      <c r="K17" s="352">
        <v>1</v>
      </c>
    </row>
    <row r="18" spans="1:11" x14ac:dyDescent="0.25">
      <c r="A18" s="255"/>
      <c r="B18" s="298" t="s">
        <v>1018</v>
      </c>
      <c r="C18" s="298" t="s">
        <v>1017</v>
      </c>
      <c r="D18" s="257">
        <v>0</v>
      </c>
      <c r="H18" s="669" t="s">
        <v>320</v>
      </c>
      <c r="I18" s="429">
        <v>30</v>
      </c>
      <c r="J18" s="430">
        <v>1</v>
      </c>
      <c r="K18" s="352">
        <v>1</v>
      </c>
    </row>
    <row r="19" spans="1:11" x14ac:dyDescent="0.25">
      <c r="A19" s="254" t="s">
        <v>526</v>
      </c>
      <c r="B19" s="254" t="s">
        <v>1006</v>
      </c>
      <c r="C19" s="254" t="s">
        <v>898</v>
      </c>
      <c r="D19" s="360">
        <v>0</v>
      </c>
      <c r="H19" s="669" t="s">
        <v>349</v>
      </c>
      <c r="I19" s="429">
        <v>46</v>
      </c>
      <c r="J19" s="430">
        <v>0</v>
      </c>
      <c r="K19" s="352">
        <v>0</v>
      </c>
    </row>
    <row r="20" spans="1:11" x14ac:dyDescent="0.25">
      <c r="A20" s="254"/>
      <c r="B20" s="254"/>
      <c r="C20" s="255" t="s">
        <v>858</v>
      </c>
      <c r="D20" s="360">
        <v>0</v>
      </c>
      <c r="H20" s="669" t="s">
        <v>347</v>
      </c>
      <c r="I20" s="429">
        <v>184</v>
      </c>
      <c r="J20" s="430">
        <v>0</v>
      </c>
      <c r="K20" s="352">
        <v>0</v>
      </c>
    </row>
    <row r="21" spans="1:11" x14ac:dyDescent="0.25">
      <c r="A21" s="254"/>
      <c r="B21" s="254" t="s">
        <v>99</v>
      </c>
      <c r="C21" s="255" t="s">
        <v>100</v>
      </c>
      <c r="D21" s="360">
        <v>2</v>
      </c>
      <c r="H21" s="669" t="s">
        <v>318</v>
      </c>
      <c r="I21" s="429">
        <v>111</v>
      </c>
      <c r="J21" s="430">
        <v>0</v>
      </c>
      <c r="K21" s="352">
        <v>0</v>
      </c>
    </row>
    <row r="22" spans="1:11" x14ac:dyDescent="0.25">
      <c r="A22" s="254"/>
      <c r="B22" s="254" t="s">
        <v>107</v>
      </c>
      <c r="C22" s="255" t="s">
        <v>108</v>
      </c>
      <c r="D22" s="360">
        <v>1.1000000000000001</v>
      </c>
      <c r="H22" s="669" t="s">
        <v>334</v>
      </c>
      <c r="I22" s="429">
        <v>152</v>
      </c>
      <c r="J22" s="430">
        <v>0</v>
      </c>
      <c r="K22" s="352">
        <v>0</v>
      </c>
    </row>
    <row r="23" spans="1:11" x14ac:dyDescent="0.25">
      <c r="A23" s="254"/>
      <c r="B23" s="254" t="s">
        <v>139</v>
      </c>
      <c r="C23" s="255" t="s">
        <v>140</v>
      </c>
      <c r="D23" s="360">
        <v>0.90909090909090906</v>
      </c>
      <c r="H23" s="669" t="s">
        <v>322</v>
      </c>
      <c r="I23" s="429">
        <v>431</v>
      </c>
      <c r="J23" s="430">
        <v>0</v>
      </c>
      <c r="K23" s="352">
        <v>0</v>
      </c>
    </row>
    <row r="24" spans="1:11" x14ac:dyDescent="0.25">
      <c r="A24" s="254"/>
      <c r="B24" s="254" t="s">
        <v>71</v>
      </c>
      <c r="C24" s="255" t="s">
        <v>72</v>
      </c>
      <c r="D24" s="360">
        <v>1</v>
      </c>
      <c r="H24" s="669" t="s">
        <v>313</v>
      </c>
      <c r="I24" s="429">
        <v>102</v>
      </c>
      <c r="J24" s="430">
        <v>0</v>
      </c>
      <c r="K24" s="352">
        <v>0</v>
      </c>
    </row>
    <row r="25" spans="1:11" x14ac:dyDescent="0.25">
      <c r="A25" s="254"/>
      <c r="B25" s="254" t="s">
        <v>51</v>
      </c>
      <c r="C25" s="255" t="s">
        <v>52</v>
      </c>
      <c r="D25" s="360">
        <v>0.52631578947368418</v>
      </c>
      <c r="H25" s="669" t="s">
        <v>324</v>
      </c>
      <c r="I25" s="429">
        <v>498</v>
      </c>
      <c r="J25" s="430">
        <v>0</v>
      </c>
      <c r="K25" s="352">
        <v>0</v>
      </c>
    </row>
    <row r="26" spans="1:11" x14ac:dyDescent="0.25">
      <c r="A26" s="254"/>
      <c r="B26" s="254" t="s">
        <v>75</v>
      </c>
      <c r="C26" s="255" t="s">
        <v>76</v>
      </c>
      <c r="D26" s="360">
        <v>1.0714285714285714</v>
      </c>
      <c r="H26" s="669" t="s">
        <v>338</v>
      </c>
      <c r="I26" s="429">
        <v>31</v>
      </c>
      <c r="J26" s="430">
        <v>0</v>
      </c>
      <c r="K26" s="352">
        <v>0</v>
      </c>
    </row>
    <row r="27" spans="1:11" x14ac:dyDescent="0.25">
      <c r="A27" s="254"/>
      <c r="B27" s="254" t="s">
        <v>40</v>
      </c>
      <c r="C27" s="255" t="s">
        <v>41</v>
      </c>
      <c r="D27" s="360">
        <v>0.90909090909090906</v>
      </c>
      <c r="H27" s="669" t="s">
        <v>351</v>
      </c>
      <c r="I27" s="429">
        <v>92</v>
      </c>
      <c r="J27" s="430">
        <v>0</v>
      </c>
      <c r="K27" s="352">
        <v>0</v>
      </c>
    </row>
    <row r="28" spans="1:11" x14ac:dyDescent="0.25">
      <c r="A28" s="254"/>
      <c r="B28" s="254" t="s">
        <v>89</v>
      </c>
      <c r="C28" s="255" t="s">
        <v>90</v>
      </c>
      <c r="D28" s="360">
        <v>1.25</v>
      </c>
      <c r="H28" s="345" t="s">
        <v>185</v>
      </c>
      <c r="I28" s="429">
        <v>4400</v>
      </c>
      <c r="J28" s="430">
        <v>827</v>
      </c>
      <c r="K28" s="352">
        <v>827</v>
      </c>
    </row>
    <row r="29" spans="1:11" x14ac:dyDescent="0.25">
      <c r="A29" s="254"/>
      <c r="B29" s="254" t="s">
        <v>117</v>
      </c>
      <c r="C29" s="255" t="s">
        <v>118</v>
      </c>
      <c r="D29" s="360">
        <v>1</v>
      </c>
      <c r="H29" s="855" t="s">
        <v>196</v>
      </c>
      <c r="I29" s="429">
        <v>1546</v>
      </c>
      <c r="J29" s="430">
        <v>351</v>
      </c>
      <c r="K29" s="352">
        <v>351</v>
      </c>
    </row>
    <row r="30" spans="1:11" x14ac:dyDescent="0.25">
      <c r="A30" s="254"/>
      <c r="B30" s="254" t="s">
        <v>123</v>
      </c>
      <c r="C30" s="255" t="s">
        <v>124</v>
      </c>
      <c r="D30" s="360">
        <v>0.625</v>
      </c>
      <c r="H30" s="855" t="s">
        <v>202</v>
      </c>
      <c r="I30" s="429">
        <v>265</v>
      </c>
      <c r="J30" s="430">
        <v>112</v>
      </c>
      <c r="K30" s="352">
        <v>112</v>
      </c>
    </row>
    <row r="31" spans="1:11" x14ac:dyDescent="0.25">
      <c r="A31" s="254"/>
      <c r="B31" s="254" t="s">
        <v>125</v>
      </c>
      <c r="C31" s="255" t="s">
        <v>126</v>
      </c>
      <c r="D31" s="360">
        <v>0.45454545454545453</v>
      </c>
      <c r="H31" s="669" t="s">
        <v>190</v>
      </c>
      <c r="I31" s="429">
        <v>194</v>
      </c>
      <c r="J31" s="430">
        <v>112</v>
      </c>
      <c r="K31" s="352">
        <v>112</v>
      </c>
    </row>
    <row r="32" spans="1:11" x14ac:dyDescent="0.25">
      <c r="A32" s="254"/>
      <c r="B32" s="254" t="s">
        <v>45</v>
      </c>
      <c r="C32" s="255" t="s">
        <v>44</v>
      </c>
      <c r="D32" s="360">
        <v>2</v>
      </c>
      <c r="H32" s="855" t="s">
        <v>209</v>
      </c>
      <c r="I32" s="429">
        <v>387</v>
      </c>
      <c r="J32" s="430">
        <v>111</v>
      </c>
      <c r="K32" s="352">
        <v>111</v>
      </c>
    </row>
    <row r="33" spans="1:11" x14ac:dyDescent="0.25">
      <c r="A33" s="254"/>
      <c r="B33" s="254" t="s">
        <v>46</v>
      </c>
      <c r="C33" s="255" t="s">
        <v>610</v>
      </c>
      <c r="D33" s="360">
        <v>1.25</v>
      </c>
      <c r="H33" s="669" t="s">
        <v>194</v>
      </c>
      <c r="I33" s="429">
        <v>718</v>
      </c>
      <c r="J33" s="430">
        <v>100</v>
      </c>
      <c r="K33" s="352">
        <v>100</v>
      </c>
    </row>
    <row r="34" spans="1:11" x14ac:dyDescent="0.25">
      <c r="A34" s="254"/>
      <c r="B34" s="254" t="s">
        <v>42</v>
      </c>
      <c r="C34" s="255" t="s">
        <v>43</v>
      </c>
      <c r="D34" s="360">
        <v>0.7142857142857143</v>
      </c>
      <c r="H34" s="669" t="s">
        <v>223</v>
      </c>
      <c r="I34" s="429">
        <v>103</v>
      </c>
      <c r="J34" s="430">
        <v>36</v>
      </c>
      <c r="K34" s="352">
        <v>36</v>
      </c>
    </row>
    <row r="35" spans="1:11" x14ac:dyDescent="0.25">
      <c r="A35" s="254"/>
      <c r="B35" s="255" t="s">
        <v>91</v>
      </c>
      <c r="C35" s="255" t="s">
        <v>92</v>
      </c>
      <c r="D35" s="361">
        <v>1</v>
      </c>
      <c r="H35" s="669" t="s">
        <v>229</v>
      </c>
      <c r="I35" s="429">
        <v>49</v>
      </c>
      <c r="J35" s="430">
        <v>4</v>
      </c>
      <c r="K35" s="352">
        <v>4</v>
      </c>
    </row>
    <row r="36" spans="1:11" x14ac:dyDescent="0.25">
      <c r="A36" s="254"/>
      <c r="B36" s="298" t="s">
        <v>119</v>
      </c>
      <c r="C36" s="298" t="s">
        <v>120</v>
      </c>
      <c r="D36" s="257">
        <v>0.16666666666666666</v>
      </c>
      <c r="H36" s="669" t="s">
        <v>225</v>
      </c>
      <c r="I36" s="429">
        <v>41</v>
      </c>
      <c r="J36" s="430">
        <v>1</v>
      </c>
      <c r="K36" s="352">
        <v>1</v>
      </c>
    </row>
    <row r="37" spans="1:11" x14ac:dyDescent="0.25">
      <c r="A37" s="254"/>
      <c r="B37" s="298" t="s">
        <v>1437</v>
      </c>
      <c r="C37" s="298" t="s">
        <v>1431</v>
      </c>
      <c r="D37" s="257">
        <v>0</v>
      </c>
      <c r="H37" s="855" t="s">
        <v>219</v>
      </c>
      <c r="I37" s="429">
        <v>597</v>
      </c>
      <c r="J37" s="430">
        <v>0</v>
      </c>
      <c r="K37" s="352">
        <v>0</v>
      </c>
    </row>
    <row r="38" spans="1:11" x14ac:dyDescent="0.25">
      <c r="A38" s="255"/>
      <c r="B38" s="298" t="s">
        <v>1435</v>
      </c>
      <c r="C38" s="298" t="s">
        <v>1432</v>
      </c>
      <c r="D38" s="257">
        <v>0.53333333333333333</v>
      </c>
      <c r="H38" s="669" t="s">
        <v>192</v>
      </c>
      <c r="I38" s="429">
        <v>103</v>
      </c>
      <c r="J38" s="430">
        <v>0</v>
      </c>
      <c r="K38" s="352">
        <v>0</v>
      </c>
    </row>
    <row r="39" spans="1:11" x14ac:dyDescent="0.25">
      <c r="A39" s="254" t="s">
        <v>146</v>
      </c>
      <c r="B39" s="254" t="s">
        <v>148</v>
      </c>
      <c r="C39" s="255" t="s">
        <v>149</v>
      </c>
      <c r="D39" s="360">
        <v>0.41269841269841268</v>
      </c>
      <c r="H39" s="669" t="s">
        <v>215</v>
      </c>
      <c r="I39" s="429">
        <v>358</v>
      </c>
      <c r="J39" s="430">
        <v>0</v>
      </c>
      <c r="K39" s="352">
        <v>0</v>
      </c>
    </row>
    <row r="40" spans="1:11" x14ac:dyDescent="0.25">
      <c r="A40" s="254"/>
      <c r="B40" s="254" t="s">
        <v>383</v>
      </c>
      <c r="C40" s="255" t="s">
        <v>369</v>
      </c>
      <c r="D40" s="360">
        <v>1</v>
      </c>
      <c r="H40" s="669" t="s">
        <v>186</v>
      </c>
      <c r="I40" s="429">
        <v>39</v>
      </c>
      <c r="J40" s="430">
        <v>0</v>
      </c>
      <c r="K40" s="352">
        <v>0</v>
      </c>
    </row>
    <row r="41" spans="1:11" x14ac:dyDescent="0.25">
      <c r="A41" s="254"/>
      <c r="B41" s="254" t="s">
        <v>384</v>
      </c>
      <c r="C41" s="255" t="s">
        <v>370</v>
      </c>
      <c r="D41" s="360">
        <v>1</v>
      </c>
      <c r="H41" s="345" t="s">
        <v>151</v>
      </c>
      <c r="I41" s="429">
        <v>2513</v>
      </c>
      <c r="J41" s="430">
        <v>1051</v>
      </c>
      <c r="K41" s="352">
        <v>1051</v>
      </c>
    </row>
    <row r="42" spans="1:11" x14ac:dyDescent="0.25">
      <c r="A42" s="254"/>
      <c r="B42" s="254" t="s">
        <v>385</v>
      </c>
      <c r="C42" s="255" t="s">
        <v>368</v>
      </c>
      <c r="D42" s="360">
        <v>0.92647058823529416</v>
      </c>
      <c r="H42" s="855" t="s">
        <v>154</v>
      </c>
      <c r="I42" s="429">
        <v>449</v>
      </c>
      <c r="J42" s="430">
        <v>249</v>
      </c>
      <c r="K42" s="352">
        <v>249</v>
      </c>
    </row>
    <row r="43" spans="1:11" x14ac:dyDescent="0.25">
      <c r="A43" s="254"/>
      <c r="B43" s="254" t="s">
        <v>387</v>
      </c>
      <c r="C43" s="255" t="s">
        <v>373</v>
      </c>
      <c r="D43" s="360">
        <v>0.543010752688172</v>
      </c>
      <c r="H43" s="669" t="s">
        <v>188</v>
      </c>
      <c r="I43" s="429">
        <v>386</v>
      </c>
      <c r="J43" s="430">
        <v>196</v>
      </c>
      <c r="K43" s="352">
        <v>196</v>
      </c>
    </row>
    <row r="44" spans="1:11" x14ac:dyDescent="0.25">
      <c r="A44" s="254"/>
      <c r="B44" s="255" t="s">
        <v>147</v>
      </c>
      <c r="C44" s="255" t="s">
        <v>371</v>
      </c>
      <c r="D44" s="361">
        <v>0.10869565217391304</v>
      </c>
      <c r="H44" s="855" t="s">
        <v>1057</v>
      </c>
      <c r="I44" s="429">
        <v>145</v>
      </c>
      <c r="J44" s="430">
        <v>145</v>
      </c>
      <c r="K44" s="352">
        <v>145</v>
      </c>
    </row>
    <row r="45" spans="1:11" x14ac:dyDescent="0.25">
      <c r="A45" s="255"/>
      <c r="B45" s="298" t="s">
        <v>1096</v>
      </c>
      <c r="C45" s="298" t="s">
        <v>1097</v>
      </c>
      <c r="D45" s="257">
        <v>0</v>
      </c>
      <c r="H45" s="669" t="s">
        <v>941</v>
      </c>
      <c r="I45" s="429">
        <v>174</v>
      </c>
      <c r="J45" s="430">
        <v>124</v>
      </c>
      <c r="K45" s="352">
        <v>124</v>
      </c>
    </row>
    <row r="46" spans="1:11" x14ac:dyDescent="0.25">
      <c r="A46" s="254" t="s">
        <v>151</v>
      </c>
      <c r="B46" s="254" t="s">
        <v>150</v>
      </c>
      <c r="C46" s="255" t="s">
        <v>152</v>
      </c>
      <c r="D46" s="360">
        <v>0.54123711340206193</v>
      </c>
      <c r="H46" s="855" t="s">
        <v>1090</v>
      </c>
      <c r="I46" s="429">
        <v>117</v>
      </c>
      <c r="J46" s="430">
        <v>117</v>
      </c>
      <c r="K46" s="352">
        <v>117</v>
      </c>
    </row>
    <row r="47" spans="1:11" x14ac:dyDescent="0.25">
      <c r="A47" s="254"/>
      <c r="B47" s="254" t="s">
        <v>197</v>
      </c>
      <c r="C47" s="255" t="s">
        <v>198</v>
      </c>
      <c r="D47" s="360">
        <v>0.97623400365630708</v>
      </c>
      <c r="H47" s="669" t="s">
        <v>884</v>
      </c>
      <c r="I47" s="429">
        <v>403</v>
      </c>
      <c r="J47" s="430">
        <v>94</v>
      </c>
      <c r="K47" s="352">
        <v>94</v>
      </c>
    </row>
    <row r="48" spans="1:11" x14ac:dyDescent="0.25">
      <c r="A48" s="254"/>
      <c r="B48" s="254" t="s">
        <v>153</v>
      </c>
      <c r="C48" s="255" t="s">
        <v>154</v>
      </c>
      <c r="D48" s="360">
        <v>0.44543429844097998</v>
      </c>
      <c r="H48" s="669" t="s">
        <v>152</v>
      </c>
      <c r="I48" s="429">
        <v>194</v>
      </c>
      <c r="J48" s="430">
        <v>89</v>
      </c>
      <c r="K48" s="352">
        <v>89</v>
      </c>
    </row>
    <row r="49" spans="1:11" x14ac:dyDescent="0.25">
      <c r="A49" s="254"/>
      <c r="B49" s="254" t="s">
        <v>159</v>
      </c>
      <c r="C49" s="255" t="s">
        <v>160</v>
      </c>
      <c r="D49" s="360">
        <v>0.75510204081632648</v>
      </c>
      <c r="H49" s="669" t="s">
        <v>160</v>
      </c>
      <c r="I49" s="429">
        <v>98</v>
      </c>
      <c r="J49" s="430">
        <v>24</v>
      </c>
      <c r="K49" s="352">
        <v>24</v>
      </c>
    </row>
    <row r="50" spans="1:11" x14ac:dyDescent="0.25">
      <c r="A50" s="254"/>
      <c r="B50" s="254" t="s">
        <v>885</v>
      </c>
      <c r="C50" s="255" t="s">
        <v>884</v>
      </c>
      <c r="D50" s="360">
        <v>0.76674937965260548</v>
      </c>
      <c r="H50" s="855" t="s">
        <v>198</v>
      </c>
      <c r="I50" s="429">
        <v>547</v>
      </c>
      <c r="J50" s="430">
        <v>13</v>
      </c>
      <c r="K50" s="352">
        <v>13</v>
      </c>
    </row>
    <row r="51" spans="1:11" x14ac:dyDescent="0.25">
      <c r="A51" s="254"/>
      <c r="B51" s="254" t="s">
        <v>187</v>
      </c>
      <c r="C51" s="255" t="s">
        <v>188</v>
      </c>
      <c r="D51" s="360">
        <v>0.49222797927461137</v>
      </c>
      <c r="H51" s="345" t="s">
        <v>237</v>
      </c>
      <c r="I51" s="429">
        <v>1473</v>
      </c>
      <c r="J51" s="430">
        <v>468</v>
      </c>
      <c r="K51" s="352">
        <v>468</v>
      </c>
    </row>
    <row r="52" spans="1:11" x14ac:dyDescent="0.25">
      <c r="A52" s="254"/>
      <c r="B52" s="255" t="s">
        <v>940</v>
      </c>
      <c r="C52" s="255" t="s">
        <v>941</v>
      </c>
      <c r="D52" s="361">
        <v>0.28735632183908044</v>
      </c>
      <c r="H52" s="669" t="s">
        <v>240</v>
      </c>
      <c r="I52" s="429">
        <v>105</v>
      </c>
      <c r="J52" s="430">
        <v>81</v>
      </c>
      <c r="K52" s="352">
        <v>81</v>
      </c>
    </row>
    <row r="53" spans="1:11" x14ac:dyDescent="0.25">
      <c r="A53" s="255"/>
      <c r="B53" s="298" t="s">
        <v>1091</v>
      </c>
      <c r="C53" s="298" t="s">
        <v>1090</v>
      </c>
      <c r="D53" s="257">
        <v>0</v>
      </c>
      <c r="H53" s="669" t="s">
        <v>277</v>
      </c>
      <c r="I53" s="429">
        <v>118</v>
      </c>
      <c r="J53" s="430">
        <v>54</v>
      </c>
      <c r="K53" s="352">
        <v>54</v>
      </c>
    </row>
    <row r="54" spans="1:11" x14ac:dyDescent="0.25">
      <c r="A54" s="254" t="s">
        <v>166</v>
      </c>
      <c r="B54" s="254" t="s">
        <v>165</v>
      </c>
      <c r="C54" s="255" t="s">
        <v>167</v>
      </c>
      <c r="D54" s="360">
        <v>1.1428571428571428</v>
      </c>
      <c r="H54" s="669" t="s">
        <v>259</v>
      </c>
      <c r="I54" s="429">
        <v>62</v>
      </c>
      <c r="J54" s="430">
        <v>42</v>
      </c>
      <c r="K54" s="352">
        <v>42</v>
      </c>
    </row>
    <row r="55" spans="1:11" x14ac:dyDescent="0.25">
      <c r="A55" s="255"/>
      <c r="B55" s="255" t="s">
        <v>822</v>
      </c>
      <c r="C55" s="255" t="s">
        <v>821</v>
      </c>
      <c r="D55" s="361">
        <v>1</v>
      </c>
      <c r="H55" s="669" t="s">
        <v>255</v>
      </c>
      <c r="I55" s="429">
        <v>122</v>
      </c>
      <c r="J55" s="430">
        <v>42</v>
      </c>
      <c r="K55" s="352">
        <v>42</v>
      </c>
    </row>
    <row r="56" spans="1:11" x14ac:dyDescent="0.25">
      <c r="A56" s="254" t="s">
        <v>173</v>
      </c>
      <c r="B56" s="254" t="s">
        <v>175</v>
      </c>
      <c r="C56" s="255" t="s">
        <v>176</v>
      </c>
      <c r="D56" s="360">
        <v>0.66666666666666663</v>
      </c>
      <c r="H56" s="669" t="s">
        <v>281</v>
      </c>
      <c r="I56" s="429">
        <v>92</v>
      </c>
      <c r="J56" s="430">
        <v>42</v>
      </c>
      <c r="K56" s="352">
        <v>42</v>
      </c>
    </row>
    <row r="57" spans="1:11" x14ac:dyDescent="0.25">
      <c r="A57" s="254"/>
      <c r="B57" s="254" t="s">
        <v>172</v>
      </c>
      <c r="C57" s="255" t="s">
        <v>174</v>
      </c>
      <c r="D57" s="360">
        <v>1</v>
      </c>
      <c r="H57" s="669" t="s">
        <v>253</v>
      </c>
      <c r="I57" s="429">
        <v>200</v>
      </c>
      <c r="J57" s="430">
        <v>40</v>
      </c>
      <c r="K57" s="352">
        <v>40</v>
      </c>
    </row>
    <row r="58" spans="1:11" x14ac:dyDescent="0.25">
      <c r="A58" s="254"/>
      <c r="B58" s="255" t="s">
        <v>177</v>
      </c>
      <c r="C58" s="255" t="s">
        <v>178</v>
      </c>
      <c r="D58" s="361">
        <v>1</v>
      </c>
      <c r="H58" s="669" t="s">
        <v>257</v>
      </c>
      <c r="I58" s="429">
        <v>42</v>
      </c>
      <c r="J58" s="430">
        <v>37</v>
      </c>
      <c r="K58" s="352">
        <v>37</v>
      </c>
    </row>
    <row r="59" spans="1:11" x14ac:dyDescent="0.25">
      <c r="A59" s="255"/>
      <c r="B59" s="298" t="s">
        <v>1258</v>
      </c>
      <c r="C59" s="298" t="s">
        <v>1264</v>
      </c>
      <c r="D59" s="257">
        <v>1</v>
      </c>
      <c r="H59" s="669" t="s">
        <v>247</v>
      </c>
      <c r="I59" s="429">
        <v>31</v>
      </c>
      <c r="J59" s="430">
        <v>28</v>
      </c>
      <c r="K59" s="352">
        <v>28</v>
      </c>
    </row>
    <row r="60" spans="1:11" x14ac:dyDescent="0.25">
      <c r="A60" s="254" t="s">
        <v>180</v>
      </c>
      <c r="B60" s="254" t="s">
        <v>179</v>
      </c>
      <c r="C60" s="255" t="s">
        <v>181</v>
      </c>
      <c r="D60" s="360">
        <v>1</v>
      </c>
      <c r="H60" s="669" t="s">
        <v>261</v>
      </c>
      <c r="I60" s="429">
        <v>104</v>
      </c>
      <c r="J60" s="430">
        <v>24</v>
      </c>
      <c r="K60" s="352">
        <v>24</v>
      </c>
    </row>
    <row r="61" spans="1:11" x14ac:dyDescent="0.25">
      <c r="A61" s="255"/>
      <c r="B61" s="255" t="s">
        <v>286</v>
      </c>
      <c r="C61" s="255" t="s">
        <v>287</v>
      </c>
      <c r="D61" s="361">
        <v>1.5263157894736841</v>
      </c>
      <c r="H61" s="669" t="s">
        <v>279</v>
      </c>
      <c r="I61" s="429">
        <v>22</v>
      </c>
      <c r="J61" s="430">
        <v>22</v>
      </c>
      <c r="K61" s="352">
        <v>22</v>
      </c>
    </row>
    <row r="62" spans="1:11" x14ac:dyDescent="0.25">
      <c r="A62" s="254" t="s">
        <v>185</v>
      </c>
      <c r="B62" s="254" t="s">
        <v>208</v>
      </c>
      <c r="C62" s="255" t="s">
        <v>209</v>
      </c>
      <c r="D62" s="360">
        <v>0.71317829457364335</v>
      </c>
      <c r="H62" s="669" t="s">
        <v>275</v>
      </c>
      <c r="I62" s="429">
        <v>46</v>
      </c>
      <c r="J62" s="430">
        <v>14</v>
      </c>
      <c r="K62" s="352">
        <v>14</v>
      </c>
    </row>
    <row r="63" spans="1:11" x14ac:dyDescent="0.25">
      <c r="A63" s="254"/>
      <c r="B63" s="254" t="s">
        <v>201</v>
      </c>
      <c r="C63" s="255" t="s">
        <v>202</v>
      </c>
      <c r="D63" s="360">
        <v>0.57735849056603772</v>
      </c>
      <c r="H63" s="669" t="s">
        <v>285</v>
      </c>
      <c r="I63" s="429">
        <v>139</v>
      </c>
      <c r="J63" s="430">
        <v>14</v>
      </c>
      <c r="K63" s="352">
        <v>14</v>
      </c>
    </row>
    <row r="64" spans="1:11" x14ac:dyDescent="0.25">
      <c r="A64" s="254"/>
      <c r="B64" s="254" t="s">
        <v>222</v>
      </c>
      <c r="C64" s="255" t="s">
        <v>223</v>
      </c>
      <c r="D64" s="360">
        <v>0.65048543689320382</v>
      </c>
      <c r="H64" s="669" t="s">
        <v>251</v>
      </c>
      <c r="I64" s="429">
        <v>31</v>
      </c>
      <c r="J64" s="430">
        <v>11</v>
      </c>
      <c r="K64" s="352">
        <v>11</v>
      </c>
    </row>
    <row r="65" spans="1:11" x14ac:dyDescent="0.25">
      <c r="A65" s="254"/>
      <c r="B65" s="254" t="s">
        <v>189</v>
      </c>
      <c r="C65" s="255" t="s">
        <v>190</v>
      </c>
      <c r="D65" s="360">
        <v>0.42268041237113402</v>
      </c>
      <c r="H65" s="669" t="s">
        <v>245</v>
      </c>
      <c r="I65" s="429">
        <v>7</v>
      </c>
      <c r="J65" s="430">
        <v>7</v>
      </c>
      <c r="K65" s="352">
        <v>7</v>
      </c>
    </row>
    <row r="66" spans="1:11" x14ac:dyDescent="0.25">
      <c r="A66" s="254"/>
      <c r="B66" s="254" t="s">
        <v>184</v>
      </c>
      <c r="C66" s="255" t="s">
        <v>186</v>
      </c>
      <c r="D66" s="360">
        <v>1</v>
      </c>
      <c r="H66" s="669" t="s">
        <v>238</v>
      </c>
      <c r="I66" s="429">
        <v>66</v>
      </c>
      <c r="J66" s="430">
        <v>6</v>
      </c>
      <c r="K66" s="352">
        <v>6</v>
      </c>
    </row>
    <row r="67" spans="1:11" x14ac:dyDescent="0.25">
      <c r="A67" s="254"/>
      <c r="B67" s="254" t="s">
        <v>228</v>
      </c>
      <c r="C67" s="255" t="s">
        <v>229</v>
      </c>
      <c r="D67" s="360">
        <v>0.91836734693877553</v>
      </c>
      <c r="H67" s="669" t="s">
        <v>243</v>
      </c>
      <c r="I67" s="429">
        <v>6</v>
      </c>
      <c r="J67" s="430">
        <v>3</v>
      </c>
      <c r="K67" s="352">
        <v>3</v>
      </c>
    </row>
    <row r="68" spans="1:11" x14ac:dyDescent="0.25">
      <c r="A68" s="254"/>
      <c r="B68" s="254" t="s">
        <v>224</v>
      </c>
      <c r="C68" s="255" t="s">
        <v>225</v>
      </c>
      <c r="D68" s="360">
        <v>0.97560975609756095</v>
      </c>
      <c r="H68" s="669" t="s">
        <v>273</v>
      </c>
      <c r="I68" s="429">
        <v>49</v>
      </c>
      <c r="J68" s="430">
        <v>1</v>
      </c>
      <c r="K68" s="352">
        <v>1</v>
      </c>
    </row>
    <row r="69" spans="1:11" x14ac:dyDescent="0.25">
      <c r="A69" s="254"/>
      <c r="B69" s="254" t="s">
        <v>195</v>
      </c>
      <c r="C69" s="255" t="s">
        <v>196</v>
      </c>
      <c r="D69" s="360">
        <v>0.77296248382923671</v>
      </c>
      <c r="H69" s="669" t="s">
        <v>263</v>
      </c>
      <c r="I69" s="429">
        <v>23</v>
      </c>
      <c r="J69" s="430">
        <v>0</v>
      </c>
      <c r="K69" s="352">
        <v>0</v>
      </c>
    </row>
    <row r="70" spans="1:11" x14ac:dyDescent="0.25">
      <c r="A70" s="254"/>
      <c r="B70" s="254" t="s">
        <v>193</v>
      </c>
      <c r="C70" s="255" t="s">
        <v>194</v>
      </c>
      <c r="D70" s="360">
        <v>0.8607242339832869</v>
      </c>
      <c r="H70" s="669" t="s">
        <v>1232</v>
      </c>
      <c r="I70" s="429">
        <v>54</v>
      </c>
      <c r="J70" s="430">
        <v>0</v>
      </c>
      <c r="K70" s="352">
        <v>0</v>
      </c>
    </row>
    <row r="71" spans="1:11" x14ac:dyDescent="0.25">
      <c r="A71" s="254"/>
      <c r="B71" s="254" t="s">
        <v>191</v>
      </c>
      <c r="C71" s="255" t="s">
        <v>192</v>
      </c>
      <c r="D71" s="360">
        <v>1.796116504854369</v>
      </c>
      <c r="H71" s="669" t="s">
        <v>271</v>
      </c>
      <c r="I71" s="429">
        <v>63</v>
      </c>
      <c r="J71" s="430">
        <v>0</v>
      </c>
      <c r="K71" s="352">
        <v>0</v>
      </c>
    </row>
    <row r="72" spans="1:11" x14ac:dyDescent="0.25">
      <c r="A72" s="254"/>
      <c r="B72" s="254" t="s">
        <v>218</v>
      </c>
      <c r="C72" s="255" t="s">
        <v>219</v>
      </c>
      <c r="D72" s="360">
        <v>1.2010050251256281</v>
      </c>
      <c r="H72" s="669" t="s">
        <v>283</v>
      </c>
      <c r="I72" s="429">
        <v>7</v>
      </c>
      <c r="J72" s="430">
        <v>0</v>
      </c>
      <c r="K72" s="352">
        <v>0</v>
      </c>
    </row>
    <row r="73" spans="1:11" x14ac:dyDescent="0.25">
      <c r="A73" s="255"/>
      <c r="B73" s="255" t="s">
        <v>214</v>
      </c>
      <c r="C73" s="255" t="s">
        <v>215</v>
      </c>
      <c r="D73" s="361">
        <v>1.7318435754189945</v>
      </c>
      <c r="H73" s="669" t="s">
        <v>269</v>
      </c>
      <c r="I73" s="429">
        <v>65</v>
      </c>
      <c r="J73" s="430">
        <v>0</v>
      </c>
      <c r="K73" s="352">
        <v>0</v>
      </c>
    </row>
    <row r="74" spans="1:11" x14ac:dyDescent="0.25">
      <c r="A74" s="254" t="s">
        <v>230</v>
      </c>
      <c r="B74" s="254" t="s">
        <v>1050</v>
      </c>
      <c r="C74" s="255" t="s">
        <v>1049</v>
      </c>
      <c r="D74" s="360">
        <v>1</v>
      </c>
      <c r="H74" s="669" t="s">
        <v>249</v>
      </c>
      <c r="I74" s="429">
        <v>4</v>
      </c>
      <c r="J74" s="430">
        <v>0</v>
      </c>
      <c r="K74" s="352">
        <v>0</v>
      </c>
    </row>
    <row r="75" spans="1:11" x14ac:dyDescent="0.25">
      <c r="A75" s="254"/>
      <c r="B75" s="255" t="s">
        <v>1060</v>
      </c>
      <c r="C75" s="255" t="s">
        <v>1059</v>
      </c>
      <c r="D75" s="361">
        <v>1.2000000000000002</v>
      </c>
      <c r="H75" s="669" t="s">
        <v>265</v>
      </c>
      <c r="I75" s="429">
        <v>15</v>
      </c>
      <c r="J75" s="430">
        <v>0</v>
      </c>
      <c r="K75" s="352">
        <v>0</v>
      </c>
    </row>
    <row r="76" spans="1:11" x14ac:dyDescent="0.25">
      <c r="A76" s="255"/>
      <c r="B76" s="298" t="s">
        <v>836</v>
      </c>
      <c r="C76" s="298" t="s">
        <v>361</v>
      </c>
      <c r="D76" s="257">
        <v>1</v>
      </c>
      <c r="H76" s="345" t="s">
        <v>5</v>
      </c>
      <c r="I76" s="429">
        <v>1297</v>
      </c>
      <c r="J76" s="430">
        <v>366</v>
      </c>
      <c r="K76" s="352">
        <v>299</v>
      </c>
    </row>
    <row r="77" spans="1:11" x14ac:dyDescent="0.25">
      <c r="A77" s="254" t="s">
        <v>237</v>
      </c>
      <c r="B77" s="254" t="s">
        <v>1006</v>
      </c>
      <c r="C77" s="254" t="s">
        <v>897</v>
      </c>
      <c r="D77" s="360">
        <v>0</v>
      </c>
      <c r="H77" s="855" t="s">
        <v>22</v>
      </c>
      <c r="I77" s="429">
        <v>638</v>
      </c>
      <c r="J77" s="430">
        <v>213</v>
      </c>
      <c r="K77" s="352">
        <v>213</v>
      </c>
    </row>
    <row r="78" spans="1:11" x14ac:dyDescent="0.25">
      <c r="A78" s="254"/>
      <c r="B78" s="254"/>
      <c r="C78" s="255" t="s">
        <v>858</v>
      </c>
      <c r="D78" s="360">
        <v>0</v>
      </c>
      <c r="H78" s="855" t="s">
        <v>6</v>
      </c>
      <c r="I78" s="429">
        <v>257</v>
      </c>
      <c r="J78" s="430">
        <v>87</v>
      </c>
      <c r="K78" s="352">
        <v>20</v>
      </c>
    </row>
    <row r="79" spans="1:11" x14ac:dyDescent="0.25">
      <c r="A79" s="254"/>
      <c r="B79" s="254" t="s">
        <v>236</v>
      </c>
      <c r="C79" s="255" t="s">
        <v>238</v>
      </c>
      <c r="D79" s="360">
        <v>0.90909090909090906</v>
      </c>
      <c r="H79" s="669" t="s">
        <v>18</v>
      </c>
      <c r="I79" s="429">
        <v>130</v>
      </c>
      <c r="J79" s="430">
        <v>28</v>
      </c>
      <c r="K79" s="352">
        <v>28</v>
      </c>
    </row>
    <row r="80" spans="1:11" x14ac:dyDescent="0.25">
      <c r="A80" s="254"/>
      <c r="B80" s="254" t="s">
        <v>268</v>
      </c>
      <c r="C80" s="255" t="s">
        <v>269</v>
      </c>
      <c r="D80" s="360">
        <v>1.1846153846153846</v>
      </c>
      <c r="H80" s="669" t="s">
        <v>366</v>
      </c>
      <c r="I80" s="429">
        <v>153</v>
      </c>
      <c r="J80" s="430">
        <v>27</v>
      </c>
      <c r="K80" s="352">
        <v>27</v>
      </c>
    </row>
    <row r="81" spans="1:11" x14ac:dyDescent="0.25">
      <c r="A81" s="254"/>
      <c r="B81" s="254" t="s">
        <v>250</v>
      </c>
      <c r="C81" s="255" t="s">
        <v>251</v>
      </c>
      <c r="D81" s="360">
        <v>0.64516129032258063</v>
      </c>
      <c r="H81" s="669" t="s">
        <v>20</v>
      </c>
      <c r="I81" s="429">
        <v>21</v>
      </c>
      <c r="J81" s="430">
        <v>11</v>
      </c>
      <c r="K81" s="352">
        <v>11</v>
      </c>
    </row>
    <row r="82" spans="1:11" x14ac:dyDescent="0.25">
      <c r="A82" s="254"/>
      <c r="B82" s="254" t="s">
        <v>248</v>
      </c>
      <c r="C82" s="255" t="s">
        <v>249</v>
      </c>
      <c r="D82" s="360">
        <v>2</v>
      </c>
      <c r="H82" s="669" t="s">
        <v>24</v>
      </c>
      <c r="I82" s="429">
        <v>20</v>
      </c>
      <c r="J82" s="430">
        <v>0</v>
      </c>
      <c r="K82" s="352">
        <v>0</v>
      </c>
    </row>
    <row r="83" spans="1:11" x14ac:dyDescent="0.25">
      <c r="A83" s="254"/>
      <c r="B83" s="254" t="s">
        <v>274</v>
      </c>
      <c r="C83" s="255" t="s">
        <v>275</v>
      </c>
      <c r="D83" s="360">
        <v>0.69565217391304346</v>
      </c>
      <c r="H83" s="669" t="s">
        <v>511</v>
      </c>
      <c r="I83" s="429">
        <v>12</v>
      </c>
      <c r="J83" s="430">
        <v>0</v>
      </c>
      <c r="K83" s="352">
        <v>0</v>
      </c>
    </row>
    <row r="84" spans="1:11" x14ac:dyDescent="0.25">
      <c r="A84" s="254"/>
      <c r="B84" s="254" t="s">
        <v>276</v>
      </c>
      <c r="C84" s="255" t="s">
        <v>277</v>
      </c>
      <c r="D84" s="360">
        <v>0.5423728813559322</v>
      </c>
      <c r="H84" s="669" t="s">
        <v>14</v>
      </c>
      <c r="I84" s="429">
        <v>38</v>
      </c>
      <c r="J84" s="430">
        <v>0</v>
      </c>
      <c r="K84" s="352">
        <v>0</v>
      </c>
    </row>
    <row r="85" spans="1:11" x14ac:dyDescent="0.25">
      <c r="A85" s="254"/>
      <c r="B85" s="254" t="s">
        <v>260</v>
      </c>
      <c r="C85" s="255" t="s">
        <v>261</v>
      </c>
      <c r="D85" s="360">
        <v>0.76923076923076916</v>
      </c>
      <c r="H85" s="669" t="s">
        <v>26</v>
      </c>
      <c r="I85" s="429">
        <v>15</v>
      </c>
      <c r="J85" s="430">
        <v>0</v>
      </c>
      <c r="K85" s="352">
        <v>0</v>
      </c>
    </row>
    <row r="86" spans="1:11" x14ac:dyDescent="0.25">
      <c r="A86" s="254"/>
      <c r="B86" s="254" t="s">
        <v>280</v>
      </c>
      <c r="C86" s="255" t="s">
        <v>281</v>
      </c>
      <c r="D86" s="360">
        <v>0.54347826086956519</v>
      </c>
      <c r="H86" s="669" t="s">
        <v>8</v>
      </c>
      <c r="I86" s="429">
        <v>13</v>
      </c>
      <c r="J86" s="430">
        <v>0</v>
      </c>
      <c r="K86" s="352">
        <v>0</v>
      </c>
    </row>
    <row r="87" spans="1:11" x14ac:dyDescent="0.25">
      <c r="A87" s="254"/>
      <c r="B87" s="254" t="s">
        <v>246</v>
      </c>
      <c r="C87" s="255" t="s">
        <v>247</v>
      </c>
      <c r="D87" s="360">
        <v>9.6774193548387094E-2</v>
      </c>
      <c r="H87" s="345" t="s">
        <v>146</v>
      </c>
      <c r="I87" s="429">
        <v>854</v>
      </c>
      <c r="J87" s="430">
        <v>572</v>
      </c>
      <c r="K87" s="352">
        <v>572</v>
      </c>
    </row>
    <row r="88" spans="1:11" x14ac:dyDescent="0.25">
      <c r="A88" s="254"/>
      <c r="B88" s="254" t="s">
        <v>242</v>
      </c>
      <c r="C88" s="255" t="s">
        <v>243</v>
      </c>
      <c r="D88" s="360">
        <v>0.5</v>
      </c>
      <c r="H88" s="669" t="s">
        <v>1387</v>
      </c>
      <c r="I88" s="429">
        <v>146</v>
      </c>
      <c r="J88" s="430">
        <v>146</v>
      </c>
      <c r="K88" s="352">
        <v>146</v>
      </c>
    </row>
    <row r="89" spans="1:11" x14ac:dyDescent="0.25">
      <c r="A89" s="254"/>
      <c r="B89" s="254" t="s">
        <v>256</v>
      </c>
      <c r="C89" s="255" t="s">
        <v>257</v>
      </c>
      <c r="D89" s="360">
        <v>0.11904761904761904</v>
      </c>
      <c r="H89" s="669" t="s">
        <v>1302</v>
      </c>
      <c r="I89" s="429">
        <v>105</v>
      </c>
      <c r="J89" s="430">
        <v>105</v>
      </c>
      <c r="K89" s="352">
        <v>105</v>
      </c>
    </row>
    <row r="90" spans="1:11" x14ac:dyDescent="0.25">
      <c r="A90" s="254"/>
      <c r="B90" s="254" t="s">
        <v>284</v>
      </c>
      <c r="C90" s="255" t="s">
        <v>285</v>
      </c>
      <c r="D90" s="360">
        <v>0.89928057553956831</v>
      </c>
      <c r="H90" s="669" t="s">
        <v>373</v>
      </c>
      <c r="I90" s="429">
        <v>186</v>
      </c>
      <c r="J90" s="430">
        <v>85</v>
      </c>
      <c r="K90" s="352">
        <v>85</v>
      </c>
    </row>
    <row r="91" spans="1:11" x14ac:dyDescent="0.25">
      <c r="A91" s="254"/>
      <c r="B91" s="254" t="s">
        <v>239</v>
      </c>
      <c r="C91" s="255" t="s">
        <v>240</v>
      </c>
      <c r="D91" s="360">
        <v>0.22857142857142856</v>
      </c>
      <c r="H91" s="669" t="s">
        <v>371</v>
      </c>
      <c r="I91" s="429">
        <v>46</v>
      </c>
      <c r="J91" s="430">
        <v>41</v>
      </c>
      <c r="K91" s="352">
        <v>41</v>
      </c>
    </row>
    <row r="92" spans="1:11" x14ac:dyDescent="0.25">
      <c r="A92" s="254"/>
      <c r="B92" s="254" t="s">
        <v>258</v>
      </c>
      <c r="C92" s="255" t="s">
        <v>259</v>
      </c>
      <c r="D92" s="360">
        <v>0.32258064516129031</v>
      </c>
      <c r="H92" s="669" t="s">
        <v>1518</v>
      </c>
      <c r="I92" s="429">
        <v>40</v>
      </c>
      <c r="J92" s="430">
        <v>40</v>
      </c>
      <c r="K92" s="352">
        <v>40</v>
      </c>
    </row>
    <row r="93" spans="1:11" x14ac:dyDescent="0.25">
      <c r="A93" s="254"/>
      <c r="B93" s="254" t="s">
        <v>252</v>
      </c>
      <c r="C93" s="255" t="s">
        <v>253</v>
      </c>
      <c r="D93" s="360">
        <v>0.79999999999999993</v>
      </c>
      <c r="H93" s="669" t="s">
        <v>1390</v>
      </c>
      <c r="I93" s="429">
        <v>37</v>
      </c>
      <c r="J93" s="430">
        <v>37</v>
      </c>
      <c r="K93" s="352">
        <v>37</v>
      </c>
    </row>
    <row r="94" spans="1:11" x14ac:dyDescent="0.25">
      <c r="A94" s="254"/>
      <c r="B94" s="254" t="s">
        <v>254</v>
      </c>
      <c r="C94" s="255" t="s">
        <v>255</v>
      </c>
      <c r="D94" s="360">
        <v>0.65573770491803274</v>
      </c>
      <c r="H94" s="669" t="s">
        <v>149</v>
      </c>
      <c r="I94" s="429">
        <v>63</v>
      </c>
      <c r="J94" s="430">
        <v>37</v>
      </c>
      <c r="K94" s="352">
        <v>37</v>
      </c>
    </row>
    <row r="95" spans="1:11" x14ac:dyDescent="0.25">
      <c r="A95" s="254"/>
      <c r="B95" s="254" t="s">
        <v>262</v>
      </c>
      <c r="C95" s="255" t="s">
        <v>263</v>
      </c>
      <c r="D95" s="360">
        <v>1.2173913043478262</v>
      </c>
      <c r="H95" s="669" t="s">
        <v>1406</v>
      </c>
      <c r="I95" s="429">
        <v>30</v>
      </c>
      <c r="J95" s="430">
        <v>30</v>
      </c>
      <c r="K95" s="352">
        <v>30</v>
      </c>
    </row>
    <row r="96" spans="1:11" x14ac:dyDescent="0.25">
      <c r="A96" s="254"/>
      <c r="B96" s="254" t="s">
        <v>264</v>
      </c>
      <c r="C96" s="255" t="s">
        <v>265</v>
      </c>
      <c r="D96" s="360">
        <v>1.2666666666666666</v>
      </c>
      <c r="H96" s="669" t="s">
        <v>1532</v>
      </c>
      <c r="I96" s="429">
        <v>24</v>
      </c>
      <c r="J96" s="430">
        <v>24</v>
      </c>
      <c r="K96" s="352">
        <v>24</v>
      </c>
    </row>
    <row r="97" spans="1:11" x14ac:dyDescent="0.25">
      <c r="A97" s="254"/>
      <c r="B97" s="254" t="s">
        <v>282</v>
      </c>
      <c r="C97" s="255" t="s">
        <v>283</v>
      </c>
      <c r="D97" s="360">
        <v>1</v>
      </c>
      <c r="H97" s="669" t="s">
        <v>1097</v>
      </c>
      <c r="I97" s="429">
        <v>22</v>
      </c>
      <c r="J97" s="430">
        <v>22</v>
      </c>
      <c r="K97" s="352">
        <v>22</v>
      </c>
    </row>
    <row r="98" spans="1:11" x14ac:dyDescent="0.25">
      <c r="A98" s="254"/>
      <c r="B98" s="254" t="s">
        <v>270</v>
      </c>
      <c r="C98" s="255" t="s">
        <v>271</v>
      </c>
      <c r="D98" s="360">
        <v>1.0634920634920635</v>
      </c>
      <c r="H98" s="669" t="s">
        <v>368</v>
      </c>
      <c r="I98" s="429">
        <v>68</v>
      </c>
      <c r="J98" s="430">
        <v>5</v>
      </c>
      <c r="K98" s="352">
        <v>5</v>
      </c>
    </row>
    <row r="99" spans="1:11" x14ac:dyDescent="0.25">
      <c r="A99" s="254"/>
      <c r="B99" s="254" t="s">
        <v>272</v>
      </c>
      <c r="C99" s="255" t="s">
        <v>273</v>
      </c>
      <c r="D99" s="360">
        <v>0.97959183673469385</v>
      </c>
      <c r="H99" s="669" t="s">
        <v>369</v>
      </c>
      <c r="I99" s="429">
        <v>57</v>
      </c>
      <c r="J99" s="430">
        <v>0</v>
      </c>
      <c r="K99" s="352">
        <v>0</v>
      </c>
    </row>
    <row r="100" spans="1:11" x14ac:dyDescent="0.25">
      <c r="A100" s="255"/>
      <c r="B100" s="255" t="s">
        <v>241</v>
      </c>
      <c r="C100" s="255" t="s">
        <v>1232</v>
      </c>
      <c r="D100" s="361">
        <v>2.3518518518518521</v>
      </c>
      <c r="H100" s="669" t="s">
        <v>370</v>
      </c>
      <c r="I100" s="429">
        <v>30</v>
      </c>
      <c r="J100" s="430">
        <v>0</v>
      </c>
      <c r="K100" s="352">
        <v>0</v>
      </c>
    </row>
    <row r="101" spans="1:11" x14ac:dyDescent="0.25">
      <c r="A101" s="254" t="s">
        <v>289</v>
      </c>
      <c r="B101" s="254" t="s">
        <v>288</v>
      </c>
      <c r="C101" s="255" t="s">
        <v>290</v>
      </c>
      <c r="D101" s="360">
        <v>0.44776119402985076</v>
      </c>
      <c r="H101" s="345" t="s">
        <v>526</v>
      </c>
      <c r="I101" s="429">
        <v>719</v>
      </c>
      <c r="J101" s="430">
        <v>384</v>
      </c>
      <c r="K101" s="352">
        <v>384</v>
      </c>
    </row>
    <row r="102" spans="1:11" x14ac:dyDescent="0.25">
      <c r="A102" s="254"/>
      <c r="B102" s="254" t="s">
        <v>291</v>
      </c>
      <c r="C102" s="255" t="s">
        <v>292</v>
      </c>
      <c r="D102" s="360">
        <v>1.2702702702702702</v>
      </c>
      <c r="H102" s="669" t="s">
        <v>1710</v>
      </c>
      <c r="I102" s="429">
        <v>118</v>
      </c>
      <c r="J102" s="430">
        <v>118</v>
      </c>
      <c r="K102" s="352">
        <v>118</v>
      </c>
    </row>
    <row r="103" spans="1:11" x14ac:dyDescent="0.25">
      <c r="A103" s="254"/>
      <c r="B103" s="254" t="s">
        <v>1052</v>
      </c>
      <c r="C103" s="255" t="s">
        <v>1051</v>
      </c>
      <c r="D103" s="360">
        <v>1.0277777777777777</v>
      </c>
      <c r="H103" s="669" t="s">
        <v>1061</v>
      </c>
      <c r="I103" s="429">
        <v>103</v>
      </c>
      <c r="J103" s="430">
        <v>103</v>
      </c>
      <c r="K103" s="352">
        <v>103</v>
      </c>
    </row>
    <row r="104" spans="1:11" x14ac:dyDescent="0.25">
      <c r="A104" s="254"/>
      <c r="B104" s="255" t="s">
        <v>1056</v>
      </c>
      <c r="C104" s="255" t="s">
        <v>1063</v>
      </c>
      <c r="D104" s="361">
        <v>0.6</v>
      </c>
      <c r="H104" s="669" t="s">
        <v>120</v>
      </c>
      <c r="I104" s="429">
        <v>72</v>
      </c>
      <c r="J104" s="430">
        <v>60</v>
      </c>
      <c r="K104" s="352">
        <v>60</v>
      </c>
    </row>
    <row r="105" spans="1:11" x14ac:dyDescent="0.25">
      <c r="A105" s="255"/>
      <c r="B105" s="298" t="s">
        <v>295</v>
      </c>
      <c r="C105" s="298" t="s">
        <v>374</v>
      </c>
      <c r="D105" s="257">
        <v>0</v>
      </c>
      <c r="H105" s="669" t="s">
        <v>1430</v>
      </c>
      <c r="I105" s="429">
        <v>20</v>
      </c>
      <c r="J105" s="430">
        <v>20</v>
      </c>
      <c r="K105" s="352">
        <v>20</v>
      </c>
    </row>
    <row r="106" spans="1:11" x14ac:dyDescent="0.25">
      <c r="A106" s="255" t="s">
        <v>298</v>
      </c>
      <c r="B106" s="255" t="s">
        <v>297</v>
      </c>
      <c r="C106" s="255" t="s">
        <v>820</v>
      </c>
      <c r="D106" s="361">
        <v>0.22727272727272727</v>
      </c>
      <c r="H106" s="855" t="s">
        <v>126</v>
      </c>
      <c r="I106" s="429">
        <v>33</v>
      </c>
      <c r="J106" s="430">
        <v>18</v>
      </c>
      <c r="K106" s="352">
        <v>18</v>
      </c>
    </row>
    <row r="107" spans="1:11" x14ac:dyDescent="0.25">
      <c r="A107" s="254" t="s">
        <v>302</v>
      </c>
      <c r="B107" s="254" t="s">
        <v>305</v>
      </c>
      <c r="C107" s="255" t="s">
        <v>306</v>
      </c>
      <c r="D107" s="360">
        <v>0.48837209302325579</v>
      </c>
      <c r="H107" s="669" t="s">
        <v>52</v>
      </c>
      <c r="I107" s="429">
        <v>38</v>
      </c>
      <c r="J107" s="430">
        <v>18</v>
      </c>
      <c r="K107" s="352">
        <v>18</v>
      </c>
    </row>
    <row r="108" spans="1:11" x14ac:dyDescent="0.25">
      <c r="A108" s="255"/>
      <c r="B108" s="255" t="s">
        <v>307</v>
      </c>
      <c r="C108" s="255" t="s">
        <v>308</v>
      </c>
      <c r="D108" s="361">
        <v>1.0697674418604652</v>
      </c>
      <c r="H108" s="669" t="s">
        <v>1432</v>
      </c>
      <c r="I108" s="429">
        <v>30</v>
      </c>
      <c r="J108" s="430">
        <v>14</v>
      </c>
      <c r="K108" s="352">
        <v>14</v>
      </c>
    </row>
    <row r="109" spans="1:11" x14ac:dyDescent="0.25">
      <c r="A109" s="254" t="s">
        <v>310</v>
      </c>
      <c r="B109" s="254" t="s">
        <v>341</v>
      </c>
      <c r="C109" s="255" t="s">
        <v>342</v>
      </c>
      <c r="D109" s="360">
        <v>0.58461538461538465</v>
      </c>
      <c r="H109" s="669" t="s">
        <v>88</v>
      </c>
      <c r="I109" s="429">
        <v>13</v>
      </c>
      <c r="J109" s="430">
        <v>13</v>
      </c>
      <c r="K109" s="352">
        <v>13</v>
      </c>
    </row>
    <row r="110" spans="1:11" x14ac:dyDescent="0.25">
      <c r="A110" s="254"/>
      <c r="B110" s="254" t="s">
        <v>350</v>
      </c>
      <c r="C110" s="255" t="s">
        <v>351</v>
      </c>
      <c r="D110" s="360">
        <v>1</v>
      </c>
      <c r="H110" s="669" t="s">
        <v>41</v>
      </c>
      <c r="I110" s="429">
        <v>66</v>
      </c>
      <c r="J110" s="430">
        <v>6</v>
      </c>
      <c r="K110" s="352">
        <v>6</v>
      </c>
    </row>
    <row r="111" spans="1:11" x14ac:dyDescent="0.25">
      <c r="A111" s="254"/>
      <c r="B111" s="254" t="s">
        <v>319</v>
      </c>
      <c r="C111" s="255" t="s">
        <v>320</v>
      </c>
      <c r="D111" s="360">
        <v>0.96666666666666667</v>
      </c>
      <c r="H111" s="669" t="s">
        <v>1431</v>
      </c>
      <c r="I111" s="429">
        <v>6</v>
      </c>
      <c r="J111" s="430">
        <v>6</v>
      </c>
      <c r="K111" s="352">
        <v>6</v>
      </c>
    </row>
    <row r="112" spans="1:11" x14ac:dyDescent="0.25">
      <c r="A112" s="254"/>
      <c r="B112" s="254" t="s">
        <v>312</v>
      </c>
      <c r="C112" s="255" t="s">
        <v>313</v>
      </c>
      <c r="D112" s="360">
        <v>1.0294117647058822</v>
      </c>
      <c r="H112" s="669" t="s">
        <v>43</v>
      </c>
      <c r="I112" s="429">
        <v>14</v>
      </c>
      <c r="J112" s="430">
        <v>4</v>
      </c>
      <c r="K112" s="352">
        <v>4</v>
      </c>
    </row>
    <row r="113" spans="1:11" x14ac:dyDescent="0.25">
      <c r="A113" s="254"/>
      <c r="B113" s="254" t="s">
        <v>329</v>
      </c>
      <c r="C113" s="255" t="s">
        <v>330</v>
      </c>
      <c r="D113" s="360">
        <v>0.9042553191489362</v>
      </c>
      <c r="H113" s="669" t="s">
        <v>124</v>
      </c>
      <c r="I113" s="429">
        <v>8</v>
      </c>
      <c r="J113" s="430">
        <v>3</v>
      </c>
      <c r="K113" s="352">
        <v>3</v>
      </c>
    </row>
    <row r="114" spans="1:11" x14ac:dyDescent="0.25">
      <c r="A114" s="254"/>
      <c r="B114" s="254" t="s">
        <v>337</v>
      </c>
      <c r="C114" s="255" t="s">
        <v>338</v>
      </c>
      <c r="D114" s="360">
        <v>1.258064516129032</v>
      </c>
      <c r="H114" s="669" t="s">
        <v>140</v>
      </c>
      <c r="I114" s="429">
        <v>11</v>
      </c>
      <c r="J114" s="430">
        <v>1</v>
      </c>
      <c r="K114" s="352">
        <v>1</v>
      </c>
    </row>
    <row r="115" spans="1:11" x14ac:dyDescent="0.25">
      <c r="A115" s="254"/>
      <c r="B115" s="254" t="s">
        <v>327</v>
      </c>
      <c r="C115" s="255" t="s">
        <v>328</v>
      </c>
      <c r="D115" s="360">
        <v>0.37024221453287198</v>
      </c>
      <c r="H115" s="669" t="s">
        <v>76</v>
      </c>
      <c r="I115" s="429">
        <v>70</v>
      </c>
      <c r="J115" s="430">
        <v>0</v>
      </c>
      <c r="K115" s="352">
        <v>0</v>
      </c>
    </row>
    <row r="116" spans="1:11" x14ac:dyDescent="0.25">
      <c r="A116" s="254"/>
      <c r="B116" s="254" t="s">
        <v>317</v>
      </c>
      <c r="C116" s="255" t="s">
        <v>318</v>
      </c>
      <c r="D116" s="360">
        <v>1.0090090090090089</v>
      </c>
      <c r="H116" s="669" t="s">
        <v>44</v>
      </c>
      <c r="I116" s="429">
        <v>4</v>
      </c>
      <c r="J116" s="430">
        <v>0</v>
      </c>
      <c r="K116" s="352">
        <v>0</v>
      </c>
    </row>
    <row r="117" spans="1:11" x14ac:dyDescent="0.25">
      <c r="A117" s="254"/>
      <c r="B117" s="254" t="s">
        <v>348</v>
      </c>
      <c r="C117" s="255" t="s">
        <v>349</v>
      </c>
      <c r="D117" s="360">
        <v>1.7173913043478262</v>
      </c>
      <c r="H117" s="669" t="s">
        <v>72</v>
      </c>
      <c r="I117" s="429">
        <v>6</v>
      </c>
      <c r="J117" s="430">
        <v>0</v>
      </c>
      <c r="K117" s="352">
        <v>0</v>
      </c>
    </row>
    <row r="118" spans="1:11" x14ac:dyDescent="0.25">
      <c r="A118" s="254"/>
      <c r="B118" s="254" t="s">
        <v>315</v>
      </c>
      <c r="C118" s="255" t="s">
        <v>316</v>
      </c>
      <c r="D118" s="360">
        <v>0.84615384615384626</v>
      </c>
      <c r="H118" s="669" t="s">
        <v>118</v>
      </c>
      <c r="I118" s="429">
        <v>9</v>
      </c>
      <c r="J118" s="430">
        <v>0</v>
      </c>
      <c r="K118" s="352">
        <v>0</v>
      </c>
    </row>
    <row r="119" spans="1:11" x14ac:dyDescent="0.25">
      <c r="A119" s="254"/>
      <c r="B119" s="254" t="s">
        <v>325</v>
      </c>
      <c r="C119" s="255" t="s">
        <v>326</v>
      </c>
      <c r="D119" s="360">
        <v>0.88888888888888884</v>
      </c>
      <c r="H119" s="669" t="s">
        <v>90</v>
      </c>
      <c r="I119" s="429">
        <v>20</v>
      </c>
      <c r="J119" s="430">
        <v>0</v>
      </c>
      <c r="K119" s="352">
        <v>0</v>
      </c>
    </row>
    <row r="120" spans="1:11" x14ac:dyDescent="0.25">
      <c r="A120" s="254"/>
      <c r="B120" s="254" t="s">
        <v>323</v>
      </c>
      <c r="C120" s="255" t="s">
        <v>324</v>
      </c>
      <c r="D120" s="360">
        <v>1.0983935742971889</v>
      </c>
      <c r="H120" s="669" t="s">
        <v>108</v>
      </c>
      <c r="I120" s="429">
        <v>50</v>
      </c>
      <c r="J120" s="430">
        <v>0</v>
      </c>
      <c r="K120" s="352">
        <v>0</v>
      </c>
    </row>
    <row r="121" spans="1:11" x14ac:dyDescent="0.25">
      <c r="A121" s="254"/>
      <c r="B121" s="254" t="s">
        <v>346</v>
      </c>
      <c r="C121" s="255" t="s">
        <v>347</v>
      </c>
      <c r="D121" s="360">
        <v>1.4184782608695652</v>
      </c>
      <c r="H121" s="669" t="s">
        <v>610</v>
      </c>
      <c r="I121" s="429">
        <v>12</v>
      </c>
      <c r="J121" s="430">
        <v>0</v>
      </c>
      <c r="K121" s="352">
        <v>0</v>
      </c>
    </row>
    <row r="122" spans="1:11" x14ac:dyDescent="0.25">
      <c r="A122" s="254"/>
      <c r="B122" s="254" t="s">
        <v>333</v>
      </c>
      <c r="C122" s="255" t="s">
        <v>334</v>
      </c>
      <c r="D122" s="360">
        <v>1.2302631578947367</v>
      </c>
      <c r="H122" s="669" t="s">
        <v>100</v>
      </c>
      <c r="I122" s="429">
        <v>4</v>
      </c>
      <c r="J122" s="430">
        <v>0</v>
      </c>
      <c r="K122" s="352">
        <v>0</v>
      </c>
    </row>
    <row r="123" spans="1:11" x14ac:dyDescent="0.25">
      <c r="A123" s="254"/>
      <c r="B123" s="254" t="s">
        <v>335</v>
      </c>
      <c r="C123" s="255" t="s">
        <v>336</v>
      </c>
      <c r="D123" s="360">
        <v>0.67114093959731547</v>
      </c>
      <c r="H123" s="669" t="s">
        <v>92</v>
      </c>
      <c r="I123" s="429">
        <v>12</v>
      </c>
      <c r="J123" s="430">
        <v>0</v>
      </c>
      <c r="K123" s="352">
        <v>0</v>
      </c>
    </row>
    <row r="124" spans="1:11" x14ac:dyDescent="0.25">
      <c r="A124" s="254"/>
      <c r="B124" s="254" t="s">
        <v>352</v>
      </c>
      <c r="C124" s="255" t="s">
        <v>353</v>
      </c>
      <c r="D124" s="360">
        <v>0.11461318051575932</v>
      </c>
      <c r="H124" s="345" t="s">
        <v>27</v>
      </c>
      <c r="I124" s="429">
        <v>498</v>
      </c>
      <c r="J124" s="430">
        <v>318</v>
      </c>
      <c r="K124" s="352">
        <v>318</v>
      </c>
    </row>
    <row r="125" spans="1:11" x14ac:dyDescent="0.25">
      <c r="A125" s="254"/>
      <c r="B125" s="254" t="s">
        <v>321</v>
      </c>
      <c r="C125" s="255" t="s">
        <v>322</v>
      </c>
      <c r="D125" s="360">
        <v>1</v>
      </c>
      <c r="H125" s="855" t="s">
        <v>364</v>
      </c>
      <c r="I125" s="429">
        <v>158</v>
      </c>
      <c r="J125" s="430">
        <v>158</v>
      </c>
      <c r="K125" s="352">
        <v>158</v>
      </c>
    </row>
    <row r="126" spans="1:11" x14ac:dyDescent="0.25">
      <c r="A126" s="254"/>
      <c r="B126" s="254" t="s">
        <v>354</v>
      </c>
      <c r="C126" s="255" t="s">
        <v>355</v>
      </c>
      <c r="D126" s="360">
        <v>0.65</v>
      </c>
      <c r="H126" s="669" t="s">
        <v>365</v>
      </c>
      <c r="I126" s="429">
        <v>144</v>
      </c>
      <c r="J126" s="430">
        <v>71</v>
      </c>
      <c r="K126" s="352">
        <v>71</v>
      </c>
    </row>
    <row r="127" spans="1:11" x14ac:dyDescent="0.25">
      <c r="A127" s="254"/>
      <c r="B127" s="254" t="s">
        <v>343</v>
      </c>
      <c r="C127" s="255" t="s">
        <v>344</v>
      </c>
      <c r="D127" s="360">
        <v>0.95</v>
      </c>
      <c r="H127" s="669" t="s">
        <v>863</v>
      </c>
      <c r="I127" s="429">
        <v>57</v>
      </c>
      <c r="J127" s="430">
        <v>57</v>
      </c>
      <c r="K127" s="352">
        <v>57</v>
      </c>
    </row>
    <row r="128" spans="1:11" x14ac:dyDescent="0.25">
      <c r="A128" s="255"/>
      <c r="B128" s="255" t="s">
        <v>345</v>
      </c>
      <c r="C128" s="255" t="s">
        <v>1231</v>
      </c>
      <c r="D128" s="361">
        <v>0.18817204301075269</v>
      </c>
      <c r="H128" s="669" t="s">
        <v>1017</v>
      </c>
      <c r="I128" s="429">
        <v>31</v>
      </c>
      <c r="J128" s="430">
        <v>31</v>
      </c>
      <c r="K128" s="352">
        <v>31</v>
      </c>
    </row>
    <row r="129" spans="1:11" x14ac:dyDescent="0.25">
      <c r="A129" s="254" t="s">
        <v>300</v>
      </c>
      <c r="B129" s="255" t="s">
        <v>1006</v>
      </c>
      <c r="C129" s="255" t="s">
        <v>858</v>
      </c>
      <c r="D129" s="361">
        <v>0</v>
      </c>
      <c r="H129" s="669" t="s">
        <v>28</v>
      </c>
      <c r="I129" s="429">
        <v>108</v>
      </c>
      <c r="J129" s="430">
        <v>1</v>
      </c>
      <c r="K129" s="352">
        <v>1</v>
      </c>
    </row>
    <row r="130" spans="1:11" x14ac:dyDescent="0.25">
      <c r="A130" s="255"/>
      <c r="B130" s="298" t="s">
        <v>1247</v>
      </c>
      <c r="C130" s="298" t="s">
        <v>1248</v>
      </c>
      <c r="D130" s="257">
        <v>0.98360655737704916</v>
      </c>
      <c r="H130" s="345" t="s">
        <v>289</v>
      </c>
      <c r="I130" s="429">
        <v>402</v>
      </c>
      <c r="J130" s="430">
        <v>190</v>
      </c>
      <c r="K130" s="352">
        <v>190</v>
      </c>
    </row>
    <row r="131" spans="1:11" x14ac:dyDescent="0.25">
      <c r="A131" s="254" t="s">
        <v>778</v>
      </c>
      <c r="B131" s="298" t="s">
        <v>1246</v>
      </c>
      <c r="C131" s="298" t="s">
        <v>1262</v>
      </c>
      <c r="D131" s="257">
        <v>1.0294117647058825</v>
      </c>
      <c r="H131" s="669" t="s">
        <v>1389</v>
      </c>
      <c r="I131" s="429">
        <v>61</v>
      </c>
      <c r="J131" s="430">
        <v>61</v>
      </c>
      <c r="K131" s="352">
        <v>61</v>
      </c>
    </row>
    <row r="132" spans="1:11" x14ac:dyDescent="0.25">
      <c r="A132" s="255" t="s">
        <v>415</v>
      </c>
      <c r="B132" s="255"/>
      <c r="C132" s="255"/>
      <c r="D132" s="361">
        <v>105.42932448197416</v>
      </c>
      <c r="H132" s="855" t="s">
        <v>1063</v>
      </c>
      <c r="I132" s="429">
        <v>120</v>
      </c>
      <c r="J132" s="430">
        <v>48</v>
      </c>
      <c r="K132" s="352">
        <v>48</v>
      </c>
    </row>
    <row r="133" spans="1:11" x14ac:dyDescent="0.25">
      <c r="B133"/>
      <c r="H133" s="669" t="s">
        <v>374</v>
      </c>
      <c r="I133" s="429">
        <v>44</v>
      </c>
      <c r="J133" s="430">
        <v>44</v>
      </c>
      <c r="K133" s="352">
        <v>44</v>
      </c>
    </row>
    <row r="134" spans="1:11" x14ac:dyDescent="0.25">
      <c r="B134"/>
      <c r="H134" s="669" t="s">
        <v>290</v>
      </c>
      <c r="I134" s="429">
        <v>67</v>
      </c>
      <c r="J134" s="430">
        <v>37</v>
      </c>
      <c r="K134" s="352">
        <v>37</v>
      </c>
    </row>
    <row r="135" spans="1:11" x14ac:dyDescent="0.25">
      <c r="B135"/>
      <c r="H135" s="669" t="s">
        <v>292</v>
      </c>
      <c r="I135" s="429">
        <v>74</v>
      </c>
      <c r="J135" s="430">
        <v>0</v>
      </c>
      <c r="K135" s="352">
        <v>0</v>
      </c>
    </row>
    <row r="136" spans="1:11" x14ac:dyDescent="0.25">
      <c r="B136"/>
      <c r="H136" s="669" t="s">
        <v>1051</v>
      </c>
      <c r="I136" s="429">
        <v>36</v>
      </c>
      <c r="J136" s="430">
        <v>0</v>
      </c>
      <c r="K136" s="352">
        <v>0</v>
      </c>
    </row>
    <row r="137" spans="1:11" x14ac:dyDescent="0.25">
      <c r="B137"/>
      <c r="H137" s="345" t="s">
        <v>230</v>
      </c>
      <c r="I137" s="429">
        <v>286</v>
      </c>
      <c r="J137" s="430">
        <v>208</v>
      </c>
      <c r="K137" s="352">
        <v>208</v>
      </c>
    </row>
    <row r="138" spans="1:11" x14ac:dyDescent="0.25">
      <c r="B138"/>
      <c r="H138" s="669" t="s">
        <v>775</v>
      </c>
      <c r="I138" s="429">
        <v>208</v>
      </c>
      <c r="J138" s="430">
        <v>208</v>
      </c>
      <c r="K138" s="352">
        <v>208</v>
      </c>
    </row>
    <row r="139" spans="1:11" x14ac:dyDescent="0.25">
      <c r="B139"/>
      <c r="H139" s="669" t="s">
        <v>361</v>
      </c>
      <c r="I139" s="429">
        <v>9</v>
      </c>
      <c r="J139" s="430">
        <v>0</v>
      </c>
      <c r="K139" s="352">
        <v>0</v>
      </c>
    </row>
    <row r="140" spans="1:11" x14ac:dyDescent="0.25">
      <c r="B140"/>
      <c r="H140" s="669" t="s">
        <v>1049</v>
      </c>
      <c r="I140" s="429">
        <v>44</v>
      </c>
      <c r="J140" s="430">
        <v>0</v>
      </c>
      <c r="K140" s="352">
        <v>0</v>
      </c>
    </row>
    <row r="141" spans="1:11" x14ac:dyDescent="0.25">
      <c r="B141"/>
      <c r="H141" s="669" t="s">
        <v>1059</v>
      </c>
      <c r="I141" s="429">
        <v>25</v>
      </c>
      <c r="J141" s="430">
        <v>0</v>
      </c>
      <c r="K141" s="352">
        <v>0</v>
      </c>
    </row>
    <row r="142" spans="1:11" x14ac:dyDescent="0.25">
      <c r="B142"/>
      <c r="H142" s="345" t="s">
        <v>298</v>
      </c>
      <c r="I142" s="429">
        <v>170</v>
      </c>
      <c r="J142" s="430">
        <v>160</v>
      </c>
      <c r="K142" s="352">
        <v>160</v>
      </c>
    </row>
    <row r="143" spans="1:11" x14ac:dyDescent="0.25">
      <c r="B143"/>
      <c r="H143" s="669" t="s">
        <v>1472</v>
      </c>
      <c r="I143" s="429">
        <v>59</v>
      </c>
      <c r="J143" s="430">
        <v>59</v>
      </c>
      <c r="K143" s="352">
        <v>59</v>
      </c>
    </row>
    <row r="144" spans="1:11" x14ac:dyDescent="0.25">
      <c r="B144"/>
      <c r="H144" s="669" t="s">
        <v>1708</v>
      </c>
      <c r="I144" s="429">
        <v>35</v>
      </c>
      <c r="J144" s="430">
        <v>35</v>
      </c>
      <c r="K144" s="352">
        <v>35</v>
      </c>
    </row>
    <row r="145" spans="2:11" x14ac:dyDescent="0.25">
      <c r="B145"/>
      <c r="H145" s="669" t="s">
        <v>820</v>
      </c>
      <c r="I145" s="429">
        <v>44</v>
      </c>
      <c r="J145" s="430">
        <v>34</v>
      </c>
      <c r="K145" s="352">
        <v>34</v>
      </c>
    </row>
    <row r="146" spans="2:11" x14ac:dyDescent="0.25">
      <c r="B146"/>
      <c r="H146" s="669" t="s">
        <v>1397</v>
      </c>
      <c r="I146" s="429">
        <v>19</v>
      </c>
      <c r="J146" s="430">
        <v>19</v>
      </c>
      <c r="K146" s="352">
        <v>19</v>
      </c>
    </row>
    <row r="147" spans="2:11" x14ac:dyDescent="0.25">
      <c r="B147"/>
      <c r="H147" s="669" t="s">
        <v>1469</v>
      </c>
      <c r="I147" s="429">
        <v>13</v>
      </c>
      <c r="J147" s="430">
        <v>13</v>
      </c>
      <c r="K147" s="352">
        <v>13</v>
      </c>
    </row>
    <row r="148" spans="2:11" x14ac:dyDescent="0.25">
      <c r="B148"/>
      <c r="H148" s="345" t="s">
        <v>807</v>
      </c>
      <c r="I148" s="429">
        <v>141</v>
      </c>
      <c r="J148" s="430">
        <v>141</v>
      </c>
      <c r="K148" s="352">
        <v>141</v>
      </c>
    </row>
    <row r="149" spans="2:11" x14ac:dyDescent="0.25">
      <c r="B149"/>
      <c r="H149" s="669" t="s">
        <v>1285</v>
      </c>
      <c r="I149" s="429">
        <v>73</v>
      </c>
      <c r="J149" s="430">
        <v>73</v>
      </c>
      <c r="K149" s="352">
        <v>73</v>
      </c>
    </row>
    <row r="150" spans="2:11" x14ac:dyDescent="0.25">
      <c r="B150"/>
      <c r="H150" s="669" t="s">
        <v>1287</v>
      </c>
      <c r="I150" s="429">
        <v>63</v>
      </c>
      <c r="J150" s="430">
        <v>63</v>
      </c>
      <c r="K150" s="352">
        <v>63</v>
      </c>
    </row>
    <row r="151" spans="2:11" x14ac:dyDescent="0.25">
      <c r="B151"/>
      <c r="H151" s="669" t="s">
        <v>807</v>
      </c>
      <c r="I151" s="429">
        <v>5</v>
      </c>
      <c r="J151" s="430">
        <v>5</v>
      </c>
      <c r="K151" s="352">
        <v>5</v>
      </c>
    </row>
    <row r="152" spans="2:11" x14ac:dyDescent="0.25">
      <c r="B152"/>
      <c r="H152" s="345" t="s">
        <v>302</v>
      </c>
      <c r="I152" s="429">
        <v>129</v>
      </c>
      <c r="J152" s="430">
        <v>44</v>
      </c>
      <c r="K152" s="352">
        <v>44</v>
      </c>
    </row>
    <row r="153" spans="2:11" x14ac:dyDescent="0.25">
      <c r="B153"/>
      <c r="H153" s="669" t="s">
        <v>306</v>
      </c>
      <c r="I153" s="429">
        <v>86</v>
      </c>
      <c r="J153" s="430">
        <v>44</v>
      </c>
      <c r="K153" s="352">
        <v>44</v>
      </c>
    </row>
    <row r="154" spans="2:11" x14ac:dyDescent="0.25">
      <c r="B154"/>
      <c r="H154" s="669" t="s">
        <v>308</v>
      </c>
      <c r="I154" s="429">
        <v>43</v>
      </c>
      <c r="J154" s="430">
        <v>0</v>
      </c>
      <c r="K154" s="352">
        <v>0</v>
      </c>
    </row>
    <row r="155" spans="2:11" x14ac:dyDescent="0.25">
      <c r="B155"/>
      <c r="H155" s="345" t="s">
        <v>166</v>
      </c>
      <c r="I155" s="429">
        <v>100</v>
      </c>
      <c r="J155" s="430">
        <v>36</v>
      </c>
      <c r="K155" s="352">
        <v>36</v>
      </c>
    </row>
    <row r="156" spans="2:11" x14ac:dyDescent="0.25">
      <c r="B156"/>
      <c r="H156" s="669" t="s">
        <v>1400</v>
      </c>
      <c r="I156" s="429">
        <v>36</v>
      </c>
      <c r="J156" s="430">
        <v>36</v>
      </c>
      <c r="K156" s="352">
        <v>36</v>
      </c>
    </row>
    <row r="157" spans="2:11" x14ac:dyDescent="0.25">
      <c r="B157"/>
      <c r="H157" s="669" t="s">
        <v>167</v>
      </c>
      <c r="I157" s="429">
        <v>35</v>
      </c>
      <c r="J157" s="430">
        <v>0</v>
      </c>
      <c r="K157" s="352">
        <v>0</v>
      </c>
    </row>
    <row r="158" spans="2:11" x14ac:dyDescent="0.25">
      <c r="B158"/>
      <c r="H158" s="669" t="s">
        <v>821</v>
      </c>
      <c r="I158" s="429">
        <v>29</v>
      </c>
      <c r="J158" s="430">
        <v>0</v>
      </c>
      <c r="K158" s="352">
        <v>0</v>
      </c>
    </row>
    <row r="159" spans="2:11" x14ac:dyDescent="0.25">
      <c r="B159"/>
      <c r="H159" s="345" t="s">
        <v>173</v>
      </c>
      <c r="I159" s="429">
        <v>75</v>
      </c>
      <c r="J159" s="430">
        <v>12</v>
      </c>
      <c r="K159" s="352">
        <v>12</v>
      </c>
    </row>
    <row r="160" spans="2:11" x14ac:dyDescent="0.25">
      <c r="B160"/>
      <c r="H160" s="669" t="s">
        <v>1256</v>
      </c>
      <c r="I160" s="429">
        <v>7</v>
      </c>
      <c r="J160" s="430">
        <v>7</v>
      </c>
      <c r="K160" s="352">
        <v>7</v>
      </c>
    </row>
    <row r="161" spans="2:11" x14ac:dyDescent="0.25">
      <c r="B161"/>
      <c r="H161" s="669" t="s">
        <v>176</v>
      </c>
      <c r="I161" s="429">
        <v>15</v>
      </c>
      <c r="J161" s="430">
        <v>5</v>
      </c>
      <c r="K161" s="352">
        <v>5</v>
      </c>
    </row>
    <row r="162" spans="2:11" x14ac:dyDescent="0.25">
      <c r="B162"/>
      <c r="H162" s="669" t="s">
        <v>1264</v>
      </c>
      <c r="I162" s="429">
        <v>28</v>
      </c>
      <c r="J162" s="430">
        <v>0</v>
      </c>
      <c r="K162" s="352">
        <v>0</v>
      </c>
    </row>
    <row r="163" spans="2:11" x14ac:dyDescent="0.25">
      <c r="B163"/>
      <c r="H163" s="669" t="s">
        <v>174</v>
      </c>
      <c r="I163" s="429">
        <v>13</v>
      </c>
      <c r="J163" s="430">
        <v>0</v>
      </c>
      <c r="K163" s="352">
        <v>0</v>
      </c>
    </row>
    <row r="164" spans="2:11" x14ac:dyDescent="0.25">
      <c r="B164"/>
      <c r="H164" s="669" t="s">
        <v>178</v>
      </c>
      <c r="I164" s="429">
        <v>12</v>
      </c>
      <c r="J164" s="430">
        <v>0</v>
      </c>
      <c r="K164" s="352">
        <v>0</v>
      </c>
    </row>
    <row r="165" spans="2:11" x14ac:dyDescent="0.25">
      <c r="B165"/>
      <c r="H165" s="345" t="s">
        <v>300</v>
      </c>
      <c r="I165" s="429">
        <v>61</v>
      </c>
      <c r="J165" s="430">
        <v>1</v>
      </c>
      <c r="K165" s="352">
        <v>1</v>
      </c>
    </row>
    <row r="166" spans="2:11" x14ac:dyDescent="0.25">
      <c r="B166"/>
      <c r="H166" s="669" t="s">
        <v>1248</v>
      </c>
      <c r="I166" s="429">
        <v>61</v>
      </c>
      <c r="J166" s="430">
        <v>1</v>
      </c>
      <c r="K166" s="352">
        <v>1</v>
      </c>
    </row>
    <row r="167" spans="2:11" x14ac:dyDescent="0.25">
      <c r="B167"/>
      <c r="H167" s="345" t="s">
        <v>1481</v>
      </c>
      <c r="I167" s="429">
        <v>37</v>
      </c>
      <c r="J167" s="430">
        <v>37</v>
      </c>
      <c r="K167" s="352">
        <v>37</v>
      </c>
    </row>
    <row r="168" spans="2:11" x14ac:dyDescent="0.25">
      <c r="B168"/>
      <c r="H168" s="669" t="s">
        <v>1478</v>
      </c>
      <c r="I168" s="429">
        <v>37</v>
      </c>
      <c r="J168" s="430">
        <v>37</v>
      </c>
      <c r="K168" s="352">
        <v>37</v>
      </c>
    </row>
    <row r="169" spans="2:11" x14ac:dyDescent="0.25">
      <c r="B169"/>
      <c r="H169" s="345" t="s">
        <v>778</v>
      </c>
      <c r="I169" s="429">
        <v>34</v>
      </c>
      <c r="J169" s="430">
        <v>0</v>
      </c>
      <c r="K169" s="352">
        <v>0</v>
      </c>
    </row>
    <row r="170" spans="2:11" x14ac:dyDescent="0.25">
      <c r="B170"/>
      <c r="H170" s="669" t="s">
        <v>1262</v>
      </c>
      <c r="I170" s="429">
        <v>34</v>
      </c>
      <c r="J170" s="430">
        <v>0</v>
      </c>
      <c r="K170" s="352">
        <v>0</v>
      </c>
    </row>
    <row r="171" spans="2:11" x14ac:dyDescent="0.25">
      <c r="B171"/>
      <c r="H171" s="345" t="s">
        <v>180</v>
      </c>
      <c r="I171" s="429">
        <v>30</v>
      </c>
      <c r="J171" s="430">
        <v>0</v>
      </c>
      <c r="K171" s="352">
        <v>0</v>
      </c>
    </row>
    <row r="172" spans="2:11" x14ac:dyDescent="0.25">
      <c r="B172"/>
      <c r="H172" s="669" t="s">
        <v>181</v>
      </c>
      <c r="I172" s="429">
        <v>11</v>
      </c>
      <c r="J172" s="430">
        <v>0</v>
      </c>
      <c r="K172" s="352">
        <v>0</v>
      </c>
    </row>
    <row r="173" spans="2:11" x14ac:dyDescent="0.25">
      <c r="B173"/>
      <c r="H173" s="669" t="s">
        <v>287</v>
      </c>
      <c r="I173" s="429">
        <v>19</v>
      </c>
      <c r="J173" s="430">
        <v>0</v>
      </c>
      <c r="K173" s="352">
        <v>0</v>
      </c>
    </row>
    <row r="174" spans="2:11" x14ac:dyDescent="0.25">
      <c r="B174"/>
      <c r="H174" s="433" t="s">
        <v>415</v>
      </c>
      <c r="I174" s="431">
        <v>17957</v>
      </c>
      <c r="J174" s="432">
        <v>7003</v>
      </c>
      <c r="K174" s="353">
        <v>6936</v>
      </c>
    </row>
    <row r="175" spans="2:11" x14ac:dyDescent="0.25">
      <c r="B175"/>
      <c r="H175"/>
      <c r="I175"/>
      <c r="J175"/>
    </row>
    <row r="176" spans="2:11" x14ac:dyDescent="0.25">
      <c r="B176"/>
      <c r="H176"/>
      <c r="I176"/>
      <c r="J176"/>
    </row>
    <row r="177" spans="2:10" x14ac:dyDescent="0.25">
      <c r="B177"/>
      <c r="H177"/>
      <c r="I177"/>
      <c r="J177"/>
    </row>
    <row r="178" spans="2:10" x14ac:dyDescent="0.25">
      <c r="B178"/>
      <c r="H178"/>
      <c r="I178"/>
      <c r="J178"/>
    </row>
    <row r="179" spans="2:10" x14ac:dyDescent="0.25">
      <c r="B179"/>
      <c r="H179"/>
      <c r="I179"/>
      <c r="J179"/>
    </row>
    <row r="180" spans="2:10" x14ac:dyDescent="0.25">
      <c r="B180"/>
      <c r="H180"/>
      <c r="I180"/>
      <c r="J180"/>
    </row>
    <row r="181" spans="2:10" x14ac:dyDescent="0.25">
      <c r="B181"/>
      <c r="H181"/>
      <c r="I181"/>
      <c r="J181"/>
    </row>
    <row r="182" spans="2:10" x14ac:dyDescent="0.25">
      <c r="B182"/>
      <c r="H182"/>
      <c r="I182"/>
      <c r="J182"/>
    </row>
    <row r="183" spans="2:10" x14ac:dyDescent="0.25">
      <c r="B183"/>
      <c r="H183"/>
      <c r="I183"/>
      <c r="J183"/>
    </row>
    <row r="184" spans="2:10" x14ac:dyDescent="0.25">
      <c r="B184"/>
      <c r="H184"/>
      <c r="I184"/>
      <c r="J184"/>
    </row>
    <row r="185" spans="2:10" x14ac:dyDescent="0.25">
      <c r="B185"/>
      <c r="H185"/>
      <c r="I185"/>
      <c r="J185"/>
    </row>
    <row r="186" spans="2:10" x14ac:dyDescent="0.25">
      <c r="B186"/>
      <c r="H186"/>
      <c r="I186"/>
      <c r="J186"/>
    </row>
    <row r="187" spans="2:10" x14ac:dyDescent="0.25">
      <c r="B187"/>
      <c r="H187"/>
      <c r="I187"/>
      <c r="J187"/>
    </row>
    <row r="188" spans="2:10" x14ac:dyDescent="0.25">
      <c r="B188"/>
      <c r="H188"/>
      <c r="I188"/>
      <c r="J188"/>
    </row>
    <row r="189" spans="2:10" x14ac:dyDescent="0.25">
      <c r="B189"/>
      <c r="H189"/>
      <c r="I189"/>
      <c r="J189"/>
    </row>
    <row r="190" spans="2:10" x14ac:dyDescent="0.25">
      <c r="B190"/>
      <c r="H190"/>
      <c r="I190"/>
      <c r="J190"/>
    </row>
    <row r="191" spans="2:10" x14ac:dyDescent="0.25">
      <c r="B191"/>
      <c r="H191"/>
      <c r="I191"/>
      <c r="J191"/>
    </row>
    <row r="192" spans="2:10" x14ac:dyDescent="0.25">
      <c r="B192"/>
      <c r="H192"/>
      <c r="I192"/>
      <c r="J192"/>
    </row>
    <row r="193" spans="2:10" x14ac:dyDescent="0.25">
      <c r="B193"/>
      <c r="H193"/>
      <c r="I193"/>
      <c r="J193"/>
    </row>
    <row r="194" spans="2:10" x14ac:dyDescent="0.25">
      <c r="B194"/>
      <c r="H194"/>
      <c r="I194"/>
      <c r="J194"/>
    </row>
    <row r="195" spans="2:10" x14ac:dyDescent="0.25">
      <c r="B195"/>
      <c r="H195"/>
      <c r="I195"/>
      <c r="J195"/>
    </row>
    <row r="196" spans="2:10" x14ac:dyDescent="0.25">
      <c r="B196"/>
      <c r="H196"/>
      <c r="I196"/>
      <c r="J196"/>
    </row>
    <row r="197" spans="2:10" x14ac:dyDescent="0.25">
      <c r="B197"/>
      <c r="H197"/>
      <c r="I197"/>
      <c r="J197"/>
    </row>
    <row r="198" spans="2:10" x14ac:dyDescent="0.25">
      <c r="B198"/>
      <c r="H198"/>
      <c r="I198"/>
      <c r="J198"/>
    </row>
    <row r="199" spans="2:10" x14ac:dyDescent="0.25">
      <c r="B199"/>
      <c r="H199"/>
      <c r="I199"/>
      <c r="J199"/>
    </row>
    <row r="200" spans="2:10" x14ac:dyDescent="0.25">
      <c r="B200"/>
      <c r="H200"/>
      <c r="I200"/>
      <c r="J200"/>
    </row>
    <row r="201" spans="2:10" x14ac:dyDescent="0.25">
      <c r="B201"/>
      <c r="H201"/>
      <c r="I201"/>
      <c r="J201"/>
    </row>
    <row r="202" spans="2:10" x14ac:dyDescent="0.25">
      <c r="B202"/>
      <c r="H202"/>
      <c r="I202"/>
      <c r="J202"/>
    </row>
    <row r="203" spans="2:10" x14ac:dyDescent="0.25">
      <c r="B203"/>
      <c r="H203"/>
      <c r="I203"/>
      <c r="J203"/>
    </row>
    <row r="204" spans="2:10" x14ac:dyDescent="0.25">
      <c r="B204"/>
      <c r="H204"/>
      <c r="I204"/>
      <c r="J204"/>
    </row>
    <row r="205" spans="2:10" x14ac:dyDescent="0.25">
      <c r="B205"/>
      <c r="H205"/>
      <c r="I205"/>
      <c r="J205"/>
    </row>
    <row r="206" spans="2:10" x14ac:dyDescent="0.25">
      <c r="B206"/>
    </row>
    <row r="207" spans="2:10" x14ac:dyDescent="0.25">
      <c r="B207"/>
    </row>
    <row r="208" spans="2:10" x14ac:dyDescent="0.25">
      <c r="B208"/>
    </row>
    <row r="209" spans="2:2" x14ac:dyDescent="0.25">
      <c r="B209"/>
    </row>
    <row r="210" spans="2:2" x14ac:dyDescent="0.25">
      <c r="B210"/>
    </row>
    <row r="211" spans="2:2" x14ac:dyDescent="0.25">
      <c r="B211"/>
    </row>
    <row r="212" spans="2:2" x14ac:dyDescent="0.25">
      <c r="B212"/>
    </row>
    <row r="213" spans="2:2" x14ac:dyDescent="0.25">
      <c r="B213"/>
    </row>
    <row r="214" spans="2:2" x14ac:dyDescent="0.25">
      <c r="B214"/>
    </row>
    <row r="215" spans="2:2" x14ac:dyDescent="0.25">
      <c r="B215"/>
    </row>
    <row r="216" spans="2:2" x14ac:dyDescent="0.25">
      <c r="B216"/>
    </row>
    <row r="217" spans="2:2" x14ac:dyDescent="0.25">
      <c r="B217"/>
    </row>
    <row r="218" spans="2:2" x14ac:dyDescent="0.25">
      <c r="B218"/>
    </row>
    <row r="219" spans="2:2" x14ac:dyDescent="0.25">
      <c r="B219"/>
    </row>
    <row r="220" spans="2:2" x14ac:dyDescent="0.25">
      <c r="B220"/>
    </row>
    <row r="221" spans="2:2" x14ac:dyDescent="0.25">
      <c r="B221"/>
    </row>
    <row r="222" spans="2:2" x14ac:dyDescent="0.25">
      <c r="B222"/>
    </row>
    <row r="223" spans="2:2" x14ac:dyDescent="0.25">
      <c r="B223"/>
    </row>
    <row r="224" spans="2:2" x14ac:dyDescent="0.25">
      <c r="B224"/>
    </row>
    <row r="225" spans="2:2" x14ac:dyDescent="0.25">
      <c r="B225"/>
    </row>
    <row r="226" spans="2:2" x14ac:dyDescent="0.25">
      <c r="B226"/>
    </row>
    <row r="227" spans="2:2" x14ac:dyDescent="0.25">
      <c r="B22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theme="3" tint="0.59999389629810485"/>
    <pageSetUpPr fitToPage="1"/>
  </sheetPr>
  <dimension ref="A1:CI46"/>
  <sheetViews>
    <sheetView showZeros="0" zoomScaleNormal="100" zoomScaleSheetLayoutView="100" zoomScalePageLayoutView="80" workbookViewId="0">
      <selection activeCell="P24" sqref="P24"/>
    </sheetView>
  </sheetViews>
  <sheetFormatPr defaultColWidth="9.140625" defaultRowHeight="15" x14ac:dyDescent="0.25"/>
  <cols>
    <col min="1" max="1" width="1.85546875" style="395" customWidth="1"/>
    <col min="2" max="2" width="21" style="395" customWidth="1"/>
    <col min="3" max="3" width="8.28515625" style="395" customWidth="1"/>
    <col min="4" max="4" width="6.5703125" style="395" customWidth="1"/>
    <col min="5" max="5" width="6.140625" style="395" customWidth="1"/>
    <col min="6" max="7" width="7" style="395" customWidth="1"/>
    <col min="8" max="8" width="15" style="395" customWidth="1"/>
    <col min="9" max="10" width="16" style="395" customWidth="1"/>
    <col min="11" max="11" width="9.140625" style="395"/>
    <col min="12" max="12" width="8.7109375" style="395" customWidth="1"/>
    <col min="13" max="13" width="5.85546875" style="395" customWidth="1"/>
    <col min="14" max="14" width="3.140625" style="395" customWidth="1"/>
    <col min="15" max="15" width="11" style="395" customWidth="1"/>
    <col min="16" max="16" width="31.5703125" style="395" customWidth="1"/>
    <col min="17" max="20" width="9.140625" style="395"/>
    <col min="21" max="21" width="9.140625" style="670"/>
    <col min="22" max="22" width="7.7109375" style="670" customWidth="1"/>
    <col min="23" max="23" width="9.140625" style="670" customWidth="1"/>
    <col min="24" max="24" width="21.140625" style="670" customWidth="1"/>
    <col min="25" max="25" width="9.140625" style="670"/>
    <col min="26" max="82" width="9.140625" style="395"/>
    <col min="83" max="83" width="9.140625" style="395" customWidth="1"/>
    <col min="84" max="84" width="15" style="395" customWidth="1"/>
    <col min="85" max="87" width="8" style="395" customWidth="1"/>
    <col min="88" max="16384" width="9.140625" style="395"/>
  </cols>
  <sheetData>
    <row r="1" spans="1:87" ht="3.6" customHeight="1" x14ac:dyDescent="0.25">
      <c r="A1" s="521"/>
      <c r="B1" s="522"/>
      <c r="C1" s="522"/>
      <c r="D1" s="522"/>
      <c r="E1" s="522"/>
      <c r="F1" s="522"/>
      <c r="G1" s="522"/>
      <c r="H1" s="522"/>
      <c r="I1" s="522"/>
      <c r="J1" s="522"/>
      <c r="K1" s="522"/>
      <c r="L1" s="522"/>
      <c r="M1" s="522"/>
      <c r="N1" s="523"/>
    </row>
    <row r="2" spans="1:87" s="381" customFormat="1" ht="9" hidden="1" customHeight="1" x14ac:dyDescent="0.25">
      <c r="A2" s="524"/>
      <c r="B2" s="193"/>
      <c r="C2" s="193"/>
      <c r="D2" s="193"/>
      <c r="E2" s="193"/>
      <c r="F2" s="193"/>
      <c r="G2" s="193"/>
      <c r="H2" s="193"/>
      <c r="I2" s="193"/>
      <c r="J2" s="193"/>
      <c r="K2" s="193"/>
      <c r="L2" s="193"/>
      <c r="M2" s="193"/>
      <c r="N2" s="525"/>
      <c r="O2" s="395"/>
      <c r="P2" s="395"/>
      <c r="U2" s="671"/>
      <c r="V2" s="671"/>
      <c r="W2" s="671"/>
      <c r="X2" s="671"/>
      <c r="Y2" s="671"/>
      <c r="AN2" s="857"/>
      <c r="AO2" s="857"/>
    </row>
    <row r="3" spans="1:87" s="381" customFormat="1" ht="23.45" customHeight="1" x14ac:dyDescent="0.25">
      <c r="A3" s="524"/>
      <c r="B3" s="966" t="s">
        <v>589</v>
      </c>
      <c r="C3" s="966"/>
      <c r="D3" s="966"/>
      <c r="E3" s="966"/>
      <c r="F3" s="966"/>
      <c r="G3" s="966"/>
      <c r="H3" s="966"/>
      <c r="I3" s="966"/>
      <c r="J3" s="966"/>
      <c r="K3" s="177"/>
      <c r="L3" s="177"/>
      <c r="M3" s="177"/>
      <c r="N3" s="525"/>
      <c r="O3" s="395"/>
      <c r="P3" s="395"/>
      <c r="U3" s="671"/>
      <c r="V3" s="670"/>
      <c r="W3" s="670"/>
      <c r="X3" s="670"/>
      <c r="Y3" s="670"/>
      <c r="Z3" s="395"/>
      <c r="AA3" s="395"/>
      <c r="AB3" s="395"/>
      <c r="AC3" s="395"/>
      <c r="AD3" s="395"/>
      <c r="AE3" s="395"/>
      <c r="AO3" s="857"/>
      <c r="AP3" s="857"/>
      <c r="CF3" s="858" t="s">
        <v>1145</v>
      </c>
      <c r="CG3" s="859">
        <f>GETPIVOTDATA("# HH",$B$18)</f>
        <v>17957</v>
      </c>
      <c r="CH3" s="395"/>
      <c r="CI3" s="395"/>
    </row>
    <row r="4" spans="1:87" s="759" customFormat="1" ht="20.25" customHeight="1" x14ac:dyDescent="0.25">
      <c r="A4" s="860"/>
      <c r="B4" s="960">
        <f>Definition!B23</f>
        <v>42856</v>
      </c>
      <c r="C4" s="960"/>
      <c r="D4" s="960"/>
      <c r="E4" s="960"/>
      <c r="F4" s="960"/>
      <c r="G4" s="960"/>
      <c r="H4" s="960"/>
      <c r="I4" s="960"/>
      <c r="J4" s="181"/>
      <c r="K4" s="181"/>
      <c r="L4" s="181"/>
      <c r="M4" s="181"/>
      <c r="N4" s="861"/>
      <c r="O4" s="395"/>
      <c r="P4" s="395"/>
      <c r="U4" s="402"/>
      <c r="V4" s="670"/>
      <c r="W4" s="670"/>
      <c r="X4" s="670"/>
      <c r="Y4" s="670"/>
      <c r="Z4" s="395"/>
      <c r="AA4" s="395"/>
      <c r="AB4" s="395"/>
      <c r="AC4" s="395"/>
      <c r="AD4" s="395"/>
      <c r="AE4" s="395"/>
      <c r="AO4" s="386"/>
      <c r="AP4" s="386"/>
      <c r="CF4" s="858" t="s">
        <v>1222</v>
      </c>
      <c r="CG4" s="859">
        <f>GETPIVOTDATA("# Camps",$B$18)</f>
        <v>150</v>
      </c>
      <c r="CH4" s="395"/>
      <c r="CI4" s="395"/>
    </row>
    <row r="5" spans="1:87" s="759" customFormat="1" ht="1.5" customHeight="1" x14ac:dyDescent="0.25">
      <c r="A5" s="862"/>
      <c r="B5" s="198"/>
      <c r="C5" s="198"/>
      <c r="D5" s="198"/>
      <c r="E5" s="198"/>
      <c r="F5" s="198"/>
      <c r="G5" s="198"/>
      <c r="H5" s="198"/>
      <c r="I5" s="198"/>
      <c r="J5" s="199"/>
      <c r="K5" s="199"/>
      <c r="L5" s="199"/>
      <c r="M5" s="199"/>
      <c r="N5" s="863"/>
      <c r="O5" s="395"/>
      <c r="P5" s="395"/>
      <c r="U5" s="402"/>
      <c r="V5" s="670"/>
      <c r="W5" s="670"/>
      <c r="X5" s="670"/>
      <c r="Y5" s="670"/>
      <c r="Z5" s="395"/>
      <c r="AA5" s="395"/>
      <c r="AB5" s="395"/>
      <c r="AC5" s="395"/>
      <c r="AD5" s="395"/>
      <c r="AE5" s="395"/>
      <c r="AO5" s="386"/>
      <c r="AP5" s="386"/>
      <c r="CF5" s="858"/>
      <c r="CG5" s="859"/>
      <c r="CH5" s="395"/>
      <c r="CI5" s="395"/>
    </row>
    <row r="6" spans="1:87" ht="10.15" customHeight="1" x14ac:dyDescent="0.25">
      <c r="A6" s="862"/>
      <c r="B6" s="518"/>
      <c r="C6" s="518"/>
      <c r="D6" s="518"/>
      <c r="E6" s="518"/>
      <c r="F6" s="518"/>
      <c r="G6" s="518"/>
      <c r="H6" s="518"/>
      <c r="I6" s="518"/>
      <c r="J6" s="518"/>
      <c r="K6" s="518"/>
      <c r="L6" s="518"/>
      <c r="M6" s="518"/>
      <c r="N6" s="863"/>
      <c r="CF6" s="858" t="s">
        <v>1147</v>
      </c>
      <c r="CG6" s="864">
        <f>GETPIVOTDATA("# HH",$B$18)-GETPIVOTDATA("# Shelter Gap",$B$18)</f>
        <v>10954</v>
      </c>
      <c r="CH6" s="930">
        <f>CG6/CG3</f>
        <v>0.61001280837556382</v>
      </c>
    </row>
    <row r="7" spans="1:87" ht="10.15" customHeight="1" x14ac:dyDescent="0.25">
      <c r="A7" s="862"/>
      <c r="B7" s="518"/>
      <c r="C7" s="518"/>
      <c r="D7" s="518"/>
      <c r="E7" s="518"/>
      <c r="F7" s="518"/>
      <c r="G7" s="518"/>
      <c r="H7" s="518"/>
      <c r="I7" s="518"/>
      <c r="J7" s="518"/>
      <c r="K7" s="518"/>
      <c r="L7" s="518"/>
      <c r="M7" s="518"/>
      <c r="N7" s="863"/>
      <c r="CE7" s="759"/>
      <c r="CF7" s="858" t="s">
        <v>1146</v>
      </c>
      <c r="CG7" s="859">
        <f>GETPIVOTDATA("# Shelter Gap",$B$18)</f>
        <v>7003</v>
      </c>
      <c r="CH7" s="930"/>
    </row>
    <row r="8" spans="1:87" ht="10.15" customHeight="1" x14ac:dyDescent="0.25">
      <c r="A8" s="862"/>
      <c r="B8" s="518"/>
      <c r="C8" s="518"/>
      <c r="D8" s="518"/>
      <c r="E8" s="518"/>
      <c r="F8" s="518"/>
      <c r="G8" s="518"/>
      <c r="H8" s="518"/>
      <c r="I8" s="518"/>
      <c r="J8" s="518"/>
      <c r="K8" s="518"/>
      <c r="L8" s="518"/>
      <c r="M8" s="518"/>
      <c r="N8" s="863"/>
      <c r="CF8" s="858" t="s">
        <v>1149</v>
      </c>
      <c r="CG8" s="859">
        <f>GETPIVOTDATA("# Const. Shelter",$B$18)</f>
        <v>6936</v>
      </c>
      <c r="CH8" s="930">
        <f>CG8/CG3</f>
        <v>0.38625605613409814</v>
      </c>
    </row>
    <row r="9" spans="1:87" ht="10.15" customHeight="1" x14ac:dyDescent="0.25">
      <c r="A9" s="862"/>
      <c r="B9" s="518"/>
      <c r="C9" s="518"/>
      <c r="D9" s="518"/>
      <c r="E9" s="518"/>
      <c r="F9" s="518"/>
      <c r="G9" s="518"/>
      <c r="H9" s="518"/>
      <c r="I9" s="518"/>
      <c r="J9" s="518"/>
      <c r="K9" s="518"/>
      <c r="L9" s="518"/>
      <c r="M9" s="518"/>
      <c r="N9" s="863"/>
      <c r="CF9" s="858" t="s">
        <v>1148</v>
      </c>
      <c r="CG9" s="864">
        <f>GETPIVOTDATA("# Shelter Gap",$B$18)-GETPIVOTDATA("# Const. Shelter",$B$18)</f>
        <v>67</v>
      </c>
      <c r="CH9" s="930">
        <f>CG9/CG3</f>
        <v>3.7311354903380297E-3</v>
      </c>
    </row>
    <row r="10" spans="1:87" ht="10.15" customHeight="1" x14ac:dyDescent="0.25">
      <c r="A10" s="862"/>
      <c r="B10" s="518"/>
      <c r="C10" s="518"/>
      <c r="D10" s="518"/>
      <c r="E10" s="518"/>
      <c r="F10" s="518"/>
      <c r="G10" s="518"/>
      <c r="H10" s="518"/>
      <c r="I10" s="518"/>
      <c r="J10" s="518"/>
      <c r="K10" s="518"/>
      <c r="L10" s="518"/>
      <c r="M10" s="518"/>
      <c r="N10" s="863"/>
    </row>
    <row r="11" spans="1:87" ht="10.15" customHeight="1" x14ac:dyDescent="0.25">
      <c r="A11" s="862"/>
      <c r="B11" s="518"/>
      <c r="C11" s="518"/>
      <c r="D11" s="518"/>
      <c r="E11" s="518"/>
      <c r="F11" s="518"/>
      <c r="G11" s="518"/>
      <c r="H11" s="518"/>
      <c r="I11" s="518"/>
      <c r="J11" s="518"/>
      <c r="K11" s="518"/>
      <c r="L11" s="518"/>
      <c r="M11" s="518"/>
      <c r="N11" s="863"/>
    </row>
    <row r="12" spans="1:87" ht="7.15" customHeight="1" x14ac:dyDescent="0.25">
      <c r="A12" s="862"/>
      <c r="B12" s="518"/>
      <c r="C12" s="518"/>
      <c r="D12" s="518"/>
      <c r="E12" s="518"/>
      <c r="F12" s="518"/>
      <c r="G12" s="518"/>
      <c r="H12" s="518"/>
      <c r="I12" s="865"/>
      <c r="J12" s="865"/>
      <c r="K12" s="518"/>
      <c r="L12" s="518"/>
      <c r="M12" s="518"/>
      <c r="N12" s="863"/>
    </row>
    <row r="13" spans="1:87" ht="16.5" hidden="1" thickBot="1" x14ac:dyDescent="0.3">
      <c r="A13" s="866"/>
      <c r="B13" s="381"/>
      <c r="C13" s="381"/>
      <c r="D13" s="381"/>
      <c r="E13" s="381"/>
      <c r="F13" s="381"/>
      <c r="G13" s="381"/>
      <c r="H13" s="518"/>
      <c r="I13" s="867"/>
      <c r="J13" s="867"/>
      <c r="K13" s="518"/>
      <c r="L13" s="518"/>
      <c r="M13" s="518"/>
      <c r="N13" s="863"/>
    </row>
    <row r="14" spans="1:87" ht="16.5" hidden="1" thickBot="1" x14ac:dyDescent="0.3">
      <c r="A14" s="866"/>
      <c r="B14" s="381"/>
      <c r="C14" s="381"/>
      <c r="D14" s="381"/>
      <c r="E14" s="381"/>
      <c r="F14" s="381"/>
      <c r="G14" s="381"/>
      <c r="H14" s="518"/>
      <c r="I14" s="867"/>
      <c r="J14" s="867"/>
      <c r="K14" s="518"/>
      <c r="L14" s="518"/>
      <c r="M14" s="518"/>
      <c r="N14" s="863"/>
    </row>
    <row r="15" spans="1:87" ht="16.5" hidden="1" thickBot="1" x14ac:dyDescent="0.3">
      <c r="A15" s="866"/>
      <c r="B15" s="868" t="s">
        <v>497</v>
      </c>
      <c r="C15" s="869" t="s">
        <v>499</v>
      </c>
      <c r="D15" s="381"/>
      <c r="E15" s="381"/>
      <c r="F15" s="381"/>
      <c r="G15" s="381"/>
      <c r="H15" s="518"/>
      <c r="I15" s="518"/>
      <c r="J15" s="867"/>
      <c r="K15" s="518"/>
      <c r="L15" s="518"/>
      <c r="M15" s="518"/>
      <c r="N15" s="863"/>
    </row>
    <row r="16" spans="1:87" ht="16.5" hidden="1" thickBot="1" x14ac:dyDescent="0.3">
      <c r="A16" s="866"/>
      <c r="B16" s="868" t="s">
        <v>401</v>
      </c>
      <c r="C16" s="869" t="s">
        <v>553</v>
      </c>
      <c r="D16" s="381"/>
      <c r="E16" s="381"/>
      <c r="F16" s="381"/>
      <c r="G16" s="381"/>
      <c r="H16" s="518"/>
      <c r="I16" s="518"/>
      <c r="J16" s="867"/>
      <c r="K16" s="518"/>
      <c r="L16" s="518"/>
      <c r="M16" s="518"/>
      <c r="N16" s="863"/>
    </row>
    <row r="17" spans="1:87" ht="3.75" customHeight="1" thickBot="1" x14ac:dyDescent="0.3">
      <c r="A17" s="866"/>
      <c r="B17" s="381"/>
      <c r="C17" s="381"/>
      <c r="D17" s="381"/>
      <c r="E17" s="381"/>
      <c r="F17" s="381"/>
      <c r="G17" s="381"/>
      <c r="H17" s="518"/>
      <c r="I17" s="518"/>
      <c r="J17" s="867"/>
      <c r="K17" s="518"/>
      <c r="L17" s="518"/>
      <c r="M17" s="518"/>
      <c r="N17" s="863"/>
    </row>
    <row r="18" spans="1:87" ht="38.25" x14ac:dyDescent="0.25">
      <c r="A18" s="862"/>
      <c r="B18" s="884" t="s">
        <v>0</v>
      </c>
      <c r="C18" s="885" t="s">
        <v>1170</v>
      </c>
      <c r="D18" s="885" t="s">
        <v>1171</v>
      </c>
      <c r="E18" s="885" t="s">
        <v>1172</v>
      </c>
      <c r="F18" s="885" t="s">
        <v>1173</v>
      </c>
      <c r="G18" s="886" t="s">
        <v>1174</v>
      </c>
      <c r="H18" s="518"/>
      <c r="I18" s="518"/>
      <c r="J18" s="867"/>
      <c r="K18" s="518"/>
      <c r="L18" s="518"/>
      <c r="M18" s="518"/>
      <c r="N18" s="863"/>
      <c r="CF18" s="870" t="s">
        <v>0</v>
      </c>
      <c r="CG18" s="871" t="s">
        <v>1175</v>
      </c>
      <c r="CH18" s="871" t="s">
        <v>1176</v>
      </c>
      <c r="CI18" s="872" t="s">
        <v>1177</v>
      </c>
    </row>
    <row r="19" spans="1:87" s="853" customFormat="1" ht="12.75" customHeight="1" x14ac:dyDescent="0.25">
      <c r="A19" s="888"/>
      <c r="B19" s="878" t="s">
        <v>310</v>
      </c>
      <c r="C19" s="879">
        <v>4738</v>
      </c>
      <c r="D19" s="880">
        <v>23061</v>
      </c>
      <c r="E19" s="881">
        <v>22</v>
      </c>
      <c r="F19" s="879">
        <v>2188</v>
      </c>
      <c r="G19" s="882">
        <v>2188</v>
      </c>
      <c r="H19" s="889"/>
      <c r="I19" s="889"/>
      <c r="J19" s="890"/>
      <c r="K19" s="889"/>
      <c r="L19" s="889"/>
      <c r="M19" s="889"/>
      <c r="N19" s="891"/>
      <c r="U19" s="670"/>
      <c r="V19" s="670"/>
      <c r="W19" s="670"/>
      <c r="X19" s="670"/>
      <c r="Y19" s="670"/>
      <c r="CF19" s="856" t="str">
        <f t="shared" ref="CF19:CF28" si="0">B19</f>
        <v>Waingmaw</v>
      </c>
      <c r="CG19" s="883">
        <f>C19-Shelter_Draw[[#This Row],[V2]]-Shelter_Draw[[#This Row],[V3]]</f>
        <v>2550</v>
      </c>
      <c r="CH19" s="883">
        <f t="shared" ref="CH19:CH28" si="1">G19</f>
        <v>2188</v>
      </c>
      <c r="CI19" s="892">
        <f t="shared" ref="CI19:CI28" si="2">F19-G19</f>
        <v>0</v>
      </c>
    </row>
    <row r="20" spans="1:87" s="853" customFormat="1" ht="12.75" customHeight="1" x14ac:dyDescent="0.25">
      <c r="A20" s="888"/>
      <c r="B20" s="878" t="s">
        <v>151</v>
      </c>
      <c r="C20" s="879">
        <v>2513</v>
      </c>
      <c r="D20" s="880">
        <v>11961</v>
      </c>
      <c r="E20" s="881">
        <v>9</v>
      </c>
      <c r="F20" s="879">
        <v>1051</v>
      </c>
      <c r="G20" s="882">
        <v>1051</v>
      </c>
      <c r="H20" s="889"/>
      <c r="I20" s="889"/>
      <c r="J20" s="890"/>
      <c r="K20" s="889"/>
      <c r="L20" s="889"/>
      <c r="M20" s="889"/>
      <c r="N20" s="891"/>
      <c r="U20" s="670"/>
      <c r="V20" s="670"/>
      <c r="W20" s="670"/>
      <c r="X20" s="670"/>
      <c r="Y20" s="670"/>
      <c r="CF20" s="856" t="str">
        <f t="shared" si="0"/>
        <v>Mansi</v>
      </c>
      <c r="CG20" s="883">
        <f>C20-Shelter_Draw[[#This Row],[V2]]-Shelter_Draw[[#This Row],[V3]]</f>
        <v>1462</v>
      </c>
      <c r="CH20" s="883">
        <f t="shared" si="1"/>
        <v>1051</v>
      </c>
      <c r="CI20" s="892">
        <f t="shared" si="2"/>
        <v>0</v>
      </c>
    </row>
    <row r="21" spans="1:87" s="853" customFormat="1" ht="12.75" customHeight="1" x14ac:dyDescent="0.25">
      <c r="A21" s="888"/>
      <c r="B21" s="878" t="s">
        <v>185</v>
      </c>
      <c r="C21" s="879">
        <v>4400</v>
      </c>
      <c r="D21" s="880">
        <v>23092</v>
      </c>
      <c r="E21" s="881">
        <v>12</v>
      </c>
      <c r="F21" s="879">
        <v>827</v>
      </c>
      <c r="G21" s="882">
        <v>827</v>
      </c>
      <c r="H21" s="889"/>
      <c r="I21" s="889"/>
      <c r="J21" s="893"/>
      <c r="K21" s="889"/>
      <c r="L21" s="889"/>
      <c r="M21" s="889"/>
      <c r="N21" s="891"/>
      <c r="U21" s="670"/>
      <c r="V21" s="670"/>
      <c r="W21" s="670"/>
      <c r="X21" s="670"/>
      <c r="Y21" s="670"/>
      <c r="CF21" s="856" t="str">
        <f t="shared" si="0"/>
        <v>Momauk</v>
      </c>
      <c r="CG21" s="883">
        <f>C21-Shelter_Draw[[#This Row],[V2]]-Shelter_Draw[[#This Row],[V3]]</f>
        <v>3573</v>
      </c>
      <c r="CH21" s="883">
        <f t="shared" si="1"/>
        <v>827</v>
      </c>
      <c r="CI21" s="892">
        <f t="shared" si="2"/>
        <v>0</v>
      </c>
    </row>
    <row r="22" spans="1:87" s="853" customFormat="1" ht="12.75" customHeight="1" x14ac:dyDescent="0.25">
      <c r="A22" s="888"/>
      <c r="B22" s="878" t="s">
        <v>146</v>
      </c>
      <c r="C22" s="879">
        <v>854</v>
      </c>
      <c r="D22" s="880">
        <v>4142</v>
      </c>
      <c r="E22" s="881">
        <v>13</v>
      </c>
      <c r="F22" s="879">
        <v>572</v>
      </c>
      <c r="G22" s="882">
        <v>572</v>
      </c>
      <c r="H22" s="889"/>
      <c r="I22" s="889"/>
      <c r="J22" s="889"/>
      <c r="K22" s="889"/>
      <c r="L22" s="889"/>
      <c r="M22" s="889"/>
      <c r="N22" s="891"/>
      <c r="U22" s="670"/>
      <c r="V22" s="670"/>
      <c r="W22" s="670"/>
      <c r="X22" s="670"/>
      <c r="Y22" s="670"/>
      <c r="CF22" s="856" t="str">
        <f t="shared" si="0"/>
        <v>Kutkai</v>
      </c>
      <c r="CG22" s="883">
        <f>C22-Shelter_Draw[[#This Row],[V2]]-Shelter_Draw[[#This Row],[V3]]</f>
        <v>282</v>
      </c>
      <c r="CH22" s="883">
        <f t="shared" si="1"/>
        <v>572</v>
      </c>
      <c r="CI22" s="892">
        <f t="shared" si="2"/>
        <v>0</v>
      </c>
    </row>
    <row r="23" spans="1:87" s="853" customFormat="1" ht="12.75" customHeight="1" x14ac:dyDescent="0.25">
      <c r="A23" s="888"/>
      <c r="B23" s="878" t="s">
        <v>237</v>
      </c>
      <c r="C23" s="879">
        <v>1473</v>
      </c>
      <c r="D23" s="880">
        <v>7544</v>
      </c>
      <c r="E23" s="881">
        <v>24</v>
      </c>
      <c r="F23" s="879">
        <v>468</v>
      </c>
      <c r="G23" s="882">
        <v>468</v>
      </c>
      <c r="H23" s="889"/>
      <c r="I23" s="889"/>
      <c r="J23" s="889"/>
      <c r="K23" s="889"/>
      <c r="L23" s="889"/>
      <c r="M23" s="889"/>
      <c r="N23" s="891"/>
      <c r="U23" s="670"/>
      <c r="V23" s="670"/>
      <c r="W23" s="670"/>
      <c r="X23" s="670"/>
      <c r="Y23" s="670"/>
      <c r="CF23" s="856" t="str">
        <f t="shared" si="0"/>
        <v>Myitkyina</v>
      </c>
      <c r="CG23" s="883">
        <f>C23-Shelter_Draw[[#This Row],[V2]]-Shelter_Draw[[#This Row],[V3]]</f>
        <v>1005</v>
      </c>
      <c r="CH23" s="883">
        <f t="shared" si="1"/>
        <v>468</v>
      </c>
      <c r="CI23" s="892">
        <f t="shared" si="2"/>
        <v>0</v>
      </c>
    </row>
    <row r="24" spans="1:87" s="853" customFormat="1" ht="12.75" customHeight="1" x14ac:dyDescent="0.25">
      <c r="A24" s="888"/>
      <c r="B24" s="878" t="s">
        <v>526</v>
      </c>
      <c r="C24" s="879">
        <v>719</v>
      </c>
      <c r="D24" s="880">
        <v>3537</v>
      </c>
      <c r="E24" s="881">
        <v>22</v>
      </c>
      <c r="F24" s="879">
        <v>384</v>
      </c>
      <c r="G24" s="882">
        <v>384</v>
      </c>
      <c r="H24" s="889"/>
      <c r="I24" s="889"/>
      <c r="J24" s="889"/>
      <c r="K24" s="889"/>
      <c r="L24" s="889"/>
      <c r="M24" s="889"/>
      <c r="N24" s="891"/>
      <c r="U24" s="670"/>
      <c r="V24" s="670"/>
      <c r="W24" s="670"/>
      <c r="X24" s="670"/>
      <c r="Y24" s="670"/>
      <c r="CF24" s="856" t="str">
        <f t="shared" si="0"/>
        <v>Hpakant</v>
      </c>
      <c r="CG24" s="883">
        <f>C24-Shelter_Draw[[#This Row],[V2]]-Shelter_Draw[[#This Row],[V3]]</f>
        <v>335</v>
      </c>
      <c r="CH24" s="883">
        <f t="shared" si="1"/>
        <v>384</v>
      </c>
      <c r="CI24" s="892">
        <f t="shared" si="2"/>
        <v>0</v>
      </c>
    </row>
    <row r="25" spans="1:87" s="853" customFormat="1" ht="12.75" customHeight="1" x14ac:dyDescent="0.25">
      <c r="A25" s="888"/>
      <c r="B25" s="878" t="s">
        <v>5</v>
      </c>
      <c r="C25" s="879">
        <v>1297</v>
      </c>
      <c r="D25" s="880">
        <v>7446</v>
      </c>
      <c r="E25" s="881">
        <v>10</v>
      </c>
      <c r="F25" s="879">
        <v>366</v>
      </c>
      <c r="G25" s="882">
        <v>299</v>
      </c>
      <c r="H25" s="889"/>
      <c r="I25" s="889"/>
      <c r="J25" s="889"/>
      <c r="K25" s="889"/>
      <c r="L25" s="889"/>
      <c r="M25" s="889"/>
      <c r="N25" s="891"/>
      <c r="U25" s="670"/>
      <c r="V25" s="670"/>
      <c r="W25" s="670"/>
      <c r="X25" s="670"/>
      <c r="Y25" s="670"/>
      <c r="CF25" s="856" t="str">
        <f t="shared" si="0"/>
        <v>Bhamo</v>
      </c>
      <c r="CG25" s="883">
        <f>C25-Shelter_Draw[[#This Row],[V2]]-Shelter_Draw[[#This Row],[V3]]</f>
        <v>931</v>
      </c>
      <c r="CH25" s="883">
        <f t="shared" si="1"/>
        <v>299</v>
      </c>
      <c r="CI25" s="892">
        <f t="shared" si="2"/>
        <v>67</v>
      </c>
    </row>
    <row r="26" spans="1:87" s="853" customFormat="1" ht="12.75" customHeight="1" x14ac:dyDescent="0.25">
      <c r="A26" s="888"/>
      <c r="B26" s="878" t="s">
        <v>27</v>
      </c>
      <c r="C26" s="879">
        <v>498</v>
      </c>
      <c r="D26" s="880">
        <v>2556</v>
      </c>
      <c r="E26" s="881">
        <v>5</v>
      </c>
      <c r="F26" s="879">
        <v>318</v>
      </c>
      <c r="G26" s="882">
        <v>318</v>
      </c>
      <c r="H26" s="889"/>
      <c r="I26" s="889"/>
      <c r="J26" s="889"/>
      <c r="K26" s="889"/>
      <c r="L26" s="889"/>
      <c r="M26" s="889"/>
      <c r="N26" s="891"/>
      <c r="U26" s="670"/>
      <c r="V26" s="670"/>
      <c r="W26" s="670"/>
      <c r="X26" s="670"/>
      <c r="Y26" s="670"/>
      <c r="CF26" s="856" t="str">
        <f t="shared" si="0"/>
        <v>Chipwi</v>
      </c>
      <c r="CG26" s="883">
        <f>C26-Shelter_Draw[[#This Row],[V2]]-Shelter_Draw[[#This Row],[V3]]</f>
        <v>180</v>
      </c>
      <c r="CH26" s="883">
        <f t="shared" si="1"/>
        <v>318</v>
      </c>
      <c r="CI26" s="892">
        <f t="shared" si="2"/>
        <v>0</v>
      </c>
    </row>
    <row r="27" spans="1:87" s="853" customFormat="1" ht="12.75" customHeight="1" x14ac:dyDescent="0.25">
      <c r="A27" s="888"/>
      <c r="B27" s="878" t="s">
        <v>230</v>
      </c>
      <c r="C27" s="879">
        <v>286</v>
      </c>
      <c r="D27" s="880">
        <v>1323</v>
      </c>
      <c r="E27" s="881">
        <v>4</v>
      </c>
      <c r="F27" s="879">
        <v>208</v>
      </c>
      <c r="G27" s="882">
        <v>208</v>
      </c>
      <c r="H27" s="889"/>
      <c r="I27" s="889"/>
      <c r="J27" s="889"/>
      <c r="K27" s="889"/>
      <c r="L27" s="889"/>
      <c r="M27" s="889"/>
      <c r="N27" s="891"/>
      <c r="U27" s="670"/>
      <c r="V27" s="670"/>
      <c r="W27" s="670"/>
      <c r="X27" s="670"/>
      <c r="Y27" s="670"/>
      <c r="CF27" s="856" t="str">
        <f t="shared" si="0"/>
        <v>Muse</v>
      </c>
      <c r="CG27" s="883">
        <f>C27-Shelter_Draw[[#This Row],[V2]]-Shelter_Draw[[#This Row],[V3]]</f>
        <v>78</v>
      </c>
      <c r="CH27" s="883">
        <f t="shared" si="1"/>
        <v>208</v>
      </c>
      <c r="CI27" s="892">
        <f t="shared" si="2"/>
        <v>0</v>
      </c>
    </row>
    <row r="28" spans="1:87" s="853" customFormat="1" ht="12.75" customHeight="1" x14ac:dyDescent="0.25">
      <c r="A28" s="888"/>
      <c r="B28" s="878" t="s">
        <v>289</v>
      </c>
      <c r="C28" s="879">
        <v>402</v>
      </c>
      <c r="D28" s="880">
        <v>1976</v>
      </c>
      <c r="E28" s="881">
        <v>6</v>
      </c>
      <c r="F28" s="879">
        <v>190</v>
      </c>
      <c r="G28" s="882">
        <v>190</v>
      </c>
      <c r="H28" s="889"/>
      <c r="I28" s="889"/>
      <c r="J28" s="889"/>
      <c r="K28" s="889"/>
      <c r="L28" s="889"/>
      <c r="M28" s="889"/>
      <c r="N28" s="891"/>
      <c r="U28" s="670"/>
      <c r="V28" s="670"/>
      <c r="W28" s="670"/>
      <c r="X28" s="670"/>
      <c r="Y28" s="670"/>
      <c r="CF28" s="894" t="str">
        <f t="shared" si="0"/>
        <v>Namhkan</v>
      </c>
      <c r="CG28" s="895">
        <f>C28-Shelter_Draw[[#This Row],[V2]]-Shelter_Draw[[#This Row],[V3]]</f>
        <v>212</v>
      </c>
      <c r="CH28" s="895">
        <f t="shared" si="1"/>
        <v>190</v>
      </c>
      <c r="CI28" s="896">
        <f t="shared" si="2"/>
        <v>0</v>
      </c>
    </row>
    <row r="29" spans="1:87" s="853" customFormat="1" ht="12.75" customHeight="1" x14ac:dyDescent="0.25">
      <c r="A29" s="888"/>
      <c r="B29" s="878" t="s">
        <v>298</v>
      </c>
      <c r="C29" s="879">
        <v>170</v>
      </c>
      <c r="D29" s="880">
        <v>697</v>
      </c>
      <c r="E29" s="881">
        <v>5</v>
      </c>
      <c r="F29" s="879">
        <v>160</v>
      </c>
      <c r="G29" s="882">
        <v>160</v>
      </c>
      <c r="H29" s="889"/>
      <c r="I29" s="889"/>
      <c r="J29" s="889"/>
      <c r="K29" s="889"/>
      <c r="L29" s="889"/>
      <c r="M29" s="889"/>
      <c r="N29" s="891"/>
      <c r="U29" s="670"/>
      <c r="V29" s="670"/>
      <c r="W29" s="670"/>
      <c r="X29" s="670"/>
      <c r="Y29" s="670"/>
      <c r="CF29" s="856" t="str">
        <f t="shared" ref="CF29:CF34" si="3">B29</f>
        <v>Namtu</v>
      </c>
      <c r="CG29" s="883">
        <f>C29-Shelter_Draw[[#This Row],[V2]]-Shelter_Draw[[#This Row],[V3]]</f>
        <v>10</v>
      </c>
      <c r="CH29" s="883">
        <f t="shared" ref="CH29:CH34" si="4">G29</f>
        <v>160</v>
      </c>
      <c r="CI29" s="892">
        <f t="shared" ref="CI29:CI34" si="5">F29-G29</f>
        <v>0</v>
      </c>
    </row>
    <row r="30" spans="1:87" s="853" customFormat="1" ht="12.75" customHeight="1" x14ac:dyDescent="0.25">
      <c r="A30" s="888"/>
      <c r="B30" s="878" t="s">
        <v>807</v>
      </c>
      <c r="C30" s="879">
        <v>141</v>
      </c>
      <c r="D30" s="880">
        <v>759</v>
      </c>
      <c r="E30" s="881">
        <v>3</v>
      </c>
      <c r="F30" s="879">
        <v>141</v>
      </c>
      <c r="G30" s="882">
        <v>141</v>
      </c>
      <c r="H30" s="889"/>
      <c r="I30" s="889"/>
      <c r="J30" s="889"/>
      <c r="K30" s="889"/>
      <c r="L30" s="889"/>
      <c r="M30" s="889"/>
      <c r="N30" s="891"/>
      <c r="U30" s="670"/>
      <c r="V30" s="670"/>
      <c r="W30" s="670"/>
      <c r="X30" s="670"/>
      <c r="Y30" s="670"/>
      <c r="CF30" s="856" t="str">
        <f t="shared" si="3"/>
        <v>Sumprabum</v>
      </c>
      <c r="CG30" s="883">
        <f>C30-Shelter_Draw[[#This Row],[V2]]-Shelter_Draw[[#This Row],[V3]]</f>
        <v>0</v>
      </c>
      <c r="CH30" s="883">
        <f t="shared" si="4"/>
        <v>141</v>
      </c>
      <c r="CI30" s="892">
        <f t="shared" si="5"/>
        <v>0</v>
      </c>
    </row>
    <row r="31" spans="1:87" s="853" customFormat="1" ht="12.75" customHeight="1" x14ac:dyDescent="0.25">
      <c r="A31" s="888"/>
      <c r="B31" s="878" t="s">
        <v>302</v>
      </c>
      <c r="C31" s="879">
        <v>129</v>
      </c>
      <c r="D31" s="880">
        <v>473</v>
      </c>
      <c r="E31" s="881">
        <v>2</v>
      </c>
      <c r="F31" s="879">
        <v>44</v>
      </c>
      <c r="G31" s="882">
        <v>44</v>
      </c>
      <c r="H31" s="889"/>
      <c r="I31" s="889"/>
      <c r="J31" s="889"/>
      <c r="K31" s="889"/>
      <c r="L31" s="889"/>
      <c r="M31" s="889"/>
      <c r="N31" s="891"/>
      <c r="U31" s="670"/>
      <c r="V31" s="670"/>
      <c r="W31" s="670"/>
      <c r="X31" s="670"/>
      <c r="Y31" s="670"/>
      <c r="CF31" s="856" t="str">
        <f t="shared" si="3"/>
        <v>Shwegu</v>
      </c>
      <c r="CG31" s="883">
        <f>C31-Shelter_Draw[[#This Row],[V2]]-Shelter_Draw[[#This Row],[V3]]</f>
        <v>85</v>
      </c>
      <c r="CH31" s="883">
        <f t="shared" si="4"/>
        <v>44</v>
      </c>
      <c r="CI31" s="892">
        <f t="shared" si="5"/>
        <v>0</v>
      </c>
    </row>
    <row r="32" spans="1:87" s="853" customFormat="1" ht="12.75" customHeight="1" x14ac:dyDescent="0.25">
      <c r="A32" s="888"/>
      <c r="B32" s="878" t="s">
        <v>1481</v>
      </c>
      <c r="C32" s="879">
        <v>37</v>
      </c>
      <c r="D32" s="880">
        <v>120</v>
      </c>
      <c r="E32" s="881">
        <v>1</v>
      </c>
      <c r="F32" s="879">
        <v>37</v>
      </c>
      <c r="G32" s="882">
        <v>37</v>
      </c>
      <c r="H32" s="889"/>
      <c r="I32" s="889"/>
      <c r="J32" s="889"/>
      <c r="K32" s="889"/>
      <c r="L32" s="889"/>
      <c r="M32" s="889"/>
      <c r="N32" s="891"/>
      <c r="U32" s="670"/>
      <c r="V32" s="670"/>
      <c r="W32" s="670"/>
      <c r="X32" s="670"/>
      <c r="Y32" s="670"/>
      <c r="CF32" s="856" t="str">
        <f t="shared" si="3"/>
        <v>Hsipaw</v>
      </c>
      <c r="CG32" s="883">
        <f>C32-Shelter_Draw[[#This Row],[V2]]-Shelter_Draw[[#This Row],[V3]]</f>
        <v>0</v>
      </c>
      <c r="CH32" s="883">
        <f t="shared" si="4"/>
        <v>37</v>
      </c>
      <c r="CI32" s="892">
        <f t="shared" si="5"/>
        <v>0</v>
      </c>
    </row>
    <row r="33" spans="1:87" s="853" customFormat="1" ht="12.75" customHeight="1" x14ac:dyDescent="0.25">
      <c r="A33" s="888"/>
      <c r="B33" s="878" t="s">
        <v>166</v>
      </c>
      <c r="C33" s="879">
        <v>100</v>
      </c>
      <c r="D33" s="880">
        <v>544</v>
      </c>
      <c r="E33" s="881">
        <v>3</v>
      </c>
      <c r="F33" s="879">
        <v>36</v>
      </c>
      <c r="G33" s="882">
        <v>36</v>
      </c>
      <c r="H33" s="889"/>
      <c r="I33" s="889"/>
      <c r="J33" s="889"/>
      <c r="K33" s="889"/>
      <c r="L33" s="889"/>
      <c r="M33" s="889"/>
      <c r="N33" s="891"/>
      <c r="U33" s="670"/>
      <c r="V33" s="670"/>
      <c r="W33" s="670"/>
      <c r="X33" s="670"/>
      <c r="Y33" s="670"/>
      <c r="CF33" s="856" t="str">
        <f t="shared" si="3"/>
        <v>Manton</v>
      </c>
      <c r="CG33" s="883">
        <f>C33-Shelter_Draw[[#This Row],[V2]]-Shelter_Draw[[#This Row],[V3]]</f>
        <v>64</v>
      </c>
      <c r="CH33" s="883">
        <f t="shared" si="4"/>
        <v>36</v>
      </c>
      <c r="CI33" s="892">
        <f t="shared" si="5"/>
        <v>0</v>
      </c>
    </row>
    <row r="34" spans="1:87" s="853" customFormat="1" ht="12.75" customHeight="1" x14ac:dyDescent="0.25">
      <c r="A34" s="888"/>
      <c r="B34" s="878" t="s">
        <v>173</v>
      </c>
      <c r="C34" s="879">
        <v>75</v>
      </c>
      <c r="D34" s="880">
        <v>350</v>
      </c>
      <c r="E34" s="881">
        <v>5</v>
      </c>
      <c r="F34" s="879">
        <v>12</v>
      </c>
      <c r="G34" s="882">
        <v>12</v>
      </c>
      <c r="H34" s="889"/>
      <c r="I34" s="889"/>
      <c r="J34" s="889"/>
      <c r="K34" s="889"/>
      <c r="L34" s="889"/>
      <c r="M34" s="889"/>
      <c r="N34" s="891"/>
      <c r="U34" s="670"/>
      <c r="V34" s="670"/>
      <c r="W34" s="670"/>
      <c r="X34" s="670"/>
      <c r="Y34" s="670"/>
      <c r="CF34" s="894" t="str">
        <f t="shared" si="3"/>
        <v>Mogaung</v>
      </c>
      <c r="CG34" s="895">
        <f>C34-Shelter_Draw[[#This Row],[V2]]-Shelter_Draw[[#This Row],[V3]]</f>
        <v>63</v>
      </c>
      <c r="CH34" s="895">
        <f t="shared" si="4"/>
        <v>12</v>
      </c>
      <c r="CI34" s="896">
        <f t="shared" si="5"/>
        <v>0</v>
      </c>
    </row>
    <row r="35" spans="1:87" s="853" customFormat="1" ht="12.75" customHeight="1" x14ac:dyDescent="0.25">
      <c r="A35" s="888"/>
      <c r="B35" s="878" t="s">
        <v>300</v>
      </c>
      <c r="C35" s="879">
        <v>61</v>
      </c>
      <c r="D35" s="880">
        <v>276</v>
      </c>
      <c r="E35" s="881">
        <v>1</v>
      </c>
      <c r="F35" s="879">
        <v>1</v>
      </c>
      <c r="G35" s="882">
        <v>1</v>
      </c>
      <c r="H35" s="889"/>
      <c r="I35" s="889"/>
      <c r="J35" s="889"/>
      <c r="K35" s="889"/>
      <c r="L35" s="889"/>
      <c r="M35" s="889"/>
      <c r="N35" s="891"/>
      <c r="U35" s="670"/>
      <c r="V35" s="670"/>
      <c r="W35" s="670"/>
      <c r="X35" s="670"/>
      <c r="Y35" s="670"/>
    </row>
    <row r="36" spans="1:87" s="853" customFormat="1" ht="12.75" customHeight="1" x14ac:dyDescent="0.25">
      <c r="A36" s="888"/>
      <c r="B36" s="878" t="s">
        <v>778</v>
      </c>
      <c r="C36" s="879">
        <v>34</v>
      </c>
      <c r="D36" s="880">
        <v>185</v>
      </c>
      <c r="E36" s="881">
        <v>1</v>
      </c>
      <c r="F36" s="879">
        <v>0</v>
      </c>
      <c r="G36" s="882">
        <v>0</v>
      </c>
      <c r="H36" s="889"/>
      <c r="I36" s="889"/>
      <c r="J36" s="889"/>
      <c r="K36" s="889"/>
      <c r="L36" s="889"/>
      <c r="M36" s="889"/>
      <c r="N36" s="891"/>
      <c r="U36" s="670"/>
      <c r="V36" s="670"/>
      <c r="W36" s="670"/>
      <c r="X36" s="670"/>
      <c r="Y36" s="670"/>
    </row>
    <row r="37" spans="1:87" s="853" customFormat="1" ht="12.75" customHeight="1" x14ac:dyDescent="0.25">
      <c r="A37" s="888"/>
      <c r="B37" s="878" t="s">
        <v>180</v>
      </c>
      <c r="C37" s="879">
        <v>30</v>
      </c>
      <c r="D37" s="880">
        <v>160</v>
      </c>
      <c r="E37" s="881">
        <v>2</v>
      </c>
      <c r="F37" s="879">
        <v>0</v>
      </c>
      <c r="G37" s="882">
        <v>0</v>
      </c>
      <c r="H37" s="889"/>
      <c r="I37" s="889"/>
      <c r="J37" s="889"/>
      <c r="K37" s="889"/>
      <c r="L37" s="889"/>
      <c r="M37" s="889"/>
      <c r="N37" s="891"/>
      <c r="U37" s="670"/>
      <c r="V37" s="670"/>
      <c r="W37" s="670"/>
      <c r="X37" s="670"/>
      <c r="Y37" s="670"/>
    </row>
    <row r="38" spans="1:87" ht="16.5" customHeight="1" thickBot="1" x14ac:dyDescent="0.3">
      <c r="A38" s="862"/>
      <c r="B38" s="873" t="s">
        <v>3</v>
      </c>
      <c r="C38" s="874">
        <v>17957</v>
      </c>
      <c r="D38" s="875">
        <v>90202</v>
      </c>
      <c r="E38" s="876">
        <v>150</v>
      </c>
      <c r="F38" s="874">
        <v>7003</v>
      </c>
      <c r="G38" s="877">
        <v>6936</v>
      </c>
      <c r="H38" s="518"/>
      <c r="I38" s="518"/>
      <c r="J38" s="518"/>
      <c r="K38" s="518"/>
      <c r="L38" s="518"/>
      <c r="M38" s="518"/>
      <c r="N38" s="863"/>
    </row>
    <row r="39" spans="1:87" x14ac:dyDescent="0.25">
      <c r="A39" s="862"/>
      <c r="B39" s="381"/>
      <c r="C39" s="381"/>
      <c r="D39" s="381"/>
      <c r="E39" s="381"/>
      <c r="F39" s="381"/>
      <c r="G39" s="381"/>
      <c r="H39" s="518"/>
      <c r="I39" s="518"/>
      <c r="J39" s="518"/>
      <c r="K39" s="518"/>
      <c r="L39" s="518"/>
      <c r="M39" s="518"/>
      <c r="N39" s="863"/>
    </row>
    <row r="40" spans="1:87" ht="51" customHeight="1" x14ac:dyDescent="0.25">
      <c r="A40" s="862"/>
      <c r="B40" s="518"/>
      <c r="C40" s="518"/>
      <c r="D40" s="518"/>
      <c r="E40" s="518"/>
      <c r="F40" s="518"/>
      <c r="G40" s="518"/>
      <c r="H40" s="518"/>
      <c r="I40" s="518"/>
      <c r="J40" s="518"/>
      <c r="K40" s="518"/>
      <c r="L40" s="518"/>
      <c r="M40" s="518"/>
      <c r="N40" s="863"/>
    </row>
    <row r="41" spans="1:87" x14ac:dyDescent="0.25">
      <c r="A41" s="866"/>
      <c r="B41" s="381"/>
      <c r="C41" s="381"/>
      <c r="D41" s="381"/>
      <c r="E41" s="381"/>
      <c r="F41" s="381"/>
      <c r="G41" s="381"/>
      <c r="H41" s="381"/>
      <c r="I41" s="381"/>
      <c r="J41" s="381"/>
      <c r="K41" s="381"/>
      <c r="L41" s="381"/>
      <c r="M41" s="381"/>
      <c r="N41" s="887"/>
    </row>
    <row r="42" spans="1:87" x14ac:dyDescent="0.25">
      <c r="A42" s="866"/>
      <c r="B42" s="381"/>
      <c r="C42" s="381"/>
      <c r="D42" s="381"/>
      <c r="E42" s="381"/>
      <c r="F42" s="381"/>
      <c r="G42" s="381"/>
      <c r="H42" s="381"/>
      <c r="I42" s="381"/>
      <c r="J42" s="381"/>
      <c r="K42" s="381"/>
      <c r="L42" s="381"/>
      <c r="M42" s="381"/>
      <c r="N42" s="887"/>
    </row>
    <row r="43" spans="1:87" x14ac:dyDescent="0.25">
      <c r="A43" s="866"/>
      <c r="B43" s="381"/>
      <c r="C43" s="381"/>
      <c r="D43" s="381"/>
      <c r="E43" s="381"/>
      <c r="F43" s="381"/>
      <c r="G43" s="381"/>
      <c r="H43" s="381"/>
      <c r="I43" s="381"/>
      <c r="J43" s="381"/>
      <c r="K43" s="381"/>
      <c r="L43" s="381"/>
      <c r="M43" s="381"/>
      <c r="N43" s="887"/>
    </row>
    <row r="44" spans="1:87" ht="14.25" customHeight="1" x14ac:dyDescent="0.25">
      <c r="A44" s="866"/>
      <c r="B44" s="381"/>
      <c r="C44" s="381"/>
      <c r="D44" s="381"/>
      <c r="E44" s="381"/>
      <c r="F44" s="381"/>
      <c r="G44" s="381"/>
      <c r="H44" s="381"/>
      <c r="I44" s="381"/>
      <c r="J44" s="381"/>
      <c r="K44" s="381"/>
      <c r="L44" s="381"/>
      <c r="M44" s="381"/>
      <c r="N44" s="887"/>
    </row>
    <row r="45" spans="1:87" ht="6.75" customHeight="1" x14ac:dyDescent="0.25">
      <c r="A45" s="866"/>
      <c r="B45" s="381"/>
      <c r="C45" s="381"/>
      <c r="D45" s="381"/>
      <c r="E45" s="381"/>
      <c r="F45" s="381"/>
      <c r="G45" s="381"/>
      <c r="H45" s="381"/>
      <c r="I45" s="381"/>
      <c r="J45" s="381"/>
      <c r="K45" s="381"/>
      <c r="L45" s="381"/>
      <c r="M45" s="381"/>
      <c r="N45" s="887"/>
    </row>
    <row r="46" spans="1:87" ht="30.75" customHeight="1" thickBot="1" x14ac:dyDescent="0.3">
      <c r="A46" s="897"/>
      <c r="B46" s="898"/>
      <c r="C46" s="898"/>
      <c r="D46" s="898"/>
      <c r="E46" s="898"/>
      <c r="F46" s="898"/>
      <c r="G46" s="898"/>
      <c r="H46" s="898"/>
      <c r="I46" s="898"/>
      <c r="J46" s="898"/>
      <c r="K46" s="898"/>
      <c r="L46" s="898"/>
      <c r="M46" s="898"/>
      <c r="N46" s="899"/>
    </row>
  </sheetData>
  <dataConsolidate/>
  <mergeCells count="2">
    <mergeCell ref="B4:I4"/>
    <mergeCell ref="B3:J3"/>
  </mergeCells>
  <printOptions horizontalCentered="1" verticalCentered="1"/>
  <pageMargins left="0" right="0" top="0" bottom="0" header="0" footer="0"/>
  <pageSetup paperSize="9" orientation="landscape" horizontalDpi="1200" verticalDpi="1200" r:id="rId2"/>
  <rowBreaks count="1" manualBreakCount="1">
    <brk id="50" max="16383" man="1"/>
  </rowBreaks>
  <drawing r:id="rId3"/>
  <legacyDrawing r:id="rId4"/>
  <controls>
    <mc:AlternateContent xmlns:mc="http://schemas.openxmlformats.org/markup-compatibility/2006">
      <mc:Choice Requires="x14">
        <control shapeId="9217" r:id="rId5" name="CommandButton1">
          <controlPr defaultSize="0" autoLine="0" r:id="rId6">
            <anchor moveWithCells="1">
              <from>
                <xdr:col>24</xdr:col>
                <xdr:colOff>0</xdr:colOff>
                <xdr:row>29</xdr:row>
                <xdr:rowOff>66675</xdr:rowOff>
              </from>
              <to>
                <xdr:col>25</xdr:col>
                <xdr:colOff>523875</xdr:colOff>
                <xdr:row>31</xdr:row>
                <xdr:rowOff>38100</xdr:rowOff>
              </to>
            </anchor>
          </controlPr>
        </control>
      </mc:Choice>
      <mc:Fallback>
        <control shapeId="9217" r:id="rId5" name="CommandButton1"/>
      </mc:Fallback>
    </mc:AlternateContent>
  </controls>
  <tableParts count="1">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BP402"/>
  <sheetViews>
    <sheetView showZeros="0" zoomScale="80" zoomScaleNormal="80" workbookViewId="0">
      <selection activeCell="F13" sqref="F13"/>
    </sheetView>
  </sheetViews>
  <sheetFormatPr defaultColWidth="5" defaultRowHeight="51.75" customHeight="1" x14ac:dyDescent="0.25"/>
  <cols>
    <col min="1" max="1" width="10.85546875" customWidth="1"/>
    <col min="2" max="2" width="8.85546875" customWidth="1"/>
    <col min="3" max="3" width="9.140625" customWidth="1"/>
    <col min="4" max="4" width="8.28515625" customWidth="1"/>
    <col min="5" max="5" width="10.140625" customWidth="1"/>
    <col min="6" max="6" width="6.140625" style="35" customWidth="1"/>
    <col min="7" max="7" width="6.140625" style="1" customWidth="1"/>
    <col min="8" max="8" width="6.140625" style="36" customWidth="1"/>
    <col min="9" max="9" width="6.140625" style="35" customWidth="1"/>
    <col min="10" max="10" width="6.140625" style="1" customWidth="1"/>
    <col min="11" max="11" width="6.140625" style="36" customWidth="1"/>
    <col min="12" max="12" width="6.140625" style="35" customWidth="1"/>
    <col min="13" max="13" width="6.140625" style="1" customWidth="1"/>
    <col min="14" max="14" width="6.140625" style="36" customWidth="1"/>
    <col min="15" max="15" width="9.7109375" style="35" customWidth="1"/>
    <col min="16" max="16" width="9.140625" style="1" customWidth="1"/>
    <col min="17" max="17" width="6.5703125" style="1" customWidth="1"/>
    <col min="18" max="18" width="8.85546875" style="35" customWidth="1"/>
    <col min="19" max="19" width="9.7109375" style="1" customWidth="1"/>
    <col min="20" max="20" width="6.140625" style="36" bestFit="1" customWidth="1"/>
    <col min="21" max="21" width="8.85546875" customWidth="1"/>
    <col min="22" max="22" width="9.140625" style="26" customWidth="1"/>
    <col min="23" max="23" width="6.140625" style="26" bestFit="1" customWidth="1"/>
    <col min="24" max="24" width="8.85546875" style="35" customWidth="1"/>
    <col min="25" max="25" width="10" style="1" customWidth="1"/>
    <col min="26" max="26" width="6.140625" style="36" bestFit="1" customWidth="1"/>
    <col min="27" max="27" width="9" style="35" customWidth="1"/>
    <col min="28" max="28" width="9.28515625" style="1" customWidth="1"/>
    <col min="29" max="29" width="6.140625" style="36" bestFit="1" customWidth="1"/>
    <col min="30" max="30" width="8.7109375" style="35" customWidth="1"/>
    <col min="31" max="31" width="9.42578125" style="1" customWidth="1"/>
    <col min="32" max="32" width="6.140625" style="36" bestFit="1" customWidth="1"/>
    <col min="33" max="33" width="8.85546875" style="35" customWidth="1"/>
    <col min="34" max="34" width="9.28515625" style="1" customWidth="1"/>
    <col min="35" max="35" width="6.7109375" style="36" customWidth="1"/>
    <col min="36" max="38" width="6.7109375" style="298" customWidth="1"/>
    <col min="39" max="39" width="8.85546875" style="35" customWidth="1"/>
    <col min="40" max="40" width="9.42578125" style="1" customWidth="1"/>
    <col min="41" max="41" width="7.5703125" style="36" customWidth="1"/>
    <col min="42" max="42" width="8.85546875" style="35" customWidth="1"/>
    <col min="43" max="43" width="9.5703125" style="1" customWidth="1"/>
    <col min="44" max="44" width="8.85546875" style="36" customWidth="1"/>
    <col min="45" max="45" width="8.85546875" style="35" customWidth="1"/>
    <col min="46" max="46" width="9.7109375" style="1" customWidth="1"/>
    <col min="47" max="47" width="8.85546875" style="36" customWidth="1"/>
    <col min="48" max="48" width="8.85546875" style="35" customWidth="1"/>
    <col min="49" max="49" width="9.28515625" style="1" customWidth="1"/>
    <col min="50" max="50" width="8.85546875" style="36" customWidth="1"/>
  </cols>
  <sheetData>
    <row r="1" spans="1:68" s="1" customFormat="1" ht="36" x14ac:dyDescent="0.25">
      <c r="A1" s="208"/>
      <c r="B1" s="209"/>
      <c r="C1" s="209"/>
      <c r="D1" s="209"/>
      <c r="E1" s="209"/>
      <c r="F1" s="209"/>
      <c r="G1" s="209"/>
      <c r="H1" s="209"/>
      <c r="I1" s="214"/>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15"/>
      <c r="AV1" s="178"/>
      <c r="AW1" s="178"/>
      <c r="AX1" s="179"/>
      <c r="BO1" s="44"/>
      <c r="BP1" s="44"/>
    </row>
    <row r="2" spans="1:68" s="1" customFormat="1" ht="66" customHeight="1" x14ac:dyDescent="0.25">
      <c r="A2" s="267" t="s">
        <v>508</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61"/>
      <c r="AW2" s="161"/>
      <c r="AX2" s="180"/>
      <c r="BO2" s="44"/>
      <c r="BP2" s="44"/>
    </row>
    <row r="3" spans="1:68" s="15" customFormat="1" ht="18" customHeight="1" thickBot="1" x14ac:dyDescent="0.3">
      <c r="A3" s="963">
        <f>Definition!B23</f>
        <v>42856</v>
      </c>
      <c r="B3" s="964"/>
      <c r="C3" s="964"/>
      <c r="D3" s="252"/>
      <c r="E3" s="252"/>
      <c r="F3" s="252"/>
      <c r="G3" s="252"/>
      <c r="H3" s="252"/>
      <c r="I3" s="252"/>
      <c r="J3" s="252"/>
      <c r="K3" s="182"/>
      <c r="L3" s="252"/>
      <c r="M3" s="252"/>
      <c r="N3" s="252"/>
      <c r="O3" s="252"/>
      <c r="P3" s="252"/>
      <c r="Q3" s="252"/>
      <c r="R3" s="252"/>
      <c r="S3" s="268"/>
      <c r="T3" s="252"/>
      <c r="U3" s="25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3"/>
      <c r="BO3" s="45"/>
      <c r="BP3" s="45"/>
    </row>
    <row r="4" spans="1:68" s="37" customFormat="1" ht="16.5" hidden="1" customHeight="1" thickBot="1" x14ac:dyDescent="0.3">
      <c r="AA4" s="62"/>
      <c r="AB4" s="62"/>
      <c r="AC4" s="62"/>
      <c r="AD4" s="62"/>
      <c r="AE4" s="62"/>
      <c r="AF4" s="62"/>
      <c r="AJ4" s="297"/>
      <c r="AK4" s="297"/>
      <c r="AL4" s="297"/>
      <c r="AM4" s="89"/>
      <c r="AN4" s="89"/>
      <c r="AO4" s="89"/>
      <c r="AP4" s="89"/>
      <c r="AQ4" s="89"/>
      <c r="AR4" s="89"/>
      <c r="AS4" s="89"/>
      <c r="AT4" s="89"/>
      <c r="AU4" s="89"/>
      <c r="AV4" s="89"/>
      <c r="AW4" s="89"/>
      <c r="AX4" s="89"/>
    </row>
    <row r="5" spans="1:68" s="31" customFormat="1" ht="47.25" customHeight="1" thickBot="1" x14ac:dyDescent="0.3">
      <c r="A5" s="986" t="s">
        <v>409</v>
      </c>
      <c r="B5" s="976" t="s">
        <v>402</v>
      </c>
      <c r="C5" s="976" t="s">
        <v>413</v>
      </c>
      <c r="D5" s="984" t="s">
        <v>395</v>
      </c>
      <c r="E5" s="976" t="s">
        <v>0</v>
      </c>
      <c r="F5" s="993" t="s">
        <v>403</v>
      </c>
      <c r="G5" s="993"/>
      <c r="H5" s="993"/>
      <c r="I5" s="994" t="s">
        <v>404</v>
      </c>
      <c r="J5" s="994"/>
      <c r="K5" s="994"/>
      <c r="L5" s="992" t="s">
        <v>405</v>
      </c>
      <c r="M5" s="992"/>
      <c r="N5" s="992"/>
      <c r="O5" s="991" t="s">
        <v>406</v>
      </c>
      <c r="P5" s="991"/>
      <c r="Q5" s="991"/>
      <c r="R5" s="988" t="s">
        <v>407</v>
      </c>
      <c r="S5" s="989"/>
      <c r="T5" s="990"/>
      <c r="U5" s="981" t="s">
        <v>434</v>
      </c>
      <c r="V5" s="982"/>
      <c r="W5" s="983"/>
      <c r="X5" s="978" t="s">
        <v>435</v>
      </c>
      <c r="Y5" s="979"/>
      <c r="Z5" s="980"/>
      <c r="AA5" s="970" t="s">
        <v>1212</v>
      </c>
      <c r="AB5" s="971"/>
      <c r="AC5" s="972"/>
      <c r="AD5" s="973" t="s">
        <v>576</v>
      </c>
      <c r="AE5" s="974"/>
      <c r="AF5" s="975"/>
      <c r="AG5" s="967" t="s">
        <v>577</v>
      </c>
      <c r="AH5" s="968"/>
      <c r="AI5" s="969"/>
      <c r="AJ5" s="967" t="s">
        <v>1339</v>
      </c>
      <c r="AK5" s="968"/>
      <c r="AL5" s="969"/>
      <c r="AM5" s="970" t="s">
        <v>986</v>
      </c>
      <c r="AN5" s="971"/>
      <c r="AO5" s="972"/>
      <c r="AP5" s="973" t="s">
        <v>990</v>
      </c>
      <c r="AQ5" s="974"/>
      <c r="AR5" s="975"/>
      <c r="AS5" s="967" t="s">
        <v>994</v>
      </c>
      <c r="AT5" s="968"/>
      <c r="AU5" s="969"/>
      <c r="AV5" s="967" t="s">
        <v>1106</v>
      </c>
      <c r="AW5" s="968"/>
      <c r="AX5" s="969"/>
    </row>
    <row r="6" spans="1:68" s="31" customFormat="1" ht="75.75" customHeight="1" thickBot="1" x14ac:dyDescent="0.3">
      <c r="A6" s="987"/>
      <c r="B6" s="977"/>
      <c r="C6" s="977"/>
      <c r="D6" s="985"/>
      <c r="E6" s="977"/>
      <c r="F6" s="401" t="s">
        <v>408</v>
      </c>
      <c r="G6" s="401" t="s">
        <v>410</v>
      </c>
      <c r="H6" s="401" t="s">
        <v>411</v>
      </c>
      <c r="I6" s="401" t="s">
        <v>408</v>
      </c>
      <c r="J6" s="401" t="s">
        <v>410</v>
      </c>
      <c r="K6" s="401" t="s">
        <v>411</v>
      </c>
      <c r="L6" s="401" t="s">
        <v>408</v>
      </c>
      <c r="M6" s="401" t="s">
        <v>410</v>
      </c>
      <c r="N6" s="401" t="s">
        <v>411</v>
      </c>
      <c r="O6" s="270" t="s">
        <v>408</v>
      </c>
      <c r="P6" s="270" t="s">
        <v>410</v>
      </c>
      <c r="Q6" s="270" t="s">
        <v>411</v>
      </c>
      <c r="R6" s="269" t="s">
        <v>408</v>
      </c>
      <c r="S6" s="270" t="s">
        <v>410</v>
      </c>
      <c r="T6" s="272" t="s">
        <v>411</v>
      </c>
      <c r="U6" s="271" t="s">
        <v>408</v>
      </c>
      <c r="V6" s="270" t="s">
        <v>410</v>
      </c>
      <c r="W6" s="271" t="s">
        <v>411</v>
      </c>
      <c r="X6" s="269" t="s">
        <v>408</v>
      </c>
      <c r="Y6" s="270" t="s">
        <v>410</v>
      </c>
      <c r="Z6" s="272" t="s">
        <v>411</v>
      </c>
      <c r="AA6" s="269" t="s">
        <v>408</v>
      </c>
      <c r="AB6" s="270" t="s">
        <v>410</v>
      </c>
      <c r="AC6" s="272" t="s">
        <v>411</v>
      </c>
      <c r="AD6" s="269" t="s">
        <v>408</v>
      </c>
      <c r="AE6" s="270" t="s">
        <v>410</v>
      </c>
      <c r="AF6" s="272" t="s">
        <v>411</v>
      </c>
      <c r="AG6" s="269" t="s">
        <v>408</v>
      </c>
      <c r="AH6" s="270" t="s">
        <v>410</v>
      </c>
      <c r="AI6" s="272" t="s">
        <v>411</v>
      </c>
      <c r="AJ6" s="269" t="s">
        <v>408</v>
      </c>
      <c r="AK6" s="270" t="s">
        <v>410</v>
      </c>
      <c r="AL6" s="272" t="s">
        <v>411</v>
      </c>
      <c r="AM6" s="269" t="s">
        <v>408</v>
      </c>
      <c r="AN6" s="270" t="s">
        <v>410</v>
      </c>
      <c r="AO6" s="272" t="s">
        <v>411</v>
      </c>
      <c r="AP6" s="269" t="s">
        <v>408</v>
      </c>
      <c r="AQ6" s="270" t="s">
        <v>410</v>
      </c>
      <c r="AR6" s="272" t="s">
        <v>411</v>
      </c>
      <c r="AS6" s="269" t="s">
        <v>408</v>
      </c>
      <c r="AT6" s="270" t="s">
        <v>410</v>
      </c>
      <c r="AU6" s="272" t="s">
        <v>411</v>
      </c>
      <c r="AV6" s="269" t="s">
        <v>408</v>
      </c>
      <c r="AW6" s="270" t="s">
        <v>410</v>
      </c>
      <c r="AX6" s="272" t="s">
        <v>411</v>
      </c>
    </row>
    <row r="7" spans="1:68" s="4" customFormat="1" ht="23.25" customHeight="1" x14ac:dyDescent="0.25">
      <c r="A7" s="366">
        <v>42919</v>
      </c>
      <c r="B7" s="4" t="s">
        <v>451</v>
      </c>
      <c r="C7" s="4" t="s">
        <v>459</v>
      </c>
      <c r="D7" s="4" t="s">
        <v>380</v>
      </c>
      <c r="E7" s="4" t="s">
        <v>237</v>
      </c>
      <c r="F7" s="364"/>
      <c r="G7" s="304"/>
      <c r="H7" s="365"/>
      <c r="I7" s="364">
        <v>7</v>
      </c>
      <c r="J7" s="304"/>
      <c r="K7" s="365"/>
      <c r="L7" s="364"/>
      <c r="M7" s="304"/>
      <c r="N7" s="365"/>
      <c r="O7" s="364">
        <v>200</v>
      </c>
      <c r="P7" s="304"/>
      <c r="Q7" s="304"/>
      <c r="R7" s="364">
        <v>1</v>
      </c>
      <c r="S7" s="304"/>
      <c r="T7" s="365"/>
      <c r="U7" s="4">
        <v>15</v>
      </c>
      <c r="X7" s="364">
        <v>107</v>
      </c>
      <c r="Y7" s="304"/>
      <c r="Z7" s="365"/>
      <c r="AA7" s="364"/>
      <c r="AB7" s="304"/>
      <c r="AC7" s="365"/>
      <c r="AD7" s="364">
        <v>16</v>
      </c>
      <c r="AE7" s="304"/>
      <c r="AF7" s="365"/>
      <c r="AG7" s="364">
        <v>32</v>
      </c>
      <c r="AH7" s="304"/>
      <c r="AI7" s="365"/>
      <c r="AJ7" s="364"/>
      <c r="AK7" s="304"/>
      <c r="AL7" s="365"/>
      <c r="AM7" s="364"/>
      <c r="AN7" s="304"/>
      <c r="AO7" s="365"/>
      <c r="AP7" s="364"/>
      <c r="AQ7" s="304"/>
      <c r="AR7" s="365"/>
      <c r="AS7" s="364"/>
      <c r="AT7" s="304"/>
      <c r="AU7" s="365"/>
      <c r="AV7" s="364"/>
      <c r="AW7" s="304"/>
      <c r="AX7" s="365"/>
    </row>
    <row r="8" spans="1:68" s="4" customFormat="1" ht="23.25" customHeight="1" x14ac:dyDescent="0.25">
      <c r="A8" s="366">
        <v>42919</v>
      </c>
      <c r="B8" s="4" t="s">
        <v>451</v>
      </c>
      <c r="C8" s="4" t="s">
        <v>459</v>
      </c>
      <c r="D8" s="4" t="s">
        <v>1336</v>
      </c>
      <c r="E8" s="4" t="s">
        <v>230</v>
      </c>
      <c r="F8" s="364"/>
      <c r="G8" s="304"/>
      <c r="H8" s="365"/>
      <c r="I8" s="364">
        <v>156</v>
      </c>
      <c r="J8" s="304"/>
      <c r="K8" s="365"/>
      <c r="L8" s="364"/>
      <c r="M8" s="304"/>
      <c r="N8" s="365"/>
      <c r="O8" s="364">
        <v>584</v>
      </c>
      <c r="P8" s="304"/>
      <c r="Q8" s="304"/>
      <c r="R8" s="364">
        <v>57</v>
      </c>
      <c r="S8" s="304"/>
      <c r="T8" s="365"/>
      <c r="U8" s="4">
        <v>674</v>
      </c>
      <c r="X8" s="364">
        <v>32</v>
      </c>
      <c r="Y8" s="304"/>
      <c r="Z8" s="365"/>
      <c r="AA8" s="364"/>
      <c r="AB8" s="304"/>
      <c r="AC8" s="365"/>
      <c r="AD8" s="364">
        <v>247</v>
      </c>
      <c r="AE8" s="304"/>
      <c r="AF8" s="365"/>
      <c r="AG8" s="364">
        <v>777</v>
      </c>
      <c r="AH8" s="304"/>
      <c r="AI8" s="365"/>
      <c r="AJ8" s="364">
        <v>33</v>
      </c>
      <c r="AK8" s="304"/>
      <c r="AL8" s="365"/>
      <c r="AM8" s="364"/>
      <c r="AN8" s="304"/>
      <c r="AO8" s="365"/>
      <c r="AP8" s="364">
        <v>465</v>
      </c>
      <c r="AQ8" s="304"/>
      <c r="AR8" s="365"/>
      <c r="AS8" s="364"/>
      <c r="AT8" s="304"/>
      <c r="AU8" s="365"/>
      <c r="AV8" s="364"/>
      <c r="AW8" s="304"/>
      <c r="AX8" s="365"/>
    </row>
    <row r="9" spans="1:68" s="4" customFormat="1" ht="23.25" customHeight="1" x14ac:dyDescent="0.25">
      <c r="A9" s="366">
        <v>42919</v>
      </c>
      <c r="B9" s="4" t="s">
        <v>451</v>
      </c>
      <c r="C9" s="4" t="s">
        <v>459</v>
      </c>
      <c r="D9" s="4" t="s">
        <v>1337</v>
      </c>
      <c r="E9" s="4" t="s">
        <v>1338</v>
      </c>
      <c r="F9" s="364"/>
      <c r="G9" s="304"/>
      <c r="H9" s="365"/>
      <c r="I9" s="364">
        <v>20</v>
      </c>
      <c r="J9" s="304"/>
      <c r="K9" s="365"/>
      <c r="L9" s="364"/>
      <c r="M9" s="304"/>
      <c r="N9" s="365"/>
      <c r="O9" s="364">
        <v>32</v>
      </c>
      <c r="P9" s="304"/>
      <c r="Q9" s="304"/>
      <c r="R9" s="364">
        <v>1</v>
      </c>
      <c r="S9" s="304"/>
      <c r="T9" s="365"/>
      <c r="U9" s="4">
        <v>411</v>
      </c>
      <c r="X9" s="364">
        <v>17</v>
      </c>
      <c r="Y9" s="304"/>
      <c r="Z9" s="365"/>
      <c r="AA9" s="364"/>
      <c r="AB9" s="304"/>
      <c r="AC9" s="365"/>
      <c r="AD9" s="364">
        <v>24</v>
      </c>
      <c r="AE9" s="304"/>
      <c r="AF9" s="365"/>
      <c r="AG9" s="364">
        <v>596</v>
      </c>
      <c r="AH9" s="304"/>
      <c r="AI9" s="365"/>
      <c r="AJ9" s="364">
        <v>0</v>
      </c>
      <c r="AK9" s="304"/>
      <c r="AL9" s="365"/>
      <c r="AM9" s="364"/>
      <c r="AN9" s="304"/>
      <c r="AO9" s="365"/>
      <c r="AP9" s="364"/>
      <c r="AQ9" s="304"/>
      <c r="AR9" s="365"/>
      <c r="AS9" s="364"/>
      <c r="AT9" s="304"/>
      <c r="AU9" s="365"/>
      <c r="AV9" s="364"/>
      <c r="AW9" s="304"/>
      <c r="AX9" s="365"/>
    </row>
    <row r="10" spans="1:68" s="4" customFormat="1" ht="23.25" customHeight="1" x14ac:dyDescent="0.25">
      <c r="A10" s="366">
        <v>42919</v>
      </c>
      <c r="B10" s="4" t="s">
        <v>451</v>
      </c>
      <c r="C10" s="4" t="s">
        <v>451</v>
      </c>
      <c r="D10" s="4" t="s">
        <v>380</v>
      </c>
      <c r="E10" s="4" t="s">
        <v>237</v>
      </c>
      <c r="F10" s="364"/>
      <c r="G10" s="304"/>
      <c r="H10" s="365"/>
      <c r="I10" s="774">
        <v>614</v>
      </c>
      <c r="J10" s="52"/>
      <c r="K10" s="775"/>
      <c r="L10" s="774">
        <v>103</v>
      </c>
      <c r="M10" s="52"/>
      <c r="N10" s="775"/>
      <c r="O10" s="774">
        <v>1256</v>
      </c>
      <c r="P10" s="52"/>
      <c r="Q10" s="52"/>
      <c r="R10" s="774">
        <v>772</v>
      </c>
      <c r="S10" s="52"/>
      <c r="T10" s="775"/>
      <c r="U10" s="710">
        <v>2307</v>
      </c>
      <c r="V10" s="710"/>
      <c r="W10" s="710"/>
      <c r="X10" s="774">
        <v>694</v>
      </c>
      <c r="Y10" s="52"/>
      <c r="Z10" s="775"/>
      <c r="AA10" s="774"/>
      <c r="AB10" s="52"/>
      <c r="AC10" s="775"/>
      <c r="AD10" s="774">
        <v>576</v>
      </c>
      <c r="AE10" s="52"/>
      <c r="AF10" s="775"/>
      <c r="AG10" s="774">
        <v>3210</v>
      </c>
      <c r="AH10" s="52"/>
      <c r="AI10" s="775"/>
      <c r="AJ10" s="774">
        <v>64</v>
      </c>
      <c r="AK10" s="52"/>
      <c r="AL10" s="52"/>
      <c r="AM10" s="774"/>
      <c r="AN10" s="52"/>
      <c r="AO10" s="775"/>
      <c r="AP10" s="774"/>
      <c r="AQ10" s="52"/>
      <c r="AR10" s="775"/>
      <c r="AS10" s="774"/>
      <c r="AT10" s="52"/>
      <c r="AU10" s="775"/>
      <c r="AV10" s="774">
        <v>4148</v>
      </c>
      <c r="AW10" s="52"/>
      <c r="AX10" s="365"/>
    </row>
    <row r="11" spans="1:68" s="4" customFormat="1" ht="23.25" customHeight="1" x14ac:dyDescent="0.25">
      <c r="A11" s="366">
        <v>42919</v>
      </c>
      <c r="B11" s="4" t="s">
        <v>451</v>
      </c>
      <c r="C11" s="4" t="s">
        <v>451</v>
      </c>
      <c r="D11" s="4" t="s">
        <v>380</v>
      </c>
      <c r="E11" s="4" t="s">
        <v>5</v>
      </c>
      <c r="F11" s="364"/>
      <c r="G11" s="304"/>
      <c r="H11" s="365"/>
      <c r="I11" s="364">
        <v>80</v>
      </c>
      <c r="J11" s="304"/>
      <c r="K11" s="365"/>
      <c r="L11" s="364">
        <v>86</v>
      </c>
      <c r="M11" s="304"/>
      <c r="N11" s="365"/>
      <c r="O11" s="364">
        <v>545</v>
      </c>
      <c r="P11" s="304"/>
      <c r="Q11" s="304"/>
      <c r="R11" s="364">
        <v>668</v>
      </c>
      <c r="S11" s="304"/>
      <c r="T11" s="365"/>
      <c r="U11" s="4">
        <v>520</v>
      </c>
      <c r="X11" s="364">
        <v>112</v>
      </c>
      <c r="Y11" s="304"/>
      <c r="Z11" s="365"/>
      <c r="AA11" s="364"/>
      <c r="AB11" s="304"/>
      <c r="AC11" s="365"/>
      <c r="AD11" s="364">
        <v>220</v>
      </c>
      <c r="AE11" s="304"/>
      <c r="AF11" s="365"/>
      <c r="AG11" s="364">
        <v>417</v>
      </c>
      <c r="AH11" s="304"/>
      <c r="AI11" s="365"/>
      <c r="AJ11" s="304">
        <v>50</v>
      </c>
      <c r="AK11" s="304"/>
      <c r="AL11" s="304"/>
      <c r="AM11" s="364"/>
      <c r="AN11" s="304"/>
      <c r="AO11" s="365"/>
      <c r="AP11" s="364"/>
      <c r="AQ11" s="304"/>
      <c r="AR11" s="365"/>
      <c r="AS11" s="364"/>
      <c r="AT11" s="304"/>
      <c r="AU11" s="365"/>
      <c r="AV11" s="364">
        <v>456</v>
      </c>
      <c r="AW11" s="304"/>
      <c r="AX11" s="365"/>
    </row>
    <row r="12" spans="1:68" ht="23.25" customHeight="1" x14ac:dyDescent="0.25">
      <c r="A12" s="366">
        <v>42919</v>
      </c>
      <c r="B12" s="89" t="s">
        <v>451</v>
      </c>
      <c r="C12" s="89" t="s">
        <v>451</v>
      </c>
      <c r="D12" s="89" t="s">
        <v>380</v>
      </c>
      <c r="E12" s="89"/>
      <c r="I12" s="364"/>
      <c r="J12" s="304"/>
      <c r="K12" s="365"/>
      <c r="L12" s="364"/>
      <c r="M12" s="304"/>
      <c r="N12" s="365"/>
      <c r="O12" s="364"/>
      <c r="P12" s="304">
        <v>20000</v>
      </c>
      <c r="Q12" s="304"/>
      <c r="R12" s="364"/>
      <c r="S12" s="304">
        <v>10000</v>
      </c>
      <c r="T12" s="365"/>
      <c r="U12" s="4"/>
      <c r="V12" s="4">
        <v>20000</v>
      </c>
      <c r="W12" s="4"/>
      <c r="X12" s="364"/>
      <c r="Y12" s="304">
        <v>10000</v>
      </c>
      <c r="Z12" s="365"/>
      <c r="AA12" s="364"/>
      <c r="AB12" s="304">
        <v>10000</v>
      </c>
      <c r="AC12" s="365"/>
      <c r="AD12" s="364"/>
      <c r="AE12" s="304">
        <v>10000</v>
      </c>
      <c r="AF12" s="365"/>
      <c r="AG12" s="364"/>
      <c r="AH12" s="304">
        <v>50000</v>
      </c>
      <c r="AI12" s="365"/>
      <c r="AJ12" s="304"/>
      <c r="AK12" s="304"/>
      <c r="AL12" s="304"/>
      <c r="AM12" s="364"/>
      <c r="AN12" s="304"/>
      <c r="AO12" s="365"/>
      <c r="AP12" s="364"/>
      <c r="AQ12" s="304"/>
      <c r="AR12" s="365"/>
      <c r="AS12" s="364"/>
      <c r="AT12" s="304"/>
      <c r="AU12" s="365"/>
      <c r="AV12" s="364"/>
      <c r="AW12" s="304"/>
      <c r="AX12" s="365"/>
      <c r="AY12" s="4"/>
      <c r="AZ12" s="4"/>
    </row>
    <row r="13" spans="1:68" ht="23.25" customHeight="1" x14ac:dyDescent="0.25">
      <c r="I13" s="364"/>
      <c r="J13" s="304"/>
      <c r="K13" s="365"/>
      <c r="L13" s="364"/>
      <c r="M13" s="304"/>
      <c r="N13" s="365"/>
      <c r="O13" s="364"/>
      <c r="P13" s="304"/>
      <c r="Q13" s="304"/>
      <c r="R13" s="364"/>
      <c r="S13" s="304"/>
      <c r="T13" s="365"/>
      <c r="U13" s="4"/>
      <c r="V13" s="4"/>
      <c r="W13" s="4"/>
      <c r="X13" s="364"/>
      <c r="Y13" s="304"/>
      <c r="Z13" s="365"/>
      <c r="AA13" s="364"/>
      <c r="AB13" s="304"/>
      <c r="AC13" s="365"/>
      <c r="AD13" s="364"/>
      <c r="AE13" s="304"/>
      <c r="AF13" s="365"/>
      <c r="AG13" s="364"/>
      <c r="AH13" s="304"/>
      <c r="AI13" s="365"/>
      <c r="AJ13" s="304"/>
      <c r="AK13" s="304"/>
      <c r="AL13" s="304"/>
      <c r="AM13" s="364"/>
      <c r="AN13" s="304"/>
      <c r="AO13" s="365"/>
      <c r="AP13" s="364"/>
      <c r="AQ13" s="304"/>
      <c r="AR13" s="365"/>
      <c r="AS13" s="364"/>
      <c r="AT13" s="304"/>
      <c r="AU13" s="365"/>
      <c r="AV13" s="364"/>
      <c r="AW13" s="304"/>
      <c r="AX13" s="365"/>
      <c r="AY13" s="4"/>
      <c r="AZ13" s="4"/>
    </row>
    <row r="14" spans="1:68" ht="23.25" customHeight="1" x14ac:dyDescent="0.25"/>
    <row r="15" spans="1:68" ht="23.25" customHeight="1" x14ac:dyDescent="0.25"/>
    <row r="16" spans="1:68" ht="23.25" customHeight="1" x14ac:dyDescent="0.25"/>
    <row r="17" ht="23.25" customHeight="1" x14ac:dyDescent="0.25"/>
    <row r="18" ht="23.25" customHeight="1" x14ac:dyDescent="0.25"/>
    <row r="19" ht="23.25" customHeight="1" x14ac:dyDescent="0.25"/>
    <row r="20" ht="23.25" customHeight="1" x14ac:dyDescent="0.25"/>
    <row r="21" ht="23.25" customHeight="1" x14ac:dyDescent="0.25"/>
    <row r="22" ht="23.25" customHeight="1" x14ac:dyDescent="0.25"/>
    <row r="23" ht="23.25" customHeight="1" x14ac:dyDescent="0.25"/>
    <row r="24" ht="23.25" customHeight="1" x14ac:dyDescent="0.25"/>
    <row r="25" ht="23.25" customHeight="1" x14ac:dyDescent="0.25"/>
    <row r="26" ht="23.25" customHeight="1" x14ac:dyDescent="0.25"/>
    <row r="27" ht="23.25" customHeight="1" x14ac:dyDescent="0.25"/>
    <row r="28" ht="23.25" customHeight="1" x14ac:dyDescent="0.25"/>
    <row r="29" ht="23.25" customHeight="1" x14ac:dyDescent="0.25"/>
    <row r="30" ht="23.25" customHeight="1" x14ac:dyDescent="0.25"/>
    <row r="31" ht="23.25" customHeight="1" x14ac:dyDescent="0.25"/>
    <row r="32" ht="23.25" customHeight="1" x14ac:dyDescent="0.25"/>
    <row r="33" ht="23.25" customHeight="1" x14ac:dyDescent="0.25"/>
    <row r="34" ht="23.25" customHeight="1" x14ac:dyDescent="0.25"/>
    <row r="35" ht="23.25" customHeight="1" x14ac:dyDescent="0.25"/>
    <row r="36" ht="23.25" customHeight="1" x14ac:dyDescent="0.25"/>
    <row r="37" ht="23.25" customHeight="1" x14ac:dyDescent="0.25"/>
    <row r="38" ht="23.25" customHeight="1" x14ac:dyDescent="0.25"/>
    <row r="39" ht="23.25" customHeight="1" x14ac:dyDescent="0.25"/>
    <row r="40" ht="23.25" customHeight="1" x14ac:dyDescent="0.25"/>
    <row r="41" ht="23.25" customHeight="1" x14ac:dyDescent="0.25"/>
    <row r="42" ht="23.25" customHeight="1" x14ac:dyDescent="0.25"/>
    <row r="43" ht="23.25" customHeight="1" x14ac:dyDescent="0.25"/>
    <row r="44" ht="23.25" customHeight="1" x14ac:dyDescent="0.25"/>
    <row r="45" ht="23.25" customHeight="1" x14ac:dyDescent="0.25"/>
    <row r="46" ht="23.25" customHeight="1" x14ac:dyDescent="0.25"/>
    <row r="47" ht="23.25" customHeight="1" x14ac:dyDescent="0.25"/>
    <row r="48" ht="23.25" customHeight="1" x14ac:dyDescent="0.25"/>
    <row r="49" ht="23.25" customHeight="1" x14ac:dyDescent="0.25"/>
    <row r="50" ht="23.25" customHeight="1" x14ac:dyDescent="0.25"/>
    <row r="51" ht="23.25" customHeight="1" x14ac:dyDescent="0.25"/>
    <row r="52" ht="23.25" customHeight="1" x14ac:dyDescent="0.25"/>
    <row r="53" ht="23.25" customHeight="1" x14ac:dyDescent="0.25"/>
    <row r="54" ht="23.25" customHeight="1" x14ac:dyDescent="0.25"/>
    <row r="55" ht="23.25" customHeight="1" x14ac:dyDescent="0.25"/>
    <row r="56" ht="23.25" customHeight="1" x14ac:dyDescent="0.25"/>
    <row r="57" ht="23.25" customHeight="1" x14ac:dyDescent="0.25"/>
    <row r="58" ht="23.25" customHeight="1" x14ac:dyDescent="0.25"/>
    <row r="59" ht="23.25" customHeight="1" x14ac:dyDescent="0.25"/>
    <row r="60" ht="23.25" customHeight="1" x14ac:dyDescent="0.25"/>
    <row r="61" ht="23.25" customHeight="1" x14ac:dyDescent="0.25"/>
    <row r="62" ht="23.25" customHeight="1" x14ac:dyDescent="0.25"/>
    <row r="63" ht="23.25" customHeight="1" x14ac:dyDescent="0.25"/>
    <row r="64" ht="23.25" customHeight="1" x14ac:dyDescent="0.25"/>
    <row r="65" ht="23.25" customHeight="1" x14ac:dyDescent="0.25"/>
    <row r="66" ht="23.25" customHeight="1" x14ac:dyDescent="0.25"/>
    <row r="67" ht="23.25" customHeight="1" x14ac:dyDescent="0.25"/>
    <row r="68" ht="23.25" customHeight="1" x14ac:dyDescent="0.25"/>
    <row r="69" ht="23.25" customHeight="1" x14ac:dyDescent="0.25"/>
    <row r="70" ht="23.25" customHeight="1" x14ac:dyDescent="0.25"/>
    <row r="71" ht="23.25" customHeight="1" x14ac:dyDescent="0.25"/>
    <row r="72" ht="23.25" customHeight="1" x14ac:dyDescent="0.25"/>
    <row r="73" ht="23.25" customHeight="1" x14ac:dyDescent="0.25"/>
    <row r="74" ht="23.25" customHeight="1" x14ac:dyDescent="0.25"/>
    <row r="75" ht="23.25" customHeight="1" x14ac:dyDescent="0.25"/>
    <row r="76" ht="23.25" customHeight="1" x14ac:dyDescent="0.25"/>
    <row r="77" ht="23.25" customHeight="1" x14ac:dyDescent="0.25"/>
    <row r="78" ht="23.25" customHeight="1" x14ac:dyDescent="0.25"/>
    <row r="79" ht="23.25" customHeight="1" x14ac:dyDescent="0.25"/>
    <row r="80" ht="23.25" customHeight="1" x14ac:dyDescent="0.25"/>
    <row r="81" ht="23.25" customHeight="1" x14ac:dyDescent="0.25"/>
    <row r="82" ht="23.25" customHeight="1" x14ac:dyDescent="0.25"/>
    <row r="83" ht="23.25" customHeight="1" x14ac:dyDescent="0.25"/>
    <row r="84" ht="23.25" customHeight="1" x14ac:dyDescent="0.25"/>
    <row r="85" ht="23.25" customHeight="1" x14ac:dyDescent="0.25"/>
    <row r="86" ht="23.25" customHeight="1" x14ac:dyDescent="0.25"/>
    <row r="87" ht="23.25" customHeight="1" x14ac:dyDescent="0.25"/>
    <row r="88" ht="23.25" customHeight="1" x14ac:dyDescent="0.25"/>
    <row r="89" ht="23.25" customHeight="1" x14ac:dyDescent="0.25"/>
    <row r="90" ht="23.25" customHeight="1" x14ac:dyDescent="0.25"/>
    <row r="91" ht="23.25" customHeight="1" x14ac:dyDescent="0.25"/>
    <row r="92" ht="23.25" customHeight="1" x14ac:dyDescent="0.25"/>
    <row r="93" ht="23.25" customHeight="1" x14ac:dyDescent="0.25"/>
    <row r="94" ht="23.25" customHeight="1" x14ac:dyDescent="0.25"/>
    <row r="95" ht="23.25" customHeight="1" x14ac:dyDescent="0.25"/>
    <row r="96" ht="23.25" customHeight="1" x14ac:dyDescent="0.25"/>
    <row r="97" ht="23.25" customHeight="1" x14ac:dyDescent="0.25"/>
    <row r="98" ht="23.25" customHeight="1" x14ac:dyDescent="0.25"/>
    <row r="99" ht="23.25" customHeight="1" x14ac:dyDescent="0.25"/>
    <row r="100" ht="23.25" customHeight="1" x14ac:dyDescent="0.25"/>
    <row r="101" ht="23.25" customHeight="1" x14ac:dyDescent="0.25"/>
    <row r="102" ht="23.25" customHeight="1" x14ac:dyDescent="0.25"/>
    <row r="103" ht="23.25" customHeight="1" x14ac:dyDescent="0.25"/>
    <row r="104" ht="23.25" customHeight="1" x14ac:dyDescent="0.25"/>
    <row r="105" ht="23.25" customHeight="1" x14ac:dyDescent="0.25"/>
    <row r="106" ht="23.25" customHeight="1" x14ac:dyDescent="0.25"/>
    <row r="107" ht="23.25" customHeight="1" x14ac:dyDescent="0.25"/>
    <row r="108" ht="23.25" customHeight="1" x14ac:dyDescent="0.25"/>
    <row r="109" ht="23.25" customHeight="1" x14ac:dyDescent="0.25"/>
    <row r="110" ht="23.25" customHeight="1" x14ac:dyDescent="0.25"/>
    <row r="111" ht="23.25" customHeight="1" x14ac:dyDescent="0.25"/>
    <row r="112" ht="23.25" customHeight="1" x14ac:dyDescent="0.25"/>
    <row r="113" ht="23.25" customHeight="1" x14ac:dyDescent="0.25"/>
    <row r="114" ht="23.25" customHeight="1" x14ac:dyDescent="0.25"/>
    <row r="115" ht="23.25" customHeight="1" x14ac:dyDescent="0.25"/>
    <row r="116" ht="23.25" customHeight="1" x14ac:dyDescent="0.25"/>
    <row r="117" ht="23.25" customHeight="1" x14ac:dyDescent="0.25"/>
    <row r="118" ht="23.25" customHeight="1" x14ac:dyDescent="0.25"/>
    <row r="119" ht="23.25" customHeight="1" x14ac:dyDescent="0.25"/>
    <row r="120" ht="23.25" customHeight="1" x14ac:dyDescent="0.25"/>
    <row r="121" ht="23.25" customHeight="1" x14ac:dyDescent="0.25"/>
    <row r="122" ht="23.25" customHeight="1" x14ac:dyDescent="0.25"/>
    <row r="123" ht="23.25" customHeight="1" x14ac:dyDescent="0.25"/>
    <row r="124" ht="23.25" customHeight="1" x14ac:dyDescent="0.25"/>
    <row r="125" ht="23.25" customHeight="1" x14ac:dyDescent="0.25"/>
    <row r="126" ht="23.25" customHeight="1" x14ac:dyDescent="0.25"/>
    <row r="127" ht="23.25" customHeight="1" x14ac:dyDescent="0.25"/>
    <row r="128" ht="23.25" customHeight="1" x14ac:dyDescent="0.25"/>
    <row r="129" ht="23.25" customHeight="1" x14ac:dyDescent="0.25"/>
    <row r="130" ht="23.25" customHeight="1" x14ac:dyDescent="0.25"/>
    <row r="131" ht="23.25" customHeight="1" x14ac:dyDescent="0.25"/>
    <row r="132" ht="23.25" customHeight="1" x14ac:dyDescent="0.25"/>
    <row r="133" ht="23.25" customHeight="1" x14ac:dyDescent="0.25"/>
    <row r="134" ht="23.25" customHeight="1" x14ac:dyDescent="0.25"/>
    <row r="135" ht="23.25" customHeight="1" x14ac:dyDescent="0.25"/>
    <row r="136" ht="23.25" customHeight="1" x14ac:dyDescent="0.25"/>
    <row r="137" ht="23.25" customHeight="1" x14ac:dyDescent="0.25"/>
    <row r="138" ht="23.25" customHeight="1" x14ac:dyDescent="0.25"/>
    <row r="139" ht="23.25" customHeight="1" x14ac:dyDescent="0.25"/>
    <row r="140" ht="23.25" customHeight="1" x14ac:dyDescent="0.25"/>
    <row r="141" ht="23.25" customHeight="1" x14ac:dyDescent="0.25"/>
    <row r="142" ht="23.25" customHeight="1" x14ac:dyDescent="0.25"/>
    <row r="143" ht="23.25" customHeight="1" x14ac:dyDescent="0.25"/>
    <row r="144" ht="23.25" customHeight="1" x14ac:dyDescent="0.25"/>
    <row r="145" ht="23.25" customHeight="1" x14ac:dyDescent="0.25"/>
    <row r="146" ht="23.25" customHeight="1" x14ac:dyDescent="0.25"/>
    <row r="147" ht="23.25" customHeight="1" x14ac:dyDescent="0.25"/>
    <row r="148" ht="23.25" customHeight="1" x14ac:dyDescent="0.25"/>
    <row r="149" ht="23.25" customHeight="1" x14ac:dyDescent="0.25"/>
    <row r="150" ht="23.25" customHeight="1" x14ac:dyDescent="0.25"/>
    <row r="151" ht="23.25" customHeight="1" x14ac:dyDescent="0.25"/>
    <row r="152" ht="23.25" customHeight="1" x14ac:dyDescent="0.25"/>
    <row r="153" ht="23.25" customHeight="1" x14ac:dyDescent="0.25"/>
    <row r="154" ht="23.25" customHeight="1" x14ac:dyDescent="0.25"/>
    <row r="155" ht="23.25" customHeight="1" x14ac:dyDescent="0.25"/>
    <row r="156" ht="23.25" customHeight="1" x14ac:dyDescent="0.25"/>
    <row r="157" ht="23.25" customHeight="1" x14ac:dyDescent="0.25"/>
    <row r="158" ht="23.25" customHeight="1" x14ac:dyDescent="0.25"/>
    <row r="159" ht="23.25" customHeight="1" x14ac:dyDescent="0.25"/>
    <row r="160" ht="23.25" customHeight="1" x14ac:dyDescent="0.25"/>
    <row r="161" ht="23.25" customHeight="1" x14ac:dyDescent="0.25"/>
    <row r="162" ht="23.25" customHeight="1" x14ac:dyDescent="0.25"/>
    <row r="163" ht="23.25" customHeight="1" x14ac:dyDescent="0.25"/>
    <row r="164" ht="23.25" customHeight="1" x14ac:dyDescent="0.25"/>
    <row r="165" ht="23.25" customHeight="1" x14ac:dyDescent="0.25"/>
    <row r="166" ht="23.25" customHeight="1" x14ac:dyDescent="0.25"/>
    <row r="167" ht="23.25" customHeight="1" x14ac:dyDescent="0.25"/>
    <row r="168" ht="23.25" customHeight="1" x14ac:dyDescent="0.25"/>
    <row r="169" ht="23.25" customHeight="1" x14ac:dyDescent="0.25"/>
    <row r="170" ht="23.25" customHeight="1" x14ac:dyDescent="0.25"/>
    <row r="171" ht="23.25" customHeight="1" x14ac:dyDescent="0.25"/>
    <row r="172" ht="23.25" customHeight="1" x14ac:dyDescent="0.25"/>
    <row r="173" ht="23.25" customHeight="1" x14ac:dyDescent="0.25"/>
    <row r="174" ht="23.25" customHeight="1" x14ac:dyDescent="0.25"/>
    <row r="175" ht="23.25" customHeight="1" x14ac:dyDescent="0.25"/>
    <row r="176" ht="23.25" customHeight="1" x14ac:dyDescent="0.25"/>
    <row r="177" ht="23.25" customHeight="1" x14ac:dyDescent="0.25"/>
    <row r="178" ht="23.25" customHeight="1" x14ac:dyDescent="0.25"/>
    <row r="179" ht="23.25" customHeight="1" x14ac:dyDescent="0.25"/>
    <row r="180" ht="23.25" customHeight="1" x14ac:dyDescent="0.25"/>
    <row r="181" ht="23.25" customHeight="1" x14ac:dyDescent="0.25"/>
    <row r="182" ht="23.25" customHeight="1" x14ac:dyDescent="0.25"/>
    <row r="183" ht="23.25" customHeight="1" x14ac:dyDescent="0.25"/>
    <row r="184" ht="23.25" customHeight="1" x14ac:dyDescent="0.25"/>
    <row r="185" ht="23.25" customHeight="1" x14ac:dyDescent="0.25"/>
    <row r="186" ht="23.25" customHeight="1" x14ac:dyDescent="0.25"/>
    <row r="187" ht="23.25" customHeight="1" x14ac:dyDescent="0.25"/>
    <row r="188" ht="23.25" customHeight="1" x14ac:dyDescent="0.25"/>
    <row r="189" ht="23.25" customHeight="1" x14ac:dyDescent="0.25"/>
    <row r="190" ht="23.25" customHeight="1" x14ac:dyDescent="0.25"/>
    <row r="191" ht="23.25" customHeight="1" x14ac:dyDescent="0.25"/>
    <row r="192" ht="23.25" customHeight="1" x14ac:dyDescent="0.25"/>
    <row r="193" ht="23.25" customHeight="1" x14ac:dyDescent="0.25"/>
    <row r="194" ht="23.25" customHeight="1" x14ac:dyDescent="0.25"/>
    <row r="195" ht="23.25" customHeight="1" x14ac:dyDescent="0.25"/>
    <row r="196" ht="23.25" customHeight="1" x14ac:dyDescent="0.25"/>
    <row r="197" ht="23.25" customHeight="1" x14ac:dyDescent="0.25"/>
    <row r="198" ht="23.25" customHeight="1" x14ac:dyDescent="0.25"/>
    <row r="199" ht="23.25" customHeight="1" x14ac:dyDescent="0.25"/>
    <row r="200" ht="23.25" customHeight="1" x14ac:dyDescent="0.25"/>
    <row r="201" ht="23.25" customHeight="1" x14ac:dyDescent="0.25"/>
    <row r="202" ht="23.25" customHeight="1" x14ac:dyDescent="0.25"/>
    <row r="203" ht="23.25" customHeight="1" x14ac:dyDescent="0.25"/>
    <row r="204" ht="23.25" customHeight="1" x14ac:dyDescent="0.25"/>
    <row r="205" ht="23.25" customHeight="1" x14ac:dyDescent="0.25"/>
    <row r="206" ht="23.25" customHeight="1" x14ac:dyDescent="0.25"/>
    <row r="207" ht="23.25" customHeight="1" x14ac:dyDescent="0.25"/>
    <row r="208" ht="23.25" customHeight="1" x14ac:dyDescent="0.25"/>
    <row r="209" ht="23.25" customHeight="1" x14ac:dyDescent="0.25"/>
    <row r="210" ht="23.25" customHeight="1" x14ac:dyDescent="0.25"/>
    <row r="211" ht="23.25" customHeight="1" x14ac:dyDescent="0.25"/>
    <row r="212" ht="23.25" customHeight="1" x14ac:dyDescent="0.25"/>
    <row r="213" ht="23.25" customHeight="1" x14ac:dyDescent="0.25"/>
    <row r="214" ht="23.25" customHeight="1" x14ac:dyDescent="0.25"/>
    <row r="215" ht="23.25" customHeight="1" x14ac:dyDescent="0.25"/>
    <row r="216" ht="23.25" customHeight="1" x14ac:dyDescent="0.25"/>
    <row r="217" ht="23.25" customHeight="1" x14ac:dyDescent="0.25"/>
    <row r="218" ht="23.25" customHeight="1" x14ac:dyDescent="0.25"/>
    <row r="219" ht="23.25" customHeight="1" x14ac:dyDescent="0.25"/>
    <row r="220" ht="23.25" customHeight="1" x14ac:dyDescent="0.25"/>
    <row r="221" ht="23.25" customHeight="1" x14ac:dyDescent="0.25"/>
    <row r="222" ht="23.25" customHeight="1" x14ac:dyDescent="0.25"/>
    <row r="223" ht="23.25" customHeight="1" x14ac:dyDescent="0.25"/>
    <row r="224" ht="23.25" customHeight="1" x14ac:dyDescent="0.25"/>
    <row r="225" ht="23.25" customHeight="1" x14ac:dyDescent="0.25"/>
    <row r="226" ht="23.25" customHeight="1" x14ac:dyDescent="0.25"/>
    <row r="227" ht="23.25" customHeight="1" x14ac:dyDescent="0.25"/>
    <row r="228" ht="23.25" customHeight="1" x14ac:dyDescent="0.25"/>
    <row r="229" ht="23.25" customHeight="1" x14ac:dyDescent="0.25"/>
    <row r="230" ht="23.25" customHeight="1" x14ac:dyDescent="0.25"/>
    <row r="231" ht="23.25" customHeight="1" x14ac:dyDescent="0.25"/>
    <row r="232" ht="23.25" customHeight="1" x14ac:dyDescent="0.25"/>
    <row r="233" ht="23.25" customHeight="1" x14ac:dyDescent="0.25"/>
    <row r="234" ht="23.25" customHeight="1" x14ac:dyDescent="0.25"/>
    <row r="235" ht="23.25" customHeight="1" x14ac:dyDescent="0.25"/>
    <row r="236" ht="23.25" customHeight="1" x14ac:dyDescent="0.25"/>
    <row r="237" ht="23.25" customHeight="1" x14ac:dyDescent="0.25"/>
    <row r="238" ht="23.25" customHeight="1" x14ac:dyDescent="0.25"/>
    <row r="239" ht="23.25" customHeight="1" x14ac:dyDescent="0.25"/>
    <row r="240" ht="23.25" customHeight="1" x14ac:dyDescent="0.25"/>
    <row r="241" ht="23.25" customHeight="1" x14ac:dyDescent="0.25"/>
    <row r="242" ht="23.25" customHeight="1" x14ac:dyDescent="0.25"/>
    <row r="243" ht="23.25" customHeight="1" x14ac:dyDescent="0.25"/>
    <row r="244" ht="23.25" customHeight="1" x14ac:dyDescent="0.25"/>
    <row r="245" ht="23.25" customHeight="1" x14ac:dyDescent="0.25"/>
    <row r="246" ht="23.25" customHeight="1" x14ac:dyDescent="0.25"/>
    <row r="247" ht="23.25" customHeight="1" x14ac:dyDescent="0.25"/>
    <row r="248" ht="23.25" customHeight="1" x14ac:dyDescent="0.25"/>
    <row r="249" ht="23.25" customHeight="1" x14ac:dyDescent="0.25"/>
    <row r="250" ht="23.25" customHeight="1" x14ac:dyDescent="0.25"/>
    <row r="251" ht="23.25" customHeight="1" x14ac:dyDescent="0.25"/>
    <row r="252" ht="23.25" customHeight="1" x14ac:dyDescent="0.25"/>
    <row r="253" ht="23.25" customHeight="1" x14ac:dyDescent="0.25"/>
    <row r="254" ht="23.25" customHeight="1" x14ac:dyDescent="0.25"/>
    <row r="255" ht="23.25" customHeight="1" x14ac:dyDescent="0.25"/>
    <row r="256" ht="23.25" customHeight="1" x14ac:dyDescent="0.25"/>
    <row r="257" ht="23.25" customHeight="1" x14ac:dyDescent="0.25"/>
    <row r="258" ht="23.25" customHeight="1" x14ac:dyDescent="0.25"/>
    <row r="259" ht="23.25" customHeight="1" x14ac:dyDescent="0.25"/>
    <row r="260" ht="23.25" customHeight="1" x14ac:dyDescent="0.25"/>
    <row r="261" ht="23.25" customHeight="1" x14ac:dyDescent="0.25"/>
    <row r="262" ht="23.25" customHeight="1" x14ac:dyDescent="0.25"/>
    <row r="263" ht="23.25" customHeight="1" x14ac:dyDescent="0.25"/>
    <row r="264" ht="23.25" customHeight="1" x14ac:dyDescent="0.25"/>
    <row r="265" ht="23.25" customHeight="1" x14ac:dyDescent="0.25"/>
    <row r="266" ht="23.25" customHeight="1" x14ac:dyDescent="0.25"/>
    <row r="267" ht="23.25" customHeight="1" x14ac:dyDescent="0.25"/>
    <row r="268" ht="23.25" customHeight="1" x14ac:dyDescent="0.25"/>
    <row r="269" ht="23.25" customHeight="1" x14ac:dyDescent="0.25"/>
    <row r="270" ht="23.25" customHeight="1" x14ac:dyDescent="0.25"/>
    <row r="271" ht="23.25" customHeight="1" x14ac:dyDescent="0.25"/>
    <row r="272" ht="23.25" customHeight="1" x14ac:dyDescent="0.25"/>
    <row r="273" ht="23.25" customHeight="1" x14ac:dyDescent="0.25"/>
    <row r="274" ht="23.25" customHeight="1" x14ac:dyDescent="0.25"/>
    <row r="275" ht="23.25" customHeight="1" x14ac:dyDescent="0.25"/>
    <row r="276" ht="23.25" customHeight="1" x14ac:dyDescent="0.25"/>
    <row r="277" ht="23.25" customHeight="1" x14ac:dyDescent="0.25"/>
    <row r="278" ht="23.25" customHeight="1" x14ac:dyDescent="0.25"/>
    <row r="279" ht="23.25" customHeight="1" x14ac:dyDescent="0.25"/>
    <row r="280" ht="23.25" customHeight="1" x14ac:dyDescent="0.25"/>
    <row r="281" ht="23.25" customHeight="1" x14ac:dyDescent="0.25"/>
    <row r="282" ht="23.25" customHeight="1" x14ac:dyDescent="0.25"/>
    <row r="283" ht="23.25" customHeight="1" x14ac:dyDescent="0.25"/>
    <row r="284" ht="23.25" customHeight="1" x14ac:dyDescent="0.25"/>
    <row r="285" ht="23.25" customHeight="1" x14ac:dyDescent="0.25"/>
    <row r="286" ht="23.25" customHeight="1" x14ac:dyDescent="0.25"/>
    <row r="287" ht="23.25" customHeight="1" x14ac:dyDescent="0.25"/>
    <row r="288" ht="23.25" customHeight="1" x14ac:dyDescent="0.25"/>
    <row r="289" ht="23.25" customHeight="1" x14ac:dyDescent="0.25"/>
    <row r="290" ht="23.25" customHeight="1" x14ac:dyDescent="0.25"/>
    <row r="291" ht="23.25" customHeight="1" x14ac:dyDescent="0.25"/>
    <row r="292" ht="23.25" customHeight="1" x14ac:dyDescent="0.25"/>
    <row r="293" ht="23.25" customHeight="1" x14ac:dyDescent="0.25"/>
    <row r="294" ht="23.25" customHeight="1" x14ac:dyDescent="0.25"/>
    <row r="295" ht="23.25" customHeight="1" x14ac:dyDescent="0.25"/>
    <row r="296" ht="23.25" customHeight="1" x14ac:dyDescent="0.25"/>
    <row r="297" ht="23.25" customHeight="1" x14ac:dyDescent="0.25"/>
    <row r="298" ht="23.25" customHeight="1" x14ac:dyDescent="0.25"/>
    <row r="299" ht="23.25" customHeight="1" x14ac:dyDescent="0.25"/>
    <row r="300" ht="23.25" customHeight="1" x14ac:dyDescent="0.25"/>
    <row r="301" ht="23.25" customHeight="1" x14ac:dyDescent="0.25"/>
    <row r="302" ht="23.25" customHeight="1" x14ac:dyDescent="0.25"/>
    <row r="303" ht="23.25" customHeight="1" x14ac:dyDescent="0.25"/>
    <row r="304" ht="23.25" customHeight="1" x14ac:dyDescent="0.25"/>
    <row r="305" ht="23.25" customHeight="1" x14ac:dyDescent="0.25"/>
    <row r="306" ht="23.25" customHeight="1" x14ac:dyDescent="0.25"/>
    <row r="307" ht="23.25" customHeight="1" x14ac:dyDescent="0.25"/>
    <row r="308" ht="23.25" customHeight="1" x14ac:dyDescent="0.25"/>
    <row r="309" ht="23.25" customHeight="1" x14ac:dyDescent="0.25"/>
    <row r="310" ht="23.25" customHeight="1" x14ac:dyDescent="0.25"/>
    <row r="311" ht="23.25" customHeight="1" x14ac:dyDescent="0.25"/>
    <row r="312" ht="23.25" customHeight="1" x14ac:dyDescent="0.25"/>
    <row r="313" ht="23.25" customHeight="1" x14ac:dyDescent="0.25"/>
    <row r="314" ht="23.25" customHeight="1" x14ac:dyDescent="0.25"/>
    <row r="315" ht="23.25" customHeight="1" x14ac:dyDescent="0.25"/>
    <row r="316" ht="23.25" customHeight="1" x14ac:dyDescent="0.25"/>
    <row r="317" ht="23.25" customHeight="1" x14ac:dyDescent="0.25"/>
    <row r="318" ht="23.25" customHeight="1" x14ac:dyDescent="0.25"/>
    <row r="319" ht="23.25" customHeight="1" x14ac:dyDescent="0.25"/>
    <row r="320" ht="23.25" customHeight="1" x14ac:dyDescent="0.25"/>
    <row r="321" ht="23.25" customHeight="1" x14ac:dyDescent="0.25"/>
    <row r="322" ht="23.25" customHeight="1" x14ac:dyDescent="0.25"/>
    <row r="323" ht="23.25" customHeight="1" x14ac:dyDescent="0.25"/>
    <row r="324" ht="23.25" customHeight="1" x14ac:dyDescent="0.25"/>
    <row r="325" ht="23.25" customHeight="1" x14ac:dyDescent="0.25"/>
    <row r="326" ht="23.25" customHeight="1" x14ac:dyDescent="0.25"/>
    <row r="327" ht="23.25" customHeight="1" x14ac:dyDescent="0.25"/>
    <row r="328" ht="23.25" customHeight="1" x14ac:dyDescent="0.25"/>
    <row r="329" ht="23.25" customHeight="1" x14ac:dyDescent="0.25"/>
    <row r="330" ht="23.25" customHeight="1" x14ac:dyDescent="0.25"/>
    <row r="331" ht="23.25" customHeight="1" x14ac:dyDescent="0.25"/>
    <row r="332" ht="23.25" customHeight="1" x14ac:dyDescent="0.25"/>
    <row r="333" ht="23.25" customHeight="1" x14ac:dyDescent="0.25"/>
    <row r="334" ht="23.25" customHeight="1" x14ac:dyDescent="0.25"/>
    <row r="335" ht="23.25" customHeight="1" x14ac:dyDescent="0.25"/>
    <row r="336" ht="23.25" customHeight="1" x14ac:dyDescent="0.25"/>
    <row r="337" ht="23.25" customHeight="1" x14ac:dyDescent="0.25"/>
    <row r="338" ht="23.25" customHeight="1" x14ac:dyDescent="0.25"/>
    <row r="339" ht="23.25" customHeight="1" x14ac:dyDescent="0.25"/>
    <row r="340" ht="23.25" customHeight="1" x14ac:dyDescent="0.25"/>
    <row r="341" ht="23.25" customHeight="1" x14ac:dyDescent="0.25"/>
    <row r="342" ht="23.25" customHeight="1" x14ac:dyDescent="0.25"/>
    <row r="343" ht="23.25" customHeight="1" x14ac:dyDescent="0.25"/>
    <row r="344" ht="23.25" customHeight="1" x14ac:dyDescent="0.25"/>
    <row r="345" ht="23.25" customHeight="1" x14ac:dyDescent="0.25"/>
    <row r="346" ht="23.25" customHeight="1" x14ac:dyDescent="0.25"/>
    <row r="347" ht="23.25" customHeight="1" x14ac:dyDescent="0.25"/>
    <row r="348" ht="23.25" customHeight="1" x14ac:dyDescent="0.25"/>
    <row r="349" ht="23.25" customHeight="1" x14ac:dyDescent="0.25"/>
    <row r="350" ht="23.25" customHeight="1" x14ac:dyDescent="0.25"/>
    <row r="351" ht="23.25" customHeight="1" x14ac:dyDescent="0.25"/>
    <row r="352" ht="23.25" customHeight="1" x14ac:dyDescent="0.25"/>
    <row r="353" ht="23.25" customHeight="1" x14ac:dyDescent="0.25"/>
    <row r="354" ht="23.25" customHeight="1" x14ac:dyDescent="0.25"/>
    <row r="355" ht="23.25" customHeight="1" x14ac:dyDescent="0.25"/>
    <row r="356" ht="23.25" customHeight="1" x14ac:dyDescent="0.25"/>
    <row r="357" ht="23.25" customHeight="1" x14ac:dyDescent="0.25"/>
    <row r="358" ht="23.25" customHeight="1" x14ac:dyDescent="0.25"/>
    <row r="359" ht="23.25" customHeight="1" x14ac:dyDescent="0.25"/>
    <row r="360" ht="23.25" customHeight="1" x14ac:dyDescent="0.25"/>
    <row r="361" ht="23.25" customHeight="1" x14ac:dyDescent="0.25"/>
    <row r="362" ht="23.25" customHeight="1" x14ac:dyDescent="0.25"/>
    <row r="363" ht="23.25" customHeight="1" x14ac:dyDescent="0.25"/>
    <row r="364" ht="23.25" customHeight="1" x14ac:dyDescent="0.25"/>
    <row r="365" ht="23.25" customHeight="1" x14ac:dyDescent="0.25"/>
    <row r="366" ht="23.25" customHeight="1" x14ac:dyDescent="0.25"/>
    <row r="367" ht="23.25" customHeight="1" x14ac:dyDescent="0.25"/>
    <row r="368" ht="23.25" customHeight="1" x14ac:dyDescent="0.25"/>
    <row r="369" ht="23.25" customHeight="1" x14ac:dyDescent="0.25"/>
    <row r="370" ht="23.25" customHeight="1" x14ac:dyDescent="0.25"/>
    <row r="371" ht="23.25" customHeight="1" x14ac:dyDescent="0.25"/>
    <row r="372" ht="23.25" customHeight="1" x14ac:dyDescent="0.25"/>
    <row r="373" ht="23.25" customHeight="1" x14ac:dyDescent="0.25"/>
    <row r="374" ht="23.25" customHeight="1" x14ac:dyDescent="0.25"/>
    <row r="375" ht="23.25" customHeight="1" x14ac:dyDescent="0.25"/>
    <row r="376" ht="23.25" customHeight="1" x14ac:dyDescent="0.25"/>
    <row r="377" ht="23.25" customHeight="1" x14ac:dyDescent="0.25"/>
    <row r="378" ht="23.25" customHeight="1" x14ac:dyDescent="0.25"/>
    <row r="379" ht="23.25" customHeight="1" x14ac:dyDescent="0.25"/>
    <row r="380" ht="23.25" customHeight="1" x14ac:dyDescent="0.25"/>
    <row r="381" ht="23.25" customHeight="1" x14ac:dyDescent="0.25"/>
    <row r="382" ht="23.25" customHeight="1" x14ac:dyDescent="0.25"/>
    <row r="383" ht="23.25" customHeight="1" x14ac:dyDescent="0.25"/>
    <row r="384" ht="23.25" customHeight="1" x14ac:dyDescent="0.25"/>
    <row r="385" ht="23.25" customHeight="1" x14ac:dyDescent="0.25"/>
    <row r="386" ht="23.25" customHeight="1" x14ac:dyDescent="0.25"/>
    <row r="387" ht="23.25" customHeight="1" x14ac:dyDescent="0.25"/>
    <row r="388" ht="23.25" customHeight="1" x14ac:dyDescent="0.25"/>
    <row r="389" ht="23.25" customHeight="1" x14ac:dyDescent="0.25"/>
    <row r="390" ht="23.25" customHeight="1" x14ac:dyDescent="0.25"/>
    <row r="391" ht="23.25" customHeight="1" x14ac:dyDescent="0.25"/>
    <row r="392" ht="23.25" customHeight="1" x14ac:dyDescent="0.25"/>
    <row r="393" ht="23.25" customHeight="1" x14ac:dyDescent="0.25"/>
    <row r="394" ht="23.25" customHeight="1" x14ac:dyDescent="0.25"/>
    <row r="395" ht="23.25" customHeight="1" x14ac:dyDescent="0.25"/>
    <row r="396" ht="23.25" customHeight="1" x14ac:dyDescent="0.25"/>
    <row r="397" ht="23.25" customHeight="1" x14ac:dyDescent="0.25"/>
    <row r="398" ht="23.25" customHeight="1" x14ac:dyDescent="0.25"/>
    <row r="399" ht="23.25" customHeight="1" x14ac:dyDescent="0.25"/>
    <row r="400" ht="23.25" customHeight="1" x14ac:dyDescent="0.25"/>
    <row r="401" ht="23.25" customHeight="1" x14ac:dyDescent="0.25"/>
    <row r="402" ht="23.25" customHeight="1" x14ac:dyDescent="0.25"/>
  </sheetData>
  <mergeCells count="21">
    <mergeCell ref="A3:C3"/>
    <mergeCell ref="AG5:AI5"/>
    <mergeCell ref="X5:Z5"/>
    <mergeCell ref="U5:W5"/>
    <mergeCell ref="E5:E6"/>
    <mergeCell ref="D5:D6"/>
    <mergeCell ref="B5:B6"/>
    <mergeCell ref="A5:A6"/>
    <mergeCell ref="R5:T5"/>
    <mergeCell ref="O5:Q5"/>
    <mergeCell ref="L5:N5"/>
    <mergeCell ref="F5:H5"/>
    <mergeCell ref="I5:K5"/>
    <mergeCell ref="AD5:AF5"/>
    <mergeCell ref="AA5:AC5"/>
    <mergeCell ref="AV5:AX5"/>
    <mergeCell ref="AM5:AO5"/>
    <mergeCell ref="AP5:AR5"/>
    <mergeCell ref="AS5:AU5"/>
    <mergeCell ref="C5:C6"/>
    <mergeCell ref="AJ5:AL5"/>
  </mergeCells>
  <pageMargins left="0.25" right="0.25" top="0.75" bottom="0.75" header="0.3" footer="0.3"/>
  <pageSetup paperSize="9" scale="4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DQ1172"/>
  <sheetViews>
    <sheetView showZeros="0" zoomScaleNormal="100" workbookViewId="0">
      <pane xSplit="7" ySplit="5" topLeftCell="H6" activePane="bottomRight" state="frozen"/>
      <selection pane="topRight" activeCell="H1" sqref="H1"/>
      <selection pane="bottomLeft" activeCell="A6" sqref="A6"/>
      <selection pane="bottomRight" activeCell="AT12" sqref="AT12"/>
    </sheetView>
  </sheetViews>
  <sheetFormatPr defaultColWidth="8.85546875" defaultRowHeight="15" x14ac:dyDescent="0.25"/>
  <cols>
    <col min="1" max="1" width="11.7109375" style="400" customWidth="1"/>
    <col min="2" max="2" width="15" style="395" customWidth="1"/>
    <col min="3" max="3" width="13.7109375" style="395" customWidth="1"/>
    <col min="4" max="4" width="13" style="395" customWidth="1"/>
    <col min="5" max="5" width="14.28515625" style="395" customWidth="1"/>
    <col min="6" max="6" width="13.85546875" style="395" customWidth="1"/>
    <col min="7" max="7" width="31.140625" style="395" customWidth="1"/>
    <col min="8" max="23" width="11" style="510" customWidth="1"/>
    <col min="24" max="24" width="9.140625" style="83" bestFit="1" customWidth="1"/>
    <col min="25" max="25" width="17" style="87" hidden="1" customWidth="1"/>
    <col min="26" max="26" width="17.42578125" style="87" hidden="1" customWidth="1"/>
    <col min="27" max="27" width="12.28515625" style="87" hidden="1" customWidth="1"/>
    <col min="28" max="28" width="18.85546875" style="87" hidden="1" customWidth="1"/>
    <col min="29" max="29" width="15.28515625" style="87" hidden="1" customWidth="1"/>
    <col min="30" max="30" width="14" style="87" hidden="1" customWidth="1"/>
    <col min="31" max="31" width="17" style="87" hidden="1" customWidth="1"/>
    <col min="32" max="32" width="16.5703125" style="87" hidden="1" customWidth="1"/>
    <col min="33" max="33" width="19.28515625" style="87" hidden="1" customWidth="1"/>
    <col min="34" max="34" width="17" style="87" hidden="1" customWidth="1"/>
    <col min="35" max="35" width="25" style="87" hidden="1" customWidth="1"/>
    <col min="36" max="36" width="18" style="87" hidden="1" customWidth="1"/>
    <col min="37" max="37" width="24" style="87" hidden="1" customWidth="1"/>
    <col min="38" max="38" width="20.140625" style="87" hidden="1" customWidth="1"/>
    <col min="39" max="39" width="11.140625" style="87" hidden="1" customWidth="1"/>
    <col min="40" max="40" width="15.28515625" style="87" hidden="1" customWidth="1"/>
    <col min="41" max="41" width="3" style="87" hidden="1" customWidth="1"/>
    <col min="42" max="42" width="3.7109375" style="87" hidden="1" customWidth="1"/>
    <col min="43" max="43" width="14.85546875" style="395" customWidth="1"/>
    <col min="44" max="44" width="15.85546875" style="701" customWidth="1"/>
    <col min="45" max="45" width="16.42578125" style="395" customWidth="1"/>
    <col min="46" max="46" width="18.140625" style="395" customWidth="1"/>
    <col min="47" max="47" width="8.5703125" style="395" customWidth="1"/>
    <col min="48" max="48" width="10.5703125" style="395" customWidth="1"/>
    <col min="49" max="49" width="67.28515625" style="395" bestFit="1" customWidth="1"/>
    <col min="50" max="121" width="8.85546875" style="670"/>
    <col min="122" max="16384" width="8.85546875" style="395"/>
  </cols>
  <sheetData>
    <row r="1" spans="1:121" s="381" customFormat="1" ht="36" x14ac:dyDescent="0.25">
      <c r="A1" s="208"/>
      <c r="B1" s="209"/>
      <c r="C1" s="209"/>
      <c r="D1" s="209"/>
      <c r="E1" s="209"/>
      <c r="F1" s="209"/>
      <c r="G1" s="209"/>
      <c r="H1" s="509"/>
      <c r="I1" s="513">
        <f>'NFI Summary'!W3</f>
        <v>1</v>
      </c>
      <c r="J1" s="509"/>
      <c r="K1" s="509"/>
      <c r="L1" s="509"/>
      <c r="M1" s="509"/>
      <c r="N1" s="509"/>
      <c r="O1" s="509"/>
      <c r="P1" s="509"/>
      <c r="Q1" s="509"/>
      <c r="R1" s="509"/>
      <c r="S1" s="509"/>
      <c r="T1" s="509"/>
      <c r="U1" s="509"/>
      <c r="V1" s="509"/>
      <c r="W1" s="509"/>
      <c r="X1" s="509"/>
      <c r="Y1" s="216"/>
      <c r="Z1" s="216"/>
      <c r="AA1" s="216"/>
      <c r="AB1" s="216"/>
      <c r="AC1" s="216"/>
      <c r="AD1" s="216"/>
      <c r="AE1" s="217"/>
      <c r="AF1" s="217"/>
      <c r="AG1" s="217"/>
      <c r="AH1" s="217"/>
      <c r="AI1" s="217"/>
      <c r="AJ1" s="217"/>
      <c r="AK1" s="217"/>
      <c r="AL1" s="217"/>
      <c r="AM1" s="217"/>
      <c r="AN1" s="217"/>
      <c r="AO1" s="217"/>
      <c r="AP1" s="217"/>
      <c r="AQ1" s="379"/>
      <c r="AR1" s="696"/>
      <c r="AS1" s="379"/>
      <c r="AT1" s="379"/>
      <c r="AU1" s="379"/>
      <c r="AV1" s="379"/>
      <c r="AW1" s="380"/>
      <c r="AX1" s="671"/>
      <c r="AY1" s="671"/>
      <c r="AZ1" s="671"/>
      <c r="BA1" s="671"/>
      <c r="BB1" s="671"/>
      <c r="BC1" s="671"/>
      <c r="BD1" s="671"/>
      <c r="BE1" s="671"/>
      <c r="BF1" s="671"/>
      <c r="BG1" s="671"/>
      <c r="BH1" s="671"/>
      <c r="BI1" s="671"/>
      <c r="BJ1" s="671"/>
      <c r="BK1" s="671"/>
      <c r="BL1" s="671"/>
      <c r="BM1" s="671"/>
      <c r="BN1" s="671"/>
      <c r="BO1" s="671"/>
      <c r="BP1" s="671"/>
      <c r="BQ1" s="671"/>
      <c r="BR1" s="671"/>
      <c r="BS1" s="671"/>
      <c r="BT1" s="671"/>
      <c r="BU1" s="671"/>
      <c r="BV1" s="671"/>
      <c r="BW1" s="671"/>
      <c r="BX1" s="671"/>
      <c r="BY1" s="671"/>
      <c r="BZ1" s="671"/>
      <c r="CA1" s="671"/>
      <c r="CB1" s="671"/>
      <c r="CC1" s="671"/>
      <c r="CD1" s="671"/>
      <c r="CE1" s="671"/>
      <c r="CF1" s="671"/>
      <c r="CG1" s="671"/>
      <c r="CH1" s="671"/>
      <c r="CI1" s="671"/>
      <c r="CJ1" s="671"/>
      <c r="CK1" s="671"/>
      <c r="CL1" s="671"/>
      <c r="CM1" s="671"/>
      <c r="CN1" s="671"/>
      <c r="CO1" s="671"/>
      <c r="CP1" s="671"/>
      <c r="CQ1" s="671"/>
      <c r="CR1" s="671"/>
      <c r="CS1" s="671"/>
      <c r="CT1" s="671"/>
      <c r="CU1" s="671"/>
      <c r="CV1" s="671"/>
      <c r="CW1" s="671"/>
      <c r="CX1" s="671"/>
      <c r="CY1" s="671"/>
      <c r="CZ1" s="671"/>
      <c r="DA1" s="671"/>
      <c r="DB1" s="671"/>
      <c r="DC1" s="671"/>
      <c r="DD1" s="671"/>
      <c r="DE1" s="671"/>
      <c r="DF1" s="671"/>
      <c r="DG1" s="671"/>
      <c r="DH1" s="671"/>
      <c r="DI1" s="671"/>
      <c r="DJ1" s="671"/>
      <c r="DK1" s="671"/>
      <c r="DL1" s="671"/>
      <c r="DM1" s="671"/>
      <c r="DN1" s="671"/>
      <c r="DO1" s="671"/>
      <c r="DP1" s="671"/>
      <c r="DQ1" s="671"/>
    </row>
    <row r="2" spans="1:121" s="381" customFormat="1" ht="33" customHeight="1" x14ac:dyDescent="0.25">
      <c r="A2" s="961" t="s">
        <v>433</v>
      </c>
      <c r="B2" s="962"/>
      <c r="C2" s="962"/>
      <c r="D2" s="962"/>
      <c r="E2" s="962"/>
      <c r="F2" s="962"/>
      <c r="G2" s="962"/>
      <c r="H2" s="962"/>
      <c r="I2" s="511"/>
      <c r="J2" s="511"/>
      <c r="K2" s="511"/>
      <c r="L2" s="511"/>
      <c r="M2" s="511" t="s">
        <v>600</v>
      </c>
      <c r="N2" s="511"/>
      <c r="O2" s="511"/>
      <c r="P2" s="511"/>
      <c r="Q2" s="511"/>
      <c r="R2" s="511"/>
      <c r="S2" s="511" t="s">
        <v>1506</v>
      </c>
      <c r="T2" s="511"/>
      <c r="U2" s="511"/>
      <c r="V2" s="511"/>
      <c r="W2" s="511"/>
      <c r="X2" s="511"/>
      <c r="Y2" s="82"/>
      <c r="Z2" s="82"/>
      <c r="AA2" s="82"/>
      <c r="AB2" s="82"/>
      <c r="AC2" s="82"/>
      <c r="AD2" s="82"/>
      <c r="AE2" s="82"/>
      <c r="AF2" s="82"/>
      <c r="AG2" s="82"/>
      <c r="AH2" s="82"/>
      <c r="AI2" s="82"/>
      <c r="AJ2" s="82"/>
      <c r="AK2" s="82"/>
      <c r="AL2" s="82"/>
      <c r="AM2" s="82"/>
      <c r="AN2" s="82"/>
      <c r="AO2" s="82"/>
      <c r="AP2" s="82"/>
      <c r="AQ2" s="382"/>
      <c r="AR2" s="697"/>
      <c r="AS2" s="382"/>
      <c r="AT2" s="382"/>
      <c r="AU2" s="382"/>
      <c r="AV2" s="382"/>
      <c r="AW2" s="383"/>
      <c r="AX2" s="671"/>
      <c r="AY2" s="671"/>
      <c r="AZ2" s="671"/>
      <c r="BA2" s="671"/>
      <c r="BB2" s="671"/>
      <c r="BC2" s="671"/>
      <c r="BD2" s="671"/>
      <c r="BE2" s="671"/>
      <c r="BF2" s="671"/>
      <c r="BG2" s="671"/>
      <c r="BH2" s="671"/>
      <c r="BI2" s="671"/>
      <c r="BJ2" s="671"/>
      <c r="BK2" s="671"/>
      <c r="BL2" s="671"/>
      <c r="BM2" s="671"/>
      <c r="BN2" s="671"/>
      <c r="BO2" s="671"/>
      <c r="BP2" s="671"/>
      <c r="BQ2" s="671"/>
      <c r="BR2" s="671"/>
      <c r="BS2" s="671"/>
      <c r="BT2" s="671"/>
      <c r="BU2" s="671"/>
      <c r="BV2" s="671"/>
      <c r="BW2" s="671"/>
      <c r="BX2" s="671"/>
      <c r="BY2" s="671"/>
      <c r="BZ2" s="671"/>
      <c r="CA2" s="671"/>
      <c r="CB2" s="671"/>
      <c r="CC2" s="671"/>
      <c r="CD2" s="671"/>
      <c r="CE2" s="671"/>
      <c r="CF2" s="671"/>
      <c r="CG2" s="671"/>
      <c r="CH2" s="671"/>
      <c r="CI2" s="671"/>
      <c r="CJ2" s="671"/>
      <c r="CK2" s="671"/>
      <c r="CL2" s="671"/>
      <c r="CM2" s="671"/>
      <c r="CN2" s="671"/>
      <c r="CO2" s="671"/>
      <c r="CP2" s="671"/>
      <c r="CQ2" s="671"/>
      <c r="CR2" s="671"/>
      <c r="CS2" s="671"/>
      <c r="CT2" s="671"/>
      <c r="CU2" s="671"/>
      <c r="CV2" s="671"/>
      <c r="CW2" s="671"/>
      <c r="CX2" s="671"/>
      <c r="CY2" s="671"/>
      <c r="CZ2" s="671"/>
      <c r="DA2" s="671"/>
      <c r="DB2" s="671"/>
      <c r="DC2" s="671"/>
      <c r="DD2" s="671"/>
      <c r="DE2" s="671"/>
      <c r="DF2" s="671"/>
      <c r="DG2" s="671"/>
      <c r="DH2" s="671"/>
      <c r="DI2" s="671"/>
      <c r="DJ2" s="671"/>
      <c r="DK2" s="671"/>
      <c r="DL2" s="671"/>
      <c r="DM2" s="671"/>
      <c r="DN2" s="671"/>
      <c r="DO2" s="671"/>
      <c r="DP2" s="671"/>
      <c r="DQ2" s="671"/>
    </row>
    <row r="3" spans="1:121" s="94" customFormat="1" ht="18" customHeight="1" x14ac:dyDescent="0.25">
      <c r="A3" s="963">
        <f>Definition!B23</f>
        <v>42856</v>
      </c>
      <c r="B3" s="964"/>
      <c r="C3" s="964"/>
      <c r="D3" s="964"/>
      <c r="E3" s="964"/>
      <c r="F3" s="964"/>
      <c r="G3" s="964"/>
      <c r="H3" s="964"/>
      <c r="I3" s="512"/>
      <c r="J3" s="512"/>
      <c r="K3" s="512"/>
      <c r="L3" s="512"/>
      <c r="M3" s="512"/>
      <c r="N3" s="512"/>
      <c r="O3" s="512"/>
      <c r="P3" s="512"/>
      <c r="Q3" s="512"/>
      <c r="R3" s="512"/>
      <c r="S3" s="512"/>
      <c r="T3" s="512"/>
      <c r="U3" s="512"/>
      <c r="V3" s="512"/>
      <c r="W3" s="512"/>
      <c r="X3" s="512"/>
      <c r="Y3" s="218"/>
      <c r="Z3" s="218"/>
      <c r="AA3" s="218"/>
      <c r="AB3" s="218"/>
      <c r="AC3" s="218"/>
      <c r="AD3" s="219"/>
      <c r="AE3" s="219"/>
      <c r="AF3" s="219"/>
      <c r="AG3" s="219"/>
      <c r="AH3" s="219"/>
      <c r="AI3" s="219"/>
      <c r="AJ3" s="219"/>
      <c r="AK3" s="219"/>
      <c r="AL3" s="219"/>
      <c r="AM3" s="219"/>
      <c r="AN3" s="219"/>
      <c r="AO3" s="219"/>
      <c r="AP3" s="219"/>
      <c r="AQ3" s="384"/>
      <c r="AR3" s="698"/>
      <c r="AS3" s="384"/>
      <c r="AT3" s="384"/>
      <c r="AU3" s="384"/>
      <c r="AV3" s="384"/>
      <c r="AW3" s="385"/>
      <c r="AX3" s="402"/>
      <c r="AY3" s="402"/>
      <c r="AZ3" s="402"/>
      <c r="BA3" s="402"/>
      <c r="BB3" s="402"/>
      <c r="BC3" s="402"/>
      <c r="BD3" s="402"/>
      <c r="BE3" s="402"/>
      <c r="BF3" s="402"/>
      <c r="BG3" s="402"/>
      <c r="BH3" s="402"/>
      <c r="BI3" s="402"/>
      <c r="BJ3" s="402"/>
      <c r="BK3" s="402"/>
      <c r="BL3" s="402"/>
      <c r="BM3" s="402"/>
      <c r="BN3" s="402"/>
      <c r="BO3" s="402"/>
      <c r="BP3" s="402"/>
      <c r="BQ3" s="402"/>
      <c r="BR3" s="402"/>
      <c r="BS3" s="402"/>
      <c r="BT3" s="402"/>
      <c r="BU3" s="402"/>
      <c r="BV3" s="402"/>
      <c r="BW3" s="402"/>
      <c r="BX3" s="402"/>
      <c r="BY3" s="402"/>
      <c r="BZ3" s="402"/>
      <c r="CA3" s="402"/>
      <c r="CB3" s="402"/>
      <c r="CC3" s="402"/>
      <c r="CD3" s="402"/>
      <c r="CE3" s="402"/>
      <c r="CF3" s="402"/>
      <c r="CG3" s="402"/>
      <c r="CH3" s="402"/>
      <c r="CI3" s="402"/>
      <c r="CJ3" s="402"/>
      <c r="CK3" s="402"/>
      <c r="CL3" s="402"/>
      <c r="CM3" s="402"/>
      <c r="CN3" s="402"/>
      <c r="CO3" s="402"/>
      <c r="CP3" s="402"/>
      <c r="CQ3" s="402"/>
      <c r="CR3" s="402"/>
      <c r="CS3" s="402"/>
      <c r="CT3" s="402"/>
      <c r="CU3" s="402"/>
      <c r="CV3" s="402"/>
      <c r="CW3" s="402"/>
      <c r="CX3" s="402"/>
      <c r="CY3" s="402"/>
      <c r="CZ3" s="402"/>
      <c r="DA3" s="402"/>
      <c r="DB3" s="402"/>
      <c r="DC3" s="402"/>
      <c r="DD3" s="402"/>
      <c r="DE3" s="402"/>
      <c r="DF3" s="402"/>
      <c r="DG3" s="402"/>
      <c r="DH3" s="402"/>
      <c r="DI3" s="402"/>
      <c r="DJ3" s="402"/>
      <c r="DK3" s="402"/>
      <c r="DL3" s="402"/>
      <c r="DM3" s="402"/>
      <c r="DN3" s="402"/>
      <c r="DO3" s="402"/>
      <c r="DP3" s="402"/>
      <c r="DQ3" s="402"/>
    </row>
    <row r="4" spans="1:121" s="94" customFormat="1" ht="18" hidden="1" customHeight="1" x14ac:dyDescent="0.25">
      <c r="A4" s="995"/>
      <c r="B4" s="996"/>
      <c r="C4" s="996"/>
      <c r="D4" s="32"/>
      <c r="E4" s="32"/>
      <c r="F4" s="32"/>
      <c r="G4" s="32"/>
      <c r="H4" s="85"/>
      <c r="I4" s="85"/>
      <c r="J4" s="85"/>
      <c r="K4" s="84"/>
      <c r="L4" s="85"/>
      <c r="M4" s="85"/>
      <c r="N4" s="85"/>
      <c r="O4" s="85"/>
      <c r="P4" s="85"/>
      <c r="Q4" s="85"/>
      <c r="R4" s="85"/>
      <c r="S4" s="85"/>
      <c r="T4" s="85"/>
      <c r="U4" s="85"/>
      <c r="V4" s="85"/>
      <c r="W4" s="85"/>
      <c r="X4" s="85"/>
      <c r="Y4" s="85"/>
      <c r="Z4" s="85"/>
      <c r="AA4" s="85"/>
      <c r="AB4" s="86"/>
      <c r="AC4" s="85"/>
      <c r="AD4" s="85"/>
      <c r="AE4" s="84"/>
      <c r="AF4" s="84"/>
      <c r="AG4" s="84"/>
      <c r="AH4" s="84"/>
      <c r="AI4" s="84"/>
      <c r="AJ4" s="84"/>
      <c r="AK4" s="84"/>
      <c r="AL4" s="84"/>
      <c r="AM4" s="84"/>
      <c r="AN4" s="84"/>
      <c r="AO4" s="84"/>
      <c r="AP4" s="84"/>
      <c r="AR4" s="699"/>
      <c r="AW4" s="387"/>
      <c r="AX4" s="402"/>
      <c r="AY4" s="402"/>
      <c r="AZ4" s="402"/>
      <c r="BA4" s="402"/>
      <c r="BB4" s="402"/>
      <c r="BC4" s="402"/>
      <c r="BD4" s="402"/>
      <c r="BE4" s="402"/>
      <c r="BF4" s="402"/>
      <c r="BG4" s="402"/>
      <c r="BH4" s="402"/>
      <c r="BI4" s="402"/>
      <c r="BJ4" s="402"/>
      <c r="BK4" s="402"/>
      <c r="BL4" s="402"/>
      <c r="BM4" s="402"/>
      <c r="BN4" s="402"/>
      <c r="BO4" s="402"/>
      <c r="BP4" s="402"/>
      <c r="BQ4" s="402"/>
      <c r="BR4" s="402"/>
      <c r="BS4" s="402"/>
      <c r="BT4" s="402"/>
      <c r="BU4" s="402"/>
      <c r="BV4" s="402"/>
      <c r="BW4" s="402"/>
      <c r="BX4" s="402"/>
      <c r="BY4" s="402"/>
      <c r="BZ4" s="402"/>
      <c r="CA4" s="402"/>
      <c r="CB4" s="402"/>
      <c r="CC4" s="402"/>
      <c r="CD4" s="402"/>
      <c r="CE4" s="402"/>
      <c r="CF4" s="402"/>
      <c r="CG4" s="402"/>
      <c r="CH4" s="402"/>
      <c r="CI4" s="402"/>
      <c r="CJ4" s="402"/>
      <c r="CK4" s="402"/>
      <c r="CL4" s="402"/>
      <c r="CM4" s="402"/>
      <c r="CN4" s="402"/>
      <c r="CO4" s="402"/>
      <c r="CP4" s="402"/>
      <c r="CQ4" s="402"/>
      <c r="CR4" s="402"/>
      <c r="CS4" s="402"/>
      <c r="CT4" s="402"/>
      <c r="CU4" s="402"/>
      <c r="CV4" s="402"/>
      <c r="CW4" s="402"/>
      <c r="CX4" s="402"/>
      <c r="CY4" s="402"/>
      <c r="CZ4" s="402"/>
      <c r="DA4" s="402"/>
      <c r="DB4" s="402"/>
      <c r="DC4" s="402"/>
      <c r="DD4" s="402"/>
      <c r="DE4" s="402"/>
      <c r="DF4" s="402"/>
      <c r="DG4" s="402"/>
      <c r="DH4" s="402"/>
      <c r="DI4" s="402"/>
      <c r="DJ4" s="402"/>
      <c r="DK4" s="402"/>
      <c r="DL4" s="402"/>
      <c r="DM4" s="402"/>
      <c r="DN4" s="402"/>
      <c r="DO4" s="402"/>
      <c r="DP4" s="402"/>
      <c r="DQ4" s="402"/>
    </row>
    <row r="5" spans="1:121" s="388" customFormat="1" ht="69.75" customHeight="1" x14ac:dyDescent="0.25">
      <c r="A5" s="259" t="s">
        <v>438</v>
      </c>
      <c r="B5" s="259" t="s">
        <v>412</v>
      </c>
      <c r="C5" s="259" t="s">
        <v>402</v>
      </c>
      <c r="D5" s="259" t="s">
        <v>413</v>
      </c>
      <c r="E5" s="259" t="s">
        <v>395</v>
      </c>
      <c r="F5" s="259" t="s">
        <v>0</v>
      </c>
      <c r="G5" s="259" t="s">
        <v>394</v>
      </c>
      <c r="H5" s="259" t="s">
        <v>454</v>
      </c>
      <c r="I5" s="259" t="s">
        <v>404</v>
      </c>
      <c r="J5" s="259" t="s">
        <v>455</v>
      </c>
      <c r="K5" s="259" t="s">
        <v>594</v>
      </c>
      <c r="L5" s="259" t="s">
        <v>456</v>
      </c>
      <c r="M5" s="259" t="s">
        <v>434</v>
      </c>
      <c r="N5" s="259" t="s">
        <v>435</v>
      </c>
      <c r="O5" s="259" t="s">
        <v>1207</v>
      </c>
      <c r="P5" s="259" t="s">
        <v>576</v>
      </c>
      <c r="Q5" s="259" t="s">
        <v>577</v>
      </c>
      <c r="R5" s="259" t="s">
        <v>986</v>
      </c>
      <c r="S5" s="259" t="s">
        <v>990</v>
      </c>
      <c r="T5" s="259" t="s">
        <v>994</v>
      </c>
      <c r="U5" s="259" t="s">
        <v>1106</v>
      </c>
      <c r="V5" s="259" t="s">
        <v>1293</v>
      </c>
      <c r="W5" s="259" t="s">
        <v>1308</v>
      </c>
      <c r="X5" s="259" t="s">
        <v>1309</v>
      </c>
      <c r="Y5" s="260" t="s">
        <v>1129</v>
      </c>
      <c r="Z5" s="260" t="s">
        <v>1130</v>
      </c>
      <c r="AA5" s="260" t="s">
        <v>1131</v>
      </c>
      <c r="AB5" s="260" t="s">
        <v>1132</v>
      </c>
      <c r="AC5" s="260" t="s">
        <v>1133</v>
      </c>
      <c r="AD5" s="260" t="s">
        <v>1135</v>
      </c>
      <c r="AE5" s="260" t="s">
        <v>1134</v>
      </c>
      <c r="AF5" s="260" t="s">
        <v>1208</v>
      </c>
      <c r="AG5" s="260" t="s">
        <v>1136</v>
      </c>
      <c r="AH5" s="260" t="s">
        <v>1137</v>
      </c>
      <c r="AI5" s="260" t="s">
        <v>1138</v>
      </c>
      <c r="AJ5" s="260" t="s">
        <v>1139</v>
      </c>
      <c r="AK5" s="260" t="s">
        <v>1140</v>
      </c>
      <c r="AL5" s="260" t="s">
        <v>1141</v>
      </c>
      <c r="AM5" s="260" t="s">
        <v>1144</v>
      </c>
      <c r="AN5" s="260" t="s">
        <v>1294</v>
      </c>
      <c r="AO5" s="260" t="s">
        <v>1441</v>
      </c>
      <c r="AP5" s="260" t="s">
        <v>1442</v>
      </c>
      <c r="AQ5" s="259" t="s">
        <v>557</v>
      </c>
      <c r="AR5" s="700" t="s">
        <v>1128</v>
      </c>
      <c r="AS5" s="259" t="s">
        <v>497</v>
      </c>
      <c r="AT5" s="259" t="s">
        <v>1075</v>
      </c>
      <c r="AU5" s="259" t="s">
        <v>440</v>
      </c>
      <c r="AV5" s="259" t="s">
        <v>1086</v>
      </c>
      <c r="AW5" s="259" t="s">
        <v>495</v>
      </c>
      <c r="AX5" s="729"/>
      <c r="AY5" s="729"/>
      <c r="AZ5" s="729"/>
      <c r="BA5" s="729"/>
      <c r="BB5" s="729"/>
      <c r="BC5" s="729"/>
      <c r="BD5" s="729"/>
      <c r="BE5" s="729"/>
      <c r="BF5" s="729"/>
      <c r="BG5" s="729"/>
      <c r="BH5" s="729"/>
      <c r="BI5" s="729"/>
      <c r="BJ5" s="729"/>
      <c r="BK5" s="729"/>
      <c r="BL5" s="729"/>
      <c r="BM5" s="729"/>
      <c r="BN5" s="729"/>
      <c r="BO5" s="729"/>
      <c r="BP5" s="729"/>
      <c r="BQ5" s="729"/>
      <c r="BR5" s="729"/>
      <c r="BS5" s="729"/>
      <c r="BT5" s="729"/>
      <c r="BU5" s="729"/>
      <c r="BV5" s="729"/>
      <c r="BW5" s="729"/>
      <c r="BX5" s="729"/>
      <c r="BY5" s="729"/>
      <c r="BZ5" s="729"/>
      <c r="CA5" s="729"/>
      <c r="CB5" s="729"/>
      <c r="CC5" s="729"/>
      <c r="CD5" s="729"/>
      <c r="CE5" s="729"/>
      <c r="CF5" s="729"/>
      <c r="CG5" s="729"/>
      <c r="CH5" s="729"/>
      <c r="CI5" s="729"/>
      <c r="CJ5" s="729"/>
      <c r="CK5" s="729"/>
      <c r="CL5" s="729"/>
      <c r="CM5" s="729"/>
      <c r="CN5" s="729"/>
      <c r="CO5" s="729"/>
      <c r="CP5" s="729"/>
      <c r="CQ5" s="729"/>
      <c r="CR5" s="729"/>
      <c r="CS5" s="729"/>
      <c r="CT5" s="729"/>
      <c r="CU5" s="729"/>
      <c r="CV5" s="729"/>
      <c r="CW5" s="729"/>
      <c r="CX5" s="729"/>
      <c r="CY5" s="729"/>
      <c r="CZ5" s="729"/>
      <c r="DA5" s="729"/>
      <c r="DB5" s="729"/>
      <c r="DC5" s="729"/>
      <c r="DD5" s="729"/>
      <c r="DE5" s="729"/>
      <c r="DF5" s="729"/>
      <c r="DG5" s="729"/>
      <c r="DH5" s="729"/>
      <c r="DI5" s="729"/>
      <c r="DJ5" s="729"/>
      <c r="DK5" s="729"/>
      <c r="DL5" s="729"/>
      <c r="DM5" s="729"/>
      <c r="DN5" s="729"/>
      <c r="DO5" s="729"/>
      <c r="DP5" s="729"/>
      <c r="DQ5" s="729"/>
    </row>
    <row r="6" spans="1:121" s="423" customFormat="1" ht="16.149999999999999" customHeight="1" x14ac:dyDescent="0.25">
      <c r="A6" s="839">
        <f t="shared" ref="A6:A69" si="0">IF(ISBLANK(B6),"",(Report_Date-B6)/30)</f>
        <v>-0.96666666666666667</v>
      </c>
      <c r="B6" s="840">
        <v>42885</v>
      </c>
      <c r="C6" s="841" t="s">
        <v>1562</v>
      </c>
      <c r="D6" s="841" t="s">
        <v>1562</v>
      </c>
      <c r="E6" s="841" t="s">
        <v>552</v>
      </c>
      <c r="F6" s="841" t="s">
        <v>298</v>
      </c>
      <c r="G6" s="262" t="s">
        <v>820</v>
      </c>
      <c r="H6" s="842"/>
      <c r="I6" s="842"/>
      <c r="J6" s="842"/>
      <c r="K6" s="842">
        <v>46</v>
      </c>
      <c r="L6" s="842">
        <v>9</v>
      </c>
      <c r="M6" s="842">
        <v>46</v>
      </c>
      <c r="N6" s="842">
        <v>46</v>
      </c>
      <c r="O6" s="842"/>
      <c r="P6" s="842"/>
      <c r="Q6" s="842">
        <v>46</v>
      </c>
      <c r="R6" s="842"/>
      <c r="S6" s="842"/>
      <c r="T6" s="842"/>
      <c r="U6" s="842"/>
      <c r="V6" s="843"/>
      <c r="W6" s="842"/>
      <c r="X6" s="842"/>
      <c r="Y6" s="844">
        <f>IF(NFI_Expiration=1,IF($A6&lt;VLOOKUP(H$5,NFI,5,0),1,0)*Table_NFI[[#This Row],[Hygiene Kit]],Table_NFI[Hygiene Kit])</f>
        <v>0</v>
      </c>
      <c r="Z6" s="844">
        <f>IF(NFI_Expiration=1,IF($A6&lt;VLOOKUP(I$5,NFI,5,0),1,0)*Table_NFI[[#This Row],[NFI Core Kit]],Table_NFI[NFI Core Kit])</f>
        <v>0</v>
      </c>
      <c r="AA6" s="844">
        <f>IF(NFI_Expiration=1,IF($A6&lt;VLOOKUP(J$5,NFI,5,0),1,0)*Table_NFI[[#This Row],[Sanitary Kit]],Table_NFI[Sanitary Kit])</f>
        <v>0</v>
      </c>
      <c r="AB6" s="844">
        <f>IF(NFI_Expiration=1,IF($A6&lt;VLOOKUP(K$5,NFI,5,0),1,0)*Table_NFI[[#This Row],[Mosquito net]],Table_NFI[Mosquito net])</f>
        <v>46</v>
      </c>
      <c r="AC6" s="844">
        <f>IF(NFI_Expiration=1,IF($A6&lt;VLOOKUP(L$5,NFI,5,0),1,0)*Table_NFI[[#This Row],[Tarpaulin]],Table_NFI[[#This Row],[Tarpaulin]])</f>
        <v>9</v>
      </c>
      <c r="AD6" s="844">
        <f>IF(NFI_Expiration=1,IF($A6&lt;VLOOKUP(M$5,NFI,5,0),1,0)*Table_NFI[[#This Row],[Blanket]],Table_NFI[[#This Row],[Blanket]])</f>
        <v>46</v>
      </c>
      <c r="AE6" s="844">
        <f>IF(NFI_Expiration=1,IF($A6&lt;VLOOKUP(N$5,NFI,5,0),1,0)*Table_NFI[[#This Row],[Kitchen Set]],Table_NFI[Kitchen Set])</f>
        <v>46</v>
      </c>
      <c r="AF6" s="844">
        <f>IF(NFI_Expiration=1,IF($A6&lt;VLOOKUP(O$5,NFI,5,0),1,0)*Table_NFI[[#This Row],[Clothes Kit]],Table_NFI[Clothes Kit])</f>
        <v>0</v>
      </c>
      <c r="AG6" s="844">
        <f>IF(NFI_Expiration=1,IF($A6&lt;VLOOKUP(P$5,NFI,5,0),1,0)*Table_NFI[[#This Row],[Plastic Bucket]],Table_NFI[Plastic Bucket])</f>
        <v>0</v>
      </c>
      <c r="AH6" s="844">
        <f>IF(NFI_Expiration=1,IF($A6&lt;VLOOKUP(Q$5,NFI,5,0),1,0)*Table_NFI[[#This Row],[Plastic Mat]],Table_NFI[Plastic Mat])*IF(Table_NFI[[#This Row],[Distribution Date]]&gt;"2014-04-01",1,2.5)</f>
        <v>115</v>
      </c>
      <c r="AI6" s="844">
        <f>IF(NFI_Expiration=1,IF($A6&lt;VLOOKUP(R$5,NFI,5,0),1,0)*Table_NFI[[#This Row],[Winter Clothes Adult]],Table_NFI[Winter Clothes Adult])</f>
        <v>0</v>
      </c>
      <c r="AJ6" s="844">
        <f>IF(NFI_Expiration=1,IF($A6&lt;VLOOKUP(S$5,NFI,5,0),1,0)*Table_NFI[[#This Row],[Winter Clothes Children]],Table_NFI[Winter Clothes Children])</f>
        <v>0</v>
      </c>
      <c r="AK6" s="844">
        <f>IF(NFI_Expiration=1,IF($A6&lt;VLOOKUP(T$5,NFI,5,0),1,0)*Table_NFI[[#This Row],[Winter Items Other]],Table_NFI[Winter Items Other])</f>
        <v>0</v>
      </c>
      <c r="AL6" s="844">
        <f>IF(NFI_Expiration=1,IF($A6&lt;VLOOKUP(M$5,NFI,5,0),1,0)*Table_NFI[[#This Row],[Winter Blanket]],Table_NFI[[#This Row],[Winter Blanket]])</f>
        <v>0</v>
      </c>
      <c r="AM6" s="844">
        <f>IF(Table_NFI[[#This Row],[Winter Clothes Adult]]+Table_NFI[[#This Row],[Winter Clothes Children]]+Table_NFI[[#This Row],[Winter Items Other]]+Table_NFI[[#This Row],[Winter Blanket]]&gt;0,1,0)</f>
        <v>0</v>
      </c>
      <c r="AN6" s="845">
        <f>IF(NFI_Expiration=1,IF($A6&lt;VLOOKUP(V$5,NFI,5,0),1,0)*Table_NFI[[#This Row],[Jerry Can]],Table_NFI[Jerry Can])</f>
        <v>0</v>
      </c>
      <c r="AO6" s="845">
        <f>IF(NFI_Expiration=1,IF($A6&lt;VLOOKUP(V$5,NFI,5,0),1,0)*Table_NFI[[#This Row],[Shelter Tool kit]],Table_NFI[Shelter Tool kit])</f>
        <v>0</v>
      </c>
      <c r="AP6" s="845">
        <f>IF(NFI_Expiration=1,IF($A6&lt;VLOOKUP(V$5,NFI,5,0),1,0)*Table_NFI[[#This Row],[Tent]],Table_NFI[Tent])</f>
        <v>0</v>
      </c>
      <c r="AQ6" s="846" t="str">
        <f>IFERROR(VLOOKUP(Table_NFI[[#This Row],[Camp Name]],CL,2,0),"")</f>
        <v>MMR015CMP014</v>
      </c>
      <c r="AR6" s="702">
        <f ca="1">IF(Table_NFI[[#This Row],[Pcode]]="","",IF(OFFSET(CampList[Opening Date],MATCH(Table_NFI[[#This Row],[Pcode]],CampList[CP_Pcode],0)-1,0,1,1)&gt;=NFI_Monitor_Date,1,0))</f>
        <v>0</v>
      </c>
      <c r="AS6" s="846" t="str">
        <f>IFERROR(VLOOKUP(Table_NFI[[#This Row],[Camp Name]],CL,3,0),"")</f>
        <v>Open</v>
      </c>
      <c r="AT6" s="844" t="str">
        <f ca="1">IF(Table_NFI[[#This Row],[Pcode]]="","",OFFSET(CampList[Priority],MATCH(Table_NFI[[#This Row],[Pcode]],CampList[CP_Pcode],0)-1,0,1,1))</f>
        <v>P3</v>
      </c>
      <c r="AU6" s="847">
        <f>IFERROR(Table_NFI[[#This Row],[Kitchen Set]]/VLOOKUP(Table_NFI[[#This Row],[Camp Name]],CL,4,0),"")</f>
        <v>1.121951219512195E-3</v>
      </c>
      <c r="AV6" s="841"/>
      <c r="AW6" s="849" t="s">
        <v>1706</v>
      </c>
      <c r="AX6" s="730"/>
      <c r="AY6" s="730"/>
      <c r="AZ6" s="730"/>
      <c r="BA6" s="730"/>
      <c r="BB6" s="730"/>
      <c r="BC6" s="730"/>
      <c r="BD6" s="730"/>
      <c r="BE6" s="730"/>
      <c r="BF6" s="730"/>
      <c r="BG6" s="730"/>
      <c r="BH6" s="730"/>
      <c r="BI6" s="730"/>
      <c r="BJ6" s="730"/>
      <c r="BK6" s="730"/>
      <c r="BL6" s="730"/>
      <c r="BM6" s="730"/>
      <c r="BN6" s="730"/>
      <c r="BO6" s="730"/>
      <c r="BP6" s="730"/>
      <c r="BQ6" s="730"/>
      <c r="BR6" s="730"/>
      <c r="BS6" s="730"/>
      <c r="BT6" s="730"/>
      <c r="BU6" s="730"/>
      <c r="BV6" s="730"/>
      <c r="BW6" s="730"/>
      <c r="BX6" s="730"/>
      <c r="BY6" s="730"/>
      <c r="BZ6" s="730"/>
      <c r="CA6" s="730"/>
      <c r="CB6" s="730"/>
      <c r="CC6" s="730"/>
      <c r="CD6" s="730"/>
      <c r="CE6" s="730"/>
      <c r="CF6" s="730"/>
      <c r="CG6" s="730"/>
      <c r="CH6" s="730"/>
      <c r="CI6" s="730"/>
      <c r="CJ6" s="730"/>
      <c r="CK6" s="730"/>
      <c r="CL6" s="730"/>
      <c r="CM6" s="730"/>
      <c r="CN6" s="730"/>
      <c r="CO6" s="730"/>
      <c r="CP6" s="730"/>
      <c r="CQ6" s="730"/>
      <c r="CR6" s="730"/>
      <c r="CS6" s="730"/>
      <c r="CT6" s="730"/>
      <c r="CU6" s="730"/>
      <c r="CV6" s="730"/>
      <c r="CW6" s="730"/>
      <c r="CX6" s="730"/>
      <c r="CY6" s="730"/>
      <c r="CZ6" s="730"/>
      <c r="DA6" s="730"/>
      <c r="DB6" s="730"/>
      <c r="DC6" s="730"/>
      <c r="DD6" s="730"/>
      <c r="DE6" s="730"/>
      <c r="DF6" s="730"/>
      <c r="DG6" s="730"/>
      <c r="DH6" s="730"/>
      <c r="DI6" s="730"/>
      <c r="DJ6" s="730"/>
      <c r="DK6" s="730"/>
      <c r="DL6" s="730"/>
      <c r="DM6" s="730"/>
      <c r="DN6" s="730"/>
      <c r="DO6" s="730"/>
      <c r="DP6" s="730"/>
      <c r="DQ6" s="730"/>
    </row>
    <row r="7" spans="1:121" s="423" customFormat="1" ht="16.149999999999999" customHeight="1" x14ac:dyDescent="0.25">
      <c r="A7" s="839">
        <f t="shared" si="0"/>
        <v>-0.96666666666666667</v>
      </c>
      <c r="B7" s="840">
        <v>42885</v>
      </c>
      <c r="C7" s="841" t="s">
        <v>1562</v>
      </c>
      <c r="D7" s="841" t="s">
        <v>1562</v>
      </c>
      <c r="E7" s="841" t="s">
        <v>552</v>
      </c>
      <c r="F7" s="841" t="s">
        <v>298</v>
      </c>
      <c r="G7" s="262" t="s">
        <v>1472</v>
      </c>
      <c r="H7" s="842"/>
      <c r="I7" s="842"/>
      <c r="J7" s="842"/>
      <c r="K7" s="842">
        <v>25</v>
      </c>
      <c r="L7" s="842">
        <v>5</v>
      </c>
      <c r="M7" s="842">
        <v>25</v>
      </c>
      <c r="N7" s="842">
        <v>25</v>
      </c>
      <c r="O7" s="842"/>
      <c r="P7" s="842"/>
      <c r="Q7" s="842">
        <v>25</v>
      </c>
      <c r="R7" s="842"/>
      <c r="S7" s="842"/>
      <c r="T7" s="842"/>
      <c r="U7" s="842"/>
      <c r="V7" s="843"/>
      <c r="W7" s="842"/>
      <c r="X7" s="842"/>
      <c r="Y7" s="844">
        <f>IF(NFI_Expiration=1,IF($A7&lt;VLOOKUP(H$5,NFI,5,0),1,0)*Table_NFI[[#This Row],[Hygiene Kit]],Table_NFI[Hygiene Kit])</f>
        <v>0</v>
      </c>
      <c r="Z7" s="844">
        <f>IF(NFI_Expiration=1,IF($A7&lt;VLOOKUP(I$5,NFI,5,0),1,0)*Table_NFI[[#This Row],[NFI Core Kit]],Table_NFI[NFI Core Kit])</f>
        <v>0</v>
      </c>
      <c r="AA7" s="844">
        <f>IF(NFI_Expiration=1,IF($A7&lt;VLOOKUP(J$5,NFI,5,0),1,0)*Table_NFI[[#This Row],[Sanitary Kit]],Table_NFI[Sanitary Kit])</f>
        <v>0</v>
      </c>
      <c r="AB7" s="844">
        <f>IF(NFI_Expiration=1,IF($A7&lt;VLOOKUP(K$5,NFI,5,0),1,0)*Table_NFI[[#This Row],[Mosquito net]],Table_NFI[Mosquito net])</f>
        <v>25</v>
      </c>
      <c r="AC7" s="844">
        <f>IF(NFI_Expiration=1,IF($A7&lt;VLOOKUP(L$5,NFI,5,0),1,0)*Table_NFI[[#This Row],[Tarpaulin]],Table_NFI[[#This Row],[Tarpaulin]])</f>
        <v>5</v>
      </c>
      <c r="AD7" s="844">
        <f>IF(NFI_Expiration=1,IF($A7&lt;VLOOKUP(M$5,NFI,5,0),1,0)*Table_NFI[[#This Row],[Blanket]],Table_NFI[[#This Row],[Blanket]])</f>
        <v>25</v>
      </c>
      <c r="AE7" s="844">
        <f>IF(NFI_Expiration=1,IF($A7&lt;VLOOKUP(N$5,NFI,5,0),1,0)*Table_NFI[[#This Row],[Kitchen Set]],Table_NFI[Kitchen Set])</f>
        <v>25</v>
      </c>
      <c r="AF7" s="844">
        <f>IF(NFI_Expiration=1,IF($A7&lt;VLOOKUP(O$5,NFI,5,0),1,0)*Table_NFI[[#This Row],[Clothes Kit]],Table_NFI[Clothes Kit])</f>
        <v>0</v>
      </c>
      <c r="AG7" s="844">
        <f>IF(NFI_Expiration=1,IF($A7&lt;VLOOKUP(P$5,NFI,5,0),1,0)*Table_NFI[[#This Row],[Plastic Bucket]],Table_NFI[Plastic Bucket])</f>
        <v>0</v>
      </c>
      <c r="AH7" s="844">
        <f>IF(NFI_Expiration=1,IF($A7&lt;VLOOKUP(Q$5,NFI,5,0),1,0)*Table_NFI[[#This Row],[Plastic Mat]],Table_NFI[Plastic Mat])*IF(Table_NFI[[#This Row],[Distribution Date]]&gt;"2014-04-01",1,2.5)</f>
        <v>62.5</v>
      </c>
      <c r="AI7" s="844">
        <f>IF(NFI_Expiration=1,IF($A7&lt;VLOOKUP(R$5,NFI,5,0),1,0)*Table_NFI[[#This Row],[Winter Clothes Adult]],Table_NFI[Winter Clothes Adult])</f>
        <v>0</v>
      </c>
      <c r="AJ7" s="844">
        <f>IF(NFI_Expiration=1,IF($A7&lt;VLOOKUP(S$5,NFI,5,0),1,0)*Table_NFI[[#This Row],[Winter Clothes Children]],Table_NFI[Winter Clothes Children])</f>
        <v>0</v>
      </c>
      <c r="AK7" s="844">
        <f>IF(NFI_Expiration=1,IF($A7&lt;VLOOKUP(T$5,NFI,5,0),1,0)*Table_NFI[[#This Row],[Winter Items Other]],Table_NFI[Winter Items Other])</f>
        <v>0</v>
      </c>
      <c r="AL7" s="844">
        <f>IF(NFI_Expiration=1,IF($A7&lt;VLOOKUP(M$5,NFI,5,0),1,0)*Table_NFI[[#This Row],[Winter Blanket]],Table_NFI[[#This Row],[Winter Blanket]])</f>
        <v>0</v>
      </c>
      <c r="AM7" s="844">
        <f>IF(Table_NFI[[#This Row],[Winter Clothes Adult]]+Table_NFI[[#This Row],[Winter Clothes Children]]+Table_NFI[[#This Row],[Winter Items Other]]+Table_NFI[[#This Row],[Winter Blanket]]&gt;0,1,0)</f>
        <v>0</v>
      </c>
      <c r="AN7" s="845">
        <f>IF(NFI_Expiration=1,IF($A7&lt;VLOOKUP(V$5,NFI,5,0),1,0)*Table_NFI[[#This Row],[Jerry Can]],Table_NFI[Jerry Can])</f>
        <v>0</v>
      </c>
      <c r="AO7" s="845">
        <f>IF(NFI_Expiration=1,IF($A7&lt;VLOOKUP(V$5,NFI,5,0),1,0)*Table_NFI[[#This Row],[Shelter Tool kit]],Table_NFI[Shelter Tool kit])</f>
        <v>0</v>
      </c>
      <c r="AP7" s="845">
        <f>IF(NFI_Expiration=1,IF($A7&lt;VLOOKUP(V$5,NFI,5,0),1,0)*Table_NFI[[#This Row],[Tent]],Table_NFI[Tent])</f>
        <v>0</v>
      </c>
      <c r="AQ7" s="846" t="str">
        <f>IFERROR(VLOOKUP(Table_NFI[[#This Row],[Camp Name]],CL,2,0),"")</f>
        <v>MMR015CMP232</v>
      </c>
      <c r="AR7" s="702">
        <f ca="1">IF(Table_NFI[[#This Row],[Pcode]]="","",IF(OFFSET(CampList[Opening Date],MATCH(Table_NFI[[#This Row],[Pcode]],CampList[CP_Pcode],0)-1,0,1,1)&gt;=NFI_Monitor_Date,1,0))</f>
        <v>0</v>
      </c>
      <c r="AS7" s="846" t="str">
        <f>IFERROR(VLOOKUP(Table_NFI[[#This Row],[Camp Name]],CL,3,0),"")</f>
        <v>Open</v>
      </c>
      <c r="AT7" s="844">
        <f ca="1">IF(Table_NFI[[#This Row],[Pcode]]="","",OFFSET(CampList[Priority],MATCH(Table_NFI[[#This Row],[Pcode]],CampList[CP_Pcode],0)-1,0,1,1))</f>
        <v>0</v>
      </c>
      <c r="AU7" s="847" t="str">
        <f>IFERROR(Table_NFI[[#This Row],[Kitchen Set]]/VLOOKUP(Table_NFI[[#This Row],[Camp Name]],CL,4,0),"")</f>
        <v/>
      </c>
      <c r="AV7" s="841"/>
      <c r="AW7" s="849" t="s">
        <v>1706</v>
      </c>
      <c r="AX7" s="730"/>
      <c r="AY7" s="730"/>
      <c r="AZ7" s="730"/>
      <c r="BA7" s="730"/>
      <c r="BB7" s="730"/>
      <c r="BC7" s="730"/>
      <c r="BD7" s="730"/>
      <c r="BE7" s="730"/>
      <c r="BF7" s="730"/>
      <c r="BG7" s="730"/>
      <c r="BH7" s="730"/>
      <c r="BI7" s="730"/>
      <c r="BJ7" s="730"/>
      <c r="BK7" s="730"/>
      <c r="BL7" s="730"/>
      <c r="BM7" s="730"/>
      <c r="BN7" s="730"/>
      <c r="BO7" s="730"/>
      <c r="BP7" s="730"/>
      <c r="BQ7" s="730"/>
      <c r="BR7" s="730"/>
      <c r="BS7" s="730"/>
      <c r="BT7" s="730"/>
      <c r="BU7" s="730"/>
      <c r="BV7" s="730"/>
      <c r="BW7" s="730"/>
      <c r="BX7" s="730"/>
      <c r="BY7" s="730"/>
      <c r="BZ7" s="730"/>
      <c r="CA7" s="730"/>
      <c r="CB7" s="730"/>
      <c r="CC7" s="730"/>
      <c r="CD7" s="730"/>
      <c r="CE7" s="730"/>
      <c r="CF7" s="730"/>
      <c r="CG7" s="730"/>
      <c r="CH7" s="730"/>
      <c r="CI7" s="730"/>
      <c r="CJ7" s="730"/>
      <c r="CK7" s="730"/>
      <c r="CL7" s="730"/>
      <c r="CM7" s="730"/>
      <c r="CN7" s="730"/>
      <c r="CO7" s="730"/>
      <c r="CP7" s="730"/>
      <c r="CQ7" s="730"/>
      <c r="CR7" s="730"/>
      <c r="CS7" s="730"/>
      <c r="CT7" s="730"/>
      <c r="CU7" s="730"/>
      <c r="CV7" s="730"/>
      <c r="CW7" s="730"/>
      <c r="CX7" s="730"/>
      <c r="CY7" s="730"/>
      <c r="CZ7" s="730"/>
      <c r="DA7" s="730"/>
      <c r="DB7" s="730"/>
      <c r="DC7" s="730"/>
      <c r="DD7" s="730"/>
      <c r="DE7" s="730"/>
      <c r="DF7" s="730"/>
      <c r="DG7" s="730"/>
      <c r="DH7" s="730"/>
      <c r="DI7" s="730"/>
      <c r="DJ7" s="730"/>
      <c r="DK7" s="730"/>
      <c r="DL7" s="730"/>
      <c r="DM7" s="730"/>
      <c r="DN7" s="730"/>
      <c r="DO7" s="730"/>
      <c r="DP7" s="730"/>
      <c r="DQ7" s="730"/>
    </row>
    <row r="8" spans="1:121" s="423" customFormat="1" ht="16.149999999999999" customHeight="1" x14ac:dyDescent="0.25">
      <c r="A8" s="839">
        <f t="shared" si="0"/>
        <v>-0.96666666666666667</v>
      </c>
      <c r="B8" s="840">
        <v>42885</v>
      </c>
      <c r="C8" s="841" t="s">
        <v>1562</v>
      </c>
      <c r="D8" s="841" t="s">
        <v>1562</v>
      </c>
      <c r="E8" s="841" t="s">
        <v>552</v>
      </c>
      <c r="F8" s="841" t="s">
        <v>298</v>
      </c>
      <c r="G8" s="262" t="s">
        <v>1397</v>
      </c>
      <c r="H8" s="842"/>
      <c r="I8" s="842"/>
      <c r="J8" s="842"/>
      <c r="K8" s="842">
        <v>16</v>
      </c>
      <c r="L8" s="842">
        <v>3</v>
      </c>
      <c r="M8" s="842">
        <v>16</v>
      </c>
      <c r="N8" s="842">
        <v>16</v>
      </c>
      <c r="O8" s="842"/>
      <c r="P8" s="842"/>
      <c r="Q8" s="842">
        <v>16</v>
      </c>
      <c r="R8" s="842"/>
      <c r="S8" s="842"/>
      <c r="T8" s="842"/>
      <c r="U8" s="842"/>
      <c r="V8" s="843"/>
      <c r="W8" s="842"/>
      <c r="X8" s="842"/>
      <c r="Y8" s="844">
        <f>IF(NFI_Expiration=1,IF($A8&lt;VLOOKUP(H$5,NFI,5,0),1,0)*Table_NFI[[#This Row],[Hygiene Kit]],Table_NFI[Hygiene Kit])</f>
        <v>0</v>
      </c>
      <c r="Z8" s="844">
        <f>IF(NFI_Expiration=1,IF($A8&lt;VLOOKUP(I$5,NFI,5,0),1,0)*Table_NFI[[#This Row],[NFI Core Kit]],Table_NFI[NFI Core Kit])</f>
        <v>0</v>
      </c>
      <c r="AA8" s="844">
        <f>IF(NFI_Expiration=1,IF($A8&lt;VLOOKUP(J$5,NFI,5,0),1,0)*Table_NFI[[#This Row],[Sanitary Kit]],Table_NFI[Sanitary Kit])</f>
        <v>0</v>
      </c>
      <c r="AB8" s="844">
        <f>IF(NFI_Expiration=1,IF($A8&lt;VLOOKUP(K$5,NFI,5,0),1,0)*Table_NFI[[#This Row],[Mosquito net]],Table_NFI[Mosquito net])</f>
        <v>16</v>
      </c>
      <c r="AC8" s="844">
        <f>IF(NFI_Expiration=1,IF($A8&lt;VLOOKUP(L$5,NFI,5,0),1,0)*Table_NFI[[#This Row],[Tarpaulin]],Table_NFI[[#This Row],[Tarpaulin]])</f>
        <v>3</v>
      </c>
      <c r="AD8" s="844">
        <f>IF(NFI_Expiration=1,IF($A8&lt;VLOOKUP(M$5,NFI,5,0),1,0)*Table_NFI[[#This Row],[Blanket]],Table_NFI[[#This Row],[Blanket]])</f>
        <v>16</v>
      </c>
      <c r="AE8" s="844">
        <f>IF(NFI_Expiration=1,IF($A8&lt;VLOOKUP(N$5,NFI,5,0),1,0)*Table_NFI[[#This Row],[Kitchen Set]],Table_NFI[Kitchen Set])</f>
        <v>16</v>
      </c>
      <c r="AF8" s="844">
        <f>IF(NFI_Expiration=1,IF($A8&lt;VLOOKUP(O$5,NFI,5,0),1,0)*Table_NFI[[#This Row],[Clothes Kit]],Table_NFI[Clothes Kit])</f>
        <v>0</v>
      </c>
      <c r="AG8" s="844">
        <f>IF(NFI_Expiration=1,IF($A8&lt;VLOOKUP(P$5,NFI,5,0),1,0)*Table_NFI[[#This Row],[Plastic Bucket]],Table_NFI[Plastic Bucket])</f>
        <v>0</v>
      </c>
      <c r="AH8" s="844">
        <f>IF(NFI_Expiration=1,IF($A8&lt;VLOOKUP(Q$5,NFI,5,0),1,0)*Table_NFI[[#This Row],[Plastic Mat]],Table_NFI[Plastic Mat])*IF(Table_NFI[[#This Row],[Distribution Date]]&gt;"2014-04-01",1,2.5)</f>
        <v>40</v>
      </c>
      <c r="AI8" s="844">
        <f>IF(NFI_Expiration=1,IF($A8&lt;VLOOKUP(R$5,NFI,5,0),1,0)*Table_NFI[[#This Row],[Winter Clothes Adult]],Table_NFI[Winter Clothes Adult])</f>
        <v>0</v>
      </c>
      <c r="AJ8" s="844">
        <f>IF(NFI_Expiration=1,IF($A8&lt;VLOOKUP(S$5,NFI,5,0),1,0)*Table_NFI[[#This Row],[Winter Clothes Children]],Table_NFI[Winter Clothes Children])</f>
        <v>0</v>
      </c>
      <c r="AK8" s="844">
        <f>IF(NFI_Expiration=1,IF($A8&lt;VLOOKUP(T$5,NFI,5,0),1,0)*Table_NFI[[#This Row],[Winter Items Other]],Table_NFI[Winter Items Other])</f>
        <v>0</v>
      </c>
      <c r="AL8" s="844">
        <f>IF(NFI_Expiration=1,IF($A8&lt;VLOOKUP(M$5,NFI,5,0),1,0)*Table_NFI[[#This Row],[Winter Blanket]],Table_NFI[[#This Row],[Winter Blanket]])</f>
        <v>0</v>
      </c>
      <c r="AM8" s="844">
        <f>IF(Table_NFI[[#This Row],[Winter Clothes Adult]]+Table_NFI[[#This Row],[Winter Clothes Children]]+Table_NFI[[#This Row],[Winter Items Other]]+Table_NFI[[#This Row],[Winter Blanket]]&gt;0,1,0)</f>
        <v>0</v>
      </c>
      <c r="AN8" s="845">
        <f>IF(NFI_Expiration=1,IF($A8&lt;VLOOKUP(V$5,NFI,5,0),1,0)*Table_NFI[[#This Row],[Jerry Can]],Table_NFI[Jerry Can])</f>
        <v>0</v>
      </c>
      <c r="AO8" s="845">
        <f>IF(NFI_Expiration=1,IF($A8&lt;VLOOKUP(V$5,NFI,5,0),1,0)*Table_NFI[[#This Row],[Shelter Tool kit]],Table_NFI[Shelter Tool kit])</f>
        <v>0</v>
      </c>
      <c r="AP8" s="845">
        <f>IF(NFI_Expiration=1,IF($A8&lt;VLOOKUP(V$5,NFI,5,0),1,0)*Table_NFI[[#This Row],[Tent]],Table_NFI[Tent])</f>
        <v>0</v>
      </c>
      <c r="AQ8" s="846" t="str">
        <f>IFERROR(VLOOKUP(Table_NFI[[#This Row],[Camp Name]],CL,2,0),"")</f>
        <v>MMR015CMP221</v>
      </c>
      <c r="AR8" s="702">
        <f ca="1">IF(Table_NFI[[#This Row],[Pcode]]="","",IF(OFFSET(CampList[Opening Date],MATCH(Table_NFI[[#This Row],[Pcode]],CampList[CP_Pcode],0)-1,0,1,1)&gt;=NFI_Monitor_Date,1,0))</f>
        <v>1</v>
      </c>
      <c r="AS8" s="846" t="str">
        <f>IFERROR(VLOOKUP(Table_NFI[[#This Row],[Camp Name]],CL,3,0),"")</f>
        <v>Open</v>
      </c>
      <c r="AT8" s="844">
        <f ca="1">IF(Table_NFI[[#This Row],[Pcode]]="","",OFFSET(CampList[Priority],MATCH(Table_NFI[[#This Row],[Pcode]],CampList[CP_Pcode],0)-1,0,1,1))</f>
        <v>0</v>
      </c>
      <c r="AU8" s="847">
        <f>IFERROR(Table_NFI[[#This Row],[Kitchen Set]]/VLOOKUP(Table_NFI[[#This Row],[Camp Name]],CL,4,0),"")</f>
        <v>3.7762567854614113E-4</v>
      </c>
      <c r="AV8" s="841"/>
      <c r="AW8" s="849" t="s">
        <v>1706</v>
      </c>
      <c r="AX8" s="730"/>
      <c r="AY8" s="730"/>
      <c r="AZ8" s="730"/>
      <c r="BA8" s="730"/>
      <c r="BB8" s="730"/>
      <c r="BC8" s="730"/>
      <c r="BD8" s="730"/>
      <c r="BE8" s="730"/>
      <c r="BF8" s="730"/>
      <c r="BG8" s="730"/>
      <c r="BH8" s="730"/>
      <c r="BI8" s="730"/>
      <c r="BJ8" s="730"/>
      <c r="BK8" s="730"/>
      <c r="BL8" s="730"/>
      <c r="BM8" s="730"/>
      <c r="BN8" s="730"/>
      <c r="BO8" s="730"/>
      <c r="BP8" s="730"/>
      <c r="BQ8" s="730"/>
      <c r="BR8" s="730"/>
      <c r="BS8" s="730"/>
      <c r="BT8" s="730"/>
      <c r="BU8" s="730"/>
      <c r="BV8" s="730"/>
      <c r="BW8" s="730"/>
      <c r="BX8" s="730"/>
      <c r="BY8" s="730"/>
      <c r="BZ8" s="730"/>
      <c r="CA8" s="730"/>
      <c r="CB8" s="730"/>
      <c r="CC8" s="730"/>
      <c r="CD8" s="730"/>
      <c r="CE8" s="730"/>
      <c r="CF8" s="730"/>
      <c r="CG8" s="730"/>
      <c r="CH8" s="730"/>
      <c r="CI8" s="730"/>
      <c r="CJ8" s="730"/>
      <c r="CK8" s="730"/>
      <c r="CL8" s="730"/>
      <c r="CM8" s="730"/>
      <c r="CN8" s="730"/>
      <c r="CO8" s="730"/>
      <c r="CP8" s="730"/>
      <c r="CQ8" s="730"/>
      <c r="CR8" s="730"/>
      <c r="CS8" s="730"/>
      <c r="CT8" s="730"/>
      <c r="CU8" s="730"/>
      <c r="CV8" s="730"/>
      <c r="CW8" s="730"/>
      <c r="CX8" s="730"/>
      <c r="CY8" s="730"/>
      <c r="CZ8" s="730"/>
      <c r="DA8" s="730"/>
      <c r="DB8" s="730"/>
      <c r="DC8" s="730"/>
      <c r="DD8" s="730"/>
      <c r="DE8" s="730"/>
      <c r="DF8" s="730"/>
      <c r="DG8" s="730"/>
      <c r="DH8" s="730"/>
      <c r="DI8" s="730"/>
      <c r="DJ8" s="730"/>
      <c r="DK8" s="730"/>
      <c r="DL8" s="730"/>
      <c r="DM8" s="730"/>
      <c r="DN8" s="730"/>
      <c r="DO8" s="730"/>
      <c r="DP8" s="730"/>
      <c r="DQ8" s="730"/>
    </row>
    <row r="9" spans="1:121" s="423" customFormat="1" ht="16.149999999999999" customHeight="1" x14ac:dyDescent="0.25">
      <c r="A9" s="839">
        <f t="shared" si="0"/>
        <v>-0.96666666666666667</v>
      </c>
      <c r="B9" s="840">
        <v>42885</v>
      </c>
      <c r="C9" s="841" t="s">
        <v>1562</v>
      </c>
      <c r="D9" s="841" t="s">
        <v>1562</v>
      </c>
      <c r="E9" s="848" t="s">
        <v>552</v>
      </c>
      <c r="F9" s="841" t="s">
        <v>298</v>
      </c>
      <c r="G9" s="262" t="s">
        <v>1708</v>
      </c>
      <c r="H9" s="842"/>
      <c r="I9" s="842"/>
      <c r="J9" s="842"/>
      <c r="K9" s="842">
        <v>60</v>
      </c>
      <c r="L9" s="842"/>
      <c r="M9" s="842">
        <v>60</v>
      </c>
      <c r="N9" s="842">
        <v>60</v>
      </c>
      <c r="O9" s="842"/>
      <c r="P9" s="842"/>
      <c r="Q9" s="842">
        <v>60</v>
      </c>
      <c r="R9" s="842"/>
      <c r="S9" s="842"/>
      <c r="T9" s="842"/>
      <c r="U9" s="842"/>
      <c r="V9" s="843"/>
      <c r="W9" s="843"/>
      <c r="X9" s="843"/>
      <c r="Y9" s="844">
        <f>IF(NFI_Expiration=1,IF($A9&lt;VLOOKUP(H$5,NFI,5,0),1,0)*Table_NFI[[#This Row],[Hygiene Kit]],Table_NFI[Hygiene Kit])</f>
        <v>0</v>
      </c>
      <c r="Z9" s="844">
        <f>IF(NFI_Expiration=1,IF($A9&lt;VLOOKUP(I$5,NFI,5,0),1,0)*Table_NFI[[#This Row],[NFI Core Kit]],Table_NFI[NFI Core Kit])</f>
        <v>0</v>
      </c>
      <c r="AA9" s="844">
        <f>IF(NFI_Expiration=1,IF($A9&lt;VLOOKUP(J$5,NFI,5,0),1,0)*Table_NFI[[#This Row],[Sanitary Kit]],Table_NFI[Sanitary Kit])</f>
        <v>0</v>
      </c>
      <c r="AB9" s="844">
        <f>IF(NFI_Expiration=1,IF($A9&lt;VLOOKUP(K$5,NFI,5,0),1,0)*Table_NFI[[#This Row],[Mosquito net]],Table_NFI[Mosquito net])</f>
        <v>60</v>
      </c>
      <c r="AC9" s="844">
        <f>IF(NFI_Expiration=1,IF($A9&lt;VLOOKUP(L$5,NFI,5,0),1,0)*Table_NFI[[#This Row],[Tarpaulin]],Table_NFI[[#This Row],[Tarpaulin]])</f>
        <v>0</v>
      </c>
      <c r="AD9" s="844">
        <f>IF(NFI_Expiration=1,IF($A9&lt;VLOOKUP(M$5,NFI,5,0),1,0)*Table_NFI[[#This Row],[Blanket]],Table_NFI[[#This Row],[Blanket]])</f>
        <v>60</v>
      </c>
      <c r="AE9" s="844">
        <f>IF(NFI_Expiration=1,IF($A9&lt;VLOOKUP(N$5,NFI,5,0),1,0)*Table_NFI[[#This Row],[Kitchen Set]],Table_NFI[Kitchen Set])</f>
        <v>60</v>
      </c>
      <c r="AF9" s="844">
        <f>IF(NFI_Expiration=1,IF($A9&lt;VLOOKUP(O$5,NFI,5,0),1,0)*Table_NFI[[#This Row],[Clothes Kit]],Table_NFI[Clothes Kit])</f>
        <v>0</v>
      </c>
      <c r="AG9" s="844">
        <f>IF(NFI_Expiration=1,IF($A9&lt;VLOOKUP(P$5,NFI,5,0),1,0)*Table_NFI[[#This Row],[Plastic Bucket]],Table_NFI[Plastic Bucket])</f>
        <v>0</v>
      </c>
      <c r="AH9" s="844">
        <f>IF(NFI_Expiration=1,IF($A9&lt;VLOOKUP(Q$5,NFI,5,0),1,0)*Table_NFI[[#This Row],[Plastic Mat]],Table_NFI[Plastic Mat])*IF(Table_NFI[[#This Row],[Distribution Date]]&gt;"2014-04-01",1,2.5)</f>
        <v>150</v>
      </c>
      <c r="AI9" s="844">
        <f>IF(NFI_Expiration=1,IF($A9&lt;VLOOKUP(R$5,NFI,5,0),1,0)*Table_NFI[[#This Row],[Winter Clothes Adult]],Table_NFI[Winter Clothes Adult])</f>
        <v>0</v>
      </c>
      <c r="AJ9" s="844">
        <f>IF(NFI_Expiration=1,IF($A9&lt;VLOOKUP(S$5,NFI,5,0),1,0)*Table_NFI[[#This Row],[Winter Clothes Children]],Table_NFI[Winter Clothes Children])</f>
        <v>0</v>
      </c>
      <c r="AK9" s="844">
        <f>IF(NFI_Expiration=1,IF($A9&lt;VLOOKUP(T$5,NFI,5,0),1,0)*Table_NFI[[#This Row],[Winter Items Other]],Table_NFI[Winter Items Other])</f>
        <v>0</v>
      </c>
      <c r="AL9" s="844">
        <f>IF(NFI_Expiration=1,IF($A9&lt;VLOOKUP(M$5,NFI,5,0),1,0)*Table_NFI[[#This Row],[Winter Blanket]],Table_NFI[[#This Row],[Winter Blanket]])</f>
        <v>0</v>
      </c>
      <c r="AM9" s="844">
        <f>IF(Table_NFI[[#This Row],[Winter Clothes Adult]]+Table_NFI[[#This Row],[Winter Clothes Children]]+Table_NFI[[#This Row],[Winter Items Other]]+Table_NFI[[#This Row],[Winter Blanket]]&gt;0,1,0)</f>
        <v>0</v>
      </c>
      <c r="AN9" s="845">
        <f>IF(NFI_Expiration=1,IF($A9&lt;VLOOKUP(V$5,NFI,5,0),1,0)*Table_NFI[[#This Row],[Jerry Can]],Table_NFI[Jerry Can])</f>
        <v>0</v>
      </c>
      <c r="AO9" s="845">
        <f>IF(NFI_Expiration=1,IF($A9&lt;VLOOKUP(V$5,NFI,5,0),1,0)*Table_NFI[[#This Row],[Shelter Tool kit]],Table_NFI[Shelter Tool kit])</f>
        <v>0</v>
      </c>
      <c r="AP9" s="845">
        <f>IF(NFI_Expiration=1,IF($A9&lt;VLOOKUP(V$5,NFI,5,0),1,0)*Table_NFI[[#This Row],[Tent]],Table_NFI[Tent])</f>
        <v>0</v>
      </c>
      <c r="AQ9" s="846" t="str">
        <f>IFERROR(VLOOKUP(Table_NFI[[#This Row],[Camp Name]],CL,2,0),"")</f>
        <v>MMR015CMP248</v>
      </c>
      <c r="AR9" s="702">
        <f ca="1">IF(Table_NFI[[#This Row],[Pcode]]="","",IF(OFFSET(CampList[Opening Date],MATCH(Table_NFI[[#This Row],[Pcode]],CampList[CP_Pcode],0)-1,0,1,1)&gt;=NFI_Monitor_Date,1,0))</f>
        <v>1</v>
      </c>
      <c r="AS9" s="846" t="str">
        <f>IFERROR(VLOOKUP(Table_NFI[[#This Row],[Camp Name]],CL,3,0),"")</f>
        <v>Open</v>
      </c>
      <c r="AT9" s="844">
        <f ca="1">IF(Table_NFI[[#This Row],[Pcode]]="","",OFFSET(CampList[Priority],MATCH(Table_NFI[[#This Row],[Pcode]],CampList[CP_Pcode],0)-1,0,1,1))</f>
        <v>0</v>
      </c>
      <c r="AU9" s="847">
        <f>IFERROR(Table_NFI[[#This Row],[Kitchen Set]]/VLOOKUP(Table_NFI[[#This Row],[Camp Name]],CL,4,0),"")</f>
        <v>1.402491760360908E-3</v>
      </c>
      <c r="AV9" s="841"/>
      <c r="AW9" s="849" t="s">
        <v>1706</v>
      </c>
      <c r="AX9" s="730"/>
      <c r="AY9" s="730"/>
      <c r="AZ9" s="730"/>
      <c r="BA9" s="730"/>
      <c r="BB9" s="730"/>
      <c r="BC9" s="730"/>
      <c r="BD9" s="730"/>
      <c r="BE9" s="730"/>
      <c r="BF9" s="730"/>
      <c r="BG9" s="730"/>
      <c r="BH9" s="730"/>
      <c r="BI9" s="730"/>
      <c r="BJ9" s="730"/>
      <c r="BK9" s="730"/>
      <c r="BL9" s="730"/>
      <c r="BM9" s="730"/>
      <c r="BN9" s="730"/>
      <c r="BO9" s="730"/>
      <c r="BP9" s="730"/>
      <c r="BQ9" s="730"/>
      <c r="BR9" s="730"/>
      <c r="BS9" s="730"/>
      <c r="BT9" s="730"/>
      <c r="BU9" s="730"/>
      <c r="BV9" s="730"/>
      <c r="BW9" s="730"/>
      <c r="BX9" s="730"/>
      <c r="BY9" s="730"/>
      <c r="BZ9" s="730"/>
      <c r="CA9" s="730"/>
      <c r="CB9" s="730"/>
      <c r="CC9" s="730"/>
      <c r="CD9" s="730"/>
      <c r="CE9" s="730"/>
      <c r="CF9" s="730"/>
      <c r="CG9" s="730"/>
      <c r="CH9" s="730"/>
      <c r="CI9" s="730"/>
      <c r="CJ9" s="730"/>
      <c r="CK9" s="730"/>
      <c r="CL9" s="730"/>
      <c r="CM9" s="730"/>
      <c r="CN9" s="730"/>
      <c r="CO9" s="730"/>
      <c r="CP9" s="730"/>
      <c r="CQ9" s="730"/>
      <c r="CR9" s="730"/>
      <c r="CS9" s="730"/>
      <c r="CT9" s="730"/>
      <c r="CU9" s="730"/>
      <c r="CV9" s="730"/>
      <c r="CW9" s="730"/>
      <c r="CX9" s="730"/>
      <c r="CY9" s="730"/>
      <c r="CZ9" s="730"/>
      <c r="DA9" s="730"/>
      <c r="DB9" s="730"/>
      <c r="DC9" s="730"/>
      <c r="DD9" s="730"/>
      <c r="DE9" s="730"/>
      <c r="DF9" s="730"/>
      <c r="DG9" s="730"/>
      <c r="DH9" s="730"/>
      <c r="DI9" s="730"/>
      <c r="DJ9" s="730"/>
      <c r="DK9" s="730"/>
      <c r="DL9" s="730"/>
      <c r="DM9" s="730"/>
      <c r="DN9" s="730"/>
      <c r="DO9" s="730"/>
      <c r="DP9" s="730"/>
      <c r="DQ9" s="730"/>
    </row>
    <row r="10" spans="1:121" s="423" customFormat="1" ht="16.149999999999999" customHeight="1" x14ac:dyDescent="0.25">
      <c r="A10" s="839">
        <f t="shared" si="0"/>
        <v>-0.9</v>
      </c>
      <c r="B10" s="840">
        <v>42883</v>
      </c>
      <c r="C10" s="841" t="s">
        <v>1562</v>
      </c>
      <c r="D10" s="841" t="s">
        <v>1562</v>
      </c>
      <c r="E10" s="841" t="s">
        <v>552</v>
      </c>
      <c r="F10" s="841" t="s">
        <v>146</v>
      </c>
      <c r="G10" s="262" t="s">
        <v>1387</v>
      </c>
      <c r="H10" s="842"/>
      <c r="I10" s="842"/>
      <c r="J10" s="842"/>
      <c r="K10" s="842">
        <v>143</v>
      </c>
      <c r="L10" s="842">
        <v>62</v>
      </c>
      <c r="M10" s="842">
        <v>286</v>
      </c>
      <c r="N10" s="842">
        <v>143</v>
      </c>
      <c r="O10" s="842"/>
      <c r="P10" s="842"/>
      <c r="Q10" s="842">
        <v>143</v>
      </c>
      <c r="R10" s="842"/>
      <c r="S10" s="842"/>
      <c r="T10" s="842"/>
      <c r="U10" s="842"/>
      <c r="V10" s="843"/>
      <c r="W10" s="843"/>
      <c r="X10" s="843"/>
      <c r="Y10" s="844">
        <f>IF(NFI_Expiration=1,IF($A10&lt;VLOOKUP(H$5,NFI,5,0),1,0)*Table_NFI[[#This Row],[Hygiene Kit]],Table_NFI[Hygiene Kit])</f>
        <v>0</v>
      </c>
      <c r="Z10" s="844">
        <f>IF(NFI_Expiration=1,IF($A10&lt;VLOOKUP(I$5,NFI,5,0),1,0)*Table_NFI[[#This Row],[NFI Core Kit]],Table_NFI[NFI Core Kit])</f>
        <v>0</v>
      </c>
      <c r="AA10" s="844">
        <f>IF(NFI_Expiration=1,IF($A10&lt;VLOOKUP(J$5,NFI,5,0),1,0)*Table_NFI[[#This Row],[Sanitary Kit]],Table_NFI[Sanitary Kit])</f>
        <v>0</v>
      </c>
      <c r="AB10" s="844">
        <f>IF(NFI_Expiration=1,IF($A10&lt;VLOOKUP(K$5,NFI,5,0),1,0)*Table_NFI[[#This Row],[Mosquito net]],Table_NFI[Mosquito net])</f>
        <v>143</v>
      </c>
      <c r="AC10" s="844">
        <f>IF(NFI_Expiration=1,IF($A10&lt;VLOOKUP(L$5,NFI,5,0),1,0)*Table_NFI[[#This Row],[Tarpaulin]],Table_NFI[[#This Row],[Tarpaulin]])</f>
        <v>62</v>
      </c>
      <c r="AD10" s="844">
        <f>IF(NFI_Expiration=1,IF($A10&lt;VLOOKUP(M$5,NFI,5,0),1,0)*Table_NFI[[#This Row],[Blanket]],Table_NFI[[#This Row],[Blanket]])</f>
        <v>286</v>
      </c>
      <c r="AE10" s="844">
        <f>IF(NFI_Expiration=1,IF($A10&lt;VLOOKUP(N$5,NFI,5,0),1,0)*Table_NFI[[#This Row],[Kitchen Set]],Table_NFI[Kitchen Set])</f>
        <v>143</v>
      </c>
      <c r="AF10" s="844">
        <f>IF(NFI_Expiration=1,IF($A10&lt;VLOOKUP(O$5,NFI,5,0),1,0)*Table_NFI[[#This Row],[Clothes Kit]],Table_NFI[Clothes Kit])</f>
        <v>0</v>
      </c>
      <c r="AG10" s="844">
        <f>IF(NFI_Expiration=1,IF($A10&lt;VLOOKUP(P$5,NFI,5,0),1,0)*Table_NFI[[#This Row],[Plastic Bucket]],Table_NFI[Plastic Bucket])</f>
        <v>0</v>
      </c>
      <c r="AH10" s="844">
        <f>IF(NFI_Expiration=1,IF($A10&lt;VLOOKUP(Q$5,NFI,5,0),1,0)*Table_NFI[[#This Row],[Plastic Mat]],Table_NFI[Plastic Mat])*IF(Table_NFI[[#This Row],[Distribution Date]]&gt;"2014-04-01",1,2.5)</f>
        <v>357.5</v>
      </c>
      <c r="AI10" s="844">
        <f>IF(NFI_Expiration=1,IF($A10&lt;VLOOKUP(R$5,NFI,5,0),1,0)*Table_NFI[[#This Row],[Winter Clothes Adult]],Table_NFI[Winter Clothes Adult])</f>
        <v>0</v>
      </c>
      <c r="AJ10" s="844">
        <f>IF(NFI_Expiration=1,IF($A10&lt;VLOOKUP(S$5,NFI,5,0),1,0)*Table_NFI[[#This Row],[Winter Clothes Children]],Table_NFI[Winter Clothes Children])</f>
        <v>0</v>
      </c>
      <c r="AK10" s="844">
        <f>IF(NFI_Expiration=1,IF($A10&lt;VLOOKUP(T$5,NFI,5,0),1,0)*Table_NFI[[#This Row],[Winter Items Other]],Table_NFI[Winter Items Other])</f>
        <v>0</v>
      </c>
      <c r="AL10" s="844">
        <f>IF(NFI_Expiration=1,IF($A10&lt;VLOOKUP(M$5,NFI,5,0),1,0)*Table_NFI[[#This Row],[Winter Blanket]],Table_NFI[[#This Row],[Winter Blanket]])</f>
        <v>0</v>
      </c>
      <c r="AM10" s="844">
        <f>IF(Table_NFI[[#This Row],[Winter Clothes Adult]]+Table_NFI[[#This Row],[Winter Clothes Children]]+Table_NFI[[#This Row],[Winter Items Other]]+Table_NFI[[#This Row],[Winter Blanket]]&gt;0,1,0)</f>
        <v>0</v>
      </c>
      <c r="AN10" s="845">
        <f>IF(NFI_Expiration=1,IF($A10&lt;VLOOKUP(V$5,NFI,5,0),1,0)*Table_NFI[[#This Row],[Jerry Can]],Table_NFI[Jerry Can])</f>
        <v>0</v>
      </c>
      <c r="AO10" s="845">
        <f>IF(NFI_Expiration=1,IF($A10&lt;VLOOKUP(V$5,NFI,5,0),1,0)*Table_NFI[[#This Row],[Shelter Tool kit]],Table_NFI[Shelter Tool kit])</f>
        <v>0</v>
      </c>
      <c r="AP10" s="845">
        <f>IF(NFI_Expiration=1,IF($A10&lt;VLOOKUP(V$5,NFI,5,0),1,0)*Table_NFI[[#This Row],[Tent]],Table_NFI[Tent])</f>
        <v>0</v>
      </c>
      <c r="AQ10" s="846" t="str">
        <f>IFERROR(VLOOKUP(Table_NFI[[#This Row],[Camp Name]],CL,2,0),"")</f>
        <v>MMR015CMP220</v>
      </c>
      <c r="AR10" s="702">
        <f ca="1">IF(Table_NFI[[#This Row],[Pcode]]="","",IF(OFFSET(CampList[Opening Date],MATCH(Table_NFI[[#This Row],[Pcode]],CampList[CP_Pcode],0)-1,0,1,1)&gt;=NFI_Monitor_Date,1,0))</f>
        <v>1</v>
      </c>
      <c r="AS10" s="846" t="str">
        <f>IFERROR(VLOOKUP(Table_NFI[[#This Row],[Camp Name]],CL,3,0),"")</f>
        <v>Open</v>
      </c>
      <c r="AT10" s="844">
        <f ca="1">IF(Table_NFI[[#This Row],[Pcode]]="","",OFFSET(CampList[Priority],MATCH(Table_NFI[[#This Row],[Pcode]],CampList[CP_Pcode],0)-1,0,1,1))</f>
        <v>0</v>
      </c>
      <c r="AU10" s="847">
        <f>IFERROR(Table_NFI[[#This Row],[Kitchen Set]]/VLOOKUP(Table_NFI[[#This Row],[Camp Name]],CL,4,0),"")</f>
        <v>3.3698597855543774E-3</v>
      </c>
      <c r="AV10" s="841"/>
      <c r="AW10" s="849" t="s">
        <v>1706</v>
      </c>
      <c r="AX10" s="730"/>
      <c r="AY10" s="730"/>
      <c r="AZ10" s="730"/>
      <c r="BA10" s="730"/>
      <c r="BB10" s="730"/>
      <c r="BC10" s="730"/>
      <c r="BD10" s="730"/>
      <c r="BE10" s="730"/>
      <c r="BF10" s="730"/>
      <c r="BG10" s="730"/>
      <c r="BH10" s="730"/>
      <c r="BI10" s="730"/>
      <c r="BJ10" s="730"/>
      <c r="BK10" s="730"/>
      <c r="BL10" s="730"/>
      <c r="BM10" s="730"/>
      <c r="BN10" s="730"/>
      <c r="BO10" s="730"/>
      <c r="BP10" s="730"/>
      <c r="BQ10" s="730"/>
      <c r="BR10" s="730"/>
      <c r="BS10" s="730"/>
      <c r="BT10" s="730"/>
      <c r="BU10" s="730"/>
      <c r="BV10" s="730"/>
      <c r="BW10" s="730"/>
      <c r="BX10" s="730"/>
      <c r="BY10" s="730"/>
      <c r="BZ10" s="730"/>
      <c r="CA10" s="730"/>
      <c r="CB10" s="730"/>
      <c r="CC10" s="730"/>
      <c r="CD10" s="730"/>
      <c r="CE10" s="730"/>
      <c r="CF10" s="730"/>
      <c r="CG10" s="730"/>
      <c r="CH10" s="730"/>
      <c r="CI10" s="730"/>
      <c r="CJ10" s="730"/>
      <c r="CK10" s="730"/>
      <c r="CL10" s="730"/>
      <c r="CM10" s="730"/>
      <c r="CN10" s="730"/>
      <c r="CO10" s="730"/>
      <c r="CP10" s="730"/>
      <c r="CQ10" s="730"/>
      <c r="CR10" s="730"/>
      <c r="CS10" s="730"/>
      <c r="CT10" s="730"/>
      <c r="CU10" s="730"/>
      <c r="CV10" s="730"/>
      <c r="CW10" s="730"/>
      <c r="CX10" s="730"/>
      <c r="CY10" s="730"/>
      <c r="CZ10" s="730"/>
      <c r="DA10" s="730"/>
      <c r="DB10" s="730"/>
      <c r="DC10" s="730"/>
      <c r="DD10" s="730"/>
      <c r="DE10" s="730"/>
      <c r="DF10" s="730"/>
      <c r="DG10" s="730"/>
      <c r="DH10" s="730"/>
      <c r="DI10" s="730"/>
      <c r="DJ10" s="730"/>
      <c r="DK10" s="730"/>
      <c r="DL10" s="730"/>
      <c r="DM10" s="730"/>
      <c r="DN10" s="730"/>
      <c r="DO10" s="730"/>
      <c r="DP10" s="730"/>
      <c r="DQ10" s="730"/>
    </row>
    <row r="11" spans="1:121" s="402" customFormat="1" ht="15" customHeight="1" x14ac:dyDescent="0.25">
      <c r="A11" s="839">
        <f t="shared" si="0"/>
        <v>-0.8666666666666667</v>
      </c>
      <c r="B11" s="840">
        <v>42882</v>
      </c>
      <c r="C11" s="841" t="s">
        <v>1562</v>
      </c>
      <c r="D11" s="841" t="s">
        <v>1562</v>
      </c>
      <c r="E11" s="841" t="s">
        <v>552</v>
      </c>
      <c r="F11" s="841" t="s">
        <v>146</v>
      </c>
      <c r="G11" s="262" t="s">
        <v>1532</v>
      </c>
      <c r="H11" s="842"/>
      <c r="I11" s="842"/>
      <c r="J11" s="842"/>
      <c r="K11" s="842">
        <v>24</v>
      </c>
      <c r="L11" s="842">
        <v>9</v>
      </c>
      <c r="M11" s="842">
        <v>48</v>
      </c>
      <c r="N11" s="842">
        <v>24</v>
      </c>
      <c r="O11" s="842"/>
      <c r="P11" s="842"/>
      <c r="Q11" s="842">
        <v>24</v>
      </c>
      <c r="R11" s="842"/>
      <c r="S11" s="842"/>
      <c r="T11" s="842"/>
      <c r="U11" s="842"/>
      <c r="V11" s="843"/>
      <c r="W11" s="842"/>
      <c r="X11" s="842"/>
      <c r="Y11" s="844">
        <f>IF(NFI_Expiration=1,IF($A11&lt;VLOOKUP(H$5,NFI,5,0),1,0)*Table_NFI[[#This Row],[Hygiene Kit]],Table_NFI[Hygiene Kit])</f>
        <v>0</v>
      </c>
      <c r="Z11" s="844">
        <f>IF(NFI_Expiration=1,IF($A11&lt;VLOOKUP(I$5,NFI,5,0),1,0)*Table_NFI[[#This Row],[NFI Core Kit]],Table_NFI[NFI Core Kit])</f>
        <v>0</v>
      </c>
      <c r="AA11" s="844">
        <f>IF(NFI_Expiration=1,IF($A11&lt;VLOOKUP(J$5,NFI,5,0),1,0)*Table_NFI[[#This Row],[Sanitary Kit]],Table_NFI[Sanitary Kit])</f>
        <v>0</v>
      </c>
      <c r="AB11" s="844">
        <f>IF(NFI_Expiration=1,IF($A11&lt;VLOOKUP(K$5,NFI,5,0),1,0)*Table_NFI[[#This Row],[Mosquito net]],Table_NFI[Mosquito net])</f>
        <v>24</v>
      </c>
      <c r="AC11" s="844">
        <f>IF(NFI_Expiration=1,IF($A11&lt;VLOOKUP(L$5,NFI,5,0),1,0)*Table_NFI[[#This Row],[Tarpaulin]],Table_NFI[[#This Row],[Tarpaulin]])</f>
        <v>9</v>
      </c>
      <c r="AD11" s="844">
        <f>IF(NFI_Expiration=1,IF($A11&lt;VLOOKUP(M$5,NFI,5,0),1,0)*Table_NFI[[#This Row],[Blanket]],Table_NFI[[#This Row],[Blanket]])</f>
        <v>48</v>
      </c>
      <c r="AE11" s="844">
        <f>IF(NFI_Expiration=1,IF($A11&lt;VLOOKUP(N$5,NFI,5,0),1,0)*Table_NFI[[#This Row],[Kitchen Set]],Table_NFI[Kitchen Set])</f>
        <v>24</v>
      </c>
      <c r="AF11" s="844">
        <f>IF(NFI_Expiration=1,IF($A11&lt;VLOOKUP(O$5,NFI,5,0),1,0)*Table_NFI[[#This Row],[Clothes Kit]],Table_NFI[Clothes Kit])</f>
        <v>0</v>
      </c>
      <c r="AG11" s="844">
        <f>IF(NFI_Expiration=1,IF($A11&lt;VLOOKUP(P$5,NFI,5,0),1,0)*Table_NFI[[#This Row],[Plastic Bucket]],Table_NFI[Plastic Bucket])</f>
        <v>0</v>
      </c>
      <c r="AH11" s="844">
        <f>IF(NFI_Expiration=1,IF($A11&lt;VLOOKUP(Q$5,NFI,5,0),1,0)*Table_NFI[[#This Row],[Plastic Mat]],Table_NFI[Plastic Mat])*IF(Table_NFI[[#This Row],[Distribution Date]]&gt;"2014-04-01",1,2.5)</f>
        <v>60</v>
      </c>
      <c r="AI11" s="844">
        <f>IF(NFI_Expiration=1,IF($A11&lt;VLOOKUP(R$5,NFI,5,0),1,0)*Table_NFI[[#This Row],[Winter Clothes Adult]],Table_NFI[Winter Clothes Adult])</f>
        <v>0</v>
      </c>
      <c r="AJ11" s="844">
        <f>IF(NFI_Expiration=1,IF($A11&lt;VLOOKUP(S$5,NFI,5,0),1,0)*Table_NFI[[#This Row],[Winter Clothes Children]],Table_NFI[Winter Clothes Children])</f>
        <v>0</v>
      </c>
      <c r="AK11" s="844">
        <f>IF(NFI_Expiration=1,IF($A11&lt;VLOOKUP(T$5,NFI,5,0),1,0)*Table_NFI[[#This Row],[Winter Items Other]],Table_NFI[Winter Items Other])</f>
        <v>0</v>
      </c>
      <c r="AL11" s="844">
        <f>IF(NFI_Expiration=1,IF($A11&lt;VLOOKUP(M$5,NFI,5,0),1,0)*Table_NFI[[#This Row],[Winter Blanket]],Table_NFI[[#This Row],[Winter Blanket]])</f>
        <v>0</v>
      </c>
      <c r="AM11" s="844">
        <f>IF(Table_NFI[[#This Row],[Winter Clothes Adult]]+Table_NFI[[#This Row],[Winter Clothes Children]]+Table_NFI[[#This Row],[Winter Items Other]]+Table_NFI[[#This Row],[Winter Blanket]]&gt;0,1,0)</f>
        <v>0</v>
      </c>
      <c r="AN11" s="845">
        <f>IF(NFI_Expiration=1,IF($A11&lt;VLOOKUP(V$5,NFI,5,0),1,0)*Table_NFI[[#This Row],[Jerry Can]],Table_NFI[Jerry Can])</f>
        <v>0</v>
      </c>
      <c r="AO11" s="845">
        <f>IF(NFI_Expiration=1,IF($A11&lt;VLOOKUP(V$5,NFI,5,0),1,0)*Table_NFI[[#This Row],[Shelter Tool kit]],Table_NFI[Shelter Tool kit])</f>
        <v>0</v>
      </c>
      <c r="AP11" s="845">
        <f>IF(NFI_Expiration=1,IF($A11&lt;VLOOKUP(V$5,NFI,5,0),1,0)*Table_NFI[[#This Row],[Tent]],Table_NFI[Tent])</f>
        <v>0</v>
      </c>
      <c r="AQ11" s="846" t="str">
        <f>IFERROR(VLOOKUP(Table_NFI[[#This Row],[Camp Name]],CL,2,0),"")</f>
        <v>MMR015CMP246</v>
      </c>
      <c r="AR11" s="702">
        <f ca="1">IF(Table_NFI[[#This Row],[Pcode]]="","",IF(OFFSET(CampList[Opening Date],MATCH(Table_NFI[[#This Row],[Pcode]],CampList[CP_Pcode],0)-1,0,1,1)&gt;=NFI_Monitor_Date,1,0))</f>
        <v>0</v>
      </c>
      <c r="AS11" s="846" t="str">
        <f>IFERROR(VLOOKUP(Table_NFI[[#This Row],[Camp Name]],CL,3,0),"")</f>
        <v>Open</v>
      </c>
      <c r="AT11" s="844">
        <f ca="1">IF(Table_NFI[[#This Row],[Pcode]]="","",OFFSET(CampList[Priority],MATCH(Table_NFI[[#This Row],[Pcode]],CampList[CP_Pcode],0)-1,0,1,1))</f>
        <v>0</v>
      </c>
      <c r="AU11" s="847" t="str">
        <f>IFERROR(Table_NFI[[#This Row],[Kitchen Set]]/VLOOKUP(Table_NFI[[#This Row],[Camp Name]],CL,4,0),"")</f>
        <v/>
      </c>
      <c r="AV11" s="841"/>
      <c r="AW11" s="849" t="s">
        <v>1706</v>
      </c>
    </row>
    <row r="12" spans="1:121" s="402" customFormat="1" ht="15" customHeight="1" x14ac:dyDescent="0.25">
      <c r="A12" s="839">
        <f t="shared" si="0"/>
        <v>-0.83333333333333337</v>
      </c>
      <c r="B12" s="840">
        <v>42881</v>
      </c>
      <c r="C12" s="390" t="s">
        <v>1562</v>
      </c>
      <c r="D12" s="391" t="s">
        <v>1562</v>
      </c>
      <c r="E12" s="390" t="s">
        <v>552</v>
      </c>
      <c r="F12" s="262" t="s">
        <v>146</v>
      </c>
      <c r="G12" s="262" t="s">
        <v>1518</v>
      </c>
      <c r="H12" s="842"/>
      <c r="I12" s="842"/>
      <c r="J12" s="842"/>
      <c r="K12" s="842">
        <v>46</v>
      </c>
      <c r="L12" s="842">
        <v>12</v>
      </c>
      <c r="M12" s="842">
        <v>92</v>
      </c>
      <c r="N12" s="842">
        <v>46</v>
      </c>
      <c r="O12" s="842"/>
      <c r="P12" s="842"/>
      <c r="Q12" s="842">
        <v>46</v>
      </c>
      <c r="R12" s="842"/>
      <c r="S12" s="842"/>
      <c r="T12" s="842"/>
      <c r="U12" s="842"/>
      <c r="V12" s="843"/>
      <c r="W12" s="842"/>
      <c r="X12" s="842"/>
      <c r="Y12" s="844">
        <f>IF(NFI_Expiration=1,IF($A12&lt;VLOOKUP(H$5,NFI,5,0),1,0)*Table_NFI[[#This Row],[Hygiene Kit]],Table_NFI[Hygiene Kit])</f>
        <v>0</v>
      </c>
      <c r="Z12" s="844">
        <f>IF(NFI_Expiration=1,IF($A12&lt;VLOOKUP(I$5,NFI,5,0),1,0)*Table_NFI[[#This Row],[NFI Core Kit]],Table_NFI[NFI Core Kit])</f>
        <v>0</v>
      </c>
      <c r="AA12" s="844">
        <f>IF(NFI_Expiration=1,IF($A12&lt;VLOOKUP(J$5,NFI,5,0),1,0)*Table_NFI[[#This Row],[Sanitary Kit]],Table_NFI[Sanitary Kit])</f>
        <v>0</v>
      </c>
      <c r="AB12" s="844">
        <f>IF(NFI_Expiration=1,IF($A12&lt;VLOOKUP(K$5,NFI,5,0),1,0)*Table_NFI[[#This Row],[Mosquito net]],Table_NFI[Mosquito net])</f>
        <v>46</v>
      </c>
      <c r="AC12" s="844">
        <f>IF(NFI_Expiration=1,IF($A12&lt;VLOOKUP(L$5,NFI,5,0),1,0)*Table_NFI[[#This Row],[Tarpaulin]],Table_NFI[[#This Row],[Tarpaulin]])</f>
        <v>12</v>
      </c>
      <c r="AD12" s="844">
        <f>IF(NFI_Expiration=1,IF($A12&lt;VLOOKUP(M$5,NFI,5,0),1,0)*Table_NFI[[#This Row],[Blanket]],Table_NFI[[#This Row],[Blanket]])</f>
        <v>92</v>
      </c>
      <c r="AE12" s="844">
        <f>IF(NFI_Expiration=1,IF($A12&lt;VLOOKUP(N$5,NFI,5,0),1,0)*Table_NFI[[#This Row],[Kitchen Set]],Table_NFI[Kitchen Set])</f>
        <v>46</v>
      </c>
      <c r="AF12" s="844">
        <f>IF(NFI_Expiration=1,IF($A12&lt;VLOOKUP(O$5,NFI,5,0),1,0)*Table_NFI[[#This Row],[Clothes Kit]],Table_NFI[Clothes Kit])</f>
        <v>0</v>
      </c>
      <c r="AG12" s="844">
        <f>IF(NFI_Expiration=1,IF($A12&lt;VLOOKUP(P$5,NFI,5,0),1,0)*Table_NFI[[#This Row],[Plastic Bucket]],Table_NFI[Plastic Bucket])</f>
        <v>0</v>
      </c>
      <c r="AH12" s="844">
        <f>IF(NFI_Expiration=1,IF($A12&lt;VLOOKUP(Q$5,NFI,5,0),1,0)*Table_NFI[[#This Row],[Plastic Mat]],Table_NFI[Plastic Mat])*IF(Table_NFI[[#This Row],[Distribution Date]]&gt;"2014-04-01",1,2.5)</f>
        <v>115</v>
      </c>
      <c r="AI12" s="844">
        <f>IF(NFI_Expiration=1,IF($A12&lt;VLOOKUP(R$5,NFI,5,0),1,0)*Table_NFI[[#This Row],[Winter Clothes Adult]],Table_NFI[Winter Clothes Adult])</f>
        <v>0</v>
      </c>
      <c r="AJ12" s="844">
        <f>IF(NFI_Expiration=1,IF($A12&lt;VLOOKUP(S$5,NFI,5,0),1,0)*Table_NFI[[#This Row],[Winter Clothes Children]],Table_NFI[Winter Clothes Children])</f>
        <v>0</v>
      </c>
      <c r="AK12" s="844">
        <f>IF(NFI_Expiration=1,IF($A12&lt;VLOOKUP(T$5,NFI,5,0),1,0)*Table_NFI[[#This Row],[Winter Items Other]],Table_NFI[Winter Items Other])</f>
        <v>0</v>
      </c>
      <c r="AL12" s="844">
        <f>IF(NFI_Expiration=1,IF($A12&lt;VLOOKUP(M$5,NFI,5,0),1,0)*Table_NFI[[#This Row],[Winter Blanket]],Table_NFI[[#This Row],[Winter Blanket]])</f>
        <v>0</v>
      </c>
      <c r="AM12" s="844">
        <f>IF(Table_NFI[[#This Row],[Winter Clothes Adult]]+Table_NFI[[#This Row],[Winter Clothes Children]]+Table_NFI[[#This Row],[Winter Items Other]]+Table_NFI[[#This Row],[Winter Blanket]]&gt;0,1,0)</f>
        <v>0</v>
      </c>
      <c r="AN12" s="845">
        <f>IF(NFI_Expiration=1,IF($A12&lt;VLOOKUP(V$5,NFI,5,0),1,0)*Table_NFI[[#This Row],[Jerry Can]],Table_NFI[Jerry Can])</f>
        <v>0</v>
      </c>
      <c r="AO12" s="845">
        <f>IF(NFI_Expiration=1,IF($A12&lt;VLOOKUP(V$5,NFI,5,0),1,0)*Table_NFI[[#This Row],[Shelter Tool kit]],Table_NFI[Shelter Tool kit])</f>
        <v>0</v>
      </c>
      <c r="AP12" s="845">
        <f>IF(NFI_Expiration=1,IF($A12&lt;VLOOKUP(V$5,NFI,5,0),1,0)*Table_NFI[[#This Row],[Tent]],Table_NFI[Tent])</f>
        <v>0</v>
      </c>
      <c r="AQ12" s="846" t="str">
        <f>IFERROR(VLOOKUP(Table_NFI[[#This Row],[Camp Name]],CL,2,0),"")</f>
        <v>MMR015CMP245</v>
      </c>
      <c r="AR12" s="702">
        <f ca="1">IF(Table_NFI[[#This Row],[Pcode]]="","",IF(OFFSET(CampList[Opening Date],MATCH(Table_NFI[[#This Row],[Pcode]],CampList[CP_Pcode],0)-1,0,1,1)&gt;=NFI_Monitor_Date,1,0))</f>
        <v>1</v>
      </c>
      <c r="AS12" s="846" t="str">
        <f>IFERROR(VLOOKUP(Table_NFI[[#This Row],[Camp Name]],CL,3,0),"")</f>
        <v>Open</v>
      </c>
      <c r="AT12" s="844">
        <f ca="1">IF(Table_NFI[[#This Row],[Pcode]]="","",OFFSET(CampList[Priority],MATCH(Table_NFI[[#This Row],[Pcode]],CampList[CP_Pcode],0)-1,0,1,1))</f>
        <v>0</v>
      </c>
      <c r="AU12" s="847">
        <f>IFERROR(Table_NFI[[#This Row],[Kitchen Set]]/VLOOKUP(Table_NFI[[#This Row],[Camp Name]],CL,4,0),"")</f>
        <v>1.0766782136504072E-3</v>
      </c>
      <c r="AV12" s="944"/>
      <c r="AW12" s="849" t="s">
        <v>1706</v>
      </c>
    </row>
    <row r="13" spans="1:121" s="402" customFormat="1" ht="15" customHeight="1" x14ac:dyDescent="0.25">
      <c r="A13" s="839">
        <f t="shared" si="0"/>
        <v>-0.8</v>
      </c>
      <c r="B13" s="840">
        <v>42880</v>
      </c>
      <c r="C13" s="390" t="s">
        <v>1562</v>
      </c>
      <c r="D13" s="390" t="s">
        <v>1562</v>
      </c>
      <c r="E13" s="390" t="s">
        <v>552</v>
      </c>
      <c r="F13" s="390" t="s">
        <v>778</v>
      </c>
      <c r="G13" s="390" t="s">
        <v>1262</v>
      </c>
      <c r="H13" s="842"/>
      <c r="I13" s="842"/>
      <c r="J13" s="842"/>
      <c r="K13" s="842">
        <v>57</v>
      </c>
      <c r="L13" s="842"/>
      <c r="M13" s="842"/>
      <c r="N13" s="842">
        <v>57</v>
      </c>
      <c r="O13" s="842"/>
      <c r="P13" s="842"/>
      <c r="Q13" s="842">
        <v>57</v>
      </c>
      <c r="R13" s="842"/>
      <c r="S13" s="842"/>
      <c r="T13" s="842"/>
      <c r="U13" s="842"/>
      <c r="V13" s="843"/>
      <c r="W13" s="842"/>
      <c r="X13" s="842"/>
      <c r="Y13" s="844">
        <f>IF(NFI_Expiration=1,IF($A13&lt;VLOOKUP(H$5,NFI,5,0),1,0)*Table_NFI[[#This Row],[Hygiene Kit]],Table_NFI[Hygiene Kit])</f>
        <v>0</v>
      </c>
      <c r="Z13" s="844">
        <f>IF(NFI_Expiration=1,IF($A13&lt;VLOOKUP(I$5,NFI,5,0),1,0)*Table_NFI[[#This Row],[NFI Core Kit]],Table_NFI[NFI Core Kit])</f>
        <v>0</v>
      </c>
      <c r="AA13" s="844">
        <f>IF(NFI_Expiration=1,IF($A13&lt;VLOOKUP(J$5,NFI,5,0),1,0)*Table_NFI[[#This Row],[Sanitary Kit]],Table_NFI[Sanitary Kit])</f>
        <v>0</v>
      </c>
      <c r="AB13" s="844">
        <f>IF(NFI_Expiration=1,IF($A13&lt;VLOOKUP(K$5,NFI,5,0),1,0)*Table_NFI[[#This Row],[Mosquito net]],Table_NFI[Mosquito net])</f>
        <v>57</v>
      </c>
      <c r="AC13" s="844">
        <f>IF(NFI_Expiration=1,IF($A13&lt;VLOOKUP(L$5,NFI,5,0),1,0)*Table_NFI[[#This Row],[Tarpaulin]],Table_NFI[[#This Row],[Tarpaulin]])</f>
        <v>0</v>
      </c>
      <c r="AD13" s="844">
        <f>IF(NFI_Expiration=1,IF($A13&lt;VLOOKUP(M$5,NFI,5,0),1,0)*Table_NFI[[#This Row],[Blanket]],Table_NFI[[#This Row],[Blanket]])</f>
        <v>0</v>
      </c>
      <c r="AE13" s="844">
        <f>IF(NFI_Expiration=1,IF($A13&lt;VLOOKUP(N$5,NFI,5,0),1,0)*Table_NFI[[#This Row],[Kitchen Set]],Table_NFI[Kitchen Set])</f>
        <v>57</v>
      </c>
      <c r="AF13" s="844">
        <f>IF(NFI_Expiration=1,IF($A13&lt;VLOOKUP(O$5,NFI,5,0),1,0)*Table_NFI[[#This Row],[Clothes Kit]],Table_NFI[Clothes Kit])</f>
        <v>0</v>
      </c>
      <c r="AG13" s="844">
        <f>IF(NFI_Expiration=1,IF($A13&lt;VLOOKUP(P$5,NFI,5,0),1,0)*Table_NFI[[#This Row],[Plastic Bucket]],Table_NFI[Plastic Bucket])</f>
        <v>0</v>
      </c>
      <c r="AH13" s="844">
        <f>IF(NFI_Expiration=1,IF($A13&lt;VLOOKUP(Q$5,NFI,5,0),1,0)*Table_NFI[[#This Row],[Plastic Mat]],Table_NFI[Plastic Mat])*IF(Table_NFI[[#This Row],[Distribution Date]]&gt;"2014-04-01",1,2.5)</f>
        <v>142.5</v>
      </c>
      <c r="AI13" s="844">
        <f>IF(NFI_Expiration=1,IF($A13&lt;VLOOKUP(R$5,NFI,5,0),1,0)*Table_NFI[[#This Row],[Winter Clothes Adult]],Table_NFI[Winter Clothes Adult])</f>
        <v>0</v>
      </c>
      <c r="AJ13" s="844">
        <f>IF(NFI_Expiration=1,IF($A13&lt;VLOOKUP(S$5,NFI,5,0),1,0)*Table_NFI[[#This Row],[Winter Clothes Children]],Table_NFI[Winter Clothes Children])</f>
        <v>0</v>
      </c>
      <c r="AK13" s="844">
        <f>IF(NFI_Expiration=1,IF($A13&lt;VLOOKUP(T$5,NFI,5,0),1,0)*Table_NFI[[#This Row],[Winter Items Other]],Table_NFI[Winter Items Other])</f>
        <v>0</v>
      </c>
      <c r="AL13" s="844">
        <f>IF(NFI_Expiration=1,IF($A13&lt;VLOOKUP(M$5,NFI,5,0),1,0)*Table_NFI[[#This Row],[Winter Blanket]],Table_NFI[[#This Row],[Winter Blanket]])</f>
        <v>0</v>
      </c>
      <c r="AM13" s="844">
        <f>IF(Table_NFI[[#This Row],[Winter Clothes Adult]]+Table_NFI[[#This Row],[Winter Clothes Children]]+Table_NFI[[#This Row],[Winter Items Other]]+Table_NFI[[#This Row],[Winter Blanket]]&gt;0,1,0)</f>
        <v>0</v>
      </c>
      <c r="AN13" s="845">
        <f>IF(NFI_Expiration=1,IF($A13&lt;VLOOKUP(V$5,NFI,5,0),1,0)*Table_NFI[[#This Row],[Jerry Can]],Table_NFI[Jerry Can])</f>
        <v>0</v>
      </c>
      <c r="AO13" s="845">
        <f>IF(NFI_Expiration=1,IF($A13&lt;VLOOKUP(V$5,NFI,5,0),1,0)*Table_NFI[[#This Row],[Shelter Tool kit]],Table_NFI[Shelter Tool kit])</f>
        <v>0</v>
      </c>
      <c r="AP13" s="845">
        <f>IF(NFI_Expiration=1,IF($A13&lt;VLOOKUP(V$5,NFI,5,0),1,0)*Table_NFI[[#This Row],[Tent]],Table_NFI[Tent])</f>
        <v>0</v>
      </c>
      <c r="AQ13" s="846" t="str">
        <f>IFERROR(VLOOKUP(Table_NFI[[#This Row],[Camp Name]],CL,2,0),"")</f>
        <v>MMR015CMP218</v>
      </c>
      <c r="AR13" s="702">
        <f ca="1">IF(Table_NFI[[#This Row],[Pcode]]="","",IF(OFFSET(CampList[Opening Date],MATCH(Table_NFI[[#This Row],[Pcode]],CampList[CP_Pcode],0)-1,0,1,1)&gt;=NFI_Monitor_Date,1,0))</f>
        <v>1</v>
      </c>
      <c r="AS13" s="846" t="str">
        <f>IFERROR(VLOOKUP(Table_NFI[[#This Row],[Camp Name]],CL,3,0),"")</f>
        <v>Open</v>
      </c>
      <c r="AT13" s="844">
        <f ca="1">IF(Table_NFI[[#This Row],[Pcode]]="","",OFFSET(CampList[Priority],MATCH(Table_NFI[[#This Row],[Pcode]],CampList[CP_Pcode],0)-1,0,1,1))</f>
        <v>0</v>
      </c>
      <c r="AU13" s="847">
        <f>IFERROR(Table_NFI[[#This Row],[Kitchen Set]]/VLOOKUP(Table_NFI[[#This Row],[Camp Name]],CL,4,0),"")</f>
        <v>1.3559805880673707E-3</v>
      </c>
      <c r="AV13" s="944"/>
      <c r="AW13" s="849" t="s">
        <v>1706</v>
      </c>
    </row>
    <row r="14" spans="1:121" s="759" customFormat="1" ht="15" customHeight="1" x14ac:dyDescent="0.25">
      <c r="A14" s="839">
        <f t="shared" si="0"/>
        <v>-0.3</v>
      </c>
      <c r="B14" s="840">
        <v>42865</v>
      </c>
      <c r="C14" s="841" t="s">
        <v>1562</v>
      </c>
      <c r="D14" s="841" t="s">
        <v>1562</v>
      </c>
      <c r="E14" s="841" t="s">
        <v>380</v>
      </c>
      <c r="F14" s="841" t="s">
        <v>5</v>
      </c>
      <c r="G14" s="841" t="s">
        <v>1704</v>
      </c>
      <c r="H14" s="842"/>
      <c r="I14" s="842"/>
      <c r="J14" s="842"/>
      <c r="K14" s="842">
        <v>54</v>
      </c>
      <c r="L14" s="842">
        <v>6</v>
      </c>
      <c r="M14" s="842">
        <v>108</v>
      </c>
      <c r="N14" s="842">
        <v>54</v>
      </c>
      <c r="O14" s="842"/>
      <c r="P14" s="842"/>
      <c r="Q14" s="842">
        <v>54</v>
      </c>
      <c r="R14" s="842"/>
      <c r="S14" s="842"/>
      <c r="T14" s="842"/>
      <c r="U14" s="842"/>
      <c r="V14" s="843"/>
      <c r="W14" s="842"/>
      <c r="X14" s="842"/>
      <c r="Y14" s="844">
        <f>IF(NFI_Expiration=1,IF($A14&lt;VLOOKUP(H$5,NFI,5,0),1,0)*Table_NFI[[#This Row],[Hygiene Kit]],Table_NFI[Hygiene Kit])</f>
        <v>0</v>
      </c>
      <c r="Z14" s="844">
        <f>IF(NFI_Expiration=1,IF($A14&lt;VLOOKUP(I$5,NFI,5,0),1,0)*Table_NFI[[#This Row],[NFI Core Kit]],Table_NFI[NFI Core Kit])</f>
        <v>0</v>
      </c>
      <c r="AA14" s="844">
        <f>IF(NFI_Expiration=1,IF($A14&lt;VLOOKUP(J$5,NFI,5,0),1,0)*Table_NFI[[#This Row],[Sanitary Kit]],Table_NFI[Sanitary Kit])</f>
        <v>0</v>
      </c>
      <c r="AB14" s="844">
        <f>IF(NFI_Expiration=1,IF($A14&lt;VLOOKUP(K$5,NFI,5,0),1,0)*Table_NFI[[#This Row],[Mosquito net]],Table_NFI[Mosquito net])</f>
        <v>54</v>
      </c>
      <c r="AC14" s="844">
        <f>IF(NFI_Expiration=1,IF($A14&lt;VLOOKUP(L$5,NFI,5,0),1,0)*Table_NFI[[#This Row],[Tarpaulin]],Table_NFI[[#This Row],[Tarpaulin]])</f>
        <v>6</v>
      </c>
      <c r="AD14" s="844">
        <f>IF(NFI_Expiration=1,IF($A14&lt;VLOOKUP(M$5,NFI,5,0),1,0)*Table_NFI[[#This Row],[Blanket]],Table_NFI[[#This Row],[Blanket]])</f>
        <v>108</v>
      </c>
      <c r="AE14" s="844">
        <f>IF(NFI_Expiration=1,IF($A14&lt;VLOOKUP(N$5,NFI,5,0),1,0)*Table_NFI[[#This Row],[Kitchen Set]],Table_NFI[Kitchen Set])</f>
        <v>54</v>
      </c>
      <c r="AF14" s="844">
        <f>IF(NFI_Expiration=1,IF($A14&lt;VLOOKUP(O$5,NFI,5,0),1,0)*Table_NFI[[#This Row],[Clothes Kit]],Table_NFI[Clothes Kit])</f>
        <v>0</v>
      </c>
      <c r="AG14" s="844">
        <f>IF(NFI_Expiration=1,IF($A14&lt;VLOOKUP(P$5,NFI,5,0),1,0)*Table_NFI[[#This Row],[Plastic Bucket]],Table_NFI[Plastic Bucket])</f>
        <v>0</v>
      </c>
      <c r="AH14" s="844">
        <f>IF(NFI_Expiration=1,IF($A14&lt;VLOOKUP(Q$5,NFI,5,0),1,0)*Table_NFI[[#This Row],[Plastic Mat]],Table_NFI[Plastic Mat])*IF(Table_NFI[[#This Row],[Distribution Date]]&gt;"2014-04-01",1,2.5)</f>
        <v>135</v>
      </c>
      <c r="AI14" s="844">
        <f>IF(NFI_Expiration=1,IF($A14&lt;VLOOKUP(R$5,NFI,5,0),1,0)*Table_NFI[[#This Row],[Winter Clothes Adult]],Table_NFI[Winter Clothes Adult])</f>
        <v>0</v>
      </c>
      <c r="AJ14" s="844">
        <f>IF(NFI_Expiration=1,IF($A14&lt;VLOOKUP(S$5,NFI,5,0),1,0)*Table_NFI[[#This Row],[Winter Clothes Children]],Table_NFI[Winter Clothes Children])</f>
        <v>0</v>
      </c>
      <c r="AK14" s="844">
        <f>IF(NFI_Expiration=1,IF($A14&lt;VLOOKUP(T$5,NFI,5,0),1,0)*Table_NFI[[#This Row],[Winter Items Other]],Table_NFI[Winter Items Other])</f>
        <v>0</v>
      </c>
      <c r="AL14" s="844">
        <f>IF(NFI_Expiration=1,IF($A14&lt;VLOOKUP(M$5,NFI,5,0),1,0)*Table_NFI[[#This Row],[Winter Blanket]],Table_NFI[[#This Row],[Winter Blanket]])</f>
        <v>0</v>
      </c>
      <c r="AM14" s="844">
        <f>IF(Table_NFI[[#This Row],[Winter Clothes Adult]]+Table_NFI[[#This Row],[Winter Clothes Children]]+Table_NFI[[#This Row],[Winter Items Other]]+Table_NFI[[#This Row],[Winter Blanket]]&gt;0,1,0)</f>
        <v>0</v>
      </c>
      <c r="AN14" s="845">
        <f>IF(NFI_Expiration=1,IF($A14&lt;VLOOKUP(V$5,NFI,5,0),1,0)*Table_NFI[[#This Row],[Jerry Can]],Table_NFI[Jerry Can])</f>
        <v>0</v>
      </c>
      <c r="AO14" s="845">
        <f>IF(NFI_Expiration=1,IF($A14&lt;VLOOKUP(V$5,NFI,5,0),1,0)*Table_NFI[[#This Row],[Shelter Tool kit]],Table_NFI[Shelter Tool kit])</f>
        <v>0</v>
      </c>
      <c r="AP14" s="845">
        <f>IF(NFI_Expiration=1,IF($A14&lt;VLOOKUP(V$5,NFI,5,0),1,0)*Table_NFI[[#This Row],[Tent]],Table_NFI[Tent])</f>
        <v>0</v>
      </c>
      <c r="AQ14" s="846" t="str">
        <f>IFERROR(VLOOKUP(Table_NFI[[#This Row],[Camp Name]],CL,2,0),"")</f>
        <v/>
      </c>
      <c r="AR14" s="943" t="str">
        <f ca="1">IF(Table_NFI[[#This Row],[Pcode]]="","",IF(OFFSET(CampList[Opening Date],MATCH(Table_NFI[[#This Row],[Pcode]],CampList[CP_Pcode],0)-1,0,1,1)&gt;=NFI_Monitor_Date,1,0))</f>
        <v/>
      </c>
      <c r="AS14" s="846" t="str">
        <f>IFERROR(VLOOKUP(Table_NFI[[#This Row],[Camp Name]],CL,3,0),"")</f>
        <v/>
      </c>
      <c r="AT14" s="844" t="str">
        <f ca="1">IF(Table_NFI[[#This Row],[Pcode]]="","",OFFSET(CampList[Priority],MATCH(Table_NFI[[#This Row],[Pcode]],CampList[CP_Pcode],0)-1,0,1,1))</f>
        <v/>
      </c>
      <c r="AU14" s="847" t="str">
        <f>IFERROR(Table_NFI[[#This Row],[Kitchen Set]]/VLOOKUP(Table_NFI[[#This Row],[Camp Name]],CL,4,0),"")</f>
        <v/>
      </c>
      <c r="AV14" s="841"/>
      <c r="AW14" s="945" t="s">
        <v>1705</v>
      </c>
      <c r="AX14" s="402"/>
      <c r="AY14" s="402"/>
      <c r="AZ14" s="402"/>
      <c r="BA14" s="402"/>
      <c r="BB14" s="402"/>
      <c r="BC14" s="402"/>
      <c r="BD14" s="402"/>
      <c r="BE14" s="402"/>
      <c r="BF14" s="402"/>
      <c r="BG14" s="402"/>
      <c r="BH14" s="402"/>
      <c r="BI14" s="402"/>
      <c r="BJ14" s="402"/>
      <c r="BK14" s="402"/>
      <c r="BL14" s="402"/>
      <c r="BM14" s="402"/>
      <c r="BN14" s="402"/>
      <c r="BO14" s="402"/>
      <c r="BP14" s="402"/>
      <c r="BQ14" s="402"/>
      <c r="BR14" s="402"/>
      <c r="BS14" s="402"/>
      <c r="BT14" s="402"/>
      <c r="BU14" s="402"/>
      <c r="BV14" s="402"/>
      <c r="BW14" s="402"/>
      <c r="BX14" s="402"/>
      <c r="BY14" s="402"/>
      <c r="BZ14" s="402"/>
      <c r="CA14" s="402"/>
      <c r="CB14" s="402"/>
      <c r="CC14" s="402"/>
      <c r="CD14" s="402"/>
      <c r="CE14" s="402"/>
      <c r="CF14" s="402"/>
      <c r="CG14" s="402"/>
      <c r="CH14" s="402"/>
      <c r="CI14" s="402"/>
      <c r="CJ14" s="402"/>
      <c r="CK14" s="402"/>
      <c r="CL14" s="402"/>
      <c r="CM14" s="402"/>
      <c r="CN14" s="402"/>
      <c r="CO14" s="402"/>
      <c r="CP14" s="402"/>
      <c r="CQ14" s="402"/>
      <c r="CR14" s="402"/>
      <c r="CS14" s="402"/>
      <c r="CT14" s="402"/>
      <c r="CU14" s="402"/>
      <c r="CV14" s="402"/>
      <c r="CW14" s="402"/>
      <c r="CX14" s="402"/>
      <c r="CY14" s="402"/>
      <c r="CZ14" s="402"/>
      <c r="DA14" s="402"/>
      <c r="DB14" s="402"/>
      <c r="DC14" s="402"/>
      <c r="DD14" s="402"/>
      <c r="DE14" s="402"/>
      <c r="DF14" s="402"/>
      <c r="DG14" s="402"/>
      <c r="DH14" s="402"/>
      <c r="DI14" s="402"/>
      <c r="DJ14" s="402"/>
      <c r="DK14" s="402"/>
      <c r="DL14" s="402"/>
      <c r="DM14" s="402"/>
      <c r="DN14" s="402"/>
      <c r="DO14" s="402"/>
      <c r="DP14" s="402"/>
      <c r="DQ14" s="402"/>
    </row>
    <row r="15" spans="1:121" s="760" customFormat="1" ht="15" customHeight="1" x14ac:dyDescent="0.25">
      <c r="A15" s="266">
        <f t="shared" si="0"/>
        <v>-0.23333333333333334</v>
      </c>
      <c r="B15" s="389">
        <v>42863</v>
      </c>
      <c r="C15" s="390" t="s">
        <v>451</v>
      </c>
      <c r="D15" s="390" t="s">
        <v>459</v>
      </c>
      <c r="E15" s="390" t="s">
        <v>380</v>
      </c>
      <c r="F15" s="390" t="s">
        <v>310</v>
      </c>
      <c r="G15" s="390" t="s">
        <v>347</v>
      </c>
      <c r="H15" s="261"/>
      <c r="I15" s="261"/>
      <c r="J15" s="261"/>
      <c r="K15" s="261"/>
      <c r="L15" s="261"/>
      <c r="M15" s="261">
        <v>358</v>
      </c>
      <c r="N15" s="261"/>
      <c r="O15" s="261"/>
      <c r="P15" s="261"/>
      <c r="Q15" s="261"/>
      <c r="R15" s="261"/>
      <c r="S15" s="261"/>
      <c r="T15" s="261"/>
      <c r="U15" s="261"/>
      <c r="V15" s="762"/>
      <c r="W15" s="261"/>
      <c r="X15" s="261"/>
      <c r="Y15" s="264">
        <f>IF(NFI_Expiration=1,IF($A15&lt;VLOOKUP(H$5,NFI,5,0),1,0)*Table_NFI[[#This Row],[Hygiene Kit]],Table_NFI[Hygiene Kit])</f>
        <v>0</v>
      </c>
      <c r="Z15" s="264">
        <f>IF(NFI_Expiration=1,IF($A15&lt;VLOOKUP(I$5,NFI,5,0),1,0)*Table_NFI[[#This Row],[NFI Core Kit]],Table_NFI[NFI Core Kit])</f>
        <v>0</v>
      </c>
      <c r="AA15" s="264">
        <f>IF(NFI_Expiration=1,IF($A15&lt;VLOOKUP(J$5,NFI,5,0),1,0)*Table_NFI[[#This Row],[Sanitary Kit]],Table_NFI[Sanitary Kit])</f>
        <v>0</v>
      </c>
      <c r="AB15" s="264">
        <f>IF(NFI_Expiration=1,IF($A15&lt;VLOOKUP(K$5,NFI,5,0),1,0)*Table_NFI[[#This Row],[Mosquito net]],Table_NFI[Mosquito net])</f>
        <v>0</v>
      </c>
      <c r="AC15" s="264">
        <f>IF(NFI_Expiration=1,IF($A15&lt;VLOOKUP(L$5,NFI,5,0),1,0)*Table_NFI[[#This Row],[Tarpaulin]],Table_NFI[[#This Row],[Tarpaulin]])</f>
        <v>0</v>
      </c>
      <c r="AD15" s="264">
        <f>IF(NFI_Expiration=1,IF($A15&lt;VLOOKUP(M$5,NFI,5,0),1,0)*Table_NFI[[#This Row],[Blanket]],Table_NFI[[#This Row],[Blanket]])</f>
        <v>358</v>
      </c>
      <c r="AE15" s="264">
        <f>IF(NFI_Expiration=1,IF($A15&lt;VLOOKUP(N$5,NFI,5,0),1,0)*Table_NFI[[#This Row],[Kitchen Set]],Table_NFI[Kitchen Set])</f>
        <v>0</v>
      </c>
      <c r="AF15" s="264">
        <f>IF(NFI_Expiration=1,IF($A15&lt;VLOOKUP(O$5,NFI,5,0),1,0)*Table_NFI[[#This Row],[Clothes Kit]],Table_NFI[Clothes Kit])</f>
        <v>0</v>
      </c>
      <c r="AG15" s="264">
        <f>IF(NFI_Expiration=1,IF($A15&lt;VLOOKUP(P$5,NFI,5,0),1,0)*Table_NFI[[#This Row],[Plastic Bucket]],Table_NFI[Plastic Bucket])</f>
        <v>0</v>
      </c>
      <c r="AH15" s="264">
        <f>IF(NFI_Expiration=1,IF($A15&lt;VLOOKUP(Q$5,NFI,5,0),1,0)*Table_NFI[[#This Row],[Plastic Mat]],Table_NFI[Plastic Mat])*IF(Table_NFI[[#This Row],[Distribution Date]]&gt;"2014-04-01",1,2.5)</f>
        <v>0</v>
      </c>
      <c r="AI15" s="264">
        <f>IF(NFI_Expiration=1,IF($A15&lt;VLOOKUP(R$5,NFI,5,0),1,0)*Table_NFI[[#This Row],[Winter Clothes Adult]],Table_NFI[Winter Clothes Adult])</f>
        <v>0</v>
      </c>
      <c r="AJ15" s="264">
        <f>IF(NFI_Expiration=1,IF($A15&lt;VLOOKUP(S$5,NFI,5,0),1,0)*Table_NFI[[#This Row],[Winter Clothes Children]],Table_NFI[Winter Clothes Children])</f>
        <v>0</v>
      </c>
      <c r="AK15" s="264">
        <f>IF(NFI_Expiration=1,IF($A15&lt;VLOOKUP(T$5,NFI,5,0),1,0)*Table_NFI[[#This Row],[Winter Items Other]],Table_NFI[Winter Items Other])</f>
        <v>0</v>
      </c>
      <c r="AL15" s="264">
        <f>IF(NFI_Expiration=1,IF($A15&lt;VLOOKUP(M$5,NFI,5,0),1,0)*Table_NFI[[#This Row],[Winter Blanket]],Table_NFI[[#This Row],[Winter Blanket]])</f>
        <v>0</v>
      </c>
      <c r="AM15" s="264">
        <f>IF(Table_NFI[[#This Row],[Winter Clothes Adult]]+Table_NFI[[#This Row],[Winter Clothes Children]]+Table_NFI[[#This Row],[Winter Items Other]]+Table_NFI[[#This Row],[Winter Blanket]]&gt;0,1,0)</f>
        <v>0</v>
      </c>
      <c r="AN15" s="296">
        <f>IF(NFI_Expiration=1,IF($A15&lt;VLOOKUP(V$5,NFI,5,0),1,0)*Table_NFI[[#This Row],[Jerry Can]],Table_NFI[Jerry Can])</f>
        <v>0</v>
      </c>
      <c r="AO15" s="296">
        <f>IF(NFI_Expiration=1,IF($A15&lt;VLOOKUP(V$5,NFI,5,0),1,0)*Table_NFI[[#This Row],[Shelter Tool kit]],Table_NFI[Shelter Tool kit])</f>
        <v>0</v>
      </c>
      <c r="AP15" s="296">
        <f>IF(NFI_Expiration=1,IF($A15&lt;VLOOKUP(V$5,NFI,5,0),1,0)*Table_NFI[[#This Row],[Tent]],Table_NFI[Tent])</f>
        <v>0</v>
      </c>
      <c r="AQ15" s="396" t="str">
        <f>IFERROR(VLOOKUP(Table_NFI[[#This Row],[Camp Name]],CL,2,0),"")</f>
        <v>MMR001CMP041</v>
      </c>
      <c r="AR15" s="711">
        <f ca="1">IF(Table_NFI[[#This Row],[Pcode]]="","",IF(OFFSET(CampList[Opening Date],MATCH(Table_NFI[[#This Row],[Pcode]],CampList[CP_Pcode],0)-1,0,1,1)&gt;=NFI_Monitor_Date,1,0))</f>
        <v>0</v>
      </c>
      <c r="AS15" s="396" t="str">
        <f>IFERROR(VLOOKUP(Table_NFI[[#This Row],[Camp Name]],CL,3,0),"")</f>
        <v>Open</v>
      </c>
      <c r="AT15" s="264" t="str">
        <f ca="1">IF(Table_NFI[[#This Row],[Pcode]]="","",OFFSET(CampList[Priority],MATCH(Table_NFI[[#This Row],[Pcode]],CampList[CP_Pcode],0)-1,0,1,1))</f>
        <v>P1</v>
      </c>
      <c r="AU15" s="263">
        <f>IFERROR(Table_NFI[[#This Row],[Kitchen Set]]/VLOOKUP(Table_NFI[[#This Row],[Camp Name]],CL,4,0),"")</f>
        <v>0</v>
      </c>
      <c r="AV15" s="390"/>
      <c r="AW15" s="392" t="s">
        <v>1552</v>
      </c>
      <c r="AX15" s="399"/>
      <c r="AY15" s="399"/>
      <c r="AZ15" s="399"/>
      <c r="BA15" s="399"/>
      <c r="BB15" s="399"/>
      <c r="BC15" s="399"/>
      <c r="BD15" s="399"/>
      <c r="BE15" s="399"/>
      <c r="BF15" s="399"/>
      <c r="BG15" s="399"/>
      <c r="BH15" s="399"/>
      <c r="BI15" s="399"/>
      <c r="BJ15" s="399"/>
      <c r="BK15" s="399"/>
      <c r="BL15" s="399"/>
      <c r="BM15" s="399"/>
      <c r="BN15" s="399"/>
      <c r="BO15" s="399"/>
      <c r="BP15" s="399"/>
      <c r="BQ15" s="399"/>
      <c r="BR15" s="399"/>
      <c r="BS15" s="399"/>
      <c r="BT15" s="399"/>
      <c r="BU15" s="399"/>
      <c r="BV15" s="399"/>
      <c r="BW15" s="399"/>
      <c r="BX15" s="399"/>
      <c r="BY15" s="399"/>
      <c r="BZ15" s="399"/>
      <c r="CA15" s="399"/>
      <c r="CB15" s="399"/>
      <c r="CC15" s="399"/>
      <c r="CD15" s="399"/>
      <c r="CE15" s="399"/>
      <c r="CF15" s="399"/>
      <c r="CG15" s="399"/>
      <c r="CH15" s="399"/>
      <c r="CI15" s="399"/>
      <c r="CJ15" s="399"/>
      <c r="CK15" s="399"/>
      <c r="CL15" s="399"/>
      <c r="CM15" s="399"/>
      <c r="CN15" s="399"/>
      <c r="CO15" s="399"/>
      <c r="CP15" s="399"/>
      <c r="CQ15" s="399"/>
      <c r="CR15" s="399"/>
      <c r="CS15" s="399"/>
      <c r="CT15" s="399"/>
      <c r="CU15" s="399"/>
      <c r="CV15" s="399"/>
      <c r="CW15" s="399"/>
      <c r="CX15" s="399"/>
      <c r="CY15" s="399"/>
      <c r="CZ15" s="399"/>
      <c r="DA15" s="399"/>
      <c r="DB15" s="399"/>
      <c r="DC15" s="399"/>
      <c r="DD15" s="399"/>
      <c r="DE15" s="399"/>
      <c r="DF15" s="399"/>
      <c r="DG15" s="399"/>
      <c r="DH15" s="399"/>
      <c r="DI15" s="399"/>
      <c r="DJ15" s="399"/>
      <c r="DK15" s="399"/>
      <c r="DL15" s="399"/>
      <c r="DM15" s="399"/>
      <c r="DN15" s="399"/>
      <c r="DO15" s="399"/>
      <c r="DP15" s="399"/>
      <c r="DQ15" s="399"/>
    </row>
    <row r="16" spans="1:121" s="760" customFormat="1" ht="15" customHeight="1" x14ac:dyDescent="0.25">
      <c r="A16" s="266">
        <f t="shared" si="0"/>
        <v>0.13333333333333333</v>
      </c>
      <c r="B16" s="389">
        <v>42852</v>
      </c>
      <c r="C16" s="390" t="s">
        <v>904</v>
      </c>
      <c r="D16" s="394" t="s">
        <v>904</v>
      </c>
      <c r="E16" s="394" t="s">
        <v>380</v>
      </c>
      <c r="F16" s="394" t="s">
        <v>310</v>
      </c>
      <c r="G16" s="394" t="s">
        <v>318</v>
      </c>
      <c r="H16" s="261">
        <v>10</v>
      </c>
      <c r="I16" s="261"/>
      <c r="J16" s="261">
        <v>90</v>
      </c>
      <c r="K16" s="261"/>
      <c r="L16" s="261"/>
      <c r="M16" s="261"/>
      <c r="N16" s="261"/>
      <c r="O16" s="261"/>
      <c r="P16" s="261">
        <v>10</v>
      </c>
      <c r="Q16" s="261"/>
      <c r="R16" s="261"/>
      <c r="S16" s="261"/>
      <c r="T16" s="261"/>
      <c r="U16" s="261"/>
      <c r="V16" s="762">
        <v>10</v>
      </c>
      <c r="W16" s="261"/>
      <c r="X16" s="261"/>
      <c r="Y16" s="264"/>
      <c r="Z16" s="264">
        <f>IF(NFI_Expiration=1,IF($A16&lt;VLOOKUP(I$5,NFI,5,0),1,0)*Table_NFI[[#This Row],[NFI Core Kit]],Table_NFI[NFI Core Kit])</f>
        <v>0</v>
      </c>
      <c r="AA16" s="264">
        <f>IF(NFI_Expiration=1,IF($A16&lt;VLOOKUP(J$5,NFI,5,0),1,0)*Table_NFI[[#This Row],[Sanitary Kit]],Table_NFI[Sanitary Kit])</f>
        <v>90</v>
      </c>
      <c r="AB16" s="264">
        <f>IF(NFI_Expiration=1,IF($A16&lt;VLOOKUP(K$5,NFI,5,0),1,0)*Table_NFI[[#This Row],[Mosquito net]],Table_NFI[Mosquito net])</f>
        <v>0</v>
      </c>
      <c r="AC16" s="264">
        <f>IF(NFI_Expiration=1,IF($A16&lt;VLOOKUP(L$5,NFI,5,0),1,0)*Table_NFI[[#This Row],[Tarpaulin]],Table_NFI[[#This Row],[Tarpaulin]])</f>
        <v>0</v>
      </c>
      <c r="AD16" s="264">
        <f>IF(NFI_Expiration=1,IF($A16&lt;VLOOKUP(M$5,NFI,5,0),1,0)*Table_NFI[[#This Row],[Blanket]],Table_NFI[[#This Row],[Blanket]])</f>
        <v>0</v>
      </c>
      <c r="AE16" s="264">
        <f>IF(NFI_Expiration=1,IF($A16&lt;VLOOKUP(N$5,NFI,5,0),1,0)*Table_NFI[[#This Row],[Kitchen Set]],Table_NFI[Kitchen Set])</f>
        <v>0</v>
      </c>
      <c r="AF16" s="264">
        <f>IF(NFI_Expiration=1,IF($A16&lt;VLOOKUP(O$5,NFI,5,0),1,0)*Table_NFI[[#This Row],[Clothes Kit]],Table_NFI[Clothes Kit])</f>
        <v>0</v>
      </c>
      <c r="AG16" s="264">
        <f>IF(NFI_Expiration=1,IF($A16&lt;VLOOKUP(P$5,NFI,5,0),1,0)*Table_NFI[[#This Row],[Plastic Bucket]],Table_NFI[Plastic Bucket])</f>
        <v>10</v>
      </c>
      <c r="AH16" s="264">
        <f>IF(NFI_Expiration=1,IF($A16&lt;VLOOKUP(Q$5,NFI,5,0),1,0)*Table_NFI[[#This Row],[Plastic Mat]],Table_NFI[Plastic Mat])*IF(Table_NFI[[#This Row],[Distribution Date]]&gt;"2014-04-01",1,2.5)</f>
        <v>0</v>
      </c>
      <c r="AI16" s="264">
        <f>IF(NFI_Expiration=1,IF($A16&lt;VLOOKUP(R$5,NFI,5,0),1,0)*Table_NFI[[#This Row],[Winter Clothes Adult]],Table_NFI[Winter Clothes Adult])</f>
        <v>0</v>
      </c>
      <c r="AJ16" s="264">
        <f>IF(NFI_Expiration=1,IF($A16&lt;VLOOKUP(S$5,NFI,5,0),1,0)*Table_NFI[[#This Row],[Winter Clothes Children]],Table_NFI[Winter Clothes Children])</f>
        <v>0</v>
      </c>
      <c r="AK16" s="264">
        <f>IF(NFI_Expiration=1,IF($A16&lt;VLOOKUP(T$5,NFI,5,0),1,0)*Table_NFI[[#This Row],[Winter Items Other]],Table_NFI[Winter Items Other])</f>
        <v>0</v>
      </c>
      <c r="AL16" s="264">
        <f>IF(NFI_Expiration=1,IF($A16&lt;VLOOKUP(M$5,NFI,5,0),1,0)*Table_NFI[[#This Row],[Winter Blanket]],Table_NFI[[#This Row],[Winter Blanket]])</f>
        <v>0</v>
      </c>
      <c r="AM16" s="264">
        <f>IF(Table_NFI[[#This Row],[Winter Clothes Adult]]+Table_NFI[[#This Row],[Winter Clothes Children]]+Table_NFI[[#This Row],[Winter Items Other]]+Table_NFI[[#This Row],[Winter Blanket]]&gt;0,1,0)</f>
        <v>0</v>
      </c>
      <c r="AN16" s="296">
        <f>IF(NFI_Expiration=1,IF($A16&lt;VLOOKUP(V$5,NFI,5,0),1,0)*Table_NFI[[#This Row],[Jerry Can]],Table_NFI[Jerry Can])</f>
        <v>10</v>
      </c>
      <c r="AO16" s="296">
        <f>IF(NFI_Expiration=1,IF($A16&lt;VLOOKUP(V$5,NFI,5,0),1,0)*Table_NFI[[#This Row],[Shelter Tool kit]],Table_NFI[Shelter Tool kit])</f>
        <v>0</v>
      </c>
      <c r="AP16" s="296">
        <f>IF(NFI_Expiration=1,IF($A16&lt;VLOOKUP(V$5,NFI,5,0),1,0)*Table_NFI[[#This Row],[Tent]],Table_NFI[Tent])</f>
        <v>0</v>
      </c>
      <c r="AQ16" s="396" t="str">
        <f>IFERROR(VLOOKUP(Table_NFI[[#This Row],[Camp Name]],CL,2,0),"")</f>
        <v>MMR001CMP032</v>
      </c>
      <c r="AR16" s="711">
        <f ca="1">IF(Table_NFI[[#This Row],[Pcode]]="","",IF(OFFSET(CampList[Opening Date],MATCH(Table_NFI[[#This Row],[Pcode]],CampList[CP_Pcode],0)-1,0,1,1)&gt;=NFI_Monitor_Date,1,0))</f>
        <v>0</v>
      </c>
      <c r="AS16" s="396" t="str">
        <f>IFERROR(VLOOKUP(Table_NFI[[#This Row],[Camp Name]],CL,3,0),"")</f>
        <v>Open</v>
      </c>
      <c r="AT16" s="264" t="str">
        <f ca="1">IF(Table_NFI[[#This Row],[Pcode]]="","",OFFSET(CampList[Priority],MATCH(Table_NFI[[#This Row],[Pcode]],CampList[CP_Pcode],0)-1,0,1,1))</f>
        <v>P4</v>
      </c>
      <c r="AU16" s="263">
        <f>IFERROR(Table_NFI[[#This Row],[Kitchen Set]]/VLOOKUP(Table_NFI[[#This Row],[Camp Name]],CL,4,0),"")</f>
        <v>0</v>
      </c>
      <c r="AV16" s="394"/>
      <c r="AW16" s="397" t="s">
        <v>1559</v>
      </c>
      <c r="AX16" s="399"/>
      <c r="AY16" s="399"/>
      <c r="AZ16" s="399"/>
      <c r="BA16" s="399"/>
      <c r="BB16" s="399"/>
      <c r="BC16" s="399"/>
      <c r="BD16" s="399"/>
      <c r="BE16" s="399"/>
      <c r="BF16" s="399"/>
      <c r="BG16" s="399"/>
      <c r="BH16" s="399"/>
      <c r="BI16" s="399"/>
      <c r="BJ16" s="399"/>
      <c r="BK16" s="399"/>
      <c r="BL16" s="399"/>
      <c r="BM16" s="399"/>
      <c r="BN16" s="399"/>
      <c r="BO16" s="399"/>
      <c r="BP16" s="399"/>
      <c r="BQ16" s="399"/>
      <c r="BR16" s="399"/>
      <c r="BS16" s="399"/>
      <c r="BT16" s="399"/>
      <c r="BU16" s="399"/>
      <c r="BV16" s="399"/>
      <c r="BW16" s="399"/>
      <c r="BX16" s="399"/>
      <c r="BY16" s="399"/>
      <c r="BZ16" s="399"/>
      <c r="CA16" s="399"/>
      <c r="CB16" s="399"/>
      <c r="CC16" s="399"/>
      <c r="CD16" s="399"/>
      <c r="CE16" s="399"/>
      <c r="CF16" s="399"/>
      <c r="CG16" s="399"/>
      <c r="CH16" s="399"/>
      <c r="CI16" s="399"/>
      <c r="CJ16" s="399"/>
      <c r="CK16" s="399"/>
      <c r="CL16" s="399"/>
      <c r="CM16" s="399"/>
      <c r="CN16" s="399"/>
      <c r="CO16" s="399"/>
      <c r="CP16" s="399"/>
      <c r="CQ16" s="399"/>
      <c r="CR16" s="399"/>
      <c r="CS16" s="399"/>
      <c r="CT16" s="399"/>
      <c r="CU16" s="399"/>
      <c r="CV16" s="399"/>
      <c r="CW16" s="399"/>
      <c r="CX16" s="399"/>
      <c r="CY16" s="399"/>
      <c r="CZ16" s="399"/>
      <c r="DA16" s="399"/>
      <c r="DB16" s="399"/>
      <c r="DC16" s="399"/>
      <c r="DD16" s="399"/>
      <c r="DE16" s="399"/>
      <c r="DF16" s="399"/>
      <c r="DG16" s="399"/>
      <c r="DH16" s="399"/>
      <c r="DI16" s="399"/>
      <c r="DJ16" s="399"/>
      <c r="DK16" s="399"/>
      <c r="DL16" s="399"/>
      <c r="DM16" s="399"/>
      <c r="DN16" s="399"/>
      <c r="DO16" s="399"/>
      <c r="DP16" s="399"/>
      <c r="DQ16" s="399"/>
    </row>
    <row r="17" spans="1:121" s="760" customFormat="1" ht="15" customHeight="1" x14ac:dyDescent="0.25">
      <c r="A17" s="266">
        <f t="shared" si="0"/>
        <v>0.6</v>
      </c>
      <c r="B17" s="389">
        <v>42838</v>
      </c>
      <c r="C17" s="394" t="s">
        <v>451</v>
      </c>
      <c r="D17" s="394" t="s">
        <v>504</v>
      </c>
      <c r="E17" s="394" t="s">
        <v>380</v>
      </c>
      <c r="F17" s="394" t="s">
        <v>310</v>
      </c>
      <c r="G17" s="394" t="s">
        <v>318</v>
      </c>
      <c r="H17" s="261"/>
      <c r="I17" s="261">
        <v>17</v>
      </c>
      <c r="J17" s="261">
        <v>17</v>
      </c>
      <c r="K17" s="261">
        <v>58</v>
      </c>
      <c r="L17" s="261">
        <v>17</v>
      </c>
      <c r="M17" s="261">
        <v>58</v>
      </c>
      <c r="N17" s="261">
        <v>17</v>
      </c>
      <c r="O17" s="261"/>
      <c r="P17" s="261">
        <v>17</v>
      </c>
      <c r="Q17" s="261">
        <v>76</v>
      </c>
      <c r="R17" s="261"/>
      <c r="S17" s="261"/>
      <c r="T17" s="261"/>
      <c r="U17" s="261"/>
      <c r="V17" s="762">
        <v>17</v>
      </c>
      <c r="W17" s="261"/>
      <c r="X17" s="261">
        <v>15</v>
      </c>
      <c r="Y17" s="264">
        <f>IF(NFI_Expiration=1,IF($A17&lt;VLOOKUP(H$5,NFI,5,0),1,0)*Table_NFI[[#This Row],[Hygiene Kit]],Table_NFI[Hygiene Kit])</f>
        <v>0</v>
      </c>
      <c r="Z17" s="264">
        <f>IF(NFI_Expiration=1,IF($A17&lt;VLOOKUP(I$5,NFI,5,0),1,0)*Table_NFI[[#This Row],[NFI Core Kit]],Table_NFI[NFI Core Kit])</f>
        <v>17</v>
      </c>
      <c r="AA17" s="264">
        <f>IF(NFI_Expiration=1,IF($A17&lt;VLOOKUP(J$5,NFI,5,0),1,0)*Table_NFI[[#This Row],[Sanitary Kit]],Table_NFI[Sanitary Kit])</f>
        <v>17</v>
      </c>
      <c r="AB17" s="264">
        <f>IF(NFI_Expiration=1,IF($A17&lt;VLOOKUP(K$5,NFI,5,0),1,0)*Table_NFI[[#This Row],[Mosquito net]],Table_NFI[Mosquito net])</f>
        <v>58</v>
      </c>
      <c r="AC17" s="264">
        <f>IF(NFI_Expiration=1,IF($A17&lt;VLOOKUP(L$5,NFI,5,0),1,0)*Table_NFI[[#This Row],[Tarpaulin]],Table_NFI[[#This Row],[Tarpaulin]])</f>
        <v>17</v>
      </c>
      <c r="AD17" s="264">
        <f>IF(NFI_Expiration=1,IF($A17&lt;VLOOKUP(M$5,NFI,5,0),1,0)*Table_NFI[[#This Row],[Blanket]],Table_NFI[[#This Row],[Blanket]])</f>
        <v>58</v>
      </c>
      <c r="AE17" s="264">
        <f>IF(NFI_Expiration=1,IF($A17&lt;VLOOKUP(N$5,NFI,5,0),1,0)*Table_NFI[[#This Row],[Kitchen Set]],Table_NFI[Kitchen Set])</f>
        <v>17</v>
      </c>
      <c r="AF17" s="264">
        <f>IF(NFI_Expiration=1,IF($A17&lt;VLOOKUP(O$5,NFI,5,0),1,0)*Table_NFI[[#This Row],[Clothes Kit]],Table_NFI[Clothes Kit])</f>
        <v>0</v>
      </c>
      <c r="AG17" s="264">
        <f>IF(NFI_Expiration=1,IF($A17&lt;VLOOKUP(P$5,NFI,5,0),1,0)*Table_NFI[[#This Row],[Plastic Bucket]],Table_NFI[Plastic Bucket])</f>
        <v>17</v>
      </c>
      <c r="AH17" s="264">
        <f>IF(NFI_Expiration=1,IF($A17&lt;VLOOKUP(Q$5,NFI,5,0),1,0)*Table_NFI[[#This Row],[Plastic Mat]],Table_NFI[Plastic Mat])*IF(Table_NFI[[#This Row],[Distribution Date]]&gt;"2014-04-01",1,2.5)</f>
        <v>190</v>
      </c>
      <c r="AI17" s="264">
        <f>IF(NFI_Expiration=1,IF($A17&lt;VLOOKUP(R$5,NFI,5,0),1,0)*Table_NFI[[#This Row],[Winter Clothes Adult]],Table_NFI[Winter Clothes Adult])</f>
        <v>0</v>
      </c>
      <c r="AJ17" s="264">
        <f>IF(NFI_Expiration=1,IF($A17&lt;VLOOKUP(S$5,NFI,5,0),1,0)*Table_NFI[[#This Row],[Winter Clothes Children]],Table_NFI[Winter Clothes Children])</f>
        <v>0</v>
      </c>
      <c r="AK17" s="264">
        <f>IF(NFI_Expiration=1,IF($A17&lt;VLOOKUP(T$5,NFI,5,0),1,0)*Table_NFI[[#This Row],[Winter Items Other]],Table_NFI[Winter Items Other])</f>
        <v>0</v>
      </c>
      <c r="AL17" s="264">
        <f>IF(NFI_Expiration=1,IF($A17&lt;VLOOKUP(M$5,NFI,5,0),1,0)*Table_NFI[[#This Row],[Winter Blanket]],Table_NFI[[#This Row],[Winter Blanket]])</f>
        <v>0</v>
      </c>
      <c r="AM17" s="264">
        <f>IF(Table_NFI[[#This Row],[Winter Clothes Adult]]+Table_NFI[[#This Row],[Winter Clothes Children]]+Table_NFI[[#This Row],[Winter Items Other]]+Table_NFI[[#This Row],[Winter Blanket]]&gt;0,1,0)</f>
        <v>0</v>
      </c>
      <c r="AN17" s="296">
        <f>IF(NFI_Expiration=1,IF($A17&lt;VLOOKUP(V$5,NFI,5,0),1,0)*Table_NFI[[#This Row],[Jerry Can]],Table_NFI[Jerry Can])</f>
        <v>17</v>
      </c>
      <c r="AO17" s="296">
        <f>IF(NFI_Expiration=1,IF($A17&lt;VLOOKUP(V$5,NFI,5,0),1,0)*Table_NFI[[#This Row],[Shelter Tool kit]],Table_NFI[Shelter Tool kit])</f>
        <v>0</v>
      </c>
      <c r="AP17" s="296">
        <f>IF(NFI_Expiration=1,IF($A17&lt;VLOOKUP(V$5,NFI,5,0),1,0)*Table_NFI[[#This Row],[Tent]],Table_NFI[Tent])</f>
        <v>15</v>
      </c>
      <c r="AQ17" s="396" t="str">
        <f>IFERROR(VLOOKUP(Table_NFI[[#This Row],[Camp Name]],CL,2,0),"")</f>
        <v>MMR001CMP032</v>
      </c>
      <c r="AR17" s="711">
        <f ca="1">IF(Table_NFI[[#This Row],[Pcode]]="","",IF(OFFSET(CampList[Opening Date],MATCH(Table_NFI[[#This Row],[Pcode]],CampList[CP_Pcode],0)-1,0,1,1)&gt;=NFI_Monitor_Date,1,0))</f>
        <v>0</v>
      </c>
      <c r="AS17" s="396" t="str">
        <f>IFERROR(VLOOKUP(Table_NFI[[#This Row],[Camp Name]],CL,3,0),"")</f>
        <v>Open</v>
      </c>
      <c r="AT17" s="264" t="str">
        <f ca="1">IF(Table_NFI[[#This Row],[Pcode]]="","",OFFSET(CampList[Priority],MATCH(Table_NFI[[#This Row],[Pcode]],CampList[CP_Pcode],0)-1,0,1,1))</f>
        <v>P4</v>
      </c>
      <c r="AU17" s="263">
        <f>IFERROR(Table_NFI[[#This Row],[Kitchen Set]]/VLOOKUP(Table_NFI[[#This Row],[Camp Name]],CL,4,0),"")</f>
        <v>4.174340085942296E-4</v>
      </c>
      <c r="AV17" s="390"/>
      <c r="AW17" s="397" t="s">
        <v>1555</v>
      </c>
      <c r="AX17" s="399"/>
      <c r="AY17" s="399"/>
      <c r="AZ17" s="399"/>
      <c r="BA17" s="399"/>
      <c r="BB17" s="399"/>
      <c r="BC17" s="399"/>
      <c r="BD17" s="399"/>
      <c r="BE17" s="399"/>
      <c r="BF17" s="399"/>
      <c r="BG17" s="399"/>
      <c r="BH17" s="399"/>
      <c r="BI17" s="399"/>
      <c r="BJ17" s="399"/>
      <c r="BK17" s="399"/>
      <c r="BL17" s="399"/>
      <c r="BM17" s="399"/>
      <c r="BN17" s="399"/>
      <c r="BO17" s="399"/>
      <c r="BP17" s="399"/>
      <c r="BQ17" s="399"/>
      <c r="BR17" s="399"/>
      <c r="BS17" s="399"/>
      <c r="BT17" s="399"/>
      <c r="BU17" s="399"/>
      <c r="BV17" s="399"/>
      <c r="BW17" s="399"/>
      <c r="BX17" s="399"/>
      <c r="BY17" s="399"/>
      <c r="BZ17" s="399"/>
      <c r="CA17" s="399"/>
      <c r="CB17" s="399"/>
      <c r="CC17" s="399"/>
      <c r="CD17" s="399"/>
      <c r="CE17" s="399"/>
      <c r="CF17" s="399"/>
      <c r="CG17" s="399"/>
      <c r="CH17" s="399"/>
      <c r="CI17" s="399"/>
      <c r="CJ17" s="399"/>
      <c r="CK17" s="399"/>
      <c r="CL17" s="399"/>
      <c r="CM17" s="399"/>
      <c r="CN17" s="399"/>
      <c r="CO17" s="399"/>
      <c r="CP17" s="399"/>
      <c r="CQ17" s="399"/>
      <c r="CR17" s="399"/>
      <c r="CS17" s="399"/>
      <c r="CT17" s="399"/>
      <c r="CU17" s="399"/>
      <c r="CV17" s="399"/>
      <c r="CW17" s="399"/>
      <c r="CX17" s="399"/>
      <c r="CY17" s="399"/>
      <c r="CZ17" s="399"/>
      <c r="DA17" s="399"/>
      <c r="DB17" s="399"/>
      <c r="DC17" s="399"/>
      <c r="DD17" s="399"/>
      <c r="DE17" s="399"/>
      <c r="DF17" s="399"/>
      <c r="DG17" s="399"/>
      <c r="DH17" s="399"/>
      <c r="DI17" s="399"/>
      <c r="DJ17" s="399"/>
      <c r="DK17" s="399"/>
      <c r="DL17" s="399"/>
      <c r="DM17" s="399"/>
      <c r="DN17" s="399"/>
      <c r="DO17" s="399"/>
      <c r="DP17" s="399"/>
      <c r="DQ17" s="399"/>
    </row>
    <row r="18" spans="1:121" s="393" customFormat="1" ht="15" customHeight="1" x14ac:dyDescent="0.25">
      <c r="A18" s="266">
        <f t="shared" si="0"/>
        <v>0.9</v>
      </c>
      <c r="B18" s="389">
        <v>42829</v>
      </c>
      <c r="C18" s="390" t="s">
        <v>1562</v>
      </c>
      <c r="D18" s="394" t="s">
        <v>1562</v>
      </c>
      <c r="E18" s="394" t="s">
        <v>380</v>
      </c>
      <c r="F18" s="394" t="s">
        <v>151</v>
      </c>
      <c r="G18" s="394" t="s">
        <v>941</v>
      </c>
      <c r="H18" s="261"/>
      <c r="I18" s="261"/>
      <c r="J18" s="261"/>
      <c r="K18" s="261"/>
      <c r="L18" s="261"/>
      <c r="M18" s="261"/>
      <c r="N18" s="261"/>
      <c r="O18" s="261"/>
      <c r="P18" s="261"/>
      <c r="Q18" s="261"/>
      <c r="R18" s="261">
        <v>144</v>
      </c>
      <c r="S18" s="261"/>
      <c r="T18" s="261"/>
      <c r="U18" s="261">
        <v>36</v>
      </c>
      <c r="V18" s="762"/>
      <c r="W18" s="261"/>
      <c r="X18" s="261"/>
      <c r="Y18" s="264"/>
      <c r="Z18" s="264">
        <f>IF(NFI_Expiration=1,IF($A18&lt;VLOOKUP(I$5,NFI,5,0),1,0)*Table_NFI[[#This Row],[NFI Core Kit]],Table_NFI[NFI Core Kit])</f>
        <v>0</v>
      </c>
      <c r="AA18" s="264">
        <f>IF(NFI_Expiration=1,IF($A18&lt;VLOOKUP(J$5,NFI,5,0),1,0)*Table_NFI[[#This Row],[Sanitary Kit]],Table_NFI[Sanitary Kit])</f>
        <v>0</v>
      </c>
      <c r="AB18" s="264">
        <f>IF(NFI_Expiration=1,IF($A18&lt;VLOOKUP(K$5,NFI,5,0),1,0)*Table_NFI[[#This Row],[Mosquito net]],Table_NFI[Mosquito net])</f>
        <v>0</v>
      </c>
      <c r="AC18" s="264">
        <f>IF(NFI_Expiration=1,IF($A18&lt;VLOOKUP(L$5,NFI,5,0),1,0)*Table_NFI[[#This Row],[Tarpaulin]],Table_NFI[[#This Row],[Tarpaulin]])</f>
        <v>0</v>
      </c>
      <c r="AD18" s="264">
        <f>IF(NFI_Expiration=1,IF($A18&lt;VLOOKUP(M$5,NFI,5,0),1,0)*Table_NFI[[#This Row],[Blanket]],Table_NFI[[#This Row],[Blanket]])</f>
        <v>0</v>
      </c>
      <c r="AE18" s="264">
        <f>IF(NFI_Expiration=1,IF($A18&lt;VLOOKUP(N$5,NFI,5,0),1,0)*Table_NFI[[#This Row],[Kitchen Set]],Table_NFI[Kitchen Set])</f>
        <v>0</v>
      </c>
      <c r="AF18" s="264">
        <f>IF(NFI_Expiration=1,IF($A18&lt;VLOOKUP(O$5,NFI,5,0),1,0)*Table_NFI[[#This Row],[Clothes Kit]],Table_NFI[Clothes Kit])</f>
        <v>0</v>
      </c>
      <c r="AG18" s="264">
        <f>IF(NFI_Expiration=1,IF($A18&lt;VLOOKUP(P$5,NFI,5,0),1,0)*Table_NFI[[#This Row],[Plastic Bucket]],Table_NFI[Plastic Bucket])</f>
        <v>0</v>
      </c>
      <c r="AH18" s="264">
        <f>IF(NFI_Expiration=1,IF($A18&lt;VLOOKUP(Q$5,NFI,5,0),1,0)*Table_NFI[[#This Row],[Plastic Mat]],Table_NFI[Plastic Mat])*IF(Table_NFI[[#This Row],[Distribution Date]]&gt;"2014-04-01",1,2.5)</f>
        <v>0</v>
      </c>
      <c r="AI18" s="264">
        <f>IF(NFI_Expiration=1,IF($A18&lt;VLOOKUP(R$5,NFI,5,0),1,0)*Table_NFI[[#This Row],[Winter Clothes Adult]],Table_NFI[Winter Clothes Adult])</f>
        <v>144</v>
      </c>
      <c r="AJ18" s="264">
        <f>IF(NFI_Expiration=1,IF($A18&lt;VLOOKUP(S$5,NFI,5,0),1,0)*Table_NFI[[#This Row],[Winter Clothes Children]],Table_NFI[Winter Clothes Children])</f>
        <v>0</v>
      </c>
      <c r="AK18" s="264">
        <f>IF(NFI_Expiration=1,IF($A18&lt;VLOOKUP(T$5,NFI,5,0),1,0)*Table_NFI[[#This Row],[Winter Items Other]],Table_NFI[Winter Items Other])</f>
        <v>0</v>
      </c>
      <c r="AL18" s="264">
        <f>IF(NFI_Expiration=1,IF($A18&lt;VLOOKUP(M$5,NFI,5,0),1,0)*Table_NFI[[#This Row],[Winter Blanket]],Table_NFI[[#This Row],[Winter Blanket]])</f>
        <v>36</v>
      </c>
      <c r="AM18" s="264">
        <f>IF(Table_NFI[[#This Row],[Winter Clothes Adult]]+Table_NFI[[#This Row],[Winter Clothes Children]]+Table_NFI[[#This Row],[Winter Items Other]]+Table_NFI[[#This Row],[Winter Blanket]]&gt;0,1,0)</f>
        <v>1</v>
      </c>
      <c r="AN18" s="296">
        <f>IF(NFI_Expiration=1,IF($A18&lt;VLOOKUP(V$5,NFI,5,0),1,0)*Table_NFI[[#This Row],[Jerry Can]],Table_NFI[Jerry Can])</f>
        <v>0</v>
      </c>
      <c r="AO18" s="296">
        <f>IF(NFI_Expiration=1,IF($A18&lt;VLOOKUP(V$5,NFI,5,0),1,0)*Table_NFI[[#This Row],[Shelter Tool kit]],Table_NFI[Shelter Tool kit])</f>
        <v>0</v>
      </c>
      <c r="AP18" s="296">
        <f>IF(NFI_Expiration=1,IF($A18&lt;VLOOKUP(V$5,NFI,5,0),1,0)*Table_NFI[[#This Row],[Tent]],Table_NFI[Tent])</f>
        <v>0</v>
      </c>
      <c r="AQ18" s="396" t="str">
        <f>IFERROR(VLOOKUP(Table_NFI[[#This Row],[Camp Name]],CL,2,0),"")</f>
        <v>MMR001CMP223</v>
      </c>
      <c r="AR18" s="711">
        <f ca="1">IF(Table_NFI[[#This Row],[Pcode]]="","",IF(OFFSET(CampList[Opening Date],MATCH(Table_NFI[[#This Row],[Pcode]],CampList[CP_Pcode],0)-1,0,1,1)&gt;=NFI_Monitor_Date,1,0))</f>
        <v>0</v>
      </c>
      <c r="AS18" s="396" t="str">
        <f>IFERROR(VLOOKUP(Table_NFI[[#This Row],[Camp Name]],CL,3,0),"")</f>
        <v>Open</v>
      </c>
      <c r="AT18" s="264" t="str">
        <f ca="1">IF(Table_NFI[[#This Row],[Pcode]]="","",OFFSET(CampList[Priority],MATCH(Table_NFI[[#This Row],[Pcode]],CampList[CP_Pcode],0)-1,0,1,1))</f>
        <v>P4</v>
      </c>
      <c r="AU18" s="263">
        <f>IFERROR(Table_NFI[[#This Row],[Kitchen Set]]/VLOOKUP(Table_NFI[[#This Row],[Camp Name]],CL,4,0),"")</f>
        <v>0</v>
      </c>
      <c r="AV18" s="394"/>
      <c r="AW18" s="397" t="s">
        <v>1563</v>
      </c>
      <c r="AX18" s="399"/>
      <c r="AY18" s="399"/>
      <c r="AZ18" s="399"/>
      <c r="BA18" s="399"/>
      <c r="BB18" s="399"/>
      <c r="BC18" s="399"/>
      <c r="BD18" s="399"/>
      <c r="BE18" s="399"/>
      <c r="BF18" s="399"/>
      <c r="BG18" s="399"/>
      <c r="BH18" s="399"/>
      <c r="BI18" s="399"/>
      <c r="BJ18" s="399"/>
      <c r="BK18" s="399"/>
      <c r="BL18" s="399"/>
      <c r="BM18" s="399"/>
      <c r="BN18" s="399"/>
      <c r="BO18" s="399"/>
      <c r="BP18" s="399"/>
      <c r="BQ18" s="399"/>
      <c r="BR18" s="399"/>
      <c r="BS18" s="399"/>
      <c r="BT18" s="399"/>
      <c r="BU18" s="399"/>
      <c r="BV18" s="399"/>
      <c r="BW18" s="399"/>
      <c r="BX18" s="399"/>
      <c r="BY18" s="399"/>
      <c r="BZ18" s="399"/>
      <c r="CA18" s="399"/>
      <c r="CB18" s="399"/>
      <c r="CC18" s="399"/>
      <c r="CD18" s="399"/>
      <c r="CE18" s="399"/>
      <c r="CF18" s="399"/>
      <c r="CG18" s="399"/>
      <c r="CH18" s="399"/>
      <c r="CI18" s="399"/>
      <c r="CJ18" s="399"/>
      <c r="CK18" s="399"/>
      <c r="CL18" s="399"/>
      <c r="CM18" s="399"/>
      <c r="CN18" s="399"/>
      <c r="CO18" s="399"/>
      <c r="CP18" s="399"/>
      <c r="CQ18" s="399"/>
      <c r="CR18" s="399"/>
      <c r="CS18" s="399"/>
      <c r="CT18" s="399"/>
      <c r="CU18" s="399"/>
      <c r="CV18" s="399"/>
      <c r="CW18" s="399"/>
      <c r="CX18" s="399"/>
      <c r="CY18" s="399"/>
      <c r="CZ18" s="399"/>
      <c r="DA18" s="399"/>
      <c r="DB18" s="399"/>
      <c r="DC18" s="399"/>
      <c r="DD18" s="399"/>
      <c r="DE18" s="399"/>
      <c r="DF18" s="399"/>
      <c r="DG18" s="399"/>
      <c r="DH18" s="399"/>
      <c r="DI18" s="399"/>
      <c r="DJ18" s="399"/>
      <c r="DK18" s="399"/>
      <c r="DL18" s="399"/>
      <c r="DM18" s="399"/>
      <c r="DN18" s="399"/>
      <c r="DO18" s="399"/>
      <c r="DP18" s="399"/>
      <c r="DQ18" s="399"/>
    </row>
    <row r="19" spans="1:121" s="760" customFormat="1" ht="15" customHeight="1" x14ac:dyDescent="0.25">
      <c r="A19" s="266">
        <f t="shared" si="0"/>
        <v>1.0333333333333334</v>
      </c>
      <c r="B19" s="389">
        <v>42825</v>
      </c>
      <c r="C19" s="394" t="s">
        <v>1562</v>
      </c>
      <c r="D19" s="394" t="s">
        <v>1562</v>
      </c>
      <c r="E19" s="394" t="s">
        <v>552</v>
      </c>
      <c r="F19" s="394" t="s">
        <v>146</v>
      </c>
      <c r="G19" s="394" t="s">
        <v>370</v>
      </c>
      <c r="H19" s="261"/>
      <c r="I19" s="261"/>
      <c r="J19" s="261"/>
      <c r="K19" s="261"/>
      <c r="L19" s="261"/>
      <c r="M19" s="261"/>
      <c r="N19" s="261"/>
      <c r="O19" s="261"/>
      <c r="P19" s="261"/>
      <c r="Q19" s="261"/>
      <c r="R19" s="261">
        <v>540</v>
      </c>
      <c r="S19" s="261"/>
      <c r="T19" s="261"/>
      <c r="U19" s="261">
        <v>135</v>
      </c>
      <c r="V19" s="762"/>
      <c r="W19" s="261"/>
      <c r="X19" s="261"/>
      <c r="Y19" s="264">
        <f>IF(NFI_Expiration=1,IF($A19&lt;VLOOKUP(H$5,NFI,5,0),1,0)*Table_NFI[[#This Row],[Hygiene Kit]],Table_NFI[Hygiene Kit])</f>
        <v>0</v>
      </c>
      <c r="Z19" s="264">
        <f>IF(NFI_Expiration=1,IF($A19&lt;VLOOKUP(I$5,NFI,5,0),1,0)*Table_NFI[[#This Row],[NFI Core Kit]],Table_NFI[NFI Core Kit])</f>
        <v>0</v>
      </c>
      <c r="AA19" s="264">
        <f>IF(NFI_Expiration=1,IF($A19&lt;VLOOKUP(J$5,NFI,5,0),1,0)*Table_NFI[[#This Row],[Sanitary Kit]],Table_NFI[Sanitary Kit])</f>
        <v>0</v>
      </c>
      <c r="AB19" s="264">
        <f>IF(NFI_Expiration=1,IF($A19&lt;VLOOKUP(K$5,NFI,5,0),1,0)*Table_NFI[[#This Row],[Mosquito net]],Table_NFI[Mosquito net])</f>
        <v>0</v>
      </c>
      <c r="AC19" s="264">
        <f>IF(NFI_Expiration=1,IF($A19&lt;VLOOKUP(L$5,NFI,5,0),1,0)*Table_NFI[[#This Row],[Tarpaulin]],Table_NFI[[#This Row],[Tarpaulin]])</f>
        <v>0</v>
      </c>
      <c r="AD19" s="264">
        <f>IF(NFI_Expiration=1,IF($A19&lt;VLOOKUP(M$5,NFI,5,0),1,0)*Table_NFI[[#This Row],[Blanket]],Table_NFI[[#This Row],[Blanket]])</f>
        <v>0</v>
      </c>
      <c r="AE19" s="264">
        <f>IF(NFI_Expiration=1,IF($A19&lt;VLOOKUP(N$5,NFI,5,0),1,0)*Table_NFI[[#This Row],[Kitchen Set]],Table_NFI[Kitchen Set])</f>
        <v>0</v>
      </c>
      <c r="AF19" s="264">
        <f>IF(NFI_Expiration=1,IF($A19&lt;VLOOKUP(O$5,NFI,5,0),1,0)*Table_NFI[[#This Row],[Clothes Kit]],Table_NFI[Clothes Kit])</f>
        <v>0</v>
      </c>
      <c r="AG19" s="264">
        <f>IF(NFI_Expiration=1,IF($A19&lt;VLOOKUP(P$5,NFI,5,0),1,0)*Table_NFI[[#This Row],[Plastic Bucket]],Table_NFI[Plastic Bucket])</f>
        <v>0</v>
      </c>
      <c r="AH19" s="264">
        <f>IF(NFI_Expiration=1,IF($A19&lt;VLOOKUP(Q$5,NFI,5,0),1,0)*Table_NFI[[#This Row],[Plastic Mat]],Table_NFI[Plastic Mat])*IF(Table_NFI[[#This Row],[Distribution Date]]&gt;"2014-04-01",1,2.5)</f>
        <v>0</v>
      </c>
      <c r="AI19" s="264">
        <f>IF(NFI_Expiration=1,IF($A19&lt;VLOOKUP(R$5,NFI,5,0),1,0)*Table_NFI[[#This Row],[Winter Clothes Adult]],Table_NFI[Winter Clothes Adult])</f>
        <v>540</v>
      </c>
      <c r="AJ19" s="264">
        <f>IF(NFI_Expiration=1,IF($A19&lt;VLOOKUP(S$5,NFI,5,0),1,0)*Table_NFI[[#This Row],[Winter Clothes Children]],Table_NFI[Winter Clothes Children])</f>
        <v>0</v>
      </c>
      <c r="AK19" s="264">
        <f>IF(NFI_Expiration=1,IF($A19&lt;VLOOKUP(T$5,NFI,5,0),1,0)*Table_NFI[[#This Row],[Winter Items Other]],Table_NFI[Winter Items Other])</f>
        <v>0</v>
      </c>
      <c r="AL19" s="264">
        <f>IF(NFI_Expiration=1,IF($A19&lt;VLOOKUP(M$5,NFI,5,0),1,0)*Table_NFI[[#This Row],[Winter Blanket]],Table_NFI[[#This Row],[Winter Blanket]])</f>
        <v>135</v>
      </c>
      <c r="AM19" s="264">
        <f>IF(Table_NFI[[#This Row],[Winter Clothes Adult]]+Table_NFI[[#This Row],[Winter Clothes Children]]+Table_NFI[[#This Row],[Winter Items Other]]+Table_NFI[[#This Row],[Winter Blanket]]&gt;0,1,0)</f>
        <v>1</v>
      </c>
      <c r="AN19" s="296">
        <f>IF(NFI_Expiration=1,IF($A19&lt;VLOOKUP(V$5,NFI,5,0),1,0)*Table_NFI[[#This Row],[Jerry Can]],Table_NFI[Jerry Can])</f>
        <v>0</v>
      </c>
      <c r="AO19" s="296">
        <f>IF(NFI_Expiration=1,IF($A19&lt;VLOOKUP(V$5,NFI,5,0),1,0)*Table_NFI[[#This Row],[Shelter Tool kit]],Table_NFI[Shelter Tool kit])</f>
        <v>0</v>
      </c>
      <c r="AP19" s="296">
        <f>IF(NFI_Expiration=1,IF($A19&lt;VLOOKUP(V$5,NFI,5,0),1,0)*Table_NFI[[#This Row],[Tent]],Table_NFI[Tent])</f>
        <v>0</v>
      </c>
      <c r="AQ19" s="396" t="str">
        <f>IFERROR(VLOOKUP(Table_NFI[[#This Row],[Camp Name]],CL,2,0),"")</f>
        <v>MMR015CMP017</v>
      </c>
      <c r="AR19" s="711">
        <f ca="1">IF(Table_NFI[[#This Row],[Pcode]]="","",IF(OFFSET(CampList[Opening Date],MATCH(Table_NFI[[#This Row],[Pcode]],CampList[CP_Pcode],0)-1,0,1,1)&gt;=NFI_Monitor_Date,1,0))</f>
        <v>0</v>
      </c>
      <c r="AS19" s="396" t="str">
        <f>IFERROR(VLOOKUP(Table_NFI[[#This Row],[Camp Name]],CL,3,0),"")</f>
        <v>Open</v>
      </c>
      <c r="AT19" s="264" t="str">
        <f ca="1">IF(Table_NFI[[#This Row],[Pcode]]="","",OFFSET(CampList[Priority],MATCH(Table_NFI[[#This Row],[Pcode]],CampList[CP_Pcode],0)-1,0,1,1))</f>
        <v>P3</v>
      </c>
      <c r="AU19" s="263">
        <f>IFERROR(Table_NFI[[#This Row],[Kitchen Set]]/VLOOKUP(Table_NFI[[#This Row],[Camp Name]],CL,4,0),"")</f>
        <v>0</v>
      </c>
      <c r="AV19" s="394"/>
      <c r="AW19" s="397" t="s">
        <v>1563</v>
      </c>
      <c r="AX19" s="399"/>
      <c r="AY19" s="399"/>
      <c r="AZ19" s="399"/>
      <c r="BA19" s="399"/>
      <c r="BB19" s="399"/>
      <c r="BC19" s="399"/>
      <c r="BD19" s="399"/>
      <c r="BE19" s="399"/>
      <c r="BF19" s="399"/>
      <c r="BG19" s="399"/>
      <c r="BH19" s="399"/>
      <c r="BI19" s="399"/>
      <c r="BJ19" s="399"/>
      <c r="BK19" s="399"/>
      <c r="BL19" s="399"/>
      <c r="BM19" s="399"/>
      <c r="BN19" s="399"/>
      <c r="BO19" s="399"/>
      <c r="BP19" s="399"/>
      <c r="BQ19" s="399"/>
      <c r="BR19" s="399"/>
      <c r="BS19" s="399"/>
      <c r="BT19" s="399"/>
      <c r="BU19" s="399"/>
      <c r="BV19" s="399"/>
      <c r="BW19" s="399"/>
      <c r="BX19" s="399"/>
      <c r="BY19" s="399"/>
      <c r="BZ19" s="399"/>
      <c r="CA19" s="399"/>
      <c r="CB19" s="399"/>
      <c r="CC19" s="399"/>
      <c r="CD19" s="399"/>
      <c r="CE19" s="399"/>
      <c r="CF19" s="399"/>
      <c r="CG19" s="399"/>
      <c r="CH19" s="399"/>
      <c r="CI19" s="399"/>
      <c r="CJ19" s="399"/>
      <c r="CK19" s="399"/>
      <c r="CL19" s="399"/>
      <c r="CM19" s="399"/>
      <c r="CN19" s="399"/>
      <c r="CO19" s="399"/>
      <c r="CP19" s="399"/>
      <c r="CQ19" s="399"/>
      <c r="CR19" s="399"/>
      <c r="CS19" s="399"/>
      <c r="CT19" s="399"/>
      <c r="CU19" s="399"/>
      <c r="CV19" s="399"/>
      <c r="CW19" s="399"/>
      <c r="CX19" s="399"/>
      <c r="CY19" s="399"/>
      <c r="CZ19" s="399"/>
      <c r="DA19" s="399"/>
      <c r="DB19" s="399"/>
      <c r="DC19" s="399"/>
      <c r="DD19" s="399"/>
      <c r="DE19" s="399"/>
      <c r="DF19" s="399"/>
      <c r="DG19" s="399"/>
      <c r="DH19" s="399"/>
      <c r="DI19" s="399"/>
      <c r="DJ19" s="399"/>
      <c r="DK19" s="399"/>
      <c r="DL19" s="399"/>
      <c r="DM19" s="399"/>
      <c r="DN19" s="399"/>
      <c r="DO19" s="399"/>
      <c r="DP19" s="399"/>
      <c r="DQ19" s="399"/>
    </row>
    <row r="20" spans="1:121" s="760" customFormat="1" ht="15" customHeight="1" x14ac:dyDescent="0.25">
      <c r="A20" s="266">
        <f t="shared" si="0"/>
        <v>1.1000000000000001</v>
      </c>
      <c r="B20" s="389">
        <v>42823</v>
      </c>
      <c r="C20" s="390" t="s">
        <v>451</v>
      </c>
      <c r="D20" s="394" t="s">
        <v>504</v>
      </c>
      <c r="E20" s="394" t="s">
        <v>380</v>
      </c>
      <c r="F20" s="394" t="s">
        <v>310</v>
      </c>
      <c r="G20" s="394" t="s">
        <v>344</v>
      </c>
      <c r="H20" s="261"/>
      <c r="I20" s="261">
        <v>5</v>
      </c>
      <c r="J20" s="261">
        <v>5</v>
      </c>
      <c r="K20" s="261">
        <v>10</v>
      </c>
      <c r="L20" s="261">
        <v>5</v>
      </c>
      <c r="M20" s="261">
        <v>10</v>
      </c>
      <c r="N20" s="261">
        <v>5</v>
      </c>
      <c r="O20" s="261"/>
      <c r="P20" s="261">
        <v>5</v>
      </c>
      <c r="Q20" s="261">
        <v>28</v>
      </c>
      <c r="R20" s="261"/>
      <c r="S20" s="261"/>
      <c r="T20" s="261"/>
      <c r="U20" s="261"/>
      <c r="V20" s="762">
        <v>5</v>
      </c>
      <c r="W20" s="261"/>
      <c r="X20" s="261"/>
      <c r="Y20" s="264">
        <f>IF(NFI_Expiration=1,IF($A20&lt;VLOOKUP(H$5,NFI,5,0),1,0)*Table_NFI[[#This Row],[Hygiene Kit]],Table_NFI[Hygiene Kit])</f>
        <v>0</v>
      </c>
      <c r="Z20" s="264">
        <f>IF(NFI_Expiration=1,IF($A20&lt;VLOOKUP(I$5,NFI,5,0),1,0)*Table_NFI[[#This Row],[NFI Core Kit]],Table_NFI[NFI Core Kit])</f>
        <v>5</v>
      </c>
      <c r="AA20" s="264">
        <f>IF(NFI_Expiration=1,IF($A20&lt;VLOOKUP(J$5,NFI,5,0),1,0)*Table_NFI[[#This Row],[Sanitary Kit]],Table_NFI[Sanitary Kit])</f>
        <v>5</v>
      </c>
      <c r="AB20" s="264">
        <f>IF(NFI_Expiration=1,IF($A20&lt;VLOOKUP(K$5,NFI,5,0),1,0)*Table_NFI[[#This Row],[Mosquito net]],Table_NFI[Mosquito net])</f>
        <v>10</v>
      </c>
      <c r="AC20" s="264">
        <f>IF(NFI_Expiration=1,IF($A20&lt;VLOOKUP(L$5,NFI,5,0),1,0)*Table_NFI[[#This Row],[Tarpaulin]],Table_NFI[[#This Row],[Tarpaulin]])</f>
        <v>5</v>
      </c>
      <c r="AD20" s="264">
        <f>IF(NFI_Expiration=1,IF($A20&lt;VLOOKUP(M$5,NFI,5,0),1,0)*Table_NFI[[#This Row],[Blanket]],Table_NFI[[#This Row],[Blanket]])</f>
        <v>10</v>
      </c>
      <c r="AE20" s="264">
        <f>IF(NFI_Expiration=1,IF($A20&lt;VLOOKUP(N$5,NFI,5,0),1,0)*Table_NFI[[#This Row],[Kitchen Set]],Table_NFI[Kitchen Set])</f>
        <v>5</v>
      </c>
      <c r="AF20" s="264">
        <f>IF(NFI_Expiration=1,IF($A20&lt;VLOOKUP(O$5,NFI,5,0),1,0)*Table_NFI[[#This Row],[Clothes Kit]],Table_NFI[Clothes Kit])</f>
        <v>0</v>
      </c>
      <c r="AG20" s="264">
        <f>IF(NFI_Expiration=1,IF($A20&lt;VLOOKUP(P$5,NFI,5,0),1,0)*Table_NFI[[#This Row],[Plastic Bucket]],Table_NFI[Plastic Bucket])</f>
        <v>5</v>
      </c>
      <c r="AH20" s="264">
        <f>IF(NFI_Expiration=1,IF($A20&lt;VLOOKUP(Q$5,NFI,5,0),1,0)*Table_NFI[[#This Row],[Plastic Mat]],Table_NFI[Plastic Mat])*IF(Table_NFI[[#This Row],[Distribution Date]]&gt;"2014-04-01",1,2.5)</f>
        <v>70</v>
      </c>
      <c r="AI20" s="264">
        <f>IF(NFI_Expiration=1,IF($A20&lt;VLOOKUP(R$5,NFI,5,0),1,0)*Table_NFI[[#This Row],[Winter Clothes Adult]],Table_NFI[Winter Clothes Adult])</f>
        <v>0</v>
      </c>
      <c r="AJ20" s="264">
        <f>IF(NFI_Expiration=1,IF($A20&lt;VLOOKUP(S$5,NFI,5,0),1,0)*Table_NFI[[#This Row],[Winter Clothes Children]],Table_NFI[Winter Clothes Children])</f>
        <v>0</v>
      </c>
      <c r="AK20" s="264">
        <f>IF(NFI_Expiration=1,IF($A20&lt;VLOOKUP(T$5,NFI,5,0),1,0)*Table_NFI[[#This Row],[Winter Items Other]],Table_NFI[Winter Items Other])</f>
        <v>0</v>
      </c>
      <c r="AL20" s="264">
        <f>IF(NFI_Expiration=1,IF($A20&lt;VLOOKUP(M$5,NFI,5,0),1,0)*Table_NFI[[#This Row],[Winter Blanket]],Table_NFI[[#This Row],[Winter Blanket]])</f>
        <v>0</v>
      </c>
      <c r="AM20" s="264">
        <f>IF(Table_NFI[[#This Row],[Winter Clothes Adult]]+Table_NFI[[#This Row],[Winter Clothes Children]]+Table_NFI[[#This Row],[Winter Items Other]]+Table_NFI[[#This Row],[Winter Blanket]]&gt;0,1,0)</f>
        <v>0</v>
      </c>
      <c r="AN20" s="296">
        <f>IF(NFI_Expiration=1,IF($A20&lt;VLOOKUP(V$5,NFI,5,0),1,0)*Table_NFI[[#This Row],[Jerry Can]],Table_NFI[Jerry Can])</f>
        <v>5</v>
      </c>
      <c r="AO20" s="296">
        <f>IF(NFI_Expiration=1,IF($A20&lt;VLOOKUP(V$5,NFI,5,0),1,0)*Table_NFI[[#This Row],[Shelter Tool kit]],Table_NFI[Shelter Tool kit])</f>
        <v>0</v>
      </c>
      <c r="AP20" s="296">
        <f>IF(NFI_Expiration=1,IF($A20&lt;VLOOKUP(V$5,NFI,5,0),1,0)*Table_NFI[[#This Row],[Tent]],Table_NFI[Tent])</f>
        <v>0</v>
      </c>
      <c r="AQ20" s="396" t="str">
        <f>IFERROR(VLOOKUP(Table_NFI[[#This Row],[Camp Name]],CL,2,0),"")</f>
        <v>MMR001CMP033</v>
      </c>
      <c r="AR20" s="711">
        <f ca="1">IF(Table_NFI[[#This Row],[Pcode]]="","",IF(OFFSET(CampList[Opening Date],MATCH(Table_NFI[[#This Row],[Pcode]],CampList[CP_Pcode],0)-1,0,1,1)&gt;=NFI_Monitor_Date,1,0))</f>
        <v>0</v>
      </c>
      <c r="AS20" s="396" t="str">
        <f>IFERROR(VLOOKUP(Table_NFI[[#This Row],[Camp Name]],CL,3,0),"")</f>
        <v>Open</v>
      </c>
      <c r="AT20" s="264" t="str">
        <f ca="1">IF(Table_NFI[[#This Row],[Pcode]]="","",OFFSET(CampList[Priority],MATCH(Table_NFI[[#This Row],[Pcode]],CampList[CP_Pcode],0)-1,0,1,1))</f>
        <v>P4</v>
      </c>
      <c r="AU20" s="263">
        <f>IFERROR(Table_NFI[[#This Row],[Kitchen Set]]/VLOOKUP(Table_NFI[[#This Row],[Camp Name]],CL,4,0),"")</f>
        <v>1.2186205215695832E-4</v>
      </c>
      <c r="AV20" s="394"/>
      <c r="AW20" s="397" t="s">
        <v>1531</v>
      </c>
      <c r="AX20" s="399"/>
      <c r="AY20" s="399"/>
      <c r="AZ20" s="399"/>
      <c r="BA20" s="399"/>
      <c r="BB20" s="399"/>
      <c r="BC20" s="399"/>
      <c r="BD20" s="399"/>
      <c r="BE20" s="399"/>
      <c r="BF20" s="399"/>
      <c r="BG20" s="399"/>
      <c r="BH20" s="399"/>
      <c r="BI20" s="399"/>
      <c r="BJ20" s="399"/>
      <c r="BK20" s="399"/>
      <c r="BL20" s="399"/>
      <c r="BM20" s="399"/>
      <c r="BN20" s="399"/>
      <c r="BO20" s="399"/>
      <c r="BP20" s="399"/>
      <c r="BQ20" s="399"/>
      <c r="BR20" s="399"/>
      <c r="BS20" s="399"/>
      <c r="BT20" s="399"/>
      <c r="BU20" s="399"/>
      <c r="BV20" s="399"/>
      <c r="BW20" s="399"/>
      <c r="BX20" s="399"/>
      <c r="BY20" s="399"/>
      <c r="BZ20" s="399"/>
      <c r="CA20" s="399"/>
      <c r="CB20" s="399"/>
      <c r="CC20" s="399"/>
      <c r="CD20" s="399"/>
      <c r="CE20" s="399"/>
      <c r="CF20" s="399"/>
      <c r="CG20" s="399"/>
      <c r="CH20" s="399"/>
      <c r="CI20" s="399"/>
      <c r="CJ20" s="399"/>
      <c r="CK20" s="399"/>
      <c r="CL20" s="399"/>
      <c r="CM20" s="399"/>
      <c r="CN20" s="399"/>
      <c r="CO20" s="399"/>
      <c r="CP20" s="399"/>
      <c r="CQ20" s="399"/>
      <c r="CR20" s="399"/>
      <c r="CS20" s="399"/>
      <c r="CT20" s="399"/>
      <c r="CU20" s="399"/>
      <c r="CV20" s="399"/>
      <c r="CW20" s="399"/>
      <c r="CX20" s="399"/>
      <c r="CY20" s="399"/>
      <c r="CZ20" s="399"/>
      <c r="DA20" s="399"/>
      <c r="DB20" s="399"/>
      <c r="DC20" s="399"/>
      <c r="DD20" s="399"/>
      <c r="DE20" s="399"/>
      <c r="DF20" s="399"/>
      <c r="DG20" s="399"/>
      <c r="DH20" s="399"/>
      <c r="DI20" s="399"/>
      <c r="DJ20" s="399"/>
      <c r="DK20" s="399"/>
      <c r="DL20" s="399"/>
      <c r="DM20" s="399"/>
      <c r="DN20" s="399"/>
      <c r="DO20" s="399"/>
      <c r="DP20" s="399"/>
      <c r="DQ20" s="399"/>
    </row>
    <row r="21" spans="1:121" s="760" customFormat="1" ht="15" customHeight="1" x14ac:dyDescent="0.25">
      <c r="A21" s="266">
        <f t="shared" si="0"/>
        <v>1.4</v>
      </c>
      <c r="B21" s="389">
        <v>42814</v>
      </c>
      <c r="C21" s="394" t="s">
        <v>451</v>
      </c>
      <c r="D21" s="394" t="s">
        <v>459</v>
      </c>
      <c r="E21" s="394" t="s">
        <v>380</v>
      </c>
      <c r="F21" s="394" t="s">
        <v>807</v>
      </c>
      <c r="G21" s="394" t="s">
        <v>1287</v>
      </c>
      <c r="H21" s="261"/>
      <c r="I21" s="261"/>
      <c r="J21" s="261"/>
      <c r="K21" s="261"/>
      <c r="L21" s="261"/>
      <c r="M21" s="261">
        <v>134</v>
      </c>
      <c r="N21" s="261"/>
      <c r="O21" s="261"/>
      <c r="P21" s="261"/>
      <c r="Q21" s="261"/>
      <c r="R21" s="261"/>
      <c r="S21" s="261"/>
      <c r="T21" s="261"/>
      <c r="U21" s="261"/>
      <c r="V21" s="762"/>
      <c r="W21" s="261"/>
      <c r="X21" s="261"/>
      <c r="Y21" s="264">
        <f>IF(NFI_Expiration=1,IF($A21&lt;VLOOKUP(H$5,NFI,5,0),1,0)*Table_NFI[[#This Row],[Hygiene Kit]],Table_NFI[Hygiene Kit])</f>
        <v>0</v>
      </c>
      <c r="Z21" s="264">
        <f>IF(NFI_Expiration=1,IF($A21&lt;VLOOKUP(I$5,NFI,5,0),1,0)*Table_NFI[[#This Row],[NFI Core Kit]],Table_NFI[NFI Core Kit])</f>
        <v>0</v>
      </c>
      <c r="AA21" s="264">
        <f>IF(NFI_Expiration=1,IF($A21&lt;VLOOKUP(J$5,NFI,5,0),1,0)*Table_NFI[[#This Row],[Sanitary Kit]],Table_NFI[Sanitary Kit])</f>
        <v>0</v>
      </c>
      <c r="AB21" s="264">
        <f>IF(NFI_Expiration=1,IF($A21&lt;VLOOKUP(K$5,NFI,5,0),1,0)*Table_NFI[[#This Row],[Mosquito net]],Table_NFI[Mosquito net])</f>
        <v>0</v>
      </c>
      <c r="AC21" s="264">
        <f>IF(NFI_Expiration=1,IF($A21&lt;VLOOKUP(L$5,NFI,5,0),1,0)*Table_NFI[[#This Row],[Tarpaulin]],Table_NFI[[#This Row],[Tarpaulin]])</f>
        <v>0</v>
      </c>
      <c r="AD21" s="264">
        <f>IF(NFI_Expiration=1,IF($A21&lt;VLOOKUP(M$5,NFI,5,0),1,0)*Table_NFI[[#This Row],[Blanket]],Table_NFI[[#This Row],[Blanket]])</f>
        <v>134</v>
      </c>
      <c r="AE21" s="264">
        <f>IF(NFI_Expiration=1,IF($A21&lt;VLOOKUP(N$5,NFI,5,0),1,0)*Table_NFI[[#This Row],[Kitchen Set]],Table_NFI[Kitchen Set])</f>
        <v>0</v>
      </c>
      <c r="AF21" s="264">
        <f>IF(NFI_Expiration=1,IF($A21&lt;VLOOKUP(O$5,NFI,5,0),1,0)*Table_NFI[[#This Row],[Clothes Kit]],Table_NFI[Clothes Kit])</f>
        <v>0</v>
      </c>
      <c r="AG21" s="264">
        <f>IF(NFI_Expiration=1,IF($A21&lt;VLOOKUP(P$5,NFI,5,0),1,0)*Table_NFI[[#This Row],[Plastic Bucket]],Table_NFI[Plastic Bucket])</f>
        <v>0</v>
      </c>
      <c r="AH21" s="264">
        <f>IF(NFI_Expiration=1,IF($A21&lt;VLOOKUP(Q$5,NFI,5,0),1,0)*Table_NFI[[#This Row],[Plastic Mat]],Table_NFI[Plastic Mat])*IF(Table_NFI[[#This Row],[Distribution Date]]&gt;"2014-04-01",1,2.5)</f>
        <v>0</v>
      </c>
      <c r="AI21" s="264">
        <f>IF(NFI_Expiration=1,IF($A21&lt;VLOOKUP(R$5,NFI,5,0),1,0)*Table_NFI[[#This Row],[Winter Clothes Adult]],Table_NFI[Winter Clothes Adult])</f>
        <v>0</v>
      </c>
      <c r="AJ21" s="264">
        <f>IF(NFI_Expiration=1,IF($A21&lt;VLOOKUP(S$5,NFI,5,0),1,0)*Table_NFI[[#This Row],[Winter Clothes Children]],Table_NFI[Winter Clothes Children])</f>
        <v>0</v>
      </c>
      <c r="AK21" s="264">
        <f>IF(NFI_Expiration=1,IF($A21&lt;VLOOKUP(T$5,NFI,5,0),1,0)*Table_NFI[[#This Row],[Winter Items Other]],Table_NFI[Winter Items Other])</f>
        <v>0</v>
      </c>
      <c r="AL21" s="264">
        <f>IF(NFI_Expiration=1,IF($A21&lt;VLOOKUP(M$5,NFI,5,0),1,0)*Table_NFI[[#This Row],[Winter Blanket]],Table_NFI[[#This Row],[Winter Blanket]])</f>
        <v>0</v>
      </c>
      <c r="AM21" s="264">
        <f>IF(Table_NFI[[#This Row],[Winter Clothes Adult]]+Table_NFI[[#This Row],[Winter Clothes Children]]+Table_NFI[[#This Row],[Winter Items Other]]+Table_NFI[[#This Row],[Winter Blanket]]&gt;0,1,0)</f>
        <v>0</v>
      </c>
      <c r="AN21" s="296">
        <f>IF(NFI_Expiration=1,IF($A21&lt;VLOOKUP(V$5,NFI,5,0),1,0)*Table_NFI[[#This Row],[Jerry Can]],Table_NFI[Jerry Can])</f>
        <v>0</v>
      </c>
      <c r="AO21" s="296">
        <f>IF(NFI_Expiration=1,IF($A21&lt;VLOOKUP(V$5,NFI,5,0),1,0)*Table_NFI[[#This Row],[Shelter Tool kit]],Table_NFI[Shelter Tool kit])</f>
        <v>0</v>
      </c>
      <c r="AP21" s="296">
        <f>IF(NFI_Expiration=1,IF($A21&lt;VLOOKUP(V$5,NFI,5,0),1,0)*Table_NFI[[#This Row],[Tent]],Table_NFI[Tent])</f>
        <v>0</v>
      </c>
      <c r="AQ21" s="396" t="str">
        <f>IFERROR(VLOOKUP(Table_NFI[[#This Row],[Camp Name]],CL,2,0),"")</f>
        <v>MMR001CMP239</v>
      </c>
      <c r="AR21" s="702">
        <f ca="1">IF(Table_NFI[[#This Row],[Pcode]]="","",IF(OFFSET(CampList[Opening Date],MATCH(Table_NFI[[#This Row],[Pcode]],CampList[CP_Pcode],0)-1,0,1,1)&gt;=NFI_Monitor_Date,1,0))</f>
        <v>1</v>
      </c>
      <c r="AS21" s="396" t="str">
        <f>IFERROR(VLOOKUP(Table_NFI[[#This Row],[Camp Name]],CL,3,0),"")</f>
        <v>Open</v>
      </c>
      <c r="AT21" s="264">
        <f ca="1">IF(Table_NFI[[#This Row],[Pcode]]="","",OFFSET(CampList[Priority],MATCH(Table_NFI[[#This Row],[Pcode]],CampList[CP_Pcode],0)-1,0,1,1))</f>
        <v>0</v>
      </c>
      <c r="AU21" s="263">
        <f>IFERROR(Table_NFI[[#This Row],[Kitchen Set]]/VLOOKUP(Table_NFI[[#This Row],[Camp Name]],CL,4,0),"")</f>
        <v>0</v>
      </c>
      <c r="AV21" s="394"/>
      <c r="AW21" s="397" t="s">
        <v>1552</v>
      </c>
      <c r="AX21" s="399"/>
      <c r="AY21" s="399"/>
      <c r="AZ21" s="399"/>
      <c r="BA21" s="399"/>
      <c r="BB21" s="399"/>
      <c r="BC21" s="399"/>
      <c r="BD21" s="399"/>
      <c r="BE21" s="399"/>
      <c r="BF21" s="399"/>
      <c r="BG21" s="399"/>
      <c r="BH21" s="399"/>
      <c r="BI21" s="399"/>
      <c r="BJ21" s="399"/>
      <c r="BK21" s="399"/>
      <c r="BL21" s="399"/>
      <c r="BM21" s="399"/>
      <c r="BN21" s="399"/>
      <c r="BO21" s="399"/>
      <c r="BP21" s="399"/>
      <c r="BQ21" s="399"/>
      <c r="BR21" s="399"/>
      <c r="BS21" s="399"/>
      <c r="BT21" s="399"/>
      <c r="BU21" s="399"/>
      <c r="BV21" s="399"/>
      <c r="BW21" s="399"/>
      <c r="BX21" s="399"/>
      <c r="BY21" s="399"/>
      <c r="BZ21" s="399"/>
      <c r="CA21" s="399"/>
      <c r="CB21" s="399"/>
      <c r="CC21" s="399"/>
      <c r="CD21" s="399"/>
      <c r="CE21" s="399"/>
      <c r="CF21" s="399"/>
      <c r="CG21" s="399"/>
      <c r="CH21" s="399"/>
      <c r="CI21" s="399"/>
      <c r="CJ21" s="399"/>
      <c r="CK21" s="399"/>
      <c r="CL21" s="399"/>
      <c r="CM21" s="399"/>
      <c r="CN21" s="399"/>
      <c r="CO21" s="399"/>
      <c r="CP21" s="399"/>
      <c r="CQ21" s="399"/>
      <c r="CR21" s="399"/>
      <c r="CS21" s="399"/>
      <c r="CT21" s="399"/>
      <c r="CU21" s="399"/>
      <c r="CV21" s="399"/>
      <c r="CW21" s="399"/>
      <c r="CX21" s="399"/>
      <c r="CY21" s="399"/>
      <c r="CZ21" s="399"/>
      <c r="DA21" s="399"/>
      <c r="DB21" s="399"/>
      <c r="DC21" s="399"/>
      <c r="DD21" s="399"/>
      <c r="DE21" s="399"/>
      <c r="DF21" s="399"/>
      <c r="DG21" s="399"/>
      <c r="DH21" s="399"/>
      <c r="DI21" s="399"/>
      <c r="DJ21" s="399"/>
      <c r="DK21" s="399"/>
      <c r="DL21" s="399"/>
      <c r="DM21" s="399"/>
      <c r="DN21" s="399"/>
      <c r="DO21" s="399"/>
      <c r="DP21" s="399"/>
      <c r="DQ21" s="399"/>
    </row>
    <row r="22" spans="1:121" s="760" customFormat="1" ht="15" customHeight="1" x14ac:dyDescent="0.25">
      <c r="A22" s="266">
        <f t="shared" si="0"/>
        <v>1.4333333333333333</v>
      </c>
      <c r="B22" s="389">
        <v>42813</v>
      </c>
      <c r="C22" s="394" t="s">
        <v>451</v>
      </c>
      <c r="D22" s="394" t="s">
        <v>459</v>
      </c>
      <c r="E22" s="394" t="s">
        <v>380</v>
      </c>
      <c r="F22" s="394" t="s">
        <v>807</v>
      </c>
      <c r="G22" s="394" t="s">
        <v>1285</v>
      </c>
      <c r="H22" s="261"/>
      <c r="I22" s="261"/>
      <c r="J22" s="261"/>
      <c r="K22" s="261"/>
      <c r="L22" s="261"/>
      <c r="M22" s="261">
        <v>292</v>
      </c>
      <c r="N22" s="261"/>
      <c r="O22" s="261"/>
      <c r="P22" s="261"/>
      <c r="Q22" s="261"/>
      <c r="R22" s="261"/>
      <c r="S22" s="261"/>
      <c r="T22" s="261"/>
      <c r="U22" s="261"/>
      <c r="V22" s="762"/>
      <c r="W22" s="261"/>
      <c r="X22" s="261"/>
      <c r="Y22" s="264">
        <f>IF(NFI_Expiration=1,IF($A22&lt;VLOOKUP(H$5,NFI,5,0),1,0)*Table_NFI[[#This Row],[Hygiene Kit]],Table_NFI[Hygiene Kit])</f>
        <v>0</v>
      </c>
      <c r="Z22" s="264">
        <f>IF(NFI_Expiration=1,IF($A22&lt;VLOOKUP(I$5,NFI,5,0),1,0)*Table_NFI[[#This Row],[NFI Core Kit]],Table_NFI[NFI Core Kit])</f>
        <v>0</v>
      </c>
      <c r="AA22" s="264">
        <f>IF(NFI_Expiration=1,IF($A22&lt;VLOOKUP(J$5,NFI,5,0),1,0)*Table_NFI[[#This Row],[Sanitary Kit]],Table_NFI[Sanitary Kit])</f>
        <v>0</v>
      </c>
      <c r="AB22" s="264">
        <f>IF(NFI_Expiration=1,IF($A22&lt;VLOOKUP(K$5,NFI,5,0),1,0)*Table_NFI[[#This Row],[Mosquito net]],Table_NFI[Mosquito net])</f>
        <v>0</v>
      </c>
      <c r="AC22" s="264">
        <f>IF(NFI_Expiration=1,IF($A22&lt;VLOOKUP(L$5,NFI,5,0),1,0)*Table_NFI[[#This Row],[Tarpaulin]],Table_NFI[[#This Row],[Tarpaulin]])</f>
        <v>0</v>
      </c>
      <c r="AD22" s="264">
        <f>IF(NFI_Expiration=1,IF($A22&lt;VLOOKUP(M$5,NFI,5,0),1,0)*Table_NFI[[#This Row],[Blanket]],Table_NFI[[#This Row],[Blanket]])</f>
        <v>292</v>
      </c>
      <c r="AE22" s="264">
        <f>IF(NFI_Expiration=1,IF($A22&lt;VLOOKUP(N$5,NFI,5,0),1,0)*Table_NFI[[#This Row],[Kitchen Set]],Table_NFI[Kitchen Set])</f>
        <v>0</v>
      </c>
      <c r="AF22" s="264">
        <f>IF(NFI_Expiration=1,IF($A22&lt;VLOOKUP(O$5,NFI,5,0),1,0)*Table_NFI[[#This Row],[Clothes Kit]],Table_NFI[Clothes Kit])</f>
        <v>0</v>
      </c>
      <c r="AG22" s="264">
        <f>IF(NFI_Expiration=1,IF($A22&lt;VLOOKUP(P$5,NFI,5,0),1,0)*Table_NFI[[#This Row],[Plastic Bucket]],Table_NFI[Plastic Bucket])</f>
        <v>0</v>
      </c>
      <c r="AH22" s="264">
        <f>IF(NFI_Expiration=1,IF($A22&lt;VLOOKUP(Q$5,NFI,5,0),1,0)*Table_NFI[[#This Row],[Plastic Mat]],Table_NFI[Plastic Mat])*IF(Table_NFI[[#This Row],[Distribution Date]]&gt;"2014-04-01",1,2.5)</f>
        <v>0</v>
      </c>
      <c r="AI22" s="264">
        <f>IF(NFI_Expiration=1,IF($A22&lt;VLOOKUP(R$5,NFI,5,0),1,0)*Table_NFI[[#This Row],[Winter Clothes Adult]],Table_NFI[Winter Clothes Adult])</f>
        <v>0</v>
      </c>
      <c r="AJ22" s="264">
        <f>IF(NFI_Expiration=1,IF($A22&lt;VLOOKUP(S$5,NFI,5,0),1,0)*Table_NFI[[#This Row],[Winter Clothes Children]],Table_NFI[Winter Clothes Children])</f>
        <v>0</v>
      </c>
      <c r="AK22" s="264">
        <f>IF(NFI_Expiration=1,IF($A22&lt;VLOOKUP(T$5,NFI,5,0),1,0)*Table_NFI[[#This Row],[Winter Items Other]],Table_NFI[Winter Items Other])</f>
        <v>0</v>
      </c>
      <c r="AL22" s="264">
        <f>IF(NFI_Expiration=1,IF($A22&lt;VLOOKUP(M$5,NFI,5,0),1,0)*Table_NFI[[#This Row],[Winter Blanket]],Table_NFI[[#This Row],[Winter Blanket]])</f>
        <v>0</v>
      </c>
      <c r="AM22" s="264">
        <f>IF(Table_NFI[[#This Row],[Winter Clothes Adult]]+Table_NFI[[#This Row],[Winter Clothes Children]]+Table_NFI[[#This Row],[Winter Items Other]]+Table_NFI[[#This Row],[Winter Blanket]]&gt;0,1,0)</f>
        <v>0</v>
      </c>
      <c r="AN22" s="296">
        <f>IF(NFI_Expiration=1,IF($A22&lt;VLOOKUP(V$5,NFI,5,0),1,0)*Table_NFI[[#This Row],[Jerry Can]],Table_NFI[Jerry Can])</f>
        <v>0</v>
      </c>
      <c r="AO22" s="296">
        <f>IF(NFI_Expiration=1,IF($A22&lt;VLOOKUP(V$5,NFI,5,0),1,0)*Table_NFI[[#This Row],[Shelter Tool kit]],Table_NFI[Shelter Tool kit])</f>
        <v>0</v>
      </c>
      <c r="AP22" s="296">
        <f>IF(NFI_Expiration=1,IF($A22&lt;VLOOKUP(V$5,NFI,5,0),1,0)*Table_NFI[[#This Row],[Tent]],Table_NFI[Tent])</f>
        <v>0</v>
      </c>
      <c r="AQ22" s="396" t="str">
        <f>IFERROR(VLOOKUP(Table_NFI[[#This Row],[Camp Name]],CL,2,0),"")</f>
        <v>MMR001CMP238</v>
      </c>
      <c r="AR22" s="702">
        <f ca="1">IF(Table_NFI[[#This Row],[Pcode]]="","",IF(OFFSET(CampList[Opening Date],MATCH(Table_NFI[[#This Row],[Pcode]],CampList[CP_Pcode],0)-1,0,1,1)&gt;=NFI_Monitor_Date,1,0))</f>
        <v>1</v>
      </c>
      <c r="AS22" s="396" t="str">
        <f>IFERROR(VLOOKUP(Table_NFI[[#This Row],[Camp Name]],CL,3,0),"")</f>
        <v>Open</v>
      </c>
      <c r="AT22" s="264">
        <f ca="1">IF(Table_NFI[[#This Row],[Pcode]]="","",OFFSET(CampList[Priority],MATCH(Table_NFI[[#This Row],[Pcode]],CampList[CP_Pcode],0)-1,0,1,1))</f>
        <v>0</v>
      </c>
      <c r="AU22" s="263">
        <f>IFERROR(Table_NFI[[#This Row],[Kitchen Set]]/VLOOKUP(Table_NFI[[#This Row],[Camp Name]],CL,4,0),"")</f>
        <v>0</v>
      </c>
      <c r="AV22" s="394"/>
      <c r="AW22" s="397" t="s">
        <v>1552</v>
      </c>
      <c r="AX22" s="399"/>
      <c r="AY22" s="399"/>
      <c r="AZ22" s="399"/>
      <c r="BA22" s="399"/>
      <c r="BB22" s="399"/>
      <c r="BC22" s="399"/>
      <c r="BD22" s="399"/>
      <c r="BE22" s="399"/>
      <c r="BF22" s="399"/>
      <c r="BG22" s="399"/>
      <c r="BH22" s="399"/>
      <c r="BI22" s="399"/>
      <c r="BJ22" s="399"/>
      <c r="BK22" s="399"/>
      <c r="BL22" s="399"/>
      <c r="BM22" s="399"/>
      <c r="BN22" s="399"/>
      <c r="BO22" s="399"/>
      <c r="BP22" s="399"/>
      <c r="BQ22" s="399"/>
      <c r="BR22" s="399"/>
      <c r="BS22" s="399"/>
      <c r="BT22" s="399"/>
      <c r="BU22" s="399"/>
      <c r="BV22" s="399"/>
      <c r="BW22" s="399"/>
      <c r="BX22" s="399"/>
      <c r="BY22" s="399"/>
      <c r="BZ22" s="399"/>
      <c r="CA22" s="399"/>
      <c r="CB22" s="399"/>
      <c r="CC22" s="399"/>
      <c r="CD22" s="399"/>
      <c r="CE22" s="399"/>
      <c r="CF22" s="399"/>
      <c r="CG22" s="399"/>
      <c r="CH22" s="399"/>
      <c r="CI22" s="399"/>
      <c r="CJ22" s="399"/>
      <c r="CK22" s="399"/>
      <c r="CL22" s="399"/>
      <c r="CM22" s="399"/>
      <c r="CN22" s="399"/>
      <c r="CO22" s="399"/>
      <c r="CP22" s="399"/>
      <c r="CQ22" s="399"/>
      <c r="CR22" s="399"/>
      <c r="CS22" s="399"/>
      <c r="CT22" s="399"/>
      <c r="CU22" s="399"/>
      <c r="CV22" s="399"/>
      <c r="CW22" s="399"/>
      <c r="CX22" s="399"/>
      <c r="CY22" s="399"/>
      <c r="CZ22" s="399"/>
      <c r="DA22" s="399"/>
      <c r="DB22" s="399"/>
      <c r="DC22" s="399"/>
      <c r="DD22" s="399"/>
      <c r="DE22" s="399"/>
      <c r="DF22" s="399"/>
      <c r="DG22" s="399"/>
      <c r="DH22" s="399"/>
      <c r="DI22" s="399"/>
      <c r="DJ22" s="399"/>
      <c r="DK22" s="399"/>
      <c r="DL22" s="399"/>
      <c r="DM22" s="399"/>
      <c r="DN22" s="399"/>
      <c r="DO22" s="399"/>
      <c r="DP22" s="399"/>
      <c r="DQ22" s="399"/>
    </row>
    <row r="23" spans="1:121" s="760" customFormat="1" ht="15" customHeight="1" x14ac:dyDescent="0.25">
      <c r="A23" s="266">
        <f t="shared" si="0"/>
        <v>1.5333333333333334</v>
      </c>
      <c r="B23" s="389">
        <v>42810</v>
      </c>
      <c r="C23" s="390" t="s">
        <v>451</v>
      </c>
      <c r="D23" s="394" t="s">
        <v>504</v>
      </c>
      <c r="E23" s="394" t="s">
        <v>380</v>
      </c>
      <c r="F23" s="394" t="s">
        <v>27</v>
      </c>
      <c r="G23" s="394" t="s">
        <v>365</v>
      </c>
      <c r="H23" s="261"/>
      <c r="I23" s="261"/>
      <c r="J23" s="261"/>
      <c r="K23" s="261"/>
      <c r="L23" s="261"/>
      <c r="M23" s="261"/>
      <c r="N23" s="261"/>
      <c r="O23" s="261"/>
      <c r="P23" s="261"/>
      <c r="Q23" s="261"/>
      <c r="R23" s="261">
        <v>97</v>
      </c>
      <c r="S23" s="261">
        <v>203</v>
      </c>
      <c r="T23" s="261"/>
      <c r="U23" s="261"/>
      <c r="V23" s="762"/>
      <c r="W23" s="261"/>
      <c r="X23" s="261"/>
      <c r="Y23" s="264">
        <f>IF(NFI_Expiration=1,IF($A23&lt;VLOOKUP(H$5,NFI,5,0),1,0)*Table_NFI[[#This Row],[Hygiene Kit]],Table_NFI[Hygiene Kit])</f>
        <v>0</v>
      </c>
      <c r="Z23" s="264">
        <f>IF(NFI_Expiration=1,IF($A23&lt;VLOOKUP(I$5,NFI,5,0),1,0)*Table_NFI[[#This Row],[NFI Core Kit]],Table_NFI[NFI Core Kit])</f>
        <v>0</v>
      </c>
      <c r="AA23" s="264">
        <f>IF(NFI_Expiration=1,IF($A23&lt;VLOOKUP(J$5,NFI,5,0),1,0)*Table_NFI[[#This Row],[Sanitary Kit]],Table_NFI[Sanitary Kit])</f>
        <v>0</v>
      </c>
      <c r="AB23" s="264">
        <f>IF(NFI_Expiration=1,IF($A23&lt;VLOOKUP(K$5,NFI,5,0),1,0)*Table_NFI[[#This Row],[Mosquito net]],Table_NFI[Mosquito net])</f>
        <v>0</v>
      </c>
      <c r="AC23" s="264">
        <f>IF(NFI_Expiration=1,IF($A23&lt;VLOOKUP(L$5,NFI,5,0),1,0)*Table_NFI[[#This Row],[Tarpaulin]],Table_NFI[[#This Row],[Tarpaulin]])</f>
        <v>0</v>
      </c>
      <c r="AD23" s="264">
        <f>IF(NFI_Expiration=1,IF($A23&lt;VLOOKUP(M$5,NFI,5,0),1,0)*Table_NFI[[#This Row],[Blanket]],Table_NFI[[#This Row],[Blanket]])</f>
        <v>0</v>
      </c>
      <c r="AE23" s="264">
        <f>IF(NFI_Expiration=1,IF($A23&lt;VLOOKUP(N$5,NFI,5,0),1,0)*Table_NFI[[#This Row],[Kitchen Set]],Table_NFI[Kitchen Set])</f>
        <v>0</v>
      </c>
      <c r="AF23" s="264">
        <f>IF(NFI_Expiration=1,IF($A23&lt;VLOOKUP(O$5,NFI,5,0),1,0)*Table_NFI[[#This Row],[Clothes Kit]],Table_NFI[Clothes Kit])</f>
        <v>0</v>
      </c>
      <c r="AG23" s="264">
        <f>IF(NFI_Expiration=1,IF($A23&lt;VLOOKUP(P$5,NFI,5,0),1,0)*Table_NFI[[#This Row],[Plastic Bucket]],Table_NFI[Plastic Bucket])</f>
        <v>0</v>
      </c>
      <c r="AH23" s="264">
        <f>IF(NFI_Expiration=1,IF($A23&lt;VLOOKUP(Q$5,NFI,5,0),1,0)*Table_NFI[[#This Row],[Plastic Mat]],Table_NFI[Plastic Mat])*IF(Table_NFI[[#This Row],[Distribution Date]]&gt;"2014-04-01",1,2.5)</f>
        <v>0</v>
      </c>
      <c r="AI23" s="264">
        <f>IF(NFI_Expiration=1,IF($A23&lt;VLOOKUP(R$5,NFI,5,0),1,0)*Table_NFI[[#This Row],[Winter Clothes Adult]],Table_NFI[Winter Clothes Adult])</f>
        <v>97</v>
      </c>
      <c r="AJ23" s="264">
        <f>IF(NFI_Expiration=1,IF($A23&lt;VLOOKUP(S$5,NFI,5,0),1,0)*Table_NFI[[#This Row],[Winter Clothes Children]],Table_NFI[Winter Clothes Children])</f>
        <v>203</v>
      </c>
      <c r="AK23" s="264">
        <f>IF(NFI_Expiration=1,IF($A23&lt;VLOOKUP(T$5,NFI,5,0),1,0)*Table_NFI[[#This Row],[Winter Items Other]],Table_NFI[Winter Items Other])</f>
        <v>0</v>
      </c>
      <c r="AL23" s="264">
        <f>IF(NFI_Expiration=1,IF($A23&lt;VLOOKUP(M$5,NFI,5,0),1,0)*Table_NFI[[#This Row],[Winter Blanket]],Table_NFI[[#This Row],[Winter Blanket]])</f>
        <v>0</v>
      </c>
      <c r="AM23" s="264">
        <f>IF(Table_NFI[[#This Row],[Winter Clothes Adult]]+Table_NFI[[#This Row],[Winter Clothes Children]]+Table_NFI[[#This Row],[Winter Items Other]]+Table_NFI[[#This Row],[Winter Blanket]]&gt;0,1,0)</f>
        <v>1</v>
      </c>
      <c r="AN23" s="296">
        <f>IF(NFI_Expiration=1,IF($A23&lt;VLOOKUP(V$5,NFI,5,0),1,0)*Table_NFI[[#This Row],[Jerry Can]],Table_NFI[Jerry Can])</f>
        <v>0</v>
      </c>
      <c r="AO23" s="296">
        <f>IF(NFI_Expiration=1,IF($A23&lt;VLOOKUP(V$5,NFI,5,0),1,0)*Table_NFI[[#This Row],[Shelter Tool kit]],Table_NFI[Shelter Tool kit])</f>
        <v>0</v>
      </c>
      <c r="AP23" s="296">
        <f>IF(NFI_Expiration=1,IF($A23&lt;VLOOKUP(V$5,NFI,5,0),1,0)*Table_NFI[[#This Row],[Tent]],Table_NFI[Tent])</f>
        <v>0</v>
      </c>
      <c r="AQ23" s="396" t="str">
        <f>IFERROR(VLOOKUP(Table_NFI[[#This Row],[Camp Name]],CL,2,0),"")</f>
        <v>MMR001CMP195</v>
      </c>
      <c r="AR23" s="711">
        <f ca="1">IF(Table_NFI[[#This Row],[Pcode]]="","",IF(OFFSET(CampList[Opening Date],MATCH(Table_NFI[[#This Row],[Pcode]],CampList[CP_Pcode],0)-1,0,1,1)&gt;=NFI_Monitor_Date,1,0))</f>
        <v>0</v>
      </c>
      <c r="AS23" s="396" t="str">
        <f>IFERROR(VLOOKUP(Table_NFI[[#This Row],[Camp Name]],CL,3,0),"")</f>
        <v>Open</v>
      </c>
      <c r="AT23" s="264" t="str">
        <f ca="1">IF(Table_NFI[[#This Row],[Pcode]]="","",OFFSET(CampList[Priority],MATCH(Table_NFI[[#This Row],[Pcode]],CampList[CP_Pcode],0)-1,0,1,1))</f>
        <v>P1</v>
      </c>
      <c r="AU23" s="263">
        <f>IFERROR(Table_NFI[[#This Row],[Kitchen Set]]/VLOOKUP(Table_NFI[[#This Row],[Camp Name]],CL,4,0),"")</f>
        <v>0</v>
      </c>
      <c r="AV23" s="390"/>
      <c r="AW23" s="407" t="s">
        <v>1531</v>
      </c>
      <c r="AX23" s="399"/>
      <c r="AY23" s="399"/>
      <c r="AZ23" s="399"/>
      <c r="BA23" s="399"/>
      <c r="BB23" s="399"/>
      <c r="BC23" s="399"/>
      <c r="BD23" s="399"/>
      <c r="BE23" s="399"/>
      <c r="BF23" s="399"/>
      <c r="BG23" s="399"/>
      <c r="BH23" s="399"/>
      <c r="BI23" s="399"/>
      <c r="BJ23" s="399"/>
      <c r="BK23" s="399"/>
      <c r="BL23" s="399"/>
      <c r="BM23" s="399"/>
      <c r="BN23" s="399"/>
      <c r="BO23" s="399"/>
      <c r="BP23" s="399"/>
      <c r="BQ23" s="399"/>
      <c r="BR23" s="399"/>
      <c r="BS23" s="399"/>
      <c r="BT23" s="399"/>
      <c r="BU23" s="399"/>
      <c r="BV23" s="399"/>
      <c r="BW23" s="399"/>
      <c r="BX23" s="399"/>
      <c r="BY23" s="399"/>
      <c r="BZ23" s="399"/>
      <c r="CA23" s="399"/>
      <c r="CB23" s="399"/>
      <c r="CC23" s="399"/>
      <c r="CD23" s="399"/>
      <c r="CE23" s="399"/>
      <c r="CF23" s="399"/>
      <c r="CG23" s="399"/>
      <c r="CH23" s="399"/>
      <c r="CI23" s="399"/>
      <c r="CJ23" s="399"/>
      <c r="CK23" s="399"/>
      <c r="CL23" s="399"/>
      <c r="CM23" s="399"/>
      <c r="CN23" s="399"/>
      <c r="CO23" s="399"/>
      <c r="CP23" s="399"/>
      <c r="CQ23" s="399"/>
      <c r="CR23" s="399"/>
      <c r="CS23" s="399"/>
      <c r="CT23" s="399"/>
      <c r="CU23" s="399"/>
      <c r="CV23" s="399"/>
      <c r="CW23" s="399"/>
      <c r="CX23" s="399"/>
      <c r="CY23" s="399"/>
      <c r="CZ23" s="399"/>
      <c r="DA23" s="399"/>
      <c r="DB23" s="399"/>
      <c r="DC23" s="399"/>
      <c r="DD23" s="399"/>
      <c r="DE23" s="399"/>
      <c r="DF23" s="399"/>
      <c r="DG23" s="399"/>
      <c r="DH23" s="399"/>
      <c r="DI23" s="399"/>
      <c r="DJ23" s="399"/>
      <c r="DK23" s="399"/>
      <c r="DL23" s="399"/>
      <c r="DM23" s="399"/>
      <c r="DN23" s="399"/>
      <c r="DO23" s="399"/>
      <c r="DP23" s="399"/>
      <c r="DQ23" s="399"/>
    </row>
    <row r="24" spans="1:121" s="760" customFormat="1" ht="15" customHeight="1" x14ac:dyDescent="0.25">
      <c r="A24" s="266">
        <f t="shared" si="0"/>
        <v>1.5666666666666667</v>
      </c>
      <c r="B24" s="389">
        <v>42809</v>
      </c>
      <c r="C24" s="390" t="s">
        <v>451</v>
      </c>
      <c r="D24" s="394" t="s">
        <v>504</v>
      </c>
      <c r="E24" s="394" t="s">
        <v>380</v>
      </c>
      <c r="F24" s="394" t="s">
        <v>27</v>
      </c>
      <c r="G24" s="394" t="s">
        <v>28</v>
      </c>
      <c r="H24" s="261"/>
      <c r="I24" s="261"/>
      <c r="J24" s="261"/>
      <c r="K24" s="261"/>
      <c r="L24" s="261"/>
      <c r="M24" s="261"/>
      <c r="N24" s="261"/>
      <c r="O24" s="261"/>
      <c r="P24" s="261"/>
      <c r="Q24" s="261"/>
      <c r="R24" s="261">
        <v>79</v>
      </c>
      <c r="S24" s="261">
        <v>152</v>
      </c>
      <c r="T24" s="261"/>
      <c r="U24" s="261"/>
      <c r="V24" s="762"/>
      <c r="W24" s="261"/>
      <c r="X24" s="261"/>
      <c r="Y24" s="264">
        <f>IF(NFI_Expiration=1,IF($A24&lt;VLOOKUP(H$5,NFI,5,0),1,0)*Table_NFI[[#This Row],[Hygiene Kit]],Table_NFI[Hygiene Kit])</f>
        <v>0</v>
      </c>
      <c r="Z24" s="264">
        <f>IF(NFI_Expiration=1,IF($A24&lt;VLOOKUP(I$5,NFI,5,0),1,0)*Table_NFI[[#This Row],[NFI Core Kit]],Table_NFI[NFI Core Kit])</f>
        <v>0</v>
      </c>
      <c r="AA24" s="264">
        <f>IF(NFI_Expiration=1,IF($A24&lt;VLOOKUP(J$5,NFI,5,0),1,0)*Table_NFI[[#This Row],[Sanitary Kit]],Table_NFI[Sanitary Kit])</f>
        <v>0</v>
      </c>
      <c r="AB24" s="264">
        <f>IF(NFI_Expiration=1,IF($A24&lt;VLOOKUP(K$5,NFI,5,0),1,0)*Table_NFI[[#This Row],[Mosquito net]],Table_NFI[Mosquito net])</f>
        <v>0</v>
      </c>
      <c r="AC24" s="264">
        <f>IF(NFI_Expiration=1,IF($A24&lt;VLOOKUP(L$5,NFI,5,0),1,0)*Table_NFI[[#This Row],[Tarpaulin]],Table_NFI[[#This Row],[Tarpaulin]])</f>
        <v>0</v>
      </c>
      <c r="AD24" s="264">
        <f>IF(NFI_Expiration=1,IF($A24&lt;VLOOKUP(M$5,NFI,5,0),1,0)*Table_NFI[[#This Row],[Blanket]],Table_NFI[[#This Row],[Blanket]])</f>
        <v>0</v>
      </c>
      <c r="AE24" s="264">
        <f>IF(NFI_Expiration=1,IF($A24&lt;VLOOKUP(N$5,NFI,5,0),1,0)*Table_NFI[[#This Row],[Kitchen Set]],Table_NFI[Kitchen Set])</f>
        <v>0</v>
      </c>
      <c r="AF24" s="264">
        <f>IF(NFI_Expiration=1,IF($A24&lt;VLOOKUP(O$5,NFI,5,0),1,0)*Table_NFI[[#This Row],[Clothes Kit]],Table_NFI[Clothes Kit])</f>
        <v>0</v>
      </c>
      <c r="AG24" s="264">
        <f>IF(NFI_Expiration=1,IF($A24&lt;VLOOKUP(P$5,NFI,5,0),1,0)*Table_NFI[[#This Row],[Plastic Bucket]],Table_NFI[Plastic Bucket])</f>
        <v>0</v>
      </c>
      <c r="AH24" s="264">
        <f>IF(NFI_Expiration=1,IF($A24&lt;VLOOKUP(Q$5,NFI,5,0),1,0)*Table_NFI[[#This Row],[Plastic Mat]],Table_NFI[Plastic Mat])*IF(Table_NFI[[#This Row],[Distribution Date]]&gt;"2014-04-01",1,2.5)</f>
        <v>0</v>
      </c>
      <c r="AI24" s="264">
        <f>IF(NFI_Expiration=1,IF($A24&lt;VLOOKUP(R$5,NFI,5,0),1,0)*Table_NFI[[#This Row],[Winter Clothes Adult]],Table_NFI[Winter Clothes Adult])</f>
        <v>79</v>
      </c>
      <c r="AJ24" s="264">
        <f>IF(NFI_Expiration=1,IF($A24&lt;VLOOKUP(S$5,NFI,5,0),1,0)*Table_NFI[[#This Row],[Winter Clothes Children]],Table_NFI[Winter Clothes Children])</f>
        <v>152</v>
      </c>
      <c r="AK24" s="264">
        <f>IF(NFI_Expiration=1,IF($A24&lt;VLOOKUP(T$5,NFI,5,0),1,0)*Table_NFI[[#This Row],[Winter Items Other]],Table_NFI[Winter Items Other])</f>
        <v>0</v>
      </c>
      <c r="AL24" s="264">
        <f>IF(NFI_Expiration=1,IF($A24&lt;VLOOKUP(M$5,NFI,5,0),1,0)*Table_NFI[[#This Row],[Winter Blanket]],Table_NFI[[#This Row],[Winter Blanket]])</f>
        <v>0</v>
      </c>
      <c r="AM24" s="264">
        <f>IF(Table_NFI[[#This Row],[Winter Clothes Adult]]+Table_NFI[[#This Row],[Winter Clothes Children]]+Table_NFI[[#This Row],[Winter Items Other]]+Table_NFI[[#This Row],[Winter Blanket]]&gt;0,1,0)</f>
        <v>1</v>
      </c>
      <c r="AN24" s="296">
        <f>IF(NFI_Expiration=1,IF($A24&lt;VLOOKUP(V$5,NFI,5,0),1,0)*Table_NFI[[#This Row],[Jerry Can]],Table_NFI[Jerry Can])</f>
        <v>0</v>
      </c>
      <c r="AO24" s="296">
        <f>IF(NFI_Expiration=1,IF($A24&lt;VLOOKUP(V$5,NFI,5,0),1,0)*Table_NFI[[#This Row],[Shelter Tool kit]],Table_NFI[Shelter Tool kit])</f>
        <v>0</v>
      </c>
      <c r="AP24" s="296">
        <f>IF(NFI_Expiration=1,IF($A24&lt;VLOOKUP(V$5,NFI,5,0),1,0)*Table_NFI[[#This Row],[Tent]],Table_NFI[Tent])</f>
        <v>0</v>
      </c>
      <c r="AQ24" s="396" t="str">
        <f>IFERROR(VLOOKUP(Table_NFI[[#This Row],[Camp Name]],CL,2,0),"")</f>
        <v>MMR001CMP042</v>
      </c>
      <c r="AR24" s="711">
        <f ca="1">IF(Table_NFI[[#This Row],[Pcode]]="","",IF(OFFSET(CampList[Opening Date],MATCH(Table_NFI[[#This Row],[Pcode]],CampList[CP_Pcode],0)-1,0,1,1)&gt;=NFI_Monitor_Date,1,0))</f>
        <v>0</v>
      </c>
      <c r="AS24" s="396" t="str">
        <f>IFERROR(VLOOKUP(Table_NFI[[#This Row],[Camp Name]],CL,3,0),"")</f>
        <v>Open</v>
      </c>
      <c r="AT24" s="264" t="str">
        <f ca="1">IF(Table_NFI[[#This Row],[Pcode]]="","",OFFSET(CampList[Priority],MATCH(Table_NFI[[#This Row],[Pcode]],CampList[CP_Pcode],0)-1,0,1,1))</f>
        <v>P1</v>
      </c>
      <c r="AU24" s="263">
        <f>IFERROR(Table_NFI[[#This Row],[Kitchen Set]]/VLOOKUP(Table_NFI[[#This Row],[Camp Name]],CL,4,0),"")</f>
        <v>0</v>
      </c>
      <c r="AV24" s="390"/>
      <c r="AW24" s="392" t="s">
        <v>1531</v>
      </c>
      <c r="AX24" s="399"/>
      <c r="AY24" s="399"/>
      <c r="AZ24" s="399"/>
      <c r="BA24" s="399"/>
      <c r="BB24" s="399"/>
      <c r="BC24" s="399"/>
      <c r="BD24" s="399"/>
      <c r="BE24" s="399"/>
      <c r="BF24" s="399"/>
      <c r="BG24" s="399"/>
      <c r="BH24" s="399"/>
      <c r="BI24" s="399"/>
      <c r="BJ24" s="399"/>
      <c r="BK24" s="399"/>
      <c r="BL24" s="399"/>
      <c r="BM24" s="399"/>
      <c r="BN24" s="399"/>
      <c r="BO24" s="399"/>
      <c r="BP24" s="399"/>
      <c r="BQ24" s="399"/>
      <c r="BR24" s="399"/>
      <c r="BS24" s="399"/>
      <c r="BT24" s="399"/>
      <c r="BU24" s="399"/>
      <c r="BV24" s="399"/>
      <c r="BW24" s="399"/>
      <c r="BX24" s="399"/>
      <c r="BY24" s="399"/>
      <c r="BZ24" s="399"/>
      <c r="CA24" s="399"/>
      <c r="CB24" s="399"/>
      <c r="CC24" s="399"/>
      <c r="CD24" s="399"/>
      <c r="CE24" s="399"/>
      <c r="CF24" s="399"/>
      <c r="CG24" s="399"/>
      <c r="CH24" s="399"/>
      <c r="CI24" s="399"/>
      <c r="CJ24" s="399"/>
      <c r="CK24" s="399"/>
      <c r="CL24" s="399"/>
      <c r="CM24" s="399"/>
      <c r="CN24" s="399"/>
      <c r="CO24" s="399"/>
      <c r="CP24" s="399"/>
      <c r="CQ24" s="399"/>
      <c r="CR24" s="399"/>
      <c r="CS24" s="399"/>
      <c r="CT24" s="399"/>
      <c r="CU24" s="399"/>
      <c r="CV24" s="399"/>
      <c r="CW24" s="399"/>
      <c r="CX24" s="399"/>
      <c r="CY24" s="399"/>
      <c r="CZ24" s="399"/>
      <c r="DA24" s="399"/>
      <c r="DB24" s="399"/>
      <c r="DC24" s="399"/>
      <c r="DD24" s="399"/>
      <c r="DE24" s="399"/>
      <c r="DF24" s="399"/>
      <c r="DG24" s="399"/>
      <c r="DH24" s="399"/>
      <c r="DI24" s="399"/>
      <c r="DJ24" s="399"/>
      <c r="DK24" s="399"/>
      <c r="DL24" s="399"/>
      <c r="DM24" s="399"/>
      <c r="DN24" s="399"/>
      <c r="DO24" s="399"/>
      <c r="DP24" s="399"/>
      <c r="DQ24" s="399"/>
    </row>
    <row r="25" spans="1:121" s="760" customFormat="1" ht="14.45" customHeight="1" x14ac:dyDescent="0.25">
      <c r="A25" s="266">
        <f t="shared" si="0"/>
        <v>1.5666666666666667</v>
      </c>
      <c r="B25" s="389">
        <v>42809</v>
      </c>
      <c r="C25" s="394" t="s">
        <v>904</v>
      </c>
      <c r="D25" s="394" t="s">
        <v>904</v>
      </c>
      <c r="E25" s="394" t="s">
        <v>380</v>
      </c>
      <c r="F25" s="394" t="s">
        <v>310</v>
      </c>
      <c r="G25" s="394" t="s">
        <v>353</v>
      </c>
      <c r="H25" s="261"/>
      <c r="I25" s="261">
        <v>6</v>
      </c>
      <c r="J25" s="261"/>
      <c r="K25" s="261">
        <v>12</v>
      </c>
      <c r="L25" s="261"/>
      <c r="M25" s="261">
        <v>12</v>
      </c>
      <c r="N25" s="261"/>
      <c r="O25" s="261"/>
      <c r="P25" s="261"/>
      <c r="Q25" s="261">
        <v>12</v>
      </c>
      <c r="R25" s="261"/>
      <c r="S25" s="261"/>
      <c r="T25" s="261"/>
      <c r="U25" s="261"/>
      <c r="V25" s="762"/>
      <c r="W25" s="261"/>
      <c r="X25" s="261"/>
      <c r="Y25" s="264">
        <f>IF(NFI_Expiration=1,IF($A25&lt;VLOOKUP(H$5,NFI,5,0),1,0)*Table_NFI[[#This Row],[Hygiene Kit]],Table_NFI[Hygiene Kit])</f>
        <v>0</v>
      </c>
      <c r="Z25" s="264">
        <f>IF(NFI_Expiration=1,IF($A25&lt;VLOOKUP(I$5,NFI,5,0),1,0)*Table_NFI[[#This Row],[NFI Core Kit]],Table_NFI[NFI Core Kit])</f>
        <v>6</v>
      </c>
      <c r="AA25" s="264">
        <f>IF(NFI_Expiration=1,IF($A25&lt;VLOOKUP(J$5,NFI,5,0),1,0)*Table_NFI[[#This Row],[Sanitary Kit]],Table_NFI[Sanitary Kit])</f>
        <v>0</v>
      </c>
      <c r="AB25" s="264">
        <f>IF(NFI_Expiration=1,IF($A25&lt;VLOOKUP(K$5,NFI,5,0),1,0)*Table_NFI[[#This Row],[Mosquito net]],Table_NFI[Mosquito net])</f>
        <v>12</v>
      </c>
      <c r="AC25" s="264">
        <f>IF(NFI_Expiration=1,IF($A25&lt;VLOOKUP(L$5,NFI,5,0),1,0)*Table_NFI[[#This Row],[Tarpaulin]],Table_NFI[[#This Row],[Tarpaulin]])</f>
        <v>0</v>
      </c>
      <c r="AD25" s="264">
        <f>IF(NFI_Expiration=1,IF($A25&lt;VLOOKUP(M$5,NFI,5,0),1,0)*Table_NFI[[#This Row],[Blanket]],Table_NFI[[#This Row],[Blanket]])</f>
        <v>12</v>
      </c>
      <c r="AE25" s="264">
        <f>IF(NFI_Expiration=1,IF($A25&lt;VLOOKUP(N$5,NFI,5,0),1,0)*Table_NFI[[#This Row],[Kitchen Set]],Table_NFI[Kitchen Set])</f>
        <v>0</v>
      </c>
      <c r="AF25" s="264">
        <f>IF(NFI_Expiration=1,IF($A25&lt;VLOOKUP(O$5,NFI,5,0),1,0)*Table_NFI[[#This Row],[Clothes Kit]],Table_NFI[Clothes Kit])</f>
        <v>0</v>
      </c>
      <c r="AG25" s="264">
        <f>IF(NFI_Expiration=1,IF($A25&lt;VLOOKUP(P$5,NFI,5,0),1,0)*Table_NFI[[#This Row],[Plastic Bucket]],Table_NFI[Plastic Bucket])</f>
        <v>0</v>
      </c>
      <c r="AH25" s="264">
        <f>IF(NFI_Expiration=1,IF($A25&lt;VLOOKUP(Q$5,NFI,5,0),1,0)*Table_NFI[[#This Row],[Plastic Mat]],Table_NFI[Plastic Mat])*IF(Table_NFI[[#This Row],[Distribution Date]]&gt;"2014-04-01",1,2.5)</f>
        <v>30</v>
      </c>
      <c r="AI25" s="264">
        <f>IF(NFI_Expiration=1,IF($A25&lt;VLOOKUP(R$5,NFI,5,0),1,0)*Table_NFI[[#This Row],[Winter Clothes Adult]],Table_NFI[Winter Clothes Adult])</f>
        <v>0</v>
      </c>
      <c r="AJ25" s="264">
        <f>IF(NFI_Expiration=1,IF($A25&lt;VLOOKUP(S$5,NFI,5,0),1,0)*Table_NFI[[#This Row],[Winter Clothes Children]],Table_NFI[Winter Clothes Children])</f>
        <v>0</v>
      </c>
      <c r="AK25" s="264">
        <f>IF(NFI_Expiration=1,IF($A25&lt;VLOOKUP(T$5,NFI,5,0),1,0)*Table_NFI[[#This Row],[Winter Items Other]],Table_NFI[Winter Items Other])</f>
        <v>0</v>
      </c>
      <c r="AL25" s="264">
        <f>IF(NFI_Expiration=1,IF($A25&lt;VLOOKUP(M$5,NFI,5,0),1,0)*Table_NFI[[#This Row],[Winter Blanket]],Table_NFI[[#This Row],[Winter Blanket]])</f>
        <v>0</v>
      </c>
      <c r="AM25" s="264">
        <f>IF(Table_NFI[[#This Row],[Winter Clothes Adult]]+Table_NFI[[#This Row],[Winter Clothes Children]]+Table_NFI[[#This Row],[Winter Items Other]]+Table_NFI[[#This Row],[Winter Blanket]]&gt;0,1,0)</f>
        <v>0</v>
      </c>
      <c r="AN25" s="296">
        <f>IF(NFI_Expiration=1,IF($A25&lt;VLOOKUP(V$5,NFI,5,0),1,0)*Table_NFI[[#This Row],[Jerry Can]],Table_NFI[Jerry Can])</f>
        <v>0</v>
      </c>
      <c r="AO25" s="296">
        <f>IF(NFI_Expiration=1,IF($A25&lt;VLOOKUP(V$5,NFI,5,0),1,0)*Table_NFI[[#This Row],[Shelter Tool kit]],Table_NFI[Shelter Tool kit])</f>
        <v>0</v>
      </c>
      <c r="AP25" s="296">
        <f>IF(NFI_Expiration=1,IF($A25&lt;VLOOKUP(V$5,NFI,5,0),1,0)*Table_NFI[[#This Row],[Tent]],Table_NFI[Tent])</f>
        <v>0</v>
      </c>
      <c r="AQ25" s="396" t="str">
        <f>IFERROR(VLOOKUP(Table_NFI[[#This Row],[Camp Name]],CL,2,0),"")</f>
        <v>MMR001CMP116</v>
      </c>
      <c r="AR25" s="711">
        <f ca="1">IF(Table_NFI[[#This Row],[Pcode]]="","",IF(OFFSET(CampList[Opening Date],MATCH(Table_NFI[[#This Row],[Pcode]],CampList[CP_Pcode],0)-1,0,1,1)&gt;=NFI_Monitor_Date,1,0))</f>
        <v>0</v>
      </c>
      <c r="AS25" s="396" t="str">
        <f>IFERROR(VLOOKUP(Table_NFI[[#This Row],[Camp Name]],CL,3,0),"")</f>
        <v>Open</v>
      </c>
      <c r="AT25" s="264" t="str">
        <f ca="1">IF(Table_NFI[[#This Row],[Pcode]]="","",OFFSET(CampList[Priority],MATCH(Table_NFI[[#This Row],[Pcode]],CampList[CP_Pcode],0)-1,0,1,1))</f>
        <v>P4</v>
      </c>
      <c r="AU25" s="263">
        <f>IFERROR(Table_NFI[[#This Row],[Kitchen Set]]/VLOOKUP(Table_NFI[[#This Row],[Camp Name]],CL,4,0),"")</f>
        <v>0</v>
      </c>
      <c r="AV25" s="394"/>
      <c r="AW25" s="397" t="s">
        <v>1559</v>
      </c>
      <c r="AX25" s="399"/>
      <c r="AY25" s="399"/>
      <c r="AZ25" s="399"/>
      <c r="BA25" s="399"/>
      <c r="BB25" s="399"/>
      <c r="BC25" s="399"/>
      <c r="BD25" s="399"/>
      <c r="BE25" s="399"/>
      <c r="BF25" s="399"/>
      <c r="BG25" s="399"/>
      <c r="BH25" s="399"/>
      <c r="BI25" s="399"/>
      <c r="BJ25" s="399"/>
      <c r="BK25" s="399"/>
      <c r="BL25" s="399"/>
      <c r="BM25" s="399"/>
      <c r="BN25" s="399"/>
      <c r="BO25" s="399"/>
      <c r="BP25" s="399"/>
      <c r="BQ25" s="399"/>
      <c r="BR25" s="399"/>
      <c r="BS25" s="399"/>
      <c r="BT25" s="399"/>
      <c r="BU25" s="399"/>
      <c r="BV25" s="399"/>
      <c r="BW25" s="399"/>
      <c r="BX25" s="399"/>
      <c r="BY25" s="399"/>
      <c r="BZ25" s="399"/>
      <c r="CA25" s="399"/>
      <c r="CB25" s="399"/>
      <c r="CC25" s="399"/>
      <c r="CD25" s="399"/>
      <c r="CE25" s="399"/>
      <c r="CF25" s="399"/>
      <c r="CG25" s="399"/>
      <c r="CH25" s="399"/>
      <c r="CI25" s="399"/>
      <c r="CJ25" s="399"/>
      <c r="CK25" s="399"/>
      <c r="CL25" s="399"/>
      <c r="CM25" s="399"/>
      <c r="CN25" s="399"/>
      <c r="CO25" s="399"/>
      <c r="CP25" s="399"/>
      <c r="CQ25" s="399"/>
      <c r="CR25" s="399"/>
      <c r="CS25" s="399"/>
      <c r="CT25" s="399"/>
      <c r="CU25" s="399"/>
      <c r="CV25" s="399"/>
      <c r="CW25" s="399"/>
      <c r="CX25" s="399"/>
      <c r="CY25" s="399"/>
      <c r="CZ25" s="399"/>
      <c r="DA25" s="399"/>
      <c r="DB25" s="399"/>
      <c r="DC25" s="399"/>
      <c r="DD25" s="399"/>
      <c r="DE25" s="399"/>
      <c r="DF25" s="399"/>
      <c r="DG25" s="399"/>
      <c r="DH25" s="399"/>
      <c r="DI25" s="399"/>
      <c r="DJ25" s="399"/>
      <c r="DK25" s="399"/>
      <c r="DL25" s="399"/>
      <c r="DM25" s="399"/>
      <c r="DN25" s="399"/>
      <c r="DO25" s="399"/>
      <c r="DP25" s="399"/>
      <c r="DQ25" s="399"/>
    </row>
    <row r="26" spans="1:121" s="760" customFormat="1" ht="15" customHeight="1" x14ac:dyDescent="0.25">
      <c r="A26" s="266">
        <f t="shared" si="0"/>
        <v>1.6</v>
      </c>
      <c r="B26" s="389">
        <v>42808</v>
      </c>
      <c r="C26" s="394" t="s">
        <v>904</v>
      </c>
      <c r="D26" s="394" t="s">
        <v>904</v>
      </c>
      <c r="E26" s="394" t="s">
        <v>380</v>
      </c>
      <c r="F26" s="394" t="s">
        <v>185</v>
      </c>
      <c r="G26" s="394" t="s">
        <v>194</v>
      </c>
      <c r="H26" s="261"/>
      <c r="I26" s="261">
        <v>8</v>
      </c>
      <c r="J26" s="261"/>
      <c r="K26" s="261">
        <v>16</v>
      </c>
      <c r="L26" s="261"/>
      <c r="M26" s="261">
        <v>16</v>
      </c>
      <c r="N26" s="261"/>
      <c r="O26" s="261"/>
      <c r="P26" s="261"/>
      <c r="Q26" s="261">
        <v>16</v>
      </c>
      <c r="R26" s="261"/>
      <c r="S26" s="261"/>
      <c r="T26" s="261"/>
      <c r="U26" s="261"/>
      <c r="V26" s="762"/>
      <c r="W26" s="261"/>
      <c r="X26" s="261"/>
      <c r="Y26" s="264">
        <f>IF(NFI_Expiration=1,IF($A26&lt;VLOOKUP(H$5,NFI,5,0),1,0)*Table_NFI[[#This Row],[Hygiene Kit]],Table_NFI[Hygiene Kit])</f>
        <v>0</v>
      </c>
      <c r="Z26" s="264">
        <f>IF(NFI_Expiration=1,IF($A26&lt;VLOOKUP(I$5,NFI,5,0),1,0)*Table_NFI[[#This Row],[NFI Core Kit]],Table_NFI[NFI Core Kit])</f>
        <v>8</v>
      </c>
      <c r="AA26" s="264">
        <f>IF(NFI_Expiration=1,IF($A26&lt;VLOOKUP(J$5,NFI,5,0),1,0)*Table_NFI[[#This Row],[Sanitary Kit]],Table_NFI[Sanitary Kit])</f>
        <v>0</v>
      </c>
      <c r="AB26" s="264">
        <f>IF(NFI_Expiration=1,IF($A26&lt;VLOOKUP(K$5,NFI,5,0),1,0)*Table_NFI[[#This Row],[Mosquito net]],Table_NFI[Mosquito net])</f>
        <v>16</v>
      </c>
      <c r="AC26" s="264">
        <f>IF(NFI_Expiration=1,IF($A26&lt;VLOOKUP(L$5,NFI,5,0),1,0)*Table_NFI[[#This Row],[Tarpaulin]],Table_NFI[[#This Row],[Tarpaulin]])</f>
        <v>0</v>
      </c>
      <c r="AD26" s="264">
        <f>IF(NFI_Expiration=1,IF($A26&lt;VLOOKUP(M$5,NFI,5,0),1,0)*Table_NFI[[#This Row],[Blanket]],Table_NFI[[#This Row],[Blanket]])</f>
        <v>16</v>
      </c>
      <c r="AE26" s="264">
        <f>IF(NFI_Expiration=1,IF($A26&lt;VLOOKUP(N$5,NFI,5,0),1,0)*Table_NFI[[#This Row],[Kitchen Set]],Table_NFI[Kitchen Set])</f>
        <v>0</v>
      </c>
      <c r="AF26" s="264">
        <f>IF(NFI_Expiration=1,IF($A26&lt;VLOOKUP(O$5,NFI,5,0),1,0)*Table_NFI[[#This Row],[Clothes Kit]],Table_NFI[Clothes Kit])</f>
        <v>0</v>
      </c>
      <c r="AG26" s="264">
        <f>IF(NFI_Expiration=1,IF($A26&lt;VLOOKUP(P$5,NFI,5,0),1,0)*Table_NFI[[#This Row],[Plastic Bucket]],Table_NFI[Plastic Bucket])</f>
        <v>0</v>
      </c>
      <c r="AH26" s="264">
        <f>IF(NFI_Expiration=1,IF($A26&lt;VLOOKUP(Q$5,NFI,5,0),1,0)*Table_NFI[[#This Row],[Plastic Mat]],Table_NFI[Plastic Mat])*IF(Table_NFI[[#This Row],[Distribution Date]]&gt;"2014-04-01",1,2.5)</f>
        <v>40</v>
      </c>
      <c r="AI26" s="264">
        <f>IF(NFI_Expiration=1,IF($A26&lt;VLOOKUP(R$5,NFI,5,0),1,0)*Table_NFI[[#This Row],[Winter Clothes Adult]],Table_NFI[Winter Clothes Adult])</f>
        <v>0</v>
      </c>
      <c r="AJ26" s="264">
        <f>IF(NFI_Expiration=1,IF($A26&lt;VLOOKUP(S$5,NFI,5,0),1,0)*Table_NFI[[#This Row],[Winter Clothes Children]],Table_NFI[Winter Clothes Children])</f>
        <v>0</v>
      </c>
      <c r="AK26" s="264">
        <f>IF(NFI_Expiration=1,IF($A26&lt;VLOOKUP(T$5,NFI,5,0),1,0)*Table_NFI[[#This Row],[Winter Items Other]],Table_NFI[Winter Items Other])</f>
        <v>0</v>
      </c>
      <c r="AL26" s="264">
        <f>IF(NFI_Expiration=1,IF($A26&lt;VLOOKUP(M$5,NFI,5,0),1,0)*Table_NFI[[#This Row],[Winter Blanket]],Table_NFI[[#This Row],[Winter Blanket]])</f>
        <v>0</v>
      </c>
      <c r="AM26" s="264">
        <f>IF(Table_NFI[[#This Row],[Winter Clothes Adult]]+Table_NFI[[#This Row],[Winter Clothes Children]]+Table_NFI[[#This Row],[Winter Items Other]]+Table_NFI[[#This Row],[Winter Blanket]]&gt;0,1,0)</f>
        <v>0</v>
      </c>
      <c r="AN26" s="296">
        <f>IF(NFI_Expiration=1,IF($A26&lt;VLOOKUP(V$5,NFI,5,0),1,0)*Table_NFI[[#This Row],[Jerry Can]],Table_NFI[Jerry Can])</f>
        <v>0</v>
      </c>
      <c r="AO26" s="296">
        <f>IF(NFI_Expiration=1,IF($A26&lt;VLOOKUP(V$5,NFI,5,0),1,0)*Table_NFI[[#This Row],[Shelter Tool kit]],Table_NFI[Shelter Tool kit])</f>
        <v>0</v>
      </c>
      <c r="AP26" s="296">
        <f>IF(NFI_Expiration=1,IF($A26&lt;VLOOKUP(V$5,NFI,5,0),1,0)*Table_NFI[[#This Row],[Tent]],Table_NFI[Tent])</f>
        <v>0</v>
      </c>
      <c r="AQ26" s="396" t="str">
        <f>IFERROR(VLOOKUP(Table_NFI[[#This Row],[Camp Name]],CL,2,0),"")</f>
        <v>MMR001CMP122</v>
      </c>
      <c r="AR26" s="711">
        <f ca="1">IF(Table_NFI[[#This Row],[Pcode]]="","",IF(OFFSET(CampList[Opening Date],MATCH(Table_NFI[[#This Row],[Pcode]],CampList[CP_Pcode],0)-1,0,1,1)&gt;=NFI_Monitor_Date,1,0))</f>
        <v>0</v>
      </c>
      <c r="AS26" s="396" t="str">
        <f>IFERROR(VLOOKUP(Table_NFI[[#This Row],[Camp Name]],CL,3,0),"")</f>
        <v>Open</v>
      </c>
      <c r="AT26" s="264" t="str">
        <f ca="1">IF(Table_NFI[[#This Row],[Pcode]]="","",OFFSET(CampList[Priority],MATCH(Table_NFI[[#This Row],[Pcode]],CampList[CP_Pcode],0)-1,0,1,1))</f>
        <v>P2</v>
      </c>
      <c r="AU26" s="263">
        <f>IFERROR(Table_NFI[[#This Row],[Kitchen Set]]/VLOOKUP(Table_NFI[[#This Row],[Camp Name]],CL,4,0),"")</f>
        <v>0</v>
      </c>
      <c r="AV26" s="394"/>
      <c r="AW26" s="397" t="s">
        <v>1559</v>
      </c>
      <c r="AX26" s="399"/>
      <c r="AY26" s="399"/>
      <c r="AZ26" s="399"/>
      <c r="BA26" s="399"/>
      <c r="BB26" s="399"/>
      <c r="BC26" s="399"/>
      <c r="BD26" s="399"/>
      <c r="BE26" s="399"/>
      <c r="BF26" s="399"/>
      <c r="BG26" s="399"/>
      <c r="BH26" s="399"/>
      <c r="BI26" s="399"/>
      <c r="BJ26" s="399"/>
      <c r="BK26" s="399"/>
      <c r="BL26" s="399"/>
      <c r="BM26" s="399"/>
      <c r="BN26" s="399"/>
      <c r="BO26" s="399"/>
      <c r="BP26" s="399"/>
      <c r="BQ26" s="399"/>
      <c r="BR26" s="399"/>
      <c r="BS26" s="399"/>
      <c r="BT26" s="399"/>
      <c r="BU26" s="399"/>
      <c r="BV26" s="399"/>
      <c r="BW26" s="399"/>
      <c r="BX26" s="399"/>
      <c r="BY26" s="399"/>
      <c r="BZ26" s="399"/>
      <c r="CA26" s="399"/>
      <c r="CB26" s="399"/>
      <c r="CC26" s="399"/>
      <c r="CD26" s="399"/>
      <c r="CE26" s="399"/>
      <c r="CF26" s="399"/>
      <c r="CG26" s="399"/>
      <c r="CH26" s="399"/>
      <c r="CI26" s="399"/>
      <c r="CJ26" s="399"/>
      <c r="CK26" s="399"/>
      <c r="CL26" s="399"/>
      <c r="CM26" s="399"/>
      <c r="CN26" s="399"/>
      <c r="CO26" s="399"/>
      <c r="CP26" s="399"/>
      <c r="CQ26" s="399"/>
      <c r="CR26" s="399"/>
      <c r="CS26" s="399"/>
      <c r="CT26" s="399"/>
      <c r="CU26" s="399"/>
      <c r="CV26" s="399"/>
      <c r="CW26" s="399"/>
      <c r="CX26" s="399"/>
      <c r="CY26" s="399"/>
      <c r="CZ26" s="399"/>
      <c r="DA26" s="399"/>
      <c r="DB26" s="399"/>
      <c r="DC26" s="399"/>
      <c r="DD26" s="399"/>
      <c r="DE26" s="399"/>
      <c r="DF26" s="399"/>
      <c r="DG26" s="399"/>
      <c r="DH26" s="399"/>
      <c r="DI26" s="399"/>
      <c r="DJ26" s="399"/>
      <c r="DK26" s="399"/>
      <c r="DL26" s="399"/>
      <c r="DM26" s="399"/>
      <c r="DN26" s="399"/>
      <c r="DO26" s="399"/>
      <c r="DP26" s="399"/>
      <c r="DQ26" s="399"/>
    </row>
    <row r="27" spans="1:121" s="393" customFormat="1" ht="16.5" customHeight="1" x14ac:dyDescent="0.25">
      <c r="A27" s="266">
        <f t="shared" si="0"/>
        <v>1.6</v>
      </c>
      <c r="B27" s="389">
        <v>42808</v>
      </c>
      <c r="C27" s="394" t="s">
        <v>904</v>
      </c>
      <c r="D27" s="394" t="s">
        <v>904</v>
      </c>
      <c r="E27" s="394" t="s">
        <v>380</v>
      </c>
      <c r="F27" s="394" t="s">
        <v>310</v>
      </c>
      <c r="G27" s="394" t="s">
        <v>196</v>
      </c>
      <c r="H27" s="261"/>
      <c r="I27" s="261">
        <v>6</v>
      </c>
      <c r="J27" s="261"/>
      <c r="K27" s="261">
        <v>12</v>
      </c>
      <c r="L27" s="261"/>
      <c r="M27" s="261">
        <v>12</v>
      </c>
      <c r="N27" s="261"/>
      <c r="O27" s="261"/>
      <c r="P27" s="261"/>
      <c r="Q27" s="261">
        <v>12</v>
      </c>
      <c r="R27" s="261"/>
      <c r="S27" s="261"/>
      <c r="T27" s="261"/>
      <c r="U27" s="261"/>
      <c r="V27" s="762"/>
      <c r="W27" s="261"/>
      <c r="X27" s="261"/>
      <c r="Y27" s="264">
        <f>IF(NFI_Expiration=1,IF($A27&lt;VLOOKUP(H$5,NFI,5,0),1,0)*Table_NFI[[#This Row],[Hygiene Kit]],Table_NFI[Hygiene Kit])</f>
        <v>0</v>
      </c>
      <c r="Z27" s="264">
        <f>IF(NFI_Expiration=1,IF($A27&lt;VLOOKUP(I$5,NFI,5,0),1,0)*Table_NFI[[#This Row],[NFI Core Kit]],Table_NFI[NFI Core Kit])</f>
        <v>6</v>
      </c>
      <c r="AA27" s="264">
        <f>IF(NFI_Expiration=1,IF($A27&lt;VLOOKUP(J$5,NFI,5,0),1,0)*Table_NFI[[#This Row],[Sanitary Kit]],Table_NFI[Sanitary Kit])</f>
        <v>0</v>
      </c>
      <c r="AB27" s="264">
        <f>IF(NFI_Expiration=1,IF($A27&lt;VLOOKUP(K$5,NFI,5,0),1,0)*Table_NFI[[#This Row],[Mosquito net]],Table_NFI[Mosquito net])</f>
        <v>12</v>
      </c>
      <c r="AC27" s="264">
        <f>IF(NFI_Expiration=1,IF($A27&lt;VLOOKUP(L$5,NFI,5,0),1,0)*Table_NFI[[#This Row],[Tarpaulin]],Table_NFI[[#This Row],[Tarpaulin]])</f>
        <v>0</v>
      </c>
      <c r="AD27" s="264">
        <f>IF(NFI_Expiration=1,IF($A27&lt;VLOOKUP(M$5,NFI,5,0),1,0)*Table_NFI[[#This Row],[Blanket]],Table_NFI[[#This Row],[Blanket]])</f>
        <v>12</v>
      </c>
      <c r="AE27" s="264">
        <f>IF(NFI_Expiration=1,IF($A27&lt;VLOOKUP(N$5,NFI,5,0),1,0)*Table_NFI[[#This Row],[Kitchen Set]],Table_NFI[Kitchen Set])</f>
        <v>0</v>
      </c>
      <c r="AF27" s="264">
        <f>IF(NFI_Expiration=1,IF($A27&lt;VLOOKUP(O$5,NFI,5,0),1,0)*Table_NFI[[#This Row],[Clothes Kit]],Table_NFI[Clothes Kit])</f>
        <v>0</v>
      </c>
      <c r="AG27" s="264">
        <f>IF(NFI_Expiration=1,IF($A27&lt;VLOOKUP(P$5,NFI,5,0),1,0)*Table_NFI[[#This Row],[Plastic Bucket]],Table_NFI[Plastic Bucket])</f>
        <v>0</v>
      </c>
      <c r="AH27" s="264">
        <f>IF(NFI_Expiration=1,IF($A27&lt;VLOOKUP(Q$5,NFI,5,0),1,0)*Table_NFI[[#This Row],[Plastic Mat]],Table_NFI[Plastic Mat])*IF(Table_NFI[[#This Row],[Distribution Date]]&gt;"2014-04-01",1,2.5)</f>
        <v>30</v>
      </c>
      <c r="AI27" s="264">
        <f>IF(NFI_Expiration=1,IF($A27&lt;VLOOKUP(R$5,NFI,5,0),1,0)*Table_NFI[[#This Row],[Winter Clothes Adult]],Table_NFI[Winter Clothes Adult])</f>
        <v>0</v>
      </c>
      <c r="AJ27" s="264">
        <f>IF(NFI_Expiration=1,IF($A27&lt;VLOOKUP(S$5,NFI,5,0),1,0)*Table_NFI[[#This Row],[Winter Clothes Children]],Table_NFI[Winter Clothes Children])</f>
        <v>0</v>
      </c>
      <c r="AK27" s="264">
        <f>IF(NFI_Expiration=1,IF($A27&lt;VLOOKUP(T$5,NFI,5,0),1,0)*Table_NFI[[#This Row],[Winter Items Other]],Table_NFI[Winter Items Other])</f>
        <v>0</v>
      </c>
      <c r="AL27" s="264">
        <f>IF(NFI_Expiration=1,IF($A27&lt;VLOOKUP(M$5,NFI,5,0),1,0)*Table_NFI[[#This Row],[Winter Blanket]],Table_NFI[[#This Row],[Winter Blanket]])</f>
        <v>0</v>
      </c>
      <c r="AM27" s="264">
        <f>IF(Table_NFI[[#This Row],[Winter Clothes Adult]]+Table_NFI[[#This Row],[Winter Clothes Children]]+Table_NFI[[#This Row],[Winter Items Other]]+Table_NFI[[#This Row],[Winter Blanket]]&gt;0,1,0)</f>
        <v>0</v>
      </c>
      <c r="AN27" s="296">
        <f>IF(NFI_Expiration=1,IF($A27&lt;VLOOKUP(V$5,NFI,5,0),1,0)*Table_NFI[[#This Row],[Jerry Can]],Table_NFI[Jerry Can])</f>
        <v>0</v>
      </c>
      <c r="AO27" s="296">
        <f>IF(NFI_Expiration=1,IF($A27&lt;VLOOKUP(V$5,NFI,5,0),1,0)*Table_NFI[[#This Row],[Shelter Tool kit]],Table_NFI[Shelter Tool kit])</f>
        <v>0</v>
      </c>
      <c r="AP27" s="296">
        <f>IF(NFI_Expiration=1,IF($A27&lt;VLOOKUP(V$5,NFI,5,0),1,0)*Table_NFI[[#This Row],[Tent]],Table_NFI[Tent])</f>
        <v>0</v>
      </c>
      <c r="AQ27" s="396" t="str">
        <f>IFERROR(VLOOKUP(Table_NFI[[#This Row],[Camp Name]],CL,2,0),"")</f>
        <v>MMR001CMP121</v>
      </c>
      <c r="AR27" s="711">
        <f ca="1">IF(Table_NFI[[#This Row],[Pcode]]="","",IF(OFFSET(CampList[Opening Date],MATCH(Table_NFI[[#This Row],[Pcode]],CampList[CP_Pcode],0)-1,0,1,1)&gt;=NFI_Monitor_Date,1,0))</f>
        <v>0</v>
      </c>
      <c r="AS27" s="396" t="str">
        <f>IFERROR(VLOOKUP(Table_NFI[[#This Row],[Camp Name]],CL,3,0),"")</f>
        <v>Open</v>
      </c>
      <c r="AT27" s="264" t="str">
        <f ca="1">IF(Table_NFI[[#This Row],[Pcode]]="","",OFFSET(CampList[Priority],MATCH(Table_NFI[[#This Row],[Pcode]],CampList[CP_Pcode],0)-1,0,1,1))</f>
        <v>P2</v>
      </c>
      <c r="AU27" s="263">
        <f>IFERROR(Table_NFI[[#This Row],[Kitchen Set]]/VLOOKUP(Table_NFI[[#This Row],[Camp Name]],CL,4,0),"")</f>
        <v>0</v>
      </c>
      <c r="AV27" s="394"/>
      <c r="AW27" s="397" t="s">
        <v>1559</v>
      </c>
      <c r="AX27" s="399"/>
      <c r="AY27" s="399"/>
      <c r="AZ27" s="399"/>
      <c r="BA27" s="399"/>
      <c r="BB27" s="399"/>
      <c r="BC27" s="399"/>
      <c r="BD27" s="399"/>
      <c r="BE27" s="399"/>
      <c r="BF27" s="399"/>
      <c r="BG27" s="399"/>
      <c r="BH27" s="399"/>
      <c r="BI27" s="399"/>
      <c r="BJ27" s="399"/>
      <c r="BK27" s="399"/>
      <c r="BL27" s="399"/>
      <c r="BM27" s="399"/>
      <c r="BN27" s="399"/>
      <c r="BO27" s="399"/>
      <c r="BP27" s="399"/>
      <c r="BQ27" s="399"/>
      <c r="BR27" s="399"/>
      <c r="BS27" s="399"/>
      <c r="BT27" s="399"/>
      <c r="BU27" s="399"/>
      <c r="BV27" s="399"/>
      <c r="BW27" s="399"/>
      <c r="BX27" s="399"/>
      <c r="BY27" s="399"/>
      <c r="BZ27" s="399"/>
      <c r="CA27" s="399"/>
      <c r="CB27" s="399"/>
      <c r="CC27" s="399"/>
      <c r="CD27" s="399"/>
      <c r="CE27" s="399"/>
      <c r="CF27" s="399"/>
      <c r="CG27" s="399"/>
      <c r="CH27" s="399"/>
      <c r="CI27" s="399"/>
      <c r="CJ27" s="399"/>
      <c r="CK27" s="399"/>
      <c r="CL27" s="399"/>
      <c r="CM27" s="399"/>
      <c r="CN27" s="399"/>
      <c r="CO27" s="399"/>
      <c r="CP27" s="399"/>
      <c r="CQ27" s="399"/>
      <c r="CR27" s="399"/>
      <c r="CS27" s="399"/>
      <c r="CT27" s="399"/>
      <c r="CU27" s="399"/>
      <c r="CV27" s="399"/>
      <c r="CW27" s="399"/>
      <c r="CX27" s="399"/>
      <c r="CY27" s="399"/>
      <c r="CZ27" s="399"/>
      <c r="DA27" s="399"/>
      <c r="DB27" s="399"/>
      <c r="DC27" s="399"/>
      <c r="DD27" s="399"/>
      <c r="DE27" s="399"/>
      <c r="DF27" s="399"/>
      <c r="DG27" s="399"/>
      <c r="DH27" s="399"/>
      <c r="DI27" s="399"/>
      <c r="DJ27" s="399"/>
      <c r="DK27" s="399"/>
      <c r="DL27" s="399"/>
      <c r="DM27" s="399"/>
      <c r="DN27" s="399"/>
      <c r="DO27" s="399"/>
      <c r="DP27" s="399"/>
      <c r="DQ27" s="399"/>
    </row>
    <row r="28" spans="1:121" s="760" customFormat="1" ht="14.45" customHeight="1" x14ac:dyDescent="0.25">
      <c r="A28" s="266">
        <f t="shared" si="0"/>
        <v>2.0333333333333332</v>
      </c>
      <c r="B28" s="389">
        <v>42795</v>
      </c>
      <c r="C28" s="394" t="s">
        <v>904</v>
      </c>
      <c r="D28" s="394" t="s">
        <v>904</v>
      </c>
      <c r="E28" s="394" t="s">
        <v>380</v>
      </c>
      <c r="F28" s="394" t="s">
        <v>310</v>
      </c>
      <c r="G28" s="394" t="s">
        <v>1556</v>
      </c>
      <c r="H28" s="261">
        <v>55</v>
      </c>
      <c r="I28" s="261"/>
      <c r="J28" s="261">
        <v>495</v>
      </c>
      <c r="K28" s="261"/>
      <c r="L28" s="261"/>
      <c r="M28" s="261"/>
      <c r="N28" s="261"/>
      <c r="O28" s="261"/>
      <c r="P28" s="261">
        <v>55</v>
      </c>
      <c r="Q28" s="261"/>
      <c r="R28" s="261"/>
      <c r="S28" s="261"/>
      <c r="T28" s="261"/>
      <c r="U28" s="261"/>
      <c r="V28" s="762">
        <v>55</v>
      </c>
      <c r="W28" s="261"/>
      <c r="X28" s="261"/>
      <c r="Y28" s="264">
        <f>IF(NFI_Expiration=1,IF($A28&lt;VLOOKUP(H$5,NFI,5,0),1,0)*Table_NFI[[#This Row],[Hygiene Kit]],Table_NFI[Hygiene Kit])</f>
        <v>55</v>
      </c>
      <c r="Z28" s="264">
        <f>IF(NFI_Expiration=1,IF($A28&lt;VLOOKUP(I$5,NFI,5,0),1,0)*Table_NFI[[#This Row],[NFI Core Kit]],Table_NFI[NFI Core Kit])</f>
        <v>0</v>
      </c>
      <c r="AA28" s="264">
        <f>IF(NFI_Expiration=1,IF($A28&lt;VLOOKUP(J$5,NFI,5,0),1,0)*Table_NFI[[#This Row],[Sanitary Kit]],Table_NFI[Sanitary Kit])</f>
        <v>495</v>
      </c>
      <c r="AB28" s="264">
        <f>IF(NFI_Expiration=1,IF($A28&lt;VLOOKUP(K$5,NFI,5,0),1,0)*Table_NFI[[#This Row],[Mosquito net]],Table_NFI[Mosquito net])</f>
        <v>0</v>
      </c>
      <c r="AC28" s="264">
        <f>IF(NFI_Expiration=1,IF($A28&lt;VLOOKUP(L$5,NFI,5,0),1,0)*Table_NFI[[#This Row],[Tarpaulin]],Table_NFI[[#This Row],[Tarpaulin]])</f>
        <v>0</v>
      </c>
      <c r="AD28" s="264">
        <f>IF(NFI_Expiration=1,IF($A28&lt;VLOOKUP(M$5,NFI,5,0),1,0)*Table_NFI[[#This Row],[Blanket]],Table_NFI[[#This Row],[Blanket]])</f>
        <v>0</v>
      </c>
      <c r="AE28" s="264">
        <f>IF(NFI_Expiration=1,IF($A28&lt;VLOOKUP(N$5,NFI,5,0),1,0)*Table_NFI[[#This Row],[Kitchen Set]],Table_NFI[Kitchen Set])</f>
        <v>0</v>
      </c>
      <c r="AF28" s="264">
        <f>IF(NFI_Expiration=1,IF($A28&lt;VLOOKUP(O$5,NFI,5,0),1,0)*Table_NFI[[#This Row],[Clothes Kit]],Table_NFI[Clothes Kit])</f>
        <v>0</v>
      </c>
      <c r="AG28" s="264">
        <f>IF(NFI_Expiration=1,IF($A28&lt;VLOOKUP(P$5,NFI,5,0),1,0)*Table_NFI[[#This Row],[Plastic Bucket]],Table_NFI[Plastic Bucket])</f>
        <v>55</v>
      </c>
      <c r="AH28" s="264">
        <f>IF(NFI_Expiration=1,IF($A28&lt;VLOOKUP(Q$5,NFI,5,0),1,0)*Table_NFI[[#This Row],[Plastic Mat]],Table_NFI[Plastic Mat])*IF(Table_NFI[[#This Row],[Distribution Date]]&gt;"2014-04-01",1,2.5)</f>
        <v>0</v>
      </c>
      <c r="AI28" s="264">
        <f>IF(NFI_Expiration=1,IF($A28&lt;VLOOKUP(R$5,NFI,5,0),1,0)*Table_NFI[[#This Row],[Winter Clothes Adult]],Table_NFI[Winter Clothes Adult])</f>
        <v>0</v>
      </c>
      <c r="AJ28" s="264">
        <f>IF(NFI_Expiration=1,IF($A28&lt;VLOOKUP(S$5,NFI,5,0),1,0)*Table_NFI[[#This Row],[Winter Clothes Children]],Table_NFI[Winter Clothes Children])</f>
        <v>0</v>
      </c>
      <c r="AK28" s="264">
        <f>IF(NFI_Expiration=1,IF($A28&lt;VLOOKUP(T$5,NFI,5,0),1,0)*Table_NFI[[#This Row],[Winter Items Other]],Table_NFI[Winter Items Other])</f>
        <v>0</v>
      </c>
      <c r="AL28" s="264">
        <f>IF(NFI_Expiration=1,IF($A28&lt;VLOOKUP(M$5,NFI,5,0),1,0)*Table_NFI[[#This Row],[Winter Blanket]],Table_NFI[[#This Row],[Winter Blanket]])</f>
        <v>0</v>
      </c>
      <c r="AM28" s="264">
        <f>IF(Table_NFI[[#This Row],[Winter Clothes Adult]]+Table_NFI[[#This Row],[Winter Clothes Children]]+Table_NFI[[#This Row],[Winter Items Other]]+Table_NFI[[#This Row],[Winter Blanket]]&gt;0,1,0)</f>
        <v>0</v>
      </c>
      <c r="AN28" s="296">
        <f>IF(NFI_Expiration=1,IF($A28&lt;VLOOKUP(V$5,NFI,5,0),1,0)*Table_NFI[[#This Row],[Jerry Can]],Table_NFI[Jerry Can])</f>
        <v>55</v>
      </c>
      <c r="AO28" s="296">
        <f>IF(NFI_Expiration=1,IF($A28&lt;VLOOKUP(V$5,NFI,5,0),1,0)*Table_NFI[[#This Row],[Shelter Tool kit]],Table_NFI[Shelter Tool kit])</f>
        <v>0</v>
      </c>
      <c r="AP28" s="296">
        <f>IF(NFI_Expiration=1,IF($A28&lt;VLOOKUP(V$5,NFI,5,0),1,0)*Table_NFI[[#This Row],[Tent]],Table_NFI[Tent])</f>
        <v>0</v>
      </c>
      <c r="AQ28" s="396" t="str">
        <f>IFERROR(VLOOKUP(Table_NFI[[#This Row],[Camp Name]],CL,2,0),"")</f>
        <v>MMR001CMP248</v>
      </c>
      <c r="AR28" s="711">
        <f ca="1">IF(Table_NFI[[#This Row],[Pcode]]="","",IF(OFFSET(CampList[Opening Date],MATCH(Table_NFI[[#This Row],[Pcode]],CampList[CP_Pcode],0)-1,0,1,1)&gt;=NFI_Monitor_Date,1,0))</f>
        <v>0</v>
      </c>
      <c r="AS28" s="396" t="str">
        <f>IFERROR(VLOOKUP(Table_NFI[[#This Row],[Camp Name]],CL,3,0),"")</f>
        <v>Open</v>
      </c>
      <c r="AT28" s="264">
        <f ca="1">IF(Table_NFI[[#This Row],[Pcode]]="","",OFFSET(CampList[Priority],MATCH(Table_NFI[[#This Row],[Pcode]],CampList[CP_Pcode],0)-1,0,1,1))</f>
        <v>0</v>
      </c>
      <c r="AU28" s="263" t="str">
        <f>IFERROR(Table_NFI[[#This Row],[Kitchen Set]]/VLOOKUP(Table_NFI[[#This Row],[Camp Name]],CL,4,0),"")</f>
        <v/>
      </c>
      <c r="AV28" s="394"/>
      <c r="AW28" s="397" t="s">
        <v>1559</v>
      </c>
      <c r="AX28" s="399"/>
      <c r="AY28" s="399"/>
      <c r="AZ28" s="399"/>
      <c r="BA28" s="399"/>
      <c r="BB28" s="399"/>
      <c r="BC28" s="399"/>
      <c r="BD28" s="399"/>
      <c r="BE28" s="399"/>
      <c r="BF28" s="399"/>
      <c r="BG28" s="399"/>
      <c r="BH28" s="399"/>
      <c r="BI28" s="399"/>
      <c r="BJ28" s="399"/>
      <c r="BK28" s="399"/>
      <c r="BL28" s="399"/>
      <c r="BM28" s="399"/>
      <c r="BN28" s="399"/>
      <c r="BO28" s="399"/>
      <c r="BP28" s="399"/>
      <c r="BQ28" s="399"/>
      <c r="BR28" s="399"/>
      <c r="BS28" s="399"/>
      <c r="BT28" s="399"/>
      <c r="BU28" s="399"/>
      <c r="BV28" s="399"/>
      <c r="BW28" s="399"/>
      <c r="BX28" s="399"/>
      <c r="BY28" s="399"/>
      <c r="BZ28" s="399"/>
      <c r="CA28" s="399"/>
      <c r="CB28" s="399"/>
      <c r="CC28" s="399"/>
      <c r="CD28" s="399"/>
      <c r="CE28" s="399"/>
      <c r="CF28" s="399"/>
      <c r="CG28" s="399"/>
      <c r="CH28" s="399"/>
      <c r="CI28" s="399"/>
      <c r="CJ28" s="399"/>
      <c r="CK28" s="399"/>
      <c r="CL28" s="399"/>
      <c r="CM28" s="399"/>
      <c r="CN28" s="399"/>
      <c r="CO28" s="399"/>
      <c r="CP28" s="399"/>
      <c r="CQ28" s="399"/>
      <c r="CR28" s="399"/>
      <c r="CS28" s="399"/>
      <c r="CT28" s="399"/>
      <c r="CU28" s="399"/>
      <c r="CV28" s="399"/>
      <c r="CW28" s="399"/>
      <c r="CX28" s="399"/>
      <c r="CY28" s="399"/>
      <c r="CZ28" s="399"/>
      <c r="DA28" s="399"/>
      <c r="DB28" s="399"/>
      <c r="DC28" s="399"/>
      <c r="DD28" s="399"/>
      <c r="DE28" s="399"/>
      <c r="DF28" s="399"/>
      <c r="DG28" s="399"/>
      <c r="DH28" s="399"/>
      <c r="DI28" s="399"/>
      <c r="DJ28" s="399"/>
      <c r="DK28" s="399"/>
      <c r="DL28" s="399"/>
      <c r="DM28" s="399"/>
      <c r="DN28" s="399"/>
      <c r="DO28" s="399"/>
      <c r="DP28" s="399"/>
      <c r="DQ28" s="399"/>
    </row>
    <row r="29" spans="1:121" s="760" customFormat="1" ht="15" customHeight="1" x14ac:dyDescent="0.25">
      <c r="A29" s="266">
        <f t="shared" si="0"/>
        <v>2.0333333333333332</v>
      </c>
      <c r="B29" s="389">
        <v>42795</v>
      </c>
      <c r="C29" s="394" t="s">
        <v>904</v>
      </c>
      <c r="D29" s="394" t="s">
        <v>904</v>
      </c>
      <c r="E29" s="394" t="s">
        <v>380</v>
      </c>
      <c r="F29" s="394" t="s">
        <v>310</v>
      </c>
      <c r="G29" s="394" t="s">
        <v>1561</v>
      </c>
      <c r="H29" s="261">
        <v>91</v>
      </c>
      <c r="I29" s="261">
        <v>92</v>
      </c>
      <c r="J29" s="261">
        <v>546</v>
      </c>
      <c r="K29" s="261">
        <v>184</v>
      </c>
      <c r="L29" s="261">
        <v>170</v>
      </c>
      <c r="M29" s="261">
        <v>184</v>
      </c>
      <c r="N29" s="261"/>
      <c r="O29" s="261"/>
      <c r="P29" s="261">
        <v>91</v>
      </c>
      <c r="Q29" s="261">
        <v>184</v>
      </c>
      <c r="R29" s="261"/>
      <c r="S29" s="261"/>
      <c r="T29" s="261"/>
      <c r="U29" s="261"/>
      <c r="V29" s="762">
        <v>91</v>
      </c>
      <c r="W29" s="261">
        <v>85</v>
      </c>
      <c r="X29" s="261"/>
      <c r="Y29" s="264">
        <f>IF(NFI_Expiration=1,IF($A29&lt;VLOOKUP(H$5,NFI,5,0),1,0)*Table_NFI[[#This Row],[Hygiene Kit]],Table_NFI[Hygiene Kit])</f>
        <v>91</v>
      </c>
      <c r="Z29" s="264">
        <f>IF(NFI_Expiration=1,IF($A29&lt;VLOOKUP(I$5,NFI,5,0),1,0)*Table_NFI[[#This Row],[NFI Core Kit]],Table_NFI[NFI Core Kit])</f>
        <v>92</v>
      </c>
      <c r="AA29" s="264">
        <f>IF(NFI_Expiration=1,IF($A29&lt;VLOOKUP(J$5,NFI,5,0),1,0)*Table_NFI[[#This Row],[Sanitary Kit]],Table_NFI[Sanitary Kit])</f>
        <v>546</v>
      </c>
      <c r="AB29" s="264">
        <f>IF(NFI_Expiration=1,IF($A29&lt;VLOOKUP(K$5,NFI,5,0),1,0)*Table_NFI[[#This Row],[Mosquito net]],Table_NFI[Mosquito net])</f>
        <v>184</v>
      </c>
      <c r="AC29" s="264">
        <f>IF(NFI_Expiration=1,IF($A29&lt;VLOOKUP(L$5,NFI,5,0),1,0)*Table_NFI[[#This Row],[Tarpaulin]],Table_NFI[[#This Row],[Tarpaulin]])</f>
        <v>170</v>
      </c>
      <c r="AD29" s="264">
        <f>IF(NFI_Expiration=1,IF($A29&lt;VLOOKUP(M$5,NFI,5,0),1,0)*Table_NFI[[#This Row],[Blanket]],Table_NFI[[#This Row],[Blanket]])</f>
        <v>184</v>
      </c>
      <c r="AE29" s="264">
        <f>IF(NFI_Expiration=1,IF($A29&lt;VLOOKUP(N$5,NFI,5,0),1,0)*Table_NFI[[#This Row],[Kitchen Set]],Table_NFI[Kitchen Set])</f>
        <v>0</v>
      </c>
      <c r="AF29" s="264">
        <f>IF(NFI_Expiration=1,IF($A29&lt;VLOOKUP(O$5,NFI,5,0),1,0)*Table_NFI[[#This Row],[Clothes Kit]],Table_NFI[Clothes Kit])</f>
        <v>0</v>
      </c>
      <c r="AG29" s="264">
        <f>IF(NFI_Expiration=1,IF($A29&lt;VLOOKUP(P$5,NFI,5,0),1,0)*Table_NFI[[#This Row],[Plastic Bucket]],Table_NFI[Plastic Bucket])</f>
        <v>91</v>
      </c>
      <c r="AH29" s="264">
        <f>IF(NFI_Expiration=1,IF($A29&lt;VLOOKUP(Q$5,NFI,5,0),1,0)*Table_NFI[[#This Row],[Plastic Mat]],Table_NFI[Plastic Mat])*IF(Table_NFI[[#This Row],[Distribution Date]]&gt;"2014-04-01",1,2.5)</f>
        <v>460</v>
      </c>
      <c r="AI29" s="264">
        <f>IF(NFI_Expiration=1,IF($A29&lt;VLOOKUP(R$5,NFI,5,0),1,0)*Table_NFI[[#This Row],[Winter Clothes Adult]],Table_NFI[Winter Clothes Adult])</f>
        <v>0</v>
      </c>
      <c r="AJ29" s="264">
        <f>IF(NFI_Expiration=1,IF($A29&lt;VLOOKUP(S$5,NFI,5,0),1,0)*Table_NFI[[#This Row],[Winter Clothes Children]],Table_NFI[Winter Clothes Children])</f>
        <v>0</v>
      </c>
      <c r="AK29" s="264">
        <f>IF(NFI_Expiration=1,IF($A29&lt;VLOOKUP(T$5,NFI,5,0),1,0)*Table_NFI[[#This Row],[Winter Items Other]],Table_NFI[Winter Items Other])</f>
        <v>0</v>
      </c>
      <c r="AL29" s="264">
        <f>IF(NFI_Expiration=1,IF($A29&lt;VLOOKUP(M$5,NFI,5,0),1,0)*Table_NFI[[#This Row],[Winter Blanket]],Table_NFI[[#This Row],[Winter Blanket]])</f>
        <v>0</v>
      </c>
      <c r="AM29" s="264">
        <f>IF(Table_NFI[[#This Row],[Winter Clothes Adult]]+Table_NFI[[#This Row],[Winter Clothes Children]]+Table_NFI[[#This Row],[Winter Items Other]]+Table_NFI[[#This Row],[Winter Blanket]]&gt;0,1,0)</f>
        <v>0</v>
      </c>
      <c r="AN29" s="296">
        <f>IF(NFI_Expiration=1,IF($A29&lt;VLOOKUP(V$5,NFI,5,0),1,0)*Table_NFI[[#This Row],[Jerry Can]],Table_NFI[Jerry Can])</f>
        <v>91</v>
      </c>
      <c r="AO29" s="296">
        <f>IF(NFI_Expiration=1,IF($A29&lt;VLOOKUP(V$5,NFI,5,0),1,0)*Table_NFI[[#This Row],[Shelter Tool kit]],Table_NFI[Shelter Tool kit])</f>
        <v>85</v>
      </c>
      <c r="AP29" s="296">
        <f>IF(NFI_Expiration=1,IF($A29&lt;VLOOKUP(V$5,NFI,5,0),1,0)*Table_NFI[[#This Row],[Tent]],Table_NFI[Tent])</f>
        <v>0</v>
      </c>
      <c r="AQ29" s="396" t="str">
        <f>IFERROR(VLOOKUP(Table_NFI[[#This Row],[Camp Name]],CL,2,0),"")</f>
        <v/>
      </c>
      <c r="AR29" s="711" t="str">
        <f ca="1">IF(Table_NFI[[#This Row],[Pcode]]="","",IF(OFFSET(CampList[Opening Date],MATCH(Table_NFI[[#This Row],[Pcode]],CampList[CP_Pcode],0)-1,0,1,1)&gt;=NFI_Monitor_Date,1,0))</f>
        <v/>
      </c>
      <c r="AS29" s="396" t="str">
        <f>IFERROR(VLOOKUP(Table_NFI[[#This Row],[Camp Name]],CL,3,0),"")</f>
        <v/>
      </c>
      <c r="AT29" s="264" t="str">
        <f ca="1">IF(Table_NFI[[#This Row],[Pcode]]="","",OFFSET(CampList[Priority],MATCH(Table_NFI[[#This Row],[Pcode]],CampList[CP_Pcode],0)-1,0,1,1))</f>
        <v/>
      </c>
      <c r="AU29" s="263" t="str">
        <f>IFERROR(Table_NFI[[#This Row],[Kitchen Set]]/VLOOKUP(Table_NFI[[#This Row],[Camp Name]],CL,4,0),"")</f>
        <v/>
      </c>
      <c r="AV29" s="394"/>
      <c r="AW29" s="397" t="s">
        <v>1564</v>
      </c>
      <c r="AX29" s="399"/>
      <c r="AY29" s="399"/>
      <c r="AZ29" s="399"/>
      <c r="BA29" s="399"/>
      <c r="BB29" s="399"/>
      <c r="BC29" s="399"/>
      <c r="BD29" s="399"/>
      <c r="BE29" s="399"/>
      <c r="BF29" s="399"/>
      <c r="BG29" s="399"/>
      <c r="BH29" s="399"/>
      <c r="BI29" s="399"/>
      <c r="BJ29" s="399"/>
      <c r="BK29" s="399"/>
      <c r="BL29" s="399"/>
      <c r="BM29" s="399"/>
      <c r="BN29" s="399"/>
      <c r="BO29" s="399"/>
      <c r="BP29" s="399"/>
      <c r="BQ29" s="399"/>
      <c r="BR29" s="399"/>
      <c r="BS29" s="399"/>
      <c r="BT29" s="399"/>
      <c r="BU29" s="399"/>
      <c r="BV29" s="399"/>
      <c r="BW29" s="399"/>
      <c r="BX29" s="399"/>
      <c r="BY29" s="399"/>
      <c r="BZ29" s="399"/>
      <c r="CA29" s="399"/>
      <c r="CB29" s="399"/>
      <c r="CC29" s="399"/>
      <c r="CD29" s="399"/>
      <c r="CE29" s="399"/>
      <c r="CF29" s="399"/>
      <c r="CG29" s="399"/>
      <c r="CH29" s="399"/>
      <c r="CI29" s="399"/>
      <c r="CJ29" s="399"/>
      <c r="CK29" s="399"/>
      <c r="CL29" s="399"/>
      <c r="CM29" s="399"/>
      <c r="CN29" s="399"/>
      <c r="CO29" s="399"/>
      <c r="CP29" s="399"/>
      <c r="CQ29" s="399"/>
      <c r="CR29" s="399"/>
      <c r="CS29" s="399"/>
      <c r="CT29" s="399"/>
      <c r="CU29" s="399"/>
      <c r="CV29" s="399"/>
      <c r="CW29" s="399"/>
      <c r="CX29" s="399"/>
      <c r="CY29" s="399"/>
      <c r="CZ29" s="399"/>
      <c r="DA29" s="399"/>
      <c r="DB29" s="399"/>
      <c r="DC29" s="399"/>
      <c r="DD29" s="399"/>
      <c r="DE29" s="399"/>
      <c r="DF29" s="399"/>
      <c r="DG29" s="399"/>
      <c r="DH29" s="399"/>
      <c r="DI29" s="399"/>
      <c r="DJ29" s="399"/>
      <c r="DK29" s="399"/>
      <c r="DL29" s="399"/>
      <c r="DM29" s="399"/>
      <c r="DN29" s="399"/>
      <c r="DO29" s="399"/>
      <c r="DP29" s="399"/>
      <c r="DQ29" s="399"/>
    </row>
    <row r="30" spans="1:121" s="760" customFormat="1" ht="15" customHeight="1" x14ac:dyDescent="0.25">
      <c r="A30" s="266">
        <f t="shared" si="0"/>
        <v>2.4666666666666668</v>
      </c>
      <c r="B30" s="389">
        <v>42782</v>
      </c>
      <c r="C30" s="394" t="s">
        <v>451</v>
      </c>
      <c r="D30" s="394" t="s">
        <v>459</v>
      </c>
      <c r="E30" s="394" t="s">
        <v>380</v>
      </c>
      <c r="F30" s="394" t="s">
        <v>526</v>
      </c>
      <c r="G30" s="394" t="s">
        <v>1432</v>
      </c>
      <c r="H30" s="261"/>
      <c r="I30" s="261"/>
      <c r="J30" s="261"/>
      <c r="K30" s="261"/>
      <c r="L30" s="261"/>
      <c r="M30" s="261"/>
      <c r="N30" s="261"/>
      <c r="O30" s="261"/>
      <c r="P30" s="261"/>
      <c r="Q30" s="261"/>
      <c r="R30" s="261">
        <v>62</v>
      </c>
      <c r="S30" s="261">
        <v>33</v>
      </c>
      <c r="T30" s="261"/>
      <c r="U30" s="261"/>
      <c r="V30" s="762"/>
      <c r="W30" s="261"/>
      <c r="X30" s="261"/>
      <c r="Y30" s="264">
        <f>IF(NFI_Expiration=1,IF($A30&lt;VLOOKUP(H$5,NFI,5,0),1,0)*Table_NFI[[#This Row],[Hygiene Kit]],Table_NFI[Hygiene Kit])</f>
        <v>0</v>
      </c>
      <c r="Z30" s="264">
        <f>IF(NFI_Expiration=1,IF($A30&lt;VLOOKUP(I$5,NFI,5,0),1,0)*Table_NFI[[#This Row],[NFI Core Kit]],Table_NFI[NFI Core Kit])</f>
        <v>0</v>
      </c>
      <c r="AA30" s="264">
        <f>IF(NFI_Expiration=1,IF($A30&lt;VLOOKUP(J$5,NFI,5,0),1,0)*Table_NFI[[#This Row],[Sanitary Kit]],Table_NFI[Sanitary Kit])</f>
        <v>0</v>
      </c>
      <c r="AB30" s="264">
        <f>IF(NFI_Expiration=1,IF($A30&lt;VLOOKUP(K$5,NFI,5,0),1,0)*Table_NFI[[#This Row],[Mosquito net]],Table_NFI[Mosquito net])</f>
        <v>0</v>
      </c>
      <c r="AC30" s="264">
        <f>IF(NFI_Expiration=1,IF($A30&lt;VLOOKUP(L$5,NFI,5,0),1,0)*Table_NFI[[#This Row],[Tarpaulin]],Table_NFI[[#This Row],[Tarpaulin]])</f>
        <v>0</v>
      </c>
      <c r="AD30" s="264">
        <f>IF(NFI_Expiration=1,IF($A30&lt;VLOOKUP(M$5,NFI,5,0),1,0)*Table_NFI[[#This Row],[Blanket]],Table_NFI[[#This Row],[Blanket]])</f>
        <v>0</v>
      </c>
      <c r="AE30" s="264">
        <f>IF(NFI_Expiration=1,IF($A30&lt;VLOOKUP(N$5,NFI,5,0),1,0)*Table_NFI[[#This Row],[Kitchen Set]],Table_NFI[Kitchen Set])</f>
        <v>0</v>
      </c>
      <c r="AF30" s="264">
        <f>IF(NFI_Expiration=1,IF($A30&lt;VLOOKUP(O$5,NFI,5,0),1,0)*Table_NFI[[#This Row],[Clothes Kit]],Table_NFI[Clothes Kit])</f>
        <v>0</v>
      </c>
      <c r="AG30" s="264">
        <f>IF(NFI_Expiration=1,IF($A30&lt;VLOOKUP(P$5,NFI,5,0),1,0)*Table_NFI[[#This Row],[Plastic Bucket]],Table_NFI[Plastic Bucket])</f>
        <v>0</v>
      </c>
      <c r="AH30" s="264">
        <f>IF(NFI_Expiration=1,IF($A30&lt;VLOOKUP(Q$5,NFI,5,0),1,0)*Table_NFI[[#This Row],[Plastic Mat]],Table_NFI[Plastic Mat])*IF(Table_NFI[[#This Row],[Distribution Date]]&gt;"2014-04-01",1,2.5)</f>
        <v>0</v>
      </c>
      <c r="AI30" s="264">
        <f>IF(NFI_Expiration=1,IF($A30&lt;VLOOKUP(R$5,NFI,5,0),1,0)*Table_NFI[[#This Row],[Winter Clothes Adult]],Table_NFI[Winter Clothes Adult])</f>
        <v>62</v>
      </c>
      <c r="AJ30" s="264">
        <f>IF(NFI_Expiration=1,IF($A30&lt;VLOOKUP(S$5,NFI,5,0),1,0)*Table_NFI[[#This Row],[Winter Clothes Children]],Table_NFI[Winter Clothes Children])</f>
        <v>33</v>
      </c>
      <c r="AK30" s="264">
        <f>IF(NFI_Expiration=1,IF($A30&lt;VLOOKUP(T$5,NFI,5,0),1,0)*Table_NFI[[#This Row],[Winter Items Other]],Table_NFI[Winter Items Other])</f>
        <v>0</v>
      </c>
      <c r="AL30" s="264">
        <f>IF(NFI_Expiration=1,IF($A30&lt;VLOOKUP(M$5,NFI,5,0),1,0)*Table_NFI[[#This Row],[Winter Blanket]],Table_NFI[[#This Row],[Winter Blanket]])</f>
        <v>0</v>
      </c>
      <c r="AM30" s="264">
        <f>IF(Table_NFI[[#This Row],[Winter Clothes Adult]]+Table_NFI[[#This Row],[Winter Clothes Children]]+Table_NFI[[#This Row],[Winter Items Other]]+Table_NFI[[#This Row],[Winter Blanket]]&gt;0,1,0)</f>
        <v>1</v>
      </c>
      <c r="AN30" s="296">
        <f>IF(NFI_Expiration=1,IF($A30&lt;VLOOKUP(V$5,NFI,5,0),1,0)*Table_NFI[[#This Row],[Jerry Can]],Table_NFI[Jerry Can])</f>
        <v>0</v>
      </c>
      <c r="AO30" s="296">
        <f>IF(NFI_Expiration=1,IF($A30&lt;VLOOKUP(V$5,NFI,5,0),1,0)*Table_NFI[[#This Row],[Shelter Tool kit]],Table_NFI[Shelter Tool kit])</f>
        <v>0</v>
      </c>
      <c r="AP30" s="296">
        <f>IF(NFI_Expiration=1,IF($A30&lt;VLOOKUP(V$5,NFI,5,0),1,0)*Table_NFI[[#This Row],[Tent]],Table_NFI[Tent])</f>
        <v>0</v>
      </c>
      <c r="AQ30" s="396" t="str">
        <f>IFERROR(VLOOKUP(Table_NFI[[#This Row],[Camp Name]],CL,2,0),"")</f>
        <v>MMR001CMP244</v>
      </c>
      <c r="AR30" s="702">
        <f ca="1">IF(Table_NFI[[#This Row],[Pcode]]="","",IF(OFFSET(CampList[Opening Date],MATCH(Table_NFI[[#This Row],[Pcode]],CampList[CP_Pcode],0)-1,0,1,1)&gt;=NFI_Monitor_Date,1,0))</f>
        <v>1</v>
      </c>
      <c r="AS30" s="396" t="str">
        <f>IFERROR(VLOOKUP(Table_NFI[[#This Row],[Camp Name]],CL,3,0),"")</f>
        <v>Open</v>
      </c>
      <c r="AT30" s="264">
        <f ca="1">IF(Table_NFI[[#This Row],[Pcode]]="","",OFFSET(CampList[Priority],MATCH(Table_NFI[[#This Row],[Pcode]],CampList[CP_Pcode],0)-1,0,1,1))</f>
        <v>0</v>
      </c>
      <c r="AU30" s="263">
        <f>IFERROR(Table_NFI[[#This Row],[Kitchen Set]]/VLOOKUP(Table_NFI[[#This Row],[Camp Name]],CL,4,0),"")</f>
        <v>0</v>
      </c>
      <c r="AV30" s="390"/>
      <c r="AW30" s="397" t="s">
        <v>1530</v>
      </c>
      <c r="AX30" s="399"/>
      <c r="AY30" s="399"/>
      <c r="AZ30" s="399"/>
      <c r="BA30" s="399"/>
      <c r="BB30" s="399"/>
      <c r="BC30" s="399"/>
      <c r="BD30" s="399"/>
      <c r="BE30" s="399"/>
      <c r="BF30" s="399"/>
      <c r="BG30" s="399"/>
      <c r="BH30" s="399"/>
      <c r="BI30" s="399"/>
      <c r="BJ30" s="399"/>
      <c r="BK30" s="399"/>
      <c r="BL30" s="399"/>
      <c r="BM30" s="399"/>
      <c r="BN30" s="399"/>
      <c r="BO30" s="399"/>
      <c r="BP30" s="399"/>
      <c r="BQ30" s="399"/>
      <c r="BR30" s="399"/>
      <c r="BS30" s="399"/>
      <c r="BT30" s="399"/>
      <c r="BU30" s="399"/>
      <c r="BV30" s="399"/>
      <c r="BW30" s="399"/>
      <c r="BX30" s="399"/>
      <c r="BY30" s="399"/>
      <c r="BZ30" s="399"/>
      <c r="CA30" s="399"/>
      <c r="CB30" s="399"/>
      <c r="CC30" s="399"/>
      <c r="CD30" s="399"/>
      <c r="CE30" s="399"/>
      <c r="CF30" s="399"/>
      <c r="CG30" s="399"/>
      <c r="CH30" s="399"/>
      <c r="CI30" s="399"/>
      <c r="CJ30" s="399"/>
      <c r="CK30" s="399"/>
      <c r="CL30" s="399"/>
      <c r="CM30" s="399"/>
      <c r="CN30" s="399"/>
      <c r="CO30" s="399"/>
      <c r="CP30" s="399"/>
      <c r="CQ30" s="399"/>
      <c r="CR30" s="399"/>
      <c r="CS30" s="399"/>
      <c r="CT30" s="399"/>
      <c r="CU30" s="399"/>
      <c r="CV30" s="399"/>
      <c r="CW30" s="399"/>
      <c r="CX30" s="399"/>
      <c r="CY30" s="399"/>
      <c r="CZ30" s="399"/>
      <c r="DA30" s="399"/>
      <c r="DB30" s="399"/>
      <c r="DC30" s="399"/>
      <c r="DD30" s="399"/>
      <c r="DE30" s="399"/>
      <c r="DF30" s="399"/>
      <c r="DG30" s="399"/>
      <c r="DH30" s="399"/>
      <c r="DI30" s="399"/>
      <c r="DJ30" s="399"/>
      <c r="DK30" s="399"/>
      <c r="DL30" s="399"/>
      <c r="DM30" s="399"/>
      <c r="DN30" s="399"/>
      <c r="DO30" s="399"/>
      <c r="DP30" s="399"/>
      <c r="DQ30" s="399"/>
    </row>
    <row r="31" spans="1:121" s="760" customFormat="1" ht="15" customHeight="1" x14ac:dyDescent="0.25">
      <c r="A31" s="266">
        <f t="shared" si="0"/>
        <v>2.5333333333333332</v>
      </c>
      <c r="B31" s="389">
        <v>42780</v>
      </c>
      <c r="C31" s="394" t="s">
        <v>451</v>
      </c>
      <c r="D31" s="394" t="s">
        <v>459</v>
      </c>
      <c r="E31" s="394" t="s">
        <v>380</v>
      </c>
      <c r="F31" s="394" t="s">
        <v>151</v>
      </c>
      <c r="G31" s="394" t="s">
        <v>884</v>
      </c>
      <c r="H31" s="261"/>
      <c r="I31" s="261">
        <v>4</v>
      </c>
      <c r="J31" s="261">
        <v>4</v>
      </c>
      <c r="K31" s="261">
        <v>7</v>
      </c>
      <c r="L31" s="261">
        <v>4</v>
      </c>
      <c r="M31" s="261">
        <v>7</v>
      </c>
      <c r="N31" s="261">
        <v>4</v>
      </c>
      <c r="O31" s="261"/>
      <c r="P31" s="261">
        <v>4</v>
      </c>
      <c r="Q31" s="261">
        <v>14</v>
      </c>
      <c r="R31" s="261"/>
      <c r="S31" s="261"/>
      <c r="T31" s="261"/>
      <c r="U31" s="261"/>
      <c r="V31" s="762">
        <v>4</v>
      </c>
      <c r="W31" s="261"/>
      <c r="X31" s="261"/>
      <c r="Y31" s="264">
        <f>IF(NFI_Expiration=1,IF($A31&lt;VLOOKUP(H$5,NFI,5,0),1,0)*Table_NFI[[#This Row],[Hygiene Kit]],Table_NFI[Hygiene Kit])</f>
        <v>0</v>
      </c>
      <c r="Z31" s="264">
        <f>IF(NFI_Expiration=1,IF($A31&lt;VLOOKUP(I$5,NFI,5,0),1,0)*Table_NFI[[#This Row],[NFI Core Kit]],Table_NFI[NFI Core Kit])</f>
        <v>4</v>
      </c>
      <c r="AA31" s="264">
        <f>IF(NFI_Expiration=1,IF($A31&lt;VLOOKUP(J$5,NFI,5,0),1,0)*Table_NFI[[#This Row],[Sanitary Kit]],Table_NFI[Sanitary Kit])</f>
        <v>4</v>
      </c>
      <c r="AB31" s="264">
        <f>IF(NFI_Expiration=1,IF($A31&lt;VLOOKUP(K$5,NFI,5,0),1,0)*Table_NFI[[#This Row],[Mosquito net]],Table_NFI[Mosquito net])</f>
        <v>7</v>
      </c>
      <c r="AC31" s="264">
        <f>IF(NFI_Expiration=1,IF($A31&lt;VLOOKUP(L$5,NFI,5,0),1,0)*Table_NFI[[#This Row],[Tarpaulin]],Table_NFI[[#This Row],[Tarpaulin]])</f>
        <v>4</v>
      </c>
      <c r="AD31" s="264">
        <f>IF(NFI_Expiration=1,IF($A31&lt;VLOOKUP(M$5,NFI,5,0),1,0)*Table_NFI[[#This Row],[Blanket]],Table_NFI[[#This Row],[Blanket]])</f>
        <v>7</v>
      </c>
      <c r="AE31" s="264">
        <f>IF(NFI_Expiration=1,IF($A31&lt;VLOOKUP(N$5,NFI,5,0),1,0)*Table_NFI[[#This Row],[Kitchen Set]],Table_NFI[Kitchen Set])</f>
        <v>4</v>
      </c>
      <c r="AF31" s="264">
        <f>IF(NFI_Expiration=1,IF($A31&lt;VLOOKUP(O$5,NFI,5,0),1,0)*Table_NFI[[#This Row],[Clothes Kit]],Table_NFI[Clothes Kit])</f>
        <v>0</v>
      </c>
      <c r="AG31" s="264">
        <f>IF(NFI_Expiration=1,IF($A31&lt;VLOOKUP(P$5,NFI,5,0),1,0)*Table_NFI[[#This Row],[Plastic Bucket]],Table_NFI[Plastic Bucket])</f>
        <v>4</v>
      </c>
      <c r="AH31" s="264">
        <f>IF(NFI_Expiration=1,IF($A31&lt;VLOOKUP(Q$5,NFI,5,0),1,0)*Table_NFI[[#This Row],[Plastic Mat]],Table_NFI[Plastic Mat])*IF(Table_NFI[[#This Row],[Distribution Date]]&gt;"2014-04-01",1,2.5)</f>
        <v>35</v>
      </c>
      <c r="AI31" s="264">
        <f>IF(NFI_Expiration=1,IF($A31&lt;VLOOKUP(R$5,NFI,5,0),1,0)*Table_NFI[[#This Row],[Winter Clothes Adult]],Table_NFI[Winter Clothes Adult])</f>
        <v>0</v>
      </c>
      <c r="AJ31" s="264">
        <f>IF(NFI_Expiration=1,IF($A31&lt;VLOOKUP(S$5,NFI,5,0),1,0)*Table_NFI[[#This Row],[Winter Clothes Children]],Table_NFI[Winter Clothes Children])</f>
        <v>0</v>
      </c>
      <c r="AK31" s="264">
        <f>IF(NFI_Expiration=1,IF($A31&lt;VLOOKUP(T$5,NFI,5,0),1,0)*Table_NFI[[#This Row],[Winter Items Other]],Table_NFI[Winter Items Other])</f>
        <v>0</v>
      </c>
      <c r="AL31" s="264">
        <f>IF(NFI_Expiration=1,IF($A31&lt;VLOOKUP(M$5,NFI,5,0),1,0)*Table_NFI[[#This Row],[Winter Blanket]],Table_NFI[[#This Row],[Winter Blanket]])</f>
        <v>0</v>
      </c>
      <c r="AM31" s="264">
        <f>IF(Table_NFI[[#This Row],[Winter Clothes Adult]]+Table_NFI[[#This Row],[Winter Clothes Children]]+Table_NFI[[#This Row],[Winter Items Other]]+Table_NFI[[#This Row],[Winter Blanket]]&gt;0,1,0)</f>
        <v>0</v>
      </c>
      <c r="AN31" s="296">
        <f>IF(NFI_Expiration=1,IF($A31&lt;VLOOKUP(V$5,NFI,5,0),1,0)*Table_NFI[[#This Row],[Jerry Can]],Table_NFI[Jerry Can])</f>
        <v>4</v>
      </c>
      <c r="AO31" s="296">
        <f>IF(NFI_Expiration=1,IF($A31&lt;VLOOKUP(V$5,NFI,5,0),1,0)*Table_NFI[[#This Row],[Shelter Tool kit]],Table_NFI[Shelter Tool kit])</f>
        <v>0</v>
      </c>
      <c r="AP31" s="296">
        <f>IF(NFI_Expiration=1,IF($A31&lt;VLOOKUP(V$5,NFI,5,0),1,0)*Table_NFI[[#This Row],[Tent]],Table_NFI[Tent])</f>
        <v>0</v>
      </c>
      <c r="AQ31" s="396" t="str">
        <f>IFERROR(VLOOKUP(Table_NFI[[#This Row],[Camp Name]],CL,2,0),"")</f>
        <v>MMR001CMP218</v>
      </c>
      <c r="AR31" s="702">
        <f ca="1">IF(Table_NFI[[#This Row],[Pcode]]="","",IF(OFFSET(CampList[Opening Date],MATCH(Table_NFI[[#This Row],[Pcode]],CampList[CP_Pcode],0)-1,0,1,1)&gt;=NFI_Monitor_Date,1,0))</f>
        <v>0</v>
      </c>
      <c r="AS31" s="396" t="str">
        <f>IFERROR(VLOOKUP(Table_NFI[[#This Row],[Camp Name]],CL,3,0),"")</f>
        <v>Open</v>
      </c>
      <c r="AT31" s="264" t="str">
        <f ca="1">IF(Table_NFI[[#This Row],[Pcode]]="","",OFFSET(CampList[Priority],MATCH(Table_NFI[[#This Row],[Pcode]],CampList[CP_Pcode],0)-1,0,1,1))</f>
        <v>P4</v>
      </c>
      <c r="AU31" s="263">
        <f>IFERROR(Table_NFI[[#This Row],[Kitchen Set]]/VLOOKUP(Table_NFI[[#This Row],[Camp Name]],CL,4,0),"")</f>
        <v>9.6274188889958599E-5</v>
      </c>
      <c r="AV31" s="390"/>
      <c r="AW31" s="397" t="s">
        <v>1530</v>
      </c>
      <c r="AX31" s="399"/>
      <c r="AY31" s="399"/>
      <c r="AZ31" s="399"/>
      <c r="BA31" s="399"/>
      <c r="BB31" s="399"/>
      <c r="BC31" s="399"/>
      <c r="BD31" s="399"/>
      <c r="BE31" s="399"/>
      <c r="BF31" s="399"/>
      <c r="BG31" s="399"/>
      <c r="BH31" s="399"/>
      <c r="BI31" s="399"/>
      <c r="BJ31" s="399"/>
      <c r="BK31" s="399"/>
      <c r="BL31" s="399"/>
      <c r="BM31" s="399"/>
      <c r="BN31" s="399"/>
      <c r="BO31" s="399"/>
      <c r="BP31" s="399"/>
      <c r="BQ31" s="399"/>
      <c r="BR31" s="399"/>
      <c r="BS31" s="399"/>
      <c r="BT31" s="399"/>
      <c r="BU31" s="399"/>
      <c r="BV31" s="399"/>
      <c r="BW31" s="399"/>
      <c r="BX31" s="399"/>
      <c r="BY31" s="399"/>
      <c r="BZ31" s="399"/>
      <c r="CA31" s="399"/>
      <c r="CB31" s="399"/>
      <c r="CC31" s="399"/>
      <c r="CD31" s="399"/>
      <c r="CE31" s="399"/>
      <c r="CF31" s="399"/>
      <c r="CG31" s="399"/>
      <c r="CH31" s="399"/>
      <c r="CI31" s="399"/>
      <c r="CJ31" s="399"/>
      <c r="CK31" s="399"/>
      <c r="CL31" s="399"/>
      <c r="CM31" s="399"/>
      <c r="CN31" s="399"/>
      <c r="CO31" s="399"/>
      <c r="CP31" s="399"/>
      <c r="CQ31" s="399"/>
      <c r="CR31" s="399"/>
      <c r="CS31" s="399"/>
      <c r="CT31" s="399"/>
      <c r="CU31" s="399"/>
      <c r="CV31" s="399"/>
      <c r="CW31" s="399"/>
      <c r="CX31" s="399"/>
      <c r="CY31" s="399"/>
      <c r="CZ31" s="399"/>
      <c r="DA31" s="399"/>
      <c r="DB31" s="399"/>
      <c r="DC31" s="399"/>
      <c r="DD31" s="399"/>
      <c r="DE31" s="399"/>
      <c r="DF31" s="399"/>
      <c r="DG31" s="399"/>
      <c r="DH31" s="399"/>
      <c r="DI31" s="399"/>
      <c r="DJ31" s="399"/>
      <c r="DK31" s="399"/>
      <c r="DL31" s="399"/>
      <c r="DM31" s="399"/>
      <c r="DN31" s="399"/>
      <c r="DO31" s="399"/>
      <c r="DP31" s="399"/>
      <c r="DQ31" s="399"/>
    </row>
    <row r="32" spans="1:121" s="760" customFormat="1" ht="15" customHeight="1" x14ac:dyDescent="0.25">
      <c r="A32" s="266">
        <f t="shared" si="0"/>
        <v>2.5333333333333332</v>
      </c>
      <c r="B32" s="389">
        <v>42780</v>
      </c>
      <c r="C32" s="394" t="s">
        <v>904</v>
      </c>
      <c r="D32" s="394" t="s">
        <v>904</v>
      </c>
      <c r="E32" s="394" t="s">
        <v>380</v>
      </c>
      <c r="F32" s="394" t="s">
        <v>151</v>
      </c>
      <c r="G32" s="394" t="s">
        <v>884</v>
      </c>
      <c r="H32" s="261">
        <v>2</v>
      </c>
      <c r="I32" s="261"/>
      <c r="J32" s="261">
        <v>18</v>
      </c>
      <c r="K32" s="261"/>
      <c r="L32" s="261"/>
      <c r="M32" s="261"/>
      <c r="N32" s="261"/>
      <c r="O32" s="261"/>
      <c r="P32" s="261">
        <v>2</v>
      </c>
      <c r="Q32" s="261"/>
      <c r="R32" s="261"/>
      <c r="S32" s="261"/>
      <c r="T32" s="261"/>
      <c r="U32" s="261"/>
      <c r="V32" s="762">
        <v>2</v>
      </c>
      <c r="W32" s="261"/>
      <c r="X32" s="261"/>
      <c r="Y32" s="264">
        <f>IF(NFI_Expiration=1,IF($A32&lt;VLOOKUP(H$5,NFI,5,0),1,0)*Table_NFI[[#This Row],[Hygiene Kit]],Table_NFI[Hygiene Kit])</f>
        <v>2</v>
      </c>
      <c r="Z32" s="264">
        <f>IF(NFI_Expiration=1,IF($A32&lt;VLOOKUP(I$5,NFI,5,0),1,0)*Table_NFI[[#This Row],[NFI Core Kit]],Table_NFI[NFI Core Kit])</f>
        <v>0</v>
      </c>
      <c r="AA32" s="264">
        <f>IF(NFI_Expiration=1,IF($A32&lt;VLOOKUP(J$5,NFI,5,0),1,0)*Table_NFI[[#This Row],[Sanitary Kit]],Table_NFI[Sanitary Kit])</f>
        <v>18</v>
      </c>
      <c r="AB32" s="264">
        <f>IF(NFI_Expiration=1,IF($A32&lt;VLOOKUP(K$5,NFI,5,0),1,0)*Table_NFI[[#This Row],[Mosquito net]],Table_NFI[Mosquito net])</f>
        <v>0</v>
      </c>
      <c r="AC32" s="264">
        <f>IF(NFI_Expiration=1,IF($A32&lt;VLOOKUP(L$5,NFI,5,0),1,0)*Table_NFI[[#This Row],[Tarpaulin]],Table_NFI[[#This Row],[Tarpaulin]])</f>
        <v>0</v>
      </c>
      <c r="AD32" s="264">
        <f>IF(NFI_Expiration=1,IF($A32&lt;VLOOKUP(M$5,NFI,5,0),1,0)*Table_NFI[[#This Row],[Blanket]],Table_NFI[[#This Row],[Blanket]])</f>
        <v>0</v>
      </c>
      <c r="AE32" s="264">
        <f>IF(NFI_Expiration=1,IF($A32&lt;VLOOKUP(N$5,NFI,5,0),1,0)*Table_NFI[[#This Row],[Kitchen Set]],Table_NFI[Kitchen Set])</f>
        <v>0</v>
      </c>
      <c r="AF32" s="264">
        <f>IF(NFI_Expiration=1,IF($A32&lt;VLOOKUP(O$5,NFI,5,0),1,0)*Table_NFI[[#This Row],[Clothes Kit]],Table_NFI[Clothes Kit])</f>
        <v>0</v>
      </c>
      <c r="AG32" s="264">
        <f>IF(NFI_Expiration=1,IF($A32&lt;VLOOKUP(P$5,NFI,5,0),1,0)*Table_NFI[[#This Row],[Plastic Bucket]],Table_NFI[Plastic Bucket])</f>
        <v>2</v>
      </c>
      <c r="AH32" s="264">
        <f>IF(NFI_Expiration=1,IF($A32&lt;VLOOKUP(Q$5,NFI,5,0),1,0)*Table_NFI[[#This Row],[Plastic Mat]],Table_NFI[Plastic Mat])*IF(Table_NFI[[#This Row],[Distribution Date]]&gt;"2014-04-01",1,2.5)</f>
        <v>0</v>
      </c>
      <c r="AI32" s="264">
        <f>IF(NFI_Expiration=1,IF($A32&lt;VLOOKUP(R$5,NFI,5,0),1,0)*Table_NFI[[#This Row],[Winter Clothes Adult]],Table_NFI[Winter Clothes Adult])</f>
        <v>0</v>
      </c>
      <c r="AJ32" s="264">
        <f>IF(NFI_Expiration=1,IF($A32&lt;VLOOKUP(S$5,NFI,5,0),1,0)*Table_NFI[[#This Row],[Winter Clothes Children]],Table_NFI[Winter Clothes Children])</f>
        <v>0</v>
      </c>
      <c r="AK32" s="264">
        <f>IF(NFI_Expiration=1,IF($A32&lt;VLOOKUP(T$5,NFI,5,0),1,0)*Table_NFI[[#This Row],[Winter Items Other]],Table_NFI[Winter Items Other])</f>
        <v>0</v>
      </c>
      <c r="AL32" s="264">
        <f>IF(NFI_Expiration=1,IF($A32&lt;VLOOKUP(M$5,NFI,5,0),1,0)*Table_NFI[[#This Row],[Winter Blanket]],Table_NFI[[#This Row],[Winter Blanket]])</f>
        <v>0</v>
      </c>
      <c r="AM32" s="264">
        <f>IF(Table_NFI[[#This Row],[Winter Clothes Adult]]+Table_NFI[[#This Row],[Winter Clothes Children]]+Table_NFI[[#This Row],[Winter Items Other]]+Table_NFI[[#This Row],[Winter Blanket]]&gt;0,1,0)</f>
        <v>0</v>
      </c>
      <c r="AN32" s="296">
        <f>IF(NFI_Expiration=1,IF($A32&lt;VLOOKUP(V$5,NFI,5,0),1,0)*Table_NFI[[#This Row],[Jerry Can]],Table_NFI[Jerry Can])</f>
        <v>2</v>
      </c>
      <c r="AO32" s="296">
        <f>IF(NFI_Expiration=1,IF($A32&lt;VLOOKUP(V$5,NFI,5,0),1,0)*Table_NFI[[#This Row],[Shelter Tool kit]],Table_NFI[Shelter Tool kit])</f>
        <v>0</v>
      </c>
      <c r="AP32" s="296">
        <f>IF(NFI_Expiration=1,IF($A32&lt;VLOOKUP(V$5,NFI,5,0),1,0)*Table_NFI[[#This Row],[Tent]],Table_NFI[Tent])</f>
        <v>0</v>
      </c>
      <c r="AQ32" s="396" t="str">
        <f>IFERROR(VLOOKUP(Table_NFI[[#This Row],[Camp Name]],CL,2,0),"")</f>
        <v>MMR001CMP218</v>
      </c>
      <c r="AR32" s="711">
        <f ca="1">IF(Table_NFI[[#This Row],[Pcode]]="","",IF(OFFSET(CampList[Opening Date],MATCH(Table_NFI[[#This Row],[Pcode]],CampList[CP_Pcode],0)-1,0,1,1)&gt;=NFI_Monitor_Date,1,0))</f>
        <v>0</v>
      </c>
      <c r="AS32" s="396" t="str">
        <f>IFERROR(VLOOKUP(Table_NFI[[#This Row],[Camp Name]],CL,3,0),"")</f>
        <v>Open</v>
      </c>
      <c r="AT32" s="264" t="str">
        <f ca="1">IF(Table_NFI[[#This Row],[Pcode]]="","",OFFSET(CampList[Priority],MATCH(Table_NFI[[#This Row],[Pcode]],CampList[CP_Pcode],0)-1,0,1,1))</f>
        <v>P4</v>
      </c>
      <c r="AU32" s="263">
        <f>IFERROR(Table_NFI[[#This Row],[Kitchen Set]]/VLOOKUP(Table_NFI[[#This Row],[Camp Name]],CL,4,0),"")</f>
        <v>0</v>
      </c>
      <c r="AV32" s="390"/>
      <c r="AW32" s="397" t="s">
        <v>1560</v>
      </c>
      <c r="AX32" s="399"/>
      <c r="AY32" s="399"/>
      <c r="AZ32" s="399"/>
      <c r="BA32" s="399"/>
      <c r="BB32" s="399"/>
      <c r="BC32" s="399"/>
      <c r="BD32" s="399"/>
      <c r="BE32" s="399"/>
      <c r="BF32" s="399"/>
      <c r="BG32" s="399"/>
      <c r="BH32" s="399"/>
      <c r="BI32" s="399"/>
      <c r="BJ32" s="399"/>
      <c r="BK32" s="399"/>
      <c r="BL32" s="399"/>
      <c r="BM32" s="399"/>
      <c r="BN32" s="399"/>
      <c r="BO32" s="399"/>
      <c r="BP32" s="399"/>
      <c r="BQ32" s="399"/>
      <c r="BR32" s="399"/>
      <c r="BS32" s="399"/>
      <c r="BT32" s="399"/>
      <c r="BU32" s="399"/>
      <c r="BV32" s="399"/>
      <c r="BW32" s="399"/>
      <c r="BX32" s="399"/>
      <c r="BY32" s="399"/>
      <c r="BZ32" s="399"/>
      <c r="CA32" s="399"/>
      <c r="CB32" s="399"/>
      <c r="CC32" s="399"/>
      <c r="CD32" s="399"/>
      <c r="CE32" s="399"/>
      <c r="CF32" s="399"/>
      <c r="CG32" s="399"/>
      <c r="CH32" s="399"/>
      <c r="CI32" s="399"/>
      <c r="CJ32" s="399"/>
      <c r="CK32" s="399"/>
      <c r="CL32" s="399"/>
      <c r="CM32" s="399"/>
      <c r="CN32" s="399"/>
      <c r="CO32" s="399"/>
      <c r="CP32" s="399"/>
      <c r="CQ32" s="399"/>
      <c r="CR32" s="399"/>
      <c r="CS32" s="399"/>
      <c r="CT32" s="399"/>
      <c r="CU32" s="399"/>
      <c r="CV32" s="399"/>
      <c r="CW32" s="399"/>
      <c r="CX32" s="399"/>
      <c r="CY32" s="399"/>
      <c r="CZ32" s="399"/>
      <c r="DA32" s="399"/>
      <c r="DB32" s="399"/>
      <c r="DC32" s="399"/>
      <c r="DD32" s="399"/>
      <c r="DE32" s="399"/>
      <c r="DF32" s="399"/>
      <c r="DG32" s="399"/>
      <c r="DH32" s="399"/>
      <c r="DI32" s="399"/>
      <c r="DJ32" s="399"/>
      <c r="DK32" s="399"/>
      <c r="DL32" s="399"/>
      <c r="DM32" s="399"/>
      <c r="DN32" s="399"/>
      <c r="DO32" s="399"/>
      <c r="DP32" s="399"/>
      <c r="DQ32" s="399"/>
    </row>
    <row r="33" spans="1:121" s="760" customFormat="1" ht="15" customHeight="1" x14ac:dyDescent="0.25">
      <c r="A33" s="266">
        <f t="shared" si="0"/>
        <v>2.5333333333333332</v>
      </c>
      <c r="B33" s="389">
        <v>42780</v>
      </c>
      <c r="C33" s="394" t="s">
        <v>451</v>
      </c>
      <c r="D33" s="394" t="s">
        <v>1427</v>
      </c>
      <c r="E33" s="394" t="s">
        <v>380</v>
      </c>
      <c r="F33" s="394" t="s">
        <v>151</v>
      </c>
      <c r="G33" s="394" t="s">
        <v>941</v>
      </c>
      <c r="H33" s="261"/>
      <c r="I33" s="261">
        <v>1</v>
      </c>
      <c r="J33" s="261">
        <v>1</v>
      </c>
      <c r="K33" s="261">
        <v>2</v>
      </c>
      <c r="L33" s="261">
        <v>1</v>
      </c>
      <c r="M33" s="261">
        <v>2</v>
      </c>
      <c r="N33" s="261">
        <v>1</v>
      </c>
      <c r="O33" s="261"/>
      <c r="P33" s="261">
        <v>1</v>
      </c>
      <c r="Q33" s="261">
        <v>3</v>
      </c>
      <c r="R33" s="261"/>
      <c r="S33" s="261"/>
      <c r="T33" s="261"/>
      <c r="U33" s="261"/>
      <c r="V33" s="762">
        <v>1</v>
      </c>
      <c r="W33" s="762"/>
      <c r="X33" s="762"/>
      <c r="Y33" s="264">
        <f>IF(NFI_Expiration=1,IF($A33&lt;VLOOKUP(H$5,NFI,5,0),1,0)*Table_NFI[[#This Row],[Hygiene Kit]],Table_NFI[Hygiene Kit])</f>
        <v>0</v>
      </c>
      <c r="Z33" s="264">
        <f>IF(NFI_Expiration=1,IF($A33&lt;VLOOKUP(I$5,NFI,5,0),1,0)*Table_NFI[[#This Row],[NFI Core Kit]],Table_NFI[NFI Core Kit])</f>
        <v>1</v>
      </c>
      <c r="AA33" s="264">
        <f>IF(NFI_Expiration=1,IF($A33&lt;VLOOKUP(J$5,NFI,5,0),1,0)*Table_NFI[[#This Row],[Sanitary Kit]],Table_NFI[Sanitary Kit])</f>
        <v>1</v>
      </c>
      <c r="AB33" s="264">
        <f>IF(NFI_Expiration=1,IF($A33&lt;VLOOKUP(K$5,NFI,5,0),1,0)*Table_NFI[[#This Row],[Mosquito net]],Table_NFI[Mosquito net])</f>
        <v>2</v>
      </c>
      <c r="AC33" s="264">
        <f>IF(NFI_Expiration=1,IF($A33&lt;VLOOKUP(L$5,NFI,5,0),1,0)*Table_NFI[[#This Row],[Tarpaulin]],Table_NFI[[#This Row],[Tarpaulin]])</f>
        <v>1</v>
      </c>
      <c r="AD33" s="264">
        <f>IF(NFI_Expiration=1,IF($A33&lt;VLOOKUP(M$5,NFI,5,0),1,0)*Table_NFI[[#This Row],[Blanket]],Table_NFI[[#This Row],[Blanket]])</f>
        <v>2</v>
      </c>
      <c r="AE33" s="264">
        <f>IF(NFI_Expiration=1,IF($A33&lt;VLOOKUP(N$5,NFI,5,0),1,0)*Table_NFI[[#This Row],[Kitchen Set]],Table_NFI[Kitchen Set])</f>
        <v>1</v>
      </c>
      <c r="AF33" s="264">
        <f>IF(NFI_Expiration=1,IF($A33&lt;VLOOKUP(O$5,NFI,5,0),1,0)*Table_NFI[[#This Row],[Clothes Kit]],Table_NFI[Clothes Kit])</f>
        <v>0</v>
      </c>
      <c r="AG33" s="264">
        <f>IF(NFI_Expiration=1,IF($A33&lt;VLOOKUP(P$5,NFI,5,0),1,0)*Table_NFI[[#This Row],[Plastic Bucket]],Table_NFI[Plastic Bucket])</f>
        <v>1</v>
      </c>
      <c r="AH33" s="264">
        <f>IF(NFI_Expiration=1,IF($A33&lt;VLOOKUP(Q$5,NFI,5,0),1,0)*Table_NFI[[#This Row],[Plastic Mat]],Table_NFI[Plastic Mat])*IF(Table_NFI[[#This Row],[Distribution Date]]&gt;"2014-04-01",1,2.5)</f>
        <v>7.5</v>
      </c>
      <c r="AI33" s="264">
        <f>IF(NFI_Expiration=1,IF($A33&lt;VLOOKUP(R$5,NFI,5,0),1,0)*Table_NFI[[#This Row],[Winter Clothes Adult]],Table_NFI[Winter Clothes Adult])</f>
        <v>0</v>
      </c>
      <c r="AJ33" s="264">
        <f>IF(NFI_Expiration=1,IF($A33&lt;VLOOKUP(S$5,NFI,5,0),1,0)*Table_NFI[[#This Row],[Winter Clothes Children]],Table_NFI[Winter Clothes Children])</f>
        <v>0</v>
      </c>
      <c r="AK33" s="264">
        <f>IF(NFI_Expiration=1,IF($A33&lt;VLOOKUP(T$5,NFI,5,0),1,0)*Table_NFI[[#This Row],[Winter Items Other]],Table_NFI[Winter Items Other])</f>
        <v>0</v>
      </c>
      <c r="AL33" s="264">
        <f>IF(NFI_Expiration=1,IF($A33&lt;VLOOKUP(M$5,NFI,5,0),1,0)*Table_NFI[[#This Row],[Winter Blanket]],Table_NFI[[#This Row],[Winter Blanket]])</f>
        <v>0</v>
      </c>
      <c r="AM33" s="264">
        <f>IF(Table_NFI[[#This Row],[Winter Clothes Adult]]+Table_NFI[[#This Row],[Winter Clothes Children]]+Table_NFI[[#This Row],[Winter Items Other]]+Table_NFI[[#This Row],[Winter Blanket]]&gt;0,1,0)</f>
        <v>0</v>
      </c>
      <c r="AN33" s="296">
        <f>IF(NFI_Expiration=1,IF($A33&lt;VLOOKUP(V$5,NFI,5,0),1,0)*Table_NFI[[#This Row],[Jerry Can]],Table_NFI[Jerry Can])</f>
        <v>1</v>
      </c>
      <c r="AO33" s="296">
        <f>IF(NFI_Expiration=1,IF($A33&lt;VLOOKUP(V$5,NFI,5,0),1,0)*Table_NFI[[#This Row],[Shelter Tool kit]],Table_NFI[Shelter Tool kit])</f>
        <v>0</v>
      </c>
      <c r="AP33" s="296">
        <f>IF(NFI_Expiration=1,IF($A33&lt;VLOOKUP(V$5,NFI,5,0),1,0)*Table_NFI[[#This Row],[Tent]],Table_NFI[Tent])</f>
        <v>0</v>
      </c>
      <c r="AQ33" s="396" t="str">
        <f>IFERROR(VLOOKUP(Table_NFI[[#This Row],[Camp Name]],CL,2,0),"")</f>
        <v>MMR001CMP223</v>
      </c>
      <c r="AR33" s="702">
        <f ca="1">IF(Table_NFI[[#This Row],[Pcode]]="","",IF(OFFSET(CampList[Opening Date],MATCH(Table_NFI[[#This Row],[Pcode]],CampList[CP_Pcode],0)-1,0,1,1)&gt;=NFI_Monitor_Date,1,0))</f>
        <v>0</v>
      </c>
      <c r="AS33" s="396" t="str">
        <f>IFERROR(VLOOKUP(Table_NFI[[#This Row],[Camp Name]],CL,3,0),"")</f>
        <v>Open</v>
      </c>
      <c r="AT33" s="264" t="str">
        <f ca="1">IF(Table_NFI[[#This Row],[Pcode]]="","",OFFSET(CampList[Priority],MATCH(Table_NFI[[#This Row],[Pcode]],CampList[CP_Pcode],0)-1,0,1,1))</f>
        <v>P4</v>
      </c>
      <c r="AU33" s="263">
        <f>IFERROR(Table_NFI[[#This Row],[Kitchen Set]]/VLOOKUP(Table_NFI[[#This Row],[Camp Name]],CL,4,0),"")</f>
        <v>2.406854722248965E-5</v>
      </c>
      <c r="AV33" s="390"/>
      <c r="AW33" s="397" t="s">
        <v>1530</v>
      </c>
      <c r="AX33" s="399"/>
      <c r="AY33" s="399"/>
      <c r="AZ33" s="399"/>
      <c r="BA33" s="399"/>
      <c r="BB33" s="399"/>
      <c r="BC33" s="399"/>
      <c r="BD33" s="399"/>
      <c r="BE33" s="399"/>
      <c r="BF33" s="399"/>
      <c r="BG33" s="399"/>
      <c r="BH33" s="399"/>
      <c r="BI33" s="399"/>
      <c r="BJ33" s="399"/>
      <c r="BK33" s="399"/>
      <c r="BL33" s="399"/>
      <c r="BM33" s="399"/>
      <c r="BN33" s="399"/>
      <c r="BO33" s="399"/>
      <c r="BP33" s="399"/>
      <c r="BQ33" s="399"/>
      <c r="BR33" s="399"/>
      <c r="BS33" s="399"/>
      <c r="BT33" s="399"/>
      <c r="BU33" s="399"/>
      <c r="BV33" s="399"/>
      <c r="BW33" s="399"/>
      <c r="BX33" s="399"/>
      <c r="BY33" s="399"/>
      <c r="BZ33" s="399"/>
      <c r="CA33" s="399"/>
      <c r="CB33" s="399"/>
      <c r="CC33" s="399"/>
      <c r="CD33" s="399"/>
      <c r="CE33" s="399"/>
      <c r="CF33" s="399"/>
      <c r="CG33" s="399"/>
      <c r="CH33" s="399"/>
      <c r="CI33" s="399"/>
      <c r="CJ33" s="399"/>
      <c r="CK33" s="399"/>
      <c r="CL33" s="399"/>
      <c r="CM33" s="399"/>
      <c r="CN33" s="399"/>
      <c r="CO33" s="399"/>
      <c r="CP33" s="399"/>
      <c r="CQ33" s="399"/>
      <c r="CR33" s="399"/>
      <c r="CS33" s="399"/>
      <c r="CT33" s="399"/>
      <c r="CU33" s="399"/>
      <c r="CV33" s="399"/>
      <c r="CW33" s="399"/>
      <c r="CX33" s="399"/>
      <c r="CY33" s="399"/>
      <c r="CZ33" s="399"/>
      <c r="DA33" s="399"/>
      <c r="DB33" s="399"/>
      <c r="DC33" s="399"/>
      <c r="DD33" s="399"/>
      <c r="DE33" s="399"/>
      <c r="DF33" s="399"/>
      <c r="DG33" s="399"/>
      <c r="DH33" s="399"/>
      <c r="DI33" s="399"/>
      <c r="DJ33" s="399"/>
      <c r="DK33" s="399"/>
      <c r="DL33" s="399"/>
      <c r="DM33" s="399"/>
      <c r="DN33" s="399"/>
      <c r="DO33" s="399"/>
      <c r="DP33" s="399"/>
      <c r="DQ33" s="399"/>
    </row>
    <row r="34" spans="1:121" s="393" customFormat="1" ht="15" customHeight="1" x14ac:dyDescent="0.25">
      <c r="A34" s="266">
        <f t="shared" si="0"/>
        <v>2.5666666666666669</v>
      </c>
      <c r="B34" s="389">
        <v>42779</v>
      </c>
      <c r="C34" s="394" t="s">
        <v>451</v>
      </c>
      <c r="D34" s="394" t="s">
        <v>459</v>
      </c>
      <c r="E34" s="394" t="s">
        <v>380</v>
      </c>
      <c r="F34" s="394" t="s">
        <v>237</v>
      </c>
      <c r="G34" s="394" t="s">
        <v>240</v>
      </c>
      <c r="H34" s="261"/>
      <c r="I34" s="261">
        <v>3</v>
      </c>
      <c r="J34" s="261">
        <v>3</v>
      </c>
      <c r="K34" s="261">
        <v>5</v>
      </c>
      <c r="L34" s="261">
        <v>3</v>
      </c>
      <c r="M34" s="261">
        <v>8</v>
      </c>
      <c r="N34" s="261">
        <v>3</v>
      </c>
      <c r="O34" s="261"/>
      <c r="P34" s="261">
        <v>3</v>
      </c>
      <c r="Q34" s="261">
        <v>8</v>
      </c>
      <c r="R34" s="261"/>
      <c r="S34" s="261"/>
      <c r="T34" s="261"/>
      <c r="U34" s="261"/>
      <c r="V34" s="762">
        <v>3</v>
      </c>
      <c r="W34" s="762"/>
      <c r="X34" s="762"/>
      <c r="Y34" s="264">
        <f>IF(NFI_Expiration=1,IF($A34&lt;VLOOKUP(H$5,NFI,5,0),1,0)*Table_NFI[[#This Row],[Hygiene Kit]],Table_NFI[Hygiene Kit])</f>
        <v>0</v>
      </c>
      <c r="Z34" s="264">
        <f>IF(NFI_Expiration=1,IF($A34&lt;VLOOKUP(I$5,NFI,5,0),1,0)*Table_NFI[[#This Row],[NFI Core Kit]],Table_NFI[NFI Core Kit])</f>
        <v>3</v>
      </c>
      <c r="AA34" s="264">
        <f>IF(NFI_Expiration=1,IF($A34&lt;VLOOKUP(J$5,NFI,5,0),1,0)*Table_NFI[[#This Row],[Sanitary Kit]],Table_NFI[Sanitary Kit])</f>
        <v>3</v>
      </c>
      <c r="AB34" s="264">
        <f>IF(NFI_Expiration=1,IF($A34&lt;VLOOKUP(K$5,NFI,5,0),1,0)*Table_NFI[[#This Row],[Mosquito net]],Table_NFI[Mosquito net])</f>
        <v>5</v>
      </c>
      <c r="AC34" s="264">
        <f>IF(NFI_Expiration=1,IF($A34&lt;VLOOKUP(L$5,NFI,5,0),1,0)*Table_NFI[[#This Row],[Tarpaulin]],Table_NFI[[#This Row],[Tarpaulin]])</f>
        <v>3</v>
      </c>
      <c r="AD34" s="264">
        <f>IF(NFI_Expiration=1,IF($A34&lt;VLOOKUP(M$5,NFI,5,0),1,0)*Table_NFI[[#This Row],[Blanket]],Table_NFI[[#This Row],[Blanket]])</f>
        <v>8</v>
      </c>
      <c r="AE34" s="264">
        <f>IF(NFI_Expiration=1,IF($A34&lt;VLOOKUP(N$5,NFI,5,0),1,0)*Table_NFI[[#This Row],[Kitchen Set]],Table_NFI[Kitchen Set])</f>
        <v>3</v>
      </c>
      <c r="AF34" s="264">
        <f>IF(NFI_Expiration=1,IF($A34&lt;VLOOKUP(O$5,NFI,5,0),1,0)*Table_NFI[[#This Row],[Clothes Kit]],Table_NFI[Clothes Kit])</f>
        <v>0</v>
      </c>
      <c r="AG34" s="264">
        <f>IF(NFI_Expiration=1,IF($A34&lt;VLOOKUP(P$5,NFI,5,0),1,0)*Table_NFI[[#This Row],[Plastic Bucket]],Table_NFI[Plastic Bucket])</f>
        <v>3</v>
      </c>
      <c r="AH34" s="264">
        <f>IF(NFI_Expiration=1,IF($A34&lt;VLOOKUP(Q$5,NFI,5,0),1,0)*Table_NFI[[#This Row],[Plastic Mat]],Table_NFI[Plastic Mat])*IF(Table_NFI[[#This Row],[Distribution Date]]&gt;"2014-04-01",1,2.5)</f>
        <v>20</v>
      </c>
      <c r="AI34" s="264">
        <f>IF(NFI_Expiration=1,IF($A34&lt;VLOOKUP(R$5,NFI,5,0),1,0)*Table_NFI[[#This Row],[Winter Clothes Adult]],Table_NFI[Winter Clothes Adult])</f>
        <v>0</v>
      </c>
      <c r="AJ34" s="264">
        <f>IF(NFI_Expiration=1,IF($A34&lt;VLOOKUP(S$5,NFI,5,0),1,0)*Table_NFI[[#This Row],[Winter Clothes Children]],Table_NFI[Winter Clothes Children])</f>
        <v>0</v>
      </c>
      <c r="AK34" s="264">
        <f>IF(NFI_Expiration=1,IF($A34&lt;VLOOKUP(T$5,NFI,5,0),1,0)*Table_NFI[[#This Row],[Winter Items Other]],Table_NFI[Winter Items Other])</f>
        <v>0</v>
      </c>
      <c r="AL34" s="264">
        <f>IF(NFI_Expiration=1,IF($A34&lt;VLOOKUP(M$5,NFI,5,0),1,0)*Table_NFI[[#This Row],[Winter Blanket]],Table_NFI[[#This Row],[Winter Blanket]])</f>
        <v>0</v>
      </c>
      <c r="AM34" s="264">
        <f>IF(Table_NFI[[#This Row],[Winter Clothes Adult]]+Table_NFI[[#This Row],[Winter Clothes Children]]+Table_NFI[[#This Row],[Winter Items Other]]+Table_NFI[[#This Row],[Winter Blanket]]&gt;0,1,0)</f>
        <v>0</v>
      </c>
      <c r="AN34" s="296">
        <f>IF(NFI_Expiration=1,IF($A34&lt;VLOOKUP(V$5,NFI,5,0),1,0)*Table_NFI[[#This Row],[Jerry Can]],Table_NFI[Jerry Can])</f>
        <v>3</v>
      </c>
      <c r="AO34" s="296">
        <f>IF(NFI_Expiration=1,IF($A34&lt;VLOOKUP(V$5,NFI,5,0),1,0)*Table_NFI[[#This Row],[Shelter Tool kit]],Table_NFI[Shelter Tool kit])</f>
        <v>0</v>
      </c>
      <c r="AP34" s="296">
        <f>IF(NFI_Expiration=1,IF($A34&lt;VLOOKUP(V$5,NFI,5,0),1,0)*Table_NFI[[#This Row],[Tent]],Table_NFI[Tent])</f>
        <v>0</v>
      </c>
      <c r="AQ34" s="396" t="str">
        <f>IFERROR(VLOOKUP(Table_NFI[[#This Row],[Camp Name]],CL,2,0),"")</f>
        <v>MMR001CMP015</v>
      </c>
      <c r="AR34" s="702">
        <f ca="1">IF(Table_NFI[[#This Row],[Pcode]]="","",IF(OFFSET(CampList[Opening Date],MATCH(Table_NFI[[#This Row],[Pcode]],CampList[CP_Pcode],0)-1,0,1,1)&gt;=NFI_Monitor_Date,1,0))</f>
        <v>0</v>
      </c>
      <c r="AS34" s="396" t="str">
        <f>IFERROR(VLOOKUP(Table_NFI[[#This Row],[Camp Name]],CL,3,0),"")</f>
        <v>Open</v>
      </c>
      <c r="AT34" s="264" t="str">
        <f ca="1">IF(Table_NFI[[#This Row],[Pcode]]="","",OFFSET(CampList[Priority],MATCH(Table_NFI[[#This Row],[Pcode]],CampList[CP_Pcode],0)-1,0,1,1))</f>
        <v>P4</v>
      </c>
      <c r="AU34" s="263">
        <f>IFERROR(Table_NFI[[#This Row],[Kitchen Set]]/VLOOKUP(Table_NFI[[#This Row],[Camp Name]],CL,4,0),"")</f>
        <v>7.3886166046843827E-5</v>
      </c>
      <c r="AV34" s="390"/>
      <c r="AW34" s="397" t="s">
        <v>1530</v>
      </c>
      <c r="AX34" s="399"/>
      <c r="AY34" s="399"/>
      <c r="AZ34" s="399"/>
      <c r="BA34" s="399"/>
      <c r="BB34" s="399"/>
      <c r="BC34" s="399"/>
      <c r="BD34" s="399"/>
      <c r="BE34" s="399"/>
      <c r="BF34" s="399"/>
      <c r="BG34" s="399"/>
      <c r="BH34" s="399"/>
      <c r="BI34" s="399"/>
      <c r="BJ34" s="399"/>
      <c r="BK34" s="399"/>
      <c r="BL34" s="399"/>
      <c r="BM34" s="399"/>
      <c r="BN34" s="399"/>
      <c r="BO34" s="399"/>
      <c r="BP34" s="399"/>
      <c r="BQ34" s="399"/>
      <c r="BR34" s="399"/>
      <c r="BS34" s="399"/>
      <c r="BT34" s="399"/>
      <c r="BU34" s="399"/>
      <c r="BV34" s="399"/>
      <c r="BW34" s="399"/>
      <c r="BX34" s="399"/>
      <c r="BY34" s="399"/>
      <c r="BZ34" s="399"/>
      <c r="CA34" s="399"/>
      <c r="CB34" s="399"/>
      <c r="CC34" s="399"/>
      <c r="CD34" s="399"/>
      <c r="CE34" s="399"/>
      <c r="CF34" s="399"/>
      <c r="CG34" s="399"/>
      <c r="CH34" s="399"/>
      <c r="CI34" s="399"/>
      <c r="CJ34" s="399"/>
      <c r="CK34" s="399"/>
      <c r="CL34" s="399"/>
      <c r="CM34" s="399"/>
      <c r="CN34" s="399"/>
      <c r="CO34" s="399"/>
      <c r="CP34" s="399"/>
      <c r="CQ34" s="399"/>
      <c r="CR34" s="399"/>
      <c r="CS34" s="399"/>
      <c r="CT34" s="399"/>
      <c r="CU34" s="399"/>
      <c r="CV34" s="399"/>
      <c r="CW34" s="399"/>
      <c r="CX34" s="399"/>
      <c r="CY34" s="399"/>
      <c r="CZ34" s="399"/>
      <c r="DA34" s="399"/>
      <c r="DB34" s="399"/>
      <c r="DC34" s="399"/>
      <c r="DD34" s="399"/>
      <c r="DE34" s="399"/>
      <c r="DF34" s="399"/>
      <c r="DG34" s="399"/>
      <c r="DH34" s="399"/>
      <c r="DI34" s="399"/>
      <c r="DJ34" s="399"/>
      <c r="DK34" s="399"/>
      <c r="DL34" s="399"/>
      <c r="DM34" s="399"/>
      <c r="DN34" s="399"/>
      <c r="DO34" s="399"/>
      <c r="DP34" s="399"/>
      <c r="DQ34" s="399"/>
    </row>
    <row r="35" spans="1:121" s="760" customFormat="1" ht="15" customHeight="1" x14ac:dyDescent="0.25">
      <c r="A35" s="266">
        <f t="shared" si="0"/>
        <v>2.5666666666666669</v>
      </c>
      <c r="B35" s="389">
        <v>42779</v>
      </c>
      <c r="C35" s="394" t="s">
        <v>451</v>
      </c>
      <c r="D35" s="394" t="s">
        <v>459</v>
      </c>
      <c r="E35" s="394" t="s">
        <v>380</v>
      </c>
      <c r="F35" s="394" t="s">
        <v>237</v>
      </c>
      <c r="G35" s="394" t="s">
        <v>253</v>
      </c>
      <c r="H35" s="261"/>
      <c r="I35" s="261">
        <v>1</v>
      </c>
      <c r="J35" s="261">
        <v>1</v>
      </c>
      <c r="K35" s="261">
        <v>2</v>
      </c>
      <c r="L35" s="261">
        <v>1</v>
      </c>
      <c r="M35" s="261">
        <v>3</v>
      </c>
      <c r="N35" s="261">
        <v>1</v>
      </c>
      <c r="O35" s="261"/>
      <c r="P35" s="261">
        <v>1</v>
      </c>
      <c r="Q35" s="261">
        <v>3</v>
      </c>
      <c r="R35" s="261"/>
      <c r="S35" s="261"/>
      <c r="T35" s="261"/>
      <c r="U35" s="261"/>
      <c r="V35" s="762">
        <v>1</v>
      </c>
      <c r="W35" s="762"/>
      <c r="X35" s="762"/>
      <c r="Y35" s="264">
        <f>IF(NFI_Expiration=1,IF($A35&lt;VLOOKUP(H$5,NFI,5,0),1,0)*Table_NFI[[#This Row],[Hygiene Kit]],Table_NFI[Hygiene Kit])</f>
        <v>0</v>
      </c>
      <c r="Z35" s="264">
        <f>IF(NFI_Expiration=1,IF($A35&lt;VLOOKUP(I$5,NFI,5,0),1,0)*Table_NFI[[#This Row],[NFI Core Kit]],Table_NFI[NFI Core Kit])</f>
        <v>1</v>
      </c>
      <c r="AA35" s="264">
        <f>IF(NFI_Expiration=1,IF($A35&lt;VLOOKUP(J$5,NFI,5,0),1,0)*Table_NFI[[#This Row],[Sanitary Kit]],Table_NFI[Sanitary Kit])</f>
        <v>1</v>
      </c>
      <c r="AB35" s="264">
        <f>IF(NFI_Expiration=1,IF($A35&lt;VLOOKUP(K$5,NFI,5,0),1,0)*Table_NFI[[#This Row],[Mosquito net]],Table_NFI[Mosquito net])</f>
        <v>2</v>
      </c>
      <c r="AC35" s="264">
        <f>IF(NFI_Expiration=1,IF($A35&lt;VLOOKUP(L$5,NFI,5,0),1,0)*Table_NFI[[#This Row],[Tarpaulin]],Table_NFI[[#This Row],[Tarpaulin]])</f>
        <v>1</v>
      </c>
      <c r="AD35" s="264">
        <f>IF(NFI_Expiration=1,IF($A35&lt;VLOOKUP(M$5,NFI,5,0),1,0)*Table_NFI[[#This Row],[Blanket]],Table_NFI[[#This Row],[Blanket]])</f>
        <v>3</v>
      </c>
      <c r="AE35" s="264">
        <f>IF(NFI_Expiration=1,IF($A35&lt;VLOOKUP(N$5,NFI,5,0),1,0)*Table_NFI[[#This Row],[Kitchen Set]],Table_NFI[Kitchen Set])</f>
        <v>1</v>
      </c>
      <c r="AF35" s="264">
        <f>IF(NFI_Expiration=1,IF($A35&lt;VLOOKUP(O$5,NFI,5,0),1,0)*Table_NFI[[#This Row],[Clothes Kit]],Table_NFI[Clothes Kit])</f>
        <v>0</v>
      </c>
      <c r="AG35" s="264">
        <f>IF(NFI_Expiration=1,IF($A35&lt;VLOOKUP(P$5,NFI,5,0),1,0)*Table_NFI[[#This Row],[Plastic Bucket]],Table_NFI[Plastic Bucket])</f>
        <v>1</v>
      </c>
      <c r="AH35" s="264">
        <f>IF(NFI_Expiration=1,IF($A35&lt;VLOOKUP(Q$5,NFI,5,0),1,0)*Table_NFI[[#This Row],[Plastic Mat]],Table_NFI[Plastic Mat])*IF(Table_NFI[[#This Row],[Distribution Date]]&gt;"2014-04-01",1,2.5)</f>
        <v>7.5</v>
      </c>
      <c r="AI35" s="264">
        <f>IF(NFI_Expiration=1,IF($A35&lt;VLOOKUP(R$5,NFI,5,0),1,0)*Table_NFI[[#This Row],[Winter Clothes Adult]],Table_NFI[Winter Clothes Adult])</f>
        <v>0</v>
      </c>
      <c r="AJ35" s="264">
        <f>IF(NFI_Expiration=1,IF($A35&lt;VLOOKUP(S$5,NFI,5,0),1,0)*Table_NFI[[#This Row],[Winter Clothes Children]],Table_NFI[Winter Clothes Children])</f>
        <v>0</v>
      </c>
      <c r="AK35" s="264">
        <f>IF(NFI_Expiration=1,IF($A35&lt;VLOOKUP(T$5,NFI,5,0),1,0)*Table_NFI[[#This Row],[Winter Items Other]],Table_NFI[Winter Items Other])</f>
        <v>0</v>
      </c>
      <c r="AL35" s="264">
        <f>IF(NFI_Expiration=1,IF($A35&lt;VLOOKUP(M$5,NFI,5,0),1,0)*Table_NFI[[#This Row],[Winter Blanket]],Table_NFI[[#This Row],[Winter Blanket]])</f>
        <v>0</v>
      </c>
      <c r="AM35" s="264">
        <f>IF(Table_NFI[[#This Row],[Winter Clothes Adult]]+Table_NFI[[#This Row],[Winter Clothes Children]]+Table_NFI[[#This Row],[Winter Items Other]]+Table_NFI[[#This Row],[Winter Blanket]]&gt;0,1,0)</f>
        <v>0</v>
      </c>
      <c r="AN35" s="296">
        <f>IF(NFI_Expiration=1,IF($A35&lt;VLOOKUP(V$5,NFI,5,0),1,0)*Table_NFI[[#This Row],[Jerry Can]],Table_NFI[Jerry Can])</f>
        <v>1</v>
      </c>
      <c r="AO35" s="296">
        <f>IF(NFI_Expiration=1,IF($A35&lt;VLOOKUP(V$5,NFI,5,0),1,0)*Table_NFI[[#This Row],[Shelter Tool kit]],Table_NFI[Shelter Tool kit])</f>
        <v>0</v>
      </c>
      <c r="AP35" s="296">
        <f>IF(NFI_Expiration=1,IF($A35&lt;VLOOKUP(V$5,NFI,5,0),1,0)*Table_NFI[[#This Row],[Tent]],Table_NFI[Tent])</f>
        <v>0</v>
      </c>
      <c r="AQ35" s="396" t="str">
        <f>IFERROR(VLOOKUP(Table_NFI[[#This Row],[Camp Name]],CL,2,0),"")</f>
        <v>MMR001CMP018</v>
      </c>
      <c r="AR35" s="702">
        <f ca="1">IF(Table_NFI[[#This Row],[Pcode]]="","",IF(OFFSET(CampList[Opening Date],MATCH(Table_NFI[[#This Row],[Pcode]],CampList[CP_Pcode],0)-1,0,1,1)&gt;=NFI_Monitor_Date,1,0))</f>
        <v>0</v>
      </c>
      <c r="AS35" s="396" t="str">
        <f>IFERROR(VLOOKUP(Table_NFI[[#This Row],[Camp Name]],CL,3,0),"")</f>
        <v>Open</v>
      </c>
      <c r="AT35" s="264" t="str">
        <f ca="1">IF(Table_NFI[[#This Row],[Pcode]]="","",OFFSET(CampList[Priority],MATCH(Table_NFI[[#This Row],[Pcode]],CampList[CP_Pcode],0)-1,0,1,1))</f>
        <v>P4</v>
      </c>
      <c r="AU35" s="263">
        <f>IFERROR(Table_NFI[[#This Row],[Kitchen Set]]/VLOOKUP(Table_NFI[[#This Row],[Camp Name]],CL,4,0),"")</f>
        <v>2.4554941682013504E-5</v>
      </c>
      <c r="AV35" s="390"/>
      <c r="AW35" s="397" t="s">
        <v>1530</v>
      </c>
      <c r="AX35" s="399"/>
      <c r="AY35" s="399"/>
      <c r="AZ35" s="399"/>
      <c r="BA35" s="399"/>
      <c r="BB35" s="399"/>
      <c r="BC35" s="399"/>
      <c r="BD35" s="399"/>
      <c r="BE35" s="399"/>
      <c r="BF35" s="399"/>
      <c r="BG35" s="399"/>
      <c r="BH35" s="399"/>
      <c r="BI35" s="399"/>
      <c r="BJ35" s="399"/>
      <c r="BK35" s="399"/>
      <c r="BL35" s="399"/>
      <c r="BM35" s="399"/>
      <c r="BN35" s="399"/>
      <c r="BO35" s="399"/>
      <c r="BP35" s="399"/>
      <c r="BQ35" s="399"/>
      <c r="BR35" s="399"/>
      <c r="BS35" s="399"/>
      <c r="BT35" s="399"/>
      <c r="BU35" s="399"/>
      <c r="BV35" s="399"/>
      <c r="BW35" s="399"/>
      <c r="BX35" s="399"/>
      <c r="BY35" s="399"/>
      <c r="BZ35" s="399"/>
      <c r="CA35" s="399"/>
      <c r="CB35" s="399"/>
      <c r="CC35" s="399"/>
      <c r="CD35" s="399"/>
      <c r="CE35" s="399"/>
      <c r="CF35" s="399"/>
      <c r="CG35" s="399"/>
      <c r="CH35" s="399"/>
      <c r="CI35" s="399"/>
      <c r="CJ35" s="399"/>
      <c r="CK35" s="399"/>
      <c r="CL35" s="399"/>
      <c r="CM35" s="399"/>
      <c r="CN35" s="399"/>
      <c r="CO35" s="399"/>
      <c r="CP35" s="399"/>
      <c r="CQ35" s="399"/>
      <c r="CR35" s="399"/>
      <c r="CS35" s="399"/>
      <c r="CT35" s="399"/>
      <c r="CU35" s="399"/>
      <c r="CV35" s="399"/>
      <c r="CW35" s="399"/>
      <c r="CX35" s="399"/>
      <c r="CY35" s="399"/>
      <c r="CZ35" s="399"/>
      <c r="DA35" s="399"/>
      <c r="DB35" s="399"/>
      <c r="DC35" s="399"/>
      <c r="DD35" s="399"/>
      <c r="DE35" s="399"/>
      <c r="DF35" s="399"/>
      <c r="DG35" s="399"/>
      <c r="DH35" s="399"/>
      <c r="DI35" s="399"/>
      <c r="DJ35" s="399"/>
      <c r="DK35" s="399"/>
      <c r="DL35" s="399"/>
      <c r="DM35" s="399"/>
      <c r="DN35" s="399"/>
      <c r="DO35" s="399"/>
      <c r="DP35" s="399"/>
      <c r="DQ35" s="399"/>
    </row>
    <row r="36" spans="1:121" s="760" customFormat="1" ht="15" customHeight="1" x14ac:dyDescent="0.25">
      <c r="A36" s="266">
        <f t="shared" si="0"/>
        <v>2.5666666666666669</v>
      </c>
      <c r="B36" s="389">
        <v>42779</v>
      </c>
      <c r="C36" s="394" t="s">
        <v>451</v>
      </c>
      <c r="D36" s="394" t="s">
        <v>459</v>
      </c>
      <c r="E36" s="394" t="s">
        <v>380</v>
      </c>
      <c r="F36" s="394" t="s">
        <v>237</v>
      </c>
      <c r="G36" s="394" t="s">
        <v>257</v>
      </c>
      <c r="H36" s="261"/>
      <c r="I36" s="261">
        <v>3</v>
      </c>
      <c r="J36" s="261">
        <v>3</v>
      </c>
      <c r="K36" s="261">
        <v>9</v>
      </c>
      <c r="L36" s="261">
        <v>3</v>
      </c>
      <c r="M36" s="261">
        <v>17</v>
      </c>
      <c r="N36" s="261">
        <v>3</v>
      </c>
      <c r="O36" s="261"/>
      <c r="P36" s="261">
        <v>3</v>
      </c>
      <c r="Q36" s="261">
        <v>17</v>
      </c>
      <c r="R36" s="261"/>
      <c r="S36" s="261"/>
      <c r="T36" s="261"/>
      <c r="U36" s="261"/>
      <c r="V36" s="762">
        <v>3</v>
      </c>
      <c r="W36" s="762"/>
      <c r="X36" s="762"/>
      <c r="Y36" s="264">
        <f>IF(NFI_Expiration=1,IF($A36&lt;VLOOKUP(H$5,NFI,5,0),1,0)*Table_NFI[[#This Row],[Hygiene Kit]],Table_NFI[Hygiene Kit])</f>
        <v>0</v>
      </c>
      <c r="Z36" s="264">
        <f>IF(NFI_Expiration=1,IF($A36&lt;VLOOKUP(I$5,NFI,5,0),1,0)*Table_NFI[[#This Row],[NFI Core Kit]],Table_NFI[NFI Core Kit])</f>
        <v>3</v>
      </c>
      <c r="AA36" s="264">
        <f>IF(NFI_Expiration=1,IF($A36&lt;VLOOKUP(J$5,NFI,5,0),1,0)*Table_NFI[[#This Row],[Sanitary Kit]],Table_NFI[Sanitary Kit])</f>
        <v>3</v>
      </c>
      <c r="AB36" s="264">
        <f>IF(NFI_Expiration=1,IF($A36&lt;VLOOKUP(K$5,NFI,5,0),1,0)*Table_NFI[[#This Row],[Mosquito net]],Table_NFI[Mosquito net])</f>
        <v>9</v>
      </c>
      <c r="AC36" s="264">
        <f>IF(NFI_Expiration=1,IF($A36&lt;VLOOKUP(L$5,NFI,5,0),1,0)*Table_NFI[[#This Row],[Tarpaulin]],Table_NFI[[#This Row],[Tarpaulin]])</f>
        <v>3</v>
      </c>
      <c r="AD36" s="264">
        <f>IF(NFI_Expiration=1,IF($A36&lt;VLOOKUP(M$5,NFI,5,0),1,0)*Table_NFI[[#This Row],[Blanket]],Table_NFI[[#This Row],[Blanket]])</f>
        <v>17</v>
      </c>
      <c r="AE36" s="264">
        <f>IF(NFI_Expiration=1,IF($A36&lt;VLOOKUP(N$5,NFI,5,0),1,0)*Table_NFI[[#This Row],[Kitchen Set]],Table_NFI[Kitchen Set])</f>
        <v>3</v>
      </c>
      <c r="AF36" s="264">
        <f>IF(NFI_Expiration=1,IF($A36&lt;VLOOKUP(O$5,NFI,5,0),1,0)*Table_NFI[[#This Row],[Clothes Kit]],Table_NFI[Clothes Kit])</f>
        <v>0</v>
      </c>
      <c r="AG36" s="264">
        <f>IF(NFI_Expiration=1,IF($A36&lt;VLOOKUP(P$5,NFI,5,0),1,0)*Table_NFI[[#This Row],[Plastic Bucket]],Table_NFI[Plastic Bucket])</f>
        <v>3</v>
      </c>
      <c r="AH36" s="264">
        <f>IF(NFI_Expiration=1,IF($A36&lt;VLOOKUP(Q$5,NFI,5,0),1,0)*Table_NFI[[#This Row],[Plastic Mat]],Table_NFI[Plastic Mat])*IF(Table_NFI[[#This Row],[Distribution Date]]&gt;"2014-04-01",1,2.5)</f>
        <v>42.5</v>
      </c>
      <c r="AI36" s="264">
        <f>IF(NFI_Expiration=1,IF($A36&lt;VLOOKUP(R$5,NFI,5,0),1,0)*Table_NFI[[#This Row],[Winter Clothes Adult]],Table_NFI[Winter Clothes Adult])</f>
        <v>0</v>
      </c>
      <c r="AJ36" s="264">
        <f>IF(NFI_Expiration=1,IF($A36&lt;VLOOKUP(S$5,NFI,5,0),1,0)*Table_NFI[[#This Row],[Winter Clothes Children]],Table_NFI[Winter Clothes Children])</f>
        <v>0</v>
      </c>
      <c r="AK36" s="264">
        <f>IF(NFI_Expiration=1,IF($A36&lt;VLOOKUP(T$5,NFI,5,0),1,0)*Table_NFI[[#This Row],[Winter Items Other]],Table_NFI[Winter Items Other])</f>
        <v>0</v>
      </c>
      <c r="AL36" s="264">
        <f>IF(NFI_Expiration=1,IF($A36&lt;VLOOKUP(M$5,NFI,5,0),1,0)*Table_NFI[[#This Row],[Winter Blanket]],Table_NFI[[#This Row],[Winter Blanket]])</f>
        <v>0</v>
      </c>
      <c r="AM36" s="264">
        <f>IF(Table_NFI[[#This Row],[Winter Clothes Adult]]+Table_NFI[[#This Row],[Winter Clothes Children]]+Table_NFI[[#This Row],[Winter Items Other]]+Table_NFI[[#This Row],[Winter Blanket]]&gt;0,1,0)</f>
        <v>0</v>
      </c>
      <c r="AN36" s="296">
        <f>IF(NFI_Expiration=1,IF($A36&lt;VLOOKUP(V$5,NFI,5,0),1,0)*Table_NFI[[#This Row],[Jerry Can]],Table_NFI[Jerry Can])</f>
        <v>3</v>
      </c>
      <c r="AO36" s="296">
        <f>IF(NFI_Expiration=1,IF($A36&lt;VLOOKUP(V$5,NFI,5,0),1,0)*Table_NFI[[#This Row],[Shelter Tool kit]],Table_NFI[Shelter Tool kit])</f>
        <v>0</v>
      </c>
      <c r="AP36" s="296">
        <f>IF(NFI_Expiration=1,IF($A36&lt;VLOOKUP(V$5,NFI,5,0),1,0)*Table_NFI[[#This Row],[Tent]],Table_NFI[Tent])</f>
        <v>0</v>
      </c>
      <c r="AQ36" s="396" t="str">
        <f>IFERROR(VLOOKUP(Table_NFI[[#This Row],[Camp Name]],CL,2,0),"")</f>
        <v>MMR001CMP013</v>
      </c>
      <c r="AR36" s="702">
        <f ca="1">IF(Table_NFI[[#This Row],[Pcode]]="","",IF(OFFSET(CampList[Opening Date],MATCH(Table_NFI[[#This Row],[Pcode]],CampList[CP_Pcode],0)-1,0,1,1)&gt;=NFI_Monitor_Date,1,0))</f>
        <v>0</v>
      </c>
      <c r="AS36" s="396" t="str">
        <f>IFERROR(VLOOKUP(Table_NFI[[#This Row],[Camp Name]],CL,3,0),"")</f>
        <v>Open</v>
      </c>
      <c r="AT36" s="264" t="str">
        <f ca="1">IF(Table_NFI[[#This Row],[Pcode]]="","",OFFSET(CampList[Priority],MATCH(Table_NFI[[#This Row],[Pcode]],CampList[CP_Pcode],0)-1,0,1,1))</f>
        <v>P4</v>
      </c>
      <c r="AU36" s="263">
        <f>IFERROR(Table_NFI[[#This Row],[Kitchen Set]]/VLOOKUP(Table_NFI[[#This Row],[Camp Name]],CL,4,0),"")</f>
        <v>7.333349629665843E-5</v>
      </c>
      <c r="AV36" s="390"/>
      <c r="AW36" s="397" t="s">
        <v>1530</v>
      </c>
      <c r="AX36" s="399"/>
      <c r="AY36" s="399"/>
      <c r="AZ36" s="399"/>
      <c r="BA36" s="399"/>
      <c r="BB36" s="399"/>
      <c r="BC36" s="399"/>
      <c r="BD36" s="399"/>
      <c r="BE36" s="399"/>
      <c r="BF36" s="399"/>
      <c r="BG36" s="399"/>
      <c r="BH36" s="399"/>
      <c r="BI36" s="399"/>
      <c r="BJ36" s="399"/>
      <c r="BK36" s="399"/>
      <c r="BL36" s="399"/>
      <c r="BM36" s="399"/>
      <c r="BN36" s="399"/>
      <c r="BO36" s="399"/>
      <c r="BP36" s="399"/>
      <c r="BQ36" s="399"/>
      <c r="BR36" s="399"/>
      <c r="BS36" s="399"/>
      <c r="BT36" s="399"/>
      <c r="BU36" s="399"/>
      <c r="BV36" s="399"/>
      <c r="BW36" s="399"/>
      <c r="BX36" s="399"/>
      <c r="BY36" s="399"/>
      <c r="BZ36" s="399"/>
      <c r="CA36" s="399"/>
      <c r="CB36" s="399"/>
      <c r="CC36" s="399"/>
      <c r="CD36" s="399"/>
      <c r="CE36" s="399"/>
      <c r="CF36" s="399"/>
      <c r="CG36" s="399"/>
      <c r="CH36" s="399"/>
      <c r="CI36" s="399"/>
      <c r="CJ36" s="399"/>
      <c r="CK36" s="399"/>
      <c r="CL36" s="399"/>
      <c r="CM36" s="399"/>
      <c r="CN36" s="399"/>
      <c r="CO36" s="399"/>
      <c r="CP36" s="399"/>
      <c r="CQ36" s="399"/>
      <c r="CR36" s="399"/>
      <c r="CS36" s="399"/>
      <c r="CT36" s="399"/>
      <c r="CU36" s="399"/>
      <c r="CV36" s="399"/>
      <c r="CW36" s="399"/>
      <c r="CX36" s="399"/>
      <c r="CY36" s="399"/>
      <c r="CZ36" s="399"/>
      <c r="DA36" s="399"/>
      <c r="DB36" s="399"/>
      <c r="DC36" s="399"/>
      <c r="DD36" s="399"/>
      <c r="DE36" s="399"/>
      <c r="DF36" s="399"/>
      <c r="DG36" s="399"/>
      <c r="DH36" s="399"/>
      <c r="DI36" s="399"/>
      <c r="DJ36" s="399"/>
      <c r="DK36" s="399"/>
      <c r="DL36" s="399"/>
      <c r="DM36" s="399"/>
      <c r="DN36" s="399"/>
      <c r="DO36" s="399"/>
      <c r="DP36" s="399"/>
      <c r="DQ36" s="399"/>
    </row>
    <row r="37" spans="1:121" s="760" customFormat="1" ht="15" customHeight="1" x14ac:dyDescent="0.25">
      <c r="A37" s="266">
        <f t="shared" si="0"/>
        <v>2.5666666666666669</v>
      </c>
      <c r="B37" s="389">
        <v>42779</v>
      </c>
      <c r="C37" s="394" t="s">
        <v>451</v>
      </c>
      <c r="D37" s="394" t="s">
        <v>459</v>
      </c>
      <c r="E37" s="394" t="s">
        <v>380</v>
      </c>
      <c r="F37" s="394" t="s">
        <v>237</v>
      </c>
      <c r="G37" s="394" t="s">
        <v>261</v>
      </c>
      <c r="H37" s="261"/>
      <c r="I37" s="261">
        <v>1</v>
      </c>
      <c r="J37" s="261">
        <v>1</v>
      </c>
      <c r="K37" s="261">
        <v>2</v>
      </c>
      <c r="L37" s="261">
        <v>1</v>
      </c>
      <c r="M37" s="261">
        <v>3</v>
      </c>
      <c r="N37" s="261">
        <v>1</v>
      </c>
      <c r="O37" s="261"/>
      <c r="P37" s="261">
        <v>1</v>
      </c>
      <c r="Q37" s="261">
        <v>3</v>
      </c>
      <c r="R37" s="261"/>
      <c r="S37" s="261"/>
      <c r="T37" s="261"/>
      <c r="U37" s="261"/>
      <c r="V37" s="762">
        <v>1</v>
      </c>
      <c r="W37" s="261"/>
      <c r="X37" s="261"/>
      <c r="Y37" s="264">
        <f>IF(NFI_Expiration=1,IF($A37&lt;VLOOKUP(H$5,NFI,5,0),1,0)*Table_NFI[[#This Row],[Hygiene Kit]],Table_NFI[Hygiene Kit])</f>
        <v>0</v>
      </c>
      <c r="Z37" s="264">
        <f>IF(NFI_Expiration=1,IF($A37&lt;VLOOKUP(I$5,NFI,5,0),1,0)*Table_NFI[[#This Row],[NFI Core Kit]],Table_NFI[NFI Core Kit])</f>
        <v>1</v>
      </c>
      <c r="AA37" s="264">
        <f>IF(NFI_Expiration=1,IF($A37&lt;VLOOKUP(J$5,NFI,5,0),1,0)*Table_NFI[[#This Row],[Sanitary Kit]],Table_NFI[Sanitary Kit])</f>
        <v>1</v>
      </c>
      <c r="AB37" s="264">
        <f>IF(NFI_Expiration=1,IF($A37&lt;VLOOKUP(K$5,NFI,5,0),1,0)*Table_NFI[[#This Row],[Mosquito net]],Table_NFI[Mosquito net])</f>
        <v>2</v>
      </c>
      <c r="AC37" s="264">
        <f>IF(NFI_Expiration=1,IF($A37&lt;VLOOKUP(L$5,NFI,5,0),1,0)*Table_NFI[[#This Row],[Tarpaulin]],Table_NFI[[#This Row],[Tarpaulin]])</f>
        <v>1</v>
      </c>
      <c r="AD37" s="264">
        <f>IF(NFI_Expiration=1,IF($A37&lt;VLOOKUP(M$5,NFI,5,0),1,0)*Table_NFI[[#This Row],[Blanket]],Table_NFI[[#This Row],[Blanket]])</f>
        <v>3</v>
      </c>
      <c r="AE37" s="264">
        <f>IF(NFI_Expiration=1,IF($A37&lt;VLOOKUP(N$5,NFI,5,0),1,0)*Table_NFI[[#This Row],[Kitchen Set]],Table_NFI[Kitchen Set])</f>
        <v>1</v>
      </c>
      <c r="AF37" s="264">
        <f>IF(NFI_Expiration=1,IF($A37&lt;VLOOKUP(O$5,NFI,5,0),1,0)*Table_NFI[[#This Row],[Clothes Kit]],Table_NFI[Clothes Kit])</f>
        <v>0</v>
      </c>
      <c r="AG37" s="264">
        <f>IF(NFI_Expiration=1,IF($A37&lt;VLOOKUP(P$5,NFI,5,0),1,0)*Table_NFI[[#This Row],[Plastic Bucket]],Table_NFI[Plastic Bucket])</f>
        <v>1</v>
      </c>
      <c r="AH37" s="264">
        <f>IF(NFI_Expiration=1,IF($A37&lt;VLOOKUP(Q$5,NFI,5,0),1,0)*Table_NFI[[#This Row],[Plastic Mat]],Table_NFI[Plastic Mat])*IF(Table_NFI[[#This Row],[Distribution Date]]&gt;"2014-04-01",1,2.5)</f>
        <v>7.5</v>
      </c>
      <c r="AI37" s="264">
        <f>IF(NFI_Expiration=1,IF($A37&lt;VLOOKUP(R$5,NFI,5,0),1,0)*Table_NFI[[#This Row],[Winter Clothes Adult]],Table_NFI[Winter Clothes Adult])</f>
        <v>0</v>
      </c>
      <c r="AJ37" s="264">
        <f>IF(NFI_Expiration=1,IF($A37&lt;VLOOKUP(S$5,NFI,5,0),1,0)*Table_NFI[[#This Row],[Winter Clothes Children]],Table_NFI[Winter Clothes Children])</f>
        <v>0</v>
      </c>
      <c r="AK37" s="264">
        <f>IF(NFI_Expiration=1,IF($A37&lt;VLOOKUP(T$5,NFI,5,0),1,0)*Table_NFI[[#This Row],[Winter Items Other]],Table_NFI[Winter Items Other])</f>
        <v>0</v>
      </c>
      <c r="AL37" s="264">
        <f>IF(NFI_Expiration=1,IF($A37&lt;VLOOKUP(M$5,NFI,5,0),1,0)*Table_NFI[[#This Row],[Winter Blanket]],Table_NFI[[#This Row],[Winter Blanket]])</f>
        <v>0</v>
      </c>
      <c r="AM37" s="264">
        <f>IF(Table_NFI[[#This Row],[Winter Clothes Adult]]+Table_NFI[[#This Row],[Winter Clothes Children]]+Table_NFI[[#This Row],[Winter Items Other]]+Table_NFI[[#This Row],[Winter Blanket]]&gt;0,1,0)</f>
        <v>0</v>
      </c>
      <c r="AN37" s="296">
        <f>IF(NFI_Expiration=1,IF($A37&lt;VLOOKUP(V$5,NFI,5,0),1,0)*Table_NFI[[#This Row],[Jerry Can]],Table_NFI[Jerry Can])</f>
        <v>1</v>
      </c>
      <c r="AO37" s="296">
        <f>IF(NFI_Expiration=1,IF($A37&lt;VLOOKUP(V$5,NFI,5,0),1,0)*Table_NFI[[#This Row],[Shelter Tool kit]],Table_NFI[Shelter Tool kit])</f>
        <v>0</v>
      </c>
      <c r="AP37" s="296">
        <f>IF(NFI_Expiration=1,IF($A37&lt;VLOOKUP(V$5,NFI,5,0),1,0)*Table_NFI[[#This Row],[Tent]],Table_NFI[Tent])</f>
        <v>0</v>
      </c>
      <c r="AQ37" s="396" t="str">
        <f>IFERROR(VLOOKUP(Table_NFI[[#This Row],[Camp Name]],CL,2,0),"")</f>
        <v>MMR001CMP008</v>
      </c>
      <c r="AR37" s="702">
        <f ca="1">IF(Table_NFI[[#This Row],[Pcode]]="","",IF(OFFSET(CampList[Opening Date],MATCH(Table_NFI[[#This Row],[Pcode]],CampList[CP_Pcode],0)-1,0,1,1)&gt;=NFI_Monitor_Date,1,0))</f>
        <v>0</v>
      </c>
      <c r="AS37" s="396" t="str">
        <f>IFERROR(VLOOKUP(Table_NFI[[#This Row],[Camp Name]],CL,3,0),"")</f>
        <v>Open</v>
      </c>
      <c r="AT37" s="264" t="str">
        <f ca="1">IF(Table_NFI[[#This Row],[Pcode]]="","",OFFSET(CampList[Priority],MATCH(Table_NFI[[#This Row],[Pcode]],CampList[CP_Pcode],0)-1,0,1,1))</f>
        <v>P4</v>
      </c>
      <c r="AU37" s="263">
        <f>IFERROR(Table_NFI[[#This Row],[Kitchen Set]]/VLOOKUP(Table_NFI[[#This Row],[Camp Name]],CL,4,0),"")</f>
        <v>2.4554941682013504E-5</v>
      </c>
      <c r="AV37" s="390"/>
      <c r="AW37" s="397" t="s">
        <v>1530</v>
      </c>
      <c r="AX37" s="399"/>
      <c r="AY37" s="399"/>
      <c r="AZ37" s="399"/>
      <c r="BA37" s="399"/>
      <c r="BB37" s="399"/>
      <c r="BC37" s="399"/>
      <c r="BD37" s="399"/>
      <c r="BE37" s="399"/>
      <c r="BF37" s="399"/>
      <c r="BG37" s="399"/>
      <c r="BH37" s="399"/>
      <c r="BI37" s="399"/>
      <c r="BJ37" s="399"/>
      <c r="BK37" s="399"/>
      <c r="BL37" s="399"/>
      <c r="BM37" s="399"/>
      <c r="BN37" s="399"/>
      <c r="BO37" s="399"/>
      <c r="BP37" s="399"/>
      <c r="BQ37" s="399"/>
      <c r="BR37" s="399"/>
      <c r="BS37" s="399"/>
      <c r="BT37" s="399"/>
      <c r="BU37" s="399"/>
      <c r="BV37" s="399"/>
      <c r="BW37" s="399"/>
      <c r="BX37" s="399"/>
      <c r="BY37" s="399"/>
      <c r="BZ37" s="399"/>
      <c r="CA37" s="399"/>
      <c r="CB37" s="399"/>
      <c r="CC37" s="399"/>
      <c r="CD37" s="399"/>
      <c r="CE37" s="399"/>
      <c r="CF37" s="399"/>
      <c r="CG37" s="399"/>
      <c r="CH37" s="399"/>
      <c r="CI37" s="399"/>
      <c r="CJ37" s="399"/>
      <c r="CK37" s="399"/>
      <c r="CL37" s="399"/>
      <c r="CM37" s="399"/>
      <c r="CN37" s="399"/>
      <c r="CO37" s="399"/>
      <c r="CP37" s="399"/>
      <c r="CQ37" s="399"/>
      <c r="CR37" s="399"/>
      <c r="CS37" s="399"/>
      <c r="CT37" s="399"/>
      <c r="CU37" s="399"/>
      <c r="CV37" s="399"/>
      <c r="CW37" s="399"/>
      <c r="CX37" s="399"/>
      <c r="CY37" s="399"/>
      <c r="CZ37" s="399"/>
      <c r="DA37" s="399"/>
      <c r="DB37" s="399"/>
      <c r="DC37" s="399"/>
      <c r="DD37" s="399"/>
      <c r="DE37" s="399"/>
      <c r="DF37" s="399"/>
      <c r="DG37" s="399"/>
      <c r="DH37" s="399"/>
      <c r="DI37" s="399"/>
      <c r="DJ37" s="399"/>
      <c r="DK37" s="399"/>
      <c r="DL37" s="399"/>
      <c r="DM37" s="399"/>
      <c r="DN37" s="399"/>
      <c r="DO37" s="399"/>
      <c r="DP37" s="399"/>
      <c r="DQ37" s="399"/>
    </row>
    <row r="38" spans="1:121" s="760" customFormat="1" ht="15" customHeight="1" x14ac:dyDescent="0.25">
      <c r="A38" s="266">
        <f t="shared" si="0"/>
        <v>2.5666666666666669</v>
      </c>
      <c r="B38" s="389">
        <v>42779</v>
      </c>
      <c r="C38" s="394" t="s">
        <v>451</v>
      </c>
      <c r="D38" s="394" t="s">
        <v>459</v>
      </c>
      <c r="E38" s="394" t="s">
        <v>380</v>
      </c>
      <c r="F38" s="394" t="s">
        <v>237</v>
      </c>
      <c r="G38" s="394" t="s">
        <v>259</v>
      </c>
      <c r="H38" s="261"/>
      <c r="I38" s="261">
        <v>1</v>
      </c>
      <c r="J38" s="261">
        <v>1</v>
      </c>
      <c r="K38" s="261">
        <v>2</v>
      </c>
      <c r="L38" s="261">
        <v>1</v>
      </c>
      <c r="M38" s="261">
        <v>3</v>
      </c>
      <c r="N38" s="261">
        <v>1</v>
      </c>
      <c r="O38" s="261"/>
      <c r="P38" s="261">
        <v>1</v>
      </c>
      <c r="Q38" s="261">
        <v>3</v>
      </c>
      <c r="R38" s="261"/>
      <c r="S38" s="261"/>
      <c r="T38" s="261"/>
      <c r="U38" s="261"/>
      <c r="V38" s="762">
        <v>1</v>
      </c>
      <c r="W38" s="762"/>
      <c r="X38" s="762"/>
      <c r="Y38" s="264">
        <f>IF(NFI_Expiration=1,IF($A38&lt;VLOOKUP(H$5,NFI,5,0),1,0)*Table_NFI[[#This Row],[Hygiene Kit]],Table_NFI[Hygiene Kit])</f>
        <v>0</v>
      </c>
      <c r="Z38" s="264">
        <f>IF(NFI_Expiration=1,IF($A38&lt;VLOOKUP(I$5,NFI,5,0),1,0)*Table_NFI[[#This Row],[NFI Core Kit]],Table_NFI[NFI Core Kit])</f>
        <v>1</v>
      </c>
      <c r="AA38" s="264">
        <f>IF(NFI_Expiration=1,IF($A38&lt;VLOOKUP(J$5,NFI,5,0),1,0)*Table_NFI[[#This Row],[Sanitary Kit]],Table_NFI[Sanitary Kit])</f>
        <v>1</v>
      </c>
      <c r="AB38" s="264">
        <f>IF(NFI_Expiration=1,IF($A38&lt;VLOOKUP(K$5,NFI,5,0),1,0)*Table_NFI[[#This Row],[Mosquito net]],Table_NFI[Mosquito net])</f>
        <v>2</v>
      </c>
      <c r="AC38" s="264">
        <f>IF(NFI_Expiration=1,IF($A38&lt;VLOOKUP(L$5,NFI,5,0),1,0)*Table_NFI[[#This Row],[Tarpaulin]],Table_NFI[[#This Row],[Tarpaulin]])</f>
        <v>1</v>
      </c>
      <c r="AD38" s="264">
        <f>IF(NFI_Expiration=1,IF($A38&lt;VLOOKUP(M$5,NFI,5,0),1,0)*Table_NFI[[#This Row],[Blanket]],Table_NFI[[#This Row],[Blanket]])</f>
        <v>3</v>
      </c>
      <c r="AE38" s="264">
        <f>IF(NFI_Expiration=1,IF($A38&lt;VLOOKUP(N$5,NFI,5,0),1,0)*Table_NFI[[#This Row],[Kitchen Set]],Table_NFI[Kitchen Set])</f>
        <v>1</v>
      </c>
      <c r="AF38" s="264">
        <f>IF(NFI_Expiration=1,IF($A38&lt;VLOOKUP(O$5,NFI,5,0),1,0)*Table_NFI[[#This Row],[Clothes Kit]],Table_NFI[Clothes Kit])</f>
        <v>0</v>
      </c>
      <c r="AG38" s="264">
        <f>IF(NFI_Expiration=1,IF($A38&lt;VLOOKUP(P$5,NFI,5,0),1,0)*Table_NFI[[#This Row],[Plastic Bucket]],Table_NFI[Plastic Bucket])</f>
        <v>1</v>
      </c>
      <c r="AH38" s="264">
        <f>IF(NFI_Expiration=1,IF($A38&lt;VLOOKUP(Q$5,NFI,5,0),1,0)*Table_NFI[[#This Row],[Plastic Mat]],Table_NFI[Plastic Mat])*IF(Table_NFI[[#This Row],[Distribution Date]]&gt;"2014-04-01",1,2.5)</f>
        <v>7.5</v>
      </c>
      <c r="AI38" s="264">
        <f>IF(NFI_Expiration=1,IF($A38&lt;VLOOKUP(R$5,NFI,5,0),1,0)*Table_NFI[[#This Row],[Winter Clothes Adult]],Table_NFI[Winter Clothes Adult])</f>
        <v>0</v>
      </c>
      <c r="AJ38" s="264">
        <f>IF(NFI_Expiration=1,IF($A38&lt;VLOOKUP(S$5,NFI,5,0),1,0)*Table_NFI[[#This Row],[Winter Clothes Children]],Table_NFI[Winter Clothes Children])</f>
        <v>0</v>
      </c>
      <c r="AK38" s="264">
        <f>IF(NFI_Expiration=1,IF($A38&lt;VLOOKUP(T$5,NFI,5,0),1,0)*Table_NFI[[#This Row],[Winter Items Other]],Table_NFI[Winter Items Other])</f>
        <v>0</v>
      </c>
      <c r="AL38" s="264">
        <f>IF(NFI_Expiration=1,IF($A38&lt;VLOOKUP(M$5,NFI,5,0),1,0)*Table_NFI[[#This Row],[Winter Blanket]],Table_NFI[[#This Row],[Winter Blanket]])</f>
        <v>0</v>
      </c>
      <c r="AM38" s="264">
        <f>IF(Table_NFI[[#This Row],[Winter Clothes Adult]]+Table_NFI[[#This Row],[Winter Clothes Children]]+Table_NFI[[#This Row],[Winter Items Other]]+Table_NFI[[#This Row],[Winter Blanket]]&gt;0,1,0)</f>
        <v>0</v>
      </c>
      <c r="AN38" s="296">
        <f>IF(NFI_Expiration=1,IF($A38&lt;VLOOKUP(V$5,NFI,5,0),1,0)*Table_NFI[[#This Row],[Jerry Can]],Table_NFI[Jerry Can])</f>
        <v>1</v>
      </c>
      <c r="AO38" s="296">
        <f>IF(NFI_Expiration=1,IF($A38&lt;VLOOKUP(V$5,NFI,5,0),1,0)*Table_NFI[[#This Row],[Shelter Tool kit]],Table_NFI[Shelter Tool kit])</f>
        <v>0</v>
      </c>
      <c r="AP38" s="296">
        <f>IF(NFI_Expiration=1,IF($A38&lt;VLOOKUP(V$5,NFI,5,0),1,0)*Table_NFI[[#This Row],[Tent]],Table_NFI[Tent])</f>
        <v>0</v>
      </c>
      <c r="AQ38" s="396" t="str">
        <f>IFERROR(VLOOKUP(Table_NFI[[#This Row],[Camp Name]],CL,2,0),"")</f>
        <v>MMR001CMP016</v>
      </c>
      <c r="AR38" s="702">
        <f ca="1">IF(Table_NFI[[#This Row],[Pcode]]="","",IF(OFFSET(CampList[Opening Date],MATCH(Table_NFI[[#This Row],[Pcode]],CampList[CP_Pcode],0)-1,0,1,1)&gt;=NFI_Monitor_Date,1,0))</f>
        <v>0</v>
      </c>
      <c r="AS38" s="396" t="str">
        <f>IFERROR(VLOOKUP(Table_NFI[[#This Row],[Camp Name]],CL,3,0),"")</f>
        <v>Open</v>
      </c>
      <c r="AT38" s="264" t="str">
        <f ca="1">IF(Table_NFI[[#This Row],[Pcode]]="","",OFFSET(CampList[Priority],MATCH(Table_NFI[[#This Row],[Pcode]],CampList[CP_Pcode],0)-1,0,1,1))</f>
        <v>P4</v>
      </c>
      <c r="AU38" s="263">
        <f>IFERROR(Table_NFI[[#This Row],[Kitchen Set]]/VLOOKUP(Table_NFI[[#This Row],[Camp Name]],CL,4,0),"")</f>
        <v>2.4536264599077437E-5</v>
      </c>
      <c r="AV38" s="390"/>
      <c r="AW38" s="397" t="s">
        <v>1530</v>
      </c>
      <c r="AX38" s="399"/>
      <c r="AY38" s="399"/>
      <c r="AZ38" s="399"/>
      <c r="BA38" s="399"/>
      <c r="BB38" s="399"/>
      <c r="BC38" s="399"/>
      <c r="BD38" s="399"/>
      <c r="BE38" s="399"/>
      <c r="BF38" s="399"/>
      <c r="BG38" s="399"/>
      <c r="BH38" s="399"/>
      <c r="BI38" s="399"/>
      <c r="BJ38" s="399"/>
      <c r="BK38" s="399"/>
      <c r="BL38" s="399"/>
      <c r="BM38" s="399"/>
      <c r="BN38" s="399"/>
      <c r="BO38" s="399"/>
      <c r="BP38" s="399"/>
      <c r="BQ38" s="399"/>
      <c r="BR38" s="399"/>
      <c r="BS38" s="399"/>
      <c r="BT38" s="399"/>
      <c r="BU38" s="399"/>
      <c r="BV38" s="399"/>
      <c r="BW38" s="399"/>
      <c r="BX38" s="399"/>
      <c r="BY38" s="399"/>
      <c r="BZ38" s="399"/>
      <c r="CA38" s="399"/>
      <c r="CB38" s="399"/>
      <c r="CC38" s="399"/>
      <c r="CD38" s="399"/>
      <c r="CE38" s="399"/>
      <c r="CF38" s="399"/>
      <c r="CG38" s="399"/>
      <c r="CH38" s="399"/>
      <c r="CI38" s="399"/>
      <c r="CJ38" s="399"/>
      <c r="CK38" s="399"/>
      <c r="CL38" s="399"/>
      <c r="CM38" s="399"/>
      <c r="CN38" s="399"/>
      <c r="CO38" s="399"/>
      <c r="CP38" s="399"/>
      <c r="CQ38" s="399"/>
      <c r="CR38" s="399"/>
      <c r="CS38" s="399"/>
      <c r="CT38" s="399"/>
      <c r="CU38" s="399"/>
      <c r="CV38" s="399"/>
      <c r="CW38" s="399"/>
      <c r="CX38" s="399"/>
      <c r="CY38" s="399"/>
      <c r="CZ38" s="399"/>
      <c r="DA38" s="399"/>
      <c r="DB38" s="399"/>
      <c r="DC38" s="399"/>
      <c r="DD38" s="399"/>
      <c r="DE38" s="399"/>
      <c r="DF38" s="399"/>
      <c r="DG38" s="399"/>
      <c r="DH38" s="399"/>
      <c r="DI38" s="399"/>
      <c r="DJ38" s="399"/>
      <c r="DK38" s="399"/>
      <c r="DL38" s="399"/>
      <c r="DM38" s="399"/>
      <c r="DN38" s="399"/>
      <c r="DO38" s="399"/>
      <c r="DP38" s="399"/>
      <c r="DQ38" s="399"/>
    </row>
    <row r="39" spans="1:121" s="760" customFormat="1" ht="15" customHeight="1" x14ac:dyDescent="0.25">
      <c r="A39" s="266">
        <f t="shared" si="0"/>
        <v>2.6666666666666665</v>
      </c>
      <c r="B39" s="389">
        <v>42776</v>
      </c>
      <c r="C39" s="394" t="s">
        <v>451</v>
      </c>
      <c r="D39" s="394" t="s">
        <v>459</v>
      </c>
      <c r="E39" s="394" t="s">
        <v>380</v>
      </c>
      <c r="F39" s="394" t="s">
        <v>237</v>
      </c>
      <c r="G39" s="394" t="s">
        <v>279</v>
      </c>
      <c r="H39" s="261"/>
      <c r="I39" s="261">
        <v>4</v>
      </c>
      <c r="J39" s="261">
        <v>4</v>
      </c>
      <c r="K39" s="261">
        <v>10</v>
      </c>
      <c r="L39" s="261">
        <v>4</v>
      </c>
      <c r="M39" s="261">
        <v>14</v>
      </c>
      <c r="N39" s="261">
        <v>4</v>
      </c>
      <c r="O39" s="261"/>
      <c r="P39" s="261">
        <v>4</v>
      </c>
      <c r="Q39" s="261">
        <v>14</v>
      </c>
      <c r="R39" s="261"/>
      <c r="S39" s="261"/>
      <c r="T39" s="261"/>
      <c r="U39" s="261"/>
      <c r="V39" s="762">
        <v>4</v>
      </c>
      <c r="W39" s="762"/>
      <c r="X39" s="762"/>
      <c r="Y39" s="264">
        <f>IF(NFI_Expiration=1,IF($A39&lt;VLOOKUP(H$5,NFI,5,0),1,0)*Table_NFI[[#This Row],[Hygiene Kit]],Table_NFI[Hygiene Kit])</f>
        <v>0</v>
      </c>
      <c r="Z39" s="264">
        <f>IF(NFI_Expiration=1,IF($A39&lt;VLOOKUP(I$5,NFI,5,0),1,0)*Table_NFI[[#This Row],[NFI Core Kit]],Table_NFI[NFI Core Kit])</f>
        <v>4</v>
      </c>
      <c r="AA39" s="264">
        <f>IF(NFI_Expiration=1,IF($A39&lt;VLOOKUP(J$5,NFI,5,0),1,0)*Table_NFI[[#This Row],[Sanitary Kit]],Table_NFI[Sanitary Kit])</f>
        <v>4</v>
      </c>
      <c r="AB39" s="264">
        <f>IF(NFI_Expiration=1,IF($A39&lt;VLOOKUP(K$5,NFI,5,0),1,0)*Table_NFI[[#This Row],[Mosquito net]],Table_NFI[Mosquito net])</f>
        <v>10</v>
      </c>
      <c r="AC39" s="264">
        <f>IF(NFI_Expiration=1,IF($A39&lt;VLOOKUP(L$5,NFI,5,0),1,0)*Table_NFI[[#This Row],[Tarpaulin]],Table_NFI[[#This Row],[Tarpaulin]])</f>
        <v>4</v>
      </c>
      <c r="AD39" s="264">
        <f>IF(NFI_Expiration=1,IF($A39&lt;VLOOKUP(M$5,NFI,5,0),1,0)*Table_NFI[[#This Row],[Blanket]],Table_NFI[[#This Row],[Blanket]])</f>
        <v>14</v>
      </c>
      <c r="AE39" s="264">
        <f>IF(NFI_Expiration=1,IF($A39&lt;VLOOKUP(N$5,NFI,5,0),1,0)*Table_NFI[[#This Row],[Kitchen Set]],Table_NFI[Kitchen Set])</f>
        <v>4</v>
      </c>
      <c r="AF39" s="264">
        <f>IF(NFI_Expiration=1,IF($A39&lt;VLOOKUP(O$5,NFI,5,0),1,0)*Table_NFI[[#This Row],[Clothes Kit]],Table_NFI[Clothes Kit])</f>
        <v>0</v>
      </c>
      <c r="AG39" s="264">
        <f>IF(NFI_Expiration=1,IF($A39&lt;VLOOKUP(P$5,NFI,5,0),1,0)*Table_NFI[[#This Row],[Plastic Bucket]],Table_NFI[Plastic Bucket])</f>
        <v>4</v>
      </c>
      <c r="AH39" s="264">
        <f>IF(NFI_Expiration=1,IF($A39&lt;VLOOKUP(Q$5,NFI,5,0),1,0)*Table_NFI[[#This Row],[Plastic Mat]],Table_NFI[Plastic Mat])*IF(Table_NFI[[#This Row],[Distribution Date]]&gt;"2014-04-01",1,2.5)</f>
        <v>35</v>
      </c>
      <c r="AI39" s="264">
        <f>IF(NFI_Expiration=1,IF($A39&lt;VLOOKUP(R$5,NFI,5,0),1,0)*Table_NFI[[#This Row],[Winter Clothes Adult]],Table_NFI[Winter Clothes Adult])</f>
        <v>0</v>
      </c>
      <c r="AJ39" s="264">
        <f>IF(NFI_Expiration=1,IF($A39&lt;VLOOKUP(S$5,NFI,5,0),1,0)*Table_NFI[[#This Row],[Winter Clothes Children]],Table_NFI[Winter Clothes Children])</f>
        <v>0</v>
      </c>
      <c r="AK39" s="264">
        <f>IF(NFI_Expiration=1,IF($A39&lt;VLOOKUP(T$5,NFI,5,0),1,0)*Table_NFI[[#This Row],[Winter Items Other]],Table_NFI[Winter Items Other])</f>
        <v>0</v>
      </c>
      <c r="AL39" s="264">
        <f>IF(NFI_Expiration=1,IF($A39&lt;VLOOKUP(M$5,NFI,5,0),1,0)*Table_NFI[[#This Row],[Winter Blanket]],Table_NFI[[#This Row],[Winter Blanket]])</f>
        <v>0</v>
      </c>
      <c r="AM39" s="264">
        <f>IF(Table_NFI[[#This Row],[Winter Clothes Adult]]+Table_NFI[[#This Row],[Winter Clothes Children]]+Table_NFI[[#This Row],[Winter Items Other]]+Table_NFI[[#This Row],[Winter Blanket]]&gt;0,1,0)</f>
        <v>0</v>
      </c>
      <c r="AN39" s="296">
        <f>IF(NFI_Expiration=1,IF($A39&lt;VLOOKUP(V$5,NFI,5,0),1,0)*Table_NFI[[#This Row],[Jerry Can]],Table_NFI[Jerry Can])</f>
        <v>4</v>
      </c>
      <c r="AO39" s="296">
        <f>IF(NFI_Expiration=1,IF($A39&lt;VLOOKUP(V$5,NFI,5,0),1,0)*Table_NFI[[#This Row],[Shelter Tool kit]],Table_NFI[Shelter Tool kit])</f>
        <v>0</v>
      </c>
      <c r="AP39" s="296">
        <f>IF(NFI_Expiration=1,IF($A39&lt;VLOOKUP(V$5,NFI,5,0),1,0)*Table_NFI[[#This Row],[Tent]],Table_NFI[Tent])</f>
        <v>0</v>
      </c>
      <c r="AQ39" s="396" t="str">
        <f>IFERROR(VLOOKUP(Table_NFI[[#This Row],[Camp Name]],CL,2,0),"")</f>
        <v>MMR001CMP007</v>
      </c>
      <c r="AR39" s="702">
        <f ca="1">IF(Table_NFI[[#This Row],[Pcode]]="","",IF(OFFSET(CampList[Opening Date],MATCH(Table_NFI[[#This Row],[Pcode]],CampList[CP_Pcode],0)-1,0,1,1)&gt;=NFI_Monitor_Date,1,0))</f>
        <v>0</v>
      </c>
      <c r="AS39" s="396" t="str">
        <f>IFERROR(VLOOKUP(Table_NFI[[#This Row],[Camp Name]],CL,3,0),"")</f>
        <v>Open</v>
      </c>
      <c r="AT39" s="264" t="str">
        <f ca="1">IF(Table_NFI[[#This Row],[Pcode]]="","",OFFSET(CampList[Priority],MATCH(Table_NFI[[#This Row],[Pcode]],CampList[CP_Pcode],0)-1,0,1,1))</f>
        <v>P4</v>
      </c>
      <c r="AU39" s="263">
        <f>IFERROR(Table_NFI[[#This Row],[Kitchen Set]]/VLOOKUP(Table_NFI[[#This Row],[Camp Name]],CL,4,0),"")</f>
        <v>9.7777995062211254E-5</v>
      </c>
      <c r="AV39" s="390"/>
      <c r="AW39" s="397" t="s">
        <v>1530</v>
      </c>
      <c r="AX39" s="399"/>
      <c r="AY39" s="399"/>
      <c r="AZ39" s="399"/>
      <c r="BA39" s="399"/>
      <c r="BB39" s="399"/>
      <c r="BC39" s="399"/>
      <c r="BD39" s="399"/>
      <c r="BE39" s="399"/>
      <c r="BF39" s="399"/>
      <c r="BG39" s="399"/>
      <c r="BH39" s="399"/>
      <c r="BI39" s="399"/>
      <c r="BJ39" s="399"/>
      <c r="BK39" s="399"/>
      <c r="BL39" s="399"/>
      <c r="BM39" s="399"/>
      <c r="BN39" s="399"/>
      <c r="BO39" s="399"/>
      <c r="BP39" s="399"/>
      <c r="BQ39" s="399"/>
      <c r="BR39" s="399"/>
      <c r="BS39" s="399"/>
      <c r="BT39" s="399"/>
      <c r="BU39" s="399"/>
      <c r="BV39" s="399"/>
      <c r="BW39" s="399"/>
      <c r="BX39" s="399"/>
      <c r="BY39" s="399"/>
      <c r="BZ39" s="399"/>
      <c r="CA39" s="399"/>
      <c r="CB39" s="399"/>
      <c r="CC39" s="399"/>
      <c r="CD39" s="399"/>
      <c r="CE39" s="399"/>
      <c r="CF39" s="399"/>
      <c r="CG39" s="399"/>
      <c r="CH39" s="399"/>
      <c r="CI39" s="399"/>
      <c r="CJ39" s="399"/>
      <c r="CK39" s="399"/>
      <c r="CL39" s="399"/>
      <c r="CM39" s="399"/>
      <c r="CN39" s="399"/>
      <c r="CO39" s="399"/>
      <c r="CP39" s="399"/>
      <c r="CQ39" s="399"/>
      <c r="CR39" s="399"/>
      <c r="CS39" s="399"/>
      <c r="CT39" s="399"/>
      <c r="CU39" s="399"/>
      <c r="CV39" s="399"/>
      <c r="CW39" s="399"/>
      <c r="CX39" s="399"/>
      <c r="CY39" s="399"/>
      <c r="CZ39" s="399"/>
      <c r="DA39" s="399"/>
      <c r="DB39" s="399"/>
      <c r="DC39" s="399"/>
      <c r="DD39" s="399"/>
      <c r="DE39" s="399"/>
      <c r="DF39" s="399"/>
      <c r="DG39" s="399"/>
      <c r="DH39" s="399"/>
      <c r="DI39" s="399"/>
      <c r="DJ39" s="399"/>
      <c r="DK39" s="399"/>
      <c r="DL39" s="399"/>
      <c r="DM39" s="399"/>
      <c r="DN39" s="399"/>
      <c r="DO39" s="399"/>
      <c r="DP39" s="399"/>
      <c r="DQ39" s="399"/>
    </row>
    <row r="40" spans="1:121" s="760" customFormat="1" ht="15" customHeight="1" x14ac:dyDescent="0.25">
      <c r="A40" s="266">
        <f t="shared" si="0"/>
        <v>2.6666666666666665</v>
      </c>
      <c r="B40" s="389">
        <v>42776</v>
      </c>
      <c r="C40" s="394" t="s">
        <v>451</v>
      </c>
      <c r="D40" s="394" t="s">
        <v>459</v>
      </c>
      <c r="E40" s="394" t="s">
        <v>380</v>
      </c>
      <c r="F40" s="394" t="s">
        <v>237</v>
      </c>
      <c r="G40" s="394" t="s">
        <v>269</v>
      </c>
      <c r="H40" s="261"/>
      <c r="I40" s="261">
        <v>4</v>
      </c>
      <c r="J40" s="261">
        <v>4</v>
      </c>
      <c r="K40" s="261">
        <v>8</v>
      </c>
      <c r="L40" s="261">
        <v>4</v>
      </c>
      <c r="M40" s="261">
        <v>11</v>
      </c>
      <c r="N40" s="261">
        <v>4</v>
      </c>
      <c r="O40" s="261"/>
      <c r="P40" s="261">
        <v>4</v>
      </c>
      <c r="Q40" s="261">
        <v>11</v>
      </c>
      <c r="R40" s="261"/>
      <c r="S40" s="261"/>
      <c r="T40" s="261"/>
      <c r="U40" s="261"/>
      <c r="V40" s="762">
        <v>4</v>
      </c>
      <c r="W40" s="762"/>
      <c r="X40" s="762"/>
      <c r="Y40" s="264">
        <f>IF(NFI_Expiration=1,IF($A40&lt;VLOOKUP(H$5,NFI,5,0),1,0)*Table_NFI[[#This Row],[Hygiene Kit]],Table_NFI[Hygiene Kit])</f>
        <v>0</v>
      </c>
      <c r="Z40" s="264">
        <f>IF(NFI_Expiration=1,IF($A40&lt;VLOOKUP(I$5,NFI,5,0),1,0)*Table_NFI[[#This Row],[NFI Core Kit]],Table_NFI[NFI Core Kit])</f>
        <v>4</v>
      </c>
      <c r="AA40" s="264">
        <f>IF(NFI_Expiration=1,IF($A40&lt;VLOOKUP(J$5,NFI,5,0),1,0)*Table_NFI[[#This Row],[Sanitary Kit]],Table_NFI[Sanitary Kit])</f>
        <v>4</v>
      </c>
      <c r="AB40" s="264">
        <f>IF(NFI_Expiration=1,IF($A40&lt;VLOOKUP(K$5,NFI,5,0),1,0)*Table_NFI[[#This Row],[Mosquito net]],Table_NFI[Mosquito net])</f>
        <v>8</v>
      </c>
      <c r="AC40" s="264">
        <f>IF(NFI_Expiration=1,IF($A40&lt;VLOOKUP(L$5,NFI,5,0),1,0)*Table_NFI[[#This Row],[Tarpaulin]],Table_NFI[[#This Row],[Tarpaulin]])</f>
        <v>4</v>
      </c>
      <c r="AD40" s="264">
        <f>IF(NFI_Expiration=1,IF($A40&lt;VLOOKUP(M$5,NFI,5,0),1,0)*Table_NFI[[#This Row],[Blanket]],Table_NFI[[#This Row],[Blanket]])</f>
        <v>11</v>
      </c>
      <c r="AE40" s="264">
        <f>IF(NFI_Expiration=1,IF($A40&lt;VLOOKUP(N$5,NFI,5,0),1,0)*Table_NFI[[#This Row],[Kitchen Set]],Table_NFI[Kitchen Set])</f>
        <v>4</v>
      </c>
      <c r="AF40" s="264">
        <f>IF(NFI_Expiration=1,IF($A40&lt;VLOOKUP(O$5,NFI,5,0),1,0)*Table_NFI[[#This Row],[Clothes Kit]],Table_NFI[Clothes Kit])</f>
        <v>0</v>
      </c>
      <c r="AG40" s="264">
        <f>IF(NFI_Expiration=1,IF($A40&lt;VLOOKUP(P$5,NFI,5,0),1,0)*Table_NFI[[#This Row],[Plastic Bucket]],Table_NFI[Plastic Bucket])</f>
        <v>4</v>
      </c>
      <c r="AH40" s="264">
        <f>IF(NFI_Expiration=1,IF($A40&lt;VLOOKUP(Q$5,NFI,5,0),1,0)*Table_NFI[[#This Row],[Plastic Mat]],Table_NFI[Plastic Mat])*IF(Table_NFI[[#This Row],[Distribution Date]]&gt;"2014-04-01",1,2.5)</f>
        <v>27.5</v>
      </c>
      <c r="AI40" s="264">
        <f>IF(NFI_Expiration=1,IF($A40&lt;VLOOKUP(R$5,NFI,5,0),1,0)*Table_NFI[[#This Row],[Winter Clothes Adult]],Table_NFI[Winter Clothes Adult])</f>
        <v>0</v>
      </c>
      <c r="AJ40" s="264">
        <f>IF(NFI_Expiration=1,IF($A40&lt;VLOOKUP(S$5,NFI,5,0),1,0)*Table_NFI[[#This Row],[Winter Clothes Children]],Table_NFI[Winter Clothes Children])</f>
        <v>0</v>
      </c>
      <c r="AK40" s="264">
        <f>IF(NFI_Expiration=1,IF($A40&lt;VLOOKUP(T$5,NFI,5,0),1,0)*Table_NFI[[#This Row],[Winter Items Other]],Table_NFI[Winter Items Other])</f>
        <v>0</v>
      </c>
      <c r="AL40" s="264">
        <f>IF(NFI_Expiration=1,IF($A40&lt;VLOOKUP(M$5,NFI,5,0),1,0)*Table_NFI[[#This Row],[Winter Blanket]],Table_NFI[[#This Row],[Winter Blanket]])</f>
        <v>0</v>
      </c>
      <c r="AM40" s="264">
        <f>IF(Table_NFI[[#This Row],[Winter Clothes Adult]]+Table_NFI[[#This Row],[Winter Clothes Children]]+Table_NFI[[#This Row],[Winter Items Other]]+Table_NFI[[#This Row],[Winter Blanket]]&gt;0,1,0)</f>
        <v>0</v>
      </c>
      <c r="AN40" s="296">
        <f>IF(NFI_Expiration=1,IF($A40&lt;VLOOKUP(V$5,NFI,5,0),1,0)*Table_NFI[[#This Row],[Jerry Can]],Table_NFI[Jerry Can])</f>
        <v>4</v>
      </c>
      <c r="AO40" s="296">
        <f>IF(NFI_Expiration=1,IF($A40&lt;VLOOKUP(V$5,NFI,5,0),1,0)*Table_NFI[[#This Row],[Shelter Tool kit]],Table_NFI[Shelter Tool kit])</f>
        <v>0</v>
      </c>
      <c r="AP40" s="296">
        <f>IF(NFI_Expiration=1,IF($A40&lt;VLOOKUP(V$5,NFI,5,0),1,0)*Table_NFI[[#This Row],[Tent]],Table_NFI[Tent])</f>
        <v>0</v>
      </c>
      <c r="AQ40" s="396" t="str">
        <f>IFERROR(VLOOKUP(Table_NFI[[#This Row],[Camp Name]],CL,2,0),"")</f>
        <v>MMR001CMP002</v>
      </c>
      <c r="AR40" s="702">
        <f ca="1">IF(Table_NFI[[#This Row],[Pcode]]="","",IF(OFFSET(CampList[Opening Date],MATCH(Table_NFI[[#This Row],[Pcode]],CampList[CP_Pcode],0)-1,0,1,1)&gt;=NFI_Monitor_Date,1,0))</f>
        <v>0</v>
      </c>
      <c r="AS40" s="396" t="str">
        <f>IFERROR(VLOOKUP(Table_NFI[[#This Row],[Camp Name]],CL,3,0),"")</f>
        <v>Open</v>
      </c>
      <c r="AT40" s="264" t="str">
        <f ca="1">IF(Table_NFI[[#This Row],[Pcode]]="","",OFFSET(CampList[Priority],MATCH(Table_NFI[[#This Row],[Pcode]],CampList[CP_Pcode],0)-1,0,1,1))</f>
        <v>P4</v>
      </c>
      <c r="AU40" s="263">
        <f>IFERROR(Table_NFI[[#This Row],[Kitchen Set]]/VLOOKUP(Table_NFI[[#This Row],[Camp Name]],CL,4,0),"")</f>
        <v>9.8292173485686198E-5</v>
      </c>
      <c r="AV40" s="390"/>
      <c r="AW40" s="397" t="s">
        <v>1530</v>
      </c>
      <c r="AX40" s="399"/>
      <c r="AY40" s="399"/>
      <c r="AZ40" s="399"/>
      <c r="BA40" s="399"/>
      <c r="BB40" s="399"/>
      <c r="BC40" s="399"/>
      <c r="BD40" s="399"/>
      <c r="BE40" s="399"/>
      <c r="BF40" s="399"/>
      <c r="BG40" s="399"/>
      <c r="BH40" s="399"/>
      <c r="BI40" s="399"/>
      <c r="BJ40" s="399"/>
      <c r="BK40" s="399"/>
      <c r="BL40" s="399"/>
      <c r="BM40" s="399"/>
      <c r="BN40" s="399"/>
      <c r="BO40" s="399"/>
      <c r="BP40" s="399"/>
      <c r="BQ40" s="399"/>
      <c r="BR40" s="399"/>
      <c r="BS40" s="399"/>
      <c r="BT40" s="399"/>
      <c r="BU40" s="399"/>
      <c r="BV40" s="399"/>
      <c r="BW40" s="399"/>
      <c r="BX40" s="399"/>
      <c r="BY40" s="399"/>
      <c r="BZ40" s="399"/>
      <c r="CA40" s="399"/>
      <c r="CB40" s="399"/>
      <c r="CC40" s="399"/>
      <c r="CD40" s="399"/>
      <c r="CE40" s="399"/>
      <c r="CF40" s="399"/>
      <c r="CG40" s="399"/>
      <c r="CH40" s="399"/>
      <c r="CI40" s="399"/>
      <c r="CJ40" s="399"/>
      <c r="CK40" s="399"/>
      <c r="CL40" s="399"/>
      <c r="CM40" s="399"/>
      <c r="CN40" s="399"/>
      <c r="CO40" s="399"/>
      <c r="CP40" s="399"/>
      <c r="CQ40" s="399"/>
      <c r="CR40" s="399"/>
      <c r="CS40" s="399"/>
      <c r="CT40" s="399"/>
      <c r="CU40" s="399"/>
      <c r="CV40" s="399"/>
      <c r="CW40" s="399"/>
      <c r="CX40" s="399"/>
      <c r="CY40" s="399"/>
      <c r="CZ40" s="399"/>
      <c r="DA40" s="399"/>
      <c r="DB40" s="399"/>
      <c r="DC40" s="399"/>
      <c r="DD40" s="399"/>
      <c r="DE40" s="399"/>
      <c r="DF40" s="399"/>
      <c r="DG40" s="399"/>
      <c r="DH40" s="399"/>
      <c r="DI40" s="399"/>
      <c r="DJ40" s="399"/>
      <c r="DK40" s="399"/>
      <c r="DL40" s="399"/>
      <c r="DM40" s="399"/>
      <c r="DN40" s="399"/>
      <c r="DO40" s="399"/>
      <c r="DP40" s="399"/>
      <c r="DQ40" s="399"/>
    </row>
    <row r="41" spans="1:121" s="760" customFormat="1" ht="15" customHeight="1" x14ac:dyDescent="0.25">
      <c r="A41" s="266">
        <f t="shared" si="0"/>
        <v>2.6666666666666665</v>
      </c>
      <c r="B41" s="389">
        <v>42776</v>
      </c>
      <c r="C41" s="394" t="s">
        <v>451</v>
      </c>
      <c r="D41" s="394" t="s">
        <v>459</v>
      </c>
      <c r="E41" s="394" t="s">
        <v>380</v>
      </c>
      <c r="F41" s="394" t="s">
        <v>237</v>
      </c>
      <c r="G41" s="394" t="s">
        <v>251</v>
      </c>
      <c r="H41" s="261"/>
      <c r="I41" s="261">
        <v>1</v>
      </c>
      <c r="J41" s="261">
        <v>1</v>
      </c>
      <c r="K41" s="261">
        <v>2</v>
      </c>
      <c r="L41" s="261">
        <v>1</v>
      </c>
      <c r="M41" s="261">
        <v>3</v>
      </c>
      <c r="N41" s="261">
        <v>1</v>
      </c>
      <c r="O41" s="261"/>
      <c r="P41" s="261">
        <v>1</v>
      </c>
      <c r="Q41" s="261">
        <v>3</v>
      </c>
      <c r="R41" s="261"/>
      <c r="S41" s="261"/>
      <c r="T41" s="261"/>
      <c r="U41" s="261"/>
      <c r="V41" s="762">
        <v>1</v>
      </c>
      <c r="W41" s="261"/>
      <c r="X41" s="261"/>
      <c r="Y41" s="264">
        <f>IF(NFI_Expiration=1,IF($A41&lt;VLOOKUP(H$5,NFI,5,0),1,0)*Table_NFI[[#This Row],[Hygiene Kit]],Table_NFI[Hygiene Kit])</f>
        <v>0</v>
      </c>
      <c r="Z41" s="264">
        <f>IF(NFI_Expiration=1,IF($A41&lt;VLOOKUP(I$5,NFI,5,0),1,0)*Table_NFI[[#This Row],[NFI Core Kit]],Table_NFI[NFI Core Kit])</f>
        <v>1</v>
      </c>
      <c r="AA41" s="264">
        <f>IF(NFI_Expiration=1,IF($A41&lt;VLOOKUP(J$5,NFI,5,0),1,0)*Table_NFI[[#This Row],[Sanitary Kit]],Table_NFI[Sanitary Kit])</f>
        <v>1</v>
      </c>
      <c r="AB41" s="264">
        <f>IF(NFI_Expiration=1,IF($A41&lt;VLOOKUP(K$5,NFI,5,0),1,0)*Table_NFI[[#This Row],[Mosquito net]],Table_NFI[Mosquito net])</f>
        <v>2</v>
      </c>
      <c r="AC41" s="264">
        <f>IF(NFI_Expiration=1,IF($A41&lt;VLOOKUP(L$5,NFI,5,0),1,0)*Table_NFI[[#This Row],[Tarpaulin]],Table_NFI[[#This Row],[Tarpaulin]])</f>
        <v>1</v>
      </c>
      <c r="AD41" s="264">
        <f>IF(NFI_Expiration=1,IF($A41&lt;VLOOKUP(M$5,NFI,5,0),1,0)*Table_NFI[[#This Row],[Blanket]],Table_NFI[[#This Row],[Blanket]])</f>
        <v>3</v>
      </c>
      <c r="AE41" s="264">
        <f>IF(NFI_Expiration=1,IF($A41&lt;VLOOKUP(N$5,NFI,5,0),1,0)*Table_NFI[[#This Row],[Kitchen Set]],Table_NFI[Kitchen Set])</f>
        <v>1</v>
      </c>
      <c r="AF41" s="264">
        <f>IF(NFI_Expiration=1,IF($A41&lt;VLOOKUP(O$5,NFI,5,0),1,0)*Table_NFI[[#This Row],[Clothes Kit]],Table_NFI[Clothes Kit])</f>
        <v>0</v>
      </c>
      <c r="AG41" s="264">
        <f>IF(NFI_Expiration=1,IF($A41&lt;VLOOKUP(P$5,NFI,5,0),1,0)*Table_NFI[[#This Row],[Plastic Bucket]],Table_NFI[Plastic Bucket])</f>
        <v>1</v>
      </c>
      <c r="AH41" s="264">
        <f>IF(NFI_Expiration=1,IF($A41&lt;VLOOKUP(Q$5,NFI,5,0),1,0)*Table_NFI[[#This Row],[Plastic Mat]],Table_NFI[Plastic Mat])*IF(Table_NFI[[#This Row],[Distribution Date]]&gt;"2014-04-01",1,2.5)</f>
        <v>7.5</v>
      </c>
      <c r="AI41" s="264">
        <f>IF(NFI_Expiration=1,IF($A41&lt;VLOOKUP(R$5,NFI,5,0),1,0)*Table_NFI[[#This Row],[Winter Clothes Adult]],Table_NFI[Winter Clothes Adult])</f>
        <v>0</v>
      </c>
      <c r="AJ41" s="264">
        <f>IF(NFI_Expiration=1,IF($A41&lt;VLOOKUP(S$5,NFI,5,0),1,0)*Table_NFI[[#This Row],[Winter Clothes Children]],Table_NFI[Winter Clothes Children])</f>
        <v>0</v>
      </c>
      <c r="AK41" s="264">
        <f>IF(NFI_Expiration=1,IF($A41&lt;VLOOKUP(T$5,NFI,5,0),1,0)*Table_NFI[[#This Row],[Winter Items Other]],Table_NFI[Winter Items Other])</f>
        <v>0</v>
      </c>
      <c r="AL41" s="264">
        <f>IF(NFI_Expiration=1,IF($A41&lt;VLOOKUP(M$5,NFI,5,0),1,0)*Table_NFI[[#This Row],[Winter Blanket]],Table_NFI[[#This Row],[Winter Blanket]])</f>
        <v>0</v>
      </c>
      <c r="AM41" s="264">
        <f>IF(Table_NFI[[#This Row],[Winter Clothes Adult]]+Table_NFI[[#This Row],[Winter Clothes Children]]+Table_NFI[[#This Row],[Winter Items Other]]+Table_NFI[[#This Row],[Winter Blanket]]&gt;0,1,0)</f>
        <v>0</v>
      </c>
      <c r="AN41" s="296">
        <f>IF(NFI_Expiration=1,IF($A41&lt;VLOOKUP(V$5,NFI,5,0),1,0)*Table_NFI[[#This Row],[Jerry Can]],Table_NFI[Jerry Can])</f>
        <v>1</v>
      </c>
      <c r="AO41" s="296">
        <f>IF(NFI_Expiration=1,IF($A41&lt;VLOOKUP(V$5,NFI,5,0),1,0)*Table_NFI[[#This Row],[Shelter Tool kit]],Table_NFI[Shelter Tool kit])</f>
        <v>0</v>
      </c>
      <c r="AP41" s="296">
        <f>IF(NFI_Expiration=1,IF($A41&lt;VLOOKUP(V$5,NFI,5,0),1,0)*Table_NFI[[#This Row],[Tent]],Table_NFI[Tent])</f>
        <v>0</v>
      </c>
      <c r="AQ41" s="396" t="str">
        <f>IFERROR(VLOOKUP(Table_NFI[[#This Row],[Camp Name]],CL,2,0),"")</f>
        <v>MMR001CMP003</v>
      </c>
      <c r="AR41" s="702">
        <f ca="1">IF(Table_NFI[[#This Row],[Pcode]]="","",IF(OFFSET(CampList[Opening Date],MATCH(Table_NFI[[#This Row],[Pcode]],CampList[CP_Pcode],0)-1,0,1,1)&gt;=NFI_Monitor_Date,1,0))</f>
        <v>0</v>
      </c>
      <c r="AS41" s="396" t="str">
        <f>IFERROR(VLOOKUP(Table_NFI[[#This Row],[Camp Name]],CL,3,0),"")</f>
        <v>Open</v>
      </c>
      <c r="AT41" s="264" t="str">
        <f ca="1">IF(Table_NFI[[#This Row],[Pcode]]="","",OFFSET(CampList[Priority],MATCH(Table_NFI[[#This Row],[Pcode]],CampList[CP_Pcode],0)-1,0,1,1))</f>
        <v>P4</v>
      </c>
      <c r="AU41" s="263">
        <f>IFERROR(Table_NFI[[#This Row],[Kitchen Set]]/VLOOKUP(Table_NFI[[#This Row],[Camp Name]],CL,4,0),"")</f>
        <v>2.4554941682013504E-5</v>
      </c>
      <c r="AV41" s="390"/>
      <c r="AW41" s="397" t="s">
        <v>1530</v>
      </c>
      <c r="AX41" s="399"/>
      <c r="AY41" s="399"/>
      <c r="AZ41" s="399"/>
      <c r="BA41" s="399"/>
      <c r="BB41" s="399"/>
      <c r="BC41" s="399"/>
      <c r="BD41" s="399"/>
      <c r="BE41" s="399"/>
      <c r="BF41" s="399"/>
      <c r="BG41" s="399"/>
      <c r="BH41" s="399"/>
      <c r="BI41" s="399"/>
      <c r="BJ41" s="399"/>
      <c r="BK41" s="399"/>
      <c r="BL41" s="399"/>
      <c r="BM41" s="399"/>
      <c r="BN41" s="399"/>
      <c r="BO41" s="399"/>
      <c r="BP41" s="399"/>
      <c r="BQ41" s="399"/>
      <c r="BR41" s="399"/>
      <c r="BS41" s="399"/>
      <c r="BT41" s="399"/>
      <c r="BU41" s="399"/>
      <c r="BV41" s="399"/>
      <c r="BW41" s="399"/>
      <c r="BX41" s="399"/>
      <c r="BY41" s="399"/>
      <c r="BZ41" s="399"/>
      <c r="CA41" s="399"/>
      <c r="CB41" s="399"/>
      <c r="CC41" s="399"/>
      <c r="CD41" s="399"/>
      <c r="CE41" s="399"/>
      <c r="CF41" s="399"/>
      <c r="CG41" s="399"/>
      <c r="CH41" s="399"/>
      <c r="CI41" s="399"/>
      <c r="CJ41" s="399"/>
      <c r="CK41" s="399"/>
      <c r="CL41" s="399"/>
      <c r="CM41" s="399"/>
      <c r="CN41" s="399"/>
      <c r="CO41" s="399"/>
      <c r="CP41" s="399"/>
      <c r="CQ41" s="399"/>
      <c r="CR41" s="399"/>
      <c r="CS41" s="399"/>
      <c r="CT41" s="399"/>
      <c r="CU41" s="399"/>
      <c r="CV41" s="399"/>
      <c r="CW41" s="399"/>
      <c r="CX41" s="399"/>
      <c r="CY41" s="399"/>
      <c r="CZ41" s="399"/>
      <c r="DA41" s="399"/>
      <c r="DB41" s="399"/>
      <c r="DC41" s="399"/>
      <c r="DD41" s="399"/>
      <c r="DE41" s="399"/>
      <c r="DF41" s="399"/>
      <c r="DG41" s="399"/>
      <c r="DH41" s="399"/>
      <c r="DI41" s="399"/>
      <c r="DJ41" s="399"/>
      <c r="DK41" s="399"/>
      <c r="DL41" s="399"/>
      <c r="DM41" s="399"/>
      <c r="DN41" s="399"/>
      <c r="DO41" s="399"/>
      <c r="DP41" s="399"/>
      <c r="DQ41" s="399"/>
    </row>
    <row r="42" spans="1:121" s="760" customFormat="1" ht="15" customHeight="1" x14ac:dyDescent="0.25">
      <c r="A42" s="266">
        <f t="shared" si="0"/>
        <v>2.6666666666666665</v>
      </c>
      <c r="B42" s="389">
        <v>42776</v>
      </c>
      <c r="C42" s="394" t="s">
        <v>451</v>
      </c>
      <c r="D42" s="394" t="s">
        <v>459</v>
      </c>
      <c r="E42" s="394" t="s">
        <v>380</v>
      </c>
      <c r="F42" s="394" t="s">
        <v>237</v>
      </c>
      <c r="G42" s="394" t="s">
        <v>275</v>
      </c>
      <c r="H42" s="261"/>
      <c r="I42" s="261">
        <v>1</v>
      </c>
      <c r="J42" s="261">
        <v>1</v>
      </c>
      <c r="K42" s="261">
        <v>3</v>
      </c>
      <c r="L42" s="261">
        <v>1</v>
      </c>
      <c r="M42" s="261">
        <v>4</v>
      </c>
      <c r="N42" s="261">
        <v>1</v>
      </c>
      <c r="O42" s="261"/>
      <c r="P42" s="261">
        <v>1</v>
      </c>
      <c r="Q42" s="261">
        <v>4</v>
      </c>
      <c r="R42" s="261"/>
      <c r="S42" s="261"/>
      <c r="T42" s="261"/>
      <c r="U42" s="261"/>
      <c r="V42" s="762">
        <v>1</v>
      </c>
      <c r="W42" s="762"/>
      <c r="X42" s="762"/>
      <c r="Y42" s="264">
        <f>IF(NFI_Expiration=1,IF($A42&lt;VLOOKUP(H$5,NFI,5,0),1,0)*Table_NFI[[#This Row],[Hygiene Kit]],Table_NFI[Hygiene Kit])</f>
        <v>0</v>
      </c>
      <c r="Z42" s="264">
        <f>IF(NFI_Expiration=1,IF($A42&lt;VLOOKUP(I$5,NFI,5,0),1,0)*Table_NFI[[#This Row],[NFI Core Kit]],Table_NFI[NFI Core Kit])</f>
        <v>1</v>
      </c>
      <c r="AA42" s="264">
        <f>IF(NFI_Expiration=1,IF($A42&lt;VLOOKUP(J$5,NFI,5,0),1,0)*Table_NFI[[#This Row],[Sanitary Kit]],Table_NFI[Sanitary Kit])</f>
        <v>1</v>
      </c>
      <c r="AB42" s="264">
        <f>IF(NFI_Expiration=1,IF($A42&lt;VLOOKUP(K$5,NFI,5,0),1,0)*Table_NFI[[#This Row],[Mosquito net]],Table_NFI[Mosquito net])</f>
        <v>3</v>
      </c>
      <c r="AC42" s="264">
        <f>IF(NFI_Expiration=1,IF($A42&lt;VLOOKUP(L$5,NFI,5,0),1,0)*Table_NFI[[#This Row],[Tarpaulin]],Table_NFI[[#This Row],[Tarpaulin]])</f>
        <v>1</v>
      </c>
      <c r="AD42" s="264">
        <f>IF(NFI_Expiration=1,IF($A42&lt;VLOOKUP(M$5,NFI,5,0),1,0)*Table_NFI[[#This Row],[Blanket]],Table_NFI[[#This Row],[Blanket]])</f>
        <v>4</v>
      </c>
      <c r="AE42" s="264">
        <f>IF(NFI_Expiration=1,IF($A42&lt;VLOOKUP(N$5,NFI,5,0),1,0)*Table_NFI[[#This Row],[Kitchen Set]],Table_NFI[Kitchen Set])</f>
        <v>1</v>
      </c>
      <c r="AF42" s="264">
        <f>IF(NFI_Expiration=1,IF($A42&lt;VLOOKUP(O$5,NFI,5,0),1,0)*Table_NFI[[#This Row],[Clothes Kit]],Table_NFI[Clothes Kit])</f>
        <v>0</v>
      </c>
      <c r="AG42" s="264">
        <f>IF(NFI_Expiration=1,IF($A42&lt;VLOOKUP(P$5,NFI,5,0),1,0)*Table_NFI[[#This Row],[Plastic Bucket]],Table_NFI[Plastic Bucket])</f>
        <v>1</v>
      </c>
      <c r="AH42" s="264">
        <f>IF(NFI_Expiration=1,IF($A42&lt;VLOOKUP(Q$5,NFI,5,0),1,0)*Table_NFI[[#This Row],[Plastic Mat]],Table_NFI[Plastic Mat])*IF(Table_NFI[[#This Row],[Distribution Date]]&gt;"2014-04-01",1,2.5)</f>
        <v>10</v>
      </c>
      <c r="AI42" s="264">
        <f>IF(NFI_Expiration=1,IF($A42&lt;VLOOKUP(R$5,NFI,5,0),1,0)*Table_NFI[[#This Row],[Winter Clothes Adult]],Table_NFI[Winter Clothes Adult])</f>
        <v>0</v>
      </c>
      <c r="AJ42" s="264">
        <f>IF(NFI_Expiration=1,IF($A42&lt;VLOOKUP(S$5,NFI,5,0),1,0)*Table_NFI[[#This Row],[Winter Clothes Children]],Table_NFI[Winter Clothes Children])</f>
        <v>0</v>
      </c>
      <c r="AK42" s="264">
        <f>IF(NFI_Expiration=1,IF($A42&lt;VLOOKUP(T$5,NFI,5,0),1,0)*Table_NFI[[#This Row],[Winter Items Other]],Table_NFI[Winter Items Other])</f>
        <v>0</v>
      </c>
      <c r="AL42" s="264">
        <f>IF(NFI_Expiration=1,IF($A42&lt;VLOOKUP(M$5,NFI,5,0),1,0)*Table_NFI[[#This Row],[Winter Blanket]],Table_NFI[[#This Row],[Winter Blanket]])</f>
        <v>0</v>
      </c>
      <c r="AM42" s="264">
        <f>IF(Table_NFI[[#This Row],[Winter Clothes Adult]]+Table_NFI[[#This Row],[Winter Clothes Children]]+Table_NFI[[#This Row],[Winter Items Other]]+Table_NFI[[#This Row],[Winter Blanket]]&gt;0,1,0)</f>
        <v>0</v>
      </c>
      <c r="AN42" s="296">
        <f>IF(NFI_Expiration=1,IF($A42&lt;VLOOKUP(V$5,NFI,5,0),1,0)*Table_NFI[[#This Row],[Jerry Can]],Table_NFI[Jerry Can])</f>
        <v>1</v>
      </c>
      <c r="AO42" s="296">
        <f>IF(NFI_Expiration=1,IF($A42&lt;VLOOKUP(V$5,NFI,5,0),1,0)*Table_NFI[[#This Row],[Shelter Tool kit]],Table_NFI[Shelter Tool kit])</f>
        <v>0</v>
      </c>
      <c r="AP42" s="296">
        <f>IF(NFI_Expiration=1,IF($A42&lt;VLOOKUP(V$5,NFI,5,0),1,0)*Table_NFI[[#This Row],[Tent]],Table_NFI[Tent])</f>
        <v>0</v>
      </c>
      <c r="AQ42" s="396" t="str">
        <f>IFERROR(VLOOKUP(Table_NFI[[#This Row],[Camp Name]],CL,2,0),"")</f>
        <v>MMR001CMP005</v>
      </c>
      <c r="AR42" s="702">
        <f ca="1">IF(Table_NFI[[#This Row],[Pcode]]="","",IF(OFFSET(CampList[Opening Date],MATCH(Table_NFI[[#This Row],[Pcode]],CampList[CP_Pcode],0)-1,0,1,1)&gt;=NFI_Monitor_Date,1,0))</f>
        <v>0</v>
      </c>
      <c r="AS42" s="396" t="str">
        <f>IFERROR(VLOOKUP(Table_NFI[[#This Row],[Camp Name]],CL,3,0),"")</f>
        <v>Open</v>
      </c>
      <c r="AT42" s="264" t="str">
        <f ca="1">IF(Table_NFI[[#This Row],[Pcode]]="","",OFFSET(CampList[Priority],MATCH(Table_NFI[[#This Row],[Pcode]],CampList[CP_Pcode],0)-1,0,1,1))</f>
        <v>P4</v>
      </c>
      <c r="AU42" s="263">
        <f>IFERROR(Table_NFI[[#This Row],[Kitchen Set]]/VLOOKUP(Table_NFI[[#This Row],[Camp Name]],CL,4,0),"")</f>
        <v>2.4499595756670014E-5</v>
      </c>
      <c r="AV42" s="390"/>
      <c r="AW42" s="397" t="s">
        <v>1530</v>
      </c>
      <c r="AX42" s="399"/>
      <c r="AY42" s="399"/>
      <c r="AZ42" s="399"/>
      <c r="BA42" s="399"/>
      <c r="BB42" s="399"/>
      <c r="BC42" s="399"/>
      <c r="BD42" s="399"/>
      <c r="BE42" s="399"/>
      <c r="BF42" s="399"/>
      <c r="BG42" s="399"/>
      <c r="BH42" s="399"/>
      <c r="BI42" s="399"/>
      <c r="BJ42" s="399"/>
      <c r="BK42" s="399"/>
      <c r="BL42" s="399"/>
      <c r="BM42" s="399"/>
      <c r="BN42" s="399"/>
      <c r="BO42" s="399"/>
      <c r="BP42" s="399"/>
      <c r="BQ42" s="399"/>
      <c r="BR42" s="399"/>
      <c r="BS42" s="399"/>
      <c r="BT42" s="399"/>
      <c r="BU42" s="399"/>
      <c r="BV42" s="399"/>
      <c r="BW42" s="399"/>
      <c r="BX42" s="399"/>
      <c r="BY42" s="399"/>
      <c r="BZ42" s="399"/>
      <c r="CA42" s="399"/>
      <c r="CB42" s="399"/>
      <c r="CC42" s="399"/>
      <c r="CD42" s="399"/>
      <c r="CE42" s="399"/>
      <c r="CF42" s="399"/>
      <c r="CG42" s="399"/>
      <c r="CH42" s="399"/>
      <c r="CI42" s="399"/>
      <c r="CJ42" s="399"/>
      <c r="CK42" s="399"/>
      <c r="CL42" s="399"/>
      <c r="CM42" s="399"/>
      <c r="CN42" s="399"/>
      <c r="CO42" s="399"/>
      <c r="CP42" s="399"/>
      <c r="CQ42" s="399"/>
      <c r="CR42" s="399"/>
      <c r="CS42" s="399"/>
      <c r="CT42" s="399"/>
      <c r="CU42" s="399"/>
      <c r="CV42" s="399"/>
      <c r="CW42" s="399"/>
      <c r="CX42" s="399"/>
      <c r="CY42" s="399"/>
      <c r="CZ42" s="399"/>
      <c r="DA42" s="399"/>
      <c r="DB42" s="399"/>
      <c r="DC42" s="399"/>
      <c r="DD42" s="399"/>
      <c r="DE42" s="399"/>
      <c r="DF42" s="399"/>
      <c r="DG42" s="399"/>
      <c r="DH42" s="399"/>
      <c r="DI42" s="399"/>
      <c r="DJ42" s="399"/>
      <c r="DK42" s="399"/>
      <c r="DL42" s="399"/>
      <c r="DM42" s="399"/>
      <c r="DN42" s="399"/>
      <c r="DO42" s="399"/>
      <c r="DP42" s="399"/>
      <c r="DQ42" s="399"/>
    </row>
    <row r="43" spans="1:121" s="760" customFormat="1" ht="14.45" customHeight="1" x14ac:dyDescent="0.25">
      <c r="A43" s="266">
        <f t="shared" si="0"/>
        <v>2.6666666666666665</v>
      </c>
      <c r="B43" s="389">
        <v>42776</v>
      </c>
      <c r="C43" s="394" t="s">
        <v>451</v>
      </c>
      <c r="D43" s="394" t="s">
        <v>504</v>
      </c>
      <c r="E43" s="394" t="s">
        <v>380</v>
      </c>
      <c r="F43" s="394" t="s">
        <v>5</v>
      </c>
      <c r="G43" s="394" t="s">
        <v>8</v>
      </c>
      <c r="H43" s="261"/>
      <c r="I43" s="261"/>
      <c r="J43" s="261"/>
      <c r="K43" s="261"/>
      <c r="L43" s="261">
        <v>8</v>
      </c>
      <c r="M43" s="261"/>
      <c r="N43" s="261"/>
      <c r="O43" s="261"/>
      <c r="P43" s="261"/>
      <c r="Q43" s="261"/>
      <c r="R43" s="261"/>
      <c r="S43" s="261"/>
      <c r="T43" s="261"/>
      <c r="U43" s="261"/>
      <c r="V43" s="762"/>
      <c r="W43" s="261"/>
      <c r="X43" s="261"/>
      <c r="Y43" s="264">
        <f>IF(NFI_Expiration=1,IF($A43&lt;VLOOKUP(H$5,NFI,5,0),1,0)*Table_NFI[[#This Row],[Hygiene Kit]],Table_NFI[Hygiene Kit])</f>
        <v>0</v>
      </c>
      <c r="Z43" s="264">
        <f>IF(NFI_Expiration=1,IF($A43&lt;VLOOKUP(I$5,NFI,5,0),1,0)*Table_NFI[[#This Row],[NFI Core Kit]],Table_NFI[NFI Core Kit])</f>
        <v>0</v>
      </c>
      <c r="AA43" s="264">
        <f>IF(NFI_Expiration=1,IF($A43&lt;VLOOKUP(J$5,NFI,5,0),1,0)*Table_NFI[[#This Row],[Sanitary Kit]],Table_NFI[Sanitary Kit])</f>
        <v>0</v>
      </c>
      <c r="AB43" s="264">
        <f>IF(NFI_Expiration=1,IF($A43&lt;VLOOKUP(K$5,NFI,5,0),1,0)*Table_NFI[[#This Row],[Mosquito net]],Table_NFI[Mosquito net])</f>
        <v>0</v>
      </c>
      <c r="AC43" s="264">
        <f>IF(NFI_Expiration=1,IF($A43&lt;VLOOKUP(L$5,NFI,5,0),1,0)*Table_NFI[[#This Row],[Tarpaulin]],Table_NFI[[#This Row],[Tarpaulin]])</f>
        <v>8</v>
      </c>
      <c r="AD43" s="264">
        <f>IF(NFI_Expiration=1,IF($A43&lt;VLOOKUP(M$5,NFI,5,0),1,0)*Table_NFI[[#This Row],[Blanket]],Table_NFI[[#This Row],[Blanket]])</f>
        <v>0</v>
      </c>
      <c r="AE43" s="264">
        <f>IF(NFI_Expiration=1,IF($A43&lt;VLOOKUP(N$5,NFI,5,0),1,0)*Table_NFI[[#This Row],[Kitchen Set]],Table_NFI[Kitchen Set])</f>
        <v>0</v>
      </c>
      <c r="AF43" s="264">
        <f>IF(NFI_Expiration=1,IF($A43&lt;VLOOKUP(O$5,NFI,5,0),1,0)*Table_NFI[[#This Row],[Clothes Kit]],Table_NFI[Clothes Kit])</f>
        <v>0</v>
      </c>
      <c r="AG43" s="264">
        <f>IF(NFI_Expiration=1,IF($A43&lt;VLOOKUP(P$5,NFI,5,0),1,0)*Table_NFI[[#This Row],[Plastic Bucket]],Table_NFI[Plastic Bucket])</f>
        <v>0</v>
      </c>
      <c r="AH43" s="264">
        <f>IF(NFI_Expiration=1,IF($A43&lt;VLOOKUP(Q$5,NFI,5,0),1,0)*Table_NFI[[#This Row],[Plastic Mat]],Table_NFI[Plastic Mat])*IF(Table_NFI[[#This Row],[Distribution Date]]&gt;"2014-04-01",1,2.5)</f>
        <v>0</v>
      </c>
      <c r="AI43" s="264">
        <f>IF(NFI_Expiration=1,IF($A43&lt;VLOOKUP(R$5,NFI,5,0),1,0)*Table_NFI[[#This Row],[Winter Clothes Adult]],Table_NFI[Winter Clothes Adult])</f>
        <v>0</v>
      </c>
      <c r="AJ43" s="264">
        <f>IF(NFI_Expiration=1,IF($A43&lt;VLOOKUP(S$5,NFI,5,0),1,0)*Table_NFI[[#This Row],[Winter Clothes Children]],Table_NFI[Winter Clothes Children])</f>
        <v>0</v>
      </c>
      <c r="AK43" s="264">
        <f>IF(NFI_Expiration=1,IF($A43&lt;VLOOKUP(T$5,NFI,5,0),1,0)*Table_NFI[[#This Row],[Winter Items Other]],Table_NFI[Winter Items Other])</f>
        <v>0</v>
      </c>
      <c r="AL43" s="264">
        <f>IF(NFI_Expiration=1,IF($A43&lt;VLOOKUP(M$5,NFI,5,0),1,0)*Table_NFI[[#This Row],[Winter Blanket]],Table_NFI[[#This Row],[Winter Blanket]])</f>
        <v>0</v>
      </c>
      <c r="AM43" s="264">
        <f>IF(Table_NFI[[#This Row],[Winter Clothes Adult]]+Table_NFI[[#This Row],[Winter Clothes Children]]+Table_NFI[[#This Row],[Winter Items Other]]+Table_NFI[[#This Row],[Winter Blanket]]&gt;0,1,0)</f>
        <v>0</v>
      </c>
      <c r="AN43" s="296">
        <f>IF(NFI_Expiration=1,IF($A43&lt;VLOOKUP(V$5,NFI,5,0),1,0)*Table_NFI[[#This Row],[Jerry Can]],Table_NFI[Jerry Can])</f>
        <v>0</v>
      </c>
      <c r="AO43" s="296">
        <f>IF(NFI_Expiration=1,IF($A43&lt;VLOOKUP(V$5,NFI,5,0),1,0)*Table_NFI[[#This Row],[Shelter Tool kit]],Table_NFI[Shelter Tool kit])</f>
        <v>0</v>
      </c>
      <c r="AP43" s="296">
        <f>IF(NFI_Expiration=1,IF($A43&lt;VLOOKUP(V$5,NFI,5,0),1,0)*Table_NFI[[#This Row],[Tent]],Table_NFI[Tent])</f>
        <v>0</v>
      </c>
      <c r="AQ43" s="396" t="str">
        <f>IFERROR(VLOOKUP(Table_NFI[[#This Row],[Camp Name]],CL,2,0),"")</f>
        <v>MMR001CMP051</v>
      </c>
      <c r="AR43" s="702">
        <f ca="1">IF(Table_NFI[[#This Row],[Pcode]]="","",IF(OFFSET(CampList[Opening Date],MATCH(Table_NFI[[#This Row],[Pcode]],CampList[CP_Pcode],0)-1,0,1,1)&gt;=NFI_Monitor_Date,1,0))</f>
        <v>0</v>
      </c>
      <c r="AS43" s="396" t="str">
        <f>IFERROR(VLOOKUP(Table_NFI[[#This Row],[Camp Name]],CL,3,0),"")</f>
        <v>Open</v>
      </c>
      <c r="AT43" s="264" t="str">
        <f ca="1">IF(Table_NFI[[#This Row],[Pcode]]="","",OFFSET(CampList[Priority],MATCH(Table_NFI[[#This Row],[Pcode]],CampList[CP_Pcode],0)-1,0,1,1))</f>
        <v>P4</v>
      </c>
      <c r="AU43" s="263">
        <f>IFERROR(Table_NFI[[#This Row],[Kitchen Set]]/VLOOKUP(Table_NFI[[#This Row],[Camp Name]],CL,4,0),"")</f>
        <v>0</v>
      </c>
      <c r="AV43" s="390"/>
      <c r="AW43" s="397" t="s">
        <v>1530</v>
      </c>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399"/>
      <c r="BX43" s="399"/>
      <c r="BY43" s="399"/>
      <c r="BZ43" s="399"/>
      <c r="CA43" s="399"/>
      <c r="CB43" s="399"/>
      <c r="CC43" s="399"/>
      <c r="CD43" s="399"/>
      <c r="CE43" s="399"/>
      <c r="CF43" s="399"/>
      <c r="CG43" s="399"/>
      <c r="CH43" s="399"/>
      <c r="CI43" s="399"/>
      <c r="CJ43" s="399"/>
      <c r="CK43" s="399"/>
      <c r="CL43" s="399"/>
      <c r="CM43" s="399"/>
      <c r="CN43" s="399"/>
      <c r="CO43" s="399"/>
      <c r="CP43" s="399"/>
      <c r="CQ43" s="399"/>
      <c r="CR43" s="399"/>
      <c r="CS43" s="399"/>
      <c r="CT43" s="399"/>
      <c r="CU43" s="399"/>
      <c r="CV43" s="399"/>
      <c r="CW43" s="399"/>
      <c r="CX43" s="399"/>
      <c r="CY43" s="399"/>
      <c r="CZ43" s="399"/>
      <c r="DA43" s="399"/>
      <c r="DB43" s="399"/>
      <c r="DC43" s="399"/>
      <c r="DD43" s="399"/>
      <c r="DE43" s="399"/>
      <c r="DF43" s="399"/>
      <c r="DG43" s="399"/>
      <c r="DH43" s="399"/>
      <c r="DI43" s="399"/>
      <c r="DJ43" s="399"/>
      <c r="DK43" s="399"/>
      <c r="DL43" s="399"/>
      <c r="DM43" s="399"/>
      <c r="DN43" s="399"/>
      <c r="DO43" s="399"/>
      <c r="DP43" s="399"/>
      <c r="DQ43" s="399"/>
    </row>
    <row r="44" spans="1:121" s="760" customFormat="1" ht="15" customHeight="1" x14ac:dyDescent="0.25">
      <c r="A44" s="266">
        <f t="shared" si="0"/>
        <v>2.7</v>
      </c>
      <c r="B44" s="389">
        <v>42775</v>
      </c>
      <c r="C44" s="394" t="s">
        <v>451</v>
      </c>
      <c r="D44" s="394" t="s">
        <v>459</v>
      </c>
      <c r="E44" s="394" t="s">
        <v>380</v>
      </c>
      <c r="F44" s="394" t="s">
        <v>310</v>
      </c>
      <c r="G44" s="394" t="s">
        <v>324</v>
      </c>
      <c r="H44" s="261"/>
      <c r="I44" s="261">
        <v>17</v>
      </c>
      <c r="J44" s="261">
        <v>17</v>
      </c>
      <c r="K44" s="261">
        <v>114</v>
      </c>
      <c r="L44" s="261">
        <v>17</v>
      </c>
      <c r="M44" s="261">
        <v>174</v>
      </c>
      <c r="N44" s="261">
        <v>17</v>
      </c>
      <c r="O44" s="261"/>
      <c r="P44" s="261">
        <v>17</v>
      </c>
      <c r="Q44" s="261">
        <v>188</v>
      </c>
      <c r="R44" s="261"/>
      <c r="S44" s="261"/>
      <c r="T44" s="261"/>
      <c r="U44" s="261"/>
      <c r="V44" s="762">
        <v>17</v>
      </c>
      <c r="W44" s="261"/>
      <c r="X44" s="261">
        <v>49</v>
      </c>
      <c r="Y44" s="264">
        <f>IF(NFI_Expiration=1,IF($A44&lt;VLOOKUP(H$5,NFI,5,0),1,0)*Table_NFI[[#This Row],[Hygiene Kit]],Table_NFI[Hygiene Kit])</f>
        <v>0</v>
      </c>
      <c r="Z44" s="264">
        <f>IF(NFI_Expiration=1,IF($A44&lt;VLOOKUP(I$5,NFI,5,0),1,0)*Table_NFI[[#This Row],[NFI Core Kit]],Table_NFI[NFI Core Kit])</f>
        <v>17</v>
      </c>
      <c r="AA44" s="264">
        <f>IF(NFI_Expiration=1,IF($A44&lt;VLOOKUP(J$5,NFI,5,0),1,0)*Table_NFI[[#This Row],[Sanitary Kit]],Table_NFI[Sanitary Kit])</f>
        <v>17</v>
      </c>
      <c r="AB44" s="264">
        <f>IF(NFI_Expiration=1,IF($A44&lt;VLOOKUP(K$5,NFI,5,0),1,0)*Table_NFI[[#This Row],[Mosquito net]],Table_NFI[Mosquito net])</f>
        <v>114</v>
      </c>
      <c r="AC44" s="264">
        <f>IF(NFI_Expiration=1,IF($A44&lt;VLOOKUP(L$5,NFI,5,0),1,0)*Table_NFI[[#This Row],[Tarpaulin]],Table_NFI[[#This Row],[Tarpaulin]])</f>
        <v>17</v>
      </c>
      <c r="AD44" s="264">
        <f>IF(NFI_Expiration=1,IF($A44&lt;VLOOKUP(M$5,NFI,5,0),1,0)*Table_NFI[[#This Row],[Blanket]],Table_NFI[[#This Row],[Blanket]])</f>
        <v>174</v>
      </c>
      <c r="AE44" s="264">
        <f>IF(NFI_Expiration=1,IF($A44&lt;VLOOKUP(N$5,NFI,5,0),1,0)*Table_NFI[[#This Row],[Kitchen Set]],Table_NFI[Kitchen Set])</f>
        <v>17</v>
      </c>
      <c r="AF44" s="264">
        <f>IF(NFI_Expiration=1,IF($A44&lt;VLOOKUP(O$5,NFI,5,0),1,0)*Table_NFI[[#This Row],[Clothes Kit]],Table_NFI[Clothes Kit])</f>
        <v>0</v>
      </c>
      <c r="AG44" s="264">
        <f>IF(NFI_Expiration=1,IF($A44&lt;VLOOKUP(P$5,NFI,5,0),1,0)*Table_NFI[[#This Row],[Plastic Bucket]],Table_NFI[Plastic Bucket])</f>
        <v>17</v>
      </c>
      <c r="AH44" s="264">
        <f>IF(NFI_Expiration=1,IF($A44&lt;VLOOKUP(Q$5,NFI,5,0),1,0)*Table_NFI[[#This Row],[Plastic Mat]],Table_NFI[Plastic Mat])*IF(Table_NFI[[#This Row],[Distribution Date]]&gt;"2014-04-01",1,2.5)</f>
        <v>470</v>
      </c>
      <c r="AI44" s="264">
        <f>IF(NFI_Expiration=1,IF($A44&lt;VLOOKUP(R$5,NFI,5,0),1,0)*Table_NFI[[#This Row],[Winter Clothes Adult]],Table_NFI[Winter Clothes Adult])</f>
        <v>0</v>
      </c>
      <c r="AJ44" s="264">
        <f>IF(NFI_Expiration=1,IF($A44&lt;VLOOKUP(S$5,NFI,5,0),1,0)*Table_NFI[[#This Row],[Winter Clothes Children]],Table_NFI[Winter Clothes Children])</f>
        <v>0</v>
      </c>
      <c r="AK44" s="264">
        <f>IF(NFI_Expiration=1,IF($A44&lt;VLOOKUP(T$5,NFI,5,0),1,0)*Table_NFI[[#This Row],[Winter Items Other]],Table_NFI[Winter Items Other])</f>
        <v>0</v>
      </c>
      <c r="AL44" s="264">
        <f>IF(NFI_Expiration=1,IF($A44&lt;VLOOKUP(M$5,NFI,5,0),1,0)*Table_NFI[[#This Row],[Winter Blanket]],Table_NFI[[#This Row],[Winter Blanket]])</f>
        <v>0</v>
      </c>
      <c r="AM44" s="264">
        <f>IF(Table_NFI[[#This Row],[Winter Clothes Adult]]+Table_NFI[[#This Row],[Winter Clothes Children]]+Table_NFI[[#This Row],[Winter Items Other]]+Table_NFI[[#This Row],[Winter Blanket]]&gt;0,1,0)</f>
        <v>0</v>
      </c>
      <c r="AN44" s="296">
        <f>IF(NFI_Expiration=1,IF($A44&lt;VLOOKUP(V$5,NFI,5,0),1,0)*Table_NFI[[#This Row],[Jerry Can]],Table_NFI[Jerry Can])</f>
        <v>17</v>
      </c>
      <c r="AO44" s="296">
        <f>IF(NFI_Expiration=1,IF($A44&lt;VLOOKUP(V$5,NFI,5,0),1,0)*Table_NFI[[#This Row],[Shelter Tool kit]],Table_NFI[Shelter Tool kit])</f>
        <v>0</v>
      </c>
      <c r="AP44" s="296">
        <f>IF(NFI_Expiration=1,IF($A44&lt;VLOOKUP(V$5,NFI,5,0),1,0)*Table_NFI[[#This Row],[Tent]],Table_NFI[Tent])</f>
        <v>49</v>
      </c>
      <c r="AQ44" s="396" t="str">
        <f>IFERROR(VLOOKUP(Table_NFI[[#This Row],[Camp Name]],CL,2,0),"")</f>
        <v>MMR001CMP040</v>
      </c>
      <c r="AR44" s="702">
        <f ca="1">IF(Table_NFI[[#This Row],[Pcode]]="","",IF(OFFSET(CampList[Opening Date],MATCH(Table_NFI[[#This Row],[Pcode]],CampList[CP_Pcode],0)-1,0,1,1)&gt;=NFI_Monitor_Date,1,0))</f>
        <v>0</v>
      </c>
      <c r="AS44" s="396" t="str">
        <f>IFERROR(VLOOKUP(Table_NFI[[#This Row],[Camp Name]],CL,3,0),"")</f>
        <v>Open</v>
      </c>
      <c r="AT44" s="264" t="str">
        <f ca="1">IF(Table_NFI[[#This Row],[Pcode]]="","",OFFSET(CampList[Priority],MATCH(Table_NFI[[#This Row],[Pcode]],CampList[CP_Pcode],0)-1,0,1,1))</f>
        <v>P4</v>
      </c>
      <c r="AU44" s="263">
        <f>IFERROR(Table_NFI[[#This Row],[Kitchen Set]]/VLOOKUP(Table_NFI[[#This Row],[Camp Name]],CL,4,0),"")</f>
        <v>4.1401816809137626E-4</v>
      </c>
      <c r="AV44" s="390"/>
      <c r="AW44" s="397" t="s">
        <v>1530</v>
      </c>
      <c r="AX44" s="399"/>
      <c r="AY44" s="399"/>
      <c r="AZ44" s="399"/>
      <c r="BA44" s="399"/>
      <c r="BB44" s="399"/>
      <c r="BC44" s="399"/>
      <c r="BD44" s="399"/>
      <c r="BE44" s="399"/>
      <c r="BF44" s="399"/>
      <c r="BG44" s="399"/>
      <c r="BH44" s="399"/>
      <c r="BI44" s="399"/>
      <c r="BJ44" s="399"/>
      <c r="BK44" s="399"/>
      <c r="BL44" s="399"/>
      <c r="BM44" s="399"/>
      <c r="BN44" s="399"/>
      <c r="BO44" s="399"/>
      <c r="BP44" s="399"/>
      <c r="BQ44" s="399"/>
      <c r="BR44" s="399"/>
      <c r="BS44" s="399"/>
      <c r="BT44" s="399"/>
      <c r="BU44" s="399"/>
      <c r="BV44" s="399"/>
      <c r="BW44" s="399"/>
      <c r="BX44" s="399"/>
      <c r="BY44" s="399"/>
      <c r="BZ44" s="399"/>
      <c r="CA44" s="399"/>
      <c r="CB44" s="399"/>
      <c r="CC44" s="399"/>
      <c r="CD44" s="399"/>
      <c r="CE44" s="399"/>
      <c r="CF44" s="399"/>
      <c r="CG44" s="399"/>
      <c r="CH44" s="399"/>
      <c r="CI44" s="399"/>
      <c r="CJ44" s="399"/>
      <c r="CK44" s="399"/>
      <c r="CL44" s="399"/>
      <c r="CM44" s="399"/>
      <c r="CN44" s="399"/>
      <c r="CO44" s="399"/>
      <c r="CP44" s="399"/>
      <c r="CQ44" s="399"/>
      <c r="CR44" s="399"/>
      <c r="CS44" s="399"/>
      <c r="CT44" s="399"/>
      <c r="CU44" s="399"/>
      <c r="CV44" s="399"/>
      <c r="CW44" s="399"/>
      <c r="CX44" s="399"/>
      <c r="CY44" s="399"/>
      <c r="CZ44" s="399"/>
      <c r="DA44" s="399"/>
      <c r="DB44" s="399"/>
      <c r="DC44" s="399"/>
      <c r="DD44" s="399"/>
      <c r="DE44" s="399"/>
      <c r="DF44" s="399"/>
      <c r="DG44" s="399"/>
      <c r="DH44" s="399"/>
      <c r="DI44" s="399"/>
      <c r="DJ44" s="399"/>
      <c r="DK44" s="399"/>
      <c r="DL44" s="399"/>
      <c r="DM44" s="399"/>
      <c r="DN44" s="399"/>
      <c r="DO44" s="399"/>
      <c r="DP44" s="399"/>
      <c r="DQ44" s="399"/>
    </row>
    <row r="45" spans="1:121" s="760" customFormat="1" ht="14.45" customHeight="1" x14ac:dyDescent="0.25">
      <c r="A45" s="266">
        <f t="shared" si="0"/>
        <v>2.9333333333333331</v>
      </c>
      <c r="B45" s="389">
        <v>42768</v>
      </c>
      <c r="C45" s="394" t="s">
        <v>451</v>
      </c>
      <c r="D45" s="394" t="s">
        <v>1427</v>
      </c>
      <c r="E45" s="394" t="s">
        <v>380</v>
      </c>
      <c r="F45" s="394" t="s">
        <v>151</v>
      </c>
      <c r="G45" s="394" t="s">
        <v>941</v>
      </c>
      <c r="H45" s="261"/>
      <c r="I45" s="261">
        <v>25</v>
      </c>
      <c r="J45" s="261">
        <v>25</v>
      </c>
      <c r="K45" s="261">
        <v>25</v>
      </c>
      <c r="L45" s="261">
        <v>25</v>
      </c>
      <c r="M45" s="261">
        <v>45</v>
      </c>
      <c r="N45" s="261">
        <v>25</v>
      </c>
      <c r="O45" s="261"/>
      <c r="P45" s="261">
        <v>25</v>
      </c>
      <c r="Q45" s="261">
        <v>83</v>
      </c>
      <c r="R45" s="261"/>
      <c r="S45" s="261"/>
      <c r="T45" s="261"/>
      <c r="U45" s="261"/>
      <c r="V45" s="762">
        <v>25</v>
      </c>
      <c r="W45" s="261"/>
      <c r="X45" s="261"/>
      <c r="Y45" s="264">
        <f>IF(NFI_Expiration=1,IF($A45&lt;VLOOKUP(H$5,NFI,5,0),1,0)*Table_NFI[[#This Row],[Hygiene Kit]],Table_NFI[Hygiene Kit])</f>
        <v>0</v>
      </c>
      <c r="Z45" s="264">
        <f>IF(NFI_Expiration=1,IF($A45&lt;VLOOKUP(I$5,NFI,5,0),1,0)*Table_NFI[[#This Row],[NFI Core Kit]],Table_NFI[NFI Core Kit])</f>
        <v>25</v>
      </c>
      <c r="AA45" s="264">
        <f>IF(NFI_Expiration=1,IF($A45&lt;VLOOKUP(J$5,NFI,5,0),1,0)*Table_NFI[[#This Row],[Sanitary Kit]],Table_NFI[Sanitary Kit])</f>
        <v>25</v>
      </c>
      <c r="AB45" s="264">
        <f>IF(NFI_Expiration=1,IF($A45&lt;VLOOKUP(K$5,NFI,5,0),1,0)*Table_NFI[[#This Row],[Mosquito net]],Table_NFI[Mosquito net])</f>
        <v>25</v>
      </c>
      <c r="AC45" s="264">
        <f>IF(NFI_Expiration=1,IF($A45&lt;VLOOKUP(L$5,NFI,5,0),1,0)*Table_NFI[[#This Row],[Tarpaulin]],Table_NFI[[#This Row],[Tarpaulin]])</f>
        <v>25</v>
      </c>
      <c r="AD45" s="264">
        <f>IF(NFI_Expiration=1,IF($A45&lt;VLOOKUP(M$5,NFI,5,0),1,0)*Table_NFI[[#This Row],[Blanket]],Table_NFI[[#This Row],[Blanket]])</f>
        <v>45</v>
      </c>
      <c r="AE45" s="264">
        <f>IF(NFI_Expiration=1,IF($A45&lt;VLOOKUP(N$5,NFI,5,0),1,0)*Table_NFI[[#This Row],[Kitchen Set]],Table_NFI[Kitchen Set])</f>
        <v>25</v>
      </c>
      <c r="AF45" s="264">
        <f>IF(NFI_Expiration=1,IF($A45&lt;VLOOKUP(O$5,NFI,5,0),1,0)*Table_NFI[[#This Row],[Clothes Kit]],Table_NFI[Clothes Kit])</f>
        <v>0</v>
      </c>
      <c r="AG45" s="264">
        <f>IF(NFI_Expiration=1,IF($A45&lt;VLOOKUP(P$5,NFI,5,0),1,0)*Table_NFI[[#This Row],[Plastic Bucket]],Table_NFI[Plastic Bucket])</f>
        <v>25</v>
      </c>
      <c r="AH45" s="264">
        <f>IF(NFI_Expiration=1,IF($A45&lt;VLOOKUP(Q$5,NFI,5,0),1,0)*Table_NFI[[#This Row],[Plastic Mat]],Table_NFI[Plastic Mat])*IF(Table_NFI[[#This Row],[Distribution Date]]&gt;"2014-04-01",1,2.5)</f>
        <v>207.5</v>
      </c>
      <c r="AI45" s="264">
        <f>IF(NFI_Expiration=1,IF($A45&lt;VLOOKUP(R$5,NFI,5,0),1,0)*Table_NFI[[#This Row],[Winter Clothes Adult]],Table_NFI[Winter Clothes Adult])</f>
        <v>0</v>
      </c>
      <c r="AJ45" s="264">
        <f>IF(NFI_Expiration=1,IF($A45&lt;VLOOKUP(S$5,NFI,5,0),1,0)*Table_NFI[[#This Row],[Winter Clothes Children]],Table_NFI[Winter Clothes Children])</f>
        <v>0</v>
      </c>
      <c r="AK45" s="264">
        <f>IF(NFI_Expiration=1,IF($A45&lt;VLOOKUP(T$5,NFI,5,0),1,0)*Table_NFI[[#This Row],[Winter Items Other]],Table_NFI[Winter Items Other])</f>
        <v>0</v>
      </c>
      <c r="AL45" s="264">
        <f>IF(NFI_Expiration=1,IF($A45&lt;VLOOKUP(M$5,NFI,5,0),1,0)*Table_NFI[[#This Row],[Winter Blanket]],Table_NFI[[#This Row],[Winter Blanket]])</f>
        <v>0</v>
      </c>
      <c r="AM45" s="264">
        <f>IF(Table_NFI[[#This Row],[Winter Clothes Adult]]+Table_NFI[[#This Row],[Winter Clothes Children]]+Table_NFI[[#This Row],[Winter Items Other]]+Table_NFI[[#This Row],[Winter Blanket]]&gt;0,1,0)</f>
        <v>0</v>
      </c>
      <c r="AN45" s="296">
        <f>IF(NFI_Expiration=1,IF($A45&lt;VLOOKUP(V$5,NFI,5,0),1,0)*Table_NFI[[#This Row],[Jerry Can]],Table_NFI[Jerry Can])</f>
        <v>25</v>
      </c>
      <c r="AO45" s="296">
        <f>IF(NFI_Expiration=1,IF($A45&lt;VLOOKUP(V$5,NFI,5,0),1,0)*Table_NFI[[#This Row],[Shelter Tool kit]],Table_NFI[Shelter Tool kit])</f>
        <v>0</v>
      </c>
      <c r="AP45" s="296">
        <f>IF(NFI_Expiration=1,IF($A45&lt;VLOOKUP(V$5,NFI,5,0),1,0)*Table_NFI[[#This Row],[Tent]],Table_NFI[Tent])</f>
        <v>0</v>
      </c>
      <c r="AQ45" s="396" t="str">
        <f>IFERROR(VLOOKUP(Table_NFI[[#This Row],[Camp Name]],CL,2,0),"")</f>
        <v>MMR001CMP223</v>
      </c>
      <c r="AR45" s="702">
        <f ca="1">IF(Table_NFI[[#This Row],[Pcode]]="","",IF(OFFSET(CampList[Opening Date],MATCH(Table_NFI[[#This Row],[Pcode]],CampList[CP_Pcode],0)-1,0,1,1)&gt;=NFI_Monitor_Date,1,0))</f>
        <v>0</v>
      </c>
      <c r="AS45" s="396" t="str">
        <f>IFERROR(VLOOKUP(Table_NFI[[#This Row],[Camp Name]],CL,3,0),"")</f>
        <v>Open</v>
      </c>
      <c r="AT45" s="264" t="str">
        <f ca="1">IF(Table_NFI[[#This Row],[Pcode]]="","",OFFSET(CampList[Priority],MATCH(Table_NFI[[#This Row],[Pcode]],CampList[CP_Pcode],0)-1,0,1,1))</f>
        <v>P4</v>
      </c>
      <c r="AU45" s="263">
        <f>IFERROR(Table_NFI[[#This Row],[Kitchen Set]]/VLOOKUP(Table_NFI[[#This Row],[Camp Name]],CL,4,0),"")</f>
        <v>6.0171368056224125E-4</v>
      </c>
      <c r="AV45" s="390"/>
      <c r="AW45" s="397" t="s">
        <v>1530</v>
      </c>
      <c r="AX45" s="399"/>
      <c r="AY45" s="399"/>
      <c r="AZ45" s="399"/>
      <c r="BA45" s="399"/>
      <c r="BB45" s="399"/>
      <c r="BC45" s="399"/>
      <c r="BD45" s="399"/>
      <c r="BE45" s="399"/>
      <c r="BF45" s="399"/>
      <c r="BG45" s="399"/>
      <c r="BH45" s="399"/>
      <c r="BI45" s="399"/>
      <c r="BJ45" s="399"/>
      <c r="BK45" s="399"/>
      <c r="BL45" s="399"/>
      <c r="BM45" s="399"/>
      <c r="BN45" s="399"/>
      <c r="BO45" s="399"/>
      <c r="BP45" s="399"/>
      <c r="BQ45" s="399"/>
      <c r="BR45" s="399"/>
      <c r="BS45" s="399"/>
      <c r="BT45" s="399"/>
      <c r="BU45" s="399"/>
      <c r="BV45" s="399"/>
      <c r="BW45" s="399"/>
      <c r="BX45" s="399"/>
      <c r="BY45" s="399"/>
      <c r="BZ45" s="399"/>
      <c r="CA45" s="399"/>
      <c r="CB45" s="399"/>
      <c r="CC45" s="399"/>
      <c r="CD45" s="399"/>
      <c r="CE45" s="399"/>
      <c r="CF45" s="399"/>
      <c r="CG45" s="399"/>
      <c r="CH45" s="399"/>
      <c r="CI45" s="399"/>
      <c r="CJ45" s="399"/>
      <c r="CK45" s="399"/>
      <c r="CL45" s="399"/>
      <c r="CM45" s="399"/>
      <c r="CN45" s="399"/>
      <c r="CO45" s="399"/>
      <c r="CP45" s="399"/>
      <c r="CQ45" s="399"/>
      <c r="CR45" s="399"/>
      <c r="CS45" s="399"/>
      <c r="CT45" s="399"/>
      <c r="CU45" s="399"/>
      <c r="CV45" s="399"/>
      <c r="CW45" s="399"/>
      <c r="CX45" s="399"/>
      <c r="CY45" s="399"/>
      <c r="CZ45" s="399"/>
      <c r="DA45" s="399"/>
      <c r="DB45" s="399"/>
      <c r="DC45" s="399"/>
      <c r="DD45" s="399"/>
      <c r="DE45" s="399"/>
      <c r="DF45" s="399"/>
      <c r="DG45" s="399"/>
      <c r="DH45" s="399"/>
      <c r="DI45" s="399"/>
      <c r="DJ45" s="399"/>
      <c r="DK45" s="399"/>
      <c r="DL45" s="399"/>
      <c r="DM45" s="399"/>
      <c r="DN45" s="399"/>
      <c r="DO45" s="399"/>
      <c r="DP45" s="399"/>
      <c r="DQ45" s="399"/>
    </row>
    <row r="46" spans="1:121" s="760" customFormat="1" ht="14.45" customHeight="1" x14ac:dyDescent="0.25">
      <c r="A46" s="266">
        <f t="shared" si="0"/>
        <v>2.9666666666666668</v>
      </c>
      <c r="B46" s="389">
        <v>42767</v>
      </c>
      <c r="C46" s="394" t="s">
        <v>451</v>
      </c>
      <c r="D46" s="394" t="s">
        <v>459</v>
      </c>
      <c r="E46" s="394" t="s">
        <v>380</v>
      </c>
      <c r="F46" s="394" t="s">
        <v>302</v>
      </c>
      <c r="G46" s="394" t="s">
        <v>306</v>
      </c>
      <c r="H46" s="261"/>
      <c r="I46" s="261"/>
      <c r="J46" s="261">
        <v>50</v>
      </c>
      <c r="K46" s="261"/>
      <c r="L46" s="261"/>
      <c r="M46" s="261"/>
      <c r="N46" s="261"/>
      <c r="O46" s="261"/>
      <c r="P46" s="261"/>
      <c r="Q46" s="261"/>
      <c r="R46" s="261"/>
      <c r="S46" s="261"/>
      <c r="T46" s="261"/>
      <c r="U46" s="261"/>
      <c r="V46" s="762"/>
      <c r="W46" s="261"/>
      <c r="X46" s="261"/>
      <c r="Y46" s="264">
        <f>IF(NFI_Expiration=1,IF($A46&lt;VLOOKUP(H$5,NFI,5,0),1,0)*Table_NFI[[#This Row],[Hygiene Kit]],Table_NFI[Hygiene Kit])</f>
        <v>0</v>
      </c>
      <c r="Z46" s="264">
        <f>IF(NFI_Expiration=1,IF($A46&lt;VLOOKUP(I$5,NFI,5,0),1,0)*Table_NFI[[#This Row],[NFI Core Kit]],Table_NFI[NFI Core Kit])</f>
        <v>0</v>
      </c>
      <c r="AA46" s="264">
        <f>IF(NFI_Expiration=1,IF($A46&lt;VLOOKUP(J$5,NFI,5,0),1,0)*Table_NFI[[#This Row],[Sanitary Kit]],Table_NFI[Sanitary Kit])</f>
        <v>50</v>
      </c>
      <c r="AB46" s="264">
        <f>IF(NFI_Expiration=1,IF($A46&lt;VLOOKUP(K$5,NFI,5,0),1,0)*Table_NFI[[#This Row],[Mosquito net]],Table_NFI[Mosquito net])</f>
        <v>0</v>
      </c>
      <c r="AC46" s="264">
        <f>IF(NFI_Expiration=1,IF($A46&lt;VLOOKUP(L$5,NFI,5,0),1,0)*Table_NFI[[#This Row],[Tarpaulin]],Table_NFI[[#This Row],[Tarpaulin]])</f>
        <v>0</v>
      </c>
      <c r="AD46" s="264">
        <f>IF(NFI_Expiration=1,IF($A46&lt;VLOOKUP(M$5,NFI,5,0),1,0)*Table_NFI[[#This Row],[Blanket]],Table_NFI[[#This Row],[Blanket]])</f>
        <v>0</v>
      </c>
      <c r="AE46" s="264">
        <f>IF(NFI_Expiration=1,IF($A46&lt;VLOOKUP(N$5,NFI,5,0),1,0)*Table_NFI[[#This Row],[Kitchen Set]],Table_NFI[Kitchen Set])</f>
        <v>0</v>
      </c>
      <c r="AF46" s="264">
        <f>IF(NFI_Expiration=1,IF($A46&lt;VLOOKUP(O$5,NFI,5,0),1,0)*Table_NFI[[#This Row],[Clothes Kit]],Table_NFI[Clothes Kit])</f>
        <v>0</v>
      </c>
      <c r="AG46" s="264">
        <f>IF(NFI_Expiration=1,IF($A46&lt;VLOOKUP(P$5,NFI,5,0),1,0)*Table_NFI[[#This Row],[Plastic Bucket]],Table_NFI[Plastic Bucket])</f>
        <v>0</v>
      </c>
      <c r="AH46" s="264">
        <f>IF(NFI_Expiration=1,IF($A46&lt;VLOOKUP(Q$5,NFI,5,0),1,0)*Table_NFI[[#This Row],[Plastic Mat]],Table_NFI[Plastic Mat])*IF(Table_NFI[[#This Row],[Distribution Date]]&gt;"2014-04-01",1,2.5)</f>
        <v>0</v>
      </c>
      <c r="AI46" s="264">
        <f>IF(NFI_Expiration=1,IF($A46&lt;VLOOKUP(R$5,NFI,5,0),1,0)*Table_NFI[[#This Row],[Winter Clothes Adult]],Table_NFI[Winter Clothes Adult])</f>
        <v>0</v>
      </c>
      <c r="AJ46" s="264">
        <f>IF(NFI_Expiration=1,IF($A46&lt;VLOOKUP(S$5,NFI,5,0),1,0)*Table_NFI[[#This Row],[Winter Clothes Children]],Table_NFI[Winter Clothes Children])</f>
        <v>0</v>
      </c>
      <c r="AK46" s="264">
        <f>IF(NFI_Expiration=1,IF($A46&lt;VLOOKUP(T$5,NFI,5,0),1,0)*Table_NFI[[#This Row],[Winter Items Other]],Table_NFI[Winter Items Other])</f>
        <v>0</v>
      </c>
      <c r="AL46" s="264">
        <f>IF(NFI_Expiration=1,IF($A46&lt;VLOOKUP(M$5,NFI,5,0),1,0)*Table_NFI[[#This Row],[Winter Blanket]],Table_NFI[[#This Row],[Winter Blanket]])</f>
        <v>0</v>
      </c>
      <c r="AM46" s="264">
        <f>IF(Table_NFI[[#This Row],[Winter Clothes Adult]]+Table_NFI[[#This Row],[Winter Clothes Children]]+Table_NFI[[#This Row],[Winter Items Other]]+Table_NFI[[#This Row],[Winter Blanket]]&gt;0,1,0)</f>
        <v>0</v>
      </c>
      <c r="AN46" s="296">
        <f>IF(NFI_Expiration=1,IF($A46&lt;VLOOKUP(V$5,NFI,5,0),1,0)*Table_NFI[[#This Row],[Jerry Can]],Table_NFI[Jerry Can])</f>
        <v>0</v>
      </c>
      <c r="AO46" s="296">
        <f>IF(NFI_Expiration=1,IF($A46&lt;VLOOKUP(V$5,NFI,5,0),1,0)*Table_NFI[[#This Row],[Shelter Tool kit]],Table_NFI[Shelter Tool kit])</f>
        <v>0</v>
      </c>
      <c r="AP46" s="296">
        <f>IF(NFI_Expiration=1,IF($A46&lt;VLOOKUP(V$5,NFI,5,0),1,0)*Table_NFI[[#This Row],[Tent]],Table_NFI[Tent])</f>
        <v>0</v>
      </c>
      <c r="AQ46" s="396" t="str">
        <f>IFERROR(VLOOKUP(Table_NFI[[#This Row],[Camp Name]],CL,2,0),"")</f>
        <v>MMR001CMP067</v>
      </c>
      <c r="AR46" s="702">
        <f ca="1">IF(Table_NFI[[#This Row],[Pcode]]="","",IF(OFFSET(CampList[Opening Date],MATCH(Table_NFI[[#This Row],[Pcode]],CampList[CP_Pcode],0)-1,0,1,1)&gt;=NFI_Monitor_Date,1,0))</f>
        <v>0</v>
      </c>
      <c r="AS46" s="396" t="str">
        <f>IFERROR(VLOOKUP(Table_NFI[[#This Row],[Camp Name]],CL,3,0),"")</f>
        <v>Open</v>
      </c>
      <c r="AT46" s="264" t="str">
        <f ca="1">IF(Table_NFI[[#This Row],[Pcode]]="","",OFFSET(CampList[Priority],MATCH(Table_NFI[[#This Row],[Pcode]],CampList[CP_Pcode],0)-1,0,1,1))</f>
        <v>P4</v>
      </c>
      <c r="AU46" s="263">
        <f>IFERROR(Table_NFI[[#This Row],[Kitchen Set]]/VLOOKUP(Table_NFI[[#This Row],[Camp Name]],CL,4,0),"")</f>
        <v>0</v>
      </c>
      <c r="AV46" s="390"/>
      <c r="AW46" s="397" t="s">
        <v>1530</v>
      </c>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399"/>
      <c r="BX46" s="399"/>
      <c r="BY46" s="399"/>
      <c r="BZ46" s="399"/>
      <c r="CA46" s="399"/>
      <c r="CB46" s="399"/>
      <c r="CC46" s="399"/>
      <c r="CD46" s="399"/>
      <c r="CE46" s="399"/>
      <c r="CF46" s="399"/>
      <c r="CG46" s="399"/>
      <c r="CH46" s="399"/>
      <c r="CI46" s="399"/>
      <c r="CJ46" s="399"/>
      <c r="CK46" s="399"/>
      <c r="CL46" s="399"/>
      <c r="CM46" s="399"/>
      <c r="CN46" s="399"/>
      <c r="CO46" s="399"/>
      <c r="CP46" s="399"/>
      <c r="CQ46" s="399"/>
      <c r="CR46" s="399"/>
      <c r="CS46" s="399"/>
      <c r="CT46" s="399"/>
      <c r="CU46" s="399"/>
      <c r="CV46" s="399"/>
      <c r="CW46" s="399"/>
      <c r="CX46" s="399"/>
      <c r="CY46" s="399"/>
      <c r="CZ46" s="399"/>
      <c r="DA46" s="399"/>
      <c r="DB46" s="399"/>
      <c r="DC46" s="399"/>
      <c r="DD46" s="399"/>
      <c r="DE46" s="399"/>
      <c r="DF46" s="399"/>
      <c r="DG46" s="399"/>
      <c r="DH46" s="399"/>
      <c r="DI46" s="399"/>
      <c r="DJ46" s="399"/>
      <c r="DK46" s="399"/>
      <c r="DL46" s="399"/>
      <c r="DM46" s="399"/>
      <c r="DN46" s="399"/>
      <c r="DO46" s="399"/>
      <c r="DP46" s="399"/>
      <c r="DQ46" s="399"/>
    </row>
    <row r="47" spans="1:121" s="759" customFormat="1" ht="14.45" customHeight="1" x14ac:dyDescent="0.25">
      <c r="A47" s="266">
        <f t="shared" si="0"/>
        <v>3</v>
      </c>
      <c r="B47" s="389">
        <v>42766</v>
      </c>
      <c r="C47" s="394" t="s">
        <v>451</v>
      </c>
      <c r="D47" s="394" t="s">
        <v>1340</v>
      </c>
      <c r="E47" s="394" t="s">
        <v>380</v>
      </c>
      <c r="F47" s="394" t="s">
        <v>237</v>
      </c>
      <c r="G47" s="394" t="s">
        <v>273</v>
      </c>
      <c r="H47" s="261"/>
      <c r="I47" s="261">
        <v>1</v>
      </c>
      <c r="J47" s="261">
        <v>1</v>
      </c>
      <c r="K47" s="261">
        <v>3</v>
      </c>
      <c r="L47" s="261">
        <v>1</v>
      </c>
      <c r="M47" s="261">
        <v>3</v>
      </c>
      <c r="N47" s="261">
        <v>1</v>
      </c>
      <c r="O47" s="261"/>
      <c r="P47" s="261">
        <v>1</v>
      </c>
      <c r="Q47" s="261">
        <v>3</v>
      </c>
      <c r="R47" s="261"/>
      <c r="S47" s="261"/>
      <c r="T47" s="261"/>
      <c r="U47" s="261"/>
      <c r="V47" s="762">
        <v>1</v>
      </c>
      <c r="W47" s="261"/>
      <c r="X47" s="261"/>
      <c r="Y47" s="264">
        <f>IF(NFI_Expiration=1,IF($A47&lt;VLOOKUP(H$5,NFI,5,0),1,0)*Table_NFI[[#This Row],[Hygiene Kit]],Table_NFI[Hygiene Kit])</f>
        <v>0</v>
      </c>
      <c r="Z47" s="264">
        <f>IF(NFI_Expiration=1,IF($A47&lt;VLOOKUP(I$5,NFI,5,0),1,0)*Table_NFI[[#This Row],[NFI Core Kit]],Table_NFI[NFI Core Kit])</f>
        <v>1</v>
      </c>
      <c r="AA47" s="264">
        <f>IF(NFI_Expiration=1,IF($A47&lt;VLOOKUP(J$5,NFI,5,0),1,0)*Table_NFI[[#This Row],[Sanitary Kit]],Table_NFI[Sanitary Kit])</f>
        <v>1</v>
      </c>
      <c r="AB47" s="264">
        <f>IF(NFI_Expiration=1,IF($A47&lt;VLOOKUP(K$5,NFI,5,0),1,0)*Table_NFI[[#This Row],[Mosquito net]],Table_NFI[Mosquito net])</f>
        <v>3</v>
      </c>
      <c r="AC47" s="264">
        <f>IF(NFI_Expiration=1,IF($A47&lt;VLOOKUP(L$5,NFI,5,0),1,0)*Table_NFI[[#This Row],[Tarpaulin]],Table_NFI[[#This Row],[Tarpaulin]])</f>
        <v>1</v>
      </c>
      <c r="AD47" s="264">
        <f>IF(NFI_Expiration=1,IF($A47&lt;VLOOKUP(M$5,NFI,5,0),1,0)*Table_NFI[[#This Row],[Blanket]],Table_NFI[[#This Row],[Blanket]])</f>
        <v>3</v>
      </c>
      <c r="AE47" s="264">
        <f>IF(NFI_Expiration=1,IF($A47&lt;VLOOKUP(N$5,NFI,5,0),1,0)*Table_NFI[[#This Row],[Kitchen Set]],Table_NFI[Kitchen Set])</f>
        <v>1</v>
      </c>
      <c r="AF47" s="264">
        <f>IF(NFI_Expiration=1,IF($A47&lt;VLOOKUP(O$5,NFI,5,0),1,0)*Table_NFI[[#This Row],[Clothes Kit]],Table_NFI[Clothes Kit])</f>
        <v>0</v>
      </c>
      <c r="AG47" s="264">
        <f>IF(NFI_Expiration=1,IF($A47&lt;VLOOKUP(P$5,NFI,5,0),1,0)*Table_NFI[[#This Row],[Plastic Bucket]],Table_NFI[Plastic Bucket])</f>
        <v>1</v>
      </c>
      <c r="AH47" s="264">
        <f>IF(NFI_Expiration=1,IF($A47&lt;VLOOKUP(Q$5,NFI,5,0),1,0)*Table_NFI[[#This Row],[Plastic Mat]],Table_NFI[Plastic Mat])*IF(Table_NFI[[#This Row],[Distribution Date]]&gt;"2014-04-01",1,2.5)</f>
        <v>7.5</v>
      </c>
      <c r="AI47" s="264">
        <f>IF(NFI_Expiration=1,IF($A47&lt;VLOOKUP(R$5,NFI,5,0),1,0)*Table_NFI[[#This Row],[Winter Clothes Adult]],Table_NFI[Winter Clothes Adult])</f>
        <v>0</v>
      </c>
      <c r="AJ47" s="264">
        <f>IF(NFI_Expiration=1,IF($A47&lt;VLOOKUP(S$5,NFI,5,0),1,0)*Table_NFI[[#This Row],[Winter Clothes Children]],Table_NFI[Winter Clothes Children])</f>
        <v>0</v>
      </c>
      <c r="AK47" s="264">
        <f>IF(NFI_Expiration=1,IF($A47&lt;VLOOKUP(T$5,NFI,5,0),1,0)*Table_NFI[[#This Row],[Winter Items Other]],Table_NFI[Winter Items Other])</f>
        <v>0</v>
      </c>
      <c r="AL47" s="264">
        <f>IF(NFI_Expiration=1,IF($A47&lt;VLOOKUP(M$5,NFI,5,0),1,0)*Table_NFI[[#This Row],[Winter Blanket]],Table_NFI[[#This Row],[Winter Blanket]])</f>
        <v>0</v>
      </c>
      <c r="AM47" s="264">
        <f>IF(Table_NFI[[#This Row],[Winter Clothes Adult]]+Table_NFI[[#This Row],[Winter Clothes Children]]+Table_NFI[[#This Row],[Winter Items Other]]+Table_NFI[[#This Row],[Winter Blanket]]&gt;0,1,0)</f>
        <v>0</v>
      </c>
      <c r="AN47" s="296">
        <f>IF(NFI_Expiration=1,IF($A47&lt;VLOOKUP(V$5,NFI,5,0),1,0)*Table_NFI[[#This Row],[Jerry Can]],Table_NFI[Jerry Can])</f>
        <v>1</v>
      </c>
      <c r="AO47" s="296">
        <f>IF(NFI_Expiration=1,IF($A47&lt;VLOOKUP(V$5,NFI,5,0),1,0)*Table_NFI[[#This Row],[Shelter Tool kit]],Table_NFI[Shelter Tool kit])</f>
        <v>0</v>
      </c>
      <c r="AP47" s="296">
        <f>IF(NFI_Expiration=1,IF($A47&lt;VLOOKUP(V$5,NFI,5,0),1,0)*Table_NFI[[#This Row],[Tent]],Table_NFI[Tent])</f>
        <v>0</v>
      </c>
      <c r="AQ47" s="396" t="str">
        <f>IFERROR(VLOOKUP(Table_NFI[[#This Row],[Camp Name]],CL,2,0),"")</f>
        <v>MMR001CMP162</v>
      </c>
      <c r="AR47" s="702">
        <f ca="1">IF(Table_NFI[[#This Row],[Pcode]]="","",IF(OFFSET(CampList[Opening Date],MATCH(Table_NFI[[#This Row],[Pcode]],CampList[CP_Pcode],0)-1,0,1,1)&gt;=NFI_Monitor_Date,1,0))</f>
        <v>0</v>
      </c>
      <c r="AS47" s="396" t="str">
        <f>IFERROR(VLOOKUP(Table_NFI[[#This Row],[Camp Name]],CL,3,0),"")</f>
        <v>Open</v>
      </c>
      <c r="AT47" s="264" t="str">
        <f ca="1">IF(Table_NFI[[#This Row],[Pcode]]="","",OFFSET(CampList[Priority],MATCH(Table_NFI[[#This Row],[Pcode]],CampList[CP_Pcode],0)-1,0,1,1))</f>
        <v>P4</v>
      </c>
      <c r="AU47" s="263">
        <f>IFERROR(Table_NFI[[#This Row],[Kitchen Set]]/VLOOKUP(Table_NFI[[#This Row],[Camp Name]],CL,4,0),"")</f>
        <v>2.4245950926195326E-5</v>
      </c>
      <c r="AV47" s="390"/>
      <c r="AW47" s="397" t="s">
        <v>1528</v>
      </c>
      <c r="AX47" s="402"/>
      <c r="AY47" s="402"/>
      <c r="AZ47" s="402"/>
      <c r="BA47" s="402"/>
      <c r="BB47" s="402"/>
      <c r="BC47" s="402"/>
      <c r="BD47" s="402"/>
      <c r="BE47" s="402"/>
      <c r="BF47" s="402"/>
      <c r="BG47" s="402"/>
      <c r="BH47" s="402"/>
      <c r="BI47" s="402"/>
      <c r="BJ47" s="402"/>
      <c r="BK47" s="402"/>
      <c r="BL47" s="402"/>
      <c r="BM47" s="402"/>
      <c r="BN47" s="402"/>
      <c r="BO47" s="402"/>
      <c r="BP47" s="402"/>
      <c r="BQ47" s="402"/>
      <c r="BR47" s="402"/>
      <c r="BS47" s="402"/>
      <c r="BT47" s="402"/>
      <c r="BU47" s="402"/>
      <c r="BV47" s="402"/>
      <c r="BW47" s="402"/>
      <c r="BX47" s="402"/>
      <c r="BY47" s="402"/>
      <c r="BZ47" s="402"/>
      <c r="CA47" s="402"/>
      <c r="CB47" s="402"/>
      <c r="CC47" s="402"/>
      <c r="CD47" s="402"/>
      <c r="CE47" s="402"/>
      <c r="CF47" s="402"/>
      <c r="CG47" s="402"/>
      <c r="CH47" s="402"/>
      <c r="CI47" s="402"/>
      <c r="CJ47" s="402"/>
      <c r="CK47" s="402"/>
      <c r="CL47" s="402"/>
      <c r="CM47" s="402"/>
      <c r="CN47" s="402"/>
      <c r="CO47" s="402"/>
      <c r="CP47" s="402"/>
      <c r="CQ47" s="402"/>
      <c r="CR47" s="402"/>
      <c r="CS47" s="402"/>
      <c r="CT47" s="402"/>
      <c r="CU47" s="402"/>
      <c r="CV47" s="402"/>
      <c r="CW47" s="402"/>
      <c r="CX47" s="402"/>
      <c r="CY47" s="402"/>
      <c r="CZ47" s="402"/>
      <c r="DA47" s="402"/>
      <c r="DB47" s="402"/>
      <c r="DC47" s="402"/>
      <c r="DD47" s="402"/>
      <c r="DE47" s="402"/>
      <c r="DF47" s="402"/>
      <c r="DG47" s="402"/>
      <c r="DH47" s="402"/>
      <c r="DI47" s="402"/>
      <c r="DJ47" s="402"/>
      <c r="DK47" s="402"/>
      <c r="DL47" s="402"/>
      <c r="DM47" s="402"/>
      <c r="DN47" s="402"/>
      <c r="DO47" s="402"/>
      <c r="DP47" s="402"/>
      <c r="DQ47" s="402"/>
    </row>
    <row r="48" spans="1:121" s="760" customFormat="1" ht="14.45" customHeight="1" x14ac:dyDescent="0.25">
      <c r="A48" s="266">
        <f t="shared" si="0"/>
        <v>3</v>
      </c>
      <c r="B48" s="389">
        <v>42766</v>
      </c>
      <c r="C48" s="394" t="s">
        <v>451</v>
      </c>
      <c r="D48" s="394" t="s">
        <v>1340</v>
      </c>
      <c r="E48" s="394" t="s">
        <v>380</v>
      </c>
      <c r="F48" s="394" t="s">
        <v>310</v>
      </c>
      <c r="G48" s="394" t="s">
        <v>330</v>
      </c>
      <c r="H48" s="261"/>
      <c r="I48" s="261">
        <v>22</v>
      </c>
      <c r="J48" s="261">
        <v>22</v>
      </c>
      <c r="K48" s="261">
        <v>76</v>
      </c>
      <c r="L48" s="261">
        <v>22</v>
      </c>
      <c r="M48" s="261">
        <v>76</v>
      </c>
      <c r="N48" s="261">
        <v>22</v>
      </c>
      <c r="O48" s="261"/>
      <c r="P48" s="261">
        <v>22</v>
      </c>
      <c r="Q48" s="261">
        <v>76</v>
      </c>
      <c r="R48" s="261"/>
      <c r="S48" s="261"/>
      <c r="T48" s="261"/>
      <c r="U48" s="261"/>
      <c r="V48" s="762">
        <v>22</v>
      </c>
      <c r="W48" s="261"/>
      <c r="X48" s="261"/>
      <c r="Y48" s="264">
        <f>IF(NFI_Expiration=1,IF($A48&lt;VLOOKUP(H$5,NFI,5,0),1,0)*Table_NFI[[#This Row],[Hygiene Kit]],Table_NFI[Hygiene Kit])</f>
        <v>0</v>
      </c>
      <c r="Z48" s="264">
        <f>IF(NFI_Expiration=1,IF($A48&lt;VLOOKUP(I$5,NFI,5,0),1,0)*Table_NFI[[#This Row],[NFI Core Kit]],Table_NFI[NFI Core Kit])</f>
        <v>22</v>
      </c>
      <c r="AA48" s="264">
        <f>IF(NFI_Expiration=1,IF($A48&lt;VLOOKUP(J$5,NFI,5,0),1,0)*Table_NFI[[#This Row],[Sanitary Kit]],Table_NFI[Sanitary Kit])</f>
        <v>22</v>
      </c>
      <c r="AB48" s="264">
        <f>IF(NFI_Expiration=1,IF($A48&lt;VLOOKUP(K$5,NFI,5,0),1,0)*Table_NFI[[#This Row],[Mosquito net]],Table_NFI[Mosquito net])</f>
        <v>76</v>
      </c>
      <c r="AC48" s="264">
        <f>IF(NFI_Expiration=1,IF($A48&lt;VLOOKUP(L$5,NFI,5,0),1,0)*Table_NFI[[#This Row],[Tarpaulin]],Table_NFI[[#This Row],[Tarpaulin]])</f>
        <v>22</v>
      </c>
      <c r="AD48" s="264">
        <f>IF(NFI_Expiration=1,IF($A48&lt;VLOOKUP(M$5,NFI,5,0),1,0)*Table_NFI[[#This Row],[Blanket]],Table_NFI[[#This Row],[Blanket]])</f>
        <v>76</v>
      </c>
      <c r="AE48" s="264">
        <f>IF(NFI_Expiration=1,IF($A48&lt;VLOOKUP(N$5,NFI,5,0),1,0)*Table_NFI[[#This Row],[Kitchen Set]],Table_NFI[Kitchen Set])</f>
        <v>22</v>
      </c>
      <c r="AF48" s="264">
        <f>IF(NFI_Expiration=1,IF($A48&lt;VLOOKUP(O$5,NFI,5,0),1,0)*Table_NFI[[#This Row],[Clothes Kit]],Table_NFI[Clothes Kit])</f>
        <v>0</v>
      </c>
      <c r="AG48" s="264">
        <f>IF(NFI_Expiration=1,IF($A48&lt;VLOOKUP(P$5,NFI,5,0),1,0)*Table_NFI[[#This Row],[Plastic Bucket]],Table_NFI[Plastic Bucket])</f>
        <v>22</v>
      </c>
      <c r="AH48" s="264">
        <f>IF(NFI_Expiration=1,IF($A48&lt;VLOOKUP(Q$5,NFI,5,0),1,0)*Table_NFI[[#This Row],[Plastic Mat]],Table_NFI[Plastic Mat])*IF(Table_NFI[[#This Row],[Distribution Date]]&gt;"2014-04-01",1,2.5)</f>
        <v>190</v>
      </c>
      <c r="AI48" s="264">
        <f>IF(NFI_Expiration=1,IF($A48&lt;VLOOKUP(R$5,NFI,5,0),1,0)*Table_NFI[[#This Row],[Winter Clothes Adult]],Table_NFI[Winter Clothes Adult])</f>
        <v>0</v>
      </c>
      <c r="AJ48" s="264">
        <f>IF(NFI_Expiration=1,IF($A48&lt;VLOOKUP(S$5,NFI,5,0),1,0)*Table_NFI[[#This Row],[Winter Clothes Children]],Table_NFI[Winter Clothes Children])</f>
        <v>0</v>
      </c>
      <c r="AK48" s="264">
        <f>IF(NFI_Expiration=1,IF($A48&lt;VLOOKUP(T$5,NFI,5,0),1,0)*Table_NFI[[#This Row],[Winter Items Other]],Table_NFI[Winter Items Other])</f>
        <v>0</v>
      </c>
      <c r="AL48" s="264">
        <f>IF(NFI_Expiration=1,IF($A48&lt;VLOOKUP(M$5,NFI,5,0),1,0)*Table_NFI[[#This Row],[Winter Blanket]],Table_NFI[[#This Row],[Winter Blanket]])</f>
        <v>0</v>
      </c>
      <c r="AM48" s="264">
        <f>IF(Table_NFI[[#This Row],[Winter Clothes Adult]]+Table_NFI[[#This Row],[Winter Clothes Children]]+Table_NFI[[#This Row],[Winter Items Other]]+Table_NFI[[#This Row],[Winter Blanket]]&gt;0,1,0)</f>
        <v>0</v>
      </c>
      <c r="AN48" s="296">
        <f>IF(NFI_Expiration=1,IF($A48&lt;VLOOKUP(V$5,NFI,5,0),1,0)*Table_NFI[[#This Row],[Jerry Can]],Table_NFI[Jerry Can])</f>
        <v>22</v>
      </c>
      <c r="AO48" s="296">
        <f>IF(NFI_Expiration=1,IF($A48&lt;VLOOKUP(V$5,NFI,5,0),1,0)*Table_NFI[[#This Row],[Shelter Tool kit]],Table_NFI[Shelter Tool kit])</f>
        <v>0</v>
      </c>
      <c r="AP48" s="296">
        <f>IF(NFI_Expiration=1,IF($A48&lt;VLOOKUP(V$5,NFI,5,0),1,0)*Table_NFI[[#This Row],[Tent]],Table_NFI[Tent])</f>
        <v>0</v>
      </c>
      <c r="AQ48" s="396" t="str">
        <f>IFERROR(VLOOKUP(Table_NFI[[#This Row],[Camp Name]],CL,2,0),"")</f>
        <v>MMR001CMP029</v>
      </c>
      <c r="AR48" s="702">
        <f ca="1">IF(Table_NFI[[#This Row],[Pcode]]="","",IF(OFFSET(CampList[Opening Date],MATCH(Table_NFI[[#This Row],[Pcode]],CampList[CP_Pcode],0)-1,0,1,1)&gt;=NFI_Monitor_Date,1,0))</f>
        <v>0</v>
      </c>
      <c r="AS48" s="396" t="str">
        <f>IFERROR(VLOOKUP(Table_NFI[[#This Row],[Camp Name]],CL,3,0),"")</f>
        <v>Open</v>
      </c>
      <c r="AT48" s="264" t="str">
        <f ca="1">IF(Table_NFI[[#This Row],[Pcode]]="","",OFFSET(CampList[Priority],MATCH(Table_NFI[[#This Row],[Pcode]],CampList[CP_Pcode],0)-1,0,1,1))</f>
        <v>P4</v>
      </c>
      <c r="AU48" s="263">
        <f>IFERROR(Table_NFI[[#This Row],[Kitchen Set]]/VLOOKUP(Table_NFI[[#This Row],[Camp Name]],CL,4,0),"")</f>
        <v>5.3106744556558679E-4</v>
      </c>
      <c r="AV48" s="390"/>
      <c r="AW48" s="397" t="s">
        <v>1530</v>
      </c>
      <c r="AX48" s="399"/>
      <c r="AY48" s="399"/>
      <c r="AZ48" s="399"/>
      <c r="BA48" s="399"/>
      <c r="BB48" s="399"/>
      <c r="BC48" s="399"/>
      <c r="BD48" s="399"/>
      <c r="BE48" s="399"/>
      <c r="BF48" s="399"/>
      <c r="BG48" s="399"/>
      <c r="BH48" s="399"/>
      <c r="BI48" s="399"/>
      <c r="BJ48" s="399"/>
      <c r="BK48" s="399"/>
      <c r="BL48" s="399"/>
      <c r="BM48" s="399"/>
      <c r="BN48" s="399"/>
      <c r="BO48" s="399"/>
      <c r="BP48" s="399"/>
      <c r="BQ48" s="399"/>
      <c r="BR48" s="399"/>
      <c r="BS48" s="399"/>
      <c r="BT48" s="399"/>
      <c r="BU48" s="399"/>
      <c r="BV48" s="399"/>
      <c r="BW48" s="399"/>
      <c r="BX48" s="399"/>
      <c r="BY48" s="399"/>
      <c r="BZ48" s="399"/>
      <c r="CA48" s="399"/>
      <c r="CB48" s="399"/>
      <c r="CC48" s="399"/>
      <c r="CD48" s="399"/>
      <c r="CE48" s="399"/>
      <c r="CF48" s="399"/>
      <c r="CG48" s="399"/>
      <c r="CH48" s="399"/>
      <c r="CI48" s="399"/>
      <c r="CJ48" s="399"/>
      <c r="CK48" s="399"/>
      <c r="CL48" s="399"/>
      <c r="CM48" s="399"/>
      <c r="CN48" s="399"/>
      <c r="CO48" s="399"/>
      <c r="CP48" s="399"/>
      <c r="CQ48" s="399"/>
      <c r="CR48" s="399"/>
      <c r="CS48" s="399"/>
      <c r="CT48" s="399"/>
      <c r="CU48" s="399"/>
      <c r="CV48" s="399"/>
      <c r="CW48" s="399"/>
      <c r="CX48" s="399"/>
      <c r="CY48" s="399"/>
      <c r="CZ48" s="399"/>
      <c r="DA48" s="399"/>
      <c r="DB48" s="399"/>
      <c r="DC48" s="399"/>
      <c r="DD48" s="399"/>
      <c r="DE48" s="399"/>
      <c r="DF48" s="399"/>
      <c r="DG48" s="399"/>
      <c r="DH48" s="399"/>
      <c r="DI48" s="399"/>
      <c r="DJ48" s="399"/>
      <c r="DK48" s="399"/>
      <c r="DL48" s="399"/>
      <c r="DM48" s="399"/>
      <c r="DN48" s="399"/>
      <c r="DO48" s="399"/>
      <c r="DP48" s="399"/>
      <c r="DQ48" s="399"/>
    </row>
    <row r="49" spans="1:121" s="760" customFormat="1" ht="14.45" customHeight="1" x14ac:dyDescent="0.25">
      <c r="A49" s="266">
        <f t="shared" si="0"/>
        <v>3.1</v>
      </c>
      <c r="B49" s="389">
        <v>42763</v>
      </c>
      <c r="C49" s="394" t="s">
        <v>451</v>
      </c>
      <c r="D49" s="394" t="s">
        <v>1340</v>
      </c>
      <c r="E49" s="394" t="s">
        <v>380</v>
      </c>
      <c r="F49" s="394" t="s">
        <v>310</v>
      </c>
      <c r="G49" s="394" t="s">
        <v>330</v>
      </c>
      <c r="H49" s="261"/>
      <c r="I49" s="261"/>
      <c r="J49" s="261"/>
      <c r="K49" s="261"/>
      <c r="L49" s="261"/>
      <c r="M49" s="261"/>
      <c r="N49" s="261"/>
      <c r="O49" s="261"/>
      <c r="P49" s="261"/>
      <c r="Q49" s="261"/>
      <c r="R49" s="261"/>
      <c r="S49" s="261"/>
      <c r="T49" s="261"/>
      <c r="U49" s="261"/>
      <c r="V49" s="762"/>
      <c r="W49" s="261"/>
      <c r="X49" s="261">
        <v>10</v>
      </c>
      <c r="Y49" s="264">
        <f>IF(NFI_Expiration=1,IF($A49&lt;VLOOKUP(H$5,NFI,5,0),1,0)*Table_NFI[[#This Row],[Hygiene Kit]],Table_NFI[Hygiene Kit])</f>
        <v>0</v>
      </c>
      <c r="Z49" s="264">
        <f>IF(NFI_Expiration=1,IF($A49&lt;VLOOKUP(I$5,NFI,5,0),1,0)*Table_NFI[[#This Row],[NFI Core Kit]],Table_NFI[NFI Core Kit])</f>
        <v>0</v>
      </c>
      <c r="AA49" s="264">
        <f>IF(NFI_Expiration=1,IF($A49&lt;VLOOKUP(J$5,NFI,5,0),1,0)*Table_NFI[[#This Row],[Sanitary Kit]],Table_NFI[Sanitary Kit])</f>
        <v>0</v>
      </c>
      <c r="AB49" s="264">
        <f>IF(NFI_Expiration=1,IF($A49&lt;VLOOKUP(K$5,NFI,5,0),1,0)*Table_NFI[[#This Row],[Mosquito net]],Table_NFI[Mosquito net])</f>
        <v>0</v>
      </c>
      <c r="AC49" s="264">
        <f>IF(NFI_Expiration=1,IF($A49&lt;VLOOKUP(L$5,NFI,5,0),1,0)*Table_NFI[[#This Row],[Tarpaulin]],Table_NFI[[#This Row],[Tarpaulin]])</f>
        <v>0</v>
      </c>
      <c r="AD49" s="264">
        <f>IF(NFI_Expiration=1,IF($A49&lt;VLOOKUP(M$5,NFI,5,0),1,0)*Table_NFI[[#This Row],[Blanket]],Table_NFI[[#This Row],[Blanket]])</f>
        <v>0</v>
      </c>
      <c r="AE49" s="264">
        <f>IF(NFI_Expiration=1,IF($A49&lt;VLOOKUP(N$5,NFI,5,0),1,0)*Table_NFI[[#This Row],[Kitchen Set]],Table_NFI[Kitchen Set])</f>
        <v>0</v>
      </c>
      <c r="AF49" s="264">
        <f>IF(NFI_Expiration=1,IF($A49&lt;VLOOKUP(O$5,NFI,5,0),1,0)*Table_NFI[[#This Row],[Clothes Kit]],Table_NFI[Clothes Kit])</f>
        <v>0</v>
      </c>
      <c r="AG49" s="264">
        <f>IF(NFI_Expiration=1,IF($A49&lt;VLOOKUP(P$5,NFI,5,0),1,0)*Table_NFI[[#This Row],[Plastic Bucket]],Table_NFI[Plastic Bucket])</f>
        <v>0</v>
      </c>
      <c r="AH49" s="264">
        <f>IF(NFI_Expiration=1,IF($A49&lt;VLOOKUP(Q$5,NFI,5,0),1,0)*Table_NFI[[#This Row],[Plastic Mat]],Table_NFI[Plastic Mat])*IF(Table_NFI[[#This Row],[Distribution Date]]&gt;"2014-04-01",1,2.5)</f>
        <v>0</v>
      </c>
      <c r="AI49" s="264">
        <f>IF(NFI_Expiration=1,IF($A49&lt;VLOOKUP(R$5,NFI,5,0),1,0)*Table_NFI[[#This Row],[Winter Clothes Adult]],Table_NFI[Winter Clothes Adult])</f>
        <v>0</v>
      </c>
      <c r="AJ49" s="264">
        <f>IF(NFI_Expiration=1,IF($A49&lt;VLOOKUP(S$5,NFI,5,0),1,0)*Table_NFI[[#This Row],[Winter Clothes Children]],Table_NFI[Winter Clothes Children])</f>
        <v>0</v>
      </c>
      <c r="AK49" s="264">
        <f>IF(NFI_Expiration=1,IF($A49&lt;VLOOKUP(T$5,NFI,5,0),1,0)*Table_NFI[[#This Row],[Winter Items Other]],Table_NFI[Winter Items Other])</f>
        <v>0</v>
      </c>
      <c r="AL49" s="264">
        <f>IF(NFI_Expiration=1,IF($A49&lt;VLOOKUP(M$5,NFI,5,0),1,0)*Table_NFI[[#This Row],[Winter Blanket]],Table_NFI[[#This Row],[Winter Blanket]])</f>
        <v>0</v>
      </c>
      <c r="AM49" s="264">
        <f>IF(Table_NFI[[#This Row],[Winter Clothes Adult]]+Table_NFI[[#This Row],[Winter Clothes Children]]+Table_NFI[[#This Row],[Winter Items Other]]+Table_NFI[[#This Row],[Winter Blanket]]&gt;0,1,0)</f>
        <v>0</v>
      </c>
      <c r="AN49" s="296">
        <f>IF(NFI_Expiration=1,IF($A49&lt;VLOOKUP(V$5,NFI,5,0),1,0)*Table_NFI[[#This Row],[Jerry Can]],Table_NFI[Jerry Can])</f>
        <v>0</v>
      </c>
      <c r="AO49" s="296">
        <f>IF(NFI_Expiration=1,IF($A49&lt;VLOOKUP(V$5,NFI,5,0),1,0)*Table_NFI[[#This Row],[Shelter Tool kit]],Table_NFI[Shelter Tool kit])</f>
        <v>0</v>
      </c>
      <c r="AP49" s="296">
        <f>IF(NFI_Expiration=1,IF($A49&lt;VLOOKUP(V$5,NFI,5,0),1,0)*Table_NFI[[#This Row],[Tent]],Table_NFI[Tent])</f>
        <v>10</v>
      </c>
      <c r="AQ49" s="396" t="str">
        <f>IFERROR(VLOOKUP(Table_NFI[[#This Row],[Camp Name]],CL,2,0),"")</f>
        <v>MMR001CMP029</v>
      </c>
      <c r="AR49" s="711">
        <f ca="1">IF(Table_NFI[[#This Row],[Pcode]]="","",IF(OFFSET(CampList[Opening Date],MATCH(Table_NFI[[#This Row],[Pcode]],CampList[CP_Pcode],0)-1,0,1,1)&gt;=NFI_Monitor_Date,1,0))</f>
        <v>0</v>
      </c>
      <c r="AS49" s="396" t="str">
        <f>IFERROR(VLOOKUP(Table_NFI[[#This Row],[Camp Name]],CL,3,0),"")</f>
        <v>Open</v>
      </c>
      <c r="AT49" s="264" t="str">
        <f ca="1">IF(Table_NFI[[#This Row],[Pcode]]="","",OFFSET(CampList[Priority],MATCH(Table_NFI[[#This Row],[Pcode]],CampList[CP_Pcode],0)-1,0,1,1))</f>
        <v>P4</v>
      </c>
      <c r="AU49" s="263">
        <f>IFERROR(Table_NFI[[#This Row],[Kitchen Set]]/VLOOKUP(Table_NFI[[#This Row],[Camp Name]],CL,4,0),"")</f>
        <v>0</v>
      </c>
      <c r="AV49" s="390"/>
      <c r="AW49" s="397" t="s">
        <v>1530</v>
      </c>
      <c r="AX49" s="399"/>
      <c r="AY49" s="399"/>
      <c r="AZ49" s="399"/>
      <c r="BA49" s="399"/>
      <c r="BB49" s="399"/>
      <c r="BC49" s="399"/>
      <c r="BD49" s="399"/>
      <c r="BE49" s="399"/>
      <c r="BF49" s="399"/>
      <c r="BG49" s="399"/>
      <c r="BH49" s="399"/>
      <c r="BI49" s="399"/>
      <c r="BJ49" s="399"/>
      <c r="BK49" s="399"/>
      <c r="BL49" s="399"/>
      <c r="BM49" s="399"/>
      <c r="BN49" s="399"/>
      <c r="BO49" s="399"/>
      <c r="BP49" s="399"/>
      <c r="BQ49" s="399"/>
      <c r="BR49" s="399"/>
      <c r="BS49" s="399"/>
      <c r="BT49" s="399"/>
      <c r="BU49" s="399"/>
      <c r="BV49" s="399"/>
      <c r="BW49" s="399"/>
      <c r="BX49" s="399"/>
      <c r="BY49" s="399"/>
      <c r="BZ49" s="399"/>
      <c r="CA49" s="399"/>
      <c r="CB49" s="399"/>
      <c r="CC49" s="399"/>
      <c r="CD49" s="399"/>
      <c r="CE49" s="399"/>
      <c r="CF49" s="399"/>
      <c r="CG49" s="399"/>
      <c r="CH49" s="399"/>
      <c r="CI49" s="399"/>
      <c r="CJ49" s="399"/>
      <c r="CK49" s="399"/>
      <c r="CL49" s="399"/>
      <c r="CM49" s="399"/>
      <c r="CN49" s="399"/>
      <c r="CO49" s="399"/>
      <c r="CP49" s="399"/>
      <c r="CQ49" s="399"/>
      <c r="CR49" s="399"/>
      <c r="CS49" s="399"/>
      <c r="CT49" s="399"/>
      <c r="CU49" s="399"/>
      <c r="CV49" s="399"/>
      <c r="CW49" s="399"/>
      <c r="CX49" s="399"/>
      <c r="CY49" s="399"/>
      <c r="CZ49" s="399"/>
      <c r="DA49" s="399"/>
      <c r="DB49" s="399"/>
      <c r="DC49" s="399"/>
      <c r="DD49" s="399"/>
      <c r="DE49" s="399"/>
      <c r="DF49" s="399"/>
      <c r="DG49" s="399"/>
      <c r="DH49" s="399"/>
      <c r="DI49" s="399"/>
      <c r="DJ49" s="399"/>
      <c r="DK49" s="399"/>
      <c r="DL49" s="399"/>
      <c r="DM49" s="399"/>
      <c r="DN49" s="399"/>
      <c r="DO49" s="399"/>
      <c r="DP49" s="399"/>
      <c r="DQ49" s="399"/>
    </row>
    <row r="50" spans="1:121" s="760" customFormat="1" ht="15" customHeight="1" x14ac:dyDescent="0.25">
      <c r="A50" s="266">
        <f t="shared" si="0"/>
        <v>3.1666666666666665</v>
      </c>
      <c r="B50" s="389">
        <v>42761</v>
      </c>
      <c r="C50" s="394" t="s">
        <v>451</v>
      </c>
      <c r="D50" s="394" t="s">
        <v>459</v>
      </c>
      <c r="E50" s="394" t="s">
        <v>380</v>
      </c>
      <c r="F50" s="394" t="s">
        <v>310</v>
      </c>
      <c r="G50" s="394" t="s">
        <v>324</v>
      </c>
      <c r="H50" s="261"/>
      <c r="I50" s="261">
        <v>6</v>
      </c>
      <c r="J50" s="261">
        <v>6</v>
      </c>
      <c r="K50" s="261">
        <v>18</v>
      </c>
      <c r="L50" s="261">
        <v>6</v>
      </c>
      <c r="M50" s="261">
        <v>24</v>
      </c>
      <c r="N50" s="261">
        <v>6</v>
      </c>
      <c r="O50" s="261"/>
      <c r="P50" s="261">
        <v>6</v>
      </c>
      <c r="Q50" s="261">
        <v>24</v>
      </c>
      <c r="R50" s="261"/>
      <c r="S50" s="261"/>
      <c r="T50" s="261"/>
      <c r="U50" s="261"/>
      <c r="V50" s="762">
        <v>6</v>
      </c>
      <c r="W50" s="261"/>
      <c r="X50" s="261">
        <v>6</v>
      </c>
      <c r="Y50" s="264">
        <f>IF(NFI_Expiration=1,IF($A50&lt;VLOOKUP(H$5,NFI,5,0),1,0)*Table_NFI[[#This Row],[Hygiene Kit]],Table_NFI[Hygiene Kit])</f>
        <v>0</v>
      </c>
      <c r="Z50" s="264">
        <f>IF(NFI_Expiration=1,IF($A50&lt;VLOOKUP(I$5,NFI,5,0),1,0)*Table_NFI[[#This Row],[NFI Core Kit]],Table_NFI[NFI Core Kit])</f>
        <v>6</v>
      </c>
      <c r="AA50" s="264">
        <f>IF(NFI_Expiration=1,IF($A50&lt;VLOOKUP(J$5,NFI,5,0),1,0)*Table_NFI[[#This Row],[Sanitary Kit]],Table_NFI[Sanitary Kit])</f>
        <v>6</v>
      </c>
      <c r="AB50" s="264">
        <f>IF(NFI_Expiration=1,IF($A50&lt;VLOOKUP(K$5,NFI,5,0),1,0)*Table_NFI[[#This Row],[Mosquito net]],Table_NFI[Mosquito net])</f>
        <v>18</v>
      </c>
      <c r="AC50" s="264">
        <f>IF(NFI_Expiration=1,IF($A50&lt;VLOOKUP(L$5,NFI,5,0),1,0)*Table_NFI[[#This Row],[Tarpaulin]],Table_NFI[[#This Row],[Tarpaulin]])</f>
        <v>6</v>
      </c>
      <c r="AD50" s="264">
        <f>IF(NFI_Expiration=1,IF($A50&lt;VLOOKUP(M$5,NFI,5,0),1,0)*Table_NFI[[#This Row],[Blanket]],Table_NFI[[#This Row],[Blanket]])</f>
        <v>24</v>
      </c>
      <c r="AE50" s="264">
        <f>IF(NFI_Expiration=1,IF($A50&lt;VLOOKUP(N$5,NFI,5,0),1,0)*Table_NFI[[#This Row],[Kitchen Set]],Table_NFI[Kitchen Set])</f>
        <v>6</v>
      </c>
      <c r="AF50" s="264">
        <f>IF(NFI_Expiration=1,IF($A50&lt;VLOOKUP(O$5,NFI,5,0),1,0)*Table_NFI[[#This Row],[Clothes Kit]],Table_NFI[Clothes Kit])</f>
        <v>0</v>
      </c>
      <c r="AG50" s="264">
        <f>IF(NFI_Expiration=1,IF($A50&lt;VLOOKUP(P$5,NFI,5,0),1,0)*Table_NFI[[#This Row],[Plastic Bucket]],Table_NFI[Plastic Bucket])</f>
        <v>6</v>
      </c>
      <c r="AH50" s="264">
        <f>IF(NFI_Expiration=1,IF($A50&lt;VLOOKUP(Q$5,NFI,5,0),1,0)*Table_NFI[[#This Row],[Plastic Mat]],Table_NFI[Plastic Mat])*IF(Table_NFI[[#This Row],[Distribution Date]]&gt;"2014-04-01",1,2.5)</f>
        <v>60</v>
      </c>
      <c r="AI50" s="264">
        <f>IF(NFI_Expiration=1,IF($A50&lt;VLOOKUP(R$5,NFI,5,0),1,0)*Table_NFI[[#This Row],[Winter Clothes Adult]],Table_NFI[Winter Clothes Adult])</f>
        <v>0</v>
      </c>
      <c r="AJ50" s="264">
        <f>IF(NFI_Expiration=1,IF($A50&lt;VLOOKUP(S$5,NFI,5,0),1,0)*Table_NFI[[#This Row],[Winter Clothes Children]],Table_NFI[Winter Clothes Children])</f>
        <v>0</v>
      </c>
      <c r="AK50" s="264">
        <f>IF(NFI_Expiration=1,IF($A50&lt;VLOOKUP(T$5,NFI,5,0),1,0)*Table_NFI[[#This Row],[Winter Items Other]],Table_NFI[Winter Items Other])</f>
        <v>0</v>
      </c>
      <c r="AL50" s="264">
        <f>IF(NFI_Expiration=1,IF($A50&lt;VLOOKUP(M$5,NFI,5,0),1,0)*Table_NFI[[#This Row],[Winter Blanket]],Table_NFI[[#This Row],[Winter Blanket]])</f>
        <v>0</v>
      </c>
      <c r="AM50" s="264">
        <f>IF(Table_NFI[[#This Row],[Winter Clothes Adult]]+Table_NFI[[#This Row],[Winter Clothes Children]]+Table_NFI[[#This Row],[Winter Items Other]]+Table_NFI[[#This Row],[Winter Blanket]]&gt;0,1,0)</f>
        <v>0</v>
      </c>
      <c r="AN50" s="296">
        <f>IF(NFI_Expiration=1,IF($A50&lt;VLOOKUP(V$5,NFI,5,0),1,0)*Table_NFI[[#This Row],[Jerry Can]],Table_NFI[Jerry Can])</f>
        <v>6</v>
      </c>
      <c r="AO50" s="296">
        <f>IF(NFI_Expiration=1,IF($A50&lt;VLOOKUP(V$5,NFI,5,0),1,0)*Table_NFI[[#This Row],[Shelter Tool kit]],Table_NFI[Shelter Tool kit])</f>
        <v>0</v>
      </c>
      <c r="AP50" s="296">
        <f>IF(NFI_Expiration=1,IF($A50&lt;VLOOKUP(V$5,NFI,5,0),1,0)*Table_NFI[[#This Row],[Tent]],Table_NFI[Tent])</f>
        <v>6</v>
      </c>
      <c r="AQ50" s="396" t="str">
        <f>IFERROR(VLOOKUP(Table_NFI[[#This Row],[Camp Name]],CL,2,0),"")</f>
        <v>MMR001CMP040</v>
      </c>
      <c r="AR50" s="711">
        <f ca="1">IF(Table_NFI[[#This Row],[Pcode]]="","",IF(OFFSET(CampList[Opening Date],MATCH(Table_NFI[[#This Row],[Pcode]],CampList[CP_Pcode],0)-1,0,1,1)&gt;=NFI_Monitor_Date,1,0))</f>
        <v>0</v>
      </c>
      <c r="AS50" s="396" t="str">
        <f>IFERROR(VLOOKUP(Table_NFI[[#This Row],[Camp Name]],CL,3,0),"")</f>
        <v>Open</v>
      </c>
      <c r="AT50" s="264" t="str">
        <f ca="1">IF(Table_NFI[[#This Row],[Pcode]]="","",OFFSET(CampList[Priority],MATCH(Table_NFI[[#This Row],[Pcode]],CampList[CP_Pcode],0)-1,0,1,1))</f>
        <v>P4</v>
      </c>
      <c r="AU50" s="263">
        <f>IFERROR(Table_NFI[[#This Row],[Kitchen Set]]/VLOOKUP(Table_NFI[[#This Row],[Camp Name]],CL,4,0),"")</f>
        <v>1.4612405932636809E-4</v>
      </c>
      <c r="AV50" s="390"/>
      <c r="AW50" s="397" t="s">
        <v>1530</v>
      </c>
      <c r="AX50" s="399"/>
      <c r="AY50" s="399"/>
      <c r="AZ50" s="399"/>
      <c r="BA50" s="399"/>
      <c r="BB50" s="399"/>
      <c r="BC50" s="399"/>
      <c r="BD50" s="399"/>
      <c r="BE50" s="399"/>
      <c r="BF50" s="399"/>
      <c r="BG50" s="399"/>
      <c r="BH50" s="399"/>
      <c r="BI50" s="399"/>
      <c r="BJ50" s="399"/>
      <c r="BK50" s="399"/>
      <c r="BL50" s="399"/>
      <c r="BM50" s="399"/>
      <c r="BN50" s="399"/>
      <c r="BO50" s="399"/>
      <c r="BP50" s="399"/>
      <c r="BQ50" s="399"/>
      <c r="BR50" s="399"/>
      <c r="BS50" s="399"/>
      <c r="BT50" s="399"/>
      <c r="BU50" s="399"/>
      <c r="BV50" s="399"/>
      <c r="BW50" s="399"/>
      <c r="BX50" s="399"/>
      <c r="BY50" s="399"/>
      <c r="BZ50" s="399"/>
      <c r="CA50" s="399"/>
      <c r="CB50" s="399"/>
      <c r="CC50" s="399"/>
      <c r="CD50" s="399"/>
      <c r="CE50" s="399"/>
      <c r="CF50" s="399"/>
      <c r="CG50" s="399"/>
      <c r="CH50" s="399"/>
      <c r="CI50" s="399"/>
      <c r="CJ50" s="399"/>
      <c r="CK50" s="399"/>
      <c r="CL50" s="399"/>
      <c r="CM50" s="399"/>
      <c r="CN50" s="399"/>
      <c r="CO50" s="399"/>
      <c r="CP50" s="399"/>
      <c r="CQ50" s="399"/>
      <c r="CR50" s="399"/>
      <c r="CS50" s="399"/>
      <c r="CT50" s="399"/>
      <c r="CU50" s="399"/>
      <c r="CV50" s="399"/>
      <c r="CW50" s="399"/>
      <c r="CX50" s="399"/>
      <c r="CY50" s="399"/>
      <c r="CZ50" s="399"/>
      <c r="DA50" s="399"/>
      <c r="DB50" s="399"/>
      <c r="DC50" s="399"/>
      <c r="DD50" s="399"/>
      <c r="DE50" s="399"/>
      <c r="DF50" s="399"/>
      <c r="DG50" s="399"/>
      <c r="DH50" s="399"/>
      <c r="DI50" s="399"/>
      <c r="DJ50" s="399"/>
      <c r="DK50" s="399"/>
      <c r="DL50" s="399"/>
      <c r="DM50" s="399"/>
      <c r="DN50" s="399"/>
      <c r="DO50" s="399"/>
      <c r="DP50" s="399"/>
      <c r="DQ50" s="399"/>
    </row>
    <row r="51" spans="1:121" s="760" customFormat="1" ht="14.45" customHeight="1" x14ac:dyDescent="0.25">
      <c r="A51" s="266">
        <f t="shared" si="0"/>
        <v>3.2666666666666666</v>
      </c>
      <c r="B51" s="389">
        <v>42758</v>
      </c>
      <c r="C51" s="394" t="s">
        <v>904</v>
      </c>
      <c r="D51" s="394" t="s">
        <v>904</v>
      </c>
      <c r="E51" s="394" t="s">
        <v>380</v>
      </c>
      <c r="F51" s="394" t="s">
        <v>310</v>
      </c>
      <c r="G51" s="394" t="s">
        <v>196</v>
      </c>
      <c r="H51" s="261">
        <v>38</v>
      </c>
      <c r="I51" s="261">
        <v>38</v>
      </c>
      <c r="J51" s="261">
        <v>342</v>
      </c>
      <c r="K51" s="261">
        <v>76</v>
      </c>
      <c r="L51" s="261"/>
      <c r="M51" s="261">
        <v>76</v>
      </c>
      <c r="N51" s="261"/>
      <c r="O51" s="261"/>
      <c r="P51" s="261">
        <v>38</v>
      </c>
      <c r="Q51" s="261">
        <v>76</v>
      </c>
      <c r="R51" s="261"/>
      <c r="S51" s="261"/>
      <c r="T51" s="261"/>
      <c r="U51" s="261"/>
      <c r="V51" s="762">
        <v>38</v>
      </c>
      <c r="W51" s="261"/>
      <c r="X51" s="261"/>
      <c r="Y51" s="264">
        <f>IF(NFI_Expiration=1,IF($A51&lt;VLOOKUP(H$5,NFI,5,0),1,0)*Table_NFI[[#This Row],[Hygiene Kit]],Table_NFI[Hygiene Kit])</f>
        <v>38</v>
      </c>
      <c r="Z51" s="264">
        <f>IF(NFI_Expiration=1,IF($A51&lt;VLOOKUP(I$5,NFI,5,0),1,0)*Table_NFI[[#This Row],[NFI Core Kit]],Table_NFI[NFI Core Kit])</f>
        <v>38</v>
      </c>
      <c r="AA51" s="264">
        <f>IF(NFI_Expiration=1,IF($A51&lt;VLOOKUP(J$5,NFI,5,0),1,0)*Table_NFI[[#This Row],[Sanitary Kit]],Table_NFI[Sanitary Kit])</f>
        <v>342</v>
      </c>
      <c r="AB51" s="264">
        <f>IF(NFI_Expiration=1,IF($A51&lt;VLOOKUP(K$5,NFI,5,0),1,0)*Table_NFI[[#This Row],[Mosquito net]],Table_NFI[Mosquito net])</f>
        <v>76</v>
      </c>
      <c r="AC51" s="264">
        <f>IF(NFI_Expiration=1,IF($A51&lt;VLOOKUP(L$5,NFI,5,0),1,0)*Table_NFI[[#This Row],[Tarpaulin]],Table_NFI[[#This Row],[Tarpaulin]])</f>
        <v>0</v>
      </c>
      <c r="AD51" s="264">
        <f>IF(NFI_Expiration=1,IF($A51&lt;VLOOKUP(M$5,NFI,5,0),1,0)*Table_NFI[[#This Row],[Blanket]],Table_NFI[[#This Row],[Blanket]])</f>
        <v>76</v>
      </c>
      <c r="AE51" s="264">
        <f>IF(NFI_Expiration=1,IF($A51&lt;VLOOKUP(N$5,NFI,5,0),1,0)*Table_NFI[[#This Row],[Kitchen Set]],Table_NFI[Kitchen Set])</f>
        <v>0</v>
      </c>
      <c r="AF51" s="264">
        <f>IF(NFI_Expiration=1,IF($A51&lt;VLOOKUP(O$5,NFI,5,0),1,0)*Table_NFI[[#This Row],[Clothes Kit]],Table_NFI[Clothes Kit])</f>
        <v>0</v>
      </c>
      <c r="AG51" s="264">
        <f>IF(NFI_Expiration=1,IF($A51&lt;VLOOKUP(P$5,NFI,5,0),1,0)*Table_NFI[[#This Row],[Plastic Bucket]],Table_NFI[Plastic Bucket])</f>
        <v>38</v>
      </c>
      <c r="AH51" s="264">
        <f>IF(NFI_Expiration=1,IF($A51&lt;VLOOKUP(Q$5,NFI,5,0),1,0)*Table_NFI[[#This Row],[Plastic Mat]],Table_NFI[Plastic Mat])*IF(Table_NFI[[#This Row],[Distribution Date]]&gt;"2014-04-01",1,2.5)</f>
        <v>190</v>
      </c>
      <c r="AI51" s="264">
        <f>IF(NFI_Expiration=1,IF($A51&lt;VLOOKUP(R$5,NFI,5,0),1,0)*Table_NFI[[#This Row],[Winter Clothes Adult]],Table_NFI[Winter Clothes Adult])</f>
        <v>0</v>
      </c>
      <c r="AJ51" s="264">
        <f>IF(NFI_Expiration=1,IF($A51&lt;VLOOKUP(S$5,NFI,5,0),1,0)*Table_NFI[[#This Row],[Winter Clothes Children]],Table_NFI[Winter Clothes Children])</f>
        <v>0</v>
      </c>
      <c r="AK51" s="264">
        <f>IF(NFI_Expiration=1,IF($A51&lt;VLOOKUP(T$5,NFI,5,0),1,0)*Table_NFI[[#This Row],[Winter Items Other]],Table_NFI[Winter Items Other])</f>
        <v>0</v>
      </c>
      <c r="AL51" s="264">
        <f>IF(NFI_Expiration=1,IF($A51&lt;VLOOKUP(M$5,NFI,5,0),1,0)*Table_NFI[[#This Row],[Winter Blanket]],Table_NFI[[#This Row],[Winter Blanket]])</f>
        <v>0</v>
      </c>
      <c r="AM51" s="264">
        <f>IF(Table_NFI[[#This Row],[Winter Clothes Adult]]+Table_NFI[[#This Row],[Winter Clothes Children]]+Table_NFI[[#This Row],[Winter Items Other]]+Table_NFI[[#This Row],[Winter Blanket]]&gt;0,1,0)</f>
        <v>0</v>
      </c>
      <c r="AN51" s="296">
        <f>IF(NFI_Expiration=1,IF($A51&lt;VLOOKUP(V$5,NFI,5,0),1,0)*Table_NFI[[#This Row],[Jerry Can]],Table_NFI[Jerry Can])</f>
        <v>38</v>
      </c>
      <c r="AO51" s="296">
        <f>IF(NFI_Expiration=1,IF($A51&lt;VLOOKUP(V$5,NFI,5,0),1,0)*Table_NFI[[#This Row],[Shelter Tool kit]],Table_NFI[Shelter Tool kit])</f>
        <v>0</v>
      </c>
      <c r="AP51" s="296">
        <f>IF(NFI_Expiration=1,IF($A51&lt;VLOOKUP(V$5,NFI,5,0),1,0)*Table_NFI[[#This Row],[Tent]],Table_NFI[Tent])</f>
        <v>0</v>
      </c>
      <c r="AQ51" s="396" t="str">
        <f>IFERROR(VLOOKUP(Table_NFI[[#This Row],[Camp Name]],CL,2,0),"")</f>
        <v>MMR001CMP121</v>
      </c>
      <c r="AR51" s="711">
        <f ca="1">IF(Table_NFI[[#This Row],[Pcode]]="","",IF(OFFSET(CampList[Opening Date],MATCH(Table_NFI[[#This Row],[Pcode]],CampList[CP_Pcode],0)-1,0,1,1)&gt;=NFI_Monitor_Date,1,0))</f>
        <v>0</v>
      </c>
      <c r="AS51" s="396" t="str">
        <f>IFERROR(VLOOKUP(Table_NFI[[#This Row],[Camp Name]],CL,3,0),"")</f>
        <v>Open</v>
      </c>
      <c r="AT51" s="264" t="str">
        <f ca="1">IF(Table_NFI[[#This Row],[Pcode]]="","",OFFSET(CampList[Priority],MATCH(Table_NFI[[#This Row],[Pcode]],CampList[CP_Pcode],0)-1,0,1,1))</f>
        <v>P2</v>
      </c>
      <c r="AU51" s="263">
        <f>IFERROR(Table_NFI[[#This Row],[Kitchen Set]]/VLOOKUP(Table_NFI[[#This Row],[Camp Name]],CL,4,0),"")</f>
        <v>0</v>
      </c>
      <c r="AV51" s="390"/>
      <c r="AW51" s="392" t="s">
        <v>1559</v>
      </c>
      <c r="AX51" s="399"/>
      <c r="AY51" s="399"/>
      <c r="AZ51" s="399"/>
      <c r="BA51" s="399"/>
      <c r="BB51" s="399"/>
      <c r="BC51" s="399"/>
      <c r="BD51" s="399"/>
      <c r="BE51" s="399"/>
      <c r="BF51" s="399"/>
      <c r="BG51" s="399"/>
      <c r="BH51" s="399"/>
      <c r="BI51" s="399"/>
      <c r="BJ51" s="399"/>
      <c r="BK51" s="399"/>
      <c r="BL51" s="399"/>
      <c r="BM51" s="399"/>
      <c r="BN51" s="399"/>
      <c r="BO51" s="399"/>
      <c r="BP51" s="399"/>
      <c r="BQ51" s="399"/>
      <c r="BR51" s="399"/>
      <c r="BS51" s="399"/>
      <c r="BT51" s="399"/>
      <c r="BU51" s="399"/>
      <c r="BV51" s="399"/>
      <c r="BW51" s="399"/>
      <c r="BX51" s="399"/>
      <c r="BY51" s="399"/>
      <c r="BZ51" s="399"/>
      <c r="CA51" s="399"/>
      <c r="CB51" s="399"/>
      <c r="CC51" s="399"/>
      <c r="CD51" s="399"/>
      <c r="CE51" s="399"/>
      <c r="CF51" s="399"/>
      <c r="CG51" s="399"/>
      <c r="CH51" s="399"/>
      <c r="CI51" s="399"/>
      <c r="CJ51" s="399"/>
      <c r="CK51" s="399"/>
      <c r="CL51" s="399"/>
      <c r="CM51" s="399"/>
      <c r="CN51" s="399"/>
      <c r="CO51" s="399"/>
      <c r="CP51" s="399"/>
      <c r="CQ51" s="399"/>
      <c r="CR51" s="399"/>
      <c r="CS51" s="399"/>
      <c r="CT51" s="399"/>
      <c r="CU51" s="399"/>
      <c r="CV51" s="399"/>
      <c r="CW51" s="399"/>
      <c r="CX51" s="399"/>
      <c r="CY51" s="399"/>
      <c r="CZ51" s="399"/>
      <c r="DA51" s="399"/>
      <c r="DB51" s="399"/>
      <c r="DC51" s="399"/>
      <c r="DD51" s="399"/>
      <c r="DE51" s="399"/>
      <c r="DF51" s="399"/>
      <c r="DG51" s="399"/>
      <c r="DH51" s="399"/>
      <c r="DI51" s="399"/>
      <c r="DJ51" s="399"/>
      <c r="DK51" s="399"/>
      <c r="DL51" s="399"/>
      <c r="DM51" s="399"/>
      <c r="DN51" s="399"/>
      <c r="DO51" s="399"/>
      <c r="DP51" s="399"/>
      <c r="DQ51" s="399"/>
    </row>
    <row r="52" spans="1:121" s="760" customFormat="1" ht="14.45" customHeight="1" x14ac:dyDescent="0.25">
      <c r="A52" s="266">
        <f t="shared" si="0"/>
        <v>3.2666666666666666</v>
      </c>
      <c r="B52" s="389">
        <v>42758</v>
      </c>
      <c r="C52" s="394" t="s">
        <v>451</v>
      </c>
      <c r="D52" s="394" t="s">
        <v>1427</v>
      </c>
      <c r="E52" s="394" t="s">
        <v>380</v>
      </c>
      <c r="F52" s="394" t="s">
        <v>151</v>
      </c>
      <c r="G52" s="394" t="s">
        <v>874</v>
      </c>
      <c r="H52" s="261"/>
      <c r="I52" s="261">
        <v>24</v>
      </c>
      <c r="J52" s="261">
        <v>25</v>
      </c>
      <c r="K52" s="261">
        <v>45</v>
      </c>
      <c r="L52" s="261">
        <v>25</v>
      </c>
      <c r="M52" s="261">
        <v>45</v>
      </c>
      <c r="N52" s="261">
        <v>25</v>
      </c>
      <c r="O52" s="261"/>
      <c r="P52" s="261">
        <v>25</v>
      </c>
      <c r="Q52" s="261">
        <v>83</v>
      </c>
      <c r="R52" s="261"/>
      <c r="S52" s="261"/>
      <c r="T52" s="261"/>
      <c r="U52" s="261"/>
      <c r="V52" s="762">
        <v>25</v>
      </c>
      <c r="W52" s="261"/>
      <c r="X52" s="261"/>
      <c r="Y52" s="264">
        <f>IF(NFI_Expiration=1,IF($A52&lt;VLOOKUP(H$5,NFI,5,0),1,0)*Table_NFI[[#This Row],[Hygiene Kit]],Table_NFI[Hygiene Kit])</f>
        <v>0</v>
      </c>
      <c r="Z52" s="264">
        <f>IF(NFI_Expiration=1,IF($A52&lt;VLOOKUP(I$5,NFI,5,0),1,0)*Table_NFI[[#This Row],[NFI Core Kit]],Table_NFI[NFI Core Kit])</f>
        <v>24</v>
      </c>
      <c r="AA52" s="264">
        <f>IF(NFI_Expiration=1,IF($A52&lt;VLOOKUP(J$5,NFI,5,0),1,0)*Table_NFI[[#This Row],[Sanitary Kit]],Table_NFI[Sanitary Kit])</f>
        <v>25</v>
      </c>
      <c r="AB52" s="264">
        <f>IF(NFI_Expiration=1,IF($A52&lt;VLOOKUP(K$5,NFI,5,0),1,0)*Table_NFI[[#This Row],[Mosquito net]],Table_NFI[Mosquito net])</f>
        <v>45</v>
      </c>
      <c r="AC52" s="264">
        <f>IF(NFI_Expiration=1,IF($A52&lt;VLOOKUP(L$5,NFI,5,0),1,0)*Table_NFI[[#This Row],[Tarpaulin]],Table_NFI[[#This Row],[Tarpaulin]])</f>
        <v>25</v>
      </c>
      <c r="AD52" s="264">
        <f>IF(NFI_Expiration=1,IF($A52&lt;VLOOKUP(M$5,NFI,5,0),1,0)*Table_NFI[[#This Row],[Blanket]],Table_NFI[[#This Row],[Blanket]])</f>
        <v>45</v>
      </c>
      <c r="AE52" s="264">
        <f>IF(NFI_Expiration=1,IF($A52&lt;VLOOKUP(N$5,NFI,5,0),1,0)*Table_NFI[[#This Row],[Kitchen Set]],Table_NFI[Kitchen Set])</f>
        <v>25</v>
      </c>
      <c r="AF52" s="264">
        <f>IF(NFI_Expiration=1,IF($A52&lt;VLOOKUP(O$5,NFI,5,0),1,0)*Table_NFI[[#This Row],[Clothes Kit]],Table_NFI[Clothes Kit])</f>
        <v>0</v>
      </c>
      <c r="AG52" s="264">
        <f>IF(NFI_Expiration=1,IF($A52&lt;VLOOKUP(P$5,NFI,5,0),1,0)*Table_NFI[[#This Row],[Plastic Bucket]],Table_NFI[Plastic Bucket])</f>
        <v>25</v>
      </c>
      <c r="AH52" s="264">
        <f>IF(NFI_Expiration=1,IF($A52&lt;VLOOKUP(Q$5,NFI,5,0),1,0)*Table_NFI[[#This Row],[Plastic Mat]],Table_NFI[Plastic Mat])*IF(Table_NFI[[#This Row],[Distribution Date]]&gt;"2014-04-01",1,2.5)</f>
        <v>207.5</v>
      </c>
      <c r="AI52" s="264">
        <f>IF(NFI_Expiration=1,IF($A52&lt;VLOOKUP(R$5,NFI,5,0),1,0)*Table_NFI[[#This Row],[Winter Clothes Adult]],Table_NFI[Winter Clothes Adult])</f>
        <v>0</v>
      </c>
      <c r="AJ52" s="264">
        <f>IF(NFI_Expiration=1,IF($A52&lt;VLOOKUP(S$5,NFI,5,0),1,0)*Table_NFI[[#This Row],[Winter Clothes Children]],Table_NFI[Winter Clothes Children])</f>
        <v>0</v>
      </c>
      <c r="AK52" s="264">
        <f>IF(NFI_Expiration=1,IF($A52&lt;VLOOKUP(T$5,NFI,5,0),1,0)*Table_NFI[[#This Row],[Winter Items Other]],Table_NFI[Winter Items Other])</f>
        <v>0</v>
      </c>
      <c r="AL52" s="264">
        <f>IF(NFI_Expiration=1,IF($A52&lt;VLOOKUP(M$5,NFI,5,0),1,0)*Table_NFI[[#This Row],[Winter Blanket]],Table_NFI[[#This Row],[Winter Blanket]])</f>
        <v>0</v>
      </c>
      <c r="AM52" s="264">
        <f>IF(Table_NFI[[#This Row],[Winter Clothes Adult]]+Table_NFI[[#This Row],[Winter Clothes Children]]+Table_NFI[[#This Row],[Winter Items Other]]+Table_NFI[[#This Row],[Winter Blanket]]&gt;0,1,0)</f>
        <v>0</v>
      </c>
      <c r="AN52" s="296">
        <f>IF(NFI_Expiration=1,IF($A52&lt;VLOOKUP(V$5,NFI,5,0),1,0)*Table_NFI[[#This Row],[Jerry Can]],Table_NFI[Jerry Can])</f>
        <v>25</v>
      </c>
      <c r="AO52" s="296">
        <f>IF(NFI_Expiration=1,IF($A52&lt;VLOOKUP(V$5,NFI,5,0),1,0)*Table_NFI[[#This Row],[Shelter Tool kit]],Table_NFI[Shelter Tool kit])</f>
        <v>0</v>
      </c>
      <c r="AP52" s="296">
        <f>IF(NFI_Expiration=1,IF($A52&lt;VLOOKUP(V$5,NFI,5,0),1,0)*Table_NFI[[#This Row],[Tent]],Table_NFI[Tent])</f>
        <v>0</v>
      </c>
      <c r="AQ52" s="396" t="str">
        <f>IFERROR(VLOOKUP(Table_NFI[[#This Row],[Camp Name]],CL,2,0),"")</f>
        <v>MMR001CMP213</v>
      </c>
      <c r="AR52" s="702">
        <f ca="1">IF(Table_NFI[[#This Row],[Pcode]]="","",IF(OFFSET(CampList[Opening Date],MATCH(Table_NFI[[#This Row],[Pcode]],CampList[CP_Pcode],0)-1,0,1,1)&gt;=NFI_Monitor_Date,1,0))</f>
        <v>0</v>
      </c>
      <c r="AS52" s="396" t="str">
        <f>IFERROR(VLOOKUP(Table_NFI[[#This Row],[Camp Name]],CL,3,0),"")</f>
        <v>Closed</v>
      </c>
      <c r="AT52" s="264" t="str">
        <f ca="1">IF(Table_NFI[[#This Row],[Pcode]]="","",OFFSET(CampList[Priority],MATCH(Table_NFI[[#This Row],[Pcode]],CampList[CP_Pcode],0)-1,0,1,1))</f>
        <v/>
      </c>
      <c r="AU52" s="263" t="str">
        <f>IFERROR(Table_NFI[[#This Row],[Kitchen Set]]/VLOOKUP(Table_NFI[[#This Row],[Camp Name]],CL,4,0),"")</f>
        <v/>
      </c>
      <c r="AV52" s="390"/>
      <c r="AW52" s="397" t="s">
        <v>1527</v>
      </c>
      <c r="AX52" s="399"/>
      <c r="AY52" s="399"/>
      <c r="AZ52" s="399"/>
      <c r="BA52" s="399"/>
      <c r="BB52" s="399"/>
      <c r="BC52" s="399"/>
      <c r="BD52" s="399"/>
      <c r="BE52" s="399"/>
      <c r="BF52" s="399"/>
      <c r="BG52" s="399"/>
      <c r="BH52" s="399"/>
      <c r="BI52" s="399"/>
      <c r="BJ52" s="399"/>
      <c r="BK52" s="399"/>
      <c r="BL52" s="399"/>
      <c r="BM52" s="399"/>
      <c r="BN52" s="399"/>
      <c r="BO52" s="399"/>
      <c r="BP52" s="399"/>
      <c r="BQ52" s="399"/>
      <c r="BR52" s="399"/>
      <c r="BS52" s="399"/>
      <c r="BT52" s="399"/>
      <c r="BU52" s="399"/>
      <c r="BV52" s="399"/>
      <c r="BW52" s="399"/>
      <c r="BX52" s="399"/>
      <c r="BY52" s="399"/>
      <c r="BZ52" s="399"/>
      <c r="CA52" s="399"/>
      <c r="CB52" s="399"/>
      <c r="CC52" s="399"/>
      <c r="CD52" s="399"/>
      <c r="CE52" s="399"/>
      <c r="CF52" s="399"/>
      <c r="CG52" s="399"/>
      <c r="CH52" s="399"/>
      <c r="CI52" s="399"/>
      <c r="CJ52" s="399"/>
      <c r="CK52" s="399"/>
      <c r="CL52" s="399"/>
      <c r="CM52" s="399"/>
      <c r="CN52" s="399"/>
      <c r="CO52" s="399"/>
      <c r="CP52" s="399"/>
      <c r="CQ52" s="399"/>
      <c r="CR52" s="399"/>
      <c r="CS52" s="399"/>
      <c r="CT52" s="399"/>
      <c r="CU52" s="399"/>
      <c r="CV52" s="399"/>
      <c r="CW52" s="399"/>
      <c r="CX52" s="399"/>
      <c r="CY52" s="399"/>
      <c r="CZ52" s="399"/>
      <c r="DA52" s="399"/>
      <c r="DB52" s="399"/>
      <c r="DC52" s="399"/>
      <c r="DD52" s="399"/>
      <c r="DE52" s="399"/>
      <c r="DF52" s="399"/>
      <c r="DG52" s="399"/>
      <c r="DH52" s="399"/>
      <c r="DI52" s="399"/>
      <c r="DJ52" s="399"/>
      <c r="DK52" s="399"/>
      <c r="DL52" s="399"/>
      <c r="DM52" s="399"/>
      <c r="DN52" s="399"/>
      <c r="DO52" s="399"/>
      <c r="DP52" s="399"/>
      <c r="DQ52" s="399"/>
    </row>
    <row r="53" spans="1:121" s="760" customFormat="1" ht="15" customHeight="1" x14ac:dyDescent="0.25">
      <c r="A53" s="266">
        <f t="shared" si="0"/>
        <v>3.2666666666666666</v>
      </c>
      <c r="B53" s="389">
        <v>42758</v>
      </c>
      <c r="C53" s="394" t="s">
        <v>451</v>
      </c>
      <c r="D53" s="394" t="s">
        <v>1427</v>
      </c>
      <c r="E53" s="394" t="s">
        <v>380</v>
      </c>
      <c r="F53" s="394" t="s">
        <v>151</v>
      </c>
      <c r="G53" s="394" t="s">
        <v>874</v>
      </c>
      <c r="H53" s="261"/>
      <c r="I53" s="261">
        <v>24</v>
      </c>
      <c r="J53" s="261">
        <v>25</v>
      </c>
      <c r="K53" s="261">
        <v>45</v>
      </c>
      <c r="L53" s="261">
        <v>25</v>
      </c>
      <c r="M53" s="261">
        <v>45</v>
      </c>
      <c r="N53" s="261">
        <v>25</v>
      </c>
      <c r="O53" s="261"/>
      <c r="P53" s="261">
        <v>25</v>
      </c>
      <c r="Q53" s="261">
        <v>83</v>
      </c>
      <c r="R53" s="261"/>
      <c r="S53" s="261"/>
      <c r="T53" s="261"/>
      <c r="U53" s="261"/>
      <c r="V53" s="762"/>
      <c r="W53" s="261"/>
      <c r="X53" s="261"/>
      <c r="Y53" s="264">
        <f>IF(NFI_Expiration=1,IF($A53&lt;VLOOKUP(H$5,NFI,5,0),1,0)*Table_NFI[[#This Row],[Hygiene Kit]],Table_NFI[Hygiene Kit])</f>
        <v>0</v>
      </c>
      <c r="Z53" s="264">
        <f>IF(NFI_Expiration=1,IF($A53&lt;VLOOKUP(I$5,NFI,5,0),1,0)*Table_NFI[[#This Row],[NFI Core Kit]],Table_NFI[NFI Core Kit])</f>
        <v>24</v>
      </c>
      <c r="AA53" s="264">
        <f>IF(NFI_Expiration=1,IF($A53&lt;VLOOKUP(J$5,NFI,5,0),1,0)*Table_NFI[[#This Row],[Sanitary Kit]],Table_NFI[Sanitary Kit])</f>
        <v>25</v>
      </c>
      <c r="AB53" s="264">
        <f>IF(NFI_Expiration=1,IF($A53&lt;VLOOKUP(K$5,NFI,5,0),1,0)*Table_NFI[[#This Row],[Mosquito net]],Table_NFI[Mosquito net])</f>
        <v>45</v>
      </c>
      <c r="AC53" s="264">
        <f>IF(NFI_Expiration=1,IF($A53&lt;VLOOKUP(L$5,NFI,5,0),1,0)*Table_NFI[[#This Row],[Tarpaulin]],Table_NFI[[#This Row],[Tarpaulin]])</f>
        <v>25</v>
      </c>
      <c r="AD53" s="264">
        <f>IF(NFI_Expiration=1,IF($A53&lt;VLOOKUP(M$5,NFI,5,0),1,0)*Table_NFI[[#This Row],[Blanket]],Table_NFI[[#This Row],[Blanket]])</f>
        <v>45</v>
      </c>
      <c r="AE53" s="264">
        <f>IF(NFI_Expiration=1,IF($A53&lt;VLOOKUP(N$5,NFI,5,0),1,0)*Table_NFI[[#This Row],[Kitchen Set]],Table_NFI[Kitchen Set])</f>
        <v>25</v>
      </c>
      <c r="AF53" s="264">
        <f>IF(NFI_Expiration=1,IF($A53&lt;VLOOKUP(O$5,NFI,5,0),1,0)*Table_NFI[[#This Row],[Clothes Kit]],Table_NFI[Clothes Kit])</f>
        <v>0</v>
      </c>
      <c r="AG53" s="264">
        <f>IF(NFI_Expiration=1,IF($A53&lt;VLOOKUP(P$5,NFI,5,0),1,0)*Table_NFI[[#This Row],[Plastic Bucket]],Table_NFI[Plastic Bucket])</f>
        <v>25</v>
      </c>
      <c r="AH53" s="264">
        <f>IF(NFI_Expiration=1,IF($A53&lt;VLOOKUP(Q$5,NFI,5,0),1,0)*Table_NFI[[#This Row],[Plastic Mat]],Table_NFI[Plastic Mat])*IF(Table_NFI[[#This Row],[Distribution Date]]&gt;"2014-04-01",1,2.5)</f>
        <v>207.5</v>
      </c>
      <c r="AI53" s="264">
        <f>IF(NFI_Expiration=1,IF($A53&lt;VLOOKUP(R$5,NFI,5,0),1,0)*Table_NFI[[#This Row],[Winter Clothes Adult]],Table_NFI[Winter Clothes Adult])</f>
        <v>0</v>
      </c>
      <c r="AJ53" s="264">
        <f>IF(NFI_Expiration=1,IF($A53&lt;VLOOKUP(S$5,NFI,5,0),1,0)*Table_NFI[[#This Row],[Winter Clothes Children]],Table_NFI[Winter Clothes Children])</f>
        <v>0</v>
      </c>
      <c r="AK53" s="264">
        <f>IF(NFI_Expiration=1,IF($A53&lt;VLOOKUP(T$5,NFI,5,0),1,0)*Table_NFI[[#This Row],[Winter Items Other]],Table_NFI[Winter Items Other])</f>
        <v>0</v>
      </c>
      <c r="AL53" s="264">
        <f>IF(NFI_Expiration=1,IF($A53&lt;VLOOKUP(M$5,NFI,5,0),1,0)*Table_NFI[[#This Row],[Winter Blanket]],Table_NFI[[#This Row],[Winter Blanket]])</f>
        <v>0</v>
      </c>
      <c r="AM53" s="264">
        <f>IF(Table_NFI[[#This Row],[Winter Clothes Adult]]+Table_NFI[[#This Row],[Winter Clothes Children]]+Table_NFI[[#This Row],[Winter Items Other]]+Table_NFI[[#This Row],[Winter Blanket]]&gt;0,1,0)</f>
        <v>0</v>
      </c>
      <c r="AN53" s="296">
        <f>IF(NFI_Expiration=1,IF($A53&lt;VLOOKUP(V$5,NFI,5,0),1,0)*Table_NFI[[#This Row],[Jerry Can]],Table_NFI[Jerry Can])</f>
        <v>0</v>
      </c>
      <c r="AO53" s="296">
        <f>IF(NFI_Expiration=1,IF($A53&lt;VLOOKUP(V$5,NFI,5,0),1,0)*Table_NFI[[#This Row],[Shelter Tool kit]],Table_NFI[Shelter Tool kit])</f>
        <v>0</v>
      </c>
      <c r="AP53" s="296">
        <f>IF(NFI_Expiration=1,IF($A53&lt;VLOOKUP(V$5,NFI,5,0),1,0)*Table_NFI[[#This Row],[Tent]],Table_NFI[Tent])</f>
        <v>0</v>
      </c>
      <c r="AQ53" s="396" t="str">
        <f>IFERROR(VLOOKUP(Table_NFI[[#This Row],[Camp Name]],CL,2,0),"")</f>
        <v>MMR001CMP213</v>
      </c>
      <c r="AR53" s="702">
        <f ca="1">IF(Table_NFI[[#This Row],[Pcode]]="","",IF(OFFSET(CampList[Opening Date],MATCH(Table_NFI[[#This Row],[Pcode]],CampList[CP_Pcode],0)-1,0,1,1)&gt;=NFI_Monitor_Date,1,0))</f>
        <v>0</v>
      </c>
      <c r="AS53" s="396" t="str">
        <f>IFERROR(VLOOKUP(Table_NFI[[#This Row],[Camp Name]],CL,3,0),"")</f>
        <v>Closed</v>
      </c>
      <c r="AT53" s="264" t="str">
        <f ca="1">IF(Table_NFI[[#This Row],[Pcode]]="","",OFFSET(CampList[Priority],MATCH(Table_NFI[[#This Row],[Pcode]],CampList[CP_Pcode],0)-1,0,1,1))</f>
        <v/>
      </c>
      <c r="AU53" s="263" t="str">
        <f>IFERROR(Table_NFI[[#This Row],[Kitchen Set]]/VLOOKUP(Table_NFI[[#This Row],[Camp Name]],CL,4,0),"")</f>
        <v/>
      </c>
      <c r="AV53" s="390"/>
      <c r="AW53" s="397" t="s">
        <v>1527</v>
      </c>
      <c r="AX53" s="399"/>
      <c r="AY53" s="399"/>
      <c r="AZ53" s="399"/>
      <c r="BA53" s="399"/>
      <c r="BB53" s="399"/>
      <c r="BC53" s="399"/>
      <c r="BD53" s="399"/>
      <c r="BE53" s="399"/>
      <c r="BF53" s="399"/>
      <c r="BG53" s="399"/>
      <c r="BH53" s="399"/>
      <c r="BI53" s="399"/>
      <c r="BJ53" s="399"/>
      <c r="BK53" s="399"/>
      <c r="BL53" s="399"/>
      <c r="BM53" s="399"/>
      <c r="BN53" s="399"/>
      <c r="BO53" s="399"/>
      <c r="BP53" s="399"/>
      <c r="BQ53" s="399"/>
      <c r="BR53" s="399"/>
      <c r="BS53" s="399"/>
      <c r="BT53" s="399"/>
      <c r="BU53" s="399"/>
      <c r="BV53" s="399"/>
      <c r="BW53" s="399"/>
      <c r="BX53" s="399"/>
      <c r="BY53" s="399"/>
      <c r="BZ53" s="399"/>
      <c r="CA53" s="399"/>
      <c r="CB53" s="399"/>
      <c r="CC53" s="399"/>
      <c r="CD53" s="399"/>
      <c r="CE53" s="399"/>
      <c r="CF53" s="399"/>
      <c r="CG53" s="399"/>
      <c r="CH53" s="399"/>
      <c r="CI53" s="399"/>
      <c r="CJ53" s="399"/>
      <c r="CK53" s="399"/>
      <c r="CL53" s="399"/>
      <c r="CM53" s="399"/>
      <c r="CN53" s="399"/>
      <c r="CO53" s="399"/>
      <c r="CP53" s="399"/>
      <c r="CQ53" s="399"/>
      <c r="CR53" s="399"/>
      <c r="CS53" s="399"/>
      <c r="CT53" s="399"/>
      <c r="CU53" s="399"/>
      <c r="CV53" s="399"/>
      <c r="CW53" s="399"/>
      <c r="CX53" s="399"/>
      <c r="CY53" s="399"/>
      <c r="CZ53" s="399"/>
      <c r="DA53" s="399"/>
      <c r="DB53" s="399"/>
      <c r="DC53" s="399"/>
      <c r="DD53" s="399"/>
      <c r="DE53" s="399"/>
      <c r="DF53" s="399"/>
      <c r="DG53" s="399"/>
      <c r="DH53" s="399"/>
      <c r="DI53" s="399"/>
      <c r="DJ53" s="399"/>
      <c r="DK53" s="399"/>
      <c r="DL53" s="399"/>
      <c r="DM53" s="399"/>
      <c r="DN53" s="399"/>
      <c r="DO53" s="399"/>
      <c r="DP53" s="399"/>
      <c r="DQ53" s="399"/>
    </row>
    <row r="54" spans="1:121" s="760" customFormat="1" ht="14.45" customHeight="1" x14ac:dyDescent="0.25">
      <c r="A54" s="266">
        <f t="shared" si="0"/>
        <v>3.3666666666666667</v>
      </c>
      <c r="B54" s="389">
        <v>42755</v>
      </c>
      <c r="C54" s="394" t="s">
        <v>451</v>
      </c>
      <c r="D54" s="394" t="s">
        <v>504</v>
      </c>
      <c r="E54" s="394" t="s">
        <v>380</v>
      </c>
      <c r="F54" s="394" t="s">
        <v>310</v>
      </c>
      <c r="G54" s="394" t="s">
        <v>328</v>
      </c>
      <c r="H54" s="261"/>
      <c r="I54" s="261">
        <v>5</v>
      </c>
      <c r="J54" s="261">
        <v>5</v>
      </c>
      <c r="K54" s="261">
        <v>21</v>
      </c>
      <c r="L54" s="261">
        <v>5</v>
      </c>
      <c r="M54" s="261">
        <v>21</v>
      </c>
      <c r="N54" s="261">
        <v>5</v>
      </c>
      <c r="O54" s="261"/>
      <c r="P54" s="261">
        <v>5</v>
      </c>
      <c r="Q54" s="261">
        <v>21</v>
      </c>
      <c r="R54" s="261"/>
      <c r="S54" s="261"/>
      <c r="T54" s="261"/>
      <c r="U54" s="261"/>
      <c r="V54" s="762">
        <v>5</v>
      </c>
      <c r="W54" s="261"/>
      <c r="X54" s="261"/>
      <c r="Y54" s="264">
        <f>IF(NFI_Expiration=1,IF($A54&lt;VLOOKUP(H$5,NFI,5,0),1,0)*Table_NFI[[#This Row],[Hygiene Kit]],Table_NFI[Hygiene Kit])</f>
        <v>0</v>
      </c>
      <c r="Z54" s="264">
        <f>IF(NFI_Expiration=1,IF($A54&lt;VLOOKUP(I$5,NFI,5,0),1,0)*Table_NFI[[#This Row],[NFI Core Kit]],Table_NFI[NFI Core Kit])</f>
        <v>5</v>
      </c>
      <c r="AA54" s="264">
        <f>IF(NFI_Expiration=1,IF($A54&lt;VLOOKUP(J$5,NFI,5,0),1,0)*Table_NFI[[#This Row],[Sanitary Kit]],Table_NFI[Sanitary Kit])</f>
        <v>5</v>
      </c>
      <c r="AB54" s="264">
        <f>IF(NFI_Expiration=1,IF($A54&lt;VLOOKUP(K$5,NFI,5,0),1,0)*Table_NFI[[#This Row],[Mosquito net]],Table_NFI[Mosquito net])</f>
        <v>21</v>
      </c>
      <c r="AC54" s="264">
        <f>IF(NFI_Expiration=1,IF($A54&lt;VLOOKUP(L$5,NFI,5,0),1,0)*Table_NFI[[#This Row],[Tarpaulin]],Table_NFI[[#This Row],[Tarpaulin]])</f>
        <v>5</v>
      </c>
      <c r="AD54" s="264">
        <f>IF(NFI_Expiration=1,IF($A54&lt;VLOOKUP(M$5,NFI,5,0),1,0)*Table_NFI[[#This Row],[Blanket]],Table_NFI[[#This Row],[Blanket]])</f>
        <v>21</v>
      </c>
      <c r="AE54" s="264">
        <f>IF(NFI_Expiration=1,IF($A54&lt;VLOOKUP(N$5,NFI,5,0),1,0)*Table_NFI[[#This Row],[Kitchen Set]],Table_NFI[Kitchen Set])</f>
        <v>5</v>
      </c>
      <c r="AF54" s="264">
        <f>IF(NFI_Expiration=1,IF($A54&lt;VLOOKUP(O$5,NFI,5,0),1,0)*Table_NFI[[#This Row],[Clothes Kit]],Table_NFI[Clothes Kit])</f>
        <v>0</v>
      </c>
      <c r="AG54" s="264">
        <f>IF(NFI_Expiration=1,IF($A54&lt;VLOOKUP(P$5,NFI,5,0),1,0)*Table_NFI[[#This Row],[Plastic Bucket]],Table_NFI[Plastic Bucket])</f>
        <v>5</v>
      </c>
      <c r="AH54" s="264">
        <f>IF(NFI_Expiration=1,IF($A54&lt;VLOOKUP(Q$5,NFI,5,0),1,0)*Table_NFI[[#This Row],[Plastic Mat]],Table_NFI[Plastic Mat])*IF(Table_NFI[[#This Row],[Distribution Date]]&gt;"2014-04-01",1,2.5)</f>
        <v>52.5</v>
      </c>
      <c r="AI54" s="264">
        <f>IF(NFI_Expiration=1,IF($A54&lt;VLOOKUP(R$5,NFI,5,0),1,0)*Table_NFI[[#This Row],[Winter Clothes Adult]],Table_NFI[Winter Clothes Adult])</f>
        <v>0</v>
      </c>
      <c r="AJ54" s="264">
        <f>IF(NFI_Expiration=1,IF($A54&lt;VLOOKUP(S$5,NFI,5,0),1,0)*Table_NFI[[#This Row],[Winter Clothes Children]],Table_NFI[Winter Clothes Children])</f>
        <v>0</v>
      </c>
      <c r="AK54" s="264">
        <f>IF(NFI_Expiration=1,IF($A54&lt;VLOOKUP(T$5,NFI,5,0),1,0)*Table_NFI[[#This Row],[Winter Items Other]],Table_NFI[Winter Items Other])</f>
        <v>0</v>
      </c>
      <c r="AL54" s="264">
        <f>IF(NFI_Expiration=1,IF($A54&lt;VLOOKUP(M$5,NFI,5,0),1,0)*Table_NFI[[#This Row],[Winter Blanket]],Table_NFI[[#This Row],[Winter Blanket]])</f>
        <v>0</v>
      </c>
      <c r="AM54" s="264">
        <f>IF(Table_NFI[[#This Row],[Winter Clothes Adult]]+Table_NFI[[#This Row],[Winter Clothes Children]]+Table_NFI[[#This Row],[Winter Items Other]]+Table_NFI[[#This Row],[Winter Blanket]]&gt;0,1,0)</f>
        <v>0</v>
      </c>
      <c r="AN54" s="296">
        <f>IF(NFI_Expiration=1,IF($A54&lt;VLOOKUP(V$5,NFI,5,0),1,0)*Table_NFI[[#This Row],[Jerry Can]],Table_NFI[Jerry Can])</f>
        <v>5</v>
      </c>
      <c r="AO54" s="296">
        <f>IF(NFI_Expiration=1,IF($A54&lt;VLOOKUP(V$5,NFI,5,0),1,0)*Table_NFI[[#This Row],[Shelter Tool kit]],Table_NFI[Shelter Tool kit])</f>
        <v>0</v>
      </c>
      <c r="AP54" s="296">
        <f>IF(NFI_Expiration=1,IF($A54&lt;VLOOKUP(V$5,NFI,5,0),1,0)*Table_NFI[[#This Row],[Tent]],Table_NFI[Tent])</f>
        <v>0</v>
      </c>
      <c r="AQ54" s="396" t="str">
        <f>IFERROR(VLOOKUP(Table_NFI[[#This Row],[Camp Name]],CL,2,0),"")</f>
        <v>MMR001CMP031</v>
      </c>
      <c r="AR54" s="711">
        <f ca="1">IF(Table_NFI[[#This Row],[Pcode]]="","",IF(OFFSET(CampList[Opening Date],MATCH(Table_NFI[[#This Row],[Pcode]],CampList[CP_Pcode],0)-1,0,1,1)&gt;=NFI_Monitor_Date,1,0))</f>
        <v>0</v>
      </c>
      <c r="AS54" s="396" t="str">
        <f>IFERROR(VLOOKUP(Table_NFI[[#This Row],[Camp Name]],CL,3,0),"")</f>
        <v>Open</v>
      </c>
      <c r="AT54" s="264" t="str">
        <f ca="1">IF(Table_NFI[[#This Row],[Pcode]]="","",OFFSET(CampList[Priority],MATCH(Table_NFI[[#This Row],[Pcode]],CampList[CP_Pcode],0)-1,0,1,1))</f>
        <v>P4</v>
      </c>
      <c r="AU54" s="263">
        <f>IFERROR(Table_NFI[[#This Row],[Kitchen Set]]/VLOOKUP(Table_NFI[[#This Row],[Camp Name]],CL,4,0),"")</f>
        <v>1.2060980316480124E-4</v>
      </c>
      <c r="AV54" s="390"/>
      <c r="AW54" s="397" t="s">
        <v>1530</v>
      </c>
      <c r="AX54" s="399"/>
      <c r="AY54" s="399"/>
      <c r="AZ54" s="399"/>
      <c r="BA54" s="399"/>
      <c r="BB54" s="399"/>
      <c r="BC54" s="399"/>
      <c r="BD54" s="399"/>
      <c r="BE54" s="399"/>
      <c r="BF54" s="399"/>
      <c r="BG54" s="399"/>
      <c r="BH54" s="399"/>
      <c r="BI54" s="399"/>
      <c r="BJ54" s="399"/>
      <c r="BK54" s="399"/>
      <c r="BL54" s="399"/>
      <c r="BM54" s="399"/>
      <c r="BN54" s="399"/>
      <c r="BO54" s="399"/>
      <c r="BP54" s="399"/>
      <c r="BQ54" s="399"/>
      <c r="BR54" s="399"/>
      <c r="BS54" s="399"/>
      <c r="BT54" s="399"/>
      <c r="BU54" s="399"/>
      <c r="BV54" s="399"/>
      <c r="BW54" s="399"/>
      <c r="BX54" s="399"/>
      <c r="BY54" s="399"/>
      <c r="BZ54" s="399"/>
      <c r="CA54" s="399"/>
      <c r="CB54" s="399"/>
      <c r="CC54" s="399"/>
      <c r="CD54" s="399"/>
      <c r="CE54" s="399"/>
      <c r="CF54" s="399"/>
      <c r="CG54" s="399"/>
      <c r="CH54" s="399"/>
      <c r="CI54" s="399"/>
      <c r="CJ54" s="399"/>
      <c r="CK54" s="399"/>
      <c r="CL54" s="399"/>
      <c r="CM54" s="399"/>
      <c r="CN54" s="399"/>
      <c r="CO54" s="399"/>
      <c r="CP54" s="399"/>
      <c r="CQ54" s="399"/>
      <c r="CR54" s="399"/>
      <c r="CS54" s="399"/>
      <c r="CT54" s="399"/>
      <c r="CU54" s="399"/>
      <c r="CV54" s="399"/>
      <c r="CW54" s="399"/>
      <c r="CX54" s="399"/>
      <c r="CY54" s="399"/>
      <c r="CZ54" s="399"/>
      <c r="DA54" s="399"/>
      <c r="DB54" s="399"/>
      <c r="DC54" s="399"/>
      <c r="DD54" s="399"/>
      <c r="DE54" s="399"/>
      <c r="DF54" s="399"/>
      <c r="DG54" s="399"/>
      <c r="DH54" s="399"/>
      <c r="DI54" s="399"/>
      <c r="DJ54" s="399"/>
      <c r="DK54" s="399"/>
      <c r="DL54" s="399"/>
      <c r="DM54" s="399"/>
      <c r="DN54" s="399"/>
      <c r="DO54" s="399"/>
      <c r="DP54" s="399"/>
      <c r="DQ54" s="399"/>
    </row>
    <row r="55" spans="1:121" s="760" customFormat="1" ht="14.45" customHeight="1" x14ac:dyDescent="0.25">
      <c r="A55" s="266">
        <f t="shared" si="0"/>
        <v>3.3666666666666667</v>
      </c>
      <c r="B55" s="389">
        <v>42755</v>
      </c>
      <c r="C55" s="394" t="s">
        <v>451</v>
      </c>
      <c r="D55" s="394" t="s">
        <v>504</v>
      </c>
      <c r="E55" s="394" t="s">
        <v>380</v>
      </c>
      <c r="F55" s="394" t="s">
        <v>310</v>
      </c>
      <c r="G55" s="394" t="s">
        <v>351</v>
      </c>
      <c r="H55" s="261"/>
      <c r="I55" s="261">
        <v>6</v>
      </c>
      <c r="J55" s="261">
        <v>6</v>
      </c>
      <c r="K55" s="261">
        <v>13</v>
      </c>
      <c r="L55" s="261">
        <v>6</v>
      </c>
      <c r="M55" s="261">
        <v>13</v>
      </c>
      <c r="N55" s="261">
        <v>6</v>
      </c>
      <c r="O55" s="261"/>
      <c r="P55" s="261">
        <v>6</v>
      </c>
      <c r="Q55" s="261">
        <v>13</v>
      </c>
      <c r="R55" s="261"/>
      <c r="S55" s="261"/>
      <c r="T55" s="261"/>
      <c r="U55" s="261"/>
      <c r="V55" s="762">
        <v>6</v>
      </c>
      <c r="W55" s="261"/>
      <c r="X55" s="261"/>
      <c r="Y55" s="264">
        <f>IF(NFI_Expiration=1,IF($A55&lt;VLOOKUP(H$5,NFI,5,0),1,0)*Table_NFI[[#This Row],[Hygiene Kit]],Table_NFI[Hygiene Kit])</f>
        <v>0</v>
      </c>
      <c r="Z55" s="264">
        <f>IF(NFI_Expiration=1,IF($A55&lt;VLOOKUP(I$5,NFI,5,0),1,0)*Table_NFI[[#This Row],[NFI Core Kit]],Table_NFI[NFI Core Kit])</f>
        <v>6</v>
      </c>
      <c r="AA55" s="264">
        <f>IF(NFI_Expiration=1,IF($A55&lt;VLOOKUP(J$5,NFI,5,0),1,0)*Table_NFI[[#This Row],[Sanitary Kit]],Table_NFI[Sanitary Kit])</f>
        <v>6</v>
      </c>
      <c r="AB55" s="264">
        <f>IF(NFI_Expiration=1,IF($A55&lt;VLOOKUP(K$5,NFI,5,0),1,0)*Table_NFI[[#This Row],[Mosquito net]],Table_NFI[Mosquito net])</f>
        <v>13</v>
      </c>
      <c r="AC55" s="264">
        <f>IF(NFI_Expiration=1,IF($A55&lt;VLOOKUP(L$5,NFI,5,0),1,0)*Table_NFI[[#This Row],[Tarpaulin]],Table_NFI[[#This Row],[Tarpaulin]])</f>
        <v>6</v>
      </c>
      <c r="AD55" s="264">
        <f>IF(NFI_Expiration=1,IF($A55&lt;VLOOKUP(M$5,NFI,5,0),1,0)*Table_NFI[[#This Row],[Blanket]],Table_NFI[[#This Row],[Blanket]])</f>
        <v>13</v>
      </c>
      <c r="AE55" s="264">
        <f>IF(NFI_Expiration=1,IF($A55&lt;VLOOKUP(N$5,NFI,5,0),1,0)*Table_NFI[[#This Row],[Kitchen Set]],Table_NFI[Kitchen Set])</f>
        <v>6</v>
      </c>
      <c r="AF55" s="264">
        <f>IF(NFI_Expiration=1,IF($A55&lt;VLOOKUP(O$5,NFI,5,0),1,0)*Table_NFI[[#This Row],[Clothes Kit]],Table_NFI[Clothes Kit])</f>
        <v>0</v>
      </c>
      <c r="AG55" s="264">
        <f>IF(NFI_Expiration=1,IF($A55&lt;VLOOKUP(P$5,NFI,5,0),1,0)*Table_NFI[[#This Row],[Plastic Bucket]],Table_NFI[Plastic Bucket])</f>
        <v>6</v>
      </c>
      <c r="AH55" s="264">
        <f>IF(NFI_Expiration=1,IF($A55&lt;VLOOKUP(Q$5,NFI,5,0),1,0)*Table_NFI[[#This Row],[Plastic Mat]],Table_NFI[Plastic Mat])*IF(Table_NFI[[#This Row],[Distribution Date]]&gt;"2014-04-01",1,2.5)</f>
        <v>32.5</v>
      </c>
      <c r="AI55" s="264">
        <f>IF(NFI_Expiration=1,IF($A55&lt;VLOOKUP(R$5,NFI,5,0),1,0)*Table_NFI[[#This Row],[Winter Clothes Adult]],Table_NFI[Winter Clothes Adult])</f>
        <v>0</v>
      </c>
      <c r="AJ55" s="264">
        <f>IF(NFI_Expiration=1,IF($A55&lt;VLOOKUP(S$5,NFI,5,0),1,0)*Table_NFI[[#This Row],[Winter Clothes Children]],Table_NFI[Winter Clothes Children])</f>
        <v>0</v>
      </c>
      <c r="AK55" s="264">
        <f>IF(NFI_Expiration=1,IF($A55&lt;VLOOKUP(T$5,NFI,5,0),1,0)*Table_NFI[[#This Row],[Winter Items Other]],Table_NFI[Winter Items Other])</f>
        <v>0</v>
      </c>
      <c r="AL55" s="264">
        <f>IF(NFI_Expiration=1,IF($A55&lt;VLOOKUP(M$5,NFI,5,0),1,0)*Table_NFI[[#This Row],[Winter Blanket]],Table_NFI[[#This Row],[Winter Blanket]])</f>
        <v>0</v>
      </c>
      <c r="AM55" s="264">
        <f>IF(Table_NFI[[#This Row],[Winter Clothes Adult]]+Table_NFI[[#This Row],[Winter Clothes Children]]+Table_NFI[[#This Row],[Winter Items Other]]+Table_NFI[[#This Row],[Winter Blanket]]&gt;0,1,0)</f>
        <v>0</v>
      </c>
      <c r="AN55" s="296">
        <f>IF(NFI_Expiration=1,IF($A55&lt;VLOOKUP(V$5,NFI,5,0),1,0)*Table_NFI[[#This Row],[Jerry Can]],Table_NFI[Jerry Can])</f>
        <v>6</v>
      </c>
      <c r="AO55" s="296">
        <f>IF(NFI_Expiration=1,IF($A55&lt;VLOOKUP(V$5,NFI,5,0),1,0)*Table_NFI[[#This Row],[Shelter Tool kit]],Table_NFI[Shelter Tool kit])</f>
        <v>0</v>
      </c>
      <c r="AP55" s="296">
        <f>IF(NFI_Expiration=1,IF($A55&lt;VLOOKUP(V$5,NFI,5,0),1,0)*Table_NFI[[#This Row],[Tent]],Table_NFI[Tent])</f>
        <v>0</v>
      </c>
      <c r="AQ55" s="396" t="str">
        <f>IFERROR(VLOOKUP(Table_NFI[[#This Row],[Camp Name]],CL,2,0),"")</f>
        <v>MMR001CMP026</v>
      </c>
      <c r="AR55" s="711">
        <f ca="1">IF(Table_NFI[[#This Row],[Pcode]]="","",IF(OFFSET(CampList[Opening Date],MATCH(Table_NFI[[#This Row],[Pcode]],CampList[CP_Pcode],0)-1,0,1,1)&gt;=NFI_Monitor_Date,1,0))</f>
        <v>0</v>
      </c>
      <c r="AS55" s="396" t="str">
        <f>IFERROR(VLOOKUP(Table_NFI[[#This Row],[Camp Name]],CL,3,0),"")</f>
        <v>Open</v>
      </c>
      <c r="AT55" s="264" t="str">
        <f ca="1">IF(Table_NFI[[#This Row],[Pcode]]="","",OFFSET(CampList[Priority],MATCH(Table_NFI[[#This Row],[Pcode]],CampList[CP_Pcode],0)-1,0,1,1))</f>
        <v>P4</v>
      </c>
      <c r="AU55" s="263">
        <f>IFERROR(Table_NFI[[#This Row],[Kitchen Set]]/VLOOKUP(Table_NFI[[#This Row],[Camp Name]],CL,4,0),"")</f>
        <v>1.4655593551538836E-4</v>
      </c>
      <c r="AV55" s="390"/>
      <c r="AW55" s="397" t="s">
        <v>1530</v>
      </c>
      <c r="AX55" s="399"/>
      <c r="AY55" s="399"/>
      <c r="AZ55" s="399"/>
      <c r="BA55" s="399"/>
      <c r="BB55" s="399"/>
      <c r="BC55" s="399"/>
      <c r="BD55" s="399"/>
      <c r="BE55" s="399"/>
      <c r="BF55" s="399"/>
      <c r="BG55" s="399"/>
      <c r="BH55" s="399"/>
      <c r="BI55" s="399"/>
      <c r="BJ55" s="399"/>
      <c r="BK55" s="399"/>
      <c r="BL55" s="399"/>
      <c r="BM55" s="399"/>
      <c r="BN55" s="399"/>
      <c r="BO55" s="399"/>
      <c r="BP55" s="399"/>
      <c r="BQ55" s="399"/>
      <c r="BR55" s="399"/>
      <c r="BS55" s="399"/>
      <c r="BT55" s="399"/>
      <c r="BU55" s="399"/>
      <c r="BV55" s="399"/>
      <c r="BW55" s="399"/>
      <c r="BX55" s="399"/>
      <c r="BY55" s="399"/>
      <c r="BZ55" s="399"/>
      <c r="CA55" s="399"/>
      <c r="CB55" s="399"/>
      <c r="CC55" s="399"/>
      <c r="CD55" s="399"/>
      <c r="CE55" s="399"/>
      <c r="CF55" s="399"/>
      <c r="CG55" s="399"/>
      <c r="CH55" s="399"/>
      <c r="CI55" s="399"/>
      <c r="CJ55" s="399"/>
      <c r="CK55" s="399"/>
      <c r="CL55" s="399"/>
      <c r="CM55" s="399"/>
      <c r="CN55" s="399"/>
      <c r="CO55" s="399"/>
      <c r="CP55" s="399"/>
      <c r="CQ55" s="399"/>
      <c r="CR55" s="399"/>
      <c r="CS55" s="399"/>
      <c r="CT55" s="399"/>
      <c r="CU55" s="399"/>
      <c r="CV55" s="399"/>
      <c r="CW55" s="399"/>
      <c r="CX55" s="399"/>
      <c r="CY55" s="399"/>
      <c r="CZ55" s="399"/>
      <c r="DA55" s="399"/>
      <c r="DB55" s="399"/>
      <c r="DC55" s="399"/>
      <c r="DD55" s="399"/>
      <c r="DE55" s="399"/>
      <c r="DF55" s="399"/>
      <c r="DG55" s="399"/>
      <c r="DH55" s="399"/>
      <c r="DI55" s="399"/>
      <c r="DJ55" s="399"/>
      <c r="DK55" s="399"/>
      <c r="DL55" s="399"/>
      <c r="DM55" s="399"/>
      <c r="DN55" s="399"/>
      <c r="DO55" s="399"/>
      <c r="DP55" s="399"/>
      <c r="DQ55" s="399"/>
    </row>
    <row r="56" spans="1:121" s="760" customFormat="1" ht="14.45" customHeight="1" x14ac:dyDescent="0.25">
      <c r="A56" s="266">
        <f t="shared" si="0"/>
        <v>3.3666666666666667</v>
      </c>
      <c r="B56" s="389">
        <v>42755</v>
      </c>
      <c r="C56" s="394" t="s">
        <v>451</v>
      </c>
      <c r="D56" s="394" t="s">
        <v>504</v>
      </c>
      <c r="E56" s="394" t="s">
        <v>380</v>
      </c>
      <c r="F56" s="394" t="s">
        <v>310</v>
      </c>
      <c r="G56" s="394" t="s">
        <v>318</v>
      </c>
      <c r="H56" s="261"/>
      <c r="I56" s="261">
        <v>9</v>
      </c>
      <c r="J56" s="261">
        <v>9</v>
      </c>
      <c r="K56" s="261">
        <v>19</v>
      </c>
      <c r="L56" s="261">
        <v>9</v>
      </c>
      <c r="M56" s="261">
        <v>19</v>
      </c>
      <c r="N56" s="261">
        <v>9</v>
      </c>
      <c r="O56" s="261"/>
      <c r="P56" s="261">
        <v>9</v>
      </c>
      <c r="Q56" s="261">
        <v>19</v>
      </c>
      <c r="R56" s="261"/>
      <c r="S56" s="261"/>
      <c r="T56" s="261"/>
      <c r="U56" s="261"/>
      <c r="V56" s="762">
        <v>9</v>
      </c>
      <c r="W56" s="261"/>
      <c r="X56" s="261">
        <v>10</v>
      </c>
      <c r="Y56" s="264">
        <f>IF(NFI_Expiration=1,IF($A56&lt;VLOOKUP(H$5,NFI,5,0),1,0)*Table_NFI[[#This Row],[Hygiene Kit]],Table_NFI[Hygiene Kit])</f>
        <v>0</v>
      </c>
      <c r="Z56" s="264">
        <f>IF(NFI_Expiration=1,IF($A56&lt;VLOOKUP(I$5,NFI,5,0),1,0)*Table_NFI[[#This Row],[NFI Core Kit]],Table_NFI[NFI Core Kit])</f>
        <v>9</v>
      </c>
      <c r="AA56" s="264">
        <f>IF(NFI_Expiration=1,IF($A56&lt;VLOOKUP(J$5,NFI,5,0),1,0)*Table_NFI[[#This Row],[Sanitary Kit]],Table_NFI[Sanitary Kit])</f>
        <v>9</v>
      </c>
      <c r="AB56" s="264">
        <f>IF(NFI_Expiration=1,IF($A56&lt;VLOOKUP(K$5,NFI,5,0),1,0)*Table_NFI[[#This Row],[Mosquito net]],Table_NFI[Mosquito net])</f>
        <v>19</v>
      </c>
      <c r="AC56" s="264">
        <f>IF(NFI_Expiration=1,IF($A56&lt;VLOOKUP(L$5,NFI,5,0),1,0)*Table_NFI[[#This Row],[Tarpaulin]],Table_NFI[[#This Row],[Tarpaulin]])</f>
        <v>9</v>
      </c>
      <c r="AD56" s="264">
        <f>IF(NFI_Expiration=1,IF($A56&lt;VLOOKUP(M$5,NFI,5,0),1,0)*Table_NFI[[#This Row],[Blanket]],Table_NFI[[#This Row],[Blanket]])</f>
        <v>19</v>
      </c>
      <c r="AE56" s="264">
        <f>IF(NFI_Expiration=1,IF($A56&lt;VLOOKUP(N$5,NFI,5,0),1,0)*Table_NFI[[#This Row],[Kitchen Set]],Table_NFI[Kitchen Set])</f>
        <v>9</v>
      </c>
      <c r="AF56" s="264">
        <f>IF(NFI_Expiration=1,IF($A56&lt;VLOOKUP(O$5,NFI,5,0),1,0)*Table_NFI[[#This Row],[Clothes Kit]],Table_NFI[Clothes Kit])</f>
        <v>0</v>
      </c>
      <c r="AG56" s="264">
        <f>IF(NFI_Expiration=1,IF($A56&lt;VLOOKUP(P$5,NFI,5,0),1,0)*Table_NFI[[#This Row],[Plastic Bucket]],Table_NFI[Plastic Bucket])</f>
        <v>9</v>
      </c>
      <c r="AH56" s="264">
        <f>IF(NFI_Expiration=1,IF($A56&lt;VLOOKUP(Q$5,NFI,5,0),1,0)*Table_NFI[[#This Row],[Plastic Mat]],Table_NFI[Plastic Mat])*IF(Table_NFI[[#This Row],[Distribution Date]]&gt;"2014-04-01",1,2.5)</f>
        <v>47.5</v>
      </c>
      <c r="AI56" s="264">
        <f>IF(NFI_Expiration=1,IF($A56&lt;VLOOKUP(R$5,NFI,5,0),1,0)*Table_NFI[[#This Row],[Winter Clothes Adult]],Table_NFI[Winter Clothes Adult])</f>
        <v>0</v>
      </c>
      <c r="AJ56" s="264">
        <f>IF(NFI_Expiration=1,IF($A56&lt;VLOOKUP(S$5,NFI,5,0),1,0)*Table_NFI[[#This Row],[Winter Clothes Children]],Table_NFI[Winter Clothes Children])</f>
        <v>0</v>
      </c>
      <c r="AK56" s="264">
        <f>IF(NFI_Expiration=1,IF($A56&lt;VLOOKUP(T$5,NFI,5,0),1,0)*Table_NFI[[#This Row],[Winter Items Other]],Table_NFI[Winter Items Other])</f>
        <v>0</v>
      </c>
      <c r="AL56" s="264">
        <f>IF(NFI_Expiration=1,IF($A56&lt;VLOOKUP(M$5,NFI,5,0),1,0)*Table_NFI[[#This Row],[Winter Blanket]],Table_NFI[[#This Row],[Winter Blanket]])</f>
        <v>0</v>
      </c>
      <c r="AM56" s="264">
        <f>IF(Table_NFI[[#This Row],[Winter Clothes Adult]]+Table_NFI[[#This Row],[Winter Clothes Children]]+Table_NFI[[#This Row],[Winter Items Other]]+Table_NFI[[#This Row],[Winter Blanket]]&gt;0,1,0)</f>
        <v>0</v>
      </c>
      <c r="AN56" s="296">
        <f>IF(NFI_Expiration=1,IF($A56&lt;VLOOKUP(V$5,NFI,5,0),1,0)*Table_NFI[[#This Row],[Jerry Can]],Table_NFI[Jerry Can])</f>
        <v>9</v>
      </c>
      <c r="AO56" s="296">
        <f>IF(NFI_Expiration=1,IF($A56&lt;VLOOKUP(V$5,NFI,5,0),1,0)*Table_NFI[[#This Row],[Shelter Tool kit]],Table_NFI[Shelter Tool kit])</f>
        <v>0</v>
      </c>
      <c r="AP56" s="296">
        <f>IF(NFI_Expiration=1,IF($A56&lt;VLOOKUP(V$5,NFI,5,0),1,0)*Table_NFI[[#This Row],[Tent]],Table_NFI[Tent])</f>
        <v>10</v>
      </c>
      <c r="AQ56" s="396" t="str">
        <f>IFERROR(VLOOKUP(Table_NFI[[#This Row],[Camp Name]],CL,2,0),"")</f>
        <v>MMR001CMP032</v>
      </c>
      <c r="AR56" s="711">
        <f ca="1">IF(Table_NFI[[#This Row],[Pcode]]="","",IF(OFFSET(CampList[Opening Date],MATCH(Table_NFI[[#This Row],[Pcode]],CampList[CP_Pcode],0)-1,0,1,1)&gt;=NFI_Monitor_Date,1,0))</f>
        <v>0</v>
      </c>
      <c r="AS56" s="396" t="str">
        <f>IFERROR(VLOOKUP(Table_NFI[[#This Row],[Camp Name]],CL,3,0),"")</f>
        <v>Open</v>
      </c>
      <c r="AT56" s="264" t="str">
        <f ca="1">IF(Table_NFI[[#This Row],[Pcode]]="","",OFFSET(CampList[Priority],MATCH(Table_NFI[[#This Row],[Pcode]],CampList[CP_Pcode],0)-1,0,1,1))</f>
        <v>P4</v>
      </c>
      <c r="AU56" s="263">
        <f>IFERROR(Table_NFI[[#This Row],[Kitchen Set]]/VLOOKUP(Table_NFI[[#This Row],[Camp Name]],CL,4,0),"")</f>
        <v>2.2099447513812155E-4</v>
      </c>
      <c r="AV56" s="390"/>
      <c r="AW56" s="397" t="s">
        <v>1530</v>
      </c>
      <c r="AX56" s="399"/>
      <c r="AY56" s="399"/>
      <c r="AZ56" s="399"/>
      <c r="BA56" s="399"/>
      <c r="BB56" s="399"/>
      <c r="BC56" s="399"/>
      <c r="BD56" s="399"/>
      <c r="BE56" s="399"/>
      <c r="BF56" s="399"/>
      <c r="BG56" s="399"/>
      <c r="BH56" s="399"/>
      <c r="BI56" s="399"/>
      <c r="BJ56" s="399"/>
      <c r="BK56" s="399"/>
      <c r="BL56" s="399"/>
      <c r="BM56" s="399"/>
      <c r="BN56" s="399"/>
      <c r="BO56" s="399"/>
      <c r="BP56" s="399"/>
      <c r="BQ56" s="399"/>
      <c r="BR56" s="399"/>
      <c r="BS56" s="399"/>
      <c r="BT56" s="399"/>
      <c r="BU56" s="399"/>
      <c r="BV56" s="399"/>
      <c r="BW56" s="399"/>
      <c r="BX56" s="399"/>
      <c r="BY56" s="399"/>
      <c r="BZ56" s="399"/>
      <c r="CA56" s="399"/>
      <c r="CB56" s="399"/>
      <c r="CC56" s="399"/>
      <c r="CD56" s="399"/>
      <c r="CE56" s="399"/>
      <c r="CF56" s="399"/>
      <c r="CG56" s="399"/>
      <c r="CH56" s="399"/>
      <c r="CI56" s="399"/>
      <c r="CJ56" s="399"/>
      <c r="CK56" s="399"/>
      <c r="CL56" s="399"/>
      <c r="CM56" s="399"/>
      <c r="CN56" s="399"/>
      <c r="CO56" s="399"/>
      <c r="CP56" s="399"/>
      <c r="CQ56" s="399"/>
      <c r="CR56" s="399"/>
      <c r="CS56" s="399"/>
      <c r="CT56" s="399"/>
      <c r="CU56" s="399"/>
      <c r="CV56" s="399"/>
      <c r="CW56" s="399"/>
      <c r="CX56" s="399"/>
      <c r="CY56" s="399"/>
      <c r="CZ56" s="399"/>
      <c r="DA56" s="399"/>
      <c r="DB56" s="399"/>
      <c r="DC56" s="399"/>
      <c r="DD56" s="399"/>
      <c r="DE56" s="399"/>
      <c r="DF56" s="399"/>
      <c r="DG56" s="399"/>
      <c r="DH56" s="399"/>
      <c r="DI56" s="399"/>
      <c r="DJ56" s="399"/>
      <c r="DK56" s="399"/>
      <c r="DL56" s="399"/>
      <c r="DM56" s="399"/>
      <c r="DN56" s="399"/>
      <c r="DO56" s="399"/>
      <c r="DP56" s="399"/>
      <c r="DQ56" s="399"/>
    </row>
    <row r="57" spans="1:121" s="760" customFormat="1" ht="14.45" customHeight="1" x14ac:dyDescent="0.25">
      <c r="A57" s="266">
        <f t="shared" si="0"/>
        <v>3.3666666666666667</v>
      </c>
      <c r="B57" s="389">
        <v>42755</v>
      </c>
      <c r="C57" s="394" t="s">
        <v>451</v>
      </c>
      <c r="D57" s="394" t="s">
        <v>504</v>
      </c>
      <c r="E57" s="394" t="s">
        <v>380</v>
      </c>
      <c r="F57" s="394" t="s">
        <v>310</v>
      </c>
      <c r="G57" s="394" t="s">
        <v>316</v>
      </c>
      <c r="H57" s="261"/>
      <c r="I57" s="261">
        <v>6</v>
      </c>
      <c r="J57" s="261">
        <v>6</v>
      </c>
      <c r="K57" s="261">
        <v>17</v>
      </c>
      <c r="L57" s="261">
        <v>6</v>
      </c>
      <c r="M57" s="261">
        <v>17</v>
      </c>
      <c r="N57" s="261">
        <v>6</v>
      </c>
      <c r="O57" s="261"/>
      <c r="P57" s="261">
        <v>6</v>
      </c>
      <c r="Q57" s="261">
        <v>17</v>
      </c>
      <c r="R57" s="261"/>
      <c r="S57" s="261"/>
      <c r="T57" s="261"/>
      <c r="U57" s="261"/>
      <c r="V57" s="762">
        <v>6</v>
      </c>
      <c r="W57" s="261"/>
      <c r="X57" s="261"/>
      <c r="Y57" s="264">
        <f>IF(NFI_Expiration=1,IF($A57&lt;VLOOKUP(H$5,NFI,5,0),1,0)*Table_NFI[[#This Row],[Hygiene Kit]],Table_NFI[Hygiene Kit])</f>
        <v>0</v>
      </c>
      <c r="Z57" s="264">
        <f>IF(NFI_Expiration=1,IF($A57&lt;VLOOKUP(I$5,NFI,5,0),1,0)*Table_NFI[[#This Row],[NFI Core Kit]],Table_NFI[NFI Core Kit])</f>
        <v>6</v>
      </c>
      <c r="AA57" s="264">
        <f>IF(NFI_Expiration=1,IF($A57&lt;VLOOKUP(J$5,NFI,5,0),1,0)*Table_NFI[[#This Row],[Sanitary Kit]],Table_NFI[Sanitary Kit])</f>
        <v>6</v>
      </c>
      <c r="AB57" s="264">
        <f>IF(NFI_Expiration=1,IF($A57&lt;VLOOKUP(K$5,NFI,5,0),1,0)*Table_NFI[[#This Row],[Mosquito net]],Table_NFI[Mosquito net])</f>
        <v>17</v>
      </c>
      <c r="AC57" s="264">
        <f>IF(NFI_Expiration=1,IF($A57&lt;VLOOKUP(L$5,NFI,5,0),1,0)*Table_NFI[[#This Row],[Tarpaulin]],Table_NFI[[#This Row],[Tarpaulin]])</f>
        <v>6</v>
      </c>
      <c r="AD57" s="264">
        <f>IF(NFI_Expiration=1,IF($A57&lt;VLOOKUP(M$5,NFI,5,0),1,0)*Table_NFI[[#This Row],[Blanket]],Table_NFI[[#This Row],[Blanket]])</f>
        <v>17</v>
      </c>
      <c r="AE57" s="264">
        <f>IF(NFI_Expiration=1,IF($A57&lt;VLOOKUP(N$5,NFI,5,0),1,0)*Table_NFI[[#This Row],[Kitchen Set]],Table_NFI[Kitchen Set])</f>
        <v>6</v>
      </c>
      <c r="AF57" s="264">
        <f>IF(NFI_Expiration=1,IF($A57&lt;VLOOKUP(O$5,NFI,5,0),1,0)*Table_NFI[[#This Row],[Clothes Kit]],Table_NFI[Clothes Kit])</f>
        <v>0</v>
      </c>
      <c r="AG57" s="264">
        <f>IF(NFI_Expiration=1,IF($A57&lt;VLOOKUP(P$5,NFI,5,0),1,0)*Table_NFI[[#This Row],[Plastic Bucket]],Table_NFI[Plastic Bucket])</f>
        <v>6</v>
      </c>
      <c r="AH57" s="264">
        <f>IF(NFI_Expiration=1,IF($A57&lt;VLOOKUP(Q$5,NFI,5,0),1,0)*Table_NFI[[#This Row],[Plastic Mat]],Table_NFI[Plastic Mat])*IF(Table_NFI[[#This Row],[Distribution Date]]&gt;"2014-04-01",1,2.5)</f>
        <v>42.5</v>
      </c>
      <c r="AI57" s="264">
        <f>IF(NFI_Expiration=1,IF($A57&lt;VLOOKUP(R$5,NFI,5,0),1,0)*Table_NFI[[#This Row],[Winter Clothes Adult]],Table_NFI[Winter Clothes Adult])</f>
        <v>0</v>
      </c>
      <c r="AJ57" s="264">
        <f>IF(NFI_Expiration=1,IF($A57&lt;VLOOKUP(S$5,NFI,5,0),1,0)*Table_NFI[[#This Row],[Winter Clothes Children]],Table_NFI[Winter Clothes Children])</f>
        <v>0</v>
      </c>
      <c r="AK57" s="264">
        <f>IF(NFI_Expiration=1,IF($A57&lt;VLOOKUP(T$5,NFI,5,0),1,0)*Table_NFI[[#This Row],[Winter Items Other]],Table_NFI[Winter Items Other])</f>
        <v>0</v>
      </c>
      <c r="AL57" s="264">
        <f>IF(NFI_Expiration=1,IF($A57&lt;VLOOKUP(M$5,NFI,5,0),1,0)*Table_NFI[[#This Row],[Winter Blanket]],Table_NFI[[#This Row],[Winter Blanket]])</f>
        <v>0</v>
      </c>
      <c r="AM57" s="264">
        <f>IF(Table_NFI[[#This Row],[Winter Clothes Adult]]+Table_NFI[[#This Row],[Winter Clothes Children]]+Table_NFI[[#This Row],[Winter Items Other]]+Table_NFI[[#This Row],[Winter Blanket]]&gt;0,1,0)</f>
        <v>0</v>
      </c>
      <c r="AN57" s="296">
        <f>IF(NFI_Expiration=1,IF($A57&lt;VLOOKUP(V$5,NFI,5,0),1,0)*Table_NFI[[#This Row],[Jerry Can]],Table_NFI[Jerry Can])</f>
        <v>6</v>
      </c>
      <c r="AO57" s="296">
        <f>IF(NFI_Expiration=1,IF($A57&lt;VLOOKUP(V$5,NFI,5,0),1,0)*Table_NFI[[#This Row],[Shelter Tool kit]],Table_NFI[Shelter Tool kit])</f>
        <v>0</v>
      </c>
      <c r="AP57" s="296">
        <f>IF(NFI_Expiration=1,IF($A57&lt;VLOOKUP(V$5,NFI,5,0),1,0)*Table_NFI[[#This Row],[Tent]],Table_NFI[Tent])</f>
        <v>0</v>
      </c>
      <c r="AQ57" s="396" t="str">
        <f>IFERROR(VLOOKUP(Table_NFI[[#This Row],[Camp Name]],CL,2,0),"")</f>
        <v>MMR001CMP038</v>
      </c>
      <c r="AR57" s="711">
        <f ca="1">IF(Table_NFI[[#This Row],[Pcode]]="","",IF(OFFSET(CampList[Opening Date],MATCH(Table_NFI[[#This Row],[Pcode]],CampList[CP_Pcode],0)-1,0,1,1)&gt;=NFI_Monitor_Date,1,0))</f>
        <v>0</v>
      </c>
      <c r="AS57" s="396" t="str">
        <f>IFERROR(VLOOKUP(Table_NFI[[#This Row],[Camp Name]],CL,3,0),"")</f>
        <v>Open</v>
      </c>
      <c r="AT57" s="264" t="str">
        <f ca="1">IF(Table_NFI[[#This Row],[Pcode]]="","",OFFSET(CampList[Priority],MATCH(Table_NFI[[#This Row],[Pcode]],CampList[CP_Pcode],0)-1,0,1,1))</f>
        <v>P4</v>
      </c>
      <c r="AU57" s="263">
        <f>IFERROR(Table_NFI[[#This Row],[Kitchen Set]]/VLOOKUP(Table_NFI[[#This Row],[Camp Name]],CL,4,0),"")</f>
        <v>1.4688601645123384E-4</v>
      </c>
      <c r="AV57" s="390"/>
      <c r="AW57" s="397" t="s">
        <v>1530</v>
      </c>
      <c r="AX57" s="399"/>
      <c r="AY57" s="399"/>
      <c r="AZ57" s="399"/>
      <c r="BA57" s="399"/>
      <c r="BB57" s="399"/>
      <c r="BC57" s="399"/>
      <c r="BD57" s="399"/>
      <c r="BE57" s="399"/>
      <c r="BF57" s="399"/>
      <c r="BG57" s="399"/>
      <c r="BH57" s="399"/>
      <c r="BI57" s="399"/>
      <c r="BJ57" s="399"/>
      <c r="BK57" s="399"/>
      <c r="BL57" s="399"/>
      <c r="BM57" s="399"/>
      <c r="BN57" s="399"/>
      <c r="BO57" s="399"/>
      <c r="BP57" s="399"/>
      <c r="BQ57" s="399"/>
      <c r="BR57" s="399"/>
      <c r="BS57" s="399"/>
      <c r="BT57" s="399"/>
      <c r="BU57" s="399"/>
      <c r="BV57" s="399"/>
      <c r="BW57" s="399"/>
      <c r="BX57" s="399"/>
      <c r="BY57" s="399"/>
      <c r="BZ57" s="399"/>
      <c r="CA57" s="399"/>
      <c r="CB57" s="399"/>
      <c r="CC57" s="399"/>
      <c r="CD57" s="399"/>
      <c r="CE57" s="399"/>
      <c r="CF57" s="399"/>
      <c r="CG57" s="399"/>
      <c r="CH57" s="399"/>
      <c r="CI57" s="399"/>
      <c r="CJ57" s="399"/>
      <c r="CK57" s="399"/>
      <c r="CL57" s="399"/>
      <c r="CM57" s="399"/>
      <c r="CN57" s="399"/>
      <c r="CO57" s="399"/>
      <c r="CP57" s="399"/>
      <c r="CQ57" s="399"/>
      <c r="CR57" s="399"/>
      <c r="CS57" s="399"/>
      <c r="CT57" s="399"/>
      <c r="CU57" s="399"/>
      <c r="CV57" s="399"/>
      <c r="CW57" s="399"/>
      <c r="CX57" s="399"/>
      <c r="CY57" s="399"/>
      <c r="CZ57" s="399"/>
      <c r="DA57" s="399"/>
      <c r="DB57" s="399"/>
      <c r="DC57" s="399"/>
      <c r="DD57" s="399"/>
      <c r="DE57" s="399"/>
      <c r="DF57" s="399"/>
      <c r="DG57" s="399"/>
      <c r="DH57" s="399"/>
      <c r="DI57" s="399"/>
      <c r="DJ57" s="399"/>
      <c r="DK57" s="399"/>
      <c r="DL57" s="399"/>
      <c r="DM57" s="399"/>
      <c r="DN57" s="399"/>
      <c r="DO57" s="399"/>
      <c r="DP57" s="399"/>
      <c r="DQ57" s="399"/>
    </row>
    <row r="58" spans="1:121" s="760" customFormat="1" ht="14.45" customHeight="1" x14ac:dyDescent="0.25">
      <c r="A58" s="266">
        <f t="shared" si="0"/>
        <v>3.3666666666666667</v>
      </c>
      <c r="B58" s="389">
        <v>42755</v>
      </c>
      <c r="C58" s="394" t="s">
        <v>451</v>
      </c>
      <c r="D58" s="394" t="s">
        <v>504</v>
      </c>
      <c r="E58" s="394" t="s">
        <v>380</v>
      </c>
      <c r="F58" s="394" t="s">
        <v>310</v>
      </c>
      <c r="G58" s="394" t="s">
        <v>349</v>
      </c>
      <c r="H58" s="261"/>
      <c r="I58" s="261">
        <v>1</v>
      </c>
      <c r="J58" s="261">
        <v>1</v>
      </c>
      <c r="K58" s="261">
        <v>4</v>
      </c>
      <c r="L58" s="261">
        <v>1</v>
      </c>
      <c r="M58" s="261">
        <v>4</v>
      </c>
      <c r="N58" s="261">
        <v>1</v>
      </c>
      <c r="O58" s="261"/>
      <c r="P58" s="261">
        <v>1</v>
      </c>
      <c r="Q58" s="261">
        <v>4</v>
      </c>
      <c r="R58" s="261"/>
      <c r="S58" s="261"/>
      <c r="T58" s="261"/>
      <c r="U58" s="261"/>
      <c r="V58" s="762">
        <v>1</v>
      </c>
      <c r="W58" s="261"/>
      <c r="X58" s="261"/>
      <c r="Y58" s="264">
        <f>IF(NFI_Expiration=1,IF($A58&lt;VLOOKUP(H$5,NFI,5,0),1,0)*Table_NFI[[#This Row],[Hygiene Kit]],Table_NFI[Hygiene Kit])</f>
        <v>0</v>
      </c>
      <c r="Z58" s="264">
        <f>IF(NFI_Expiration=1,IF($A58&lt;VLOOKUP(I$5,NFI,5,0),1,0)*Table_NFI[[#This Row],[NFI Core Kit]],Table_NFI[NFI Core Kit])</f>
        <v>1</v>
      </c>
      <c r="AA58" s="264">
        <f>IF(NFI_Expiration=1,IF($A58&lt;VLOOKUP(J$5,NFI,5,0),1,0)*Table_NFI[[#This Row],[Sanitary Kit]],Table_NFI[Sanitary Kit])</f>
        <v>1</v>
      </c>
      <c r="AB58" s="264">
        <f>IF(NFI_Expiration=1,IF($A58&lt;VLOOKUP(K$5,NFI,5,0),1,0)*Table_NFI[[#This Row],[Mosquito net]],Table_NFI[Mosquito net])</f>
        <v>4</v>
      </c>
      <c r="AC58" s="264">
        <f>IF(NFI_Expiration=1,IF($A58&lt;VLOOKUP(L$5,NFI,5,0),1,0)*Table_NFI[[#This Row],[Tarpaulin]],Table_NFI[[#This Row],[Tarpaulin]])</f>
        <v>1</v>
      </c>
      <c r="AD58" s="264">
        <f>IF(NFI_Expiration=1,IF($A58&lt;VLOOKUP(M$5,NFI,5,0),1,0)*Table_NFI[[#This Row],[Blanket]],Table_NFI[[#This Row],[Blanket]])</f>
        <v>4</v>
      </c>
      <c r="AE58" s="264">
        <f>IF(NFI_Expiration=1,IF($A58&lt;VLOOKUP(N$5,NFI,5,0),1,0)*Table_NFI[[#This Row],[Kitchen Set]],Table_NFI[Kitchen Set])</f>
        <v>1</v>
      </c>
      <c r="AF58" s="264">
        <f>IF(NFI_Expiration=1,IF($A58&lt;VLOOKUP(O$5,NFI,5,0),1,0)*Table_NFI[[#This Row],[Clothes Kit]],Table_NFI[Clothes Kit])</f>
        <v>0</v>
      </c>
      <c r="AG58" s="264">
        <f>IF(NFI_Expiration=1,IF($A58&lt;VLOOKUP(P$5,NFI,5,0),1,0)*Table_NFI[[#This Row],[Plastic Bucket]],Table_NFI[Plastic Bucket])</f>
        <v>1</v>
      </c>
      <c r="AH58" s="264">
        <f>IF(NFI_Expiration=1,IF($A58&lt;VLOOKUP(Q$5,NFI,5,0),1,0)*Table_NFI[[#This Row],[Plastic Mat]],Table_NFI[Plastic Mat])*IF(Table_NFI[[#This Row],[Distribution Date]]&gt;"2014-04-01",1,2.5)</f>
        <v>10</v>
      </c>
      <c r="AI58" s="264">
        <f>IF(NFI_Expiration=1,IF($A58&lt;VLOOKUP(R$5,NFI,5,0),1,0)*Table_NFI[[#This Row],[Winter Clothes Adult]],Table_NFI[Winter Clothes Adult])</f>
        <v>0</v>
      </c>
      <c r="AJ58" s="264">
        <f>IF(NFI_Expiration=1,IF($A58&lt;VLOOKUP(S$5,NFI,5,0),1,0)*Table_NFI[[#This Row],[Winter Clothes Children]],Table_NFI[Winter Clothes Children])</f>
        <v>0</v>
      </c>
      <c r="AK58" s="264">
        <f>IF(NFI_Expiration=1,IF($A58&lt;VLOOKUP(T$5,NFI,5,0),1,0)*Table_NFI[[#This Row],[Winter Items Other]],Table_NFI[Winter Items Other])</f>
        <v>0</v>
      </c>
      <c r="AL58" s="264">
        <f>IF(NFI_Expiration=1,IF($A58&lt;VLOOKUP(M$5,NFI,5,0),1,0)*Table_NFI[[#This Row],[Winter Blanket]],Table_NFI[[#This Row],[Winter Blanket]])</f>
        <v>0</v>
      </c>
      <c r="AM58" s="264">
        <f>IF(Table_NFI[[#This Row],[Winter Clothes Adult]]+Table_NFI[[#This Row],[Winter Clothes Children]]+Table_NFI[[#This Row],[Winter Items Other]]+Table_NFI[[#This Row],[Winter Blanket]]&gt;0,1,0)</f>
        <v>0</v>
      </c>
      <c r="AN58" s="296">
        <f>IF(NFI_Expiration=1,IF($A58&lt;VLOOKUP(V$5,NFI,5,0),1,0)*Table_NFI[[#This Row],[Jerry Can]],Table_NFI[Jerry Can])</f>
        <v>1</v>
      </c>
      <c r="AO58" s="296">
        <f>IF(NFI_Expiration=1,IF($A58&lt;VLOOKUP(V$5,NFI,5,0),1,0)*Table_NFI[[#This Row],[Shelter Tool kit]],Table_NFI[Shelter Tool kit])</f>
        <v>0</v>
      </c>
      <c r="AP58" s="296">
        <f>IF(NFI_Expiration=1,IF($A58&lt;VLOOKUP(V$5,NFI,5,0),1,0)*Table_NFI[[#This Row],[Tent]],Table_NFI[Tent])</f>
        <v>0</v>
      </c>
      <c r="AQ58" s="396" t="str">
        <f>IFERROR(VLOOKUP(Table_NFI[[#This Row],[Camp Name]],CL,2,0),"")</f>
        <v>MMR001CMP037</v>
      </c>
      <c r="AR58" s="711">
        <f ca="1">IF(Table_NFI[[#This Row],[Pcode]]="","",IF(OFFSET(CampList[Opening Date],MATCH(Table_NFI[[#This Row],[Pcode]],CampList[CP_Pcode],0)-1,0,1,1)&gt;=NFI_Monitor_Date,1,0))</f>
        <v>0</v>
      </c>
      <c r="AS58" s="396" t="str">
        <f>IFERROR(VLOOKUP(Table_NFI[[#This Row],[Camp Name]],CL,3,0),"")</f>
        <v>Open</v>
      </c>
      <c r="AT58" s="264" t="str">
        <f ca="1">IF(Table_NFI[[#This Row],[Pcode]]="","",OFFSET(CampList[Priority],MATCH(Table_NFI[[#This Row],[Pcode]],CampList[CP_Pcode],0)-1,0,1,1))</f>
        <v>P4</v>
      </c>
      <c r="AU58" s="263">
        <f>IFERROR(Table_NFI[[#This Row],[Kitchen Set]]/VLOOKUP(Table_NFI[[#This Row],[Camp Name]],CL,4,0),"")</f>
        <v>2.4481002741872306E-5</v>
      </c>
      <c r="AV58" s="390"/>
      <c r="AW58" s="397" t="s">
        <v>1530</v>
      </c>
      <c r="AX58" s="399"/>
      <c r="AY58" s="399"/>
      <c r="AZ58" s="399"/>
      <c r="BA58" s="399"/>
      <c r="BB58" s="399"/>
      <c r="BC58" s="399"/>
      <c r="BD58" s="399"/>
      <c r="BE58" s="399"/>
      <c r="BF58" s="399"/>
      <c r="BG58" s="399"/>
      <c r="BH58" s="399"/>
      <c r="BI58" s="399"/>
      <c r="BJ58" s="399"/>
      <c r="BK58" s="399"/>
      <c r="BL58" s="399"/>
      <c r="BM58" s="399"/>
      <c r="BN58" s="399"/>
      <c r="BO58" s="399"/>
      <c r="BP58" s="399"/>
      <c r="BQ58" s="399"/>
      <c r="BR58" s="399"/>
      <c r="BS58" s="399"/>
      <c r="BT58" s="399"/>
      <c r="BU58" s="399"/>
      <c r="BV58" s="399"/>
      <c r="BW58" s="399"/>
      <c r="BX58" s="399"/>
      <c r="BY58" s="399"/>
      <c r="BZ58" s="399"/>
      <c r="CA58" s="399"/>
      <c r="CB58" s="399"/>
      <c r="CC58" s="399"/>
      <c r="CD58" s="399"/>
      <c r="CE58" s="399"/>
      <c r="CF58" s="399"/>
      <c r="CG58" s="399"/>
      <c r="CH58" s="399"/>
      <c r="CI58" s="399"/>
      <c r="CJ58" s="399"/>
      <c r="CK58" s="399"/>
      <c r="CL58" s="399"/>
      <c r="CM58" s="399"/>
      <c r="CN58" s="399"/>
      <c r="CO58" s="399"/>
      <c r="CP58" s="399"/>
      <c r="CQ58" s="399"/>
      <c r="CR58" s="399"/>
      <c r="CS58" s="399"/>
      <c r="CT58" s="399"/>
      <c r="CU58" s="399"/>
      <c r="CV58" s="399"/>
      <c r="CW58" s="399"/>
      <c r="CX58" s="399"/>
      <c r="CY58" s="399"/>
      <c r="CZ58" s="399"/>
      <c r="DA58" s="399"/>
      <c r="DB58" s="399"/>
      <c r="DC58" s="399"/>
      <c r="DD58" s="399"/>
      <c r="DE58" s="399"/>
      <c r="DF58" s="399"/>
      <c r="DG58" s="399"/>
      <c r="DH58" s="399"/>
      <c r="DI58" s="399"/>
      <c r="DJ58" s="399"/>
      <c r="DK58" s="399"/>
      <c r="DL58" s="399"/>
      <c r="DM58" s="399"/>
      <c r="DN58" s="399"/>
      <c r="DO58" s="399"/>
      <c r="DP58" s="399"/>
      <c r="DQ58" s="399"/>
    </row>
    <row r="59" spans="1:121" s="393" customFormat="1" ht="14.45" customHeight="1" x14ac:dyDescent="0.25">
      <c r="A59" s="266">
        <f t="shared" si="0"/>
        <v>3.3666666666666667</v>
      </c>
      <c r="B59" s="389">
        <v>42755</v>
      </c>
      <c r="C59" s="394" t="s">
        <v>451</v>
      </c>
      <c r="D59" s="394" t="s">
        <v>459</v>
      </c>
      <c r="E59" s="394" t="s">
        <v>380</v>
      </c>
      <c r="F59" s="394" t="s">
        <v>151</v>
      </c>
      <c r="G59" s="394" t="s">
        <v>875</v>
      </c>
      <c r="H59" s="261"/>
      <c r="I59" s="261">
        <v>11</v>
      </c>
      <c r="J59" s="261">
        <v>11</v>
      </c>
      <c r="K59" s="261">
        <v>32</v>
      </c>
      <c r="L59" s="261">
        <v>11</v>
      </c>
      <c r="M59" s="261">
        <v>32</v>
      </c>
      <c r="N59" s="261">
        <v>11</v>
      </c>
      <c r="O59" s="261"/>
      <c r="P59" s="261">
        <v>11</v>
      </c>
      <c r="Q59" s="261">
        <v>52</v>
      </c>
      <c r="R59" s="261"/>
      <c r="S59" s="261"/>
      <c r="T59" s="261"/>
      <c r="U59" s="261"/>
      <c r="V59" s="762">
        <v>11</v>
      </c>
      <c r="W59" s="261"/>
      <c r="X59" s="261">
        <v>11</v>
      </c>
      <c r="Y59" s="264">
        <f>IF(NFI_Expiration=1,IF($A59&lt;VLOOKUP(H$5,NFI,5,0),1,0)*Table_NFI[[#This Row],[Hygiene Kit]],Table_NFI[Hygiene Kit])</f>
        <v>0</v>
      </c>
      <c r="Z59" s="264">
        <f>IF(NFI_Expiration=1,IF($A59&lt;VLOOKUP(I$5,NFI,5,0),1,0)*Table_NFI[[#This Row],[NFI Core Kit]],Table_NFI[NFI Core Kit])</f>
        <v>11</v>
      </c>
      <c r="AA59" s="264">
        <f>IF(NFI_Expiration=1,IF($A59&lt;VLOOKUP(J$5,NFI,5,0),1,0)*Table_NFI[[#This Row],[Sanitary Kit]],Table_NFI[Sanitary Kit])</f>
        <v>11</v>
      </c>
      <c r="AB59" s="264">
        <f>IF(NFI_Expiration=1,IF($A59&lt;VLOOKUP(K$5,NFI,5,0),1,0)*Table_NFI[[#This Row],[Mosquito net]],Table_NFI[Mosquito net])</f>
        <v>32</v>
      </c>
      <c r="AC59" s="264">
        <f>IF(NFI_Expiration=1,IF($A59&lt;VLOOKUP(L$5,NFI,5,0),1,0)*Table_NFI[[#This Row],[Tarpaulin]],Table_NFI[[#This Row],[Tarpaulin]])</f>
        <v>11</v>
      </c>
      <c r="AD59" s="264">
        <f>IF(NFI_Expiration=1,IF($A59&lt;VLOOKUP(M$5,NFI,5,0),1,0)*Table_NFI[[#This Row],[Blanket]],Table_NFI[[#This Row],[Blanket]])</f>
        <v>32</v>
      </c>
      <c r="AE59" s="264">
        <f>IF(NFI_Expiration=1,IF($A59&lt;VLOOKUP(N$5,NFI,5,0),1,0)*Table_NFI[[#This Row],[Kitchen Set]],Table_NFI[Kitchen Set])</f>
        <v>11</v>
      </c>
      <c r="AF59" s="264">
        <f>IF(NFI_Expiration=1,IF($A59&lt;VLOOKUP(O$5,NFI,5,0),1,0)*Table_NFI[[#This Row],[Clothes Kit]],Table_NFI[Clothes Kit])</f>
        <v>0</v>
      </c>
      <c r="AG59" s="264">
        <f>IF(NFI_Expiration=1,IF($A59&lt;VLOOKUP(P$5,NFI,5,0),1,0)*Table_NFI[[#This Row],[Plastic Bucket]],Table_NFI[Plastic Bucket])</f>
        <v>11</v>
      </c>
      <c r="AH59" s="264">
        <f>IF(NFI_Expiration=1,IF($A59&lt;VLOOKUP(Q$5,NFI,5,0),1,0)*Table_NFI[[#This Row],[Plastic Mat]],Table_NFI[Plastic Mat])*IF(Table_NFI[[#This Row],[Distribution Date]]&gt;"2014-04-01",1,2.5)</f>
        <v>130</v>
      </c>
      <c r="AI59" s="264">
        <f>IF(NFI_Expiration=1,IF($A59&lt;VLOOKUP(R$5,NFI,5,0),1,0)*Table_NFI[[#This Row],[Winter Clothes Adult]],Table_NFI[Winter Clothes Adult])</f>
        <v>0</v>
      </c>
      <c r="AJ59" s="264">
        <f>IF(NFI_Expiration=1,IF($A59&lt;VLOOKUP(S$5,NFI,5,0),1,0)*Table_NFI[[#This Row],[Winter Clothes Children]],Table_NFI[Winter Clothes Children])</f>
        <v>0</v>
      </c>
      <c r="AK59" s="264">
        <f>IF(NFI_Expiration=1,IF($A59&lt;VLOOKUP(T$5,NFI,5,0),1,0)*Table_NFI[[#This Row],[Winter Items Other]],Table_NFI[Winter Items Other])</f>
        <v>0</v>
      </c>
      <c r="AL59" s="264">
        <f>IF(NFI_Expiration=1,IF($A59&lt;VLOOKUP(M$5,NFI,5,0),1,0)*Table_NFI[[#This Row],[Winter Blanket]],Table_NFI[[#This Row],[Winter Blanket]])</f>
        <v>0</v>
      </c>
      <c r="AM59" s="264">
        <f>IF(Table_NFI[[#This Row],[Winter Clothes Adult]]+Table_NFI[[#This Row],[Winter Clothes Children]]+Table_NFI[[#This Row],[Winter Items Other]]+Table_NFI[[#This Row],[Winter Blanket]]&gt;0,1,0)</f>
        <v>0</v>
      </c>
      <c r="AN59" s="296">
        <f>IF(NFI_Expiration=1,IF($A59&lt;VLOOKUP(V$5,NFI,5,0),1,0)*Table_NFI[[#This Row],[Jerry Can]],Table_NFI[Jerry Can])</f>
        <v>11</v>
      </c>
      <c r="AO59" s="296">
        <f>IF(NFI_Expiration=1,IF($A59&lt;VLOOKUP(V$5,NFI,5,0),1,0)*Table_NFI[[#This Row],[Shelter Tool kit]],Table_NFI[Shelter Tool kit])</f>
        <v>0</v>
      </c>
      <c r="AP59" s="296">
        <f>IF(NFI_Expiration=1,IF($A59&lt;VLOOKUP(V$5,NFI,5,0),1,0)*Table_NFI[[#This Row],[Tent]],Table_NFI[Tent])</f>
        <v>11</v>
      </c>
      <c r="AQ59" s="396" t="str">
        <f>IFERROR(VLOOKUP(Table_NFI[[#This Row],[Camp Name]],CL,2,0),"")</f>
        <v>MMR001CMP212</v>
      </c>
      <c r="AR59" s="711">
        <f ca="1">IF(Table_NFI[[#This Row],[Pcode]]="","",IF(OFFSET(CampList[Opening Date],MATCH(Table_NFI[[#This Row],[Pcode]],CampList[CP_Pcode],0)-1,0,1,1)&gt;=NFI_Monitor_Date,1,0))</f>
        <v>0</v>
      </c>
      <c r="AS59" s="396" t="str">
        <f>IFERROR(VLOOKUP(Table_NFI[[#This Row],[Camp Name]],CL,3,0),"")</f>
        <v>Closed</v>
      </c>
      <c r="AT59" s="264" t="str">
        <f ca="1">IF(Table_NFI[[#This Row],[Pcode]]="","",OFFSET(CampList[Priority],MATCH(Table_NFI[[#This Row],[Pcode]],CampList[CP_Pcode],0)-1,0,1,1))</f>
        <v/>
      </c>
      <c r="AU59" s="263" t="str">
        <f>IFERROR(Table_NFI[[#This Row],[Kitchen Set]]/VLOOKUP(Table_NFI[[#This Row],[Camp Name]],CL,4,0),"")</f>
        <v/>
      </c>
      <c r="AV59" s="390"/>
      <c r="AW59" s="397" t="s">
        <v>1530</v>
      </c>
      <c r="AX59" s="399"/>
      <c r="AY59" s="399"/>
      <c r="AZ59" s="399"/>
      <c r="BA59" s="399"/>
      <c r="BB59" s="399"/>
      <c r="BC59" s="399"/>
      <c r="BD59" s="399"/>
      <c r="BE59" s="399"/>
      <c r="BF59" s="399"/>
      <c r="BG59" s="399"/>
      <c r="BH59" s="399"/>
      <c r="BI59" s="399"/>
      <c r="BJ59" s="399"/>
      <c r="BK59" s="399"/>
      <c r="BL59" s="399"/>
      <c r="BM59" s="399"/>
      <c r="BN59" s="399"/>
      <c r="BO59" s="399"/>
      <c r="BP59" s="399"/>
      <c r="BQ59" s="399"/>
      <c r="BR59" s="399"/>
      <c r="BS59" s="399"/>
      <c r="BT59" s="399"/>
      <c r="BU59" s="399"/>
      <c r="BV59" s="399"/>
      <c r="BW59" s="399"/>
      <c r="BX59" s="399"/>
      <c r="BY59" s="399"/>
      <c r="BZ59" s="399"/>
      <c r="CA59" s="399"/>
      <c r="CB59" s="399"/>
      <c r="CC59" s="399"/>
      <c r="CD59" s="399"/>
      <c r="CE59" s="399"/>
      <c r="CF59" s="399"/>
      <c r="CG59" s="399"/>
      <c r="CH59" s="399"/>
      <c r="CI59" s="399"/>
      <c r="CJ59" s="399"/>
      <c r="CK59" s="399"/>
      <c r="CL59" s="399"/>
      <c r="CM59" s="399"/>
      <c r="CN59" s="399"/>
      <c r="CO59" s="399"/>
      <c r="CP59" s="399"/>
      <c r="CQ59" s="399"/>
      <c r="CR59" s="399"/>
      <c r="CS59" s="399"/>
      <c r="CT59" s="399"/>
      <c r="CU59" s="399"/>
      <c r="CV59" s="399"/>
      <c r="CW59" s="399"/>
      <c r="CX59" s="399"/>
      <c r="CY59" s="399"/>
      <c r="CZ59" s="399"/>
      <c r="DA59" s="399"/>
      <c r="DB59" s="399"/>
      <c r="DC59" s="399"/>
      <c r="DD59" s="399"/>
      <c r="DE59" s="399"/>
      <c r="DF59" s="399"/>
      <c r="DG59" s="399"/>
      <c r="DH59" s="399"/>
      <c r="DI59" s="399"/>
      <c r="DJ59" s="399"/>
      <c r="DK59" s="399"/>
      <c r="DL59" s="399"/>
      <c r="DM59" s="399"/>
      <c r="DN59" s="399"/>
      <c r="DO59" s="399"/>
      <c r="DP59" s="399"/>
      <c r="DQ59" s="399"/>
    </row>
    <row r="60" spans="1:121" s="393" customFormat="1" ht="14.45" customHeight="1" x14ac:dyDescent="0.25">
      <c r="A60" s="266">
        <f t="shared" si="0"/>
        <v>3.4</v>
      </c>
      <c r="B60" s="389">
        <v>42754</v>
      </c>
      <c r="C60" s="394" t="s">
        <v>451</v>
      </c>
      <c r="D60" s="394" t="s">
        <v>1340</v>
      </c>
      <c r="E60" s="394" t="s">
        <v>380</v>
      </c>
      <c r="F60" s="394" t="s">
        <v>310</v>
      </c>
      <c r="G60" s="394" t="s">
        <v>330</v>
      </c>
      <c r="H60" s="261"/>
      <c r="I60" s="261">
        <v>9</v>
      </c>
      <c r="J60" s="261">
        <v>9</v>
      </c>
      <c r="K60" s="261">
        <v>35</v>
      </c>
      <c r="L60" s="261">
        <v>9</v>
      </c>
      <c r="M60" s="261">
        <v>35</v>
      </c>
      <c r="N60" s="261">
        <v>9</v>
      </c>
      <c r="O60" s="261"/>
      <c r="P60" s="261">
        <v>9</v>
      </c>
      <c r="Q60" s="261">
        <v>35</v>
      </c>
      <c r="R60" s="261"/>
      <c r="S60" s="261"/>
      <c r="T60" s="261"/>
      <c r="U60" s="261"/>
      <c r="V60" s="762">
        <v>9</v>
      </c>
      <c r="W60" s="261"/>
      <c r="X60" s="261">
        <v>9</v>
      </c>
      <c r="Y60" s="264">
        <f>IF(NFI_Expiration=1,IF($A60&lt;VLOOKUP(H$5,NFI,5,0),1,0)*Table_NFI[[#This Row],[Hygiene Kit]],Table_NFI[Hygiene Kit])</f>
        <v>0</v>
      </c>
      <c r="Z60" s="264">
        <f>IF(NFI_Expiration=1,IF($A60&lt;VLOOKUP(I$5,NFI,5,0),1,0)*Table_NFI[[#This Row],[NFI Core Kit]],Table_NFI[NFI Core Kit])</f>
        <v>9</v>
      </c>
      <c r="AA60" s="264">
        <f>IF(NFI_Expiration=1,IF($A60&lt;VLOOKUP(J$5,NFI,5,0),1,0)*Table_NFI[[#This Row],[Sanitary Kit]],Table_NFI[Sanitary Kit])</f>
        <v>9</v>
      </c>
      <c r="AB60" s="264">
        <f>IF(NFI_Expiration=1,IF($A60&lt;VLOOKUP(K$5,NFI,5,0),1,0)*Table_NFI[[#This Row],[Mosquito net]],Table_NFI[Mosquito net])</f>
        <v>35</v>
      </c>
      <c r="AC60" s="264">
        <f>IF(NFI_Expiration=1,IF($A60&lt;VLOOKUP(L$5,NFI,5,0),1,0)*Table_NFI[[#This Row],[Tarpaulin]],Table_NFI[[#This Row],[Tarpaulin]])</f>
        <v>9</v>
      </c>
      <c r="AD60" s="264">
        <f>IF(NFI_Expiration=1,IF($A60&lt;VLOOKUP(M$5,NFI,5,0),1,0)*Table_NFI[[#This Row],[Blanket]],Table_NFI[[#This Row],[Blanket]])</f>
        <v>35</v>
      </c>
      <c r="AE60" s="264">
        <f>IF(NFI_Expiration=1,IF($A60&lt;VLOOKUP(N$5,NFI,5,0),1,0)*Table_NFI[[#This Row],[Kitchen Set]],Table_NFI[Kitchen Set])</f>
        <v>9</v>
      </c>
      <c r="AF60" s="264">
        <f>IF(NFI_Expiration=1,IF($A60&lt;VLOOKUP(O$5,NFI,5,0),1,0)*Table_NFI[[#This Row],[Clothes Kit]],Table_NFI[Clothes Kit])</f>
        <v>0</v>
      </c>
      <c r="AG60" s="264">
        <f>IF(NFI_Expiration=1,IF($A60&lt;VLOOKUP(P$5,NFI,5,0),1,0)*Table_NFI[[#This Row],[Plastic Bucket]],Table_NFI[Plastic Bucket])</f>
        <v>9</v>
      </c>
      <c r="AH60" s="264">
        <f>IF(NFI_Expiration=1,IF($A60&lt;VLOOKUP(Q$5,NFI,5,0),1,0)*Table_NFI[[#This Row],[Plastic Mat]],Table_NFI[Plastic Mat])*IF(Table_NFI[[#This Row],[Distribution Date]]&gt;"2014-04-01",1,2.5)</f>
        <v>87.5</v>
      </c>
      <c r="AI60" s="264">
        <f>IF(NFI_Expiration=1,IF($A60&lt;VLOOKUP(R$5,NFI,5,0),1,0)*Table_NFI[[#This Row],[Winter Clothes Adult]],Table_NFI[Winter Clothes Adult])</f>
        <v>0</v>
      </c>
      <c r="AJ60" s="264">
        <f>IF(NFI_Expiration=1,IF($A60&lt;VLOOKUP(S$5,NFI,5,0),1,0)*Table_NFI[[#This Row],[Winter Clothes Children]],Table_NFI[Winter Clothes Children])</f>
        <v>0</v>
      </c>
      <c r="AK60" s="264">
        <f>IF(NFI_Expiration=1,IF($A60&lt;VLOOKUP(T$5,NFI,5,0),1,0)*Table_NFI[[#This Row],[Winter Items Other]],Table_NFI[Winter Items Other])</f>
        <v>0</v>
      </c>
      <c r="AL60" s="264">
        <f>IF(NFI_Expiration=1,IF($A60&lt;VLOOKUP(M$5,NFI,5,0),1,0)*Table_NFI[[#This Row],[Winter Blanket]],Table_NFI[[#This Row],[Winter Blanket]])</f>
        <v>0</v>
      </c>
      <c r="AM60" s="264">
        <f>IF(Table_NFI[[#This Row],[Winter Clothes Adult]]+Table_NFI[[#This Row],[Winter Clothes Children]]+Table_NFI[[#This Row],[Winter Items Other]]+Table_NFI[[#This Row],[Winter Blanket]]&gt;0,1,0)</f>
        <v>0</v>
      </c>
      <c r="AN60" s="296">
        <f>IF(NFI_Expiration=1,IF($A60&lt;VLOOKUP(V$5,NFI,5,0),1,0)*Table_NFI[[#This Row],[Jerry Can]],Table_NFI[Jerry Can])</f>
        <v>9</v>
      </c>
      <c r="AO60" s="296">
        <f>IF(NFI_Expiration=1,IF($A60&lt;VLOOKUP(V$5,NFI,5,0),1,0)*Table_NFI[[#This Row],[Shelter Tool kit]],Table_NFI[Shelter Tool kit])</f>
        <v>0</v>
      </c>
      <c r="AP60" s="296">
        <f>IF(NFI_Expiration=1,IF($A60&lt;VLOOKUP(V$5,NFI,5,0),1,0)*Table_NFI[[#This Row],[Tent]],Table_NFI[Tent])</f>
        <v>9</v>
      </c>
      <c r="AQ60" s="396" t="str">
        <f>IFERROR(VLOOKUP(Table_NFI[[#This Row],[Camp Name]],CL,2,0),"")</f>
        <v>MMR001CMP029</v>
      </c>
      <c r="AR60" s="702">
        <f ca="1">IF(Table_NFI[[#This Row],[Pcode]]="","",IF(OFFSET(CampList[Opening Date],MATCH(Table_NFI[[#This Row],[Pcode]],CampList[CP_Pcode],0)-1,0,1,1)&gt;=NFI_Monitor_Date,1,0))</f>
        <v>0</v>
      </c>
      <c r="AS60" s="396" t="str">
        <f>IFERROR(VLOOKUP(Table_NFI[[#This Row],[Camp Name]],CL,3,0),"")</f>
        <v>Open</v>
      </c>
      <c r="AT60" s="264" t="str">
        <f ca="1">IF(Table_NFI[[#This Row],[Pcode]]="","",OFFSET(CampList[Priority],MATCH(Table_NFI[[#This Row],[Pcode]],CampList[CP_Pcode],0)-1,0,1,1))</f>
        <v>P4</v>
      </c>
      <c r="AU60" s="263">
        <f>IFERROR(Table_NFI[[#This Row],[Kitchen Set]]/VLOOKUP(Table_NFI[[#This Row],[Camp Name]],CL,4,0),"")</f>
        <v>2.172548640950128E-4</v>
      </c>
      <c r="AV60" s="390"/>
      <c r="AW60" s="397" t="s">
        <v>1530</v>
      </c>
      <c r="AX60" s="399"/>
      <c r="AY60" s="399"/>
      <c r="AZ60" s="399"/>
      <c r="BA60" s="399"/>
      <c r="BB60" s="399"/>
      <c r="BC60" s="399"/>
      <c r="BD60" s="399"/>
      <c r="BE60" s="399"/>
      <c r="BF60" s="399"/>
      <c r="BG60" s="399"/>
      <c r="BH60" s="399"/>
      <c r="BI60" s="399"/>
      <c r="BJ60" s="399"/>
      <c r="BK60" s="399"/>
      <c r="BL60" s="399"/>
      <c r="BM60" s="399"/>
      <c r="BN60" s="399"/>
      <c r="BO60" s="399"/>
      <c r="BP60" s="399"/>
      <c r="BQ60" s="399"/>
      <c r="BR60" s="399"/>
      <c r="BS60" s="399"/>
      <c r="BT60" s="399"/>
      <c r="BU60" s="399"/>
      <c r="BV60" s="399"/>
      <c r="BW60" s="399"/>
      <c r="BX60" s="399"/>
      <c r="BY60" s="399"/>
      <c r="BZ60" s="399"/>
      <c r="CA60" s="399"/>
      <c r="CB60" s="399"/>
      <c r="CC60" s="399"/>
      <c r="CD60" s="399"/>
      <c r="CE60" s="399"/>
      <c r="CF60" s="399"/>
      <c r="CG60" s="399"/>
      <c r="CH60" s="399"/>
      <c r="CI60" s="399"/>
      <c r="CJ60" s="399"/>
      <c r="CK60" s="399"/>
      <c r="CL60" s="399"/>
      <c r="CM60" s="399"/>
      <c r="CN60" s="399"/>
      <c r="CO60" s="399"/>
      <c r="CP60" s="399"/>
      <c r="CQ60" s="399"/>
      <c r="CR60" s="399"/>
      <c r="CS60" s="399"/>
      <c r="CT60" s="399"/>
      <c r="CU60" s="399"/>
      <c r="CV60" s="399"/>
      <c r="CW60" s="399"/>
      <c r="CX60" s="399"/>
      <c r="CY60" s="399"/>
      <c r="CZ60" s="399"/>
      <c r="DA60" s="399"/>
      <c r="DB60" s="399"/>
      <c r="DC60" s="399"/>
      <c r="DD60" s="399"/>
      <c r="DE60" s="399"/>
      <c r="DF60" s="399"/>
      <c r="DG60" s="399"/>
      <c r="DH60" s="399"/>
      <c r="DI60" s="399"/>
      <c r="DJ60" s="399"/>
      <c r="DK60" s="399"/>
      <c r="DL60" s="399"/>
      <c r="DM60" s="399"/>
      <c r="DN60" s="399"/>
      <c r="DO60" s="399"/>
      <c r="DP60" s="399"/>
      <c r="DQ60" s="399"/>
    </row>
    <row r="61" spans="1:121" s="393" customFormat="1" ht="15" customHeight="1" x14ac:dyDescent="0.25">
      <c r="A61" s="266">
        <f t="shared" si="0"/>
        <v>3.4333333333333331</v>
      </c>
      <c r="B61" s="389">
        <v>42753</v>
      </c>
      <c r="C61" s="390" t="s">
        <v>904</v>
      </c>
      <c r="D61" s="390" t="s">
        <v>904</v>
      </c>
      <c r="E61" s="390" t="s">
        <v>380</v>
      </c>
      <c r="F61" s="262" t="s">
        <v>185</v>
      </c>
      <c r="G61" s="262" t="s">
        <v>194</v>
      </c>
      <c r="H61" s="261">
        <v>73</v>
      </c>
      <c r="I61" s="261">
        <v>73</v>
      </c>
      <c r="J61" s="261">
        <v>657</v>
      </c>
      <c r="K61" s="261">
        <v>146</v>
      </c>
      <c r="L61" s="261"/>
      <c r="M61" s="261">
        <v>146</v>
      </c>
      <c r="N61" s="261"/>
      <c r="O61" s="261"/>
      <c r="P61" s="261">
        <v>73</v>
      </c>
      <c r="Q61" s="261">
        <v>146</v>
      </c>
      <c r="R61" s="261"/>
      <c r="S61" s="261"/>
      <c r="T61" s="261"/>
      <c r="U61" s="261"/>
      <c r="V61" s="762">
        <v>73</v>
      </c>
      <c r="W61" s="261"/>
      <c r="X61" s="261"/>
      <c r="Y61" s="264">
        <f>IF(NFI_Expiration=1,IF($A61&lt;VLOOKUP(H$5,NFI,5,0),1,0)*Table_NFI[[#This Row],[Hygiene Kit]],Table_NFI[Hygiene Kit])</f>
        <v>73</v>
      </c>
      <c r="Z61" s="264">
        <f>IF(NFI_Expiration=1,IF($A61&lt;VLOOKUP(I$5,NFI,5,0),1,0)*Table_NFI[[#This Row],[NFI Core Kit]],Table_NFI[NFI Core Kit])</f>
        <v>73</v>
      </c>
      <c r="AA61" s="264">
        <f>IF(NFI_Expiration=1,IF($A61&lt;VLOOKUP(J$5,NFI,5,0),1,0)*Table_NFI[[#This Row],[Sanitary Kit]],Table_NFI[Sanitary Kit])</f>
        <v>657</v>
      </c>
      <c r="AB61" s="264">
        <f>IF(NFI_Expiration=1,IF($A61&lt;VLOOKUP(K$5,NFI,5,0),1,0)*Table_NFI[[#This Row],[Mosquito net]],Table_NFI[Mosquito net])</f>
        <v>146</v>
      </c>
      <c r="AC61" s="264">
        <f>IF(NFI_Expiration=1,IF($A61&lt;VLOOKUP(L$5,NFI,5,0),1,0)*Table_NFI[[#This Row],[Tarpaulin]],Table_NFI[[#This Row],[Tarpaulin]])</f>
        <v>0</v>
      </c>
      <c r="AD61" s="264">
        <f>IF(NFI_Expiration=1,IF($A61&lt;VLOOKUP(M$5,NFI,5,0),1,0)*Table_NFI[[#This Row],[Blanket]],Table_NFI[[#This Row],[Blanket]])</f>
        <v>146</v>
      </c>
      <c r="AE61" s="264">
        <f>IF(NFI_Expiration=1,IF($A61&lt;VLOOKUP(N$5,NFI,5,0),1,0)*Table_NFI[[#This Row],[Kitchen Set]],Table_NFI[Kitchen Set])</f>
        <v>0</v>
      </c>
      <c r="AF61" s="264">
        <f>IF(NFI_Expiration=1,IF($A61&lt;VLOOKUP(O$5,NFI,5,0),1,0)*Table_NFI[[#This Row],[Clothes Kit]],Table_NFI[Clothes Kit])</f>
        <v>0</v>
      </c>
      <c r="AG61" s="264">
        <f>IF(NFI_Expiration=1,IF($A61&lt;VLOOKUP(P$5,NFI,5,0),1,0)*Table_NFI[[#This Row],[Plastic Bucket]],Table_NFI[Plastic Bucket])</f>
        <v>73</v>
      </c>
      <c r="AH61" s="264">
        <f>IF(NFI_Expiration=1,IF($A61&lt;VLOOKUP(Q$5,NFI,5,0),1,0)*Table_NFI[[#This Row],[Plastic Mat]],Table_NFI[Plastic Mat])*IF(Table_NFI[[#This Row],[Distribution Date]]&gt;"2014-04-01",1,2.5)</f>
        <v>365</v>
      </c>
      <c r="AI61" s="264">
        <f>IF(NFI_Expiration=1,IF($A61&lt;VLOOKUP(R$5,NFI,5,0),1,0)*Table_NFI[[#This Row],[Winter Clothes Adult]],Table_NFI[Winter Clothes Adult])</f>
        <v>0</v>
      </c>
      <c r="AJ61" s="264">
        <f>IF(NFI_Expiration=1,IF($A61&lt;VLOOKUP(S$5,NFI,5,0),1,0)*Table_NFI[[#This Row],[Winter Clothes Children]],Table_NFI[Winter Clothes Children])</f>
        <v>0</v>
      </c>
      <c r="AK61" s="264">
        <f>IF(NFI_Expiration=1,IF($A61&lt;VLOOKUP(T$5,NFI,5,0),1,0)*Table_NFI[[#This Row],[Winter Items Other]],Table_NFI[Winter Items Other])</f>
        <v>0</v>
      </c>
      <c r="AL61" s="264">
        <f>IF(NFI_Expiration=1,IF($A61&lt;VLOOKUP(M$5,NFI,5,0),1,0)*Table_NFI[[#This Row],[Winter Blanket]],Table_NFI[[#This Row],[Winter Blanket]])</f>
        <v>0</v>
      </c>
      <c r="AM61" s="264">
        <f>IF(Table_NFI[[#This Row],[Winter Clothes Adult]]+Table_NFI[[#This Row],[Winter Clothes Children]]+Table_NFI[[#This Row],[Winter Items Other]]+Table_NFI[[#This Row],[Winter Blanket]]&gt;0,1,0)</f>
        <v>0</v>
      </c>
      <c r="AN61" s="296">
        <f>IF(NFI_Expiration=1,IF($A61&lt;VLOOKUP(V$5,NFI,5,0),1,0)*Table_NFI[[#This Row],[Jerry Can]],Table_NFI[Jerry Can])</f>
        <v>73</v>
      </c>
      <c r="AO61" s="296">
        <f>IF(NFI_Expiration=1,IF($A61&lt;VLOOKUP(V$5,NFI,5,0),1,0)*Table_NFI[[#This Row],[Shelter Tool kit]],Table_NFI[Shelter Tool kit])</f>
        <v>0</v>
      </c>
      <c r="AP61" s="296">
        <f>IF(NFI_Expiration=1,IF($A61&lt;VLOOKUP(V$5,NFI,5,0),1,0)*Table_NFI[[#This Row],[Tent]],Table_NFI[Tent])</f>
        <v>0</v>
      </c>
      <c r="AQ61" s="396" t="str">
        <f>IFERROR(VLOOKUP(Table_NFI[[#This Row],[Camp Name]],CL,2,0),"")</f>
        <v>MMR001CMP122</v>
      </c>
      <c r="AR61" s="711">
        <f ca="1">IF(Table_NFI[[#This Row],[Pcode]]="","",IF(OFFSET(CampList[Opening Date],MATCH(Table_NFI[[#This Row],[Pcode]],CampList[CP_Pcode],0)-1,0,1,1)&gt;=NFI_Monitor_Date,1,0))</f>
        <v>0</v>
      </c>
      <c r="AS61" s="396" t="str">
        <f>IFERROR(VLOOKUP(Table_NFI[[#This Row],[Camp Name]],CL,3,0),"")</f>
        <v>Open</v>
      </c>
      <c r="AT61" s="264" t="str">
        <f ca="1">IF(Table_NFI[[#This Row],[Pcode]]="","",OFFSET(CampList[Priority],MATCH(Table_NFI[[#This Row],[Pcode]],CampList[CP_Pcode],0)-1,0,1,1))</f>
        <v>P2</v>
      </c>
      <c r="AU61" s="263">
        <f>IFERROR(Table_NFI[[#This Row],[Kitchen Set]]/VLOOKUP(Table_NFI[[#This Row],[Camp Name]],CL,4,0),"")</f>
        <v>0</v>
      </c>
      <c r="AV61" s="390"/>
      <c r="AW61" s="392" t="s">
        <v>1559</v>
      </c>
      <c r="AX61" s="399"/>
      <c r="AY61" s="399"/>
      <c r="AZ61" s="399"/>
      <c r="BA61" s="399"/>
      <c r="BB61" s="399"/>
      <c r="BC61" s="399"/>
      <c r="BD61" s="399"/>
      <c r="BE61" s="399"/>
      <c r="BF61" s="399"/>
      <c r="BG61" s="399"/>
      <c r="BH61" s="399"/>
      <c r="BI61" s="399"/>
      <c r="BJ61" s="399"/>
      <c r="BK61" s="399"/>
      <c r="BL61" s="399"/>
      <c r="BM61" s="399"/>
      <c r="BN61" s="399"/>
      <c r="BO61" s="399"/>
      <c r="BP61" s="399"/>
      <c r="BQ61" s="399"/>
      <c r="BR61" s="399"/>
      <c r="BS61" s="399"/>
      <c r="BT61" s="399"/>
      <c r="BU61" s="399"/>
      <c r="BV61" s="399"/>
      <c r="BW61" s="399"/>
      <c r="BX61" s="399"/>
      <c r="BY61" s="399"/>
      <c r="BZ61" s="399"/>
      <c r="CA61" s="399"/>
      <c r="CB61" s="399"/>
      <c r="CC61" s="399"/>
      <c r="CD61" s="399"/>
      <c r="CE61" s="399"/>
      <c r="CF61" s="399"/>
      <c r="CG61" s="399"/>
      <c r="CH61" s="399"/>
      <c r="CI61" s="399"/>
      <c r="CJ61" s="399"/>
      <c r="CK61" s="399"/>
      <c r="CL61" s="399"/>
      <c r="CM61" s="399"/>
      <c r="CN61" s="399"/>
      <c r="CO61" s="399"/>
      <c r="CP61" s="399"/>
      <c r="CQ61" s="399"/>
      <c r="CR61" s="399"/>
      <c r="CS61" s="399"/>
      <c r="CT61" s="399"/>
      <c r="CU61" s="399"/>
      <c r="CV61" s="399"/>
      <c r="CW61" s="399"/>
      <c r="CX61" s="399"/>
      <c r="CY61" s="399"/>
      <c r="CZ61" s="399"/>
      <c r="DA61" s="399"/>
      <c r="DB61" s="399"/>
      <c r="DC61" s="399"/>
      <c r="DD61" s="399"/>
      <c r="DE61" s="399"/>
      <c r="DF61" s="399"/>
      <c r="DG61" s="399"/>
      <c r="DH61" s="399"/>
      <c r="DI61" s="399"/>
      <c r="DJ61" s="399"/>
      <c r="DK61" s="399"/>
      <c r="DL61" s="399"/>
      <c r="DM61" s="399"/>
      <c r="DN61" s="399"/>
      <c r="DO61" s="399"/>
      <c r="DP61" s="399"/>
      <c r="DQ61" s="399"/>
    </row>
    <row r="62" spans="1:121" s="393" customFormat="1" ht="14.45" customHeight="1" x14ac:dyDescent="0.25">
      <c r="A62" s="266">
        <f t="shared" si="0"/>
        <v>3.4333333333333331</v>
      </c>
      <c r="B62" s="389">
        <v>42753</v>
      </c>
      <c r="C62" s="390" t="s">
        <v>904</v>
      </c>
      <c r="D62" s="390" t="s">
        <v>904</v>
      </c>
      <c r="E62" s="390" t="s">
        <v>380</v>
      </c>
      <c r="F62" s="262" t="s">
        <v>310</v>
      </c>
      <c r="G62" s="262" t="s">
        <v>353</v>
      </c>
      <c r="H62" s="261">
        <v>10</v>
      </c>
      <c r="I62" s="261">
        <v>10</v>
      </c>
      <c r="J62" s="261">
        <v>90</v>
      </c>
      <c r="K62" s="261">
        <v>20</v>
      </c>
      <c r="L62" s="261"/>
      <c r="M62" s="261">
        <v>20</v>
      </c>
      <c r="N62" s="261"/>
      <c r="O62" s="261"/>
      <c r="P62" s="261">
        <v>10</v>
      </c>
      <c r="Q62" s="261">
        <v>20</v>
      </c>
      <c r="R62" s="261"/>
      <c r="S62" s="261"/>
      <c r="T62" s="261"/>
      <c r="U62" s="261"/>
      <c r="V62" s="762">
        <v>10</v>
      </c>
      <c r="W62" s="261"/>
      <c r="X62" s="261"/>
      <c r="Y62" s="264">
        <f>IF(NFI_Expiration=1,IF($A62&lt;VLOOKUP(H$5,NFI,5,0),1,0)*Table_NFI[[#This Row],[Hygiene Kit]],Table_NFI[Hygiene Kit])</f>
        <v>10</v>
      </c>
      <c r="Z62" s="264">
        <f>IF(NFI_Expiration=1,IF($A62&lt;VLOOKUP(I$5,NFI,5,0),1,0)*Table_NFI[[#This Row],[NFI Core Kit]],Table_NFI[NFI Core Kit])</f>
        <v>10</v>
      </c>
      <c r="AA62" s="264">
        <f>IF(NFI_Expiration=1,IF($A62&lt;VLOOKUP(J$5,NFI,5,0),1,0)*Table_NFI[[#This Row],[Sanitary Kit]],Table_NFI[Sanitary Kit])</f>
        <v>90</v>
      </c>
      <c r="AB62" s="264">
        <f>IF(NFI_Expiration=1,IF($A62&lt;VLOOKUP(K$5,NFI,5,0),1,0)*Table_NFI[[#This Row],[Mosquito net]],Table_NFI[Mosquito net])</f>
        <v>20</v>
      </c>
      <c r="AC62" s="264">
        <f>IF(NFI_Expiration=1,IF($A62&lt;VLOOKUP(L$5,NFI,5,0),1,0)*Table_NFI[[#This Row],[Tarpaulin]],Table_NFI[[#This Row],[Tarpaulin]])</f>
        <v>0</v>
      </c>
      <c r="AD62" s="264">
        <f>IF(NFI_Expiration=1,IF($A62&lt;VLOOKUP(M$5,NFI,5,0),1,0)*Table_NFI[[#This Row],[Blanket]],Table_NFI[[#This Row],[Blanket]])</f>
        <v>20</v>
      </c>
      <c r="AE62" s="264">
        <f>IF(NFI_Expiration=1,IF($A62&lt;VLOOKUP(N$5,NFI,5,0),1,0)*Table_NFI[[#This Row],[Kitchen Set]],Table_NFI[Kitchen Set])</f>
        <v>0</v>
      </c>
      <c r="AF62" s="264">
        <f>IF(NFI_Expiration=1,IF($A62&lt;VLOOKUP(O$5,NFI,5,0),1,0)*Table_NFI[[#This Row],[Clothes Kit]],Table_NFI[Clothes Kit])</f>
        <v>0</v>
      </c>
      <c r="AG62" s="264">
        <f>IF(NFI_Expiration=1,IF($A62&lt;VLOOKUP(P$5,NFI,5,0),1,0)*Table_NFI[[#This Row],[Plastic Bucket]],Table_NFI[Plastic Bucket])</f>
        <v>10</v>
      </c>
      <c r="AH62" s="264">
        <f>IF(NFI_Expiration=1,IF($A62&lt;VLOOKUP(Q$5,NFI,5,0),1,0)*Table_NFI[[#This Row],[Plastic Mat]],Table_NFI[Plastic Mat])*IF(Table_NFI[[#This Row],[Distribution Date]]&gt;"2014-04-01",1,2.5)</f>
        <v>50</v>
      </c>
      <c r="AI62" s="264">
        <f>IF(NFI_Expiration=1,IF($A62&lt;VLOOKUP(R$5,NFI,5,0),1,0)*Table_NFI[[#This Row],[Winter Clothes Adult]],Table_NFI[Winter Clothes Adult])</f>
        <v>0</v>
      </c>
      <c r="AJ62" s="264">
        <f>IF(NFI_Expiration=1,IF($A62&lt;VLOOKUP(S$5,NFI,5,0),1,0)*Table_NFI[[#This Row],[Winter Clothes Children]],Table_NFI[Winter Clothes Children])</f>
        <v>0</v>
      </c>
      <c r="AK62" s="264">
        <f>IF(NFI_Expiration=1,IF($A62&lt;VLOOKUP(T$5,NFI,5,0),1,0)*Table_NFI[[#This Row],[Winter Items Other]],Table_NFI[Winter Items Other])</f>
        <v>0</v>
      </c>
      <c r="AL62" s="264">
        <f>IF(NFI_Expiration=1,IF($A62&lt;VLOOKUP(M$5,NFI,5,0),1,0)*Table_NFI[[#This Row],[Winter Blanket]],Table_NFI[[#This Row],[Winter Blanket]])</f>
        <v>0</v>
      </c>
      <c r="AM62" s="264">
        <f>IF(Table_NFI[[#This Row],[Winter Clothes Adult]]+Table_NFI[[#This Row],[Winter Clothes Children]]+Table_NFI[[#This Row],[Winter Items Other]]+Table_NFI[[#This Row],[Winter Blanket]]&gt;0,1,0)</f>
        <v>0</v>
      </c>
      <c r="AN62" s="296">
        <f>IF(NFI_Expiration=1,IF($A62&lt;VLOOKUP(V$5,NFI,5,0),1,0)*Table_NFI[[#This Row],[Jerry Can]],Table_NFI[Jerry Can])</f>
        <v>10</v>
      </c>
      <c r="AO62" s="296">
        <f>IF(NFI_Expiration=1,IF($A62&lt;VLOOKUP(V$5,NFI,5,0),1,0)*Table_NFI[[#This Row],[Shelter Tool kit]],Table_NFI[Shelter Tool kit])</f>
        <v>0</v>
      </c>
      <c r="AP62" s="296">
        <f>IF(NFI_Expiration=1,IF($A62&lt;VLOOKUP(V$5,NFI,5,0),1,0)*Table_NFI[[#This Row],[Tent]],Table_NFI[Tent])</f>
        <v>0</v>
      </c>
      <c r="AQ62" s="396" t="str">
        <f>IFERROR(VLOOKUP(Table_NFI[[#This Row],[Camp Name]],CL,2,0),"")</f>
        <v>MMR001CMP116</v>
      </c>
      <c r="AR62" s="711">
        <f ca="1">IF(Table_NFI[[#This Row],[Pcode]]="","",IF(OFFSET(CampList[Opening Date],MATCH(Table_NFI[[#This Row],[Pcode]],CampList[CP_Pcode],0)-1,0,1,1)&gt;=NFI_Monitor_Date,1,0))</f>
        <v>0</v>
      </c>
      <c r="AS62" s="396" t="str">
        <f>IFERROR(VLOOKUP(Table_NFI[[#This Row],[Camp Name]],CL,3,0),"")</f>
        <v>Open</v>
      </c>
      <c r="AT62" s="264" t="str">
        <f ca="1">IF(Table_NFI[[#This Row],[Pcode]]="","",OFFSET(CampList[Priority],MATCH(Table_NFI[[#This Row],[Pcode]],CampList[CP_Pcode],0)-1,0,1,1))</f>
        <v>P4</v>
      </c>
      <c r="AU62" s="263">
        <f>IFERROR(Table_NFI[[#This Row],[Kitchen Set]]/VLOOKUP(Table_NFI[[#This Row],[Camp Name]],CL,4,0),"")</f>
        <v>0</v>
      </c>
      <c r="AV62" s="390"/>
      <c r="AW62" s="392" t="s">
        <v>1559</v>
      </c>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99"/>
      <c r="DF62" s="399"/>
      <c r="DG62" s="399"/>
      <c r="DH62" s="399"/>
      <c r="DI62" s="399"/>
      <c r="DJ62" s="399"/>
      <c r="DK62" s="399"/>
      <c r="DL62" s="399"/>
      <c r="DM62" s="399"/>
      <c r="DN62" s="399"/>
      <c r="DO62" s="399"/>
      <c r="DP62" s="399"/>
      <c r="DQ62" s="399"/>
    </row>
    <row r="63" spans="1:121" s="393" customFormat="1" ht="15" customHeight="1" x14ac:dyDescent="0.25">
      <c r="A63" s="266">
        <f t="shared" si="0"/>
        <v>3.5333333333333332</v>
      </c>
      <c r="B63" s="389">
        <v>42750</v>
      </c>
      <c r="C63" s="394" t="s">
        <v>451</v>
      </c>
      <c r="D63" s="394" t="s">
        <v>459</v>
      </c>
      <c r="E63" s="394" t="s">
        <v>380</v>
      </c>
      <c r="F63" s="394" t="s">
        <v>151</v>
      </c>
      <c r="G63" s="394" t="s">
        <v>875</v>
      </c>
      <c r="H63" s="261"/>
      <c r="I63" s="261">
        <v>15</v>
      </c>
      <c r="J63" s="261">
        <v>15</v>
      </c>
      <c r="K63" s="261">
        <v>15</v>
      </c>
      <c r="L63" s="261">
        <v>15</v>
      </c>
      <c r="M63" s="261">
        <v>15</v>
      </c>
      <c r="N63" s="261">
        <v>15</v>
      </c>
      <c r="O63" s="261"/>
      <c r="P63" s="261">
        <v>15</v>
      </c>
      <c r="Q63" s="261">
        <v>30</v>
      </c>
      <c r="R63" s="261"/>
      <c r="S63" s="261"/>
      <c r="T63" s="261"/>
      <c r="U63" s="261"/>
      <c r="V63" s="762">
        <v>15</v>
      </c>
      <c r="W63" s="261"/>
      <c r="X63" s="261">
        <v>15</v>
      </c>
      <c r="Y63" s="264">
        <f>IF(NFI_Expiration=1,IF($A63&lt;VLOOKUP(H$5,NFI,5,0),1,0)*Table_NFI[[#This Row],[Hygiene Kit]],Table_NFI[Hygiene Kit])</f>
        <v>0</v>
      </c>
      <c r="Z63" s="264">
        <f>IF(NFI_Expiration=1,IF($A63&lt;VLOOKUP(I$5,NFI,5,0),1,0)*Table_NFI[[#This Row],[NFI Core Kit]],Table_NFI[NFI Core Kit])</f>
        <v>15</v>
      </c>
      <c r="AA63" s="264">
        <f>IF(NFI_Expiration=1,IF($A63&lt;VLOOKUP(J$5,NFI,5,0),1,0)*Table_NFI[[#This Row],[Sanitary Kit]],Table_NFI[Sanitary Kit])</f>
        <v>15</v>
      </c>
      <c r="AB63" s="264">
        <f>IF(NFI_Expiration=1,IF($A63&lt;VLOOKUP(K$5,NFI,5,0),1,0)*Table_NFI[[#This Row],[Mosquito net]],Table_NFI[Mosquito net])</f>
        <v>15</v>
      </c>
      <c r="AC63" s="264">
        <f>IF(NFI_Expiration=1,IF($A63&lt;VLOOKUP(L$5,NFI,5,0),1,0)*Table_NFI[[#This Row],[Tarpaulin]],Table_NFI[[#This Row],[Tarpaulin]])</f>
        <v>15</v>
      </c>
      <c r="AD63" s="264">
        <f>IF(NFI_Expiration=1,IF($A63&lt;VLOOKUP(M$5,NFI,5,0),1,0)*Table_NFI[[#This Row],[Blanket]],Table_NFI[[#This Row],[Blanket]])</f>
        <v>15</v>
      </c>
      <c r="AE63" s="264">
        <f>IF(NFI_Expiration=1,IF($A63&lt;VLOOKUP(N$5,NFI,5,0),1,0)*Table_NFI[[#This Row],[Kitchen Set]],Table_NFI[Kitchen Set])</f>
        <v>15</v>
      </c>
      <c r="AF63" s="264">
        <f>IF(NFI_Expiration=1,IF($A63&lt;VLOOKUP(O$5,NFI,5,0),1,0)*Table_NFI[[#This Row],[Clothes Kit]],Table_NFI[Clothes Kit])</f>
        <v>0</v>
      </c>
      <c r="AG63" s="264">
        <f>IF(NFI_Expiration=1,IF($A63&lt;VLOOKUP(P$5,NFI,5,0),1,0)*Table_NFI[[#This Row],[Plastic Bucket]],Table_NFI[Plastic Bucket])</f>
        <v>15</v>
      </c>
      <c r="AH63" s="264">
        <f>IF(NFI_Expiration=1,IF($A63&lt;VLOOKUP(Q$5,NFI,5,0),1,0)*Table_NFI[[#This Row],[Plastic Mat]],Table_NFI[Plastic Mat])*IF(Table_NFI[[#This Row],[Distribution Date]]&gt;"2014-04-01",1,2.5)</f>
        <v>75</v>
      </c>
      <c r="AI63" s="264">
        <f>IF(NFI_Expiration=1,IF($A63&lt;VLOOKUP(R$5,NFI,5,0),1,0)*Table_NFI[[#This Row],[Winter Clothes Adult]],Table_NFI[Winter Clothes Adult])</f>
        <v>0</v>
      </c>
      <c r="AJ63" s="264">
        <f>IF(NFI_Expiration=1,IF($A63&lt;VLOOKUP(S$5,NFI,5,0),1,0)*Table_NFI[[#This Row],[Winter Clothes Children]],Table_NFI[Winter Clothes Children])</f>
        <v>0</v>
      </c>
      <c r="AK63" s="264">
        <f>IF(NFI_Expiration=1,IF($A63&lt;VLOOKUP(T$5,NFI,5,0),1,0)*Table_NFI[[#This Row],[Winter Items Other]],Table_NFI[Winter Items Other])</f>
        <v>0</v>
      </c>
      <c r="AL63" s="264">
        <f>IF(NFI_Expiration=1,IF($A63&lt;VLOOKUP(M$5,NFI,5,0),1,0)*Table_NFI[[#This Row],[Winter Blanket]],Table_NFI[[#This Row],[Winter Blanket]])</f>
        <v>0</v>
      </c>
      <c r="AM63" s="264">
        <f>IF(Table_NFI[[#This Row],[Winter Clothes Adult]]+Table_NFI[[#This Row],[Winter Clothes Children]]+Table_NFI[[#This Row],[Winter Items Other]]+Table_NFI[[#This Row],[Winter Blanket]]&gt;0,1,0)</f>
        <v>0</v>
      </c>
      <c r="AN63" s="296">
        <f>IF(NFI_Expiration=1,IF($A63&lt;VLOOKUP(V$5,NFI,5,0),1,0)*Table_NFI[[#This Row],[Jerry Can]],Table_NFI[Jerry Can])</f>
        <v>15</v>
      </c>
      <c r="AO63" s="296">
        <f>IF(NFI_Expiration=1,IF($A63&lt;VLOOKUP(V$5,NFI,5,0),1,0)*Table_NFI[[#This Row],[Shelter Tool kit]],Table_NFI[Shelter Tool kit])</f>
        <v>0</v>
      </c>
      <c r="AP63" s="296">
        <f>IF(NFI_Expiration=1,IF($A63&lt;VLOOKUP(V$5,NFI,5,0),1,0)*Table_NFI[[#This Row],[Tent]],Table_NFI[Tent])</f>
        <v>15</v>
      </c>
      <c r="AQ63" s="396" t="str">
        <f>IFERROR(VLOOKUP(Table_NFI[[#This Row],[Camp Name]],CL,2,0),"")</f>
        <v>MMR001CMP212</v>
      </c>
      <c r="AR63" s="711">
        <f ca="1">IF(Table_NFI[[#This Row],[Pcode]]="","",IF(OFFSET(CampList[Opening Date],MATCH(Table_NFI[[#This Row],[Pcode]],CampList[CP_Pcode],0)-1,0,1,1)&gt;=NFI_Monitor_Date,1,0))</f>
        <v>0</v>
      </c>
      <c r="AS63" s="396" t="str">
        <f>IFERROR(VLOOKUP(Table_NFI[[#This Row],[Camp Name]],CL,3,0),"")</f>
        <v>Closed</v>
      </c>
      <c r="AT63" s="264" t="str">
        <f ca="1">IF(Table_NFI[[#This Row],[Pcode]]="","",OFFSET(CampList[Priority],MATCH(Table_NFI[[#This Row],[Pcode]],CampList[CP_Pcode],0)-1,0,1,1))</f>
        <v/>
      </c>
      <c r="AU63" s="263" t="str">
        <f>IFERROR(Table_NFI[[#This Row],[Kitchen Set]]/VLOOKUP(Table_NFI[[#This Row],[Camp Name]],CL,4,0),"")</f>
        <v/>
      </c>
      <c r="AV63" s="390"/>
      <c r="AW63" s="397" t="s">
        <v>1530</v>
      </c>
      <c r="AX63" s="399"/>
      <c r="AY63" s="399"/>
      <c r="AZ63" s="399"/>
      <c r="BA63" s="399"/>
      <c r="BB63" s="399"/>
      <c r="BC63" s="399"/>
      <c r="BD63" s="399"/>
      <c r="BE63" s="399"/>
      <c r="BF63" s="399"/>
      <c r="BG63" s="399"/>
      <c r="BH63" s="399"/>
      <c r="BI63" s="399"/>
      <c r="BJ63" s="399"/>
      <c r="BK63" s="399"/>
      <c r="BL63" s="399"/>
      <c r="BM63" s="399"/>
      <c r="BN63" s="399"/>
      <c r="BO63" s="399"/>
      <c r="BP63" s="399"/>
      <c r="BQ63" s="399"/>
      <c r="BR63" s="399"/>
      <c r="BS63" s="399"/>
      <c r="BT63" s="399"/>
      <c r="BU63" s="399"/>
      <c r="BV63" s="399"/>
      <c r="BW63" s="399"/>
      <c r="BX63" s="399"/>
      <c r="BY63" s="399"/>
      <c r="BZ63" s="399"/>
      <c r="CA63" s="399"/>
      <c r="CB63" s="399"/>
      <c r="CC63" s="399"/>
      <c r="CD63" s="399"/>
      <c r="CE63" s="399"/>
      <c r="CF63" s="399"/>
      <c r="CG63" s="399"/>
      <c r="CH63" s="399"/>
      <c r="CI63" s="399"/>
      <c r="CJ63" s="399"/>
      <c r="CK63" s="399"/>
      <c r="CL63" s="399"/>
      <c r="CM63" s="399"/>
      <c r="CN63" s="399"/>
      <c r="CO63" s="399"/>
      <c r="CP63" s="399"/>
      <c r="CQ63" s="399"/>
      <c r="CR63" s="399"/>
      <c r="CS63" s="399"/>
      <c r="CT63" s="399"/>
      <c r="CU63" s="399"/>
      <c r="CV63" s="399"/>
      <c r="CW63" s="399"/>
      <c r="CX63" s="399"/>
      <c r="CY63" s="399"/>
      <c r="CZ63" s="399"/>
      <c r="DA63" s="399"/>
      <c r="DB63" s="399"/>
      <c r="DC63" s="399"/>
      <c r="DD63" s="399"/>
      <c r="DE63" s="399"/>
      <c r="DF63" s="399"/>
      <c r="DG63" s="399"/>
      <c r="DH63" s="399"/>
      <c r="DI63" s="399"/>
      <c r="DJ63" s="399"/>
      <c r="DK63" s="399"/>
      <c r="DL63" s="399"/>
      <c r="DM63" s="399"/>
      <c r="DN63" s="399"/>
      <c r="DO63" s="399"/>
      <c r="DP63" s="399"/>
      <c r="DQ63" s="399"/>
    </row>
    <row r="64" spans="1:121" s="393" customFormat="1" ht="14.45" customHeight="1" x14ac:dyDescent="0.25">
      <c r="A64" s="266">
        <f t="shared" si="0"/>
        <v>3.5333333333333332</v>
      </c>
      <c r="B64" s="389">
        <v>42750</v>
      </c>
      <c r="C64" s="394" t="s">
        <v>904</v>
      </c>
      <c r="D64" s="394" t="s">
        <v>904</v>
      </c>
      <c r="E64" s="394" t="s">
        <v>380</v>
      </c>
      <c r="F64" s="394" t="s">
        <v>151</v>
      </c>
      <c r="G64" s="394" t="s">
        <v>884</v>
      </c>
      <c r="H64" s="261">
        <v>15</v>
      </c>
      <c r="I64" s="261"/>
      <c r="J64" s="261">
        <v>135</v>
      </c>
      <c r="K64" s="261"/>
      <c r="L64" s="261"/>
      <c r="M64" s="261"/>
      <c r="N64" s="261"/>
      <c r="O64" s="261"/>
      <c r="P64" s="261">
        <v>15</v>
      </c>
      <c r="Q64" s="261"/>
      <c r="R64" s="261"/>
      <c r="S64" s="261"/>
      <c r="T64" s="261"/>
      <c r="U64" s="261"/>
      <c r="V64" s="762">
        <v>15</v>
      </c>
      <c r="W64" s="261"/>
      <c r="X64" s="261"/>
      <c r="Y64" s="264">
        <f>IF(NFI_Expiration=1,IF($A64&lt;VLOOKUP(H$5,NFI,5,0),1,0)*Table_NFI[[#This Row],[Hygiene Kit]],Table_NFI[Hygiene Kit])</f>
        <v>15</v>
      </c>
      <c r="Z64" s="264">
        <f>IF(NFI_Expiration=1,IF($A64&lt;VLOOKUP(I$5,NFI,5,0),1,0)*Table_NFI[[#This Row],[NFI Core Kit]],Table_NFI[NFI Core Kit])</f>
        <v>0</v>
      </c>
      <c r="AA64" s="264">
        <f>IF(NFI_Expiration=1,IF($A64&lt;VLOOKUP(J$5,NFI,5,0),1,0)*Table_NFI[[#This Row],[Sanitary Kit]],Table_NFI[Sanitary Kit])</f>
        <v>135</v>
      </c>
      <c r="AB64" s="264">
        <f>IF(NFI_Expiration=1,IF($A64&lt;VLOOKUP(K$5,NFI,5,0),1,0)*Table_NFI[[#This Row],[Mosquito net]],Table_NFI[Mosquito net])</f>
        <v>0</v>
      </c>
      <c r="AC64" s="264">
        <f>IF(NFI_Expiration=1,IF($A64&lt;VLOOKUP(L$5,NFI,5,0),1,0)*Table_NFI[[#This Row],[Tarpaulin]],Table_NFI[[#This Row],[Tarpaulin]])</f>
        <v>0</v>
      </c>
      <c r="AD64" s="264">
        <f>IF(NFI_Expiration=1,IF($A64&lt;VLOOKUP(M$5,NFI,5,0),1,0)*Table_NFI[[#This Row],[Blanket]],Table_NFI[[#This Row],[Blanket]])</f>
        <v>0</v>
      </c>
      <c r="AE64" s="264">
        <f>IF(NFI_Expiration=1,IF($A64&lt;VLOOKUP(N$5,NFI,5,0),1,0)*Table_NFI[[#This Row],[Kitchen Set]],Table_NFI[Kitchen Set])</f>
        <v>0</v>
      </c>
      <c r="AF64" s="264">
        <f>IF(NFI_Expiration=1,IF($A64&lt;VLOOKUP(O$5,NFI,5,0),1,0)*Table_NFI[[#This Row],[Clothes Kit]],Table_NFI[Clothes Kit])</f>
        <v>0</v>
      </c>
      <c r="AG64" s="264">
        <f>IF(NFI_Expiration=1,IF($A64&lt;VLOOKUP(P$5,NFI,5,0),1,0)*Table_NFI[[#This Row],[Plastic Bucket]],Table_NFI[Plastic Bucket])</f>
        <v>15</v>
      </c>
      <c r="AH64" s="264">
        <f>IF(NFI_Expiration=1,IF($A64&lt;VLOOKUP(Q$5,NFI,5,0),1,0)*Table_NFI[[#This Row],[Plastic Mat]],Table_NFI[Plastic Mat])*IF(Table_NFI[[#This Row],[Distribution Date]]&gt;"2014-04-01",1,2.5)</f>
        <v>0</v>
      </c>
      <c r="AI64" s="264">
        <f>IF(NFI_Expiration=1,IF($A64&lt;VLOOKUP(R$5,NFI,5,0),1,0)*Table_NFI[[#This Row],[Winter Clothes Adult]],Table_NFI[Winter Clothes Adult])</f>
        <v>0</v>
      </c>
      <c r="AJ64" s="264">
        <f>IF(NFI_Expiration=1,IF($A64&lt;VLOOKUP(S$5,NFI,5,0),1,0)*Table_NFI[[#This Row],[Winter Clothes Children]],Table_NFI[Winter Clothes Children])</f>
        <v>0</v>
      </c>
      <c r="AK64" s="264">
        <f>IF(NFI_Expiration=1,IF($A64&lt;VLOOKUP(T$5,NFI,5,0),1,0)*Table_NFI[[#This Row],[Winter Items Other]],Table_NFI[Winter Items Other])</f>
        <v>0</v>
      </c>
      <c r="AL64" s="264">
        <f>IF(NFI_Expiration=1,IF($A64&lt;VLOOKUP(M$5,NFI,5,0),1,0)*Table_NFI[[#This Row],[Winter Blanket]],Table_NFI[[#This Row],[Winter Blanket]])</f>
        <v>0</v>
      </c>
      <c r="AM64" s="264">
        <f>IF(Table_NFI[[#This Row],[Winter Clothes Adult]]+Table_NFI[[#This Row],[Winter Clothes Children]]+Table_NFI[[#This Row],[Winter Items Other]]+Table_NFI[[#This Row],[Winter Blanket]]&gt;0,1,0)</f>
        <v>0</v>
      </c>
      <c r="AN64" s="296">
        <f>IF(NFI_Expiration=1,IF($A64&lt;VLOOKUP(V$5,NFI,5,0),1,0)*Table_NFI[[#This Row],[Jerry Can]],Table_NFI[Jerry Can])</f>
        <v>15</v>
      </c>
      <c r="AO64" s="296">
        <f>IF(NFI_Expiration=1,IF($A64&lt;VLOOKUP(V$5,NFI,5,0),1,0)*Table_NFI[[#This Row],[Shelter Tool kit]],Table_NFI[Shelter Tool kit])</f>
        <v>0</v>
      </c>
      <c r="AP64" s="296">
        <f>IF(NFI_Expiration=1,IF($A64&lt;VLOOKUP(V$5,NFI,5,0),1,0)*Table_NFI[[#This Row],[Tent]],Table_NFI[Tent])</f>
        <v>0</v>
      </c>
      <c r="AQ64" s="396" t="str">
        <f>IFERROR(VLOOKUP(Table_NFI[[#This Row],[Camp Name]],CL,2,0),"")</f>
        <v>MMR001CMP218</v>
      </c>
      <c r="AR64" s="711">
        <f ca="1">IF(Table_NFI[[#This Row],[Pcode]]="","",IF(OFFSET(CampList[Opening Date],MATCH(Table_NFI[[#This Row],[Pcode]],CampList[CP_Pcode],0)-1,0,1,1)&gt;=NFI_Monitor_Date,1,0))</f>
        <v>0</v>
      </c>
      <c r="AS64" s="396" t="str">
        <f>IFERROR(VLOOKUP(Table_NFI[[#This Row],[Camp Name]],CL,3,0),"")</f>
        <v>Open</v>
      </c>
      <c r="AT64" s="264" t="str">
        <f ca="1">IF(Table_NFI[[#This Row],[Pcode]]="","",OFFSET(CampList[Priority],MATCH(Table_NFI[[#This Row],[Pcode]],CampList[CP_Pcode],0)-1,0,1,1))</f>
        <v>P4</v>
      </c>
      <c r="AU64" s="263">
        <f>IFERROR(Table_NFI[[#This Row],[Kitchen Set]]/VLOOKUP(Table_NFI[[#This Row],[Camp Name]],CL,4,0),"")</f>
        <v>0</v>
      </c>
      <c r="AV64" s="390"/>
      <c r="AW64" s="392" t="s">
        <v>1559</v>
      </c>
      <c r="AX64" s="399"/>
      <c r="AY64" s="399"/>
      <c r="AZ64" s="399"/>
      <c r="BA64" s="399"/>
      <c r="BB64" s="399"/>
      <c r="BC64" s="399"/>
      <c r="BD64" s="399"/>
      <c r="BE64" s="399"/>
      <c r="BF64" s="399"/>
      <c r="BG64" s="399"/>
      <c r="BH64" s="399"/>
      <c r="BI64" s="399"/>
      <c r="BJ64" s="399"/>
      <c r="BK64" s="399"/>
      <c r="BL64" s="399"/>
      <c r="BM64" s="399"/>
      <c r="BN64" s="399"/>
      <c r="BO64" s="399"/>
      <c r="BP64" s="399"/>
      <c r="BQ64" s="399"/>
      <c r="BR64" s="399"/>
      <c r="BS64" s="399"/>
      <c r="BT64" s="399"/>
      <c r="BU64" s="399"/>
      <c r="BV64" s="399"/>
      <c r="BW64" s="399"/>
      <c r="BX64" s="399"/>
      <c r="BY64" s="399"/>
      <c r="BZ64" s="399"/>
      <c r="CA64" s="399"/>
      <c r="CB64" s="399"/>
      <c r="CC64" s="399"/>
      <c r="CD64" s="399"/>
      <c r="CE64" s="399"/>
      <c r="CF64" s="399"/>
      <c r="CG64" s="399"/>
      <c r="CH64" s="399"/>
      <c r="CI64" s="399"/>
      <c r="CJ64" s="399"/>
      <c r="CK64" s="399"/>
      <c r="CL64" s="399"/>
      <c r="CM64" s="399"/>
      <c r="CN64" s="399"/>
      <c r="CO64" s="399"/>
      <c r="CP64" s="399"/>
      <c r="CQ64" s="399"/>
      <c r="CR64" s="399"/>
      <c r="CS64" s="399"/>
      <c r="CT64" s="399"/>
      <c r="CU64" s="399"/>
      <c r="CV64" s="399"/>
      <c r="CW64" s="399"/>
      <c r="CX64" s="399"/>
      <c r="CY64" s="399"/>
      <c r="CZ64" s="399"/>
      <c r="DA64" s="399"/>
      <c r="DB64" s="399"/>
      <c r="DC64" s="399"/>
      <c r="DD64" s="399"/>
      <c r="DE64" s="399"/>
      <c r="DF64" s="399"/>
      <c r="DG64" s="399"/>
      <c r="DH64" s="399"/>
      <c r="DI64" s="399"/>
      <c r="DJ64" s="399"/>
      <c r="DK64" s="399"/>
      <c r="DL64" s="399"/>
      <c r="DM64" s="399"/>
      <c r="DN64" s="399"/>
      <c r="DO64" s="399"/>
      <c r="DP64" s="399"/>
      <c r="DQ64" s="399"/>
    </row>
    <row r="65" spans="1:121" s="393" customFormat="1" ht="14.45" customHeight="1" x14ac:dyDescent="0.25">
      <c r="A65" s="266">
        <f t="shared" si="0"/>
        <v>3.7</v>
      </c>
      <c r="B65" s="389">
        <v>42745</v>
      </c>
      <c r="C65" s="394" t="s">
        <v>451</v>
      </c>
      <c r="D65" s="394" t="s">
        <v>1340</v>
      </c>
      <c r="E65" s="394" t="s">
        <v>380</v>
      </c>
      <c r="F65" s="394" t="s">
        <v>237</v>
      </c>
      <c r="G65" s="394" t="s">
        <v>255</v>
      </c>
      <c r="H65" s="261"/>
      <c r="I65" s="261">
        <v>1</v>
      </c>
      <c r="J65" s="261">
        <v>1</v>
      </c>
      <c r="K65" s="261">
        <v>4</v>
      </c>
      <c r="L65" s="261">
        <v>1</v>
      </c>
      <c r="M65" s="261">
        <v>4</v>
      </c>
      <c r="N65" s="261">
        <v>1</v>
      </c>
      <c r="O65" s="261"/>
      <c r="P65" s="261">
        <v>1</v>
      </c>
      <c r="Q65" s="261">
        <v>4</v>
      </c>
      <c r="R65" s="261"/>
      <c r="S65" s="261"/>
      <c r="T65" s="261"/>
      <c r="U65" s="261"/>
      <c r="V65" s="762">
        <v>1</v>
      </c>
      <c r="W65" s="261"/>
      <c r="X65" s="261"/>
      <c r="Y65" s="264"/>
      <c r="Z65" s="264"/>
      <c r="AA65" s="264"/>
      <c r="AB65" s="264"/>
      <c r="AC65" s="264"/>
      <c r="AD65" s="264"/>
      <c r="AE65" s="264"/>
      <c r="AF65" s="264"/>
      <c r="AG65" s="264"/>
      <c r="AH65" s="264"/>
      <c r="AI65" s="264"/>
      <c r="AJ65" s="264"/>
      <c r="AK65" s="264"/>
      <c r="AL65" s="264"/>
      <c r="AM65" s="264"/>
      <c r="AN65" s="296"/>
      <c r="AO65" s="296"/>
      <c r="AP65" s="296"/>
      <c r="AQ65" s="396" t="str">
        <f>IFERROR(VLOOKUP(Table_NFI[[#This Row],[Camp Name]],CL,2,0),"")</f>
        <v>MMR001CMP019</v>
      </c>
      <c r="AR65" s="702"/>
      <c r="AS65" s="396" t="str">
        <f>IFERROR(VLOOKUP(Table_NFI[[#This Row],[Camp Name]],CL,3,0),"")</f>
        <v>Open</v>
      </c>
      <c r="AT65" s="264" t="str">
        <f ca="1">IF(Table_NFI[[#This Row],[Pcode]]="","",OFFSET(CampList[Priority],MATCH(Table_NFI[[#This Row],[Pcode]],CampList[CP_Pcode],0)-1,0,1,1))</f>
        <v>P4</v>
      </c>
      <c r="AU65" s="263">
        <f>IFERROR(Table_NFI[[#This Row],[Kitchen Set]]/VLOOKUP(Table_NFI[[#This Row],[Camp Name]],CL,4,0),"")</f>
        <v>2.4554941682013504E-5</v>
      </c>
      <c r="AV65" s="390"/>
      <c r="AW65" s="397" t="s">
        <v>1530</v>
      </c>
      <c r="AX65" s="399"/>
      <c r="AY65" s="399"/>
      <c r="AZ65" s="399"/>
      <c r="BA65" s="399"/>
      <c r="BB65" s="399"/>
      <c r="BC65" s="399"/>
      <c r="BD65" s="399"/>
      <c r="BE65" s="399"/>
      <c r="BF65" s="399"/>
      <c r="BG65" s="399"/>
      <c r="BH65" s="399"/>
      <c r="BI65" s="399"/>
      <c r="BJ65" s="399"/>
      <c r="BK65" s="399"/>
      <c r="BL65" s="399"/>
      <c r="BM65" s="399"/>
      <c r="BN65" s="399"/>
      <c r="BO65" s="399"/>
      <c r="BP65" s="399"/>
      <c r="BQ65" s="399"/>
      <c r="BR65" s="399"/>
      <c r="BS65" s="399"/>
      <c r="BT65" s="399"/>
      <c r="BU65" s="399"/>
      <c r="BV65" s="399"/>
      <c r="BW65" s="399"/>
      <c r="BX65" s="399"/>
      <c r="BY65" s="399"/>
      <c r="BZ65" s="399"/>
      <c r="CA65" s="399"/>
      <c r="CB65" s="399"/>
      <c r="CC65" s="399"/>
      <c r="CD65" s="399"/>
      <c r="CE65" s="399"/>
      <c r="CF65" s="399"/>
      <c r="CG65" s="399"/>
      <c r="CH65" s="399"/>
      <c r="CI65" s="399"/>
      <c r="CJ65" s="399"/>
      <c r="CK65" s="399"/>
      <c r="CL65" s="399"/>
      <c r="CM65" s="399"/>
      <c r="CN65" s="399"/>
      <c r="CO65" s="399"/>
      <c r="CP65" s="399"/>
      <c r="CQ65" s="399"/>
      <c r="CR65" s="399"/>
      <c r="CS65" s="399"/>
      <c r="CT65" s="399"/>
      <c r="CU65" s="399"/>
      <c r="CV65" s="399"/>
      <c r="CW65" s="399"/>
      <c r="CX65" s="399"/>
      <c r="CY65" s="399"/>
      <c r="CZ65" s="399"/>
      <c r="DA65" s="399"/>
      <c r="DB65" s="399"/>
      <c r="DC65" s="399"/>
      <c r="DD65" s="399"/>
      <c r="DE65" s="399"/>
      <c r="DF65" s="399"/>
      <c r="DG65" s="399"/>
      <c r="DH65" s="399"/>
      <c r="DI65" s="399"/>
      <c r="DJ65" s="399"/>
      <c r="DK65" s="399"/>
      <c r="DL65" s="399"/>
      <c r="DM65" s="399"/>
      <c r="DN65" s="399"/>
      <c r="DO65" s="399"/>
      <c r="DP65" s="399"/>
      <c r="DQ65" s="399"/>
    </row>
    <row r="66" spans="1:121" s="760" customFormat="1" ht="15" customHeight="1" x14ac:dyDescent="0.25">
      <c r="A66" s="266">
        <f t="shared" si="0"/>
        <v>3.7</v>
      </c>
      <c r="B66" s="389">
        <v>42745</v>
      </c>
      <c r="C66" s="394" t="s">
        <v>451</v>
      </c>
      <c r="D66" s="394" t="s">
        <v>1340</v>
      </c>
      <c r="E66" s="394" t="s">
        <v>380</v>
      </c>
      <c r="F66" s="394" t="s">
        <v>310</v>
      </c>
      <c r="G66" s="394" t="s">
        <v>330</v>
      </c>
      <c r="H66" s="261"/>
      <c r="I66" s="261">
        <v>6</v>
      </c>
      <c r="J66" s="261">
        <v>6</v>
      </c>
      <c r="K66" s="261">
        <v>10</v>
      </c>
      <c r="L66" s="261">
        <v>6</v>
      </c>
      <c r="M66" s="261">
        <v>18</v>
      </c>
      <c r="N66" s="261">
        <v>6</v>
      </c>
      <c r="O66" s="261"/>
      <c r="P66" s="261">
        <v>6</v>
      </c>
      <c r="Q66" s="261">
        <v>17</v>
      </c>
      <c r="R66" s="261"/>
      <c r="S66" s="261"/>
      <c r="T66" s="261"/>
      <c r="U66" s="261"/>
      <c r="V66" s="762">
        <v>6</v>
      </c>
      <c r="W66" s="261"/>
      <c r="X66" s="261"/>
      <c r="Y66" s="264"/>
      <c r="Z66" s="264"/>
      <c r="AA66" s="264"/>
      <c r="AB66" s="264"/>
      <c r="AC66" s="264"/>
      <c r="AD66" s="264"/>
      <c r="AE66" s="264"/>
      <c r="AF66" s="264"/>
      <c r="AG66" s="264"/>
      <c r="AH66" s="264"/>
      <c r="AI66" s="264"/>
      <c r="AJ66" s="264"/>
      <c r="AK66" s="264"/>
      <c r="AL66" s="264"/>
      <c r="AM66" s="264"/>
      <c r="AN66" s="296"/>
      <c r="AO66" s="296"/>
      <c r="AP66" s="296"/>
      <c r="AQ66" s="396" t="str">
        <f>IFERROR(VLOOKUP(Table_NFI[[#This Row],[Camp Name]],CL,2,0),"")</f>
        <v>MMR001CMP029</v>
      </c>
      <c r="AR66" s="702"/>
      <c r="AS66" s="396" t="str">
        <f>IFERROR(VLOOKUP(Table_NFI[[#This Row],[Camp Name]],CL,3,0),"")</f>
        <v>Open</v>
      </c>
      <c r="AT66" s="264" t="str">
        <f ca="1">IF(Table_NFI[[#This Row],[Pcode]]="","",OFFSET(CampList[Priority],MATCH(Table_NFI[[#This Row],[Pcode]],CampList[CP_Pcode],0)-1,0,1,1))</f>
        <v>P4</v>
      </c>
      <c r="AU66" s="263">
        <f>IFERROR(Table_NFI[[#This Row],[Kitchen Set]]/VLOOKUP(Table_NFI[[#This Row],[Camp Name]],CL,4,0),"")</f>
        <v>1.4483657606334185E-4</v>
      </c>
      <c r="AV66" s="390"/>
      <c r="AW66" s="397" t="s">
        <v>1530</v>
      </c>
      <c r="AX66" s="399"/>
      <c r="AY66" s="399"/>
      <c r="AZ66" s="399"/>
      <c r="BA66" s="399"/>
      <c r="BB66" s="399"/>
      <c r="BC66" s="399"/>
      <c r="BD66" s="399"/>
      <c r="BE66" s="399"/>
      <c r="BF66" s="399"/>
      <c r="BG66" s="399"/>
      <c r="BH66" s="399"/>
      <c r="BI66" s="399"/>
      <c r="BJ66" s="399"/>
      <c r="BK66" s="399"/>
      <c r="BL66" s="399"/>
      <c r="BM66" s="399"/>
      <c r="BN66" s="399"/>
      <c r="BO66" s="399"/>
      <c r="BP66" s="399"/>
      <c r="BQ66" s="399"/>
      <c r="BR66" s="399"/>
      <c r="BS66" s="399"/>
      <c r="BT66" s="399"/>
      <c r="BU66" s="399"/>
      <c r="BV66" s="399"/>
      <c r="BW66" s="399"/>
      <c r="BX66" s="399"/>
      <c r="BY66" s="399"/>
      <c r="BZ66" s="399"/>
      <c r="CA66" s="399"/>
      <c r="CB66" s="399"/>
      <c r="CC66" s="399"/>
      <c r="CD66" s="399"/>
      <c r="CE66" s="399"/>
      <c r="CF66" s="399"/>
      <c r="CG66" s="399"/>
      <c r="CH66" s="399"/>
      <c r="CI66" s="399"/>
      <c r="CJ66" s="399"/>
      <c r="CK66" s="399"/>
      <c r="CL66" s="399"/>
      <c r="CM66" s="399"/>
      <c r="CN66" s="399"/>
      <c r="CO66" s="399"/>
      <c r="CP66" s="399"/>
      <c r="CQ66" s="399"/>
      <c r="CR66" s="399"/>
      <c r="CS66" s="399"/>
      <c r="CT66" s="399"/>
      <c r="CU66" s="399"/>
      <c r="CV66" s="399"/>
      <c r="CW66" s="399"/>
      <c r="CX66" s="399"/>
      <c r="CY66" s="399"/>
      <c r="CZ66" s="399"/>
      <c r="DA66" s="399"/>
      <c r="DB66" s="399"/>
      <c r="DC66" s="399"/>
      <c r="DD66" s="399"/>
      <c r="DE66" s="399"/>
      <c r="DF66" s="399"/>
      <c r="DG66" s="399"/>
      <c r="DH66" s="399"/>
      <c r="DI66" s="399"/>
      <c r="DJ66" s="399"/>
      <c r="DK66" s="399"/>
      <c r="DL66" s="399"/>
      <c r="DM66" s="399"/>
      <c r="DN66" s="399"/>
      <c r="DO66" s="399"/>
      <c r="DP66" s="399"/>
      <c r="DQ66" s="399"/>
    </row>
    <row r="67" spans="1:121" s="759" customFormat="1" ht="15" customHeight="1" x14ac:dyDescent="0.25">
      <c r="A67" s="266">
        <f t="shared" si="0"/>
        <v>3.9666666666666668</v>
      </c>
      <c r="B67" s="389">
        <v>42737</v>
      </c>
      <c r="C67" s="394" t="s">
        <v>451</v>
      </c>
      <c r="D67" s="394" t="s">
        <v>459</v>
      </c>
      <c r="E67" s="394" t="s">
        <v>380</v>
      </c>
      <c r="F67" s="394" t="s">
        <v>310</v>
      </c>
      <c r="G67" s="394" t="s">
        <v>324</v>
      </c>
      <c r="H67" s="261"/>
      <c r="I67" s="261"/>
      <c r="J67" s="261"/>
      <c r="K67" s="261"/>
      <c r="L67" s="261"/>
      <c r="M67" s="261"/>
      <c r="N67" s="261"/>
      <c r="O67" s="261"/>
      <c r="P67" s="261"/>
      <c r="Q67" s="261"/>
      <c r="R67" s="261"/>
      <c r="S67" s="261"/>
      <c r="T67" s="261"/>
      <c r="U67" s="261"/>
      <c r="V67" s="762"/>
      <c r="W67" s="261"/>
      <c r="X67" s="261">
        <v>17</v>
      </c>
      <c r="Y67" s="264">
        <f>IF(NFI_Expiration=1,IF($A67&lt;VLOOKUP(H$5,NFI,5,0),1,0)*Table_NFI[[#This Row],[Hygiene Kit]],Table_NFI[Hygiene Kit])</f>
        <v>0</v>
      </c>
      <c r="Z67" s="264">
        <f>IF(NFI_Expiration=1,IF($A67&lt;VLOOKUP(I$5,NFI,5,0),1,0)*Table_NFI[[#This Row],[NFI Core Kit]],Table_NFI[NFI Core Kit])</f>
        <v>0</v>
      </c>
      <c r="AA67" s="264">
        <f>IF(NFI_Expiration=1,IF($A67&lt;VLOOKUP(J$5,NFI,5,0),1,0)*Table_NFI[[#This Row],[Sanitary Kit]],Table_NFI[Sanitary Kit])</f>
        <v>0</v>
      </c>
      <c r="AB67" s="264">
        <f>IF(NFI_Expiration=1,IF($A67&lt;VLOOKUP(K$5,NFI,5,0),1,0)*Table_NFI[[#This Row],[Mosquito net]],Table_NFI[Mosquito net])</f>
        <v>0</v>
      </c>
      <c r="AC67" s="264">
        <f>IF(NFI_Expiration=1,IF($A67&lt;VLOOKUP(L$5,NFI,5,0),1,0)*Table_NFI[[#This Row],[Tarpaulin]],Table_NFI[[#This Row],[Tarpaulin]])</f>
        <v>0</v>
      </c>
      <c r="AD67" s="264">
        <f>IF(NFI_Expiration=1,IF($A67&lt;VLOOKUP(M$5,NFI,5,0),1,0)*Table_NFI[[#This Row],[Blanket]],Table_NFI[[#This Row],[Blanket]])</f>
        <v>0</v>
      </c>
      <c r="AE67" s="264">
        <f>IF(NFI_Expiration=1,IF($A67&lt;VLOOKUP(N$5,NFI,5,0),1,0)*Table_NFI[[#This Row],[Kitchen Set]],Table_NFI[Kitchen Set])</f>
        <v>0</v>
      </c>
      <c r="AF67" s="264">
        <f>IF(NFI_Expiration=1,IF($A67&lt;VLOOKUP(O$5,NFI,5,0),1,0)*Table_NFI[[#This Row],[Clothes Kit]],Table_NFI[Clothes Kit])</f>
        <v>0</v>
      </c>
      <c r="AG67" s="264">
        <f>IF(NFI_Expiration=1,IF($A67&lt;VLOOKUP(P$5,NFI,5,0),1,0)*Table_NFI[[#This Row],[Plastic Bucket]],Table_NFI[Plastic Bucket])</f>
        <v>0</v>
      </c>
      <c r="AH67" s="264">
        <f>IF(NFI_Expiration=1,IF($A67&lt;VLOOKUP(Q$5,NFI,5,0),1,0)*Table_NFI[[#This Row],[Plastic Mat]],Table_NFI[Plastic Mat])*IF(Table_NFI[[#This Row],[Distribution Date]]&gt;"2014-04-01",1,2.5)</f>
        <v>0</v>
      </c>
      <c r="AI67" s="264">
        <f>IF(NFI_Expiration=1,IF($A67&lt;VLOOKUP(R$5,NFI,5,0),1,0)*Table_NFI[[#This Row],[Winter Clothes Adult]],Table_NFI[Winter Clothes Adult])</f>
        <v>0</v>
      </c>
      <c r="AJ67" s="264">
        <f>IF(NFI_Expiration=1,IF($A67&lt;VLOOKUP(S$5,NFI,5,0),1,0)*Table_NFI[[#This Row],[Winter Clothes Children]],Table_NFI[Winter Clothes Children])</f>
        <v>0</v>
      </c>
      <c r="AK67" s="264">
        <f>IF(NFI_Expiration=1,IF($A67&lt;VLOOKUP(T$5,NFI,5,0),1,0)*Table_NFI[[#This Row],[Winter Items Other]],Table_NFI[Winter Items Other])</f>
        <v>0</v>
      </c>
      <c r="AL67" s="264">
        <f>IF(NFI_Expiration=1,IF($A67&lt;VLOOKUP(M$5,NFI,5,0),1,0)*Table_NFI[[#This Row],[Winter Blanket]],Table_NFI[[#This Row],[Winter Blanket]])</f>
        <v>0</v>
      </c>
      <c r="AM67" s="264">
        <f>IF(Table_NFI[[#This Row],[Winter Clothes Adult]]+Table_NFI[[#This Row],[Winter Clothes Children]]+Table_NFI[[#This Row],[Winter Items Other]]+Table_NFI[[#This Row],[Winter Blanket]]&gt;0,1,0)</f>
        <v>0</v>
      </c>
      <c r="AN67" s="296">
        <f>IF(NFI_Expiration=1,IF($A67&lt;VLOOKUP(V$5,NFI,5,0),1,0)*Table_NFI[[#This Row],[Jerry Can]],Table_NFI[Jerry Can])</f>
        <v>0</v>
      </c>
      <c r="AO67" s="296">
        <f>IF(NFI_Expiration=1,IF($A67&lt;VLOOKUP(V$5,NFI,5,0),1,0)*Table_NFI[[#This Row],[Shelter Tool kit]],Table_NFI[Shelter Tool kit])</f>
        <v>0</v>
      </c>
      <c r="AP67" s="296">
        <f>IF(NFI_Expiration=1,IF($A67&lt;VLOOKUP(V$5,NFI,5,0),1,0)*Table_NFI[[#This Row],[Tent]],Table_NFI[Tent])</f>
        <v>17</v>
      </c>
      <c r="AQ67" s="396" t="str">
        <f>IFERROR(VLOOKUP(Table_NFI[[#This Row],[Camp Name]],CL,2,0),"")</f>
        <v>MMR001CMP040</v>
      </c>
      <c r="AR67" s="711">
        <f ca="1">IF(Table_NFI[[#This Row],[Pcode]]="","",IF(OFFSET(CampList[Opening Date],MATCH(Table_NFI[[#This Row],[Pcode]],CampList[CP_Pcode],0)-1,0,1,1)&gt;=NFI_Monitor_Date,1,0))</f>
        <v>0</v>
      </c>
      <c r="AS67" s="396" t="str">
        <f>IFERROR(VLOOKUP(Table_NFI[[#This Row],[Camp Name]],CL,3,0),"")</f>
        <v>Open</v>
      </c>
      <c r="AT67" s="264" t="str">
        <f ca="1">IF(Table_NFI[[#This Row],[Pcode]]="","",OFFSET(CampList[Priority],MATCH(Table_NFI[[#This Row],[Pcode]],CampList[CP_Pcode],0)-1,0,1,1))</f>
        <v>P4</v>
      </c>
      <c r="AU67" s="263">
        <f>IFERROR(Table_NFI[[#This Row],[Kitchen Set]]/VLOOKUP(Table_NFI[[#This Row],[Camp Name]],CL,4,0),"")</f>
        <v>0</v>
      </c>
      <c r="AV67" s="390"/>
      <c r="AW67" s="397" t="s">
        <v>1530</v>
      </c>
      <c r="AX67" s="402"/>
      <c r="AY67" s="402"/>
      <c r="AZ67" s="402"/>
      <c r="BA67" s="402"/>
      <c r="BB67" s="402"/>
      <c r="BC67" s="402"/>
      <c r="BD67" s="402"/>
      <c r="BE67" s="402"/>
      <c r="BF67" s="402"/>
      <c r="BG67" s="402"/>
      <c r="BH67" s="402"/>
      <c r="BI67" s="402"/>
      <c r="BJ67" s="402"/>
      <c r="BK67" s="402"/>
      <c r="BL67" s="402"/>
      <c r="BM67" s="402"/>
      <c r="BN67" s="402"/>
      <c r="BO67" s="402"/>
      <c r="BP67" s="402"/>
      <c r="BQ67" s="402"/>
      <c r="BR67" s="402"/>
      <c r="BS67" s="402"/>
      <c r="BT67" s="402"/>
      <c r="BU67" s="402"/>
      <c r="BV67" s="402"/>
      <c r="BW67" s="402"/>
      <c r="BX67" s="402"/>
      <c r="BY67" s="402"/>
      <c r="BZ67" s="402"/>
      <c r="CA67" s="402"/>
      <c r="CB67" s="402"/>
      <c r="CC67" s="402"/>
      <c r="CD67" s="402"/>
      <c r="CE67" s="402"/>
      <c r="CF67" s="402"/>
      <c r="CG67" s="402"/>
      <c r="CH67" s="402"/>
      <c r="CI67" s="402"/>
      <c r="CJ67" s="402"/>
      <c r="CK67" s="402"/>
      <c r="CL67" s="402"/>
      <c r="CM67" s="402"/>
      <c r="CN67" s="402"/>
      <c r="CO67" s="402"/>
      <c r="CP67" s="402"/>
      <c r="CQ67" s="402"/>
      <c r="CR67" s="402"/>
      <c r="CS67" s="402"/>
      <c r="CT67" s="402"/>
      <c r="CU67" s="402"/>
      <c r="CV67" s="402"/>
      <c r="CW67" s="402"/>
      <c r="CX67" s="402"/>
      <c r="CY67" s="402"/>
      <c r="CZ67" s="402"/>
      <c r="DA67" s="402"/>
      <c r="DB67" s="402"/>
      <c r="DC67" s="402"/>
      <c r="DD67" s="402"/>
      <c r="DE67" s="402"/>
      <c r="DF67" s="402"/>
      <c r="DG67" s="402"/>
      <c r="DH67" s="402"/>
      <c r="DI67" s="402"/>
      <c r="DJ67" s="402"/>
      <c r="DK67" s="402"/>
      <c r="DL67" s="402"/>
      <c r="DM67" s="402"/>
      <c r="DN67" s="402"/>
      <c r="DO67" s="402"/>
      <c r="DP67" s="402"/>
      <c r="DQ67" s="402"/>
    </row>
    <row r="68" spans="1:121" s="760" customFormat="1" ht="14.45" customHeight="1" x14ac:dyDescent="0.25">
      <c r="A68" s="266">
        <f t="shared" si="0"/>
        <v>5.0666666666666664</v>
      </c>
      <c r="B68" s="389">
        <v>42704</v>
      </c>
      <c r="C68" s="394" t="s">
        <v>904</v>
      </c>
      <c r="D68" s="394" t="s">
        <v>904</v>
      </c>
      <c r="E68" s="394" t="s">
        <v>380</v>
      </c>
      <c r="F68" s="394" t="s">
        <v>5</v>
      </c>
      <c r="G68" s="394" t="s">
        <v>366</v>
      </c>
      <c r="H68" s="261"/>
      <c r="I68" s="261"/>
      <c r="J68" s="261"/>
      <c r="K68" s="261"/>
      <c r="L68" s="261"/>
      <c r="M68" s="261"/>
      <c r="N68" s="261"/>
      <c r="O68" s="261"/>
      <c r="P68" s="261"/>
      <c r="Q68" s="261"/>
      <c r="R68" s="261"/>
      <c r="S68" s="261"/>
      <c r="T68" s="261"/>
      <c r="U68" s="261"/>
      <c r="V68" s="762">
        <v>2</v>
      </c>
      <c r="W68" s="261"/>
      <c r="X68" s="261"/>
      <c r="Y68" s="264">
        <f>IF(NFI_Expiration=1,IF($A68&lt;VLOOKUP(H$5,NFI,5,0),1,0)*Table_NFI[[#This Row],[Hygiene Kit]],Table_NFI[Hygiene Kit])</f>
        <v>0</v>
      </c>
      <c r="Z68" s="264">
        <f>IF(NFI_Expiration=1,IF($A68&lt;VLOOKUP(I$5,NFI,5,0),1,0)*Table_NFI[[#This Row],[NFI Core Kit]],Table_NFI[NFI Core Kit])</f>
        <v>0</v>
      </c>
      <c r="AA68" s="264">
        <f>IF(NFI_Expiration=1,IF($A68&lt;VLOOKUP(J$5,NFI,5,0),1,0)*Table_NFI[[#This Row],[Sanitary Kit]],Table_NFI[Sanitary Kit])</f>
        <v>0</v>
      </c>
      <c r="AB68" s="264">
        <f>IF(NFI_Expiration=1,IF($A68&lt;VLOOKUP(K$5,NFI,5,0),1,0)*Table_NFI[[#This Row],[Mosquito net]],Table_NFI[Mosquito net])</f>
        <v>0</v>
      </c>
      <c r="AC68" s="264">
        <f>IF(NFI_Expiration=1,IF($A68&lt;VLOOKUP(L$5,NFI,5,0),1,0)*Table_NFI[[#This Row],[Tarpaulin]],Table_NFI[[#This Row],[Tarpaulin]])</f>
        <v>0</v>
      </c>
      <c r="AD68" s="264">
        <f>IF(NFI_Expiration=1,IF($A68&lt;VLOOKUP(M$5,NFI,5,0),1,0)*Table_NFI[[#This Row],[Blanket]],Table_NFI[[#This Row],[Blanket]])</f>
        <v>0</v>
      </c>
      <c r="AE68" s="264">
        <f>IF(NFI_Expiration=1,IF($A68&lt;VLOOKUP(N$5,NFI,5,0),1,0)*Table_NFI[[#This Row],[Kitchen Set]],Table_NFI[Kitchen Set])</f>
        <v>0</v>
      </c>
      <c r="AF68" s="264">
        <f>IF(NFI_Expiration=1,IF($A68&lt;VLOOKUP(O$5,NFI,5,0),1,0)*Table_NFI[[#This Row],[Clothes Kit]],Table_NFI[Clothes Kit])</f>
        <v>0</v>
      </c>
      <c r="AG68" s="264">
        <f>IF(NFI_Expiration=1,IF($A68&lt;VLOOKUP(P$5,NFI,5,0),1,0)*Table_NFI[[#This Row],[Plastic Bucket]],Table_NFI[Plastic Bucket])</f>
        <v>0</v>
      </c>
      <c r="AH68" s="264">
        <f>IF(NFI_Expiration=1,IF($A68&lt;VLOOKUP(Q$5,NFI,5,0),1,0)*Table_NFI[[#This Row],[Plastic Mat]],Table_NFI[Plastic Mat])*IF(Table_NFI[[#This Row],[Distribution Date]]&gt;"2014-04-01",1,2.5)</f>
        <v>0</v>
      </c>
      <c r="AI68" s="264">
        <f>IF(NFI_Expiration=1,IF($A68&lt;VLOOKUP(R$5,NFI,5,0),1,0)*Table_NFI[[#This Row],[Winter Clothes Adult]],Table_NFI[Winter Clothes Adult])</f>
        <v>0</v>
      </c>
      <c r="AJ68" s="264">
        <f>IF(NFI_Expiration=1,IF($A68&lt;VLOOKUP(S$5,NFI,5,0),1,0)*Table_NFI[[#This Row],[Winter Clothes Children]],Table_NFI[Winter Clothes Children])</f>
        <v>0</v>
      </c>
      <c r="AK68" s="264">
        <f>IF(NFI_Expiration=1,IF($A68&lt;VLOOKUP(T$5,NFI,5,0),1,0)*Table_NFI[[#This Row],[Winter Items Other]],Table_NFI[Winter Items Other])</f>
        <v>0</v>
      </c>
      <c r="AL68" s="264">
        <f>IF(NFI_Expiration=1,IF($A68&lt;VLOOKUP(M$5,NFI,5,0),1,0)*Table_NFI[[#This Row],[Winter Blanket]],Table_NFI[[#This Row],[Winter Blanket]])</f>
        <v>0</v>
      </c>
      <c r="AM68" s="264">
        <f>IF(Table_NFI[[#This Row],[Winter Clothes Adult]]+Table_NFI[[#This Row],[Winter Clothes Children]]+Table_NFI[[#This Row],[Winter Items Other]]+Table_NFI[[#This Row],[Winter Blanket]]&gt;0,1,0)</f>
        <v>0</v>
      </c>
      <c r="AN68" s="296">
        <f>IF(NFI_Expiration=1,IF($A68&lt;VLOOKUP(V$5,NFI,5,0),1,0)*Table_NFI[[#This Row],[Jerry Can]],Table_NFI[Jerry Can])</f>
        <v>2</v>
      </c>
      <c r="AO68" s="296">
        <f>IF(NFI_Expiration=1,IF($A68&lt;VLOOKUP(V$5,NFI,5,0),1,0)*Table_NFI[[#This Row],[Shelter Tool kit]],Table_NFI[Shelter Tool kit])</f>
        <v>0</v>
      </c>
      <c r="AP68" s="296">
        <f>IF(NFI_Expiration=1,IF($A68&lt;VLOOKUP(V$5,NFI,5,0),1,0)*Table_NFI[[#This Row],[Tent]],Table_NFI[Tent])</f>
        <v>0</v>
      </c>
      <c r="AQ68" s="396" t="str">
        <f>IFERROR(VLOOKUP(Table_NFI[[#This Row],[Camp Name]],CL,2,0),"")</f>
        <v>MMR001CMP193</v>
      </c>
      <c r="AR68" s="702">
        <f ca="1">IF(Table_NFI[[#This Row],[Pcode]]="","",IF(OFFSET(CampList[Opening Date],MATCH(Table_NFI[[#This Row],[Pcode]],CampList[CP_Pcode],0)-1,0,1,1)&gt;=NFI_Monitor_Date,1,0))</f>
        <v>0</v>
      </c>
      <c r="AS68" s="396" t="str">
        <f>IFERROR(VLOOKUP(Table_NFI[[#This Row],[Camp Name]],CL,3,0),"")</f>
        <v>Open</v>
      </c>
      <c r="AT68" s="264" t="str">
        <f ca="1">IF(Table_NFI[[#This Row],[Pcode]]="","",OFFSET(CampList[Priority],MATCH(Table_NFI[[#This Row],[Pcode]],CampList[CP_Pcode],0)-1,0,1,1))</f>
        <v>P4</v>
      </c>
      <c r="AU68" s="263">
        <f>IFERROR(Table_NFI[[#This Row],[Kitchen Set]]/VLOOKUP(Table_NFI[[#This Row],[Camp Name]],CL,4,0),"")</f>
        <v>0</v>
      </c>
      <c r="AV68" s="390"/>
      <c r="AW68" s="397" t="s">
        <v>1447</v>
      </c>
      <c r="AX68" s="399"/>
      <c r="AY68" s="399"/>
      <c r="AZ68" s="399"/>
      <c r="BA68" s="399"/>
      <c r="BB68" s="399"/>
      <c r="BC68" s="399"/>
      <c r="BD68" s="399"/>
      <c r="BE68" s="399"/>
      <c r="BF68" s="399"/>
      <c r="BG68" s="399"/>
      <c r="BH68" s="399"/>
      <c r="BI68" s="399"/>
      <c r="BJ68" s="399"/>
      <c r="BK68" s="399"/>
      <c r="BL68" s="399"/>
      <c r="BM68" s="399"/>
      <c r="BN68" s="399"/>
      <c r="BO68" s="399"/>
      <c r="BP68" s="399"/>
      <c r="BQ68" s="399"/>
      <c r="BR68" s="399"/>
      <c r="BS68" s="399"/>
      <c r="BT68" s="399"/>
      <c r="BU68" s="399"/>
      <c r="BV68" s="399"/>
      <c r="BW68" s="399"/>
      <c r="BX68" s="399"/>
      <c r="BY68" s="399"/>
      <c r="BZ68" s="399"/>
      <c r="CA68" s="399"/>
      <c r="CB68" s="399"/>
      <c r="CC68" s="399"/>
      <c r="CD68" s="399"/>
      <c r="CE68" s="399"/>
      <c r="CF68" s="399"/>
      <c r="CG68" s="399"/>
      <c r="CH68" s="399"/>
      <c r="CI68" s="399"/>
      <c r="CJ68" s="399"/>
      <c r="CK68" s="399"/>
      <c r="CL68" s="399"/>
      <c r="CM68" s="399"/>
      <c r="CN68" s="399"/>
      <c r="CO68" s="399"/>
      <c r="CP68" s="399"/>
      <c r="CQ68" s="399"/>
      <c r="CR68" s="399"/>
      <c r="CS68" s="399"/>
      <c r="CT68" s="399"/>
      <c r="CU68" s="399"/>
      <c r="CV68" s="399"/>
      <c r="CW68" s="399"/>
      <c r="CX68" s="399"/>
      <c r="CY68" s="399"/>
      <c r="CZ68" s="399"/>
      <c r="DA68" s="399"/>
      <c r="DB68" s="399"/>
      <c r="DC68" s="399"/>
      <c r="DD68" s="399"/>
      <c r="DE68" s="399"/>
      <c r="DF68" s="399"/>
      <c r="DG68" s="399"/>
      <c r="DH68" s="399"/>
      <c r="DI68" s="399"/>
      <c r="DJ68" s="399"/>
      <c r="DK68" s="399"/>
      <c r="DL68" s="399"/>
      <c r="DM68" s="399"/>
      <c r="DN68" s="399"/>
      <c r="DO68" s="399"/>
      <c r="DP68" s="399"/>
      <c r="DQ68" s="399"/>
    </row>
    <row r="69" spans="1:121" s="760" customFormat="1" ht="14.45" customHeight="1" x14ac:dyDescent="0.25">
      <c r="A69" s="266">
        <f t="shared" si="0"/>
        <v>5.0666666666666664</v>
      </c>
      <c r="B69" s="389">
        <v>42704</v>
      </c>
      <c r="C69" s="394" t="s">
        <v>904</v>
      </c>
      <c r="D69" s="394" t="s">
        <v>904</v>
      </c>
      <c r="E69" s="394" t="s">
        <v>380</v>
      </c>
      <c r="F69" s="394" t="s">
        <v>5</v>
      </c>
      <c r="G69" s="394" t="s">
        <v>22</v>
      </c>
      <c r="H69" s="261"/>
      <c r="I69" s="261"/>
      <c r="J69" s="261"/>
      <c r="K69" s="261"/>
      <c r="L69" s="261"/>
      <c r="M69" s="261"/>
      <c r="N69" s="261"/>
      <c r="O69" s="261"/>
      <c r="P69" s="261"/>
      <c r="Q69" s="261"/>
      <c r="R69" s="261"/>
      <c r="S69" s="261"/>
      <c r="T69" s="261"/>
      <c r="U69" s="261"/>
      <c r="V69" s="762">
        <v>5</v>
      </c>
      <c r="W69" s="261"/>
      <c r="X69" s="261"/>
      <c r="Y69" s="264">
        <f>IF(NFI_Expiration=1,IF($A69&lt;VLOOKUP(H$5,NFI,5,0),1,0)*Table_NFI[[#This Row],[Hygiene Kit]],Table_NFI[Hygiene Kit])</f>
        <v>0</v>
      </c>
      <c r="Z69" s="264">
        <f>IF(NFI_Expiration=1,IF($A69&lt;VLOOKUP(I$5,NFI,5,0),1,0)*Table_NFI[[#This Row],[NFI Core Kit]],Table_NFI[NFI Core Kit])</f>
        <v>0</v>
      </c>
      <c r="AA69" s="264">
        <f>IF(NFI_Expiration=1,IF($A69&lt;VLOOKUP(J$5,NFI,5,0),1,0)*Table_NFI[[#This Row],[Sanitary Kit]],Table_NFI[Sanitary Kit])</f>
        <v>0</v>
      </c>
      <c r="AB69" s="264">
        <f>IF(NFI_Expiration=1,IF($A69&lt;VLOOKUP(K$5,NFI,5,0),1,0)*Table_NFI[[#This Row],[Mosquito net]],Table_NFI[Mosquito net])</f>
        <v>0</v>
      </c>
      <c r="AC69" s="264">
        <f>IF(NFI_Expiration=1,IF($A69&lt;VLOOKUP(L$5,NFI,5,0),1,0)*Table_NFI[[#This Row],[Tarpaulin]],Table_NFI[[#This Row],[Tarpaulin]])</f>
        <v>0</v>
      </c>
      <c r="AD69" s="264">
        <f>IF(NFI_Expiration=1,IF($A69&lt;VLOOKUP(M$5,NFI,5,0),1,0)*Table_NFI[[#This Row],[Blanket]],Table_NFI[[#This Row],[Blanket]])</f>
        <v>0</v>
      </c>
      <c r="AE69" s="264">
        <f>IF(NFI_Expiration=1,IF($A69&lt;VLOOKUP(N$5,NFI,5,0),1,0)*Table_NFI[[#This Row],[Kitchen Set]],Table_NFI[Kitchen Set])</f>
        <v>0</v>
      </c>
      <c r="AF69" s="264">
        <f>IF(NFI_Expiration=1,IF($A69&lt;VLOOKUP(O$5,NFI,5,0),1,0)*Table_NFI[[#This Row],[Clothes Kit]],Table_NFI[Clothes Kit])</f>
        <v>0</v>
      </c>
      <c r="AG69" s="264">
        <f>IF(NFI_Expiration=1,IF($A69&lt;VLOOKUP(P$5,NFI,5,0),1,0)*Table_NFI[[#This Row],[Plastic Bucket]],Table_NFI[Plastic Bucket])</f>
        <v>0</v>
      </c>
      <c r="AH69" s="264">
        <f>IF(NFI_Expiration=1,IF($A69&lt;VLOOKUP(Q$5,NFI,5,0),1,0)*Table_NFI[[#This Row],[Plastic Mat]],Table_NFI[Plastic Mat])*IF(Table_NFI[[#This Row],[Distribution Date]]&gt;"2014-04-01",1,2.5)</f>
        <v>0</v>
      </c>
      <c r="AI69" s="264">
        <f>IF(NFI_Expiration=1,IF($A69&lt;VLOOKUP(R$5,NFI,5,0),1,0)*Table_NFI[[#This Row],[Winter Clothes Adult]],Table_NFI[Winter Clothes Adult])</f>
        <v>0</v>
      </c>
      <c r="AJ69" s="264">
        <f>IF(NFI_Expiration=1,IF($A69&lt;VLOOKUP(S$5,NFI,5,0),1,0)*Table_NFI[[#This Row],[Winter Clothes Children]],Table_NFI[Winter Clothes Children])</f>
        <v>0</v>
      </c>
      <c r="AK69" s="264">
        <f>IF(NFI_Expiration=1,IF($A69&lt;VLOOKUP(T$5,NFI,5,0),1,0)*Table_NFI[[#This Row],[Winter Items Other]],Table_NFI[Winter Items Other])</f>
        <v>0</v>
      </c>
      <c r="AL69" s="264">
        <f>IF(NFI_Expiration=1,IF($A69&lt;VLOOKUP(M$5,NFI,5,0),1,0)*Table_NFI[[#This Row],[Winter Blanket]],Table_NFI[[#This Row],[Winter Blanket]])</f>
        <v>0</v>
      </c>
      <c r="AM69" s="264">
        <f>IF(Table_NFI[[#This Row],[Winter Clothes Adult]]+Table_NFI[[#This Row],[Winter Clothes Children]]+Table_NFI[[#This Row],[Winter Items Other]]+Table_NFI[[#This Row],[Winter Blanket]]&gt;0,1,0)</f>
        <v>0</v>
      </c>
      <c r="AN69" s="296">
        <f>IF(NFI_Expiration=1,IF($A69&lt;VLOOKUP(V$5,NFI,5,0),1,0)*Table_NFI[[#This Row],[Jerry Can]],Table_NFI[Jerry Can])</f>
        <v>5</v>
      </c>
      <c r="AO69" s="296">
        <f>IF(NFI_Expiration=1,IF($A69&lt;VLOOKUP(V$5,NFI,5,0),1,0)*Table_NFI[[#This Row],[Shelter Tool kit]],Table_NFI[Shelter Tool kit])</f>
        <v>0</v>
      </c>
      <c r="AP69" s="296">
        <f>IF(NFI_Expiration=1,IF($A69&lt;VLOOKUP(V$5,NFI,5,0),1,0)*Table_NFI[[#This Row],[Tent]],Table_NFI[Tent])</f>
        <v>0</v>
      </c>
      <c r="AQ69" s="396" t="str">
        <f>IFERROR(VLOOKUP(Table_NFI[[#This Row],[Camp Name]],CL,2,0),"")</f>
        <v>MMR001CMP047</v>
      </c>
      <c r="AR69" s="702">
        <f ca="1">IF(Table_NFI[[#This Row],[Pcode]]="","",IF(OFFSET(CampList[Opening Date],MATCH(Table_NFI[[#This Row],[Pcode]],CampList[CP_Pcode],0)-1,0,1,1)&gt;=NFI_Monitor_Date,1,0))</f>
        <v>0</v>
      </c>
      <c r="AS69" s="396" t="str">
        <f>IFERROR(VLOOKUP(Table_NFI[[#This Row],[Camp Name]],CL,3,0),"")</f>
        <v>Open</v>
      </c>
      <c r="AT69" s="264" t="str">
        <f ca="1">IF(Table_NFI[[#This Row],[Pcode]]="","",OFFSET(CampList[Priority],MATCH(Table_NFI[[#This Row],[Pcode]],CampList[CP_Pcode],0)-1,0,1,1))</f>
        <v>P4</v>
      </c>
      <c r="AU69" s="263">
        <f>IFERROR(Table_NFI[[#This Row],[Kitchen Set]]/VLOOKUP(Table_NFI[[#This Row],[Camp Name]],CL,4,0),"")</f>
        <v>0</v>
      </c>
      <c r="AV69" s="390"/>
      <c r="AW69" s="397" t="s">
        <v>1447</v>
      </c>
      <c r="AX69" s="399"/>
      <c r="AY69" s="399"/>
      <c r="AZ69" s="399"/>
      <c r="BA69" s="399"/>
      <c r="BB69" s="399"/>
      <c r="BC69" s="399"/>
      <c r="BD69" s="399"/>
      <c r="BE69" s="399"/>
      <c r="BF69" s="399"/>
      <c r="BG69" s="399"/>
      <c r="BH69" s="399"/>
      <c r="BI69" s="399"/>
      <c r="BJ69" s="399"/>
      <c r="BK69" s="399"/>
      <c r="BL69" s="399"/>
      <c r="BM69" s="399"/>
      <c r="BN69" s="399"/>
      <c r="BO69" s="399"/>
      <c r="BP69" s="399"/>
      <c r="BQ69" s="399"/>
      <c r="BR69" s="399"/>
      <c r="BS69" s="399"/>
      <c r="BT69" s="399"/>
      <c r="BU69" s="399"/>
      <c r="BV69" s="399"/>
      <c r="BW69" s="399"/>
      <c r="BX69" s="399"/>
      <c r="BY69" s="399"/>
      <c r="BZ69" s="399"/>
      <c r="CA69" s="399"/>
      <c r="CB69" s="399"/>
      <c r="CC69" s="399"/>
      <c r="CD69" s="399"/>
      <c r="CE69" s="399"/>
      <c r="CF69" s="399"/>
      <c r="CG69" s="399"/>
      <c r="CH69" s="399"/>
      <c r="CI69" s="399"/>
      <c r="CJ69" s="399"/>
      <c r="CK69" s="399"/>
      <c r="CL69" s="399"/>
      <c r="CM69" s="399"/>
      <c r="CN69" s="399"/>
      <c r="CO69" s="399"/>
      <c r="CP69" s="399"/>
      <c r="CQ69" s="399"/>
      <c r="CR69" s="399"/>
      <c r="CS69" s="399"/>
      <c r="CT69" s="399"/>
      <c r="CU69" s="399"/>
      <c r="CV69" s="399"/>
      <c r="CW69" s="399"/>
      <c r="CX69" s="399"/>
      <c r="CY69" s="399"/>
      <c r="CZ69" s="399"/>
      <c r="DA69" s="399"/>
      <c r="DB69" s="399"/>
      <c r="DC69" s="399"/>
      <c r="DD69" s="399"/>
      <c r="DE69" s="399"/>
      <c r="DF69" s="399"/>
      <c r="DG69" s="399"/>
      <c r="DH69" s="399"/>
      <c r="DI69" s="399"/>
      <c r="DJ69" s="399"/>
      <c r="DK69" s="399"/>
      <c r="DL69" s="399"/>
      <c r="DM69" s="399"/>
      <c r="DN69" s="399"/>
      <c r="DO69" s="399"/>
      <c r="DP69" s="399"/>
      <c r="DQ69" s="399"/>
    </row>
    <row r="70" spans="1:121" s="759" customFormat="1" ht="14.45" customHeight="1" x14ac:dyDescent="0.25">
      <c r="A70" s="266">
        <f t="shared" ref="A70:A133" si="1">IF(ISBLANK(B70),"",(Report_Date-B70)/30)</f>
        <v>5.1333333333333337</v>
      </c>
      <c r="B70" s="389">
        <v>42702</v>
      </c>
      <c r="C70" s="394" t="s">
        <v>451</v>
      </c>
      <c r="D70" s="394" t="s">
        <v>459</v>
      </c>
      <c r="E70" s="390" t="s">
        <v>552</v>
      </c>
      <c r="F70" s="262" t="s">
        <v>230</v>
      </c>
      <c r="G70" s="262" t="s">
        <v>1049</v>
      </c>
      <c r="H70" s="261"/>
      <c r="I70" s="261"/>
      <c r="J70" s="261"/>
      <c r="K70" s="261">
        <v>76</v>
      </c>
      <c r="L70" s="261">
        <v>38</v>
      </c>
      <c r="M70" s="261">
        <v>76</v>
      </c>
      <c r="N70" s="261"/>
      <c r="O70" s="261"/>
      <c r="P70" s="261">
        <v>38</v>
      </c>
      <c r="Q70" s="261">
        <v>114</v>
      </c>
      <c r="R70" s="261"/>
      <c r="S70" s="261"/>
      <c r="T70" s="261"/>
      <c r="U70" s="261"/>
      <c r="V70" s="762"/>
      <c r="W70" s="261"/>
      <c r="X70" s="261"/>
      <c r="Y70" s="264">
        <f>IF(NFI_Expiration=1,IF($A70&lt;VLOOKUP(H$5,NFI,5,0),1,0)*Table_NFI[[#This Row],[Hygiene Kit]],Table_NFI[Hygiene Kit])</f>
        <v>0</v>
      </c>
      <c r="Z70" s="264">
        <f>IF(NFI_Expiration=1,IF($A70&lt;VLOOKUP(I$5,NFI,5,0),1,0)*Table_NFI[[#This Row],[NFI Core Kit]],Table_NFI[NFI Core Kit])</f>
        <v>0</v>
      </c>
      <c r="AA70" s="264">
        <f>IF(NFI_Expiration=1,IF($A70&lt;VLOOKUP(J$5,NFI,5,0),1,0)*Table_NFI[[#This Row],[Sanitary Kit]],Table_NFI[Sanitary Kit])</f>
        <v>0</v>
      </c>
      <c r="AB70" s="264">
        <f>IF(NFI_Expiration=1,IF($A70&lt;VLOOKUP(K$5,NFI,5,0),1,0)*Table_NFI[[#This Row],[Mosquito net]],Table_NFI[Mosquito net])</f>
        <v>76</v>
      </c>
      <c r="AC70" s="264">
        <f>IF(NFI_Expiration=1,IF($A70&lt;VLOOKUP(L$5,NFI,5,0),1,0)*Table_NFI[[#This Row],[Tarpaulin]],Table_NFI[[#This Row],[Tarpaulin]])</f>
        <v>38</v>
      </c>
      <c r="AD70" s="264">
        <f>IF(NFI_Expiration=1,IF($A70&lt;VLOOKUP(M$5,NFI,5,0),1,0)*Table_NFI[[#This Row],[Blanket]],Table_NFI[[#This Row],[Blanket]])</f>
        <v>76</v>
      </c>
      <c r="AE70" s="264">
        <f>IF(NFI_Expiration=1,IF($A70&lt;VLOOKUP(N$5,NFI,5,0),1,0)*Table_NFI[[#This Row],[Kitchen Set]],Table_NFI[Kitchen Set])</f>
        <v>0</v>
      </c>
      <c r="AF70" s="264">
        <f>IF(NFI_Expiration=1,IF($A70&lt;VLOOKUP(O$5,NFI,5,0),1,0)*Table_NFI[[#This Row],[Clothes Kit]],Table_NFI[Clothes Kit])</f>
        <v>0</v>
      </c>
      <c r="AG70" s="264">
        <f>IF(NFI_Expiration=1,IF($A70&lt;VLOOKUP(P$5,NFI,5,0),1,0)*Table_NFI[[#This Row],[Plastic Bucket]],Table_NFI[Plastic Bucket])</f>
        <v>38</v>
      </c>
      <c r="AH70" s="264">
        <f>IF(NFI_Expiration=1,IF($A70&lt;VLOOKUP(Q$5,NFI,5,0),1,0)*Table_NFI[[#This Row],[Plastic Mat]],Table_NFI[Plastic Mat])*IF(Table_NFI[[#This Row],[Distribution Date]]&gt;"2014-04-01",1,2.5)</f>
        <v>285</v>
      </c>
      <c r="AI70" s="264">
        <f>IF(NFI_Expiration=1,IF($A70&lt;VLOOKUP(R$5,NFI,5,0),1,0)*Table_NFI[[#This Row],[Winter Clothes Adult]],Table_NFI[Winter Clothes Adult])</f>
        <v>0</v>
      </c>
      <c r="AJ70" s="264">
        <f>IF(NFI_Expiration=1,IF($A70&lt;VLOOKUP(S$5,NFI,5,0),1,0)*Table_NFI[[#This Row],[Winter Clothes Children]],Table_NFI[Winter Clothes Children])</f>
        <v>0</v>
      </c>
      <c r="AK70" s="264">
        <f>IF(NFI_Expiration=1,IF($A70&lt;VLOOKUP(T$5,NFI,5,0),1,0)*Table_NFI[[#This Row],[Winter Items Other]],Table_NFI[Winter Items Other])</f>
        <v>0</v>
      </c>
      <c r="AL70" s="264">
        <f>IF(NFI_Expiration=1,IF($A70&lt;VLOOKUP(M$5,NFI,5,0),1,0)*Table_NFI[[#This Row],[Winter Blanket]],Table_NFI[[#This Row],[Winter Blanket]])</f>
        <v>0</v>
      </c>
      <c r="AM70" s="264">
        <f>IF(Table_NFI[[#This Row],[Winter Clothes Adult]]+Table_NFI[[#This Row],[Winter Clothes Children]]+Table_NFI[[#This Row],[Winter Items Other]]+Table_NFI[[#This Row],[Winter Blanket]]&gt;0,1,0)</f>
        <v>0</v>
      </c>
      <c r="AN70" s="296">
        <f>IF(NFI_Expiration=1,IF($A70&lt;VLOOKUP(V$5,NFI,5,0),1,0)*Table_NFI[[#This Row],[Jerry Can]],Table_NFI[Jerry Can])</f>
        <v>0</v>
      </c>
      <c r="AO70" s="296">
        <f>IF(NFI_Expiration=1,IF($A70&lt;VLOOKUP(V$5,NFI,5,0),1,0)*Table_NFI[[#This Row],[Shelter Tool kit]],Table_NFI[Shelter Tool kit])</f>
        <v>0</v>
      </c>
      <c r="AP70" s="296">
        <f>IF(NFI_Expiration=1,IF($A70&lt;VLOOKUP(V$5,NFI,5,0),1,0)*Table_NFI[[#This Row],[Tent]],Table_NFI[Tent])</f>
        <v>0</v>
      </c>
      <c r="AQ70" s="396" t="str">
        <f>IFERROR(VLOOKUP(Table_NFI[[#This Row],[Camp Name]],CL,2,0),"")</f>
        <v>MMR015CMP213</v>
      </c>
      <c r="AR70" s="702">
        <f ca="1">IF(Table_NFI[[#This Row],[Pcode]]="","",IF(OFFSET(CampList[Opening Date],MATCH(Table_NFI[[#This Row],[Pcode]],CampList[CP_Pcode],0)-1,0,1,1)&gt;=NFI_Monitor_Date,1,0))</f>
        <v>1</v>
      </c>
      <c r="AS70" s="396" t="str">
        <f>IFERROR(VLOOKUP(Table_NFI[[#This Row],[Camp Name]],CL,3,0),"")</f>
        <v>Open</v>
      </c>
      <c r="AT70" s="264" t="str">
        <f ca="1">IF(Table_NFI[[#This Row],[Pcode]]="","",OFFSET(CampList[Priority],MATCH(Table_NFI[[#This Row],[Pcode]],CampList[CP_Pcode],0)-1,0,1,1))</f>
        <v>P4</v>
      </c>
      <c r="AU70" s="263">
        <f>IFERROR(Table_NFI[[#This Row],[Kitchen Set]]/VLOOKUP(Table_NFI[[#This Row],[Camp Name]],CL,4,0),"")</f>
        <v>0</v>
      </c>
      <c r="AV70" s="390"/>
      <c r="AW70" s="397" t="s">
        <v>1449</v>
      </c>
      <c r="AX70" s="402"/>
      <c r="AY70" s="402"/>
      <c r="AZ70" s="402"/>
      <c r="BA70" s="402"/>
      <c r="BB70" s="402"/>
      <c r="BC70" s="402"/>
      <c r="BD70" s="402"/>
      <c r="BE70" s="402"/>
      <c r="BF70" s="402"/>
      <c r="BG70" s="402"/>
      <c r="BH70" s="402"/>
      <c r="BI70" s="402"/>
      <c r="BJ70" s="402"/>
      <c r="BK70" s="402"/>
      <c r="BL70" s="402"/>
      <c r="BM70" s="402"/>
      <c r="BN70" s="402"/>
      <c r="BO70" s="402"/>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402"/>
      <c r="CR70" s="402"/>
      <c r="CS70" s="402"/>
      <c r="CT70" s="402"/>
      <c r="CU70" s="402"/>
      <c r="CV70" s="402"/>
      <c r="CW70" s="402"/>
      <c r="CX70" s="402"/>
      <c r="CY70" s="402"/>
      <c r="CZ70" s="402"/>
      <c r="DA70" s="402"/>
      <c r="DB70" s="402"/>
      <c r="DC70" s="402"/>
      <c r="DD70" s="402"/>
      <c r="DE70" s="402"/>
      <c r="DF70" s="402"/>
      <c r="DG70" s="402"/>
      <c r="DH70" s="402"/>
      <c r="DI70" s="402"/>
      <c r="DJ70" s="402"/>
      <c r="DK70" s="402"/>
      <c r="DL70" s="402"/>
      <c r="DM70" s="402"/>
      <c r="DN70" s="402"/>
      <c r="DO70" s="402"/>
      <c r="DP70" s="402"/>
      <c r="DQ70" s="402"/>
    </row>
    <row r="71" spans="1:121" s="760" customFormat="1" ht="14.45" customHeight="1" x14ac:dyDescent="0.25">
      <c r="A71" s="266">
        <f t="shared" si="1"/>
        <v>6.0666666666666664</v>
      </c>
      <c r="B71" s="389">
        <v>42674</v>
      </c>
      <c r="C71" s="394" t="s">
        <v>904</v>
      </c>
      <c r="D71" s="394" t="s">
        <v>904</v>
      </c>
      <c r="E71" s="394" t="s">
        <v>380</v>
      </c>
      <c r="F71" s="394" t="s">
        <v>185</v>
      </c>
      <c r="G71" s="394" t="s">
        <v>223</v>
      </c>
      <c r="H71" s="261"/>
      <c r="I71" s="261"/>
      <c r="J71" s="261"/>
      <c r="K71" s="261"/>
      <c r="L71" s="261"/>
      <c r="M71" s="261"/>
      <c r="N71" s="261"/>
      <c r="O71" s="261"/>
      <c r="P71" s="261"/>
      <c r="Q71" s="261"/>
      <c r="R71" s="261"/>
      <c r="S71" s="261"/>
      <c r="T71" s="261"/>
      <c r="U71" s="261"/>
      <c r="V71" s="762">
        <v>1</v>
      </c>
      <c r="W71" s="261"/>
      <c r="X71" s="261"/>
      <c r="Y71" s="264">
        <f>IF(NFI_Expiration=1,IF($A71&lt;VLOOKUP(H$5,NFI,5,0),1,0)*Table_NFI[[#This Row],[Hygiene Kit]],Table_NFI[Hygiene Kit])</f>
        <v>0</v>
      </c>
      <c r="Z71" s="264">
        <f>IF(NFI_Expiration=1,IF($A71&lt;VLOOKUP(I$5,NFI,5,0),1,0)*Table_NFI[[#This Row],[NFI Core Kit]],Table_NFI[NFI Core Kit])</f>
        <v>0</v>
      </c>
      <c r="AA71" s="264">
        <f>IF(NFI_Expiration=1,IF($A71&lt;VLOOKUP(J$5,NFI,5,0),1,0)*Table_NFI[[#This Row],[Sanitary Kit]],Table_NFI[Sanitary Kit])</f>
        <v>0</v>
      </c>
      <c r="AB71" s="264">
        <f>IF(NFI_Expiration=1,IF($A71&lt;VLOOKUP(K$5,NFI,5,0),1,0)*Table_NFI[[#This Row],[Mosquito net]],Table_NFI[Mosquito net])</f>
        <v>0</v>
      </c>
      <c r="AC71" s="264">
        <f>IF(NFI_Expiration=1,IF($A71&lt;VLOOKUP(L$5,NFI,5,0),1,0)*Table_NFI[[#This Row],[Tarpaulin]],Table_NFI[[#This Row],[Tarpaulin]])</f>
        <v>0</v>
      </c>
      <c r="AD71" s="264">
        <f>IF(NFI_Expiration=1,IF($A71&lt;VLOOKUP(M$5,NFI,5,0),1,0)*Table_NFI[[#This Row],[Blanket]],Table_NFI[[#This Row],[Blanket]])</f>
        <v>0</v>
      </c>
      <c r="AE71" s="264">
        <f>IF(NFI_Expiration=1,IF($A71&lt;VLOOKUP(N$5,NFI,5,0),1,0)*Table_NFI[[#This Row],[Kitchen Set]],Table_NFI[Kitchen Set])</f>
        <v>0</v>
      </c>
      <c r="AF71" s="264">
        <f>IF(NFI_Expiration=1,IF($A71&lt;VLOOKUP(O$5,NFI,5,0),1,0)*Table_NFI[[#This Row],[Clothes Kit]],Table_NFI[Clothes Kit])</f>
        <v>0</v>
      </c>
      <c r="AG71" s="264">
        <f>IF(NFI_Expiration=1,IF($A71&lt;VLOOKUP(P$5,NFI,5,0),1,0)*Table_NFI[[#This Row],[Plastic Bucket]],Table_NFI[Plastic Bucket])</f>
        <v>0</v>
      </c>
      <c r="AH71" s="264">
        <f>IF(NFI_Expiration=1,IF($A71&lt;VLOOKUP(Q$5,NFI,5,0),1,0)*Table_NFI[[#This Row],[Plastic Mat]],Table_NFI[Plastic Mat])*IF(Table_NFI[[#This Row],[Distribution Date]]&gt;"2014-04-01",1,2.5)</f>
        <v>0</v>
      </c>
      <c r="AI71" s="264">
        <f>IF(NFI_Expiration=1,IF($A71&lt;VLOOKUP(R$5,NFI,5,0),1,0)*Table_NFI[[#This Row],[Winter Clothes Adult]],Table_NFI[Winter Clothes Adult])</f>
        <v>0</v>
      </c>
      <c r="AJ71" s="264">
        <f>IF(NFI_Expiration=1,IF($A71&lt;VLOOKUP(S$5,NFI,5,0),1,0)*Table_NFI[[#This Row],[Winter Clothes Children]],Table_NFI[Winter Clothes Children])</f>
        <v>0</v>
      </c>
      <c r="AK71" s="264">
        <f>IF(NFI_Expiration=1,IF($A71&lt;VLOOKUP(T$5,NFI,5,0),1,0)*Table_NFI[[#This Row],[Winter Items Other]],Table_NFI[Winter Items Other])</f>
        <v>0</v>
      </c>
      <c r="AL71" s="264">
        <f>IF(NFI_Expiration=1,IF($A71&lt;VLOOKUP(M$5,NFI,5,0),1,0)*Table_NFI[[#This Row],[Winter Blanket]],Table_NFI[[#This Row],[Winter Blanket]])</f>
        <v>0</v>
      </c>
      <c r="AM71" s="264">
        <f>IF(Table_NFI[[#This Row],[Winter Clothes Adult]]+Table_NFI[[#This Row],[Winter Clothes Children]]+Table_NFI[[#This Row],[Winter Items Other]]+Table_NFI[[#This Row],[Winter Blanket]]&gt;0,1,0)</f>
        <v>0</v>
      </c>
      <c r="AN71" s="296">
        <f>IF(NFI_Expiration=1,IF($A71&lt;VLOOKUP(V$5,NFI,5,0),1,0)*Table_NFI[[#This Row],[Jerry Can]],Table_NFI[Jerry Can])</f>
        <v>1</v>
      </c>
      <c r="AO71" s="296">
        <f>IF(NFI_Expiration=1,IF($A71&lt;VLOOKUP(V$5,NFI,5,0),1,0)*Table_NFI[[#This Row],[Shelter Tool kit]],Table_NFI[Shelter Tool kit])</f>
        <v>0</v>
      </c>
      <c r="AP71" s="296">
        <f>IF(NFI_Expiration=1,IF($A71&lt;VLOOKUP(V$5,NFI,5,0),1,0)*Table_NFI[[#This Row],[Tent]],Table_NFI[Tent])</f>
        <v>0</v>
      </c>
      <c r="AQ71" s="396" t="str">
        <f>IFERROR(VLOOKUP(Table_NFI[[#This Row],[Camp Name]],CL,2,0),"")</f>
        <v>MMR001CMP069</v>
      </c>
      <c r="AR71" s="702">
        <f ca="1">IF(Table_NFI[[#This Row],[Pcode]]="","",IF(OFFSET(CampList[Opening Date],MATCH(Table_NFI[[#This Row],[Pcode]],CampList[CP_Pcode],0)-1,0,1,1)&gt;=NFI_Monitor_Date,1,0))</f>
        <v>0</v>
      </c>
      <c r="AS71" s="396" t="str">
        <f>IFERROR(VLOOKUP(Table_NFI[[#This Row],[Camp Name]],CL,3,0),"")</f>
        <v>Open</v>
      </c>
      <c r="AT71" s="264" t="str">
        <f ca="1">IF(Table_NFI[[#This Row],[Pcode]]="","",OFFSET(CampList[Priority],MATCH(Table_NFI[[#This Row],[Pcode]],CampList[CP_Pcode],0)-1,0,1,1))</f>
        <v>P3</v>
      </c>
      <c r="AU71" s="263">
        <f>IFERROR(Table_NFI[[#This Row],[Kitchen Set]]/VLOOKUP(Table_NFI[[#This Row],[Camp Name]],CL,4,0),"")</f>
        <v>0</v>
      </c>
      <c r="AV71" s="390"/>
      <c r="AW71" s="397" t="s">
        <v>1447</v>
      </c>
      <c r="AX71" s="399"/>
      <c r="AY71" s="399"/>
      <c r="AZ71" s="399"/>
      <c r="BA71" s="399"/>
      <c r="BB71" s="399"/>
      <c r="BC71" s="399"/>
      <c r="BD71" s="399"/>
      <c r="BE71" s="399"/>
      <c r="BF71" s="399"/>
      <c r="BG71" s="399"/>
      <c r="BH71" s="399"/>
      <c r="BI71" s="399"/>
      <c r="BJ71" s="399"/>
      <c r="BK71" s="399"/>
      <c r="BL71" s="399"/>
      <c r="BM71" s="399"/>
      <c r="BN71" s="399"/>
      <c r="BO71" s="399"/>
      <c r="BP71" s="399"/>
      <c r="BQ71" s="399"/>
      <c r="BR71" s="399"/>
      <c r="BS71" s="399"/>
      <c r="BT71" s="399"/>
      <c r="BU71" s="399"/>
      <c r="BV71" s="399"/>
      <c r="BW71" s="399"/>
      <c r="BX71" s="399"/>
      <c r="BY71" s="399"/>
      <c r="BZ71" s="399"/>
      <c r="CA71" s="399"/>
      <c r="CB71" s="399"/>
      <c r="CC71" s="399"/>
      <c r="CD71" s="399"/>
      <c r="CE71" s="399"/>
      <c r="CF71" s="399"/>
      <c r="CG71" s="399"/>
      <c r="CH71" s="399"/>
      <c r="CI71" s="399"/>
      <c r="CJ71" s="399"/>
      <c r="CK71" s="399"/>
      <c r="CL71" s="399"/>
      <c r="CM71" s="399"/>
      <c r="CN71" s="399"/>
      <c r="CO71" s="399"/>
      <c r="CP71" s="399"/>
      <c r="CQ71" s="399"/>
      <c r="CR71" s="399"/>
      <c r="CS71" s="399"/>
      <c r="CT71" s="399"/>
      <c r="CU71" s="399"/>
      <c r="CV71" s="399"/>
      <c r="CW71" s="399"/>
      <c r="CX71" s="399"/>
      <c r="CY71" s="399"/>
      <c r="CZ71" s="399"/>
      <c r="DA71" s="399"/>
      <c r="DB71" s="399"/>
      <c r="DC71" s="399"/>
      <c r="DD71" s="399"/>
      <c r="DE71" s="399"/>
      <c r="DF71" s="399"/>
      <c r="DG71" s="399"/>
      <c r="DH71" s="399"/>
      <c r="DI71" s="399"/>
      <c r="DJ71" s="399"/>
      <c r="DK71" s="399"/>
      <c r="DL71" s="399"/>
      <c r="DM71" s="399"/>
      <c r="DN71" s="399"/>
      <c r="DO71" s="399"/>
      <c r="DP71" s="399"/>
      <c r="DQ71" s="399"/>
    </row>
    <row r="72" spans="1:121" s="760" customFormat="1" ht="15" customHeight="1" x14ac:dyDescent="0.25">
      <c r="A72" s="266">
        <f t="shared" si="1"/>
        <v>6.0666666666666664</v>
      </c>
      <c r="B72" s="389">
        <v>42674</v>
      </c>
      <c r="C72" s="394" t="s">
        <v>904</v>
      </c>
      <c r="D72" s="394" t="s">
        <v>904</v>
      </c>
      <c r="E72" s="394" t="s">
        <v>380</v>
      </c>
      <c r="F72" s="394" t="s">
        <v>185</v>
      </c>
      <c r="G72" s="394" t="s">
        <v>225</v>
      </c>
      <c r="H72" s="261"/>
      <c r="I72" s="261"/>
      <c r="J72" s="261"/>
      <c r="K72" s="261"/>
      <c r="L72" s="261"/>
      <c r="M72" s="261"/>
      <c r="N72" s="261"/>
      <c r="O72" s="261"/>
      <c r="P72" s="261"/>
      <c r="Q72" s="261"/>
      <c r="R72" s="261"/>
      <c r="S72" s="261"/>
      <c r="T72" s="261"/>
      <c r="U72" s="261"/>
      <c r="V72" s="762">
        <v>2</v>
      </c>
      <c r="W72" s="261"/>
      <c r="X72" s="261"/>
      <c r="Y72" s="264">
        <f>IF(NFI_Expiration=1,IF($A72&lt;VLOOKUP(H$5,NFI,5,0),1,0)*Table_NFI[[#This Row],[Hygiene Kit]],Table_NFI[Hygiene Kit])</f>
        <v>0</v>
      </c>
      <c r="Z72" s="264">
        <f>IF(NFI_Expiration=1,IF($A72&lt;VLOOKUP(I$5,NFI,5,0),1,0)*Table_NFI[[#This Row],[NFI Core Kit]],Table_NFI[NFI Core Kit])</f>
        <v>0</v>
      </c>
      <c r="AA72" s="264">
        <f>IF(NFI_Expiration=1,IF($A72&lt;VLOOKUP(J$5,NFI,5,0),1,0)*Table_NFI[[#This Row],[Sanitary Kit]],Table_NFI[Sanitary Kit])</f>
        <v>0</v>
      </c>
      <c r="AB72" s="264">
        <f>IF(NFI_Expiration=1,IF($A72&lt;VLOOKUP(K$5,NFI,5,0),1,0)*Table_NFI[[#This Row],[Mosquito net]],Table_NFI[Mosquito net])</f>
        <v>0</v>
      </c>
      <c r="AC72" s="264">
        <f>IF(NFI_Expiration=1,IF($A72&lt;VLOOKUP(L$5,NFI,5,0),1,0)*Table_NFI[[#This Row],[Tarpaulin]],Table_NFI[[#This Row],[Tarpaulin]])</f>
        <v>0</v>
      </c>
      <c r="AD72" s="264">
        <f>IF(NFI_Expiration=1,IF($A72&lt;VLOOKUP(M$5,NFI,5,0),1,0)*Table_NFI[[#This Row],[Blanket]],Table_NFI[[#This Row],[Blanket]])</f>
        <v>0</v>
      </c>
      <c r="AE72" s="264">
        <f>IF(NFI_Expiration=1,IF($A72&lt;VLOOKUP(N$5,NFI,5,0),1,0)*Table_NFI[[#This Row],[Kitchen Set]],Table_NFI[Kitchen Set])</f>
        <v>0</v>
      </c>
      <c r="AF72" s="264">
        <f>IF(NFI_Expiration=1,IF($A72&lt;VLOOKUP(O$5,NFI,5,0),1,0)*Table_NFI[[#This Row],[Clothes Kit]],Table_NFI[Clothes Kit])</f>
        <v>0</v>
      </c>
      <c r="AG72" s="264">
        <f>IF(NFI_Expiration=1,IF($A72&lt;VLOOKUP(P$5,NFI,5,0),1,0)*Table_NFI[[#This Row],[Plastic Bucket]],Table_NFI[Plastic Bucket])</f>
        <v>0</v>
      </c>
      <c r="AH72" s="264">
        <f>IF(NFI_Expiration=1,IF($A72&lt;VLOOKUP(Q$5,NFI,5,0),1,0)*Table_NFI[[#This Row],[Plastic Mat]],Table_NFI[Plastic Mat])*IF(Table_NFI[[#This Row],[Distribution Date]]&gt;"2014-04-01",1,2.5)</f>
        <v>0</v>
      </c>
      <c r="AI72" s="264">
        <f>IF(NFI_Expiration=1,IF($A72&lt;VLOOKUP(R$5,NFI,5,0),1,0)*Table_NFI[[#This Row],[Winter Clothes Adult]],Table_NFI[Winter Clothes Adult])</f>
        <v>0</v>
      </c>
      <c r="AJ72" s="264">
        <f>IF(NFI_Expiration=1,IF($A72&lt;VLOOKUP(S$5,NFI,5,0),1,0)*Table_NFI[[#This Row],[Winter Clothes Children]],Table_NFI[Winter Clothes Children])</f>
        <v>0</v>
      </c>
      <c r="AK72" s="264">
        <f>IF(NFI_Expiration=1,IF($A72&lt;VLOOKUP(T$5,NFI,5,0),1,0)*Table_NFI[[#This Row],[Winter Items Other]],Table_NFI[Winter Items Other])</f>
        <v>0</v>
      </c>
      <c r="AL72" s="264">
        <f>IF(NFI_Expiration=1,IF($A72&lt;VLOOKUP(M$5,NFI,5,0),1,0)*Table_NFI[[#This Row],[Winter Blanket]],Table_NFI[[#This Row],[Winter Blanket]])</f>
        <v>0</v>
      </c>
      <c r="AM72" s="264">
        <f>IF(Table_NFI[[#This Row],[Winter Clothes Adult]]+Table_NFI[[#This Row],[Winter Clothes Children]]+Table_NFI[[#This Row],[Winter Items Other]]+Table_NFI[[#This Row],[Winter Blanket]]&gt;0,1,0)</f>
        <v>0</v>
      </c>
      <c r="AN72" s="296">
        <f>IF(NFI_Expiration=1,IF($A72&lt;VLOOKUP(V$5,NFI,5,0),1,0)*Table_NFI[[#This Row],[Jerry Can]],Table_NFI[Jerry Can])</f>
        <v>2</v>
      </c>
      <c r="AO72" s="296">
        <f>IF(NFI_Expiration=1,IF($A72&lt;VLOOKUP(V$5,NFI,5,0),1,0)*Table_NFI[[#This Row],[Shelter Tool kit]],Table_NFI[Shelter Tool kit])</f>
        <v>0</v>
      </c>
      <c r="AP72" s="296">
        <f>IF(NFI_Expiration=1,IF($A72&lt;VLOOKUP(V$5,NFI,5,0),1,0)*Table_NFI[[#This Row],[Tent]],Table_NFI[Tent])</f>
        <v>0</v>
      </c>
      <c r="AQ72" s="396" t="str">
        <f>IFERROR(VLOOKUP(Table_NFI[[#This Row],[Camp Name]],CL,2,0),"")</f>
        <v>MMR001CMP073</v>
      </c>
      <c r="AR72" s="702">
        <f ca="1">IF(Table_NFI[[#This Row],[Pcode]]="","",IF(OFFSET(CampList[Opening Date],MATCH(Table_NFI[[#This Row],[Pcode]],CampList[CP_Pcode],0)-1,0,1,1)&gt;=NFI_Monitor_Date,1,0))</f>
        <v>0</v>
      </c>
      <c r="AS72" s="396" t="str">
        <f>IFERROR(VLOOKUP(Table_NFI[[#This Row],[Camp Name]],CL,3,0),"")</f>
        <v>Open</v>
      </c>
      <c r="AT72" s="264" t="str">
        <f ca="1">IF(Table_NFI[[#This Row],[Pcode]]="","",OFFSET(CampList[Priority],MATCH(Table_NFI[[#This Row],[Pcode]],CampList[CP_Pcode],0)-1,0,1,1))</f>
        <v>P3</v>
      </c>
      <c r="AU72" s="263">
        <f>IFERROR(Table_NFI[[#This Row],[Kitchen Set]]/VLOOKUP(Table_NFI[[#This Row],[Camp Name]],CL,4,0),"")</f>
        <v>0</v>
      </c>
      <c r="AV72" s="390"/>
      <c r="AW72" s="397" t="s">
        <v>1447</v>
      </c>
      <c r="AX72" s="399"/>
      <c r="AY72" s="399"/>
      <c r="AZ72" s="399"/>
      <c r="BA72" s="399"/>
      <c r="BB72" s="399"/>
      <c r="BC72" s="399"/>
      <c r="BD72" s="399"/>
      <c r="BE72" s="399"/>
      <c r="BF72" s="399"/>
      <c r="BG72" s="399"/>
      <c r="BH72" s="399"/>
      <c r="BI72" s="399"/>
      <c r="BJ72" s="399"/>
      <c r="BK72" s="399"/>
      <c r="BL72" s="399"/>
      <c r="BM72" s="399"/>
      <c r="BN72" s="399"/>
      <c r="BO72" s="399"/>
      <c r="BP72" s="399"/>
      <c r="BQ72" s="399"/>
      <c r="BR72" s="399"/>
      <c r="BS72" s="399"/>
      <c r="BT72" s="399"/>
      <c r="BU72" s="399"/>
      <c r="BV72" s="399"/>
      <c r="BW72" s="399"/>
      <c r="BX72" s="399"/>
      <c r="BY72" s="399"/>
      <c r="BZ72" s="399"/>
      <c r="CA72" s="399"/>
      <c r="CB72" s="399"/>
      <c r="CC72" s="399"/>
      <c r="CD72" s="399"/>
      <c r="CE72" s="399"/>
      <c r="CF72" s="399"/>
      <c r="CG72" s="399"/>
      <c r="CH72" s="399"/>
      <c r="CI72" s="399"/>
      <c r="CJ72" s="399"/>
      <c r="CK72" s="399"/>
      <c r="CL72" s="399"/>
      <c r="CM72" s="399"/>
      <c r="CN72" s="399"/>
      <c r="CO72" s="399"/>
      <c r="CP72" s="399"/>
      <c r="CQ72" s="399"/>
      <c r="CR72" s="399"/>
      <c r="CS72" s="399"/>
      <c r="CT72" s="399"/>
      <c r="CU72" s="399"/>
      <c r="CV72" s="399"/>
      <c r="CW72" s="399"/>
      <c r="CX72" s="399"/>
      <c r="CY72" s="399"/>
      <c r="CZ72" s="399"/>
      <c r="DA72" s="399"/>
      <c r="DB72" s="399"/>
      <c r="DC72" s="399"/>
      <c r="DD72" s="399"/>
      <c r="DE72" s="399"/>
      <c r="DF72" s="399"/>
      <c r="DG72" s="399"/>
      <c r="DH72" s="399"/>
      <c r="DI72" s="399"/>
      <c r="DJ72" s="399"/>
      <c r="DK72" s="399"/>
      <c r="DL72" s="399"/>
      <c r="DM72" s="399"/>
      <c r="DN72" s="399"/>
      <c r="DO72" s="399"/>
      <c r="DP72" s="399"/>
      <c r="DQ72" s="399"/>
    </row>
    <row r="73" spans="1:121" s="760" customFormat="1" ht="15" customHeight="1" x14ac:dyDescent="0.25">
      <c r="A73" s="266">
        <f t="shared" si="1"/>
        <v>7.1</v>
      </c>
      <c r="B73" s="389">
        <v>42643</v>
      </c>
      <c r="C73" s="394" t="s">
        <v>904</v>
      </c>
      <c r="D73" s="394" t="s">
        <v>904</v>
      </c>
      <c r="E73" s="394" t="s">
        <v>380</v>
      </c>
      <c r="F73" s="394" t="s">
        <v>185</v>
      </c>
      <c r="G73" s="394" t="s">
        <v>209</v>
      </c>
      <c r="H73" s="261"/>
      <c r="I73" s="261"/>
      <c r="J73" s="261"/>
      <c r="K73" s="261"/>
      <c r="L73" s="261"/>
      <c r="M73" s="261"/>
      <c r="N73" s="261"/>
      <c r="O73" s="261"/>
      <c r="P73" s="261"/>
      <c r="Q73" s="261"/>
      <c r="R73" s="261"/>
      <c r="S73" s="261"/>
      <c r="T73" s="261"/>
      <c r="U73" s="261"/>
      <c r="V73" s="762">
        <v>1</v>
      </c>
      <c r="W73" s="261"/>
      <c r="X73" s="261"/>
      <c r="Y73" s="264">
        <f>IF(NFI_Expiration=1,IF($A73&lt;VLOOKUP(H$5,NFI,5,0),1,0)*Table_NFI[[#This Row],[Hygiene Kit]],Table_NFI[Hygiene Kit])</f>
        <v>0</v>
      </c>
      <c r="Z73" s="264">
        <f>IF(NFI_Expiration=1,IF($A73&lt;VLOOKUP(I$5,NFI,5,0),1,0)*Table_NFI[[#This Row],[NFI Core Kit]],Table_NFI[NFI Core Kit])</f>
        <v>0</v>
      </c>
      <c r="AA73" s="264">
        <f>IF(NFI_Expiration=1,IF($A73&lt;VLOOKUP(J$5,NFI,5,0),1,0)*Table_NFI[[#This Row],[Sanitary Kit]],Table_NFI[Sanitary Kit])</f>
        <v>0</v>
      </c>
      <c r="AB73" s="264">
        <f>IF(NFI_Expiration=1,IF($A73&lt;VLOOKUP(K$5,NFI,5,0),1,0)*Table_NFI[[#This Row],[Mosquito net]],Table_NFI[Mosquito net])</f>
        <v>0</v>
      </c>
      <c r="AC73" s="264">
        <f>IF(NFI_Expiration=1,IF($A73&lt;VLOOKUP(L$5,NFI,5,0),1,0)*Table_NFI[[#This Row],[Tarpaulin]],Table_NFI[[#This Row],[Tarpaulin]])</f>
        <v>0</v>
      </c>
      <c r="AD73" s="264">
        <f>IF(NFI_Expiration=1,IF($A73&lt;VLOOKUP(M$5,NFI,5,0),1,0)*Table_NFI[[#This Row],[Blanket]],Table_NFI[[#This Row],[Blanket]])</f>
        <v>0</v>
      </c>
      <c r="AE73" s="264">
        <f>IF(NFI_Expiration=1,IF($A73&lt;VLOOKUP(N$5,NFI,5,0),1,0)*Table_NFI[[#This Row],[Kitchen Set]],Table_NFI[Kitchen Set])</f>
        <v>0</v>
      </c>
      <c r="AF73" s="264">
        <f>IF(NFI_Expiration=1,IF($A73&lt;VLOOKUP(O$5,NFI,5,0),1,0)*Table_NFI[[#This Row],[Clothes Kit]],Table_NFI[Clothes Kit])</f>
        <v>0</v>
      </c>
      <c r="AG73" s="264">
        <f>IF(NFI_Expiration=1,IF($A73&lt;VLOOKUP(P$5,NFI,5,0),1,0)*Table_NFI[[#This Row],[Plastic Bucket]],Table_NFI[Plastic Bucket])</f>
        <v>0</v>
      </c>
      <c r="AH73" s="264">
        <f>IF(NFI_Expiration=1,IF($A73&lt;VLOOKUP(Q$5,NFI,5,0),1,0)*Table_NFI[[#This Row],[Plastic Mat]],Table_NFI[Plastic Mat])*IF(Table_NFI[[#This Row],[Distribution Date]]&gt;"2014-04-01",1,2.5)</f>
        <v>0</v>
      </c>
      <c r="AI73" s="264">
        <f>IF(NFI_Expiration=1,IF($A73&lt;VLOOKUP(R$5,NFI,5,0),1,0)*Table_NFI[[#This Row],[Winter Clothes Adult]],Table_NFI[Winter Clothes Adult])</f>
        <v>0</v>
      </c>
      <c r="AJ73" s="264">
        <f>IF(NFI_Expiration=1,IF($A73&lt;VLOOKUP(S$5,NFI,5,0),1,0)*Table_NFI[[#This Row],[Winter Clothes Children]],Table_NFI[Winter Clothes Children])</f>
        <v>0</v>
      </c>
      <c r="AK73" s="264">
        <f>IF(NFI_Expiration=1,IF($A73&lt;VLOOKUP(T$5,NFI,5,0),1,0)*Table_NFI[[#This Row],[Winter Items Other]],Table_NFI[Winter Items Other])</f>
        <v>0</v>
      </c>
      <c r="AL73" s="264">
        <f>IF(NFI_Expiration=1,IF($A73&lt;VLOOKUP(M$5,NFI,5,0),1,0)*Table_NFI[[#This Row],[Winter Blanket]],Table_NFI[[#This Row],[Winter Blanket]])</f>
        <v>0</v>
      </c>
      <c r="AM73" s="264">
        <f>IF(Table_NFI[[#This Row],[Winter Clothes Adult]]+Table_NFI[[#This Row],[Winter Clothes Children]]+Table_NFI[[#This Row],[Winter Items Other]]+Table_NFI[[#This Row],[Winter Blanket]]&gt;0,1,0)</f>
        <v>0</v>
      </c>
      <c r="AN73" s="296">
        <f>IF(NFI_Expiration=1,IF($A73&lt;VLOOKUP(V$5,NFI,5,0),1,0)*Table_NFI[[#This Row],[Jerry Can]],Table_NFI[Jerry Can])</f>
        <v>1</v>
      </c>
      <c r="AO73" s="296">
        <f>IF(NFI_Expiration=1,IF($A73&lt;VLOOKUP(V$5,NFI,5,0),1,0)*Table_NFI[[#This Row],[Shelter Tool kit]],Table_NFI[Shelter Tool kit])</f>
        <v>0</v>
      </c>
      <c r="AP73" s="296">
        <f>IF(NFI_Expiration=1,IF($A73&lt;VLOOKUP(V$5,NFI,5,0),1,0)*Table_NFI[[#This Row],[Tent]],Table_NFI[Tent])</f>
        <v>0</v>
      </c>
      <c r="AQ73" s="396" t="str">
        <f>IFERROR(VLOOKUP(Table_NFI[[#This Row],[Camp Name]],CL,2,0),"")</f>
        <v>MMR001CMP056</v>
      </c>
      <c r="AR73" s="702">
        <f ca="1">IF(Table_NFI[[#This Row],[Pcode]]="","",IF(OFFSET(CampList[Opening Date],MATCH(Table_NFI[[#This Row],[Pcode]],CampList[CP_Pcode],0)-1,0,1,1)&gt;=NFI_Monitor_Date,1,0))</f>
        <v>0</v>
      </c>
      <c r="AS73" s="396" t="str">
        <f>IFERROR(VLOOKUP(Table_NFI[[#This Row],[Camp Name]],CL,3,0),"")</f>
        <v>Open</v>
      </c>
      <c r="AT73" s="264" t="str">
        <f ca="1">IF(Table_NFI[[#This Row],[Pcode]]="","",OFFSET(CampList[Priority],MATCH(Table_NFI[[#This Row],[Pcode]],CampList[CP_Pcode],0)-1,0,1,1))</f>
        <v>P4</v>
      </c>
      <c r="AU73" s="263">
        <f>IFERROR(Table_NFI[[#This Row],[Kitchen Set]]/VLOOKUP(Table_NFI[[#This Row],[Camp Name]],CL,4,0),"")</f>
        <v>0</v>
      </c>
      <c r="AV73" s="390"/>
      <c r="AW73" s="397" t="s">
        <v>1447</v>
      </c>
      <c r="AX73" s="399"/>
      <c r="AY73" s="399"/>
      <c r="AZ73" s="399"/>
      <c r="BA73" s="399"/>
      <c r="BB73" s="399"/>
      <c r="BC73" s="399"/>
      <c r="BD73" s="399"/>
      <c r="BE73" s="399"/>
      <c r="BF73" s="399"/>
      <c r="BG73" s="399"/>
      <c r="BH73" s="399"/>
      <c r="BI73" s="399"/>
      <c r="BJ73" s="399"/>
      <c r="BK73" s="399"/>
      <c r="BL73" s="399"/>
      <c r="BM73" s="399"/>
      <c r="BN73" s="399"/>
      <c r="BO73" s="399"/>
      <c r="BP73" s="399"/>
      <c r="BQ73" s="399"/>
      <c r="BR73" s="399"/>
      <c r="BS73" s="399"/>
      <c r="BT73" s="399"/>
      <c r="BU73" s="399"/>
      <c r="BV73" s="399"/>
      <c r="BW73" s="399"/>
      <c r="BX73" s="399"/>
      <c r="BY73" s="399"/>
      <c r="BZ73" s="399"/>
      <c r="CA73" s="399"/>
      <c r="CB73" s="399"/>
      <c r="CC73" s="399"/>
      <c r="CD73" s="399"/>
      <c r="CE73" s="399"/>
      <c r="CF73" s="399"/>
      <c r="CG73" s="399"/>
      <c r="CH73" s="399"/>
      <c r="CI73" s="399"/>
      <c r="CJ73" s="399"/>
      <c r="CK73" s="399"/>
      <c r="CL73" s="399"/>
      <c r="CM73" s="399"/>
      <c r="CN73" s="399"/>
      <c r="CO73" s="399"/>
      <c r="CP73" s="399"/>
      <c r="CQ73" s="399"/>
      <c r="CR73" s="399"/>
      <c r="CS73" s="399"/>
      <c r="CT73" s="399"/>
      <c r="CU73" s="399"/>
      <c r="CV73" s="399"/>
      <c r="CW73" s="399"/>
      <c r="CX73" s="399"/>
      <c r="CY73" s="399"/>
      <c r="CZ73" s="399"/>
      <c r="DA73" s="399"/>
      <c r="DB73" s="399"/>
      <c r="DC73" s="399"/>
      <c r="DD73" s="399"/>
      <c r="DE73" s="399"/>
      <c r="DF73" s="399"/>
      <c r="DG73" s="399"/>
      <c r="DH73" s="399"/>
      <c r="DI73" s="399"/>
      <c r="DJ73" s="399"/>
      <c r="DK73" s="399"/>
      <c r="DL73" s="399"/>
      <c r="DM73" s="399"/>
      <c r="DN73" s="399"/>
      <c r="DO73" s="399"/>
      <c r="DP73" s="399"/>
      <c r="DQ73" s="399"/>
    </row>
    <row r="74" spans="1:121" s="759" customFormat="1" ht="14.45" customHeight="1" x14ac:dyDescent="0.25">
      <c r="A74" s="266">
        <f t="shared" si="1"/>
        <v>7.1</v>
      </c>
      <c r="B74" s="389">
        <v>42643</v>
      </c>
      <c r="C74" s="394" t="s">
        <v>1502</v>
      </c>
      <c r="D74" s="394" t="s">
        <v>1502</v>
      </c>
      <c r="E74" s="394" t="s">
        <v>552</v>
      </c>
      <c r="F74" s="394" t="s">
        <v>298</v>
      </c>
      <c r="G74" s="394" t="s">
        <v>820</v>
      </c>
      <c r="H74" s="261">
        <v>11</v>
      </c>
      <c r="I74" s="261"/>
      <c r="J74" s="261"/>
      <c r="K74" s="261"/>
      <c r="L74" s="261">
        <v>11</v>
      </c>
      <c r="M74" s="261"/>
      <c r="N74" s="261"/>
      <c r="O74" s="261"/>
      <c r="P74" s="261"/>
      <c r="Q74" s="261"/>
      <c r="R74" s="261"/>
      <c r="S74" s="261"/>
      <c r="T74" s="261"/>
      <c r="U74" s="261"/>
      <c r="V74" s="762"/>
      <c r="W74" s="261"/>
      <c r="X74" s="261"/>
      <c r="Y74" s="264">
        <f>IF(NFI_Expiration=1,IF($A74&lt;VLOOKUP(H$5,NFI,5,0),1,0)*Table_NFI[[#This Row],[Hygiene Kit]],Table_NFI[Hygiene Kit])</f>
        <v>11</v>
      </c>
      <c r="Z74" s="264">
        <f>IF(NFI_Expiration=1,IF($A74&lt;VLOOKUP(I$5,NFI,5,0),1,0)*Table_NFI[[#This Row],[NFI Core Kit]],Table_NFI[NFI Core Kit])</f>
        <v>0</v>
      </c>
      <c r="AA74" s="264">
        <f>IF(NFI_Expiration=1,IF($A74&lt;VLOOKUP(J$5,NFI,5,0),1,0)*Table_NFI[[#This Row],[Sanitary Kit]],Table_NFI[Sanitary Kit])</f>
        <v>0</v>
      </c>
      <c r="AB74" s="264">
        <f>IF(NFI_Expiration=1,IF($A74&lt;VLOOKUP(K$5,NFI,5,0),1,0)*Table_NFI[[#This Row],[Mosquito net]],Table_NFI[Mosquito net])</f>
        <v>0</v>
      </c>
      <c r="AC74" s="264">
        <f>IF(NFI_Expiration=1,IF($A74&lt;VLOOKUP(L$5,NFI,5,0),1,0)*Table_NFI[[#This Row],[Tarpaulin]],Table_NFI[[#This Row],[Tarpaulin]])</f>
        <v>11</v>
      </c>
      <c r="AD74" s="264">
        <f>IF(NFI_Expiration=1,IF($A74&lt;VLOOKUP(M$5,NFI,5,0),1,0)*Table_NFI[[#This Row],[Blanket]],Table_NFI[[#This Row],[Blanket]])</f>
        <v>0</v>
      </c>
      <c r="AE74" s="264">
        <f>IF(NFI_Expiration=1,IF($A74&lt;VLOOKUP(N$5,NFI,5,0),1,0)*Table_NFI[[#This Row],[Kitchen Set]],Table_NFI[Kitchen Set])</f>
        <v>0</v>
      </c>
      <c r="AF74" s="264">
        <f>IF(NFI_Expiration=1,IF($A74&lt;VLOOKUP(O$5,NFI,5,0),1,0)*Table_NFI[[#This Row],[Clothes Kit]],Table_NFI[Clothes Kit])</f>
        <v>0</v>
      </c>
      <c r="AG74" s="264">
        <f>IF(NFI_Expiration=1,IF($A74&lt;VLOOKUP(P$5,NFI,5,0),1,0)*Table_NFI[[#This Row],[Plastic Bucket]],Table_NFI[Plastic Bucket])</f>
        <v>0</v>
      </c>
      <c r="AH74" s="264">
        <f>IF(NFI_Expiration=1,IF($A74&lt;VLOOKUP(Q$5,NFI,5,0),1,0)*Table_NFI[[#This Row],[Plastic Mat]],Table_NFI[Plastic Mat])*IF(Table_NFI[[#This Row],[Distribution Date]]&gt;"2014-04-01",1,2.5)</f>
        <v>0</v>
      </c>
      <c r="AI74" s="264">
        <f>IF(NFI_Expiration=1,IF($A74&lt;VLOOKUP(R$5,NFI,5,0),1,0)*Table_NFI[[#This Row],[Winter Clothes Adult]],Table_NFI[Winter Clothes Adult])</f>
        <v>0</v>
      </c>
      <c r="AJ74" s="264">
        <f>IF(NFI_Expiration=1,IF($A74&lt;VLOOKUP(S$5,NFI,5,0),1,0)*Table_NFI[[#This Row],[Winter Clothes Children]],Table_NFI[Winter Clothes Children])</f>
        <v>0</v>
      </c>
      <c r="AK74" s="264">
        <f>IF(NFI_Expiration=1,IF($A74&lt;VLOOKUP(T$5,NFI,5,0),1,0)*Table_NFI[[#This Row],[Winter Items Other]],Table_NFI[Winter Items Other])</f>
        <v>0</v>
      </c>
      <c r="AL74" s="264">
        <f>IF(NFI_Expiration=1,IF($A74&lt;VLOOKUP(M$5,NFI,5,0),1,0)*Table_NFI[[#This Row],[Winter Blanket]],Table_NFI[[#This Row],[Winter Blanket]])</f>
        <v>0</v>
      </c>
      <c r="AM74" s="264">
        <f>IF(Table_NFI[[#This Row],[Winter Clothes Adult]]+Table_NFI[[#This Row],[Winter Clothes Children]]+Table_NFI[[#This Row],[Winter Items Other]]+Table_NFI[[#This Row],[Winter Blanket]]&gt;0,1,0)</f>
        <v>0</v>
      </c>
      <c r="AN74" s="296">
        <f>IF(NFI_Expiration=1,IF($A74&lt;VLOOKUP(V$5,NFI,5,0),1,0)*Table_NFI[[#This Row],[Jerry Can]],Table_NFI[Jerry Can])</f>
        <v>0</v>
      </c>
      <c r="AO74" s="296">
        <f>IF(NFI_Expiration=1,IF($A74&lt;VLOOKUP(V$5,NFI,5,0),1,0)*Table_NFI[[#This Row],[Shelter Tool kit]],Table_NFI[Shelter Tool kit])</f>
        <v>0</v>
      </c>
      <c r="AP74" s="296">
        <f>IF(NFI_Expiration=1,IF($A74&lt;VLOOKUP(V$5,NFI,5,0),1,0)*Table_NFI[[#This Row],[Tent]],Table_NFI[Tent])</f>
        <v>0</v>
      </c>
      <c r="AQ74" s="396" t="str">
        <f>IFERROR(VLOOKUP(Table_NFI[[#This Row],[Camp Name]],CL,2,0),"")</f>
        <v>MMR015CMP014</v>
      </c>
      <c r="AR74" s="702">
        <f ca="1">IF(Table_NFI[[#This Row],[Pcode]]="","",IF(OFFSET(CampList[Opening Date],MATCH(Table_NFI[[#This Row],[Pcode]],CampList[CP_Pcode],0)-1,0,1,1)&gt;=NFI_Monitor_Date,1,0))</f>
        <v>0</v>
      </c>
      <c r="AS74" s="396" t="str">
        <f>IFERROR(VLOOKUP(Table_NFI[[#This Row],[Camp Name]],CL,3,0),"")</f>
        <v>Open</v>
      </c>
      <c r="AT74" s="264" t="str">
        <f ca="1">IF(Table_NFI[[#This Row],[Pcode]]="","",OFFSET(CampList[Priority],MATCH(Table_NFI[[#This Row],[Pcode]],CampList[CP_Pcode],0)-1,0,1,1))</f>
        <v>P3</v>
      </c>
      <c r="AU74" s="263">
        <f>IFERROR(Table_NFI[[#This Row],[Kitchen Set]]/VLOOKUP(Table_NFI[[#This Row],[Camp Name]],CL,4,0),"")</f>
        <v>0</v>
      </c>
      <c r="AV74" s="390"/>
      <c r="AW74" s="397" t="s">
        <v>1503</v>
      </c>
      <c r="AX74" s="402"/>
      <c r="AY74" s="402"/>
      <c r="AZ74" s="402"/>
      <c r="BA74" s="402"/>
      <c r="BB74" s="402"/>
      <c r="BC74" s="402"/>
      <c r="BD74" s="402"/>
      <c r="BE74" s="402"/>
      <c r="BF74" s="402"/>
      <c r="BG74" s="402"/>
      <c r="BH74" s="402"/>
      <c r="BI74" s="402"/>
      <c r="BJ74" s="402"/>
      <c r="BK74" s="402"/>
      <c r="BL74" s="402"/>
      <c r="BM74" s="402"/>
      <c r="BN74" s="402"/>
      <c r="BO74" s="402"/>
      <c r="BP74" s="402"/>
      <c r="BQ74" s="402"/>
      <c r="BR74" s="402"/>
      <c r="BS74" s="402"/>
      <c r="BT74" s="402"/>
      <c r="BU74" s="402"/>
      <c r="BV74" s="402"/>
      <c r="BW74" s="402"/>
      <c r="BX74" s="402"/>
      <c r="BY74" s="402"/>
      <c r="BZ74" s="402"/>
      <c r="CA74" s="402"/>
      <c r="CB74" s="402"/>
      <c r="CC74" s="402"/>
      <c r="CD74" s="402"/>
      <c r="CE74" s="402"/>
      <c r="CF74" s="402"/>
      <c r="CG74" s="402"/>
      <c r="CH74" s="402"/>
      <c r="CI74" s="402"/>
      <c r="CJ74" s="402"/>
      <c r="CK74" s="402"/>
      <c r="CL74" s="402"/>
      <c r="CM74" s="402"/>
      <c r="CN74" s="402"/>
      <c r="CO74" s="402"/>
      <c r="CP74" s="402"/>
      <c r="CQ74" s="402"/>
      <c r="CR74" s="402"/>
      <c r="CS74" s="402"/>
      <c r="CT74" s="402"/>
      <c r="CU74" s="402"/>
      <c r="CV74" s="402"/>
      <c r="CW74" s="402"/>
      <c r="CX74" s="402"/>
      <c r="CY74" s="402"/>
      <c r="CZ74" s="402"/>
      <c r="DA74" s="402"/>
      <c r="DB74" s="402"/>
      <c r="DC74" s="402"/>
      <c r="DD74" s="402"/>
      <c r="DE74" s="402"/>
      <c r="DF74" s="402"/>
      <c r="DG74" s="402"/>
      <c r="DH74" s="402"/>
      <c r="DI74" s="402"/>
      <c r="DJ74" s="402"/>
      <c r="DK74" s="402"/>
      <c r="DL74" s="402"/>
      <c r="DM74" s="402"/>
      <c r="DN74" s="402"/>
      <c r="DO74" s="402"/>
      <c r="DP74" s="402"/>
      <c r="DQ74" s="402"/>
    </row>
    <row r="75" spans="1:121" s="94" customFormat="1" ht="14.45" customHeight="1" x14ac:dyDescent="0.25">
      <c r="A75" s="266">
        <f t="shared" si="1"/>
        <v>7.1</v>
      </c>
      <c r="B75" s="389">
        <v>42643</v>
      </c>
      <c r="C75" s="394" t="s">
        <v>904</v>
      </c>
      <c r="D75" s="394" t="s">
        <v>904</v>
      </c>
      <c r="E75" s="394" t="s">
        <v>380</v>
      </c>
      <c r="F75" s="394" t="s">
        <v>5</v>
      </c>
      <c r="G75" s="394" t="s">
        <v>366</v>
      </c>
      <c r="H75" s="261"/>
      <c r="I75" s="261"/>
      <c r="J75" s="261"/>
      <c r="K75" s="261"/>
      <c r="L75" s="261"/>
      <c r="M75" s="261"/>
      <c r="N75" s="261"/>
      <c r="O75" s="261"/>
      <c r="P75" s="261"/>
      <c r="Q75" s="261"/>
      <c r="R75" s="261"/>
      <c r="S75" s="261"/>
      <c r="T75" s="261"/>
      <c r="U75" s="261"/>
      <c r="V75" s="762">
        <v>1</v>
      </c>
      <c r="W75" s="261"/>
      <c r="X75" s="261"/>
      <c r="Y75" s="264">
        <f>IF(NFI_Expiration=1,IF($A75&lt;VLOOKUP(H$5,NFI,5,0),1,0)*Table_NFI[[#This Row],[Hygiene Kit]],Table_NFI[Hygiene Kit])</f>
        <v>0</v>
      </c>
      <c r="Z75" s="264">
        <f>IF(NFI_Expiration=1,IF($A75&lt;VLOOKUP(I$5,NFI,5,0),1,0)*Table_NFI[[#This Row],[NFI Core Kit]],Table_NFI[NFI Core Kit])</f>
        <v>0</v>
      </c>
      <c r="AA75" s="264">
        <f>IF(NFI_Expiration=1,IF($A75&lt;VLOOKUP(J$5,NFI,5,0),1,0)*Table_NFI[[#This Row],[Sanitary Kit]],Table_NFI[Sanitary Kit])</f>
        <v>0</v>
      </c>
      <c r="AB75" s="264">
        <f>IF(NFI_Expiration=1,IF($A75&lt;VLOOKUP(K$5,NFI,5,0),1,0)*Table_NFI[[#This Row],[Mosquito net]],Table_NFI[Mosquito net])</f>
        <v>0</v>
      </c>
      <c r="AC75" s="264">
        <f>IF(NFI_Expiration=1,IF($A75&lt;VLOOKUP(L$5,NFI,5,0),1,0)*Table_NFI[[#This Row],[Tarpaulin]],Table_NFI[[#This Row],[Tarpaulin]])</f>
        <v>0</v>
      </c>
      <c r="AD75" s="264">
        <f>IF(NFI_Expiration=1,IF($A75&lt;VLOOKUP(M$5,NFI,5,0),1,0)*Table_NFI[[#This Row],[Blanket]],Table_NFI[[#This Row],[Blanket]])</f>
        <v>0</v>
      </c>
      <c r="AE75" s="264">
        <f>IF(NFI_Expiration=1,IF($A75&lt;VLOOKUP(N$5,NFI,5,0),1,0)*Table_NFI[[#This Row],[Kitchen Set]],Table_NFI[Kitchen Set])</f>
        <v>0</v>
      </c>
      <c r="AF75" s="264">
        <f>IF(NFI_Expiration=1,IF($A75&lt;VLOOKUP(O$5,NFI,5,0),1,0)*Table_NFI[[#This Row],[Clothes Kit]],Table_NFI[Clothes Kit])</f>
        <v>0</v>
      </c>
      <c r="AG75" s="264">
        <f>IF(NFI_Expiration=1,IF($A75&lt;VLOOKUP(P$5,NFI,5,0),1,0)*Table_NFI[[#This Row],[Plastic Bucket]],Table_NFI[Plastic Bucket])</f>
        <v>0</v>
      </c>
      <c r="AH75" s="264">
        <f>IF(NFI_Expiration=1,IF($A75&lt;VLOOKUP(Q$5,NFI,5,0),1,0)*Table_NFI[[#This Row],[Plastic Mat]],Table_NFI[Plastic Mat])*IF(Table_NFI[[#This Row],[Distribution Date]]&gt;"2014-04-01",1,2.5)</f>
        <v>0</v>
      </c>
      <c r="AI75" s="264">
        <f>IF(NFI_Expiration=1,IF($A75&lt;VLOOKUP(R$5,NFI,5,0),1,0)*Table_NFI[[#This Row],[Winter Clothes Adult]],Table_NFI[Winter Clothes Adult])</f>
        <v>0</v>
      </c>
      <c r="AJ75" s="264">
        <f>IF(NFI_Expiration=1,IF($A75&lt;VLOOKUP(S$5,NFI,5,0),1,0)*Table_NFI[[#This Row],[Winter Clothes Children]],Table_NFI[Winter Clothes Children])</f>
        <v>0</v>
      </c>
      <c r="AK75" s="264">
        <f>IF(NFI_Expiration=1,IF($A75&lt;VLOOKUP(T$5,NFI,5,0),1,0)*Table_NFI[[#This Row],[Winter Items Other]],Table_NFI[Winter Items Other])</f>
        <v>0</v>
      </c>
      <c r="AL75" s="264">
        <f>IF(NFI_Expiration=1,IF($A75&lt;VLOOKUP(M$5,NFI,5,0),1,0)*Table_NFI[[#This Row],[Winter Blanket]],Table_NFI[[#This Row],[Winter Blanket]])</f>
        <v>0</v>
      </c>
      <c r="AM75" s="264">
        <f>IF(Table_NFI[[#This Row],[Winter Clothes Adult]]+Table_NFI[[#This Row],[Winter Clothes Children]]+Table_NFI[[#This Row],[Winter Items Other]]+Table_NFI[[#This Row],[Winter Blanket]]&gt;0,1,0)</f>
        <v>0</v>
      </c>
      <c r="AN75" s="296">
        <f>IF(NFI_Expiration=1,IF($A75&lt;VLOOKUP(V$5,NFI,5,0),1,0)*Table_NFI[[#This Row],[Jerry Can]],Table_NFI[Jerry Can])</f>
        <v>1</v>
      </c>
      <c r="AO75" s="296">
        <f>IF(NFI_Expiration=1,IF($A75&lt;VLOOKUP(V$5,NFI,5,0),1,0)*Table_NFI[[#This Row],[Shelter Tool kit]],Table_NFI[Shelter Tool kit])</f>
        <v>0</v>
      </c>
      <c r="AP75" s="296">
        <f>IF(NFI_Expiration=1,IF($A75&lt;VLOOKUP(V$5,NFI,5,0),1,0)*Table_NFI[[#This Row],[Tent]],Table_NFI[Tent])</f>
        <v>0</v>
      </c>
      <c r="AQ75" s="396" t="str">
        <f>IFERROR(VLOOKUP(Table_NFI[[#This Row],[Camp Name]],CL,2,0),"")</f>
        <v>MMR001CMP193</v>
      </c>
      <c r="AR75" s="702">
        <f ca="1">IF(Table_NFI[[#This Row],[Pcode]]="","",IF(OFFSET(CampList[Opening Date],MATCH(Table_NFI[[#This Row],[Pcode]],CampList[CP_Pcode],0)-1,0,1,1)&gt;=NFI_Monitor_Date,1,0))</f>
        <v>0</v>
      </c>
      <c r="AS75" s="396" t="str">
        <f>IFERROR(VLOOKUP(Table_NFI[[#This Row],[Camp Name]],CL,3,0),"")</f>
        <v>Open</v>
      </c>
      <c r="AT75" s="264" t="str">
        <f ca="1">IF(Table_NFI[[#This Row],[Pcode]]="","",OFFSET(CampList[Priority],MATCH(Table_NFI[[#This Row],[Pcode]],CampList[CP_Pcode],0)-1,0,1,1))</f>
        <v>P4</v>
      </c>
      <c r="AU75" s="263">
        <f>IFERROR(Table_NFI[[#This Row],[Kitchen Set]]/VLOOKUP(Table_NFI[[#This Row],[Camp Name]],CL,4,0),"")</f>
        <v>0</v>
      </c>
      <c r="AV75" s="390"/>
      <c r="AW75" s="397" t="s">
        <v>1447</v>
      </c>
      <c r="AX75" s="402"/>
      <c r="AY75" s="402"/>
      <c r="AZ75" s="402"/>
      <c r="BA75" s="402"/>
      <c r="BB75" s="402"/>
      <c r="BC75" s="402"/>
      <c r="BD75" s="402"/>
      <c r="BE75" s="402"/>
      <c r="BF75" s="402"/>
      <c r="BG75" s="402"/>
      <c r="BH75" s="402"/>
      <c r="BI75" s="402"/>
      <c r="BJ75" s="402"/>
      <c r="BK75" s="402"/>
      <c r="BL75" s="402"/>
      <c r="BM75" s="402"/>
      <c r="BN75" s="402"/>
      <c r="BO75" s="402"/>
      <c r="BP75" s="402"/>
      <c r="BQ75" s="402"/>
      <c r="BR75" s="402"/>
      <c r="BS75" s="402"/>
      <c r="BT75" s="402"/>
      <c r="BU75" s="402"/>
      <c r="BV75" s="402"/>
      <c r="BW75" s="402"/>
      <c r="BX75" s="402"/>
      <c r="BY75" s="402"/>
      <c r="BZ75" s="402"/>
      <c r="CA75" s="402"/>
      <c r="CB75" s="402"/>
      <c r="CC75" s="402"/>
      <c r="CD75" s="402"/>
      <c r="CE75" s="402"/>
      <c r="CF75" s="402"/>
      <c r="CG75" s="402"/>
      <c r="CH75" s="402"/>
      <c r="CI75" s="402"/>
      <c r="CJ75" s="402"/>
      <c r="CK75" s="402"/>
      <c r="CL75" s="402"/>
      <c r="CM75" s="402"/>
      <c r="CN75" s="402"/>
      <c r="CO75" s="402"/>
      <c r="CP75" s="402"/>
      <c r="CQ75" s="402"/>
      <c r="CR75" s="402"/>
      <c r="CS75" s="402"/>
      <c r="CT75" s="402"/>
      <c r="CU75" s="402"/>
      <c r="CV75" s="402"/>
      <c r="CW75" s="402"/>
      <c r="CX75" s="402"/>
      <c r="CY75" s="402"/>
      <c r="CZ75" s="402"/>
      <c r="DA75" s="402"/>
      <c r="DB75" s="402"/>
      <c r="DC75" s="402"/>
      <c r="DD75" s="402"/>
      <c r="DE75" s="402"/>
      <c r="DF75" s="402"/>
      <c r="DG75" s="402"/>
      <c r="DH75" s="402"/>
      <c r="DI75" s="402"/>
      <c r="DJ75" s="402"/>
      <c r="DK75" s="402"/>
      <c r="DL75" s="402"/>
      <c r="DM75" s="402"/>
      <c r="DN75" s="402"/>
      <c r="DO75" s="402"/>
      <c r="DP75" s="402"/>
      <c r="DQ75" s="402"/>
    </row>
    <row r="76" spans="1:121" s="759" customFormat="1" ht="14.45" customHeight="1" x14ac:dyDescent="0.25">
      <c r="A76" s="266">
        <f t="shared" si="1"/>
        <v>7.1</v>
      </c>
      <c r="B76" s="389">
        <v>42643</v>
      </c>
      <c r="C76" s="394" t="s">
        <v>1502</v>
      </c>
      <c r="D76" s="394" t="s">
        <v>1502</v>
      </c>
      <c r="E76" s="394" t="s">
        <v>552</v>
      </c>
      <c r="F76" s="394" t="s">
        <v>298</v>
      </c>
      <c r="G76" s="394" t="s">
        <v>1467</v>
      </c>
      <c r="H76" s="261">
        <v>11</v>
      </c>
      <c r="I76" s="261"/>
      <c r="J76" s="261"/>
      <c r="K76" s="261"/>
      <c r="L76" s="261">
        <v>11</v>
      </c>
      <c r="M76" s="261"/>
      <c r="N76" s="261"/>
      <c r="O76" s="261"/>
      <c r="P76" s="261"/>
      <c r="Q76" s="261"/>
      <c r="R76" s="261"/>
      <c r="S76" s="261"/>
      <c r="T76" s="261"/>
      <c r="U76" s="261"/>
      <c r="V76" s="762"/>
      <c r="W76" s="261"/>
      <c r="X76" s="261"/>
      <c r="Y76" s="264">
        <f>IF(NFI_Expiration=1,IF($A76&lt;VLOOKUP(H$5,NFI,5,0),1,0)*Table_NFI[[#This Row],[Hygiene Kit]],Table_NFI[Hygiene Kit])</f>
        <v>11</v>
      </c>
      <c r="Z76" s="264">
        <f>IF(NFI_Expiration=1,IF($A76&lt;VLOOKUP(I$5,NFI,5,0),1,0)*Table_NFI[[#This Row],[NFI Core Kit]],Table_NFI[NFI Core Kit])</f>
        <v>0</v>
      </c>
      <c r="AA76" s="264">
        <f>IF(NFI_Expiration=1,IF($A76&lt;VLOOKUP(J$5,NFI,5,0),1,0)*Table_NFI[[#This Row],[Sanitary Kit]],Table_NFI[Sanitary Kit])</f>
        <v>0</v>
      </c>
      <c r="AB76" s="264">
        <f>IF(NFI_Expiration=1,IF($A76&lt;VLOOKUP(K$5,NFI,5,0),1,0)*Table_NFI[[#This Row],[Mosquito net]],Table_NFI[Mosquito net])</f>
        <v>0</v>
      </c>
      <c r="AC76" s="264">
        <f>IF(NFI_Expiration=1,IF($A76&lt;VLOOKUP(L$5,NFI,5,0),1,0)*Table_NFI[[#This Row],[Tarpaulin]],Table_NFI[[#This Row],[Tarpaulin]])</f>
        <v>11</v>
      </c>
      <c r="AD76" s="264">
        <f>IF(NFI_Expiration=1,IF($A76&lt;VLOOKUP(M$5,NFI,5,0),1,0)*Table_NFI[[#This Row],[Blanket]],Table_NFI[[#This Row],[Blanket]])</f>
        <v>0</v>
      </c>
      <c r="AE76" s="264">
        <f>IF(NFI_Expiration=1,IF($A76&lt;VLOOKUP(N$5,NFI,5,0),1,0)*Table_NFI[[#This Row],[Kitchen Set]],Table_NFI[Kitchen Set])</f>
        <v>0</v>
      </c>
      <c r="AF76" s="264">
        <f>IF(NFI_Expiration=1,IF($A76&lt;VLOOKUP(O$5,NFI,5,0),1,0)*Table_NFI[[#This Row],[Clothes Kit]],Table_NFI[Clothes Kit])</f>
        <v>0</v>
      </c>
      <c r="AG76" s="264">
        <f>IF(NFI_Expiration=1,IF($A76&lt;VLOOKUP(P$5,NFI,5,0),1,0)*Table_NFI[[#This Row],[Plastic Bucket]],Table_NFI[Plastic Bucket])</f>
        <v>0</v>
      </c>
      <c r="AH76" s="264">
        <f>IF(NFI_Expiration=1,IF($A76&lt;VLOOKUP(Q$5,NFI,5,0),1,0)*Table_NFI[[#This Row],[Plastic Mat]],Table_NFI[Plastic Mat])*IF(Table_NFI[[#This Row],[Distribution Date]]&gt;"2014-04-01",1,2.5)</f>
        <v>0</v>
      </c>
      <c r="AI76" s="264">
        <f>IF(NFI_Expiration=1,IF($A76&lt;VLOOKUP(R$5,NFI,5,0),1,0)*Table_NFI[[#This Row],[Winter Clothes Adult]],Table_NFI[Winter Clothes Adult])</f>
        <v>0</v>
      </c>
      <c r="AJ76" s="264">
        <f>IF(NFI_Expiration=1,IF($A76&lt;VLOOKUP(S$5,NFI,5,0),1,0)*Table_NFI[[#This Row],[Winter Clothes Children]],Table_NFI[Winter Clothes Children])</f>
        <v>0</v>
      </c>
      <c r="AK76" s="264">
        <f>IF(NFI_Expiration=1,IF($A76&lt;VLOOKUP(T$5,NFI,5,0),1,0)*Table_NFI[[#This Row],[Winter Items Other]],Table_NFI[Winter Items Other])</f>
        <v>0</v>
      </c>
      <c r="AL76" s="264">
        <f>IF(NFI_Expiration=1,IF($A76&lt;VLOOKUP(M$5,NFI,5,0),1,0)*Table_NFI[[#This Row],[Winter Blanket]],Table_NFI[[#This Row],[Winter Blanket]])</f>
        <v>0</v>
      </c>
      <c r="AM76" s="264">
        <f>IF(Table_NFI[[#This Row],[Winter Clothes Adult]]+Table_NFI[[#This Row],[Winter Clothes Children]]+Table_NFI[[#This Row],[Winter Items Other]]+Table_NFI[[#This Row],[Winter Blanket]]&gt;0,1,0)</f>
        <v>0</v>
      </c>
      <c r="AN76" s="296">
        <f>IF(NFI_Expiration=1,IF($A76&lt;VLOOKUP(V$5,NFI,5,0),1,0)*Table_NFI[[#This Row],[Jerry Can]],Table_NFI[Jerry Can])</f>
        <v>0</v>
      </c>
      <c r="AO76" s="296">
        <f>IF(NFI_Expiration=1,IF($A76&lt;VLOOKUP(V$5,NFI,5,0),1,0)*Table_NFI[[#This Row],[Shelter Tool kit]],Table_NFI[Shelter Tool kit])</f>
        <v>0</v>
      </c>
      <c r="AP76" s="296">
        <f>IF(NFI_Expiration=1,IF($A76&lt;VLOOKUP(V$5,NFI,5,0),1,0)*Table_NFI[[#This Row],[Tent]],Table_NFI[Tent])</f>
        <v>0</v>
      </c>
      <c r="AQ76" s="396" t="str">
        <f>IFERROR(VLOOKUP(Table_NFI[[#This Row],[Camp Name]],CL,2,0),"")</f>
        <v>MMR015CMP228</v>
      </c>
      <c r="AR76" s="702">
        <f ca="1">IF(Table_NFI[[#This Row],[Pcode]]="","",IF(OFFSET(CampList[Opening Date],MATCH(Table_NFI[[#This Row],[Pcode]],CampList[CP_Pcode],0)-1,0,1,1)&gt;=NFI_Monitor_Date,1,0))</f>
        <v>0</v>
      </c>
      <c r="AS76" s="396" t="str">
        <f>IFERROR(VLOOKUP(Table_NFI[[#This Row],[Camp Name]],CL,3,0),"")</f>
        <v>Closed</v>
      </c>
      <c r="AT76" s="264">
        <f ca="1">IF(Table_NFI[[#This Row],[Pcode]]="","",OFFSET(CampList[Priority],MATCH(Table_NFI[[#This Row],[Pcode]],CampList[CP_Pcode],0)-1,0,1,1))</f>
        <v>0</v>
      </c>
      <c r="AU76" s="263" t="str">
        <f>IFERROR(Table_NFI[[#This Row],[Kitchen Set]]/VLOOKUP(Table_NFI[[#This Row],[Camp Name]],CL,4,0),"")</f>
        <v/>
      </c>
      <c r="AV76" s="390"/>
      <c r="AW76" s="397" t="s">
        <v>1503</v>
      </c>
      <c r="AX76" s="402"/>
      <c r="AY76" s="402"/>
      <c r="AZ76" s="402"/>
      <c r="BA76" s="402"/>
      <c r="BB76" s="402"/>
      <c r="BC76" s="402"/>
      <c r="BD76" s="402"/>
      <c r="BE76" s="402"/>
      <c r="BF76" s="402"/>
      <c r="BG76" s="402"/>
      <c r="BH76" s="402"/>
      <c r="BI76" s="402"/>
      <c r="BJ76" s="402"/>
      <c r="BK76" s="402"/>
      <c r="BL76" s="402"/>
      <c r="BM76" s="402"/>
      <c r="BN76" s="402"/>
      <c r="BO76" s="402"/>
      <c r="BP76" s="402"/>
      <c r="BQ76" s="402"/>
      <c r="BR76" s="402"/>
      <c r="BS76" s="402"/>
      <c r="BT76" s="402"/>
      <c r="BU76" s="402"/>
      <c r="BV76" s="402"/>
      <c r="BW76" s="402"/>
      <c r="BX76" s="402"/>
      <c r="BY76" s="402"/>
      <c r="BZ76" s="402"/>
      <c r="CA76" s="402"/>
      <c r="CB76" s="402"/>
      <c r="CC76" s="402"/>
      <c r="CD76" s="402"/>
      <c r="CE76" s="402"/>
      <c r="CF76" s="402"/>
      <c r="CG76" s="402"/>
      <c r="CH76" s="402"/>
      <c r="CI76" s="402"/>
      <c r="CJ76" s="402"/>
      <c r="CK76" s="402"/>
      <c r="CL76" s="402"/>
      <c r="CM76" s="402"/>
      <c r="CN76" s="402"/>
      <c r="CO76" s="402"/>
      <c r="CP76" s="402"/>
      <c r="CQ76" s="402"/>
      <c r="CR76" s="402"/>
      <c r="CS76" s="402"/>
      <c r="CT76" s="402"/>
      <c r="CU76" s="402"/>
      <c r="CV76" s="402"/>
      <c r="CW76" s="402"/>
      <c r="CX76" s="402"/>
      <c r="CY76" s="402"/>
      <c r="CZ76" s="402"/>
      <c r="DA76" s="402"/>
      <c r="DB76" s="402"/>
      <c r="DC76" s="402"/>
      <c r="DD76" s="402"/>
      <c r="DE76" s="402"/>
      <c r="DF76" s="402"/>
      <c r="DG76" s="402"/>
      <c r="DH76" s="402"/>
      <c r="DI76" s="402"/>
      <c r="DJ76" s="402"/>
      <c r="DK76" s="402"/>
      <c r="DL76" s="402"/>
      <c r="DM76" s="402"/>
      <c r="DN76" s="402"/>
      <c r="DO76" s="402"/>
      <c r="DP76" s="402"/>
      <c r="DQ76" s="402"/>
    </row>
    <row r="77" spans="1:121" s="760" customFormat="1" ht="14.45" customHeight="1" x14ac:dyDescent="0.25">
      <c r="A77" s="266">
        <f t="shared" si="1"/>
        <v>7.7</v>
      </c>
      <c r="B77" s="389">
        <v>42625</v>
      </c>
      <c r="C77" s="394" t="s">
        <v>1502</v>
      </c>
      <c r="D77" s="394" t="s">
        <v>1502</v>
      </c>
      <c r="E77" s="394" t="s">
        <v>552</v>
      </c>
      <c r="F77" s="394" t="s">
        <v>298</v>
      </c>
      <c r="G77" s="394" t="s">
        <v>1471</v>
      </c>
      <c r="H77" s="261"/>
      <c r="I77" s="261"/>
      <c r="J77" s="261"/>
      <c r="K77" s="261"/>
      <c r="L77" s="261">
        <v>18</v>
      </c>
      <c r="M77" s="261"/>
      <c r="N77" s="261"/>
      <c r="O77" s="261"/>
      <c r="P77" s="261"/>
      <c r="Q77" s="261"/>
      <c r="R77" s="261"/>
      <c r="S77" s="261"/>
      <c r="T77" s="261"/>
      <c r="U77" s="261"/>
      <c r="V77" s="762"/>
      <c r="W77" s="261"/>
      <c r="X77" s="261"/>
      <c r="Y77" s="264">
        <f>IF(NFI_Expiration=1,IF($A77&lt;VLOOKUP(H$5,NFI,5,0),1,0)*Table_NFI[[#This Row],[Hygiene Kit]],Table_NFI[Hygiene Kit])</f>
        <v>0</v>
      </c>
      <c r="Z77" s="264">
        <f>IF(NFI_Expiration=1,IF($A77&lt;VLOOKUP(I$5,NFI,5,0),1,0)*Table_NFI[[#This Row],[NFI Core Kit]],Table_NFI[NFI Core Kit])</f>
        <v>0</v>
      </c>
      <c r="AA77" s="264">
        <f>IF(NFI_Expiration=1,IF($A77&lt;VLOOKUP(J$5,NFI,5,0),1,0)*Table_NFI[[#This Row],[Sanitary Kit]],Table_NFI[Sanitary Kit])</f>
        <v>0</v>
      </c>
      <c r="AB77" s="264">
        <f>IF(NFI_Expiration=1,IF($A77&lt;VLOOKUP(K$5,NFI,5,0),1,0)*Table_NFI[[#This Row],[Mosquito net]],Table_NFI[Mosquito net])</f>
        <v>0</v>
      </c>
      <c r="AC77" s="264">
        <f>IF(NFI_Expiration=1,IF($A77&lt;VLOOKUP(L$5,NFI,5,0),1,0)*Table_NFI[[#This Row],[Tarpaulin]],Table_NFI[[#This Row],[Tarpaulin]])</f>
        <v>18</v>
      </c>
      <c r="AD77" s="264">
        <f>IF(NFI_Expiration=1,IF($A77&lt;VLOOKUP(M$5,NFI,5,0),1,0)*Table_NFI[[#This Row],[Blanket]],Table_NFI[[#This Row],[Blanket]])</f>
        <v>0</v>
      </c>
      <c r="AE77" s="264">
        <f>IF(NFI_Expiration=1,IF($A77&lt;VLOOKUP(N$5,NFI,5,0),1,0)*Table_NFI[[#This Row],[Kitchen Set]],Table_NFI[Kitchen Set])</f>
        <v>0</v>
      </c>
      <c r="AF77" s="264">
        <f>IF(NFI_Expiration=1,IF($A77&lt;VLOOKUP(O$5,NFI,5,0),1,0)*Table_NFI[[#This Row],[Clothes Kit]],Table_NFI[Clothes Kit])</f>
        <v>0</v>
      </c>
      <c r="AG77" s="264">
        <f>IF(NFI_Expiration=1,IF($A77&lt;VLOOKUP(P$5,NFI,5,0),1,0)*Table_NFI[[#This Row],[Plastic Bucket]],Table_NFI[Plastic Bucket])</f>
        <v>0</v>
      </c>
      <c r="AH77" s="264">
        <f>IF(NFI_Expiration=1,IF($A77&lt;VLOOKUP(Q$5,NFI,5,0),1,0)*Table_NFI[[#This Row],[Plastic Mat]],Table_NFI[Plastic Mat])*IF(Table_NFI[[#This Row],[Distribution Date]]&gt;"2014-04-01",1,2.5)</f>
        <v>0</v>
      </c>
      <c r="AI77" s="264">
        <f>IF(NFI_Expiration=1,IF($A77&lt;VLOOKUP(R$5,NFI,5,0),1,0)*Table_NFI[[#This Row],[Winter Clothes Adult]],Table_NFI[Winter Clothes Adult])</f>
        <v>0</v>
      </c>
      <c r="AJ77" s="264">
        <f>IF(NFI_Expiration=1,IF($A77&lt;VLOOKUP(S$5,NFI,5,0),1,0)*Table_NFI[[#This Row],[Winter Clothes Children]],Table_NFI[Winter Clothes Children])</f>
        <v>0</v>
      </c>
      <c r="AK77" s="264">
        <f>IF(NFI_Expiration=1,IF($A77&lt;VLOOKUP(T$5,NFI,5,0),1,0)*Table_NFI[[#This Row],[Winter Items Other]],Table_NFI[Winter Items Other])</f>
        <v>0</v>
      </c>
      <c r="AL77" s="264">
        <f>IF(NFI_Expiration=1,IF($A77&lt;VLOOKUP(M$5,NFI,5,0),1,0)*Table_NFI[[#This Row],[Winter Blanket]],Table_NFI[[#This Row],[Winter Blanket]])</f>
        <v>0</v>
      </c>
      <c r="AM77" s="264">
        <f>IF(Table_NFI[[#This Row],[Winter Clothes Adult]]+Table_NFI[[#This Row],[Winter Clothes Children]]+Table_NFI[[#This Row],[Winter Items Other]]+Table_NFI[[#This Row],[Winter Blanket]]&gt;0,1,0)</f>
        <v>0</v>
      </c>
      <c r="AN77" s="296">
        <f>IF(NFI_Expiration=1,IF($A77&lt;VLOOKUP(V$5,NFI,5,0),1,0)*Table_NFI[[#This Row],[Jerry Can]],Table_NFI[Jerry Can])</f>
        <v>0</v>
      </c>
      <c r="AO77" s="296">
        <f>IF(NFI_Expiration=1,IF($A77&lt;VLOOKUP(V$5,NFI,5,0),1,0)*Table_NFI[[#This Row],[Shelter Tool kit]],Table_NFI[Shelter Tool kit])</f>
        <v>0</v>
      </c>
      <c r="AP77" s="296">
        <f>IF(NFI_Expiration=1,IF($A77&lt;VLOOKUP(V$5,NFI,5,0),1,0)*Table_NFI[[#This Row],[Tent]],Table_NFI[Tent])</f>
        <v>0</v>
      </c>
      <c r="AQ77" s="396" t="str">
        <f>IFERROR(VLOOKUP(Table_NFI[[#This Row],[Camp Name]],CL,2,0),"")</f>
        <v>MMR015CMP231</v>
      </c>
      <c r="AR77" s="702">
        <f ca="1">IF(Table_NFI[[#This Row],[Pcode]]="","",IF(OFFSET(CampList[Opening Date],MATCH(Table_NFI[[#This Row],[Pcode]],CampList[CP_Pcode],0)-1,0,1,1)&gt;=NFI_Monitor_Date,1,0))</f>
        <v>0</v>
      </c>
      <c r="AS77" s="396" t="str">
        <f>IFERROR(VLOOKUP(Table_NFI[[#This Row],[Camp Name]],CL,3,0),"")</f>
        <v>Closed</v>
      </c>
      <c r="AT77" s="264">
        <f ca="1">IF(Table_NFI[[#This Row],[Pcode]]="","",OFFSET(CampList[Priority],MATCH(Table_NFI[[#This Row],[Pcode]],CampList[CP_Pcode],0)-1,0,1,1))</f>
        <v>0</v>
      </c>
      <c r="AU77" s="263" t="str">
        <f>IFERROR(Table_NFI[[#This Row],[Kitchen Set]]/VLOOKUP(Table_NFI[[#This Row],[Camp Name]],CL,4,0),"")</f>
        <v/>
      </c>
      <c r="AV77" s="390"/>
      <c r="AW77" s="397" t="s">
        <v>1503</v>
      </c>
      <c r="AX77" s="399"/>
      <c r="AY77" s="399"/>
      <c r="AZ77" s="399"/>
      <c r="BA77" s="399"/>
      <c r="BB77" s="399"/>
      <c r="BC77" s="399"/>
      <c r="BD77" s="399"/>
      <c r="BE77" s="399"/>
      <c r="BF77" s="399"/>
      <c r="BG77" s="399"/>
      <c r="BH77" s="399"/>
      <c r="BI77" s="399"/>
      <c r="BJ77" s="399"/>
      <c r="BK77" s="399"/>
      <c r="BL77" s="399"/>
      <c r="BM77" s="399"/>
      <c r="BN77" s="399"/>
      <c r="BO77" s="399"/>
      <c r="BP77" s="399"/>
      <c r="BQ77" s="399"/>
      <c r="BR77" s="399"/>
      <c r="BS77" s="399"/>
      <c r="BT77" s="399"/>
      <c r="BU77" s="399"/>
      <c r="BV77" s="399"/>
      <c r="BW77" s="399"/>
      <c r="BX77" s="399"/>
      <c r="BY77" s="399"/>
      <c r="BZ77" s="399"/>
      <c r="CA77" s="399"/>
      <c r="CB77" s="399"/>
      <c r="CC77" s="399"/>
      <c r="CD77" s="399"/>
      <c r="CE77" s="399"/>
      <c r="CF77" s="399"/>
      <c r="CG77" s="399"/>
      <c r="CH77" s="399"/>
      <c r="CI77" s="399"/>
      <c r="CJ77" s="399"/>
      <c r="CK77" s="399"/>
      <c r="CL77" s="399"/>
      <c r="CM77" s="399"/>
      <c r="CN77" s="399"/>
      <c r="CO77" s="399"/>
      <c r="CP77" s="399"/>
      <c r="CQ77" s="399"/>
      <c r="CR77" s="399"/>
      <c r="CS77" s="399"/>
      <c r="CT77" s="399"/>
      <c r="CU77" s="399"/>
      <c r="CV77" s="399"/>
      <c r="CW77" s="399"/>
      <c r="CX77" s="399"/>
      <c r="CY77" s="399"/>
      <c r="CZ77" s="399"/>
      <c r="DA77" s="399"/>
      <c r="DB77" s="399"/>
      <c r="DC77" s="399"/>
      <c r="DD77" s="399"/>
      <c r="DE77" s="399"/>
      <c r="DF77" s="399"/>
      <c r="DG77" s="399"/>
      <c r="DH77" s="399"/>
      <c r="DI77" s="399"/>
      <c r="DJ77" s="399"/>
      <c r="DK77" s="399"/>
      <c r="DL77" s="399"/>
      <c r="DM77" s="399"/>
      <c r="DN77" s="399"/>
      <c r="DO77" s="399"/>
      <c r="DP77" s="399"/>
      <c r="DQ77" s="399"/>
    </row>
    <row r="78" spans="1:121" s="760" customFormat="1" ht="14.45" customHeight="1" x14ac:dyDescent="0.25">
      <c r="A78" s="266">
        <f t="shared" si="1"/>
        <v>8.1</v>
      </c>
      <c r="B78" s="389">
        <v>42613</v>
      </c>
      <c r="C78" s="394" t="s">
        <v>904</v>
      </c>
      <c r="D78" s="394" t="s">
        <v>904</v>
      </c>
      <c r="E78" s="394" t="s">
        <v>380</v>
      </c>
      <c r="F78" s="394" t="s">
        <v>5</v>
      </c>
      <c r="G78" s="394" t="s">
        <v>6</v>
      </c>
      <c r="H78" s="261"/>
      <c r="I78" s="261"/>
      <c r="J78" s="261"/>
      <c r="K78" s="261"/>
      <c r="L78" s="261"/>
      <c r="M78" s="261"/>
      <c r="N78" s="261"/>
      <c r="O78" s="261"/>
      <c r="P78" s="261"/>
      <c r="Q78" s="261"/>
      <c r="R78" s="261"/>
      <c r="S78" s="261"/>
      <c r="T78" s="261"/>
      <c r="U78" s="261"/>
      <c r="V78" s="762">
        <v>1</v>
      </c>
      <c r="W78" s="261"/>
      <c r="X78" s="261"/>
      <c r="Y78" s="264">
        <f>IF(NFI_Expiration=1,IF($A78&lt;VLOOKUP(H$5,NFI,5,0),1,0)*Table_NFI[[#This Row],[Hygiene Kit]],Table_NFI[Hygiene Kit])</f>
        <v>0</v>
      </c>
      <c r="Z78" s="264">
        <f>IF(NFI_Expiration=1,IF($A78&lt;VLOOKUP(I$5,NFI,5,0),1,0)*Table_NFI[[#This Row],[NFI Core Kit]],Table_NFI[NFI Core Kit])</f>
        <v>0</v>
      </c>
      <c r="AA78" s="264">
        <f>IF(NFI_Expiration=1,IF($A78&lt;VLOOKUP(J$5,NFI,5,0),1,0)*Table_NFI[[#This Row],[Sanitary Kit]],Table_NFI[Sanitary Kit])</f>
        <v>0</v>
      </c>
      <c r="AB78" s="264">
        <f>IF(NFI_Expiration=1,IF($A78&lt;VLOOKUP(K$5,NFI,5,0),1,0)*Table_NFI[[#This Row],[Mosquito net]],Table_NFI[Mosquito net])</f>
        <v>0</v>
      </c>
      <c r="AC78" s="264">
        <f>IF(NFI_Expiration=1,IF($A78&lt;VLOOKUP(L$5,NFI,5,0),1,0)*Table_NFI[[#This Row],[Tarpaulin]],Table_NFI[[#This Row],[Tarpaulin]])</f>
        <v>0</v>
      </c>
      <c r="AD78" s="264">
        <f>IF(NFI_Expiration=1,IF($A78&lt;VLOOKUP(M$5,NFI,5,0),1,0)*Table_NFI[[#This Row],[Blanket]],Table_NFI[[#This Row],[Blanket]])</f>
        <v>0</v>
      </c>
      <c r="AE78" s="264">
        <f>IF(NFI_Expiration=1,IF($A78&lt;VLOOKUP(N$5,NFI,5,0),1,0)*Table_NFI[[#This Row],[Kitchen Set]],Table_NFI[Kitchen Set])</f>
        <v>0</v>
      </c>
      <c r="AF78" s="264">
        <f>IF(NFI_Expiration=1,IF($A78&lt;VLOOKUP(O$5,NFI,5,0),1,0)*Table_NFI[[#This Row],[Clothes Kit]],Table_NFI[Clothes Kit])</f>
        <v>0</v>
      </c>
      <c r="AG78" s="264">
        <f>IF(NFI_Expiration=1,IF($A78&lt;VLOOKUP(P$5,NFI,5,0),1,0)*Table_NFI[[#This Row],[Plastic Bucket]],Table_NFI[Plastic Bucket])</f>
        <v>0</v>
      </c>
      <c r="AH78" s="264">
        <f>IF(NFI_Expiration=1,IF($A78&lt;VLOOKUP(Q$5,NFI,5,0),1,0)*Table_NFI[[#This Row],[Plastic Mat]],Table_NFI[Plastic Mat])*IF(Table_NFI[[#This Row],[Distribution Date]]&gt;"2014-04-01",1,2.5)</f>
        <v>0</v>
      </c>
      <c r="AI78" s="264">
        <f>IF(NFI_Expiration=1,IF($A78&lt;VLOOKUP(R$5,NFI,5,0),1,0)*Table_NFI[[#This Row],[Winter Clothes Adult]],Table_NFI[Winter Clothes Adult])</f>
        <v>0</v>
      </c>
      <c r="AJ78" s="264">
        <f>IF(NFI_Expiration=1,IF($A78&lt;VLOOKUP(S$5,NFI,5,0),1,0)*Table_NFI[[#This Row],[Winter Clothes Children]],Table_NFI[Winter Clothes Children])</f>
        <v>0</v>
      </c>
      <c r="AK78" s="264">
        <f>IF(NFI_Expiration=1,IF($A78&lt;VLOOKUP(T$5,NFI,5,0),1,0)*Table_NFI[[#This Row],[Winter Items Other]],Table_NFI[Winter Items Other])</f>
        <v>0</v>
      </c>
      <c r="AL78" s="264">
        <f>IF(NFI_Expiration=1,IF($A78&lt;VLOOKUP(M$5,NFI,5,0),1,0)*Table_NFI[[#This Row],[Winter Blanket]],Table_NFI[[#This Row],[Winter Blanket]])</f>
        <v>0</v>
      </c>
      <c r="AM78" s="264">
        <f>IF(Table_NFI[[#This Row],[Winter Clothes Adult]]+Table_NFI[[#This Row],[Winter Clothes Children]]+Table_NFI[[#This Row],[Winter Items Other]]+Table_NFI[[#This Row],[Winter Blanket]]&gt;0,1,0)</f>
        <v>0</v>
      </c>
      <c r="AN78" s="296">
        <f>IF(NFI_Expiration=1,IF($A78&lt;VLOOKUP(V$5,NFI,5,0),1,0)*Table_NFI[[#This Row],[Jerry Can]],Table_NFI[Jerry Can])</f>
        <v>1</v>
      </c>
      <c r="AO78" s="296">
        <f>IF(NFI_Expiration=1,IF($A78&lt;VLOOKUP(V$5,NFI,5,0),1,0)*Table_NFI[[#This Row],[Shelter Tool kit]],Table_NFI[Shelter Tool kit])</f>
        <v>0</v>
      </c>
      <c r="AP78" s="296">
        <f>IF(NFI_Expiration=1,IF($A78&lt;VLOOKUP(V$5,NFI,5,0),1,0)*Table_NFI[[#This Row],[Tent]],Table_NFI[Tent])</f>
        <v>0</v>
      </c>
      <c r="AQ78" s="396" t="str">
        <f>IFERROR(VLOOKUP(Table_NFI[[#This Row],[Camp Name]],CL,2,0),"")</f>
        <v>MMR001CMP050</v>
      </c>
      <c r="AR78" s="702">
        <f ca="1">IF(Table_NFI[[#This Row],[Pcode]]="","",IF(OFFSET(CampList[Opening Date],MATCH(Table_NFI[[#This Row],[Pcode]],CampList[CP_Pcode],0)-1,0,1,1)&gt;=NFI_Monitor_Date,1,0))</f>
        <v>0</v>
      </c>
      <c r="AS78" s="396" t="str">
        <f>IFERROR(VLOOKUP(Table_NFI[[#This Row],[Camp Name]],CL,3,0),"")</f>
        <v>Open</v>
      </c>
      <c r="AT78" s="264" t="str">
        <f ca="1">IF(Table_NFI[[#This Row],[Pcode]]="","",OFFSET(CampList[Priority],MATCH(Table_NFI[[#This Row],[Pcode]],CampList[CP_Pcode],0)-1,0,1,1))</f>
        <v>P4</v>
      </c>
      <c r="AU78" s="263">
        <f>IFERROR(Table_NFI[[#This Row],[Kitchen Set]]/VLOOKUP(Table_NFI[[#This Row],[Camp Name]],CL,4,0),"")</f>
        <v>0</v>
      </c>
      <c r="AV78" s="390"/>
      <c r="AW78" s="397" t="s">
        <v>1447</v>
      </c>
      <c r="AX78" s="399"/>
      <c r="AY78" s="399"/>
      <c r="AZ78" s="399"/>
      <c r="BA78" s="399"/>
      <c r="BB78" s="399"/>
      <c r="BC78" s="399"/>
      <c r="BD78" s="399"/>
      <c r="BE78" s="399"/>
      <c r="BF78" s="399"/>
      <c r="BG78" s="399"/>
      <c r="BH78" s="399"/>
      <c r="BI78" s="399"/>
      <c r="BJ78" s="399"/>
      <c r="BK78" s="399"/>
      <c r="BL78" s="399"/>
      <c r="BM78" s="399"/>
      <c r="BN78" s="399"/>
      <c r="BO78" s="399"/>
      <c r="BP78" s="399"/>
      <c r="BQ78" s="399"/>
      <c r="BR78" s="399"/>
      <c r="BS78" s="399"/>
      <c r="BT78" s="399"/>
      <c r="BU78" s="399"/>
      <c r="BV78" s="399"/>
      <c r="BW78" s="399"/>
      <c r="BX78" s="399"/>
      <c r="BY78" s="399"/>
      <c r="BZ78" s="399"/>
      <c r="CA78" s="399"/>
      <c r="CB78" s="399"/>
      <c r="CC78" s="399"/>
      <c r="CD78" s="399"/>
      <c r="CE78" s="399"/>
      <c r="CF78" s="399"/>
      <c r="CG78" s="399"/>
      <c r="CH78" s="399"/>
      <c r="CI78" s="399"/>
      <c r="CJ78" s="399"/>
      <c r="CK78" s="399"/>
      <c r="CL78" s="399"/>
      <c r="CM78" s="399"/>
      <c r="CN78" s="399"/>
      <c r="CO78" s="399"/>
      <c r="CP78" s="399"/>
      <c r="CQ78" s="399"/>
      <c r="CR78" s="399"/>
      <c r="CS78" s="399"/>
      <c r="CT78" s="399"/>
      <c r="CU78" s="399"/>
      <c r="CV78" s="399"/>
      <c r="CW78" s="399"/>
      <c r="CX78" s="399"/>
      <c r="CY78" s="399"/>
      <c r="CZ78" s="399"/>
      <c r="DA78" s="399"/>
      <c r="DB78" s="399"/>
      <c r="DC78" s="399"/>
      <c r="DD78" s="399"/>
      <c r="DE78" s="399"/>
      <c r="DF78" s="399"/>
      <c r="DG78" s="399"/>
      <c r="DH78" s="399"/>
      <c r="DI78" s="399"/>
      <c r="DJ78" s="399"/>
      <c r="DK78" s="399"/>
      <c r="DL78" s="399"/>
      <c r="DM78" s="399"/>
      <c r="DN78" s="399"/>
      <c r="DO78" s="399"/>
      <c r="DP78" s="399"/>
      <c r="DQ78" s="399"/>
    </row>
    <row r="79" spans="1:121" s="760" customFormat="1" ht="14.45" customHeight="1" x14ac:dyDescent="0.25">
      <c r="A79" s="266">
        <f t="shared" si="1"/>
        <v>8.1</v>
      </c>
      <c r="B79" s="389">
        <v>42613</v>
      </c>
      <c r="C79" s="394" t="s">
        <v>904</v>
      </c>
      <c r="D79" s="394" t="s">
        <v>904</v>
      </c>
      <c r="E79" s="394" t="s">
        <v>380</v>
      </c>
      <c r="F79" s="394" t="s">
        <v>5</v>
      </c>
      <c r="G79" s="394" t="s">
        <v>22</v>
      </c>
      <c r="H79" s="261"/>
      <c r="I79" s="261"/>
      <c r="J79" s="261"/>
      <c r="K79" s="261"/>
      <c r="L79" s="261"/>
      <c r="M79" s="261"/>
      <c r="N79" s="261"/>
      <c r="O79" s="261"/>
      <c r="P79" s="261"/>
      <c r="Q79" s="261"/>
      <c r="R79" s="261"/>
      <c r="S79" s="261"/>
      <c r="T79" s="261"/>
      <c r="U79" s="261"/>
      <c r="V79" s="762">
        <v>1</v>
      </c>
      <c r="W79" s="261"/>
      <c r="X79" s="261"/>
      <c r="Y79" s="264">
        <f>IF(NFI_Expiration=1,IF($A79&lt;VLOOKUP(H$5,NFI,5,0),1,0)*Table_NFI[[#This Row],[Hygiene Kit]],Table_NFI[Hygiene Kit])</f>
        <v>0</v>
      </c>
      <c r="Z79" s="264">
        <f>IF(NFI_Expiration=1,IF($A79&lt;VLOOKUP(I$5,NFI,5,0),1,0)*Table_NFI[[#This Row],[NFI Core Kit]],Table_NFI[NFI Core Kit])</f>
        <v>0</v>
      </c>
      <c r="AA79" s="264">
        <f>IF(NFI_Expiration=1,IF($A79&lt;VLOOKUP(J$5,NFI,5,0),1,0)*Table_NFI[[#This Row],[Sanitary Kit]],Table_NFI[Sanitary Kit])</f>
        <v>0</v>
      </c>
      <c r="AB79" s="264">
        <f>IF(NFI_Expiration=1,IF($A79&lt;VLOOKUP(K$5,NFI,5,0),1,0)*Table_NFI[[#This Row],[Mosquito net]],Table_NFI[Mosquito net])</f>
        <v>0</v>
      </c>
      <c r="AC79" s="264">
        <f>IF(NFI_Expiration=1,IF($A79&lt;VLOOKUP(L$5,NFI,5,0),1,0)*Table_NFI[[#This Row],[Tarpaulin]],Table_NFI[[#This Row],[Tarpaulin]])</f>
        <v>0</v>
      </c>
      <c r="AD79" s="264">
        <f>IF(NFI_Expiration=1,IF($A79&lt;VLOOKUP(M$5,NFI,5,0),1,0)*Table_NFI[[#This Row],[Blanket]],Table_NFI[[#This Row],[Blanket]])</f>
        <v>0</v>
      </c>
      <c r="AE79" s="264">
        <f>IF(NFI_Expiration=1,IF($A79&lt;VLOOKUP(N$5,NFI,5,0),1,0)*Table_NFI[[#This Row],[Kitchen Set]],Table_NFI[Kitchen Set])</f>
        <v>0</v>
      </c>
      <c r="AF79" s="264">
        <f>IF(NFI_Expiration=1,IF($A79&lt;VLOOKUP(O$5,NFI,5,0),1,0)*Table_NFI[[#This Row],[Clothes Kit]],Table_NFI[Clothes Kit])</f>
        <v>0</v>
      </c>
      <c r="AG79" s="264">
        <f>IF(NFI_Expiration=1,IF($A79&lt;VLOOKUP(P$5,NFI,5,0),1,0)*Table_NFI[[#This Row],[Plastic Bucket]],Table_NFI[Plastic Bucket])</f>
        <v>0</v>
      </c>
      <c r="AH79" s="264">
        <f>IF(NFI_Expiration=1,IF($A79&lt;VLOOKUP(Q$5,NFI,5,0),1,0)*Table_NFI[[#This Row],[Plastic Mat]],Table_NFI[Plastic Mat])*IF(Table_NFI[[#This Row],[Distribution Date]]&gt;"2014-04-01",1,2.5)</f>
        <v>0</v>
      </c>
      <c r="AI79" s="264">
        <f>IF(NFI_Expiration=1,IF($A79&lt;VLOOKUP(R$5,NFI,5,0),1,0)*Table_NFI[[#This Row],[Winter Clothes Adult]],Table_NFI[Winter Clothes Adult])</f>
        <v>0</v>
      </c>
      <c r="AJ79" s="264">
        <f>IF(NFI_Expiration=1,IF($A79&lt;VLOOKUP(S$5,NFI,5,0),1,0)*Table_NFI[[#This Row],[Winter Clothes Children]],Table_NFI[Winter Clothes Children])</f>
        <v>0</v>
      </c>
      <c r="AK79" s="264">
        <f>IF(NFI_Expiration=1,IF($A79&lt;VLOOKUP(T$5,NFI,5,0),1,0)*Table_NFI[[#This Row],[Winter Items Other]],Table_NFI[Winter Items Other])</f>
        <v>0</v>
      </c>
      <c r="AL79" s="264">
        <f>IF(NFI_Expiration=1,IF($A79&lt;VLOOKUP(M$5,NFI,5,0),1,0)*Table_NFI[[#This Row],[Winter Blanket]],Table_NFI[[#This Row],[Winter Blanket]])</f>
        <v>0</v>
      </c>
      <c r="AM79" s="264">
        <f>IF(Table_NFI[[#This Row],[Winter Clothes Adult]]+Table_NFI[[#This Row],[Winter Clothes Children]]+Table_NFI[[#This Row],[Winter Items Other]]+Table_NFI[[#This Row],[Winter Blanket]]&gt;0,1,0)</f>
        <v>0</v>
      </c>
      <c r="AN79" s="296">
        <f>IF(NFI_Expiration=1,IF($A79&lt;VLOOKUP(V$5,NFI,5,0),1,0)*Table_NFI[[#This Row],[Jerry Can]],Table_NFI[Jerry Can])</f>
        <v>1</v>
      </c>
      <c r="AO79" s="296">
        <f>IF(NFI_Expiration=1,IF($A79&lt;VLOOKUP(V$5,NFI,5,0),1,0)*Table_NFI[[#This Row],[Shelter Tool kit]],Table_NFI[Shelter Tool kit])</f>
        <v>0</v>
      </c>
      <c r="AP79" s="296">
        <f>IF(NFI_Expiration=1,IF($A79&lt;VLOOKUP(V$5,NFI,5,0),1,0)*Table_NFI[[#This Row],[Tent]],Table_NFI[Tent])</f>
        <v>0</v>
      </c>
      <c r="AQ79" s="396" t="str">
        <f>IFERROR(VLOOKUP(Table_NFI[[#This Row],[Camp Name]],CL,2,0),"")</f>
        <v>MMR001CMP047</v>
      </c>
      <c r="AR79" s="702">
        <f ca="1">IF(Table_NFI[[#This Row],[Pcode]]="","",IF(OFFSET(CampList[Opening Date],MATCH(Table_NFI[[#This Row],[Pcode]],CampList[CP_Pcode],0)-1,0,1,1)&gt;=NFI_Monitor_Date,1,0))</f>
        <v>0</v>
      </c>
      <c r="AS79" s="396" t="str">
        <f>IFERROR(VLOOKUP(Table_NFI[[#This Row],[Camp Name]],CL,3,0),"")</f>
        <v>Open</v>
      </c>
      <c r="AT79" s="264" t="str">
        <f ca="1">IF(Table_NFI[[#This Row],[Pcode]]="","",OFFSET(CampList[Priority],MATCH(Table_NFI[[#This Row],[Pcode]],CampList[CP_Pcode],0)-1,0,1,1))</f>
        <v>P4</v>
      </c>
      <c r="AU79" s="263">
        <f>IFERROR(Table_NFI[[#This Row],[Kitchen Set]]/VLOOKUP(Table_NFI[[#This Row],[Camp Name]],CL,4,0),"")</f>
        <v>0</v>
      </c>
      <c r="AV79" s="390"/>
      <c r="AW79" s="397" t="s">
        <v>1447</v>
      </c>
      <c r="AX79" s="399"/>
      <c r="AY79" s="399"/>
      <c r="AZ79" s="399"/>
      <c r="BA79" s="399"/>
      <c r="BB79" s="399"/>
      <c r="BC79" s="399"/>
      <c r="BD79" s="399"/>
      <c r="BE79" s="399"/>
      <c r="BF79" s="399"/>
      <c r="BG79" s="399"/>
      <c r="BH79" s="399"/>
      <c r="BI79" s="399"/>
      <c r="BJ79" s="399"/>
      <c r="BK79" s="399"/>
      <c r="BL79" s="399"/>
      <c r="BM79" s="399"/>
      <c r="BN79" s="399"/>
      <c r="BO79" s="399"/>
      <c r="BP79" s="399"/>
      <c r="BQ79" s="399"/>
      <c r="BR79" s="399"/>
      <c r="BS79" s="399"/>
      <c r="BT79" s="399"/>
      <c r="BU79" s="399"/>
      <c r="BV79" s="399"/>
      <c r="BW79" s="399"/>
      <c r="BX79" s="399"/>
      <c r="BY79" s="399"/>
      <c r="BZ79" s="399"/>
      <c r="CA79" s="399"/>
      <c r="CB79" s="399"/>
      <c r="CC79" s="399"/>
      <c r="CD79" s="399"/>
      <c r="CE79" s="399"/>
      <c r="CF79" s="399"/>
      <c r="CG79" s="399"/>
      <c r="CH79" s="399"/>
      <c r="CI79" s="399"/>
      <c r="CJ79" s="399"/>
      <c r="CK79" s="399"/>
      <c r="CL79" s="399"/>
      <c r="CM79" s="399"/>
      <c r="CN79" s="399"/>
      <c r="CO79" s="399"/>
      <c r="CP79" s="399"/>
      <c r="CQ79" s="399"/>
      <c r="CR79" s="399"/>
      <c r="CS79" s="399"/>
      <c r="CT79" s="399"/>
      <c r="CU79" s="399"/>
      <c r="CV79" s="399"/>
      <c r="CW79" s="399"/>
      <c r="CX79" s="399"/>
      <c r="CY79" s="399"/>
      <c r="CZ79" s="399"/>
      <c r="DA79" s="399"/>
      <c r="DB79" s="399"/>
      <c r="DC79" s="399"/>
      <c r="DD79" s="399"/>
      <c r="DE79" s="399"/>
      <c r="DF79" s="399"/>
      <c r="DG79" s="399"/>
      <c r="DH79" s="399"/>
      <c r="DI79" s="399"/>
      <c r="DJ79" s="399"/>
      <c r="DK79" s="399"/>
      <c r="DL79" s="399"/>
      <c r="DM79" s="399"/>
      <c r="DN79" s="399"/>
      <c r="DO79" s="399"/>
      <c r="DP79" s="399"/>
      <c r="DQ79" s="399"/>
    </row>
    <row r="80" spans="1:121" s="393" customFormat="1" ht="14.45" customHeight="1" x14ac:dyDescent="0.25">
      <c r="A80" s="266">
        <f t="shared" si="1"/>
        <v>8.1</v>
      </c>
      <c r="B80" s="389">
        <v>42613</v>
      </c>
      <c r="C80" s="394" t="s">
        <v>904</v>
      </c>
      <c r="D80" s="394" t="s">
        <v>904</v>
      </c>
      <c r="E80" s="394" t="s">
        <v>380</v>
      </c>
      <c r="F80" s="394" t="s">
        <v>526</v>
      </c>
      <c r="G80" s="394" t="s">
        <v>1432</v>
      </c>
      <c r="H80" s="261">
        <v>165</v>
      </c>
      <c r="I80" s="261">
        <v>139</v>
      </c>
      <c r="J80" s="261"/>
      <c r="K80" s="261"/>
      <c r="L80" s="261"/>
      <c r="M80" s="261"/>
      <c r="N80" s="261"/>
      <c r="O80" s="261"/>
      <c r="P80" s="261"/>
      <c r="Q80" s="261"/>
      <c r="R80" s="261"/>
      <c r="S80" s="261"/>
      <c r="T80" s="261"/>
      <c r="U80" s="261"/>
      <c r="V80" s="762">
        <v>8</v>
      </c>
      <c r="W80" s="261"/>
      <c r="X80" s="261"/>
      <c r="Y80" s="264">
        <f>IF(NFI_Expiration=1,IF($A80&lt;VLOOKUP(H$5,NFI,5,0),1,0)*Table_NFI[[#This Row],[Hygiene Kit]],Table_NFI[Hygiene Kit])</f>
        <v>165</v>
      </c>
      <c r="Z80" s="264">
        <f>IF(NFI_Expiration=1,IF($A80&lt;VLOOKUP(I$5,NFI,5,0),1,0)*Table_NFI[[#This Row],[NFI Core Kit]],Table_NFI[NFI Core Kit])</f>
        <v>139</v>
      </c>
      <c r="AA80" s="264">
        <f>IF(NFI_Expiration=1,IF($A80&lt;VLOOKUP(J$5,NFI,5,0),1,0)*Table_NFI[[#This Row],[Sanitary Kit]],Table_NFI[Sanitary Kit])</f>
        <v>0</v>
      </c>
      <c r="AB80" s="264">
        <f>IF(NFI_Expiration=1,IF($A80&lt;VLOOKUP(K$5,NFI,5,0),1,0)*Table_NFI[[#This Row],[Mosquito net]],Table_NFI[Mosquito net])</f>
        <v>0</v>
      </c>
      <c r="AC80" s="264">
        <f>IF(NFI_Expiration=1,IF($A80&lt;VLOOKUP(L$5,NFI,5,0),1,0)*Table_NFI[[#This Row],[Tarpaulin]],Table_NFI[[#This Row],[Tarpaulin]])</f>
        <v>0</v>
      </c>
      <c r="AD80" s="264">
        <f>IF(NFI_Expiration=1,IF($A80&lt;VLOOKUP(M$5,NFI,5,0),1,0)*Table_NFI[[#This Row],[Blanket]],Table_NFI[[#This Row],[Blanket]])</f>
        <v>0</v>
      </c>
      <c r="AE80" s="264">
        <f>IF(NFI_Expiration=1,IF($A80&lt;VLOOKUP(N$5,NFI,5,0),1,0)*Table_NFI[[#This Row],[Kitchen Set]],Table_NFI[Kitchen Set])</f>
        <v>0</v>
      </c>
      <c r="AF80" s="264">
        <f>IF(NFI_Expiration=1,IF($A80&lt;VLOOKUP(O$5,NFI,5,0),1,0)*Table_NFI[[#This Row],[Clothes Kit]],Table_NFI[Clothes Kit])</f>
        <v>0</v>
      </c>
      <c r="AG80" s="264">
        <f>IF(NFI_Expiration=1,IF($A80&lt;VLOOKUP(P$5,NFI,5,0),1,0)*Table_NFI[[#This Row],[Plastic Bucket]],Table_NFI[Plastic Bucket])</f>
        <v>0</v>
      </c>
      <c r="AH80" s="264">
        <f>IF(NFI_Expiration=1,IF($A80&lt;VLOOKUP(Q$5,NFI,5,0),1,0)*Table_NFI[[#This Row],[Plastic Mat]],Table_NFI[Plastic Mat])*IF(Table_NFI[[#This Row],[Distribution Date]]&gt;"2014-04-01",1,2.5)</f>
        <v>0</v>
      </c>
      <c r="AI80" s="264">
        <f>IF(NFI_Expiration=1,IF($A80&lt;VLOOKUP(R$5,NFI,5,0),1,0)*Table_NFI[[#This Row],[Winter Clothes Adult]],Table_NFI[Winter Clothes Adult])</f>
        <v>0</v>
      </c>
      <c r="AJ80" s="264">
        <f>IF(NFI_Expiration=1,IF($A80&lt;VLOOKUP(S$5,NFI,5,0),1,0)*Table_NFI[[#This Row],[Winter Clothes Children]],Table_NFI[Winter Clothes Children])</f>
        <v>0</v>
      </c>
      <c r="AK80" s="264">
        <f>IF(NFI_Expiration=1,IF($A80&lt;VLOOKUP(T$5,NFI,5,0),1,0)*Table_NFI[[#This Row],[Winter Items Other]],Table_NFI[Winter Items Other])</f>
        <v>0</v>
      </c>
      <c r="AL80" s="264">
        <f>IF(NFI_Expiration=1,IF($A80&lt;VLOOKUP(M$5,NFI,5,0),1,0)*Table_NFI[[#This Row],[Winter Blanket]],Table_NFI[[#This Row],[Winter Blanket]])</f>
        <v>0</v>
      </c>
      <c r="AM80" s="264">
        <f>IF(Table_NFI[[#This Row],[Winter Clothes Adult]]+Table_NFI[[#This Row],[Winter Clothes Children]]+Table_NFI[[#This Row],[Winter Items Other]]+Table_NFI[[#This Row],[Winter Blanket]]&gt;0,1,0)</f>
        <v>0</v>
      </c>
      <c r="AN80" s="296">
        <f>IF(NFI_Expiration=1,IF($A80&lt;VLOOKUP(V$5,NFI,5,0),1,0)*Table_NFI[[#This Row],[Jerry Can]],Table_NFI[Jerry Can])</f>
        <v>8</v>
      </c>
      <c r="AO80" s="296">
        <f>IF(NFI_Expiration=1,IF($A80&lt;VLOOKUP(V$5,NFI,5,0),1,0)*Table_NFI[[#This Row],[Shelter Tool kit]],Table_NFI[Shelter Tool kit])</f>
        <v>0</v>
      </c>
      <c r="AP80" s="296">
        <f>IF(NFI_Expiration=1,IF($A80&lt;VLOOKUP(V$5,NFI,5,0),1,0)*Table_NFI[[#This Row],[Tent]],Table_NFI[Tent])</f>
        <v>0</v>
      </c>
      <c r="AQ80" s="396" t="str">
        <f>IFERROR(VLOOKUP(Table_NFI[[#This Row],[Camp Name]],CL,2,0),"")</f>
        <v>MMR001CMP244</v>
      </c>
      <c r="AR80" s="702">
        <f ca="1">IF(Table_NFI[[#This Row],[Pcode]]="","",IF(OFFSET(CampList[Opening Date],MATCH(Table_NFI[[#This Row],[Pcode]],CampList[CP_Pcode],0)-1,0,1,1)&gt;=NFI_Monitor_Date,1,0))</f>
        <v>1</v>
      </c>
      <c r="AS80" s="396" t="str">
        <f>IFERROR(VLOOKUP(Table_NFI[[#This Row],[Camp Name]],CL,3,0),"")</f>
        <v>Open</v>
      </c>
      <c r="AT80" s="264">
        <f ca="1">IF(Table_NFI[[#This Row],[Pcode]]="","",OFFSET(CampList[Priority],MATCH(Table_NFI[[#This Row],[Pcode]],CampList[CP_Pcode],0)-1,0,1,1))</f>
        <v>0</v>
      </c>
      <c r="AU80" s="263">
        <f>IFERROR(Table_NFI[[#This Row],[Kitchen Set]]/VLOOKUP(Table_NFI[[#This Row],[Camp Name]],CL,4,0),"")</f>
        <v>0</v>
      </c>
      <c r="AV80" s="390"/>
      <c r="AW80" s="397" t="s">
        <v>1448</v>
      </c>
      <c r="AX80" s="399"/>
      <c r="AY80" s="399"/>
      <c r="AZ80" s="399"/>
      <c r="BA80" s="399"/>
      <c r="BB80" s="399"/>
      <c r="BC80" s="399"/>
      <c r="BD80" s="399"/>
      <c r="BE80" s="399"/>
      <c r="BF80" s="399"/>
      <c r="BG80" s="399"/>
      <c r="BH80" s="399"/>
      <c r="BI80" s="399"/>
      <c r="BJ80" s="399"/>
      <c r="BK80" s="399"/>
      <c r="BL80" s="399"/>
      <c r="BM80" s="399"/>
      <c r="BN80" s="399"/>
      <c r="BO80" s="399"/>
      <c r="BP80" s="399"/>
      <c r="BQ80" s="399"/>
      <c r="BR80" s="399"/>
      <c r="BS80" s="399"/>
      <c r="BT80" s="399"/>
      <c r="BU80" s="399"/>
      <c r="BV80" s="399"/>
      <c r="BW80" s="399"/>
      <c r="BX80" s="399"/>
      <c r="BY80" s="399"/>
      <c r="BZ80" s="399"/>
      <c r="CA80" s="399"/>
      <c r="CB80" s="399"/>
      <c r="CC80" s="399"/>
      <c r="CD80" s="399"/>
      <c r="CE80" s="399"/>
      <c r="CF80" s="399"/>
      <c r="CG80" s="399"/>
      <c r="CH80" s="399"/>
      <c r="CI80" s="399"/>
      <c r="CJ80" s="399"/>
      <c r="CK80" s="399"/>
      <c r="CL80" s="399"/>
      <c r="CM80" s="399"/>
      <c r="CN80" s="399"/>
      <c r="CO80" s="399"/>
      <c r="CP80" s="399"/>
      <c r="CQ80" s="399"/>
      <c r="CR80" s="399"/>
      <c r="CS80" s="399"/>
      <c r="CT80" s="399"/>
      <c r="CU80" s="399"/>
      <c r="CV80" s="399"/>
      <c r="CW80" s="399"/>
      <c r="CX80" s="399"/>
      <c r="CY80" s="399"/>
      <c r="CZ80" s="399"/>
      <c r="DA80" s="399"/>
      <c r="DB80" s="399"/>
      <c r="DC80" s="399"/>
      <c r="DD80" s="399"/>
      <c r="DE80" s="399"/>
      <c r="DF80" s="399"/>
      <c r="DG80" s="399"/>
      <c r="DH80" s="399"/>
      <c r="DI80" s="399"/>
      <c r="DJ80" s="399"/>
      <c r="DK80" s="399"/>
      <c r="DL80" s="399"/>
      <c r="DM80" s="399"/>
      <c r="DN80" s="399"/>
      <c r="DO80" s="399"/>
      <c r="DP80" s="399"/>
      <c r="DQ80" s="399"/>
    </row>
    <row r="81" spans="1:121" s="393" customFormat="1" ht="14.45" customHeight="1" x14ac:dyDescent="0.25">
      <c r="A81" s="266">
        <f t="shared" si="1"/>
        <v>8.5333333333333332</v>
      </c>
      <c r="B81" s="389">
        <v>42600</v>
      </c>
      <c r="C81" s="394" t="s">
        <v>572</v>
      </c>
      <c r="D81" s="394" t="s">
        <v>459</v>
      </c>
      <c r="E81" s="394" t="s">
        <v>380</v>
      </c>
      <c r="F81" s="394" t="s">
        <v>237</v>
      </c>
      <c r="G81" s="394" t="s">
        <v>261</v>
      </c>
      <c r="H81" s="261"/>
      <c r="I81" s="261"/>
      <c r="J81" s="261"/>
      <c r="K81" s="261"/>
      <c r="L81" s="261">
        <v>29</v>
      </c>
      <c r="M81" s="261"/>
      <c r="N81" s="261"/>
      <c r="O81" s="261"/>
      <c r="P81" s="261"/>
      <c r="Q81" s="261"/>
      <c r="R81" s="261"/>
      <c r="S81" s="261"/>
      <c r="T81" s="261"/>
      <c r="U81" s="261"/>
      <c r="V81" s="762"/>
      <c r="W81" s="261"/>
      <c r="X81" s="261"/>
      <c r="Y81" s="264">
        <f>IF(NFI_Expiration=1,IF($A81&lt;VLOOKUP(H$5,NFI,5,0),1,0)*Table_NFI[[#This Row],[Hygiene Kit]],Table_NFI[Hygiene Kit])</f>
        <v>0</v>
      </c>
      <c r="Z81" s="264">
        <f>IF(NFI_Expiration=1,IF($A81&lt;VLOOKUP(I$5,NFI,5,0),1,0)*Table_NFI[[#This Row],[NFI Core Kit]],Table_NFI[NFI Core Kit])</f>
        <v>0</v>
      </c>
      <c r="AA81" s="264">
        <f>IF(NFI_Expiration=1,IF($A81&lt;VLOOKUP(J$5,NFI,5,0),1,0)*Table_NFI[[#This Row],[Sanitary Kit]],Table_NFI[Sanitary Kit])</f>
        <v>0</v>
      </c>
      <c r="AB81" s="264">
        <f>IF(NFI_Expiration=1,IF($A81&lt;VLOOKUP(K$5,NFI,5,0),1,0)*Table_NFI[[#This Row],[Mosquito net]],Table_NFI[Mosquito net])</f>
        <v>0</v>
      </c>
      <c r="AC81" s="264">
        <f>IF(NFI_Expiration=1,IF($A81&lt;VLOOKUP(L$5,NFI,5,0),1,0)*Table_NFI[[#This Row],[Tarpaulin]],Table_NFI[[#This Row],[Tarpaulin]])</f>
        <v>29</v>
      </c>
      <c r="AD81" s="264">
        <f>IF(NFI_Expiration=1,IF($A81&lt;VLOOKUP(M$5,NFI,5,0),1,0)*Table_NFI[[#This Row],[Blanket]],Table_NFI[[#This Row],[Blanket]])</f>
        <v>0</v>
      </c>
      <c r="AE81" s="264">
        <f>IF(NFI_Expiration=1,IF($A81&lt;VLOOKUP(N$5,NFI,5,0),1,0)*Table_NFI[[#This Row],[Kitchen Set]],Table_NFI[Kitchen Set])</f>
        <v>0</v>
      </c>
      <c r="AF81" s="264">
        <f>IF(NFI_Expiration=1,IF($A81&lt;VLOOKUP(O$5,NFI,5,0),1,0)*Table_NFI[[#This Row],[Clothes Kit]],Table_NFI[Clothes Kit])</f>
        <v>0</v>
      </c>
      <c r="AG81" s="264">
        <f>IF(NFI_Expiration=1,IF($A81&lt;VLOOKUP(P$5,NFI,5,0),1,0)*Table_NFI[[#This Row],[Plastic Bucket]],Table_NFI[Plastic Bucket])</f>
        <v>0</v>
      </c>
      <c r="AH81" s="264">
        <f>IF(NFI_Expiration=1,IF($A81&lt;VLOOKUP(Q$5,NFI,5,0),1,0)*Table_NFI[[#This Row],[Plastic Mat]],Table_NFI[Plastic Mat])*IF(Table_NFI[[#This Row],[Distribution Date]]&gt;"2014-04-01",1,2.5)</f>
        <v>0</v>
      </c>
      <c r="AI81" s="264">
        <f>IF(NFI_Expiration=1,IF($A81&lt;VLOOKUP(R$5,NFI,5,0),1,0)*Table_NFI[[#This Row],[Winter Clothes Adult]],Table_NFI[Winter Clothes Adult])</f>
        <v>0</v>
      </c>
      <c r="AJ81" s="264">
        <f>IF(NFI_Expiration=1,IF($A81&lt;VLOOKUP(S$5,NFI,5,0),1,0)*Table_NFI[[#This Row],[Winter Clothes Children]],Table_NFI[Winter Clothes Children])</f>
        <v>0</v>
      </c>
      <c r="AK81" s="264">
        <f>IF(NFI_Expiration=1,IF($A81&lt;VLOOKUP(T$5,NFI,5,0),1,0)*Table_NFI[[#This Row],[Winter Items Other]],Table_NFI[Winter Items Other])</f>
        <v>0</v>
      </c>
      <c r="AL81" s="264">
        <f>IF(NFI_Expiration=1,IF($A81&lt;VLOOKUP(M$5,NFI,5,0),1,0)*Table_NFI[[#This Row],[Winter Blanket]],Table_NFI[[#This Row],[Winter Blanket]])</f>
        <v>0</v>
      </c>
      <c r="AM81" s="264">
        <f>IF(Table_NFI[[#This Row],[Winter Clothes Adult]]+Table_NFI[[#This Row],[Winter Clothes Children]]+Table_NFI[[#This Row],[Winter Items Other]]+Table_NFI[[#This Row],[Winter Blanket]]&gt;0,1,0)</f>
        <v>0</v>
      </c>
      <c r="AN81" s="296">
        <f>IF(NFI_Expiration=1,IF($A81&lt;VLOOKUP(V$5,NFI,5,0),1,0)*Table_NFI[[#This Row],[Jerry Can]],Table_NFI[Jerry Can])</f>
        <v>0</v>
      </c>
      <c r="AO81" s="296">
        <f>IF(NFI_Expiration=1,IF($A81&lt;VLOOKUP(V$5,NFI,5,0),1,0)*Table_NFI[[#This Row],[Shelter Tool kit]],Table_NFI[Shelter Tool kit])</f>
        <v>0</v>
      </c>
      <c r="AP81" s="296">
        <f>IF(NFI_Expiration=1,IF($A81&lt;VLOOKUP(V$5,NFI,5,0),1,0)*Table_NFI[[#This Row],[Tent]],Table_NFI[Tent])</f>
        <v>0</v>
      </c>
      <c r="AQ81" s="396" t="str">
        <f>IFERROR(VLOOKUP(Table_NFI[[#This Row],[Camp Name]],CL,2,0),"")</f>
        <v>MMR001CMP008</v>
      </c>
      <c r="AR81" s="702">
        <f ca="1">IF(Table_NFI[[#This Row],[Pcode]]="","",IF(OFFSET(CampList[Opening Date],MATCH(Table_NFI[[#This Row],[Pcode]],CampList[CP_Pcode],0)-1,0,1,1)&gt;=NFI_Monitor_Date,1,0))</f>
        <v>0</v>
      </c>
      <c r="AS81" s="396" t="str">
        <f>IFERROR(VLOOKUP(Table_NFI[[#This Row],[Camp Name]],CL,3,0),"")</f>
        <v>Open</v>
      </c>
      <c r="AT81" s="264" t="str">
        <f ca="1">IF(Table_NFI[[#This Row],[Pcode]]="","",OFFSET(CampList[Priority],MATCH(Table_NFI[[#This Row],[Pcode]],CampList[CP_Pcode],0)-1,0,1,1))</f>
        <v>P4</v>
      </c>
      <c r="AU81" s="263">
        <f>IFERROR(Table_NFI[[#This Row],[Kitchen Set]]/VLOOKUP(Table_NFI[[#This Row],[Camp Name]],CL,4,0),"")</f>
        <v>0</v>
      </c>
      <c r="AV81" s="394"/>
      <c r="AW81" s="397"/>
      <c r="AX81" s="399"/>
      <c r="AY81" s="399"/>
      <c r="AZ81" s="399"/>
      <c r="BA81" s="399"/>
      <c r="BB81" s="399"/>
      <c r="BC81" s="399"/>
      <c r="BD81" s="399"/>
      <c r="BE81" s="399"/>
      <c r="BF81" s="399"/>
      <c r="BG81" s="399"/>
      <c r="BH81" s="399"/>
      <c r="BI81" s="399"/>
      <c r="BJ81" s="399"/>
      <c r="BK81" s="399"/>
      <c r="BL81" s="399"/>
      <c r="BM81" s="399"/>
      <c r="BN81" s="399"/>
      <c r="BO81" s="399"/>
      <c r="BP81" s="399"/>
      <c r="BQ81" s="399"/>
      <c r="BR81" s="399"/>
      <c r="BS81" s="399"/>
      <c r="BT81" s="399"/>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Y81" s="399"/>
      <c r="CZ81" s="399"/>
      <c r="DA81" s="399"/>
      <c r="DB81" s="399"/>
      <c r="DC81" s="399"/>
      <c r="DD81" s="399"/>
      <c r="DE81" s="399"/>
      <c r="DF81" s="399"/>
      <c r="DG81" s="399"/>
      <c r="DH81" s="399"/>
      <c r="DI81" s="399"/>
      <c r="DJ81" s="399"/>
      <c r="DK81" s="399"/>
      <c r="DL81" s="399"/>
      <c r="DM81" s="399"/>
      <c r="DN81" s="399"/>
      <c r="DO81" s="399"/>
      <c r="DP81" s="399"/>
      <c r="DQ81" s="399"/>
    </row>
    <row r="82" spans="1:121" s="393" customFormat="1" ht="25.5" customHeight="1" x14ac:dyDescent="0.25">
      <c r="A82" s="266">
        <f t="shared" si="1"/>
        <v>8.7333333333333325</v>
      </c>
      <c r="B82" s="389">
        <v>42594</v>
      </c>
      <c r="C82" s="394" t="s">
        <v>1502</v>
      </c>
      <c r="D82" s="394" t="s">
        <v>1502</v>
      </c>
      <c r="E82" s="394" t="s">
        <v>552</v>
      </c>
      <c r="F82" s="394" t="s">
        <v>1481</v>
      </c>
      <c r="G82" s="394" t="s">
        <v>1478</v>
      </c>
      <c r="H82" s="261"/>
      <c r="I82" s="261"/>
      <c r="J82" s="261"/>
      <c r="K82" s="261"/>
      <c r="L82" s="261">
        <v>38</v>
      </c>
      <c r="M82" s="261"/>
      <c r="N82" s="261"/>
      <c r="O82" s="261"/>
      <c r="P82" s="261"/>
      <c r="Q82" s="261"/>
      <c r="R82" s="261"/>
      <c r="S82" s="261"/>
      <c r="T82" s="261"/>
      <c r="U82" s="261"/>
      <c r="V82" s="762"/>
      <c r="W82" s="261"/>
      <c r="X82" s="261"/>
      <c r="Y82" s="264">
        <f>IF(NFI_Expiration=1,IF($A82&lt;VLOOKUP(H$5,NFI,5,0),1,0)*Table_NFI[[#This Row],[Hygiene Kit]],Table_NFI[Hygiene Kit])</f>
        <v>0</v>
      </c>
      <c r="Z82" s="264">
        <f>IF(NFI_Expiration=1,IF($A82&lt;VLOOKUP(I$5,NFI,5,0),1,0)*Table_NFI[[#This Row],[NFI Core Kit]],Table_NFI[NFI Core Kit])</f>
        <v>0</v>
      </c>
      <c r="AA82" s="264">
        <f>IF(NFI_Expiration=1,IF($A82&lt;VLOOKUP(J$5,NFI,5,0),1,0)*Table_NFI[[#This Row],[Sanitary Kit]],Table_NFI[Sanitary Kit])</f>
        <v>0</v>
      </c>
      <c r="AB82" s="264">
        <f>IF(NFI_Expiration=1,IF($A82&lt;VLOOKUP(K$5,NFI,5,0),1,0)*Table_NFI[[#This Row],[Mosquito net]],Table_NFI[Mosquito net])</f>
        <v>0</v>
      </c>
      <c r="AC82" s="264">
        <f>IF(NFI_Expiration=1,IF($A82&lt;VLOOKUP(L$5,NFI,5,0),1,0)*Table_NFI[[#This Row],[Tarpaulin]],Table_NFI[[#This Row],[Tarpaulin]])</f>
        <v>38</v>
      </c>
      <c r="AD82" s="264">
        <f>IF(NFI_Expiration=1,IF($A82&lt;VLOOKUP(M$5,NFI,5,0),1,0)*Table_NFI[[#This Row],[Blanket]],Table_NFI[[#This Row],[Blanket]])</f>
        <v>0</v>
      </c>
      <c r="AE82" s="264">
        <f>IF(NFI_Expiration=1,IF($A82&lt;VLOOKUP(N$5,NFI,5,0),1,0)*Table_NFI[[#This Row],[Kitchen Set]],Table_NFI[Kitchen Set])</f>
        <v>0</v>
      </c>
      <c r="AF82" s="264">
        <f>IF(NFI_Expiration=1,IF($A82&lt;VLOOKUP(O$5,NFI,5,0),1,0)*Table_NFI[[#This Row],[Clothes Kit]],Table_NFI[Clothes Kit])</f>
        <v>0</v>
      </c>
      <c r="AG82" s="264">
        <f>IF(NFI_Expiration=1,IF($A82&lt;VLOOKUP(P$5,NFI,5,0),1,0)*Table_NFI[[#This Row],[Plastic Bucket]],Table_NFI[Plastic Bucket])</f>
        <v>0</v>
      </c>
      <c r="AH82" s="264">
        <f>IF(NFI_Expiration=1,IF($A82&lt;VLOOKUP(Q$5,NFI,5,0),1,0)*Table_NFI[[#This Row],[Plastic Mat]],Table_NFI[Plastic Mat])*IF(Table_NFI[[#This Row],[Distribution Date]]&gt;"2014-04-01",1,2.5)</f>
        <v>0</v>
      </c>
      <c r="AI82" s="264">
        <f>IF(NFI_Expiration=1,IF($A82&lt;VLOOKUP(R$5,NFI,5,0),1,0)*Table_NFI[[#This Row],[Winter Clothes Adult]],Table_NFI[Winter Clothes Adult])</f>
        <v>0</v>
      </c>
      <c r="AJ82" s="264">
        <f>IF(NFI_Expiration=1,IF($A82&lt;VLOOKUP(S$5,NFI,5,0),1,0)*Table_NFI[[#This Row],[Winter Clothes Children]],Table_NFI[Winter Clothes Children])</f>
        <v>0</v>
      </c>
      <c r="AK82" s="264">
        <f>IF(NFI_Expiration=1,IF($A82&lt;VLOOKUP(T$5,NFI,5,0),1,0)*Table_NFI[[#This Row],[Winter Items Other]],Table_NFI[Winter Items Other])</f>
        <v>0</v>
      </c>
      <c r="AL82" s="264">
        <f>IF(NFI_Expiration=1,IF($A82&lt;VLOOKUP(M$5,NFI,5,0),1,0)*Table_NFI[[#This Row],[Winter Blanket]],Table_NFI[[#This Row],[Winter Blanket]])</f>
        <v>0</v>
      </c>
      <c r="AM82" s="264">
        <f>IF(Table_NFI[[#This Row],[Winter Clothes Adult]]+Table_NFI[[#This Row],[Winter Clothes Children]]+Table_NFI[[#This Row],[Winter Items Other]]+Table_NFI[[#This Row],[Winter Blanket]]&gt;0,1,0)</f>
        <v>0</v>
      </c>
      <c r="AN82" s="296">
        <f>IF(NFI_Expiration=1,IF($A82&lt;VLOOKUP(V$5,NFI,5,0),1,0)*Table_NFI[[#This Row],[Jerry Can]],Table_NFI[Jerry Can])</f>
        <v>0</v>
      </c>
      <c r="AO82" s="296">
        <f>IF(NFI_Expiration=1,IF($A82&lt;VLOOKUP(V$5,NFI,5,0),1,0)*Table_NFI[[#This Row],[Shelter Tool kit]],Table_NFI[Shelter Tool kit])</f>
        <v>0</v>
      </c>
      <c r="AP82" s="296">
        <f>IF(NFI_Expiration=1,IF($A82&lt;VLOOKUP(V$5,NFI,5,0),1,0)*Table_NFI[[#This Row],[Tent]],Table_NFI[Tent])</f>
        <v>0</v>
      </c>
      <c r="AQ82" s="396" t="str">
        <f>IFERROR(VLOOKUP(Table_NFI[[#This Row],[Camp Name]],CL,2,0),"")</f>
        <v>MMR015CMP244</v>
      </c>
      <c r="AR82" s="702">
        <f ca="1">IF(Table_NFI[[#This Row],[Pcode]]="","",IF(OFFSET(CampList[Opening Date],MATCH(Table_NFI[[#This Row],[Pcode]],CampList[CP_Pcode],0)-1,0,1,1)&gt;=NFI_Monitor_Date,1,0))</f>
        <v>0</v>
      </c>
      <c r="AS82" s="396" t="str">
        <f>IFERROR(VLOOKUP(Table_NFI[[#This Row],[Camp Name]],CL,3,0),"")</f>
        <v>Open</v>
      </c>
      <c r="AT82" s="264">
        <f ca="1">IF(Table_NFI[[#This Row],[Pcode]]="","",OFFSET(CampList[Priority],MATCH(Table_NFI[[#This Row],[Pcode]],CampList[CP_Pcode],0)-1,0,1,1))</f>
        <v>0</v>
      </c>
      <c r="AU82" s="263" t="str">
        <f>IFERROR(Table_NFI[[#This Row],[Kitchen Set]]/VLOOKUP(Table_NFI[[#This Row],[Camp Name]],CL,4,0),"")</f>
        <v/>
      </c>
      <c r="AV82" s="390"/>
      <c r="AW82" s="397" t="s">
        <v>1503</v>
      </c>
      <c r="AX82" s="399"/>
      <c r="AY82" s="399"/>
      <c r="AZ82" s="399"/>
      <c r="BA82" s="399"/>
      <c r="BB82" s="399"/>
      <c r="BC82" s="399"/>
      <c r="BD82" s="399"/>
      <c r="BE82" s="399"/>
      <c r="BF82" s="399"/>
      <c r="BG82" s="399"/>
      <c r="BH82" s="399"/>
      <c r="BI82" s="399"/>
      <c r="BJ82" s="399"/>
      <c r="BK82" s="399"/>
      <c r="BL82" s="399"/>
      <c r="BM82" s="399"/>
      <c r="BN82" s="399"/>
      <c r="BO82" s="399"/>
      <c r="BP82" s="399"/>
      <c r="BQ82" s="399"/>
      <c r="BR82" s="399"/>
      <c r="BS82" s="399"/>
      <c r="BT82" s="399"/>
      <c r="BU82" s="399"/>
      <c r="BV82" s="399"/>
      <c r="BW82" s="399"/>
      <c r="BX82" s="399"/>
      <c r="BY82" s="399"/>
      <c r="BZ82" s="399"/>
      <c r="CA82" s="399"/>
      <c r="CB82" s="399"/>
      <c r="CC82" s="399"/>
      <c r="CD82" s="399"/>
      <c r="CE82" s="399"/>
      <c r="CF82" s="399"/>
      <c r="CG82" s="399"/>
      <c r="CH82" s="399"/>
      <c r="CI82" s="399"/>
      <c r="CJ82" s="399"/>
      <c r="CK82" s="399"/>
      <c r="CL82" s="399"/>
      <c r="CM82" s="399"/>
      <c r="CN82" s="399"/>
      <c r="CO82" s="399"/>
      <c r="CP82" s="399"/>
      <c r="CQ82" s="399"/>
      <c r="CR82" s="399"/>
      <c r="CS82" s="399"/>
      <c r="CT82" s="399"/>
      <c r="CU82" s="399"/>
      <c r="CV82" s="399"/>
      <c r="CW82" s="399"/>
      <c r="CX82" s="399"/>
      <c r="CY82" s="399"/>
      <c r="CZ82" s="399"/>
      <c r="DA82" s="399"/>
      <c r="DB82" s="399"/>
      <c r="DC82" s="399"/>
      <c r="DD82" s="399"/>
      <c r="DE82" s="399"/>
      <c r="DF82" s="399"/>
      <c r="DG82" s="399"/>
      <c r="DH82" s="399"/>
      <c r="DI82" s="399"/>
      <c r="DJ82" s="399"/>
      <c r="DK82" s="399"/>
      <c r="DL82" s="399"/>
      <c r="DM82" s="399"/>
      <c r="DN82" s="399"/>
      <c r="DO82" s="399"/>
      <c r="DP82" s="399"/>
      <c r="DQ82" s="399"/>
    </row>
    <row r="83" spans="1:121" s="760" customFormat="1" ht="15" customHeight="1" x14ac:dyDescent="0.25">
      <c r="A83" s="266">
        <f t="shared" si="1"/>
        <v>8.8000000000000007</v>
      </c>
      <c r="B83" s="389">
        <v>42592</v>
      </c>
      <c r="C83" s="394" t="s">
        <v>451</v>
      </c>
      <c r="D83" s="394" t="s">
        <v>459</v>
      </c>
      <c r="E83" s="394" t="s">
        <v>380</v>
      </c>
      <c r="F83" s="394" t="s">
        <v>526</v>
      </c>
      <c r="G83" s="394" t="s">
        <v>269</v>
      </c>
      <c r="H83" s="261"/>
      <c r="I83" s="261">
        <v>4</v>
      </c>
      <c r="J83" s="261">
        <v>4</v>
      </c>
      <c r="K83" s="261">
        <v>10</v>
      </c>
      <c r="L83" s="261">
        <v>117</v>
      </c>
      <c r="M83" s="261">
        <v>10</v>
      </c>
      <c r="N83" s="261">
        <v>4</v>
      </c>
      <c r="O83" s="261"/>
      <c r="P83" s="261">
        <v>8</v>
      </c>
      <c r="Q83" s="261">
        <v>16</v>
      </c>
      <c r="R83" s="261"/>
      <c r="S83" s="261"/>
      <c r="T83" s="261"/>
      <c r="U83" s="261"/>
      <c r="V83" s="762">
        <v>4</v>
      </c>
      <c r="W83" s="261"/>
      <c r="X83" s="261"/>
      <c r="Y83" s="264"/>
      <c r="Z83" s="264"/>
      <c r="AA83" s="264"/>
      <c r="AB83" s="264"/>
      <c r="AC83" s="264"/>
      <c r="AD83" s="264"/>
      <c r="AE83" s="264"/>
      <c r="AF83" s="264"/>
      <c r="AG83" s="264"/>
      <c r="AH83" s="264"/>
      <c r="AI83" s="264"/>
      <c r="AJ83" s="264"/>
      <c r="AK83" s="264"/>
      <c r="AL83" s="264"/>
      <c r="AM83" s="264"/>
      <c r="AN83" s="296"/>
      <c r="AO83" s="296">
        <f>IF(NFI_Expiration=1,IF($A83&lt;VLOOKUP(V$5,NFI,5,0),1,0)*Table_NFI[[#This Row],[Shelter Tool kit]],Table_NFI[Shelter Tool kit])</f>
        <v>0</v>
      </c>
      <c r="AP83" s="296">
        <f>IF(NFI_Expiration=1,IF($A83&lt;VLOOKUP(V$5,NFI,5,0),1,0)*Table_NFI[[#This Row],[Tent]],Table_NFI[Tent])</f>
        <v>0</v>
      </c>
      <c r="AQ83" s="396" t="str">
        <f>IFERROR(VLOOKUP(Table_NFI[[#This Row],[Camp Name]],CL,2,0),"")</f>
        <v>MMR001CMP002</v>
      </c>
      <c r="AR83" s="702">
        <f ca="1">IF(Table_NFI[[#This Row],[Pcode]]="","",IF(OFFSET(CampList[Opening Date],MATCH(Table_NFI[[#This Row],[Pcode]],CampList[CP_Pcode],0)-1,0,1,1)&gt;=NFI_Monitor_Date,1,0))</f>
        <v>0</v>
      </c>
      <c r="AS83" s="396" t="str">
        <f>IFERROR(VLOOKUP(Table_NFI[[#This Row],[Camp Name]],CL,3,0),"")</f>
        <v>Open</v>
      </c>
      <c r="AT83" s="264"/>
      <c r="AU83" s="263"/>
      <c r="AV83" s="390"/>
      <c r="AW83" s="397" t="s">
        <v>1443</v>
      </c>
      <c r="AX83" s="399"/>
      <c r="AY83" s="399"/>
      <c r="AZ83" s="399"/>
      <c r="BA83" s="399"/>
      <c r="BB83" s="399"/>
      <c r="BC83" s="399"/>
      <c r="BD83" s="399"/>
      <c r="BE83" s="399"/>
      <c r="BF83" s="399"/>
      <c r="BG83" s="399"/>
      <c r="BH83" s="399"/>
      <c r="BI83" s="399"/>
      <c r="BJ83" s="399"/>
      <c r="BK83" s="399"/>
      <c r="BL83" s="399"/>
      <c r="BM83" s="399"/>
      <c r="BN83" s="399"/>
      <c r="BO83" s="399"/>
      <c r="BP83" s="399"/>
      <c r="BQ83" s="399"/>
      <c r="BR83" s="399"/>
      <c r="BS83" s="399"/>
      <c r="BT83" s="399"/>
      <c r="BU83" s="399"/>
      <c r="BV83" s="399"/>
      <c r="BW83" s="399"/>
      <c r="BX83" s="399"/>
      <c r="BY83" s="399"/>
      <c r="BZ83" s="399"/>
      <c r="CA83" s="399"/>
      <c r="CB83" s="399"/>
      <c r="CC83" s="399"/>
      <c r="CD83" s="399"/>
      <c r="CE83" s="399"/>
      <c r="CF83" s="399"/>
      <c r="CG83" s="399"/>
      <c r="CH83" s="399"/>
      <c r="CI83" s="399"/>
      <c r="CJ83" s="399"/>
      <c r="CK83" s="399"/>
      <c r="CL83" s="399"/>
      <c r="CM83" s="399"/>
      <c r="CN83" s="399"/>
      <c r="CO83" s="399"/>
      <c r="CP83" s="399"/>
      <c r="CQ83" s="399"/>
      <c r="CR83" s="399"/>
      <c r="CS83" s="399"/>
      <c r="CT83" s="399"/>
      <c r="CU83" s="399"/>
      <c r="CV83" s="399"/>
      <c r="CW83" s="399"/>
      <c r="CX83" s="399"/>
      <c r="CY83" s="399"/>
      <c r="CZ83" s="399"/>
      <c r="DA83" s="399"/>
      <c r="DB83" s="399"/>
      <c r="DC83" s="399"/>
      <c r="DD83" s="399"/>
      <c r="DE83" s="399"/>
      <c r="DF83" s="399"/>
      <c r="DG83" s="399"/>
      <c r="DH83" s="399"/>
      <c r="DI83" s="399"/>
      <c r="DJ83" s="399"/>
      <c r="DK83" s="399"/>
      <c r="DL83" s="399"/>
      <c r="DM83" s="399"/>
      <c r="DN83" s="399"/>
      <c r="DO83" s="399"/>
      <c r="DP83" s="399"/>
      <c r="DQ83" s="399"/>
    </row>
    <row r="84" spans="1:121" s="760" customFormat="1" ht="15" customHeight="1" x14ac:dyDescent="0.25">
      <c r="A84" s="266">
        <f t="shared" si="1"/>
        <v>8.9333333333333336</v>
      </c>
      <c r="B84" s="389">
        <v>42588</v>
      </c>
      <c r="C84" s="390" t="s">
        <v>451</v>
      </c>
      <c r="D84" s="394" t="s">
        <v>505</v>
      </c>
      <c r="E84" s="394" t="s">
        <v>380</v>
      </c>
      <c r="F84" s="394" t="s">
        <v>526</v>
      </c>
      <c r="G84" s="394" t="s">
        <v>1430</v>
      </c>
      <c r="H84" s="261"/>
      <c r="I84" s="261">
        <v>25</v>
      </c>
      <c r="J84" s="261">
        <v>25</v>
      </c>
      <c r="K84" s="261">
        <v>38</v>
      </c>
      <c r="L84" s="261">
        <v>25</v>
      </c>
      <c r="M84" s="261">
        <v>49</v>
      </c>
      <c r="N84" s="261">
        <v>25</v>
      </c>
      <c r="O84" s="261"/>
      <c r="P84" s="261">
        <v>25</v>
      </c>
      <c r="Q84" s="261">
        <v>47</v>
      </c>
      <c r="R84" s="261"/>
      <c r="S84" s="261"/>
      <c r="T84" s="261"/>
      <c r="U84" s="261"/>
      <c r="V84" s="762">
        <v>25</v>
      </c>
      <c r="W84" s="261"/>
      <c r="X84" s="261"/>
      <c r="Y84" s="264"/>
      <c r="Z84" s="264"/>
      <c r="AA84" s="264"/>
      <c r="AB84" s="264"/>
      <c r="AC84" s="264"/>
      <c r="AD84" s="264"/>
      <c r="AE84" s="264"/>
      <c r="AF84" s="264"/>
      <c r="AG84" s="264"/>
      <c r="AH84" s="264"/>
      <c r="AI84" s="264"/>
      <c r="AJ84" s="264"/>
      <c r="AK84" s="264"/>
      <c r="AL84" s="264"/>
      <c r="AM84" s="264"/>
      <c r="AN84" s="296"/>
      <c r="AO84" s="296">
        <f>IF(NFI_Expiration=1,IF($A84&lt;VLOOKUP(V$5,NFI,5,0),1,0)*Table_NFI[[#This Row],[Shelter Tool kit]],Table_NFI[Shelter Tool kit])</f>
        <v>0</v>
      </c>
      <c r="AP84" s="296">
        <f>IF(NFI_Expiration=1,IF($A84&lt;VLOOKUP(V$5,NFI,5,0),1,0)*Table_NFI[[#This Row],[Tent]],Table_NFI[Tent])</f>
        <v>0</v>
      </c>
      <c r="AQ84" s="396" t="str">
        <f>IFERROR(VLOOKUP(Table_NFI[[#This Row],[Camp Name]],CL,2,0),"")</f>
        <v>MMR001CMP247</v>
      </c>
      <c r="AR84" s="702">
        <f ca="1">IF(Table_NFI[[#This Row],[Pcode]]="","",IF(OFFSET(CampList[Opening Date],MATCH(Table_NFI[[#This Row],[Pcode]],CampList[CP_Pcode],0)-1,0,1,1)&gt;=NFI_Monitor_Date,1,0))</f>
        <v>1</v>
      </c>
      <c r="AS84" s="396" t="str">
        <f>IFERROR(VLOOKUP(Table_NFI[[#This Row],[Camp Name]],CL,3,0),"")</f>
        <v>Open</v>
      </c>
      <c r="AT84" s="264">
        <f ca="1">IF(Table_NFI[[#This Row],[Pcode]]="","",OFFSET(CampList[Priority],MATCH(Table_NFI[[#This Row],[Pcode]],CampList[CP_Pcode],0)-1,0,1,1))</f>
        <v>0</v>
      </c>
      <c r="AU84" s="263">
        <f>IFERROR(Table_NFI[[#This Row],[Kitchen Set]]/VLOOKUP(Table_NFI[[#This Row],[Camp Name]],CL,4,0),"")</f>
        <v>5.8707495773060309E-4</v>
      </c>
      <c r="AV84" s="390" t="s">
        <v>1087</v>
      </c>
      <c r="AW84" s="397" t="s">
        <v>1322</v>
      </c>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399"/>
      <c r="CO84" s="399"/>
      <c r="CP84" s="399"/>
      <c r="CQ84" s="399"/>
      <c r="CR84" s="399"/>
      <c r="CS84" s="399"/>
      <c r="CT84" s="399"/>
      <c r="CU84" s="399"/>
      <c r="CV84" s="399"/>
      <c r="CW84" s="399"/>
      <c r="CX84" s="399"/>
      <c r="CY84" s="399"/>
      <c r="CZ84" s="399"/>
      <c r="DA84" s="399"/>
      <c r="DB84" s="399"/>
      <c r="DC84" s="399"/>
      <c r="DD84" s="399"/>
      <c r="DE84" s="399"/>
      <c r="DF84" s="399"/>
      <c r="DG84" s="399"/>
      <c r="DH84" s="399"/>
      <c r="DI84" s="399"/>
      <c r="DJ84" s="399"/>
      <c r="DK84" s="399"/>
      <c r="DL84" s="399"/>
      <c r="DM84" s="399"/>
      <c r="DN84" s="399"/>
      <c r="DO84" s="399"/>
      <c r="DP84" s="399"/>
      <c r="DQ84" s="399"/>
    </row>
    <row r="85" spans="1:121" s="94" customFormat="1" ht="15" customHeight="1" x14ac:dyDescent="0.25">
      <c r="A85" s="266">
        <f t="shared" si="1"/>
        <v>8.9333333333333336</v>
      </c>
      <c r="B85" s="389">
        <v>42588</v>
      </c>
      <c r="C85" s="390" t="s">
        <v>451</v>
      </c>
      <c r="D85" s="394" t="s">
        <v>505</v>
      </c>
      <c r="E85" s="394" t="s">
        <v>380</v>
      </c>
      <c r="F85" s="394" t="s">
        <v>526</v>
      </c>
      <c r="G85" s="394" t="s">
        <v>1431</v>
      </c>
      <c r="H85" s="261"/>
      <c r="I85" s="261">
        <v>7</v>
      </c>
      <c r="J85" s="261">
        <v>7</v>
      </c>
      <c r="K85" s="261">
        <v>7</v>
      </c>
      <c r="L85" s="261">
        <v>7</v>
      </c>
      <c r="M85" s="261">
        <v>9</v>
      </c>
      <c r="N85" s="261">
        <v>7</v>
      </c>
      <c r="O85" s="261"/>
      <c r="P85" s="261">
        <v>7</v>
      </c>
      <c r="Q85" s="261">
        <v>11</v>
      </c>
      <c r="R85" s="261"/>
      <c r="S85" s="261"/>
      <c r="T85" s="261"/>
      <c r="U85" s="261"/>
      <c r="V85" s="762">
        <v>7</v>
      </c>
      <c r="W85" s="261"/>
      <c r="X85" s="261"/>
      <c r="Y85" s="264">
        <f>IF(NFI_Expiration=1,IF($A85&lt;VLOOKUP(H$5,NFI,5,0),1,0)*Table_NFI[[#This Row],[Hygiene Kit]],Table_NFI[Hygiene Kit])</f>
        <v>0</v>
      </c>
      <c r="Z85" s="264">
        <f>IF(NFI_Expiration=1,IF($A85&lt;VLOOKUP(I$5,NFI,5,0),1,0)*Table_NFI[[#This Row],[NFI Core Kit]],Table_NFI[NFI Core Kit])</f>
        <v>7</v>
      </c>
      <c r="AA85" s="264">
        <f>IF(NFI_Expiration=1,IF($A85&lt;VLOOKUP(J$5,NFI,5,0),1,0)*Table_NFI[[#This Row],[Sanitary Kit]],Table_NFI[Sanitary Kit])</f>
        <v>7</v>
      </c>
      <c r="AB85" s="264">
        <f>IF(NFI_Expiration=1,IF($A85&lt;VLOOKUP(K$5,NFI,5,0),1,0)*Table_NFI[[#This Row],[Mosquito net]],Table_NFI[Mosquito net])</f>
        <v>7</v>
      </c>
      <c r="AC85" s="264">
        <f>IF(NFI_Expiration=1,IF($A85&lt;VLOOKUP(L$5,NFI,5,0),1,0)*Table_NFI[[#This Row],[Tarpaulin]],Table_NFI[[#This Row],[Tarpaulin]])</f>
        <v>7</v>
      </c>
      <c r="AD85" s="264">
        <f>IF(NFI_Expiration=1,IF($A85&lt;VLOOKUP(M$5,NFI,5,0),1,0)*Table_NFI[[#This Row],[Blanket]],Table_NFI[[#This Row],[Blanket]])</f>
        <v>9</v>
      </c>
      <c r="AE85" s="264">
        <f>IF(NFI_Expiration=1,IF($A85&lt;VLOOKUP(N$5,NFI,5,0),1,0)*Table_NFI[[#This Row],[Kitchen Set]],Table_NFI[Kitchen Set])</f>
        <v>7</v>
      </c>
      <c r="AF85" s="264">
        <f>IF(NFI_Expiration=1,IF($A85&lt;VLOOKUP(O$5,NFI,5,0),1,0)*Table_NFI[[#This Row],[Clothes Kit]],Table_NFI[Clothes Kit])</f>
        <v>0</v>
      </c>
      <c r="AG85" s="264">
        <f>IF(NFI_Expiration=1,IF($A85&lt;VLOOKUP(P$5,NFI,5,0),1,0)*Table_NFI[[#This Row],[Plastic Bucket]],Table_NFI[Plastic Bucket])</f>
        <v>7</v>
      </c>
      <c r="AH85" s="264">
        <f>IF(NFI_Expiration=1,IF($A85&lt;VLOOKUP(Q$5,NFI,5,0),1,0)*Table_NFI[[#This Row],[Plastic Mat]],Table_NFI[Plastic Mat])*IF(Table_NFI[[#This Row],[Distribution Date]]&gt;"2014-04-01",1,2.5)</f>
        <v>27.5</v>
      </c>
      <c r="AI85" s="264">
        <f>IF(NFI_Expiration=1,IF($A85&lt;VLOOKUP(R$5,NFI,5,0),1,0)*Table_NFI[[#This Row],[Winter Clothes Adult]],Table_NFI[Winter Clothes Adult])</f>
        <v>0</v>
      </c>
      <c r="AJ85" s="264">
        <f>IF(NFI_Expiration=1,IF($A85&lt;VLOOKUP(S$5,NFI,5,0),1,0)*Table_NFI[[#This Row],[Winter Clothes Children]],Table_NFI[Winter Clothes Children])</f>
        <v>0</v>
      </c>
      <c r="AK85" s="264">
        <f>IF(NFI_Expiration=1,IF($A85&lt;VLOOKUP(T$5,NFI,5,0),1,0)*Table_NFI[[#This Row],[Winter Items Other]],Table_NFI[Winter Items Other])</f>
        <v>0</v>
      </c>
      <c r="AL85" s="264">
        <f>IF(NFI_Expiration=1,IF($A85&lt;VLOOKUP(M$5,NFI,5,0),1,0)*Table_NFI[[#This Row],[Winter Blanket]],Table_NFI[[#This Row],[Winter Blanket]])</f>
        <v>0</v>
      </c>
      <c r="AM85" s="264">
        <f>IF(Table_NFI[[#This Row],[Winter Clothes Adult]]+Table_NFI[[#This Row],[Winter Clothes Children]]+Table_NFI[[#This Row],[Winter Items Other]]+Table_NFI[[#This Row],[Winter Blanket]]&gt;0,1,0)</f>
        <v>0</v>
      </c>
      <c r="AN85" s="296">
        <f>IF(NFI_Expiration=1,IF($A85&lt;VLOOKUP(V$5,NFI,5,0),1,0)*Table_NFI[[#This Row],[Jerry Can]],Table_NFI[Jerry Can])</f>
        <v>7</v>
      </c>
      <c r="AO85" s="296">
        <f>IF(NFI_Expiration=1,IF($A85&lt;VLOOKUP(V$5,NFI,5,0),1,0)*Table_NFI[[#This Row],[Shelter Tool kit]],Table_NFI[Shelter Tool kit])</f>
        <v>0</v>
      </c>
      <c r="AP85" s="296">
        <f>IF(NFI_Expiration=1,IF($A85&lt;VLOOKUP(V$5,NFI,5,0),1,0)*Table_NFI[[#This Row],[Tent]],Table_NFI[Tent])</f>
        <v>0</v>
      </c>
      <c r="AQ85" s="396" t="str">
        <f>IFERROR(VLOOKUP(Table_NFI[[#This Row],[Camp Name]],CL,2,0),"")</f>
        <v>MMR001CMP246</v>
      </c>
      <c r="AR85" s="702">
        <f ca="1">IF(Table_NFI[[#This Row],[Pcode]]="","",IF(OFFSET(CampList[Opening Date],MATCH(Table_NFI[[#This Row],[Pcode]],CampList[CP_Pcode],0)-1,0,1,1)&gt;=NFI_Monitor_Date,1,0))</f>
        <v>1</v>
      </c>
      <c r="AS85" s="396" t="str">
        <f>IFERROR(VLOOKUP(Table_NFI[[#This Row],[Camp Name]],CL,3,0),"")</f>
        <v>Open</v>
      </c>
      <c r="AT85" s="264">
        <f ca="1">IF(Table_NFI[[#This Row],[Pcode]]="","",OFFSET(CampList[Priority],MATCH(Table_NFI[[#This Row],[Pcode]],CampList[CP_Pcode],0)-1,0,1,1))</f>
        <v>0</v>
      </c>
      <c r="AU85" s="263">
        <f>IFERROR(Table_NFI[[#This Row],[Kitchen Set]]/VLOOKUP(Table_NFI[[#This Row],[Camp Name]],CL,4,0),"")</f>
        <v>1.6438098816456886E-4</v>
      </c>
      <c r="AV85" s="390" t="s">
        <v>1087</v>
      </c>
      <c r="AW85" s="397" t="s">
        <v>1322</v>
      </c>
      <c r="AX85" s="402"/>
      <c r="AY85" s="402"/>
      <c r="AZ85" s="402"/>
      <c r="BA85" s="402"/>
      <c r="BB85" s="402"/>
      <c r="BC85" s="402"/>
      <c r="BD85" s="402"/>
      <c r="BE85" s="402"/>
      <c r="BF85" s="402"/>
      <c r="BG85" s="402"/>
      <c r="BH85" s="402"/>
      <c r="BI85" s="402"/>
      <c r="BJ85" s="402"/>
      <c r="BK85" s="402"/>
      <c r="BL85" s="402"/>
      <c r="BM85" s="402"/>
      <c r="BN85" s="402"/>
      <c r="BO85" s="402"/>
      <c r="BP85" s="402"/>
      <c r="BQ85" s="402"/>
      <c r="BR85" s="402"/>
      <c r="BS85" s="402"/>
      <c r="BT85" s="402"/>
      <c r="BU85" s="402"/>
      <c r="BV85" s="402"/>
      <c r="BW85" s="402"/>
      <c r="BX85" s="402"/>
      <c r="BY85" s="402"/>
      <c r="BZ85" s="402"/>
      <c r="CA85" s="402"/>
      <c r="CB85" s="402"/>
      <c r="CC85" s="402"/>
      <c r="CD85" s="402"/>
      <c r="CE85" s="402"/>
      <c r="CF85" s="402"/>
      <c r="CG85" s="402"/>
      <c r="CH85" s="402"/>
      <c r="CI85" s="402"/>
      <c r="CJ85" s="402"/>
      <c r="CK85" s="402"/>
      <c r="CL85" s="402"/>
      <c r="CM85" s="402"/>
      <c r="CN85" s="402"/>
      <c r="CO85" s="402"/>
      <c r="CP85" s="402"/>
      <c r="CQ85" s="402"/>
      <c r="CR85" s="402"/>
      <c r="CS85" s="402"/>
      <c r="CT85" s="402"/>
      <c r="CU85" s="402"/>
      <c r="CV85" s="402"/>
      <c r="CW85" s="402"/>
      <c r="CX85" s="402"/>
      <c r="CY85" s="402"/>
      <c r="CZ85" s="402"/>
      <c r="DA85" s="402"/>
      <c r="DB85" s="402"/>
      <c r="DC85" s="402"/>
      <c r="DD85" s="402"/>
      <c r="DE85" s="402"/>
      <c r="DF85" s="402"/>
      <c r="DG85" s="402"/>
      <c r="DH85" s="402"/>
      <c r="DI85" s="402"/>
      <c r="DJ85" s="402"/>
      <c r="DK85" s="402"/>
      <c r="DL85" s="402"/>
      <c r="DM85" s="402"/>
      <c r="DN85" s="402"/>
      <c r="DO85" s="402"/>
      <c r="DP85" s="402"/>
      <c r="DQ85" s="402"/>
    </row>
    <row r="86" spans="1:121" s="393" customFormat="1" ht="15" customHeight="1" x14ac:dyDescent="0.25">
      <c r="A86" s="266">
        <f t="shared" si="1"/>
        <v>8.9333333333333336</v>
      </c>
      <c r="B86" s="389">
        <v>42588</v>
      </c>
      <c r="C86" s="394" t="s">
        <v>451</v>
      </c>
      <c r="D86" s="394" t="s">
        <v>505</v>
      </c>
      <c r="E86" s="394" t="s">
        <v>380</v>
      </c>
      <c r="F86" s="394" t="s">
        <v>526</v>
      </c>
      <c r="G86" s="394" t="s">
        <v>1428</v>
      </c>
      <c r="H86" s="261"/>
      <c r="I86" s="261">
        <v>21</v>
      </c>
      <c r="J86" s="261">
        <v>21</v>
      </c>
      <c r="K86" s="261">
        <v>27</v>
      </c>
      <c r="L86" s="261">
        <v>21</v>
      </c>
      <c r="M86" s="261">
        <v>30</v>
      </c>
      <c r="N86" s="261">
        <v>21</v>
      </c>
      <c r="O86" s="261"/>
      <c r="P86" s="261">
        <v>21</v>
      </c>
      <c r="Q86" s="261">
        <v>33</v>
      </c>
      <c r="R86" s="261"/>
      <c r="S86" s="261"/>
      <c r="T86" s="261"/>
      <c r="U86" s="261"/>
      <c r="V86" s="762">
        <v>21</v>
      </c>
      <c r="W86" s="261"/>
      <c r="X86" s="261"/>
      <c r="Y86" s="264">
        <f>IF(NFI_Expiration=1,IF($A86&lt;VLOOKUP(H$5,NFI,5,0),1,0)*Table_NFI[[#This Row],[Hygiene Kit]],Table_NFI[Hygiene Kit])</f>
        <v>0</v>
      </c>
      <c r="Z86" s="264">
        <f>IF(NFI_Expiration=1,IF($A86&lt;VLOOKUP(I$5,NFI,5,0),1,0)*Table_NFI[[#This Row],[NFI Core Kit]],Table_NFI[NFI Core Kit])</f>
        <v>21</v>
      </c>
      <c r="AA86" s="264">
        <f>IF(NFI_Expiration=1,IF($A86&lt;VLOOKUP(J$5,NFI,5,0),1,0)*Table_NFI[[#This Row],[Sanitary Kit]],Table_NFI[Sanitary Kit])</f>
        <v>21</v>
      </c>
      <c r="AB86" s="264">
        <f>IF(NFI_Expiration=1,IF($A86&lt;VLOOKUP(K$5,NFI,5,0),1,0)*Table_NFI[[#This Row],[Mosquito net]],Table_NFI[Mosquito net])</f>
        <v>27</v>
      </c>
      <c r="AC86" s="264">
        <f>IF(NFI_Expiration=1,IF($A86&lt;VLOOKUP(L$5,NFI,5,0),1,0)*Table_NFI[[#This Row],[Tarpaulin]],Table_NFI[[#This Row],[Tarpaulin]])</f>
        <v>21</v>
      </c>
      <c r="AD86" s="264">
        <f>IF(NFI_Expiration=1,IF($A86&lt;VLOOKUP(M$5,NFI,5,0),1,0)*Table_NFI[[#This Row],[Blanket]],Table_NFI[[#This Row],[Blanket]])</f>
        <v>30</v>
      </c>
      <c r="AE86" s="264">
        <f>IF(NFI_Expiration=1,IF($A86&lt;VLOOKUP(N$5,NFI,5,0),1,0)*Table_NFI[[#This Row],[Kitchen Set]],Table_NFI[Kitchen Set])</f>
        <v>21</v>
      </c>
      <c r="AF86" s="264">
        <f>IF(NFI_Expiration=1,IF($A86&lt;VLOOKUP(O$5,NFI,5,0),1,0)*Table_NFI[[#This Row],[Clothes Kit]],Table_NFI[Clothes Kit])</f>
        <v>0</v>
      </c>
      <c r="AG86" s="264">
        <f>IF(NFI_Expiration=1,IF($A86&lt;VLOOKUP(P$5,NFI,5,0),1,0)*Table_NFI[[#This Row],[Plastic Bucket]],Table_NFI[Plastic Bucket])</f>
        <v>21</v>
      </c>
      <c r="AH86" s="264">
        <f>IF(NFI_Expiration=1,IF($A86&lt;VLOOKUP(Q$5,NFI,5,0),1,0)*Table_NFI[[#This Row],[Plastic Mat]],Table_NFI[Plastic Mat])*IF(Table_NFI[[#This Row],[Distribution Date]]&gt;"2014-04-01",1,2.5)</f>
        <v>82.5</v>
      </c>
      <c r="AI86" s="264">
        <f>IF(NFI_Expiration=1,IF($A86&lt;VLOOKUP(R$5,NFI,5,0),1,0)*Table_NFI[[#This Row],[Winter Clothes Adult]],Table_NFI[Winter Clothes Adult])</f>
        <v>0</v>
      </c>
      <c r="AJ86" s="264">
        <f>IF(NFI_Expiration=1,IF($A86&lt;VLOOKUP(S$5,NFI,5,0),1,0)*Table_NFI[[#This Row],[Winter Clothes Children]],Table_NFI[Winter Clothes Children])</f>
        <v>0</v>
      </c>
      <c r="AK86" s="264">
        <f>IF(NFI_Expiration=1,IF($A86&lt;VLOOKUP(T$5,NFI,5,0),1,0)*Table_NFI[[#This Row],[Winter Items Other]],Table_NFI[Winter Items Other])</f>
        <v>0</v>
      </c>
      <c r="AL86" s="264">
        <f>IF(NFI_Expiration=1,IF($A86&lt;VLOOKUP(M$5,NFI,5,0),1,0)*Table_NFI[[#This Row],[Winter Blanket]],Table_NFI[[#This Row],[Winter Blanket]])</f>
        <v>0</v>
      </c>
      <c r="AM86" s="264">
        <f>IF(Table_NFI[[#This Row],[Winter Clothes Adult]]+Table_NFI[[#This Row],[Winter Clothes Children]]+Table_NFI[[#This Row],[Winter Items Other]]+Table_NFI[[#This Row],[Winter Blanket]]&gt;0,1,0)</f>
        <v>0</v>
      </c>
      <c r="AN86" s="296">
        <f>IF(NFI_Expiration=1,IF($A86&lt;VLOOKUP(V$5,NFI,5,0),1,0)*Table_NFI[[#This Row],[Jerry Can]],Table_NFI[Jerry Can])</f>
        <v>21</v>
      </c>
      <c r="AO86" s="296">
        <f>IF(NFI_Expiration=1,IF($A86&lt;VLOOKUP(V$5,NFI,5,0),1,0)*Table_NFI[[#This Row],[Shelter Tool kit]],Table_NFI[Shelter Tool kit])</f>
        <v>0</v>
      </c>
      <c r="AP86" s="296">
        <f>IF(NFI_Expiration=1,IF($A86&lt;VLOOKUP(V$5,NFI,5,0),1,0)*Table_NFI[[#This Row],[Tent]],Table_NFI[Tent])</f>
        <v>0</v>
      </c>
      <c r="AQ86" s="396" t="str">
        <f>IFERROR(VLOOKUP(Table_NFI[[#This Row],[Camp Name]],CL,2,0),"")</f>
        <v>MMR001CMP243</v>
      </c>
      <c r="AR86" s="702">
        <f ca="1">IF(Table_NFI[[#This Row],[Pcode]]="","",IF(OFFSET(CampList[Opening Date],MATCH(Table_NFI[[#This Row],[Pcode]],CampList[CP_Pcode],0)-1,0,1,1)&gt;=NFI_Monitor_Date,1,0))</f>
        <v>1</v>
      </c>
      <c r="AS86" s="396" t="str">
        <f>IFERROR(VLOOKUP(Table_NFI[[#This Row],[Camp Name]],CL,3,0),"")</f>
        <v>Closed</v>
      </c>
      <c r="AT86" s="264">
        <f ca="1">IF(Table_NFI[[#This Row],[Pcode]]="","",OFFSET(CampList[Priority],MATCH(Table_NFI[[#This Row],[Pcode]],CampList[CP_Pcode],0)-1,0,1,1))</f>
        <v>0</v>
      </c>
      <c r="AU86" s="263">
        <f>IFERROR(Table_NFI[[#This Row],[Kitchen Set]]/VLOOKUP(Table_NFI[[#This Row],[Camp Name]],CL,4,0),"")</f>
        <v>4.931429644937066E-4</v>
      </c>
      <c r="AV86" s="390"/>
      <c r="AW86" s="397"/>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399"/>
      <c r="CO86" s="399"/>
      <c r="CP86" s="399"/>
      <c r="CQ86" s="399"/>
      <c r="CR86" s="399"/>
      <c r="CS86" s="399"/>
      <c r="CT86" s="399"/>
      <c r="CU86" s="399"/>
      <c r="CV86" s="399"/>
      <c r="CW86" s="399"/>
      <c r="CX86" s="399"/>
      <c r="CY86" s="399"/>
      <c r="CZ86" s="399"/>
      <c r="DA86" s="399"/>
      <c r="DB86" s="399"/>
      <c r="DC86" s="399"/>
      <c r="DD86" s="399"/>
      <c r="DE86" s="399"/>
      <c r="DF86" s="399"/>
      <c r="DG86" s="399"/>
      <c r="DH86" s="399"/>
      <c r="DI86" s="399"/>
      <c r="DJ86" s="399"/>
      <c r="DK86" s="399"/>
      <c r="DL86" s="399"/>
      <c r="DM86" s="399"/>
      <c r="DN86" s="399"/>
      <c r="DO86" s="399"/>
      <c r="DP86" s="399"/>
      <c r="DQ86" s="399"/>
    </row>
    <row r="87" spans="1:121" s="759" customFormat="1" ht="15" customHeight="1" x14ac:dyDescent="0.25">
      <c r="A87" s="266">
        <f t="shared" si="1"/>
        <v>8.9333333333333336</v>
      </c>
      <c r="B87" s="389">
        <v>42588</v>
      </c>
      <c r="C87" s="394" t="s">
        <v>451</v>
      </c>
      <c r="D87" s="394" t="s">
        <v>1340</v>
      </c>
      <c r="E87" s="394" t="s">
        <v>380</v>
      </c>
      <c r="F87" s="394" t="s">
        <v>526</v>
      </c>
      <c r="G87" s="394" t="s">
        <v>1428</v>
      </c>
      <c r="H87" s="261"/>
      <c r="I87" s="261">
        <v>21</v>
      </c>
      <c r="J87" s="261">
        <v>21</v>
      </c>
      <c r="K87" s="261">
        <v>27</v>
      </c>
      <c r="L87" s="261">
        <v>21</v>
      </c>
      <c r="M87" s="261">
        <v>30</v>
      </c>
      <c r="N87" s="261">
        <v>21</v>
      </c>
      <c r="O87" s="261"/>
      <c r="P87" s="261">
        <v>21</v>
      </c>
      <c r="Q87" s="261">
        <v>33</v>
      </c>
      <c r="R87" s="261"/>
      <c r="S87" s="261"/>
      <c r="T87" s="261"/>
      <c r="U87" s="261"/>
      <c r="V87" s="762">
        <v>21</v>
      </c>
      <c r="W87" s="261"/>
      <c r="X87" s="261"/>
      <c r="Y87" s="264"/>
      <c r="Z87" s="264"/>
      <c r="AA87" s="264"/>
      <c r="AB87" s="264"/>
      <c r="AC87" s="264"/>
      <c r="AD87" s="264"/>
      <c r="AE87" s="264"/>
      <c r="AF87" s="264"/>
      <c r="AG87" s="264"/>
      <c r="AH87" s="264"/>
      <c r="AI87" s="264"/>
      <c r="AJ87" s="264"/>
      <c r="AK87" s="264"/>
      <c r="AL87" s="264"/>
      <c r="AM87" s="264"/>
      <c r="AN87" s="296"/>
      <c r="AO87" s="296"/>
      <c r="AP87" s="296"/>
      <c r="AQ87" s="396"/>
      <c r="AR87" s="702" t="str">
        <f ca="1">IF(Table_NFI[[#This Row],[Pcode]]="","",IF(OFFSET(CampList[Opening Date],MATCH(Table_NFI[[#This Row],[Pcode]],CampList[CP_Pcode],0)-1,0,1,1)&gt;=NFI_Monitor_Date,1,0))</f>
        <v/>
      </c>
      <c r="AS87" s="396" t="str">
        <f>IFERROR(VLOOKUP(Table_NFI[[#This Row],[Camp Name]],CL,3,0),"")</f>
        <v>Closed</v>
      </c>
      <c r="AT87" s="264"/>
      <c r="AU87" s="263"/>
      <c r="AV87" s="390"/>
      <c r="AW87" s="397"/>
      <c r="AX87" s="402"/>
      <c r="AY87" s="402"/>
      <c r="AZ87" s="402"/>
      <c r="BA87" s="402"/>
      <c r="BB87" s="402"/>
      <c r="BC87" s="402"/>
      <c r="BD87" s="402"/>
      <c r="BE87" s="402"/>
      <c r="BF87" s="402"/>
      <c r="BG87" s="402"/>
      <c r="BH87" s="402"/>
      <c r="BI87" s="402"/>
      <c r="BJ87" s="402"/>
      <c r="BK87" s="402"/>
      <c r="BL87" s="402"/>
      <c r="BM87" s="402"/>
      <c r="BN87" s="402"/>
      <c r="BO87" s="402"/>
      <c r="BP87" s="402"/>
      <c r="BQ87" s="402"/>
      <c r="BR87" s="402"/>
      <c r="BS87" s="402"/>
      <c r="BT87" s="402"/>
      <c r="BU87" s="402"/>
      <c r="BV87" s="402"/>
      <c r="BW87" s="402"/>
      <c r="BX87" s="402"/>
      <c r="BY87" s="402"/>
      <c r="BZ87" s="402"/>
      <c r="CA87" s="402"/>
      <c r="CB87" s="402"/>
      <c r="CC87" s="402"/>
      <c r="CD87" s="402"/>
      <c r="CE87" s="402"/>
      <c r="CF87" s="402"/>
      <c r="CG87" s="402"/>
      <c r="CH87" s="402"/>
      <c r="CI87" s="402"/>
      <c r="CJ87" s="402"/>
      <c r="CK87" s="402"/>
      <c r="CL87" s="402"/>
      <c r="CM87" s="402"/>
      <c r="CN87" s="402"/>
      <c r="CO87" s="402"/>
      <c r="CP87" s="402"/>
      <c r="CQ87" s="402"/>
      <c r="CR87" s="402"/>
      <c r="CS87" s="402"/>
      <c r="CT87" s="402"/>
      <c r="CU87" s="402"/>
      <c r="CV87" s="402"/>
      <c r="CW87" s="402"/>
      <c r="CX87" s="402"/>
      <c r="CY87" s="402"/>
      <c r="CZ87" s="402"/>
      <c r="DA87" s="402"/>
      <c r="DB87" s="402"/>
      <c r="DC87" s="402"/>
      <c r="DD87" s="402"/>
      <c r="DE87" s="402"/>
      <c r="DF87" s="402"/>
      <c r="DG87" s="402"/>
      <c r="DH87" s="402"/>
      <c r="DI87" s="402"/>
      <c r="DJ87" s="402"/>
      <c r="DK87" s="402"/>
      <c r="DL87" s="402"/>
      <c r="DM87" s="402"/>
      <c r="DN87" s="402"/>
      <c r="DO87" s="402"/>
      <c r="DP87" s="402"/>
      <c r="DQ87" s="402"/>
    </row>
    <row r="88" spans="1:121" s="760" customFormat="1" ht="15" customHeight="1" x14ac:dyDescent="0.25">
      <c r="A88" s="266">
        <f t="shared" si="1"/>
        <v>8.9666666666666668</v>
      </c>
      <c r="B88" s="389">
        <v>42587</v>
      </c>
      <c r="C88" s="394" t="s">
        <v>451</v>
      </c>
      <c r="D88" s="394" t="s">
        <v>1340</v>
      </c>
      <c r="E88" s="394" t="s">
        <v>380</v>
      </c>
      <c r="F88" s="390" t="s">
        <v>526</v>
      </c>
      <c r="G88" s="394" t="s">
        <v>821</v>
      </c>
      <c r="H88" s="261"/>
      <c r="I88" s="261">
        <v>53</v>
      </c>
      <c r="J88" s="261">
        <v>53</v>
      </c>
      <c r="K88" s="261">
        <v>131</v>
      </c>
      <c r="L88" s="261">
        <v>53</v>
      </c>
      <c r="M88" s="261">
        <v>131</v>
      </c>
      <c r="N88" s="261">
        <v>53</v>
      </c>
      <c r="O88" s="261"/>
      <c r="P88" s="261">
        <v>53</v>
      </c>
      <c r="Q88" s="261">
        <v>131</v>
      </c>
      <c r="R88" s="261"/>
      <c r="S88" s="261"/>
      <c r="T88" s="261"/>
      <c r="U88" s="261"/>
      <c r="V88" s="762">
        <v>53</v>
      </c>
      <c r="W88" s="261"/>
      <c r="X88" s="261"/>
      <c r="Y88" s="264">
        <f>IF(NFI_Expiration=1,IF($A88&lt;VLOOKUP(H$5,NFI,5,0),1,0)*Table_NFI[[#This Row],[Hygiene Kit]],Table_NFI[Hygiene Kit])</f>
        <v>0</v>
      </c>
      <c r="Z88" s="264">
        <f>IF(NFI_Expiration=1,IF($A88&lt;VLOOKUP(I$5,NFI,5,0),1,0)*Table_NFI[[#This Row],[NFI Core Kit]],Table_NFI[NFI Core Kit])</f>
        <v>53</v>
      </c>
      <c r="AA88" s="264">
        <f>IF(NFI_Expiration=1,IF($A88&lt;VLOOKUP(J$5,NFI,5,0),1,0)*Table_NFI[[#This Row],[Sanitary Kit]],Table_NFI[Sanitary Kit])</f>
        <v>53</v>
      </c>
      <c r="AB88" s="264">
        <f>IF(NFI_Expiration=1,IF($A88&lt;VLOOKUP(K$5,NFI,5,0),1,0)*Table_NFI[[#This Row],[Mosquito net]],Table_NFI[Mosquito net])</f>
        <v>131</v>
      </c>
      <c r="AC88" s="264">
        <f>IF(NFI_Expiration=1,IF($A88&lt;VLOOKUP(L$5,NFI,5,0),1,0)*Table_NFI[[#This Row],[Tarpaulin]],Table_NFI[[#This Row],[Tarpaulin]])</f>
        <v>53</v>
      </c>
      <c r="AD88" s="264">
        <f>IF(NFI_Expiration=1,IF($A88&lt;VLOOKUP(M$5,NFI,5,0),1,0)*Table_NFI[[#This Row],[Blanket]],Table_NFI[[#This Row],[Blanket]])</f>
        <v>131</v>
      </c>
      <c r="AE88" s="264">
        <f>IF(NFI_Expiration=1,IF($A88&lt;VLOOKUP(N$5,NFI,5,0),1,0)*Table_NFI[[#This Row],[Kitchen Set]],Table_NFI[Kitchen Set])</f>
        <v>53</v>
      </c>
      <c r="AF88" s="264">
        <f>IF(NFI_Expiration=1,IF($A88&lt;VLOOKUP(O$5,NFI,5,0),1,0)*Table_NFI[[#This Row],[Clothes Kit]],Table_NFI[Clothes Kit])</f>
        <v>0</v>
      </c>
      <c r="AG88" s="264">
        <f>IF(NFI_Expiration=1,IF($A88&lt;VLOOKUP(P$5,NFI,5,0),1,0)*Table_NFI[[#This Row],[Plastic Bucket]],Table_NFI[Plastic Bucket])</f>
        <v>53</v>
      </c>
      <c r="AH88" s="264">
        <f>IF(NFI_Expiration=1,IF($A88&lt;VLOOKUP(Q$5,NFI,5,0),1,0)*Table_NFI[[#This Row],[Plastic Mat]],Table_NFI[Plastic Mat])*IF(Table_NFI[[#This Row],[Distribution Date]]&gt;"2014-04-01",1,2.5)</f>
        <v>327.5</v>
      </c>
      <c r="AI88" s="264">
        <f>IF(NFI_Expiration=1,IF($A88&lt;VLOOKUP(R$5,NFI,5,0),1,0)*Table_NFI[[#This Row],[Winter Clothes Adult]],Table_NFI[Winter Clothes Adult])</f>
        <v>0</v>
      </c>
      <c r="AJ88" s="264">
        <f>IF(NFI_Expiration=1,IF($A88&lt;VLOOKUP(S$5,NFI,5,0),1,0)*Table_NFI[[#This Row],[Winter Clothes Children]],Table_NFI[Winter Clothes Children])</f>
        <v>0</v>
      </c>
      <c r="AK88" s="264">
        <f>IF(NFI_Expiration=1,IF($A88&lt;VLOOKUP(T$5,NFI,5,0),1,0)*Table_NFI[[#This Row],[Winter Items Other]],Table_NFI[Winter Items Other])</f>
        <v>0</v>
      </c>
      <c r="AL88" s="264">
        <f>IF(NFI_Expiration=1,IF($A88&lt;VLOOKUP(M$5,NFI,5,0),1,0)*Table_NFI[[#This Row],[Winter Blanket]],Table_NFI[[#This Row],[Winter Blanket]])</f>
        <v>0</v>
      </c>
      <c r="AM88" s="264">
        <f>IF(Table_NFI[[#This Row],[Winter Clothes Adult]]+Table_NFI[[#This Row],[Winter Clothes Children]]+Table_NFI[[#This Row],[Winter Items Other]]+Table_NFI[[#This Row],[Winter Blanket]]&gt;0,1,0)</f>
        <v>0</v>
      </c>
      <c r="AN88" s="296">
        <f>IF(NFI_Expiration=1,IF($A88&lt;VLOOKUP(V$5,NFI,5,0),1,0)*Table_NFI[[#This Row],[Jerry Can]],Table_NFI[Jerry Can])</f>
        <v>53</v>
      </c>
      <c r="AO88" s="296">
        <f>IF(NFI_Expiration=1,IF($A88&lt;VLOOKUP(V$5,NFI,5,0),1,0)*Table_NFI[[#This Row],[Shelter Tool kit]],Table_NFI[Shelter Tool kit])</f>
        <v>0</v>
      </c>
      <c r="AP88" s="296">
        <f>IF(NFI_Expiration=1,IF($A88&lt;VLOOKUP(V$5,NFI,5,0),1,0)*Table_NFI[[#This Row],[Tent]],Table_NFI[Tent])</f>
        <v>0</v>
      </c>
      <c r="AQ88" s="396" t="str">
        <f>IFERROR(VLOOKUP(Table_NFI[[#This Row],[Camp Name]],CL,2,0),"")</f>
        <v>MMR015CMP209</v>
      </c>
      <c r="AR88" s="702">
        <f ca="1">IF(Table_NFI[[#This Row],[Pcode]]="","",IF(OFFSET(CampList[Opening Date],MATCH(Table_NFI[[#This Row],[Pcode]],CampList[CP_Pcode],0)-1,0,1,1)&gt;=NFI_Monitor_Date,1,0))</f>
        <v>0</v>
      </c>
      <c r="AS88" s="396" t="str">
        <f>IFERROR(VLOOKUP(Table_NFI[[#This Row],[Camp Name]],CL,3,0),"")</f>
        <v>Open</v>
      </c>
      <c r="AT88" s="264" t="str">
        <f ca="1">IF(Table_NFI[[#This Row],[Pcode]]="","",OFFSET(CampList[Priority],MATCH(Table_NFI[[#This Row],[Pcode]],CampList[CP_Pcode],0)-1,0,1,1))</f>
        <v>P3</v>
      </c>
      <c r="AU88" s="263">
        <f>IFERROR(Table_NFI[[#This Row],[Kitchen Set]]/VLOOKUP(Table_NFI[[#This Row],[Camp Name]],CL,4,0),"")</f>
        <v>1.2917377528637581E-3</v>
      </c>
      <c r="AV88" s="390"/>
      <c r="AW88" s="397" t="s">
        <v>1444</v>
      </c>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399"/>
      <c r="CO88" s="399"/>
      <c r="CP88" s="399"/>
      <c r="CQ88" s="399"/>
      <c r="CR88" s="399"/>
      <c r="CS88" s="399"/>
      <c r="CT88" s="399"/>
      <c r="CU88" s="399"/>
      <c r="CV88" s="399"/>
      <c r="CW88" s="399"/>
      <c r="CX88" s="399"/>
      <c r="CY88" s="399"/>
      <c r="CZ88" s="399"/>
      <c r="DA88" s="399"/>
      <c r="DB88" s="399"/>
      <c r="DC88" s="399"/>
      <c r="DD88" s="399"/>
      <c r="DE88" s="399"/>
      <c r="DF88" s="399"/>
      <c r="DG88" s="399"/>
      <c r="DH88" s="399"/>
      <c r="DI88" s="399"/>
      <c r="DJ88" s="399"/>
      <c r="DK88" s="399"/>
      <c r="DL88" s="399"/>
      <c r="DM88" s="399"/>
      <c r="DN88" s="399"/>
      <c r="DO88" s="399"/>
      <c r="DP88" s="399"/>
      <c r="DQ88" s="399"/>
    </row>
    <row r="89" spans="1:121" s="759" customFormat="1" ht="15" customHeight="1" x14ac:dyDescent="0.25">
      <c r="A89" s="266">
        <f t="shared" si="1"/>
        <v>8.9666666666666668</v>
      </c>
      <c r="B89" s="389">
        <v>42587</v>
      </c>
      <c r="C89" s="394" t="s">
        <v>451</v>
      </c>
      <c r="D89" s="394" t="s">
        <v>459</v>
      </c>
      <c r="E89" s="394" t="s">
        <v>380</v>
      </c>
      <c r="F89" s="390" t="s">
        <v>526</v>
      </c>
      <c r="G89" s="394" t="s">
        <v>1393</v>
      </c>
      <c r="H89" s="261"/>
      <c r="I89" s="261">
        <v>23</v>
      </c>
      <c r="J89" s="261"/>
      <c r="K89" s="261">
        <v>38</v>
      </c>
      <c r="L89" s="261">
        <v>23</v>
      </c>
      <c r="M89" s="261">
        <v>38</v>
      </c>
      <c r="N89" s="261">
        <v>23</v>
      </c>
      <c r="O89" s="261"/>
      <c r="P89" s="261">
        <v>23</v>
      </c>
      <c r="Q89" s="261">
        <v>55</v>
      </c>
      <c r="R89" s="261"/>
      <c r="S89" s="261"/>
      <c r="T89" s="261"/>
      <c r="U89" s="261"/>
      <c r="V89" s="762">
        <v>23</v>
      </c>
      <c r="W89" s="261"/>
      <c r="X89" s="261">
        <v>9</v>
      </c>
      <c r="Y89" s="264">
        <f>IF(NFI_Expiration=1,IF($A89&lt;VLOOKUP(H$5,NFI,5,0),1,0)*Table_NFI[[#This Row],[Hygiene Kit]],Table_NFI[Hygiene Kit])</f>
        <v>0</v>
      </c>
      <c r="Z89" s="264">
        <f>IF(NFI_Expiration=1,IF($A89&lt;VLOOKUP(I$5,NFI,5,0),1,0)*Table_NFI[[#This Row],[NFI Core Kit]],Table_NFI[NFI Core Kit])</f>
        <v>23</v>
      </c>
      <c r="AA89" s="264">
        <f>IF(NFI_Expiration=1,IF($A89&lt;VLOOKUP(J$5,NFI,5,0),1,0)*Table_NFI[[#This Row],[Sanitary Kit]],Table_NFI[Sanitary Kit])</f>
        <v>0</v>
      </c>
      <c r="AB89" s="264">
        <f>IF(NFI_Expiration=1,IF($A89&lt;VLOOKUP(K$5,NFI,5,0),1,0)*Table_NFI[[#This Row],[Mosquito net]],Table_NFI[Mosquito net])</f>
        <v>38</v>
      </c>
      <c r="AC89" s="264">
        <f>IF(NFI_Expiration=1,IF($A89&lt;VLOOKUP(L$5,NFI,5,0),1,0)*Table_NFI[[#This Row],[Tarpaulin]],Table_NFI[[#This Row],[Tarpaulin]])</f>
        <v>23</v>
      </c>
      <c r="AD89" s="264">
        <f>IF(NFI_Expiration=1,IF($A89&lt;VLOOKUP(M$5,NFI,5,0),1,0)*Table_NFI[[#This Row],[Blanket]],Table_NFI[[#This Row],[Blanket]])</f>
        <v>38</v>
      </c>
      <c r="AE89" s="264">
        <f>IF(NFI_Expiration=1,IF($A89&lt;VLOOKUP(N$5,NFI,5,0),1,0)*Table_NFI[[#This Row],[Kitchen Set]],Table_NFI[Kitchen Set])</f>
        <v>23</v>
      </c>
      <c r="AF89" s="264">
        <f>IF(NFI_Expiration=1,IF($A89&lt;VLOOKUP(O$5,NFI,5,0),1,0)*Table_NFI[[#This Row],[Clothes Kit]],Table_NFI[Clothes Kit])</f>
        <v>0</v>
      </c>
      <c r="AG89" s="264">
        <f>IF(NFI_Expiration=1,IF($A89&lt;VLOOKUP(P$5,NFI,5,0),1,0)*Table_NFI[[#This Row],[Plastic Bucket]],Table_NFI[Plastic Bucket])</f>
        <v>23</v>
      </c>
      <c r="AH89" s="264">
        <f>IF(NFI_Expiration=1,IF($A89&lt;VLOOKUP(Q$5,NFI,5,0),1,0)*Table_NFI[[#This Row],[Plastic Mat]],Table_NFI[Plastic Mat])*IF(Table_NFI[[#This Row],[Distribution Date]]&gt;"2014-04-01",1,2.5)</f>
        <v>137.5</v>
      </c>
      <c r="AI89" s="264">
        <f>IF(NFI_Expiration=1,IF($A89&lt;VLOOKUP(R$5,NFI,5,0),1,0)*Table_NFI[[#This Row],[Winter Clothes Adult]],Table_NFI[Winter Clothes Adult])</f>
        <v>0</v>
      </c>
      <c r="AJ89" s="264">
        <f>IF(NFI_Expiration=1,IF($A89&lt;VLOOKUP(S$5,NFI,5,0),1,0)*Table_NFI[[#This Row],[Winter Clothes Children]],Table_NFI[Winter Clothes Children])</f>
        <v>0</v>
      </c>
      <c r="AK89" s="264">
        <f>IF(NFI_Expiration=1,IF($A89&lt;VLOOKUP(T$5,NFI,5,0),1,0)*Table_NFI[[#This Row],[Winter Items Other]],Table_NFI[Winter Items Other])</f>
        <v>0</v>
      </c>
      <c r="AL89" s="264">
        <f>IF(NFI_Expiration=1,IF($A89&lt;VLOOKUP(M$5,NFI,5,0),1,0)*Table_NFI[[#This Row],[Winter Blanket]],Table_NFI[[#This Row],[Winter Blanket]])</f>
        <v>0</v>
      </c>
      <c r="AM89" s="264">
        <f>IF(Table_NFI[[#This Row],[Winter Clothes Adult]]+Table_NFI[[#This Row],[Winter Clothes Children]]+Table_NFI[[#This Row],[Winter Items Other]]+Table_NFI[[#This Row],[Winter Blanket]]&gt;0,1,0)</f>
        <v>0</v>
      </c>
      <c r="AN89" s="296">
        <f>IF(NFI_Expiration=1,IF($A89&lt;VLOOKUP(V$5,NFI,5,0),1,0)*Table_NFI[[#This Row],[Jerry Can]],Table_NFI[Jerry Can])</f>
        <v>23</v>
      </c>
      <c r="AO89" s="296">
        <f>IF(NFI_Expiration=1,IF($A89&lt;VLOOKUP(V$5,NFI,5,0),1,0)*Table_NFI[[#This Row],[Shelter Tool kit]],Table_NFI[Shelter Tool kit])</f>
        <v>0</v>
      </c>
      <c r="AP89" s="296">
        <f>IF(NFI_Expiration=1,IF($A89&lt;VLOOKUP(V$5,NFI,5,0),1,0)*Table_NFI[[#This Row],[Tent]],Table_NFI[Tent])</f>
        <v>9</v>
      </c>
      <c r="AQ89" s="396" t="str">
        <f>IFERROR(VLOOKUP(Table_NFI[[#This Row],[Camp Name]],CL,2,0),"")</f>
        <v>MMR001CMP242</v>
      </c>
      <c r="AR89" s="702">
        <f ca="1">IF(Table_NFI[[#This Row],[Pcode]]="","",IF(OFFSET(CampList[Opening Date],MATCH(Table_NFI[[#This Row],[Pcode]],CampList[CP_Pcode],0)-1,0,1,1)&gt;=NFI_Monitor_Date,1,0))</f>
        <v>1</v>
      </c>
      <c r="AS89" s="396" t="str">
        <f>IFERROR(VLOOKUP(Table_NFI[[#This Row],[Camp Name]],CL,3,0),"")</f>
        <v>Closed</v>
      </c>
      <c r="AT89" s="264">
        <f ca="1">IF(Table_NFI[[#This Row],[Pcode]]="","",OFFSET(CampList[Priority],MATCH(Table_NFI[[#This Row],[Pcode]],CampList[CP_Pcode],0)-1,0,1,1))</f>
        <v>0</v>
      </c>
      <c r="AU89" s="263">
        <f>IFERROR(Table_NFI[[#This Row],[Kitchen Set]]/VLOOKUP(Table_NFI[[#This Row],[Camp Name]],CL,4,0),"")</f>
        <v>5.4283691291007793E-4</v>
      </c>
      <c r="AV89" s="390"/>
      <c r="AW89" s="397" t="s">
        <v>1418</v>
      </c>
      <c r="AX89" s="402"/>
      <c r="AY89" s="402"/>
      <c r="AZ89" s="402"/>
      <c r="BA89" s="402"/>
      <c r="BB89" s="402"/>
      <c r="BC89" s="402"/>
      <c r="BD89" s="402"/>
      <c r="BE89" s="402"/>
      <c r="BF89" s="402"/>
      <c r="BG89" s="402"/>
      <c r="BH89" s="402"/>
      <c r="BI89" s="402"/>
      <c r="BJ89" s="402"/>
      <c r="BK89" s="402"/>
      <c r="BL89" s="402"/>
      <c r="BM89" s="402"/>
      <c r="BN89" s="402"/>
      <c r="BO89" s="402"/>
      <c r="BP89" s="402"/>
      <c r="BQ89" s="402"/>
      <c r="BR89" s="402"/>
      <c r="BS89" s="402"/>
      <c r="BT89" s="402"/>
      <c r="BU89" s="402"/>
      <c r="BV89" s="402"/>
      <c r="BW89" s="402"/>
      <c r="BX89" s="402"/>
      <c r="BY89" s="402"/>
      <c r="BZ89" s="402"/>
      <c r="CA89" s="402"/>
      <c r="CB89" s="402"/>
      <c r="CC89" s="402"/>
      <c r="CD89" s="402"/>
      <c r="CE89" s="402"/>
      <c r="CF89" s="402"/>
      <c r="CG89" s="402"/>
      <c r="CH89" s="402"/>
      <c r="CI89" s="402"/>
      <c r="CJ89" s="402"/>
      <c r="CK89" s="402"/>
      <c r="CL89" s="402"/>
      <c r="CM89" s="402"/>
      <c r="CN89" s="402"/>
      <c r="CO89" s="402"/>
      <c r="CP89" s="402"/>
      <c r="CQ89" s="402"/>
      <c r="CR89" s="402"/>
      <c r="CS89" s="402"/>
      <c r="CT89" s="402"/>
      <c r="CU89" s="402"/>
      <c r="CV89" s="402"/>
      <c r="CW89" s="402"/>
      <c r="CX89" s="402"/>
      <c r="CY89" s="402"/>
      <c r="CZ89" s="402"/>
      <c r="DA89" s="402"/>
      <c r="DB89" s="402"/>
      <c r="DC89" s="402"/>
      <c r="DD89" s="402"/>
      <c r="DE89" s="402"/>
      <c r="DF89" s="402"/>
      <c r="DG89" s="402"/>
      <c r="DH89" s="402"/>
      <c r="DI89" s="402"/>
      <c r="DJ89" s="402"/>
      <c r="DK89" s="402"/>
      <c r="DL89" s="402"/>
      <c r="DM89" s="402"/>
      <c r="DN89" s="402"/>
      <c r="DO89" s="402"/>
      <c r="DP89" s="402"/>
      <c r="DQ89" s="402"/>
    </row>
    <row r="90" spans="1:121" s="759" customFormat="1" ht="15" customHeight="1" x14ac:dyDescent="0.25">
      <c r="A90" s="266">
        <f t="shared" si="1"/>
        <v>9.6333333333333329</v>
      </c>
      <c r="B90" s="389">
        <v>42567</v>
      </c>
      <c r="C90" s="394" t="s">
        <v>1502</v>
      </c>
      <c r="D90" s="394" t="s">
        <v>1502</v>
      </c>
      <c r="E90" s="394" t="s">
        <v>552</v>
      </c>
      <c r="F90" s="394" t="s">
        <v>298</v>
      </c>
      <c r="G90" s="394" t="s">
        <v>820</v>
      </c>
      <c r="H90" s="261">
        <v>40</v>
      </c>
      <c r="I90" s="261"/>
      <c r="J90" s="261"/>
      <c r="K90" s="261"/>
      <c r="L90" s="261">
        <v>40</v>
      </c>
      <c r="M90" s="261"/>
      <c r="N90" s="261"/>
      <c r="O90" s="261"/>
      <c r="P90" s="261"/>
      <c r="Q90" s="261"/>
      <c r="R90" s="261"/>
      <c r="S90" s="261"/>
      <c r="T90" s="261"/>
      <c r="U90" s="261"/>
      <c r="V90" s="762"/>
      <c r="W90" s="261"/>
      <c r="X90" s="261"/>
      <c r="Y90" s="264">
        <f>IF(NFI_Expiration=1,IF($A90&lt;VLOOKUP(H$5,NFI,5,0),1,0)*Table_NFI[[#This Row],[Hygiene Kit]],Table_NFI[Hygiene Kit])</f>
        <v>40</v>
      </c>
      <c r="Z90" s="264">
        <f>IF(NFI_Expiration=1,IF($A90&lt;VLOOKUP(I$5,NFI,5,0),1,0)*Table_NFI[[#This Row],[NFI Core Kit]],Table_NFI[NFI Core Kit])</f>
        <v>0</v>
      </c>
      <c r="AA90" s="264">
        <f>IF(NFI_Expiration=1,IF($A90&lt;VLOOKUP(J$5,NFI,5,0),1,0)*Table_NFI[[#This Row],[Sanitary Kit]],Table_NFI[Sanitary Kit])</f>
        <v>0</v>
      </c>
      <c r="AB90" s="264">
        <f>IF(NFI_Expiration=1,IF($A90&lt;VLOOKUP(K$5,NFI,5,0),1,0)*Table_NFI[[#This Row],[Mosquito net]],Table_NFI[Mosquito net])</f>
        <v>0</v>
      </c>
      <c r="AC90" s="264">
        <f>IF(NFI_Expiration=1,IF($A90&lt;VLOOKUP(L$5,NFI,5,0),1,0)*Table_NFI[[#This Row],[Tarpaulin]],Table_NFI[[#This Row],[Tarpaulin]])</f>
        <v>40</v>
      </c>
      <c r="AD90" s="264">
        <f>IF(NFI_Expiration=1,IF($A90&lt;VLOOKUP(M$5,NFI,5,0),1,0)*Table_NFI[[#This Row],[Blanket]],Table_NFI[[#This Row],[Blanket]])</f>
        <v>0</v>
      </c>
      <c r="AE90" s="264">
        <f>IF(NFI_Expiration=1,IF($A90&lt;VLOOKUP(N$5,NFI,5,0),1,0)*Table_NFI[[#This Row],[Kitchen Set]],Table_NFI[Kitchen Set])</f>
        <v>0</v>
      </c>
      <c r="AF90" s="264">
        <f>IF(NFI_Expiration=1,IF($A90&lt;VLOOKUP(O$5,NFI,5,0),1,0)*Table_NFI[[#This Row],[Clothes Kit]],Table_NFI[Clothes Kit])</f>
        <v>0</v>
      </c>
      <c r="AG90" s="264">
        <f>IF(NFI_Expiration=1,IF($A90&lt;VLOOKUP(P$5,NFI,5,0),1,0)*Table_NFI[[#This Row],[Plastic Bucket]],Table_NFI[Plastic Bucket])</f>
        <v>0</v>
      </c>
      <c r="AH90" s="264">
        <f>IF(NFI_Expiration=1,IF($A90&lt;VLOOKUP(Q$5,NFI,5,0),1,0)*Table_NFI[[#This Row],[Plastic Mat]],Table_NFI[Plastic Mat])*IF(Table_NFI[[#This Row],[Distribution Date]]&gt;"2014-04-01",1,2.5)</f>
        <v>0</v>
      </c>
      <c r="AI90" s="264">
        <f>IF(NFI_Expiration=1,IF($A90&lt;VLOOKUP(R$5,NFI,5,0),1,0)*Table_NFI[[#This Row],[Winter Clothes Adult]],Table_NFI[Winter Clothes Adult])</f>
        <v>0</v>
      </c>
      <c r="AJ90" s="264">
        <f>IF(NFI_Expiration=1,IF($A90&lt;VLOOKUP(S$5,NFI,5,0),1,0)*Table_NFI[[#This Row],[Winter Clothes Children]],Table_NFI[Winter Clothes Children])</f>
        <v>0</v>
      </c>
      <c r="AK90" s="264">
        <f>IF(NFI_Expiration=1,IF($A90&lt;VLOOKUP(T$5,NFI,5,0),1,0)*Table_NFI[[#This Row],[Winter Items Other]],Table_NFI[Winter Items Other])</f>
        <v>0</v>
      </c>
      <c r="AL90" s="264">
        <f>IF(NFI_Expiration=1,IF($A90&lt;VLOOKUP(M$5,NFI,5,0),1,0)*Table_NFI[[#This Row],[Winter Blanket]],Table_NFI[[#This Row],[Winter Blanket]])</f>
        <v>0</v>
      </c>
      <c r="AM90" s="264">
        <f>IF(Table_NFI[[#This Row],[Winter Clothes Adult]]+Table_NFI[[#This Row],[Winter Clothes Children]]+Table_NFI[[#This Row],[Winter Items Other]]+Table_NFI[[#This Row],[Winter Blanket]]&gt;0,1,0)</f>
        <v>0</v>
      </c>
      <c r="AN90" s="296">
        <f>IF(NFI_Expiration=1,IF($A90&lt;VLOOKUP(V$5,NFI,5,0),1,0)*Table_NFI[[#This Row],[Jerry Can]],Table_NFI[Jerry Can])</f>
        <v>0</v>
      </c>
      <c r="AO90" s="296">
        <f>IF(NFI_Expiration=1,IF($A90&lt;VLOOKUP(V$5,NFI,5,0),1,0)*Table_NFI[[#This Row],[Shelter Tool kit]],Table_NFI[Shelter Tool kit])</f>
        <v>0</v>
      </c>
      <c r="AP90" s="296">
        <f>IF(NFI_Expiration=1,IF($A90&lt;VLOOKUP(V$5,NFI,5,0),1,0)*Table_NFI[[#This Row],[Tent]],Table_NFI[Tent])</f>
        <v>0</v>
      </c>
      <c r="AQ90" s="396" t="str">
        <f>IFERROR(VLOOKUP(Table_NFI[[#This Row],[Camp Name]],CL,2,0),"")</f>
        <v>MMR015CMP014</v>
      </c>
      <c r="AR90" s="702">
        <f ca="1">IF(Table_NFI[[#This Row],[Pcode]]="","",IF(OFFSET(CampList[Opening Date],MATCH(Table_NFI[[#This Row],[Pcode]],CampList[CP_Pcode],0)-1,0,1,1)&gt;=NFI_Monitor_Date,1,0))</f>
        <v>0</v>
      </c>
      <c r="AS90" s="396" t="str">
        <f>IFERROR(VLOOKUP(Table_NFI[[#This Row],[Camp Name]],CL,3,0),"")</f>
        <v>Open</v>
      </c>
      <c r="AT90" s="264" t="str">
        <f ca="1">IF(Table_NFI[[#This Row],[Pcode]]="","",OFFSET(CampList[Priority],MATCH(Table_NFI[[#This Row],[Pcode]],CampList[CP_Pcode],0)-1,0,1,1))</f>
        <v>P3</v>
      </c>
      <c r="AU90" s="263">
        <f>IFERROR(Table_NFI[[#This Row],[Kitchen Set]]/VLOOKUP(Table_NFI[[#This Row],[Camp Name]],CL,4,0),"")</f>
        <v>0</v>
      </c>
      <c r="AV90" s="390"/>
      <c r="AW90" s="397" t="s">
        <v>1503</v>
      </c>
      <c r="AX90" s="402"/>
      <c r="AY90" s="402"/>
      <c r="AZ90" s="402"/>
      <c r="BA90" s="402"/>
      <c r="BB90" s="402"/>
      <c r="BC90" s="402"/>
      <c r="BD90" s="402"/>
      <c r="BE90" s="402"/>
      <c r="BF90" s="402"/>
      <c r="BG90" s="402"/>
      <c r="BH90" s="402"/>
      <c r="BI90" s="402"/>
      <c r="BJ90" s="402"/>
      <c r="BK90" s="402"/>
      <c r="BL90" s="402"/>
      <c r="BM90" s="402"/>
      <c r="BN90" s="402"/>
      <c r="BO90" s="402"/>
      <c r="BP90" s="402"/>
      <c r="BQ90" s="402"/>
      <c r="BR90" s="402"/>
      <c r="BS90" s="402"/>
      <c r="BT90" s="402"/>
      <c r="BU90" s="402"/>
      <c r="BV90" s="402"/>
      <c r="BW90" s="402"/>
      <c r="BX90" s="402"/>
      <c r="BY90" s="402"/>
      <c r="BZ90" s="402"/>
      <c r="CA90" s="402"/>
      <c r="CB90" s="402"/>
      <c r="CC90" s="402"/>
      <c r="CD90" s="402"/>
      <c r="CE90" s="402"/>
      <c r="CF90" s="402"/>
      <c r="CG90" s="402"/>
      <c r="CH90" s="402"/>
      <c r="CI90" s="402"/>
      <c r="CJ90" s="402"/>
      <c r="CK90" s="402"/>
      <c r="CL90" s="402"/>
      <c r="CM90" s="402"/>
      <c r="CN90" s="402"/>
      <c r="CO90" s="402"/>
      <c r="CP90" s="402"/>
      <c r="CQ90" s="402"/>
      <c r="CR90" s="402"/>
      <c r="CS90" s="402"/>
      <c r="CT90" s="402"/>
      <c r="CU90" s="402"/>
      <c r="CV90" s="402"/>
      <c r="CW90" s="402"/>
      <c r="CX90" s="402"/>
      <c r="CY90" s="402"/>
      <c r="CZ90" s="402"/>
      <c r="DA90" s="402"/>
      <c r="DB90" s="402"/>
      <c r="DC90" s="402"/>
      <c r="DD90" s="402"/>
      <c r="DE90" s="402"/>
      <c r="DF90" s="402"/>
      <c r="DG90" s="402"/>
      <c r="DH90" s="402"/>
      <c r="DI90" s="402"/>
      <c r="DJ90" s="402"/>
      <c r="DK90" s="402"/>
      <c r="DL90" s="402"/>
      <c r="DM90" s="402"/>
      <c r="DN90" s="402"/>
      <c r="DO90" s="402"/>
      <c r="DP90" s="402"/>
      <c r="DQ90" s="402"/>
    </row>
    <row r="91" spans="1:121" s="759" customFormat="1" ht="15" customHeight="1" x14ac:dyDescent="0.25">
      <c r="A91" s="266">
        <f t="shared" si="1"/>
        <v>9.6333333333333329</v>
      </c>
      <c r="B91" s="389">
        <v>42567</v>
      </c>
      <c r="C91" s="394" t="s">
        <v>1502</v>
      </c>
      <c r="D91" s="394" t="s">
        <v>1502</v>
      </c>
      <c r="E91" s="394" t="s">
        <v>552</v>
      </c>
      <c r="F91" s="394" t="s">
        <v>298</v>
      </c>
      <c r="G91" s="394" t="s">
        <v>1467</v>
      </c>
      <c r="H91" s="261">
        <v>59</v>
      </c>
      <c r="I91" s="261"/>
      <c r="J91" s="261"/>
      <c r="K91" s="261"/>
      <c r="L91" s="261">
        <v>59</v>
      </c>
      <c r="M91" s="261"/>
      <c r="N91" s="261"/>
      <c r="O91" s="261"/>
      <c r="P91" s="261"/>
      <c r="Q91" s="261"/>
      <c r="R91" s="261"/>
      <c r="S91" s="261"/>
      <c r="T91" s="261"/>
      <c r="U91" s="261"/>
      <c r="V91" s="762"/>
      <c r="W91" s="261"/>
      <c r="X91" s="261"/>
      <c r="Y91" s="264">
        <f>IF(NFI_Expiration=1,IF($A91&lt;VLOOKUP(H$5,NFI,5,0),1,0)*Table_NFI[[#This Row],[Hygiene Kit]],Table_NFI[Hygiene Kit])</f>
        <v>59</v>
      </c>
      <c r="Z91" s="264">
        <f>IF(NFI_Expiration=1,IF($A91&lt;VLOOKUP(I$5,NFI,5,0),1,0)*Table_NFI[[#This Row],[NFI Core Kit]],Table_NFI[NFI Core Kit])</f>
        <v>0</v>
      </c>
      <c r="AA91" s="264">
        <f>IF(NFI_Expiration=1,IF($A91&lt;VLOOKUP(J$5,NFI,5,0),1,0)*Table_NFI[[#This Row],[Sanitary Kit]],Table_NFI[Sanitary Kit])</f>
        <v>0</v>
      </c>
      <c r="AB91" s="264">
        <f>IF(NFI_Expiration=1,IF($A91&lt;VLOOKUP(K$5,NFI,5,0),1,0)*Table_NFI[[#This Row],[Mosquito net]],Table_NFI[Mosquito net])</f>
        <v>0</v>
      </c>
      <c r="AC91" s="264">
        <f>IF(NFI_Expiration=1,IF($A91&lt;VLOOKUP(L$5,NFI,5,0),1,0)*Table_NFI[[#This Row],[Tarpaulin]],Table_NFI[[#This Row],[Tarpaulin]])</f>
        <v>59</v>
      </c>
      <c r="AD91" s="264">
        <f>IF(NFI_Expiration=1,IF($A91&lt;VLOOKUP(M$5,NFI,5,0),1,0)*Table_NFI[[#This Row],[Blanket]],Table_NFI[[#This Row],[Blanket]])</f>
        <v>0</v>
      </c>
      <c r="AE91" s="264">
        <f>IF(NFI_Expiration=1,IF($A91&lt;VLOOKUP(N$5,NFI,5,0),1,0)*Table_NFI[[#This Row],[Kitchen Set]],Table_NFI[Kitchen Set])</f>
        <v>0</v>
      </c>
      <c r="AF91" s="264">
        <f>IF(NFI_Expiration=1,IF($A91&lt;VLOOKUP(O$5,NFI,5,0),1,0)*Table_NFI[[#This Row],[Clothes Kit]],Table_NFI[Clothes Kit])</f>
        <v>0</v>
      </c>
      <c r="AG91" s="264">
        <f>IF(NFI_Expiration=1,IF($A91&lt;VLOOKUP(P$5,NFI,5,0),1,0)*Table_NFI[[#This Row],[Plastic Bucket]],Table_NFI[Plastic Bucket])</f>
        <v>0</v>
      </c>
      <c r="AH91" s="264">
        <f>IF(NFI_Expiration=1,IF($A91&lt;VLOOKUP(Q$5,NFI,5,0),1,0)*Table_NFI[[#This Row],[Plastic Mat]],Table_NFI[Plastic Mat])*IF(Table_NFI[[#This Row],[Distribution Date]]&gt;"2014-04-01",1,2.5)</f>
        <v>0</v>
      </c>
      <c r="AI91" s="264">
        <f>IF(NFI_Expiration=1,IF($A91&lt;VLOOKUP(R$5,NFI,5,0),1,0)*Table_NFI[[#This Row],[Winter Clothes Adult]],Table_NFI[Winter Clothes Adult])</f>
        <v>0</v>
      </c>
      <c r="AJ91" s="264">
        <f>IF(NFI_Expiration=1,IF($A91&lt;VLOOKUP(S$5,NFI,5,0),1,0)*Table_NFI[[#This Row],[Winter Clothes Children]],Table_NFI[Winter Clothes Children])</f>
        <v>0</v>
      </c>
      <c r="AK91" s="264">
        <f>IF(NFI_Expiration=1,IF($A91&lt;VLOOKUP(T$5,NFI,5,0),1,0)*Table_NFI[[#This Row],[Winter Items Other]],Table_NFI[Winter Items Other])</f>
        <v>0</v>
      </c>
      <c r="AL91" s="264">
        <f>IF(NFI_Expiration=1,IF($A91&lt;VLOOKUP(M$5,NFI,5,0),1,0)*Table_NFI[[#This Row],[Winter Blanket]],Table_NFI[[#This Row],[Winter Blanket]])</f>
        <v>0</v>
      </c>
      <c r="AM91" s="264">
        <f>IF(Table_NFI[[#This Row],[Winter Clothes Adult]]+Table_NFI[[#This Row],[Winter Clothes Children]]+Table_NFI[[#This Row],[Winter Items Other]]+Table_NFI[[#This Row],[Winter Blanket]]&gt;0,1,0)</f>
        <v>0</v>
      </c>
      <c r="AN91" s="296">
        <f>IF(NFI_Expiration=1,IF($A91&lt;VLOOKUP(V$5,NFI,5,0),1,0)*Table_NFI[[#This Row],[Jerry Can]],Table_NFI[Jerry Can])</f>
        <v>0</v>
      </c>
      <c r="AO91" s="296">
        <f>IF(NFI_Expiration=1,IF($A91&lt;VLOOKUP(V$5,NFI,5,0),1,0)*Table_NFI[[#This Row],[Shelter Tool kit]],Table_NFI[Shelter Tool kit])</f>
        <v>0</v>
      </c>
      <c r="AP91" s="296">
        <f>IF(NFI_Expiration=1,IF($A91&lt;VLOOKUP(V$5,NFI,5,0),1,0)*Table_NFI[[#This Row],[Tent]],Table_NFI[Tent])</f>
        <v>0</v>
      </c>
      <c r="AQ91" s="396" t="str">
        <f>IFERROR(VLOOKUP(Table_NFI[[#This Row],[Camp Name]],CL,2,0),"")</f>
        <v>MMR015CMP228</v>
      </c>
      <c r="AR91" s="702">
        <f ca="1">IF(Table_NFI[[#This Row],[Pcode]]="","",IF(OFFSET(CampList[Opening Date],MATCH(Table_NFI[[#This Row],[Pcode]],CampList[CP_Pcode],0)-1,0,1,1)&gt;=NFI_Monitor_Date,1,0))</f>
        <v>0</v>
      </c>
      <c r="AS91" s="396" t="str">
        <f>IFERROR(VLOOKUP(Table_NFI[[#This Row],[Camp Name]],CL,3,0),"")</f>
        <v>Closed</v>
      </c>
      <c r="AT91" s="264">
        <f ca="1">IF(Table_NFI[[#This Row],[Pcode]]="","",OFFSET(CampList[Priority],MATCH(Table_NFI[[#This Row],[Pcode]],CampList[CP_Pcode],0)-1,0,1,1))</f>
        <v>0</v>
      </c>
      <c r="AU91" s="263" t="str">
        <f>IFERROR(Table_NFI[[#This Row],[Kitchen Set]]/VLOOKUP(Table_NFI[[#This Row],[Camp Name]],CL,4,0),"")</f>
        <v/>
      </c>
      <c r="AV91" s="390"/>
      <c r="AW91" s="397" t="s">
        <v>1503</v>
      </c>
      <c r="AX91" s="402"/>
      <c r="AY91" s="402"/>
      <c r="AZ91" s="402"/>
      <c r="BA91" s="402"/>
      <c r="BB91" s="402"/>
      <c r="BC91" s="402"/>
      <c r="BD91" s="402"/>
      <c r="BE91" s="402"/>
      <c r="BF91" s="402"/>
      <c r="BG91" s="402"/>
      <c r="BH91" s="402"/>
      <c r="BI91" s="402"/>
      <c r="BJ91" s="402"/>
      <c r="BK91" s="402"/>
      <c r="BL91" s="402"/>
      <c r="BM91" s="402"/>
      <c r="BN91" s="402"/>
      <c r="BO91" s="402"/>
      <c r="BP91" s="402"/>
      <c r="BQ91" s="402"/>
      <c r="BR91" s="402"/>
      <c r="BS91" s="402"/>
      <c r="BT91" s="402"/>
      <c r="BU91" s="402"/>
      <c r="BV91" s="402"/>
      <c r="BW91" s="402"/>
      <c r="BX91" s="402"/>
      <c r="BY91" s="402"/>
      <c r="BZ91" s="402"/>
      <c r="CA91" s="402"/>
      <c r="CB91" s="402"/>
      <c r="CC91" s="402"/>
      <c r="CD91" s="402"/>
      <c r="CE91" s="402"/>
      <c r="CF91" s="402"/>
      <c r="CG91" s="402"/>
      <c r="CH91" s="402"/>
      <c r="CI91" s="402"/>
      <c r="CJ91" s="402"/>
      <c r="CK91" s="402"/>
      <c r="CL91" s="402"/>
      <c r="CM91" s="402"/>
      <c r="CN91" s="402"/>
      <c r="CO91" s="402"/>
      <c r="CP91" s="402"/>
      <c r="CQ91" s="402"/>
      <c r="CR91" s="402"/>
      <c r="CS91" s="402"/>
      <c r="CT91" s="402"/>
      <c r="CU91" s="402"/>
      <c r="CV91" s="402"/>
      <c r="CW91" s="402"/>
      <c r="CX91" s="402"/>
      <c r="CY91" s="402"/>
      <c r="CZ91" s="402"/>
      <c r="DA91" s="402"/>
      <c r="DB91" s="402"/>
      <c r="DC91" s="402"/>
      <c r="DD91" s="402"/>
      <c r="DE91" s="402"/>
      <c r="DF91" s="402"/>
      <c r="DG91" s="402"/>
      <c r="DH91" s="402"/>
      <c r="DI91" s="402"/>
      <c r="DJ91" s="402"/>
      <c r="DK91" s="402"/>
      <c r="DL91" s="402"/>
      <c r="DM91" s="402"/>
      <c r="DN91" s="402"/>
      <c r="DO91" s="402"/>
      <c r="DP91" s="402"/>
      <c r="DQ91" s="402"/>
    </row>
    <row r="92" spans="1:121" s="759" customFormat="1" ht="15" customHeight="1" x14ac:dyDescent="0.25">
      <c r="A92" s="266">
        <f t="shared" si="1"/>
        <v>10.166666666666666</v>
      </c>
      <c r="B92" s="389">
        <v>42551</v>
      </c>
      <c r="C92" s="394" t="s">
        <v>904</v>
      </c>
      <c r="D92" s="394" t="s">
        <v>904</v>
      </c>
      <c r="E92" s="394" t="s">
        <v>380</v>
      </c>
      <c r="F92" s="394" t="s">
        <v>5</v>
      </c>
      <c r="G92" s="394" t="s">
        <v>6</v>
      </c>
      <c r="H92" s="261"/>
      <c r="I92" s="261"/>
      <c r="J92" s="261"/>
      <c r="K92" s="261"/>
      <c r="L92" s="261"/>
      <c r="M92" s="261"/>
      <c r="N92" s="261"/>
      <c r="O92" s="261"/>
      <c r="P92" s="261"/>
      <c r="Q92" s="261"/>
      <c r="R92" s="261"/>
      <c r="S92" s="261"/>
      <c r="T92" s="261"/>
      <c r="U92" s="261"/>
      <c r="V92" s="762">
        <v>2</v>
      </c>
      <c r="W92" s="261"/>
      <c r="X92" s="261"/>
      <c r="Y92" s="264">
        <f>IF(NFI_Expiration=1,IF($A92&lt;VLOOKUP(H$5,NFI,5,0),1,0)*Table_NFI[[#This Row],[Hygiene Kit]],Table_NFI[Hygiene Kit])</f>
        <v>0</v>
      </c>
      <c r="Z92" s="264">
        <f>IF(NFI_Expiration=1,IF($A92&lt;VLOOKUP(I$5,NFI,5,0),1,0)*Table_NFI[[#This Row],[NFI Core Kit]],Table_NFI[NFI Core Kit])</f>
        <v>0</v>
      </c>
      <c r="AA92" s="264">
        <f>IF(NFI_Expiration=1,IF($A92&lt;VLOOKUP(J$5,NFI,5,0),1,0)*Table_NFI[[#This Row],[Sanitary Kit]],Table_NFI[Sanitary Kit])</f>
        <v>0</v>
      </c>
      <c r="AB92" s="264">
        <f>IF(NFI_Expiration=1,IF($A92&lt;VLOOKUP(K$5,NFI,5,0),1,0)*Table_NFI[[#This Row],[Mosquito net]],Table_NFI[Mosquito net])</f>
        <v>0</v>
      </c>
      <c r="AC92" s="264">
        <f>IF(NFI_Expiration=1,IF($A92&lt;VLOOKUP(L$5,NFI,5,0),1,0)*Table_NFI[[#This Row],[Tarpaulin]],Table_NFI[[#This Row],[Tarpaulin]])</f>
        <v>0</v>
      </c>
      <c r="AD92" s="264">
        <f>IF(NFI_Expiration=1,IF($A92&lt;VLOOKUP(M$5,NFI,5,0),1,0)*Table_NFI[[#This Row],[Blanket]],Table_NFI[[#This Row],[Blanket]])</f>
        <v>0</v>
      </c>
      <c r="AE92" s="264">
        <f>IF(NFI_Expiration=1,IF($A92&lt;VLOOKUP(N$5,NFI,5,0),1,0)*Table_NFI[[#This Row],[Kitchen Set]],Table_NFI[Kitchen Set])</f>
        <v>0</v>
      </c>
      <c r="AF92" s="264">
        <f>IF(NFI_Expiration=1,IF($A92&lt;VLOOKUP(O$5,NFI,5,0),1,0)*Table_NFI[[#This Row],[Clothes Kit]],Table_NFI[Clothes Kit])</f>
        <v>0</v>
      </c>
      <c r="AG92" s="264">
        <f>IF(NFI_Expiration=1,IF($A92&lt;VLOOKUP(P$5,NFI,5,0),1,0)*Table_NFI[[#This Row],[Plastic Bucket]],Table_NFI[Plastic Bucket])</f>
        <v>0</v>
      </c>
      <c r="AH92" s="264">
        <f>IF(NFI_Expiration=1,IF($A92&lt;VLOOKUP(Q$5,NFI,5,0),1,0)*Table_NFI[[#This Row],[Plastic Mat]],Table_NFI[Plastic Mat])*IF(Table_NFI[[#This Row],[Distribution Date]]&gt;"2014-04-01",1,2.5)</f>
        <v>0</v>
      </c>
      <c r="AI92" s="264">
        <f>IF(NFI_Expiration=1,IF($A92&lt;VLOOKUP(R$5,NFI,5,0),1,0)*Table_NFI[[#This Row],[Winter Clothes Adult]],Table_NFI[Winter Clothes Adult])</f>
        <v>0</v>
      </c>
      <c r="AJ92" s="264">
        <f>IF(NFI_Expiration=1,IF($A92&lt;VLOOKUP(S$5,NFI,5,0),1,0)*Table_NFI[[#This Row],[Winter Clothes Children]],Table_NFI[Winter Clothes Children])</f>
        <v>0</v>
      </c>
      <c r="AK92" s="264">
        <f>IF(NFI_Expiration=1,IF($A92&lt;VLOOKUP(T$5,NFI,5,0),1,0)*Table_NFI[[#This Row],[Winter Items Other]],Table_NFI[Winter Items Other])</f>
        <v>0</v>
      </c>
      <c r="AL92" s="264">
        <f>IF(NFI_Expiration=1,IF($A92&lt;VLOOKUP(M$5,NFI,5,0),1,0)*Table_NFI[[#This Row],[Winter Blanket]],Table_NFI[[#This Row],[Winter Blanket]])</f>
        <v>0</v>
      </c>
      <c r="AM92" s="264">
        <f>IF(Table_NFI[[#This Row],[Winter Clothes Adult]]+Table_NFI[[#This Row],[Winter Clothes Children]]+Table_NFI[[#This Row],[Winter Items Other]]+Table_NFI[[#This Row],[Winter Blanket]]&gt;0,1,0)</f>
        <v>0</v>
      </c>
      <c r="AN92" s="296">
        <f>IF(NFI_Expiration=1,IF($A92&lt;VLOOKUP(V$5,NFI,5,0),1,0)*Table_NFI[[#This Row],[Jerry Can]],Table_NFI[Jerry Can])</f>
        <v>2</v>
      </c>
      <c r="AO92" s="296">
        <f>IF(NFI_Expiration=1,IF($A92&lt;VLOOKUP(V$5,NFI,5,0),1,0)*Table_NFI[[#This Row],[Shelter Tool kit]],Table_NFI[Shelter Tool kit])</f>
        <v>0</v>
      </c>
      <c r="AP92" s="296">
        <f>IF(NFI_Expiration=1,IF($A92&lt;VLOOKUP(V$5,NFI,5,0),1,0)*Table_NFI[[#This Row],[Tent]],Table_NFI[Tent])</f>
        <v>0</v>
      </c>
      <c r="AQ92" s="396" t="str">
        <f>IFERROR(VLOOKUP(Table_NFI[[#This Row],[Camp Name]],CL,2,0),"")</f>
        <v>MMR001CMP050</v>
      </c>
      <c r="AR92" s="702">
        <f ca="1">IF(Table_NFI[[#This Row],[Pcode]]="","",IF(OFFSET(CampList[Opening Date],MATCH(Table_NFI[[#This Row],[Pcode]],CampList[CP_Pcode],0)-1,0,1,1)&gt;=NFI_Monitor_Date,1,0))</f>
        <v>0</v>
      </c>
      <c r="AS92" s="396" t="str">
        <f>IFERROR(VLOOKUP(Table_NFI[[#This Row],[Camp Name]],CL,3,0),"")</f>
        <v>Open</v>
      </c>
      <c r="AT92" s="264" t="str">
        <f ca="1">IF(Table_NFI[[#This Row],[Pcode]]="","",OFFSET(CampList[Priority],MATCH(Table_NFI[[#This Row],[Pcode]],CampList[CP_Pcode],0)-1,0,1,1))</f>
        <v>P4</v>
      </c>
      <c r="AU92" s="263">
        <f>IFERROR(Table_NFI[[#This Row],[Kitchen Set]]/VLOOKUP(Table_NFI[[#This Row],[Camp Name]],CL,4,0),"")</f>
        <v>0</v>
      </c>
      <c r="AV92" s="390"/>
      <c r="AW92" s="397" t="s">
        <v>1447</v>
      </c>
      <c r="AX92" s="402"/>
      <c r="AY92" s="402"/>
      <c r="AZ92" s="402"/>
      <c r="BA92" s="402"/>
      <c r="BB92" s="402"/>
      <c r="BC92" s="402"/>
      <c r="BD92" s="402"/>
      <c r="BE92" s="402"/>
      <c r="BF92" s="402"/>
      <c r="BG92" s="402"/>
      <c r="BH92" s="402"/>
      <c r="BI92" s="402"/>
      <c r="BJ92" s="402"/>
      <c r="BK92" s="402"/>
      <c r="BL92" s="402"/>
      <c r="BM92" s="402"/>
      <c r="BN92" s="402"/>
      <c r="BO92" s="402"/>
      <c r="BP92" s="402"/>
      <c r="BQ92" s="402"/>
      <c r="BR92" s="402"/>
      <c r="BS92" s="402"/>
      <c r="BT92" s="402"/>
      <c r="BU92" s="402"/>
      <c r="BV92" s="402"/>
      <c r="BW92" s="402"/>
      <c r="BX92" s="402"/>
      <c r="BY92" s="402"/>
      <c r="BZ92" s="402"/>
      <c r="CA92" s="402"/>
      <c r="CB92" s="402"/>
      <c r="CC92" s="402"/>
      <c r="CD92" s="402"/>
      <c r="CE92" s="402"/>
      <c r="CF92" s="402"/>
      <c r="CG92" s="402"/>
      <c r="CH92" s="402"/>
      <c r="CI92" s="402"/>
      <c r="CJ92" s="402"/>
      <c r="CK92" s="402"/>
      <c r="CL92" s="402"/>
      <c r="CM92" s="402"/>
      <c r="CN92" s="402"/>
      <c r="CO92" s="402"/>
      <c r="CP92" s="402"/>
      <c r="CQ92" s="402"/>
      <c r="CR92" s="402"/>
      <c r="CS92" s="402"/>
      <c r="CT92" s="402"/>
      <c r="CU92" s="402"/>
      <c r="CV92" s="402"/>
      <c r="CW92" s="402"/>
      <c r="CX92" s="402"/>
      <c r="CY92" s="402"/>
      <c r="CZ92" s="402"/>
      <c r="DA92" s="402"/>
      <c r="DB92" s="402"/>
      <c r="DC92" s="402"/>
      <c r="DD92" s="402"/>
      <c r="DE92" s="402"/>
      <c r="DF92" s="402"/>
      <c r="DG92" s="402"/>
      <c r="DH92" s="402"/>
      <c r="DI92" s="402"/>
      <c r="DJ92" s="402"/>
      <c r="DK92" s="402"/>
      <c r="DL92" s="402"/>
      <c r="DM92" s="402"/>
      <c r="DN92" s="402"/>
      <c r="DO92" s="402"/>
      <c r="DP92" s="402"/>
      <c r="DQ92" s="402"/>
    </row>
    <row r="93" spans="1:121" s="759" customFormat="1" ht="15" customHeight="1" x14ac:dyDescent="0.25">
      <c r="A93" s="266">
        <f t="shared" si="1"/>
        <v>10.166666666666666</v>
      </c>
      <c r="B93" s="389">
        <v>42551</v>
      </c>
      <c r="C93" s="394" t="s">
        <v>904</v>
      </c>
      <c r="D93" s="394" t="s">
        <v>904</v>
      </c>
      <c r="E93" s="394" t="s">
        <v>380</v>
      </c>
      <c r="F93" s="394" t="s">
        <v>185</v>
      </c>
      <c r="G93" s="394" t="s">
        <v>186</v>
      </c>
      <c r="H93" s="261"/>
      <c r="I93" s="261"/>
      <c r="J93" s="261"/>
      <c r="K93" s="261"/>
      <c r="L93" s="261"/>
      <c r="M93" s="261"/>
      <c r="N93" s="261"/>
      <c r="O93" s="261"/>
      <c r="P93" s="261"/>
      <c r="Q93" s="261"/>
      <c r="R93" s="261"/>
      <c r="S93" s="261"/>
      <c r="T93" s="261"/>
      <c r="U93" s="261"/>
      <c r="V93" s="762">
        <v>2</v>
      </c>
      <c r="W93" s="261"/>
      <c r="X93" s="261"/>
      <c r="Y93" s="264">
        <f>IF(NFI_Expiration=1,IF($A93&lt;VLOOKUP(H$5,NFI,5,0),1,0)*Table_NFI[[#This Row],[Hygiene Kit]],Table_NFI[Hygiene Kit])</f>
        <v>0</v>
      </c>
      <c r="Z93" s="264">
        <f>IF(NFI_Expiration=1,IF($A93&lt;VLOOKUP(I$5,NFI,5,0),1,0)*Table_NFI[[#This Row],[NFI Core Kit]],Table_NFI[NFI Core Kit])</f>
        <v>0</v>
      </c>
      <c r="AA93" s="264">
        <f>IF(NFI_Expiration=1,IF($A93&lt;VLOOKUP(J$5,NFI,5,0),1,0)*Table_NFI[[#This Row],[Sanitary Kit]],Table_NFI[Sanitary Kit])</f>
        <v>0</v>
      </c>
      <c r="AB93" s="264">
        <f>IF(NFI_Expiration=1,IF($A93&lt;VLOOKUP(K$5,NFI,5,0),1,0)*Table_NFI[[#This Row],[Mosquito net]],Table_NFI[Mosquito net])</f>
        <v>0</v>
      </c>
      <c r="AC93" s="264">
        <f>IF(NFI_Expiration=1,IF($A93&lt;VLOOKUP(L$5,NFI,5,0),1,0)*Table_NFI[[#This Row],[Tarpaulin]],Table_NFI[[#This Row],[Tarpaulin]])</f>
        <v>0</v>
      </c>
      <c r="AD93" s="264">
        <f>IF(NFI_Expiration=1,IF($A93&lt;VLOOKUP(M$5,NFI,5,0),1,0)*Table_NFI[[#This Row],[Blanket]],Table_NFI[[#This Row],[Blanket]])</f>
        <v>0</v>
      </c>
      <c r="AE93" s="264">
        <f>IF(NFI_Expiration=1,IF($A93&lt;VLOOKUP(N$5,NFI,5,0),1,0)*Table_NFI[[#This Row],[Kitchen Set]],Table_NFI[Kitchen Set])</f>
        <v>0</v>
      </c>
      <c r="AF93" s="264">
        <f>IF(NFI_Expiration=1,IF($A93&lt;VLOOKUP(O$5,NFI,5,0),1,0)*Table_NFI[[#This Row],[Clothes Kit]],Table_NFI[Clothes Kit])</f>
        <v>0</v>
      </c>
      <c r="AG93" s="264">
        <f>IF(NFI_Expiration=1,IF($A93&lt;VLOOKUP(P$5,NFI,5,0),1,0)*Table_NFI[[#This Row],[Plastic Bucket]],Table_NFI[Plastic Bucket])</f>
        <v>0</v>
      </c>
      <c r="AH93" s="264">
        <f>IF(NFI_Expiration=1,IF($A93&lt;VLOOKUP(Q$5,NFI,5,0),1,0)*Table_NFI[[#This Row],[Plastic Mat]],Table_NFI[Plastic Mat])*IF(Table_NFI[[#This Row],[Distribution Date]]&gt;"2014-04-01",1,2.5)</f>
        <v>0</v>
      </c>
      <c r="AI93" s="264">
        <f>IF(NFI_Expiration=1,IF($A93&lt;VLOOKUP(R$5,NFI,5,0),1,0)*Table_NFI[[#This Row],[Winter Clothes Adult]],Table_NFI[Winter Clothes Adult])</f>
        <v>0</v>
      </c>
      <c r="AJ93" s="264">
        <f>IF(NFI_Expiration=1,IF($A93&lt;VLOOKUP(S$5,NFI,5,0),1,0)*Table_NFI[[#This Row],[Winter Clothes Children]],Table_NFI[Winter Clothes Children])</f>
        <v>0</v>
      </c>
      <c r="AK93" s="264">
        <f>IF(NFI_Expiration=1,IF($A93&lt;VLOOKUP(T$5,NFI,5,0),1,0)*Table_NFI[[#This Row],[Winter Items Other]],Table_NFI[Winter Items Other])</f>
        <v>0</v>
      </c>
      <c r="AL93" s="264">
        <f>IF(NFI_Expiration=1,IF($A93&lt;VLOOKUP(M$5,NFI,5,0),1,0)*Table_NFI[[#This Row],[Winter Blanket]],Table_NFI[[#This Row],[Winter Blanket]])</f>
        <v>0</v>
      </c>
      <c r="AM93" s="264">
        <f>IF(Table_NFI[[#This Row],[Winter Clothes Adult]]+Table_NFI[[#This Row],[Winter Clothes Children]]+Table_NFI[[#This Row],[Winter Items Other]]+Table_NFI[[#This Row],[Winter Blanket]]&gt;0,1,0)</f>
        <v>0</v>
      </c>
      <c r="AN93" s="296">
        <f>IF(NFI_Expiration=1,IF($A93&lt;VLOOKUP(V$5,NFI,5,0),1,0)*Table_NFI[[#This Row],[Jerry Can]],Table_NFI[Jerry Can])</f>
        <v>2</v>
      </c>
      <c r="AO93" s="296">
        <f>IF(NFI_Expiration=1,IF($A93&lt;VLOOKUP(V$5,NFI,5,0),1,0)*Table_NFI[[#This Row],[Shelter Tool kit]],Table_NFI[Shelter Tool kit])</f>
        <v>0</v>
      </c>
      <c r="AP93" s="296">
        <f>IF(NFI_Expiration=1,IF($A93&lt;VLOOKUP(V$5,NFI,5,0),1,0)*Table_NFI[[#This Row],[Tent]],Table_NFI[Tent])</f>
        <v>0</v>
      </c>
      <c r="AQ93" s="396" t="str">
        <f>IFERROR(VLOOKUP(Table_NFI[[#This Row],[Camp Name]],CL,2,0),"")</f>
        <v>MMR001CMP071</v>
      </c>
      <c r="AR93" s="702">
        <f ca="1">IF(Table_NFI[[#This Row],[Pcode]]="","",IF(OFFSET(CampList[Opening Date],MATCH(Table_NFI[[#This Row],[Pcode]],CampList[CP_Pcode],0)-1,0,1,1)&gt;=NFI_Monitor_Date,1,0))</f>
        <v>0</v>
      </c>
      <c r="AS93" s="396" t="str">
        <f>IFERROR(VLOOKUP(Table_NFI[[#This Row],[Camp Name]],CL,3,0),"")</f>
        <v>Open</v>
      </c>
      <c r="AT93" s="264" t="str">
        <f ca="1">IF(Table_NFI[[#This Row],[Pcode]]="","",OFFSET(CampList[Priority],MATCH(Table_NFI[[#This Row],[Pcode]],CampList[CP_Pcode],0)-1,0,1,1))</f>
        <v>P3</v>
      </c>
      <c r="AU93" s="263">
        <f>IFERROR(Table_NFI[[#This Row],[Kitchen Set]]/VLOOKUP(Table_NFI[[#This Row],[Camp Name]],CL,4,0),"")</f>
        <v>0</v>
      </c>
      <c r="AV93" s="390"/>
      <c r="AW93" s="397" t="s">
        <v>1447</v>
      </c>
      <c r="AX93" s="402"/>
      <c r="AY93" s="402"/>
      <c r="AZ93" s="402"/>
      <c r="BA93" s="402"/>
      <c r="BB93" s="402"/>
      <c r="BC93" s="402"/>
      <c r="BD93" s="402"/>
      <c r="BE93" s="402"/>
      <c r="BF93" s="402"/>
      <c r="BG93" s="402"/>
      <c r="BH93" s="402"/>
      <c r="BI93" s="402"/>
      <c r="BJ93" s="402"/>
      <c r="BK93" s="402"/>
      <c r="BL93" s="402"/>
      <c r="BM93" s="402"/>
      <c r="BN93" s="402"/>
      <c r="BO93" s="402"/>
      <c r="BP93" s="402"/>
      <c r="BQ93" s="402"/>
      <c r="BR93" s="402"/>
      <c r="BS93" s="402"/>
      <c r="BT93" s="402"/>
      <c r="BU93" s="402"/>
      <c r="BV93" s="402"/>
      <c r="BW93" s="402"/>
      <c r="BX93" s="402"/>
      <c r="BY93" s="402"/>
      <c r="BZ93" s="402"/>
      <c r="CA93" s="402"/>
      <c r="CB93" s="402"/>
      <c r="CC93" s="402"/>
      <c r="CD93" s="402"/>
      <c r="CE93" s="402"/>
      <c r="CF93" s="402"/>
      <c r="CG93" s="402"/>
      <c r="CH93" s="402"/>
      <c r="CI93" s="402"/>
      <c r="CJ93" s="402"/>
      <c r="CK93" s="402"/>
      <c r="CL93" s="402"/>
      <c r="CM93" s="402"/>
      <c r="CN93" s="402"/>
      <c r="CO93" s="402"/>
      <c r="CP93" s="402"/>
      <c r="CQ93" s="402"/>
      <c r="CR93" s="402"/>
      <c r="CS93" s="402"/>
      <c r="CT93" s="402"/>
      <c r="CU93" s="402"/>
      <c r="CV93" s="402"/>
      <c r="CW93" s="402"/>
      <c r="CX93" s="402"/>
      <c r="CY93" s="402"/>
      <c r="CZ93" s="402"/>
      <c r="DA93" s="402"/>
      <c r="DB93" s="402"/>
      <c r="DC93" s="402"/>
      <c r="DD93" s="402"/>
      <c r="DE93" s="402"/>
      <c r="DF93" s="402"/>
      <c r="DG93" s="402"/>
      <c r="DH93" s="402"/>
      <c r="DI93" s="402"/>
      <c r="DJ93" s="402"/>
      <c r="DK93" s="402"/>
      <c r="DL93" s="402"/>
      <c r="DM93" s="402"/>
      <c r="DN93" s="402"/>
      <c r="DO93" s="402"/>
      <c r="DP93" s="402"/>
      <c r="DQ93" s="402"/>
    </row>
    <row r="94" spans="1:121" s="759" customFormat="1" ht="14.45" customHeight="1" x14ac:dyDescent="0.25">
      <c r="A94" s="266">
        <f t="shared" si="1"/>
        <v>10.166666666666666</v>
      </c>
      <c r="B94" s="389">
        <v>42551</v>
      </c>
      <c r="C94" s="394" t="s">
        <v>904</v>
      </c>
      <c r="D94" s="394" t="s">
        <v>904</v>
      </c>
      <c r="E94" s="394" t="s">
        <v>380</v>
      </c>
      <c r="F94" s="394" t="s">
        <v>185</v>
      </c>
      <c r="G94" s="394" t="s">
        <v>190</v>
      </c>
      <c r="H94" s="261"/>
      <c r="I94" s="261"/>
      <c r="J94" s="261"/>
      <c r="K94" s="261"/>
      <c r="L94" s="261"/>
      <c r="M94" s="261"/>
      <c r="N94" s="261"/>
      <c r="O94" s="261"/>
      <c r="P94" s="261"/>
      <c r="Q94" s="261"/>
      <c r="R94" s="261"/>
      <c r="S94" s="261"/>
      <c r="T94" s="261"/>
      <c r="U94" s="261"/>
      <c r="V94" s="762">
        <v>1</v>
      </c>
      <c r="W94" s="261"/>
      <c r="X94" s="261"/>
      <c r="Y94" s="264">
        <f>IF(NFI_Expiration=1,IF($A94&lt;VLOOKUP(H$5,NFI,5,0),1,0)*Table_NFI[[#This Row],[Hygiene Kit]],Table_NFI[Hygiene Kit])</f>
        <v>0</v>
      </c>
      <c r="Z94" s="264">
        <f>IF(NFI_Expiration=1,IF($A94&lt;VLOOKUP(I$5,NFI,5,0),1,0)*Table_NFI[[#This Row],[NFI Core Kit]],Table_NFI[NFI Core Kit])</f>
        <v>0</v>
      </c>
      <c r="AA94" s="264">
        <f>IF(NFI_Expiration=1,IF($A94&lt;VLOOKUP(J$5,NFI,5,0),1,0)*Table_NFI[[#This Row],[Sanitary Kit]],Table_NFI[Sanitary Kit])</f>
        <v>0</v>
      </c>
      <c r="AB94" s="264">
        <f>IF(NFI_Expiration=1,IF($A94&lt;VLOOKUP(K$5,NFI,5,0),1,0)*Table_NFI[[#This Row],[Mosquito net]],Table_NFI[Mosquito net])</f>
        <v>0</v>
      </c>
      <c r="AC94" s="264">
        <f>IF(NFI_Expiration=1,IF($A94&lt;VLOOKUP(L$5,NFI,5,0),1,0)*Table_NFI[[#This Row],[Tarpaulin]],Table_NFI[[#This Row],[Tarpaulin]])</f>
        <v>0</v>
      </c>
      <c r="AD94" s="264">
        <f>IF(NFI_Expiration=1,IF($A94&lt;VLOOKUP(M$5,NFI,5,0),1,0)*Table_NFI[[#This Row],[Blanket]],Table_NFI[[#This Row],[Blanket]])</f>
        <v>0</v>
      </c>
      <c r="AE94" s="264">
        <f>IF(NFI_Expiration=1,IF($A94&lt;VLOOKUP(N$5,NFI,5,0),1,0)*Table_NFI[[#This Row],[Kitchen Set]],Table_NFI[Kitchen Set])</f>
        <v>0</v>
      </c>
      <c r="AF94" s="264">
        <f>IF(NFI_Expiration=1,IF($A94&lt;VLOOKUP(O$5,NFI,5,0),1,0)*Table_NFI[[#This Row],[Clothes Kit]],Table_NFI[Clothes Kit])</f>
        <v>0</v>
      </c>
      <c r="AG94" s="264">
        <f>IF(NFI_Expiration=1,IF($A94&lt;VLOOKUP(P$5,NFI,5,0),1,0)*Table_NFI[[#This Row],[Plastic Bucket]],Table_NFI[Plastic Bucket])</f>
        <v>0</v>
      </c>
      <c r="AH94" s="264">
        <f>IF(NFI_Expiration=1,IF($A94&lt;VLOOKUP(Q$5,NFI,5,0),1,0)*Table_NFI[[#This Row],[Plastic Mat]],Table_NFI[Plastic Mat])*IF(Table_NFI[[#This Row],[Distribution Date]]&gt;"2014-04-01",1,2.5)</f>
        <v>0</v>
      </c>
      <c r="AI94" s="264">
        <f>IF(NFI_Expiration=1,IF($A94&lt;VLOOKUP(R$5,NFI,5,0),1,0)*Table_NFI[[#This Row],[Winter Clothes Adult]],Table_NFI[Winter Clothes Adult])</f>
        <v>0</v>
      </c>
      <c r="AJ94" s="264">
        <f>IF(NFI_Expiration=1,IF($A94&lt;VLOOKUP(S$5,NFI,5,0),1,0)*Table_NFI[[#This Row],[Winter Clothes Children]],Table_NFI[Winter Clothes Children])</f>
        <v>0</v>
      </c>
      <c r="AK94" s="264">
        <f>IF(NFI_Expiration=1,IF($A94&lt;VLOOKUP(T$5,NFI,5,0),1,0)*Table_NFI[[#This Row],[Winter Items Other]],Table_NFI[Winter Items Other])</f>
        <v>0</v>
      </c>
      <c r="AL94" s="264">
        <f>IF(NFI_Expiration=1,IF($A94&lt;VLOOKUP(M$5,NFI,5,0),1,0)*Table_NFI[[#This Row],[Winter Blanket]],Table_NFI[[#This Row],[Winter Blanket]])</f>
        <v>0</v>
      </c>
      <c r="AM94" s="264">
        <f>IF(Table_NFI[[#This Row],[Winter Clothes Adult]]+Table_NFI[[#This Row],[Winter Clothes Children]]+Table_NFI[[#This Row],[Winter Items Other]]+Table_NFI[[#This Row],[Winter Blanket]]&gt;0,1,0)</f>
        <v>0</v>
      </c>
      <c r="AN94" s="296">
        <f>IF(NFI_Expiration=1,IF($A94&lt;VLOOKUP(V$5,NFI,5,0),1,0)*Table_NFI[[#This Row],[Jerry Can]],Table_NFI[Jerry Can])</f>
        <v>1</v>
      </c>
      <c r="AO94" s="296">
        <f>IF(NFI_Expiration=1,IF($A94&lt;VLOOKUP(V$5,NFI,5,0),1,0)*Table_NFI[[#This Row],[Shelter Tool kit]],Table_NFI[Shelter Tool kit])</f>
        <v>0</v>
      </c>
      <c r="AP94" s="296">
        <f>IF(NFI_Expiration=1,IF($A94&lt;VLOOKUP(V$5,NFI,5,0),1,0)*Table_NFI[[#This Row],[Tent]],Table_NFI[Tent])</f>
        <v>0</v>
      </c>
      <c r="AQ94" s="396" t="str">
        <f>IFERROR(VLOOKUP(Table_NFI[[#This Row],[Camp Name]],CL,2,0),"")</f>
        <v>MMR001CMP070</v>
      </c>
      <c r="AR94" s="702">
        <f ca="1">IF(Table_NFI[[#This Row],[Pcode]]="","",IF(OFFSET(CampList[Opening Date],MATCH(Table_NFI[[#This Row],[Pcode]],CampList[CP_Pcode],0)-1,0,1,1)&gt;=NFI_Monitor_Date,1,0))</f>
        <v>0</v>
      </c>
      <c r="AS94" s="396" t="str">
        <f>IFERROR(VLOOKUP(Table_NFI[[#This Row],[Camp Name]],CL,3,0),"")</f>
        <v>Open</v>
      </c>
      <c r="AT94" s="264" t="str">
        <f ca="1">IF(Table_NFI[[#This Row],[Pcode]]="","",OFFSET(CampList[Priority],MATCH(Table_NFI[[#This Row],[Pcode]],CampList[CP_Pcode],0)-1,0,1,1))</f>
        <v>P3</v>
      </c>
      <c r="AU94" s="263">
        <f>IFERROR(Table_NFI[[#This Row],[Kitchen Set]]/VLOOKUP(Table_NFI[[#This Row],[Camp Name]],CL,4,0),"")</f>
        <v>0</v>
      </c>
      <c r="AV94" s="390"/>
      <c r="AW94" s="397" t="s">
        <v>1447</v>
      </c>
      <c r="AX94" s="402"/>
      <c r="AY94" s="402"/>
      <c r="AZ94" s="402"/>
      <c r="BA94" s="402"/>
      <c r="BB94" s="402"/>
      <c r="BC94" s="402"/>
      <c r="BD94" s="402"/>
      <c r="BE94" s="402"/>
      <c r="BF94" s="402"/>
      <c r="BG94" s="402"/>
      <c r="BH94" s="402"/>
      <c r="BI94" s="402"/>
      <c r="BJ94" s="402"/>
      <c r="BK94" s="402"/>
      <c r="BL94" s="402"/>
      <c r="BM94" s="402"/>
      <c r="BN94" s="402"/>
      <c r="BO94" s="402"/>
      <c r="BP94" s="402"/>
      <c r="BQ94" s="402"/>
      <c r="BR94" s="402"/>
      <c r="BS94" s="402"/>
      <c r="BT94" s="402"/>
      <c r="BU94" s="402"/>
      <c r="BV94" s="402"/>
      <c r="BW94" s="402"/>
      <c r="BX94" s="402"/>
      <c r="BY94" s="402"/>
      <c r="BZ94" s="402"/>
      <c r="CA94" s="402"/>
      <c r="CB94" s="402"/>
      <c r="CC94" s="402"/>
      <c r="CD94" s="402"/>
      <c r="CE94" s="402"/>
      <c r="CF94" s="402"/>
      <c r="CG94" s="402"/>
      <c r="CH94" s="402"/>
      <c r="CI94" s="402"/>
      <c r="CJ94" s="402"/>
      <c r="CK94" s="402"/>
      <c r="CL94" s="402"/>
      <c r="CM94" s="402"/>
      <c r="CN94" s="402"/>
      <c r="CO94" s="402"/>
      <c r="CP94" s="402"/>
      <c r="CQ94" s="402"/>
      <c r="CR94" s="402"/>
      <c r="CS94" s="402"/>
      <c r="CT94" s="402"/>
      <c r="CU94" s="402"/>
      <c r="CV94" s="402"/>
      <c r="CW94" s="402"/>
      <c r="CX94" s="402"/>
      <c r="CY94" s="402"/>
      <c r="CZ94" s="402"/>
      <c r="DA94" s="402"/>
      <c r="DB94" s="402"/>
      <c r="DC94" s="402"/>
      <c r="DD94" s="402"/>
      <c r="DE94" s="402"/>
      <c r="DF94" s="402"/>
      <c r="DG94" s="402"/>
      <c r="DH94" s="402"/>
      <c r="DI94" s="402"/>
      <c r="DJ94" s="402"/>
      <c r="DK94" s="402"/>
      <c r="DL94" s="402"/>
      <c r="DM94" s="402"/>
      <c r="DN94" s="402"/>
      <c r="DO94" s="402"/>
      <c r="DP94" s="402"/>
      <c r="DQ94" s="402"/>
    </row>
    <row r="95" spans="1:121" s="759" customFormat="1" ht="14.45" customHeight="1" x14ac:dyDescent="0.25">
      <c r="A95" s="266">
        <f t="shared" si="1"/>
        <v>10.166666666666666</v>
      </c>
      <c r="B95" s="389">
        <v>42551</v>
      </c>
      <c r="C95" s="394" t="s">
        <v>904</v>
      </c>
      <c r="D95" s="394" t="s">
        <v>904</v>
      </c>
      <c r="E95" s="394" t="s">
        <v>380</v>
      </c>
      <c r="F95" s="394" t="s">
        <v>185</v>
      </c>
      <c r="G95" s="394" t="s">
        <v>229</v>
      </c>
      <c r="H95" s="261"/>
      <c r="I95" s="261"/>
      <c r="J95" s="261"/>
      <c r="K95" s="261"/>
      <c r="L95" s="261"/>
      <c r="M95" s="261"/>
      <c r="N95" s="261"/>
      <c r="O95" s="261"/>
      <c r="P95" s="261"/>
      <c r="Q95" s="261"/>
      <c r="R95" s="261"/>
      <c r="S95" s="261"/>
      <c r="T95" s="261"/>
      <c r="U95" s="261"/>
      <c r="V95" s="762">
        <v>1</v>
      </c>
      <c r="W95" s="261"/>
      <c r="X95" s="261"/>
      <c r="Y95" s="264">
        <f>IF(NFI_Expiration=1,IF($A95&lt;VLOOKUP(H$5,NFI,5,0),1,0)*Table_NFI[[#This Row],[Hygiene Kit]],Table_NFI[Hygiene Kit])</f>
        <v>0</v>
      </c>
      <c r="Z95" s="264">
        <f>IF(NFI_Expiration=1,IF($A95&lt;VLOOKUP(I$5,NFI,5,0),1,0)*Table_NFI[[#This Row],[NFI Core Kit]],Table_NFI[NFI Core Kit])</f>
        <v>0</v>
      </c>
      <c r="AA95" s="264">
        <f>IF(NFI_Expiration=1,IF($A95&lt;VLOOKUP(J$5,NFI,5,0),1,0)*Table_NFI[[#This Row],[Sanitary Kit]],Table_NFI[Sanitary Kit])</f>
        <v>0</v>
      </c>
      <c r="AB95" s="264">
        <f>IF(NFI_Expiration=1,IF($A95&lt;VLOOKUP(K$5,NFI,5,0),1,0)*Table_NFI[[#This Row],[Mosquito net]],Table_NFI[Mosquito net])</f>
        <v>0</v>
      </c>
      <c r="AC95" s="264">
        <f>IF(NFI_Expiration=1,IF($A95&lt;VLOOKUP(L$5,NFI,5,0),1,0)*Table_NFI[[#This Row],[Tarpaulin]],Table_NFI[[#This Row],[Tarpaulin]])</f>
        <v>0</v>
      </c>
      <c r="AD95" s="264">
        <f>IF(NFI_Expiration=1,IF($A95&lt;VLOOKUP(M$5,NFI,5,0),1,0)*Table_NFI[[#This Row],[Blanket]],Table_NFI[[#This Row],[Blanket]])</f>
        <v>0</v>
      </c>
      <c r="AE95" s="264">
        <f>IF(NFI_Expiration=1,IF($A95&lt;VLOOKUP(N$5,NFI,5,0),1,0)*Table_NFI[[#This Row],[Kitchen Set]],Table_NFI[Kitchen Set])</f>
        <v>0</v>
      </c>
      <c r="AF95" s="264">
        <f>IF(NFI_Expiration=1,IF($A95&lt;VLOOKUP(O$5,NFI,5,0),1,0)*Table_NFI[[#This Row],[Clothes Kit]],Table_NFI[Clothes Kit])</f>
        <v>0</v>
      </c>
      <c r="AG95" s="264">
        <f>IF(NFI_Expiration=1,IF($A95&lt;VLOOKUP(P$5,NFI,5,0),1,0)*Table_NFI[[#This Row],[Plastic Bucket]],Table_NFI[Plastic Bucket])</f>
        <v>0</v>
      </c>
      <c r="AH95" s="264">
        <f>IF(NFI_Expiration=1,IF($A95&lt;VLOOKUP(Q$5,NFI,5,0),1,0)*Table_NFI[[#This Row],[Plastic Mat]],Table_NFI[Plastic Mat])*IF(Table_NFI[[#This Row],[Distribution Date]]&gt;"2014-04-01",1,2.5)</f>
        <v>0</v>
      </c>
      <c r="AI95" s="264">
        <f>IF(NFI_Expiration=1,IF($A95&lt;VLOOKUP(R$5,NFI,5,0),1,0)*Table_NFI[[#This Row],[Winter Clothes Adult]],Table_NFI[Winter Clothes Adult])</f>
        <v>0</v>
      </c>
      <c r="AJ95" s="264">
        <f>IF(NFI_Expiration=1,IF($A95&lt;VLOOKUP(S$5,NFI,5,0),1,0)*Table_NFI[[#This Row],[Winter Clothes Children]],Table_NFI[Winter Clothes Children])</f>
        <v>0</v>
      </c>
      <c r="AK95" s="264">
        <f>IF(NFI_Expiration=1,IF($A95&lt;VLOOKUP(T$5,NFI,5,0),1,0)*Table_NFI[[#This Row],[Winter Items Other]],Table_NFI[Winter Items Other])</f>
        <v>0</v>
      </c>
      <c r="AL95" s="264">
        <f>IF(NFI_Expiration=1,IF($A95&lt;VLOOKUP(M$5,NFI,5,0),1,0)*Table_NFI[[#This Row],[Winter Blanket]],Table_NFI[[#This Row],[Winter Blanket]])</f>
        <v>0</v>
      </c>
      <c r="AM95" s="264">
        <f>IF(Table_NFI[[#This Row],[Winter Clothes Adult]]+Table_NFI[[#This Row],[Winter Clothes Children]]+Table_NFI[[#This Row],[Winter Items Other]]+Table_NFI[[#This Row],[Winter Blanket]]&gt;0,1,0)</f>
        <v>0</v>
      </c>
      <c r="AN95" s="296">
        <f>IF(NFI_Expiration=1,IF($A95&lt;VLOOKUP(V$5,NFI,5,0),1,0)*Table_NFI[[#This Row],[Jerry Can]],Table_NFI[Jerry Can])</f>
        <v>1</v>
      </c>
      <c r="AO95" s="296">
        <f>IF(NFI_Expiration=1,IF($A95&lt;VLOOKUP(V$5,NFI,5,0),1,0)*Table_NFI[[#This Row],[Shelter Tool kit]],Table_NFI[Shelter Tool kit])</f>
        <v>0</v>
      </c>
      <c r="AP95" s="296">
        <f>IF(NFI_Expiration=1,IF($A95&lt;VLOOKUP(V$5,NFI,5,0),1,0)*Table_NFI[[#This Row],[Tent]],Table_NFI[Tent])</f>
        <v>0</v>
      </c>
      <c r="AQ95" s="396" t="str">
        <f>IFERROR(VLOOKUP(Table_NFI[[#This Row],[Camp Name]],CL,2,0),"")</f>
        <v>MMR001CMP072</v>
      </c>
      <c r="AR95" s="702">
        <f ca="1">IF(Table_NFI[[#This Row],[Pcode]]="","",IF(OFFSET(CampList[Opening Date],MATCH(Table_NFI[[#This Row],[Pcode]],CampList[CP_Pcode],0)-1,0,1,1)&gt;=NFI_Monitor_Date,1,0))</f>
        <v>0</v>
      </c>
      <c r="AS95" s="396" t="str">
        <f>IFERROR(VLOOKUP(Table_NFI[[#This Row],[Camp Name]],CL,3,0),"")</f>
        <v>Open</v>
      </c>
      <c r="AT95" s="264" t="str">
        <f ca="1">IF(Table_NFI[[#This Row],[Pcode]]="","",OFFSET(CampList[Priority],MATCH(Table_NFI[[#This Row],[Pcode]],CampList[CP_Pcode],0)-1,0,1,1))</f>
        <v>P3</v>
      </c>
      <c r="AU95" s="263">
        <f>IFERROR(Table_NFI[[#This Row],[Kitchen Set]]/VLOOKUP(Table_NFI[[#This Row],[Camp Name]],CL,4,0),"")</f>
        <v>0</v>
      </c>
      <c r="AV95" s="390"/>
      <c r="AW95" s="397" t="s">
        <v>1447</v>
      </c>
      <c r="AX95" s="402"/>
      <c r="AY95" s="402"/>
      <c r="AZ95" s="402"/>
      <c r="BA95" s="402"/>
      <c r="BB95" s="402"/>
      <c r="BC95" s="402"/>
      <c r="BD95" s="402"/>
      <c r="BE95" s="402"/>
      <c r="BF95" s="402"/>
      <c r="BG95" s="402"/>
      <c r="BH95" s="402"/>
      <c r="BI95" s="402"/>
      <c r="BJ95" s="402"/>
      <c r="BK95" s="402"/>
      <c r="BL95" s="402"/>
      <c r="BM95" s="402"/>
      <c r="BN95" s="402"/>
      <c r="BO95" s="402"/>
      <c r="BP95" s="402"/>
      <c r="BQ95" s="402"/>
      <c r="BR95" s="402"/>
      <c r="BS95" s="402"/>
      <c r="BT95" s="402"/>
      <c r="BU95" s="402"/>
      <c r="BV95" s="402"/>
      <c r="BW95" s="402"/>
      <c r="BX95" s="402"/>
      <c r="BY95" s="402"/>
      <c r="BZ95" s="402"/>
      <c r="CA95" s="402"/>
      <c r="CB95" s="402"/>
      <c r="CC95" s="402"/>
      <c r="CD95" s="402"/>
      <c r="CE95" s="402"/>
      <c r="CF95" s="402"/>
      <c r="CG95" s="402"/>
      <c r="CH95" s="402"/>
      <c r="CI95" s="402"/>
      <c r="CJ95" s="402"/>
      <c r="CK95" s="402"/>
      <c r="CL95" s="402"/>
      <c r="CM95" s="402"/>
      <c r="CN95" s="402"/>
      <c r="CO95" s="402"/>
      <c r="CP95" s="402"/>
      <c r="CQ95" s="402"/>
      <c r="CR95" s="402"/>
      <c r="CS95" s="402"/>
      <c r="CT95" s="402"/>
      <c r="CU95" s="402"/>
      <c r="CV95" s="402"/>
      <c r="CW95" s="402"/>
      <c r="CX95" s="402"/>
      <c r="CY95" s="402"/>
      <c r="CZ95" s="402"/>
      <c r="DA95" s="402"/>
      <c r="DB95" s="402"/>
      <c r="DC95" s="402"/>
      <c r="DD95" s="402"/>
      <c r="DE95" s="402"/>
      <c r="DF95" s="402"/>
      <c r="DG95" s="402"/>
      <c r="DH95" s="402"/>
      <c r="DI95" s="402"/>
      <c r="DJ95" s="402"/>
      <c r="DK95" s="402"/>
      <c r="DL95" s="402"/>
      <c r="DM95" s="402"/>
      <c r="DN95" s="402"/>
      <c r="DO95" s="402"/>
      <c r="DP95" s="402"/>
      <c r="DQ95" s="402"/>
    </row>
    <row r="96" spans="1:121" s="393" customFormat="1" ht="14.45" customHeight="1" x14ac:dyDescent="0.25">
      <c r="A96" s="266">
        <f t="shared" si="1"/>
        <v>10.166666666666666</v>
      </c>
      <c r="B96" s="389">
        <v>42551</v>
      </c>
      <c r="C96" s="394" t="s">
        <v>904</v>
      </c>
      <c r="D96" s="394" t="s">
        <v>904</v>
      </c>
      <c r="E96" s="394" t="s">
        <v>380</v>
      </c>
      <c r="F96" s="394" t="s">
        <v>5</v>
      </c>
      <c r="G96" s="394" t="s">
        <v>366</v>
      </c>
      <c r="H96" s="261"/>
      <c r="I96" s="261"/>
      <c r="J96" s="261"/>
      <c r="K96" s="261"/>
      <c r="L96" s="261"/>
      <c r="M96" s="261"/>
      <c r="N96" s="261"/>
      <c r="O96" s="261"/>
      <c r="P96" s="261"/>
      <c r="Q96" s="261"/>
      <c r="R96" s="261"/>
      <c r="S96" s="261"/>
      <c r="T96" s="261"/>
      <c r="U96" s="261"/>
      <c r="V96" s="762">
        <v>4</v>
      </c>
      <c r="W96" s="261"/>
      <c r="X96" s="261"/>
      <c r="Y96" s="264">
        <f>IF(NFI_Expiration=1,IF($A96&lt;VLOOKUP(H$5,NFI,5,0),1,0)*Table_NFI[[#This Row],[Hygiene Kit]],Table_NFI[Hygiene Kit])</f>
        <v>0</v>
      </c>
      <c r="Z96" s="264">
        <f>IF(NFI_Expiration=1,IF($A96&lt;VLOOKUP(I$5,NFI,5,0),1,0)*Table_NFI[[#This Row],[NFI Core Kit]],Table_NFI[NFI Core Kit])</f>
        <v>0</v>
      </c>
      <c r="AA96" s="264">
        <f>IF(NFI_Expiration=1,IF($A96&lt;VLOOKUP(J$5,NFI,5,0),1,0)*Table_NFI[[#This Row],[Sanitary Kit]],Table_NFI[Sanitary Kit])</f>
        <v>0</v>
      </c>
      <c r="AB96" s="264">
        <f>IF(NFI_Expiration=1,IF($A96&lt;VLOOKUP(K$5,NFI,5,0),1,0)*Table_NFI[[#This Row],[Mosquito net]],Table_NFI[Mosquito net])</f>
        <v>0</v>
      </c>
      <c r="AC96" s="264">
        <f>IF(NFI_Expiration=1,IF($A96&lt;VLOOKUP(L$5,NFI,5,0),1,0)*Table_NFI[[#This Row],[Tarpaulin]],Table_NFI[[#This Row],[Tarpaulin]])</f>
        <v>0</v>
      </c>
      <c r="AD96" s="264">
        <f>IF(NFI_Expiration=1,IF($A96&lt;VLOOKUP(M$5,NFI,5,0),1,0)*Table_NFI[[#This Row],[Blanket]],Table_NFI[[#This Row],[Blanket]])</f>
        <v>0</v>
      </c>
      <c r="AE96" s="264">
        <f>IF(NFI_Expiration=1,IF($A96&lt;VLOOKUP(N$5,NFI,5,0),1,0)*Table_NFI[[#This Row],[Kitchen Set]],Table_NFI[Kitchen Set])</f>
        <v>0</v>
      </c>
      <c r="AF96" s="264">
        <f>IF(NFI_Expiration=1,IF($A96&lt;VLOOKUP(O$5,NFI,5,0),1,0)*Table_NFI[[#This Row],[Clothes Kit]],Table_NFI[Clothes Kit])</f>
        <v>0</v>
      </c>
      <c r="AG96" s="264">
        <f>IF(NFI_Expiration=1,IF($A96&lt;VLOOKUP(P$5,NFI,5,0),1,0)*Table_NFI[[#This Row],[Plastic Bucket]],Table_NFI[Plastic Bucket])</f>
        <v>0</v>
      </c>
      <c r="AH96" s="264">
        <f>IF(NFI_Expiration=1,IF($A96&lt;VLOOKUP(Q$5,NFI,5,0),1,0)*Table_NFI[[#This Row],[Plastic Mat]],Table_NFI[Plastic Mat])*IF(Table_NFI[[#This Row],[Distribution Date]]&gt;"2014-04-01",1,2.5)</f>
        <v>0</v>
      </c>
      <c r="AI96" s="264">
        <f>IF(NFI_Expiration=1,IF($A96&lt;VLOOKUP(R$5,NFI,5,0),1,0)*Table_NFI[[#This Row],[Winter Clothes Adult]],Table_NFI[Winter Clothes Adult])</f>
        <v>0</v>
      </c>
      <c r="AJ96" s="264">
        <f>IF(NFI_Expiration=1,IF($A96&lt;VLOOKUP(S$5,NFI,5,0),1,0)*Table_NFI[[#This Row],[Winter Clothes Children]],Table_NFI[Winter Clothes Children])</f>
        <v>0</v>
      </c>
      <c r="AK96" s="264">
        <f>IF(NFI_Expiration=1,IF($A96&lt;VLOOKUP(T$5,NFI,5,0),1,0)*Table_NFI[[#This Row],[Winter Items Other]],Table_NFI[Winter Items Other])</f>
        <v>0</v>
      </c>
      <c r="AL96" s="264">
        <f>IF(NFI_Expiration=1,IF($A96&lt;VLOOKUP(M$5,NFI,5,0),1,0)*Table_NFI[[#This Row],[Winter Blanket]],Table_NFI[[#This Row],[Winter Blanket]])</f>
        <v>0</v>
      </c>
      <c r="AM96" s="264">
        <f>IF(Table_NFI[[#This Row],[Winter Clothes Adult]]+Table_NFI[[#This Row],[Winter Clothes Children]]+Table_NFI[[#This Row],[Winter Items Other]]+Table_NFI[[#This Row],[Winter Blanket]]&gt;0,1,0)</f>
        <v>0</v>
      </c>
      <c r="AN96" s="296">
        <f>IF(NFI_Expiration=1,IF($A96&lt;VLOOKUP(V$5,NFI,5,0),1,0)*Table_NFI[[#This Row],[Jerry Can]],Table_NFI[Jerry Can])</f>
        <v>4</v>
      </c>
      <c r="AO96" s="296">
        <f>IF(NFI_Expiration=1,IF($A96&lt;VLOOKUP(V$5,NFI,5,0),1,0)*Table_NFI[[#This Row],[Shelter Tool kit]],Table_NFI[Shelter Tool kit])</f>
        <v>0</v>
      </c>
      <c r="AP96" s="296">
        <f>IF(NFI_Expiration=1,IF($A96&lt;VLOOKUP(V$5,NFI,5,0),1,0)*Table_NFI[[#This Row],[Tent]],Table_NFI[Tent])</f>
        <v>0</v>
      </c>
      <c r="AQ96" s="396" t="str">
        <f>IFERROR(VLOOKUP(Table_NFI[[#This Row],[Camp Name]],CL,2,0),"")</f>
        <v>MMR001CMP193</v>
      </c>
      <c r="AR96" s="702">
        <f ca="1">IF(Table_NFI[[#This Row],[Pcode]]="","",IF(OFFSET(CampList[Opening Date],MATCH(Table_NFI[[#This Row],[Pcode]],CampList[CP_Pcode],0)-1,0,1,1)&gt;=NFI_Monitor_Date,1,0))</f>
        <v>0</v>
      </c>
      <c r="AS96" s="396" t="str">
        <f>IFERROR(VLOOKUP(Table_NFI[[#This Row],[Camp Name]],CL,3,0),"")</f>
        <v>Open</v>
      </c>
      <c r="AT96" s="264" t="str">
        <f ca="1">IF(Table_NFI[[#This Row],[Pcode]]="","",OFFSET(CampList[Priority],MATCH(Table_NFI[[#This Row],[Pcode]],CampList[CP_Pcode],0)-1,0,1,1))</f>
        <v>P4</v>
      </c>
      <c r="AU96" s="263">
        <f>IFERROR(Table_NFI[[#This Row],[Kitchen Set]]/VLOOKUP(Table_NFI[[#This Row],[Camp Name]],CL,4,0),"")</f>
        <v>0</v>
      </c>
      <c r="AV96" s="390"/>
      <c r="AW96" s="397" t="s">
        <v>1447</v>
      </c>
      <c r="AX96" s="399"/>
      <c r="AY96" s="399"/>
      <c r="AZ96" s="399"/>
      <c r="BA96" s="399"/>
      <c r="BB96" s="399"/>
      <c r="BC96" s="399"/>
      <c r="BD96" s="399"/>
      <c r="BE96" s="399"/>
      <c r="BF96" s="399"/>
      <c r="BG96" s="399"/>
      <c r="BH96" s="399"/>
      <c r="BI96" s="399"/>
      <c r="BJ96" s="399"/>
      <c r="BK96" s="399"/>
      <c r="BL96" s="399"/>
      <c r="BM96" s="399"/>
      <c r="BN96" s="399"/>
      <c r="BO96" s="399"/>
      <c r="BP96" s="399"/>
      <c r="BQ96" s="399"/>
      <c r="BR96" s="399"/>
      <c r="BS96" s="399"/>
      <c r="BT96" s="399"/>
      <c r="BU96" s="399"/>
      <c r="BV96" s="399"/>
      <c r="BW96" s="399"/>
      <c r="BX96" s="399"/>
      <c r="BY96" s="399"/>
      <c r="BZ96" s="399"/>
      <c r="CA96" s="399"/>
      <c r="CB96" s="399"/>
      <c r="CC96" s="399"/>
      <c r="CD96" s="399"/>
      <c r="CE96" s="399"/>
      <c r="CF96" s="399"/>
      <c r="CG96" s="399"/>
      <c r="CH96" s="399"/>
      <c r="CI96" s="399"/>
      <c r="CJ96" s="399"/>
      <c r="CK96" s="399"/>
      <c r="CL96" s="399"/>
      <c r="CM96" s="399"/>
      <c r="CN96" s="399"/>
      <c r="CO96" s="399"/>
      <c r="CP96" s="399"/>
      <c r="CQ96" s="399"/>
      <c r="CR96" s="399"/>
      <c r="CS96" s="399"/>
      <c r="CT96" s="399"/>
      <c r="CU96" s="399"/>
      <c r="CV96" s="399"/>
      <c r="CW96" s="399"/>
      <c r="CX96" s="399"/>
      <c r="CY96" s="399"/>
      <c r="CZ96" s="399"/>
      <c r="DA96" s="399"/>
      <c r="DB96" s="399"/>
      <c r="DC96" s="399"/>
      <c r="DD96" s="399"/>
      <c r="DE96" s="399"/>
      <c r="DF96" s="399"/>
      <c r="DG96" s="399"/>
      <c r="DH96" s="399"/>
      <c r="DI96" s="399"/>
      <c r="DJ96" s="399"/>
      <c r="DK96" s="399"/>
      <c r="DL96" s="399"/>
      <c r="DM96" s="399"/>
      <c r="DN96" s="399"/>
      <c r="DO96" s="399"/>
      <c r="DP96" s="399"/>
      <c r="DQ96" s="399"/>
    </row>
    <row r="97" spans="1:121" s="759" customFormat="1" ht="14.45" customHeight="1" x14ac:dyDescent="0.25">
      <c r="A97" s="266">
        <f t="shared" si="1"/>
        <v>10.166666666666666</v>
      </c>
      <c r="B97" s="389">
        <v>42551</v>
      </c>
      <c r="C97" s="394" t="s">
        <v>904</v>
      </c>
      <c r="D97" s="394" t="s">
        <v>904</v>
      </c>
      <c r="E97" s="394" t="s">
        <v>380</v>
      </c>
      <c r="F97" s="394" t="s">
        <v>185</v>
      </c>
      <c r="G97" s="394" t="s">
        <v>225</v>
      </c>
      <c r="H97" s="261"/>
      <c r="I97" s="261"/>
      <c r="J97" s="261"/>
      <c r="K97" s="261"/>
      <c r="L97" s="261"/>
      <c r="M97" s="261"/>
      <c r="N97" s="261"/>
      <c r="O97" s="261"/>
      <c r="P97" s="261"/>
      <c r="Q97" s="261"/>
      <c r="R97" s="261"/>
      <c r="S97" s="261"/>
      <c r="T97" s="261"/>
      <c r="U97" s="261"/>
      <c r="V97" s="762">
        <v>1</v>
      </c>
      <c r="W97" s="261"/>
      <c r="X97" s="261"/>
      <c r="Y97" s="264">
        <f>IF(NFI_Expiration=1,IF($A97&lt;VLOOKUP(H$5,NFI,5,0),1,0)*Table_NFI[[#This Row],[Hygiene Kit]],Table_NFI[Hygiene Kit])</f>
        <v>0</v>
      </c>
      <c r="Z97" s="264">
        <f>IF(NFI_Expiration=1,IF($A97&lt;VLOOKUP(I$5,NFI,5,0),1,0)*Table_NFI[[#This Row],[NFI Core Kit]],Table_NFI[NFI Core Kit])</f>
        <v>0</v>
      </c>
      <c r="AA97" s="264">
        <f>IF(NFI_Expiration=1,IF($A97&lt;VLOOKUP(J$5,NFI,5,0),1,0)*Table_NFI[[#This Row],[Sanitary Kit]],Table_NFI[Sanitary Kit])</f>
        <v>0</v>
      </c>
      <c r="AB97" s="264">
        <f>IF(NFI_Expiration=1,IF($A97&lt;VLOOKUP(K$5,NFI,5,0),1,0)*Table_NFI[[#This Row],[Mosquito net]],Table_NFI[Mosquito net])</f>
        <v>0</v>
      </c>
      <c r="AC97" s="264">
        <f>IF(NFI_Expiration=1,IF($A97&lt;VLOOKUP(L$5,NFI,5,0),1,0)*Table_NFI[[#This Row],[Tarpaulin]],Table_NFI[[#This Row],[Tarpaulin]])</f>
        <v>0</v>
      </c>
      <c r="AD97" s="264">
        <f>IF(NFI_Expiration=1,IF($A97&lt;VLOOKUP(M$5,NFI,5,0),1,0)*Table_NFI[[#This Row],[Blanket]],Table_NFI[[#This Row],[Blanket]])</f>
        <v>0</v>
      </c>
      <c r="AE97" s="264">
        <f>IF(NFI_Expiration=1,IF($A97&lt;VLOOKUP(N$5,NFI,5,0),1,0)*Table_NFI[[#This Row],[Kitchen Set]],Table_NFI[Kitchen Set])</f>
        <v>0</v>
      </c>
      <c r="AF97" s="264">
        <f>IF(NFI_Expiration=1,IF($A97&lt;VLOOKUP(O$5,NFI,5,0),1,0)*Table_NFI[[#This Row],[Clothes Kit]],Table_NFI[Clothes Kit])</f>
        <v>0</v>
      </c>
      <c r="AG97" s="264">
        <f>IF(NFI_Expiration=1,IF($A97&lt;VLOOKUP(P$5,NFI,5,0),1,0)*Table_NFI[[#This Row],[Plastic Bucket]],Table_NFI[Plastic Bucket])</f>
        <v>0</v>
      </c>
      <c r="AH97" s="264">
        <f>IF(NFI_Expiration=1,IF($A97&lt;VLOOKUP(Q$5,NFI,5,0),1,0)*Table_NFI[[#This Row],[Plastic Mat]],Table_NFI[Plastic Mat])*IF(Table_NFI[[#This Row],[Distribution Date]]&gt;"2014-04-01",1,2.5)</f>
        <v>0</v>
      </c>
      <c r="AI97" s="264">
        <f>IF(NFI_Expiration=1,IF($A97&lt;VLOOKUP(R$5,NFI,5,0),1,0)*Table_NFI[[#This Row],[Winter Clothes Adult]],Table_NFI[Winter Clothes Adult])</f>
        <v>0</v>
      </c>
      <c r="AJ97" s="264">
        <f>IF(NFI_Expiration=1,IF($A97&lt;VLOOKUP(S$5,NFI,5,0),1,0)*Table_NFI[[#This Row],[Winter Clothes Children]],Table_NFI[Winter Clothes Children])</f>
        <v>0</v>
      </c>
      <c r="AK97" s="264">
        <f>IF(NFI_Expiration=1,IF($A97&lt;VLOOKUP(T$5,NFI,5,0),1,0)*Table_NFI[[#This Row],[Winter Items Other]],Table_NFI[Winter Items Other])</f>
        <v>0</v>
      </c>
      <c r="AL97" s="264">
        <f>IF(NFI_Expiration=1,IF($A97&lt;VLOOKUP(M$5,NFI,5,0),1,0)*Table_NFI[[#This Row],[Winter Blanket]],Table_NFI[[#This Row],[Winter Blanket]])</f>
        <v>0</v>
      </c>
      <c r="AM97" s="264">
        <f>IF(Table_NFI[[#This Row],[Winter Clothes Adult]]+Table_NFI[[#This Row],[Winter Clothes Children]]+Table_NFI[[#This Row],[Winter Items Other]]+Table_NFI[[#This Row],[Winter Blanket]]&gt;0,1,0)</f>
        <v>0</v>
      </c>
      <c r="AN97" s="296">
        <f>IF(NFI_Expiration=1,IF($A97&lt;VLOOKUP(V$5,NFI,5,0),1,0)*Table_NFI[[#This Row],[Jerry Can]],Table_NFI[Jerry Can])</f>
        <v>1</v>
      </c>
      <c r="AO97" s="296">
        <f>IF(NFI_Expiration=1,IF($A97&lt;VLOOKUP(V$5,NFI,5,0),1,0)*Table_NFI[[#This Row],[Shelter Tool kit]],Table_NFI[Shelter Tool kit])</f>
        <v>0</v>
      </c>
      <c r="AP97" s="296">
        <f>IF(NFI_Expiration=1,IF($A97&lt;VLOOKUP(V$5,NFI,5,0),1,0)*Table_NFI[[#This Row],[Tent]],Table_NFI[Tent])</f>
        <v>0</v>
      </c>
      <c r="AQ97" s="396" t="str">
        <f>IFERROR(VLOOKUP(Table_NFI[[#This Row],[Camp Name]],CL,2,0),"")</f>
        <v>MMR001CMP073</v>
      </c>
      <c r="AR97" s="702">
        <f ca="1">IF(Table_NFI[[#This Row],[Pcode]]="","",IF(OFFSET(CampList[Opening Date],MATCH(Table_NFI[[#This Row],[Pcode]],CampList[CP_Pcode],0)-1,0,1,1)&gt;=NFI_Monitor_Date,1,0))</f>
        <v>0</v>
      </c>
      <c r="AS97" s="396" t="str">
        <f>IFERROR(VLOOKUP(Table_NFI[[#This Row],[Camp Name]],CL,3,0),"")</f>
        <v>Open</v>
      </c>
      <c r="AT97" s="264" t="str">
        <f ca="1">IF(Table_NFI[[#This Row],[Pcode]]="","",OFFSET(CampList[Priority],MATCH(Table_NFI[[#This Row],[Pcode]],CampList[CP_Pcode],0)-1,0,1,1))</f>
        <v>P3</v>
      </c>
      <c r="AU97" s="263">
        <f>IFERROR(Table_NFI[[#This Row],[Kitchen Set]]/VLOOKUP(Table_NFI[[#This Row],[Camp Name]],CL,4,0),"")</f>
        <v>0</v>
      </c>
      <c r="AV97" s="390"/>
      <c r="AW97" s="397" t="s">
        <v>1447</v>
      </c>
      <c r="AX97" s="402"/>
      <c r="AY97" s="402"/>
      <c r="AZ97" s="402"/>
      <c r="BA97" s="402"/>
      <c r="BB97" s="402"/>
      <c r="BC97" s="402"/>
      <c r="BD97" s="402"/>
      <c r="BE97" s="402"/>
      <c r="BF97" s="402"/>
      <c r="BG97" s="402"/>
      <c r="BH97" s="402"/>
      <c r="BI97" s="402"/>
      <c r="BJ97" s="402"/>
      <c r="BK97" s="402"/>
      <c r="BL97" s="402"/>
      <c r="BM97" s="402"/>
      <c r="BN97" s="402"/>
      <c r="BO97" s="402"/>
      <c r="BP97" s="402"/>
      <c r="BQ97" s="402"/>
      <c r="BR97" s="402"/>
      <c r="BS97" s="402"/>
      <c r="BT97" s="402"/>
      <c r="BU97" s="402"/>
      <c r="BV97" s="402"/>
      <c r="BW97" s="402"/>
      <c r="BX97" s="402"/>
      <c r="BY97" s="402"/>
      <c r="BZ97" s="402"/>
      <c r="CA97" s="402"/>
      <c r="CB97" s="402"/>
      <c r="CC97" s="402"/>
      <c r="CD97" s="402"/>
      <c r="CE97" s="402"/>
      <c r="CF97" s="402"/>
      <c r="CG97" s="402"/>
      <c r="CH97" s="402"/>
      <c r="CI97" s="402"/>
      <c r="CJ97" s="402"/>
      <c r="CK97" s="402"/>
      <c r="CL97" s="402"/>
      <c r="CM97" s="402"/>
      <c r="CN97" s="402"/>
      <c r="CO97" s="402"/>
      <c r="CP97" s="402"/>
      <c r="CQ97" s="402"/>
      <c r="CR97" s="402"/>
      <c r="CS97" s="402"/>
      <c r="CT97" s="402"/>
      <c r="CU97" s="402"/>
      <c r="CV97" s="402"/>
      <c r="CW97" s="402"/>
      <c r="CX97" s="402"/>
      <c r="CY97" s="402"/>
      <c r="CZ97" s="402"/>
      <c r="DA97" s="402"/>
      <c r="DB97" s="402"/>
      <c r="DC97" s="402"/>
      <c r="DD97" s="402"/>
      <c r="DE97" s="402"/>
      <c r="DF97" s="402"/>
      <c r="DG97" s="402"/>
      <c r="DH97" s="402"/>
      <c r="DI97" s="402"/>
      <c r="DJ97" s="402"/>
      <c r="DK97" s="402"/>
      <c r="DL97" s="402"/>
      <c r="DM97" s="402"/>
      <c r="DN97" s="402"/>
      <c r="DO97" s="402"/>
      <c r="DP97" s="402"/>
      <c r="DQ97" s="402"/>
    </row>
    <row r="98" spans="1:121" s="759" customFormat="1" ht="14.45" customHeight="1" x14ac:dyDescent="0.25">
      <c r="A98" s="266">
        <f t="shared" si="1"/>
        <v>10.166666666666666</v>
      </c>
      <c r="B98" s="389">
        <v>42551</v>
      </c>
      <c r="C98" s="394" t="s">
        <v>904</v>
      </c>
      <c r="D98" s="394" t="s">
        <v>904</v>
      </c>
      <c r="E98" s="394" t="s">
        <v>380</v>
      </c>
      <c r="F98" s="394" t="s">
        <v>5</v>
      </c>
      <c r="G98" s="394" t="s">
        <v>24</v>
      </c>
      <c r="H98" s="261"/>
      <c r="I98" s="261"/>
      <c r="J98" s="261"/>
      <c r="K98" s="261"/>
      <c r="L98" s="261"/>
      <c r="M98" s="261"/>
      <c r="N98" s="261"/>
      <c r="O98" s="261"/>
      <c r="P98" s="261"/>
      <c r="Q98" s="261"/>
      <c r="R98" s="261"/>
      <c r="S98" s="261"/>
      <c r="T98" s="261"/>
      <c r="U98" s="261"/>
      <c r="V98" s="762">
        <v>2</v>
      </c>
      <c r="W98" s="261"/>
      <c r="X98" s="261"/>
      <c r="Y98" s="264">
        <f>IF(NFI_Expiration=1,IF($A98&lt;VLOOKUP(H$5,NFI,5,0),1,0)*Table_NFI[[#This Row],[Hygiene Kit]],Table_NFI[Hygiene Kit])</f>
        <v>0</v>
      </c>
      <c r="Z98" s="264">
        <f>IF(NFI_Expiration=1,IF($A98&lt;VLOOKUP(I$5,NFI,5,0),1,0)*Table_NFI[[#This Row],[NFI Core Kit]],Table_NFI[NFI Core Kit])</f>
        <v>0</v>
      </c>
      <c r="AA98" s="264">
        <f>IF(NFI_Expiration=1,IF($A98&lt;VLOOKUP(J$5,NFI,5,0),1,0)*Table_NFI[[#This Row],[Sanitary Kit]],Table_NFI[Sanitary Kit])</f>
        <v>0</v>
      </c>
      <c r="AB98" s="264">
        <f>IF(NFI_Expiration=1,IF($A98&lt;VLOOKUP(K$5,NFI,5,0),1,0)*Table_NFI[[#This Row],[Mosquito net]],Table_NFI[Mosquito net])</f>
        <v>0</v>
      </c>
      <c r="AC98" s="264">
        <f>IF(NFI_Expiration=1,IF($A98&lt;VLOOKUP(L$5,NFI,5,0),1,0)*Table_NFI[[#This Row],[Tarpaulin]],Table_NFI[[#This Row],[Tarpaulin]])</f>
        <v>0</v>
      </c>
      <c r="AD98" s="264">
        <f>IF(NFI_Expiration=1,IF($A98&lt;VLOOKUP(M$5,NFI,5,0),1,0)*Table_NFI[[#This Row],[Blanket]],Table_NFI[[#This Row],[Blanket]])</f>
        <v>0</v>
      </c>
      <c r="AE98" s="264">
        <f>IF(NFI_Expiration=1,IF($A98&lt;VLOOKUP(N$5,NFI,5,0),1,0)*Table_NFI[[#This Row],[Kitchen Set]],Table_NFI[Kitchen Set])</f>
        <v>0</v>
      </c>
      <c r="AF98" s="264">
        <f>IF(NFI_Expiration=1,IF($A98&lt;VLOOKUP(O$5,NFI,5,0),1,0)*Table_NFI[[#This Row],[Clothes Kit]],Table_NFI[Clothes Kit])</f>
        <v>0</v>
      </c>
      <c r="AG98" s="264">
        <f>IF(NFI_Expiration=1,IF($A98&lt;VLOOKUP(P$5,NFI,5,0),1,0)*Table_NFI[[#This Row],[Plastic Bucket]],Table_NFI[Plastic Bucket])</f>
        <v>0</v>
      </c>
      <c r="AH98" s="264">
        <f>IF(NFI_Expiration=1,IF($A98&lt;VLOOKUP(Q$5,NFI,5,0),1,0)*Table_NFI[[#This Row],[Plastic Mat]],Table_NFI[Plastic Mat])*IF(Table_NFI[[#This Row],[Distribution Date]]&gt;"2014-04-01",1,2.5)</f>
        <v>0</v>
      </c>
      <c r="AI98" s="264">
        <f>IF(NFI_Expiration=1,IF($A98&lt;VLOOKUP(R$5,NFI,5,0),1,0)*Table_NFI[[#This Row],[Winter Clothes Adult]],Table_NFI[Winter Clothes Adult])</f>
        <v>0</v>
      </c>
      <c r="AJ98" s="264">
        <f>IF(NFI_Expiration=1,IF($A98&lt;VLOOKUP(S$5,NFI,5,0),1,0)*Table_NFI[[#This Row],[Winter Clothes Children]],Table_NFI[Winter Clothes Children])</f>
        <v>0</v>
      </c>
      <c r="AK98" s="264">
        <f>IF(NFI_Expiration=1,IF($A98&lt;VLOOKUP(T$5,NFI,5,0),1,0)*Table_NFI[[#This Row],[Winter Items Other]],Table_NFI[Winter Items Other])</f>
        <v>0</v>
      </c>
      <c r="AL98" s="264">
        <f>IF(NFI_Expiration=1,IF($A98&lt;VLOOKUP(M$5,NFI,5,0),1,0)*Table_NFI[[#This Row],[Winter Blanket]],Table_NFI[[#This Row],[Winter Blanket]])</f>
        <v>0</v>
      </c>
      <c r="AM98" s="264">
        <f>IF(Table_NFI[[#This Row],[Winter Clothes Adult]]+Table_NFI[[#This Row],[Winter Clothes Children]]+Table_NFI[[#This Row],[Winter Items Other]]+Table_NFI[[#This Row],[Winter Blanket]]&gt;0,1,0)</f>
        <v>0</v>
      </c>
      <c r="AN98" s="296">
        <f>IF(NFI_Expiration=1,IF($A98&lt;VLOOKUP(V$5,NFI,5,0),1,0)*Table_NFI[[#This Row],[Jerry Can]],Table_NFI[Jerry Can])</f>
        <v>2</v>
      </c>
      <c r="AO98" s="296">
        <f>IF(NFI_Expiration=1,IF($A98&lt;VLOOKUP(V$5,NFI,5,0),1,0)*Table_NFI[[#This Row],[Shelter Tool kit]],Table_NFI[Shelter Tool kit])</f>
        <v>0</v>
      </c>
      <c r="AP98" s="296">
        <f>IF(NFI_Expiration=1,IF($A98&lt;VLOOKUP(V$5,NFI,5,0),1,0)*Table_NFI[[#This Row],[Tent]],Table_NFI[Tent])</f>
        <v>0</v>
      </c>
      <c r="AQ98" s="396" t="str">
        <f>IFERROR(VLOOKUP(Table_NFI[[#This Row],[Camp Name]],CL,2,0),"")</f>
        <v>MMR001CMP055</v>
      </c>
      <c r="AR98" s="702">
        <f ca="1">IF(Table_NFI[[#This Row],[Pcode]]="","",IF(OFFSET(CampList[Opening Date],MATCH(Table_NFI[[#This Row],[Pcode]],CampList[CP_Pcode],0)-1,0,1,1)&gt;=NFI_Monitor_Date,1,0))</f>
        <v>0</v>
      </c>
      <c r="AS98" s="396" t="str">
        <f>IFERROR(VLOOKUP(Table_NFI[[#This Row],[Camp Name]],CL,3,0),"")</f>
        <v>Open</v>
      </c>
      <c r="AT98" s="264" t="str">
        <f ca="1">IF(Table_NFI[[#This Row],[Pcode]]="","",OFFSET(CampList[Priority],MATCH(Table_NFI[[#This Row],[Pcode]],CampList[CP_Pcode],0)-1,0,1,1))</f>
        <v>P4</v>
      </c>
      <c r="AU98" s="263">
        <f>IFERROR(Table_NFI[[#This Row],[Kitchen Set]]/VLOOKUP(Table_NFI[[#This Row],[Camp Name]],CL,4,0),"")</f>
        <v>0</v>
      </c>
      <c r="AV98" s="390"/>
      <c r="AW98" s="397" t="s">
        <v>1447</v>
      </c>
      <c r="AX98" s="402"/>
      <c r="AY98" s="402"/>
      <c r="AZ98" s="402"/>
      <c r="BA98" s="402"/>
      <c r="BB98" s="402"/>
      <c r="BC98" s="402"/>
      <c r="BD98" s="402"/>
      <c r="BE98" s="402"/>
      <c r="BF98" s="402"/>
      <c r="BG98" s="402"/>
      <c r="BH98" s="402"/>
      <c r="BI98" s="402"/>
      <c r="BJ98" s="402"/>
      <c r="BK98" s="402"/>
      <c r="BL98" s="402"/>
      <c r="BM98" s="402"/>
      <c r="BN98" s="402"/>
      <c r="BO98" s="402"/>
      <c r="BP98" s="402"/>
      <c r="BQ98" s="402"/>
      <c r="BR98" s="402"/>
      <c r="BS98" s="402"/>
      <c r="BT98" s="402"/>
      <c r="BU98" s="402"/>
      <c r="BV98" s="402"/>
      <c r="BW98" s="402"/>
      <c r="BX98" s="402"/>
      <c r="BY98" s="402"/>
      <c r="BZ98" s="402"/>
      <c r="CA98" s="402"/>
      <c r="CB98" s="402"/>
      <c r="CC98" s="402"/>
      <c r="CD98" s="402"/>
      <c r="CE98" s="402"/>
      <c r="CF98" s="402"/>
      <c r="CG98" s="402"/>
      <c r="CH98" s="402"/>
      <c r="CI98" s="402"/>
      <c r="CJ98" s="402"/>
      <c r="CK98" s="402"/>
      <c r="CL98" s="402"/>
      <c r="CM98" s="402"/>
      <c r="CN98" s="402"/>
      <c r="CO98" s="402"/>
      <c r="CP98" s="402"/>
      <c r="CQ98" s="402"/>
      <c r="CR98" s="402"/>
      <c r="CS98" s="402"/>
      <c r="CT98" s="402"/>
      <c r="CU98" s="402"/>
      <c r="CV98" s="402"/>
      <c r="CW98" s="402"/>
      <c r="CX98" s="402"/>
      <c r="CY98" s="402"/>
      <c r="CZ98" s="402"/>
      <c r="DA98" s="402"/>
      <c r="DB98" s="402"/>
      <c r="DC98" s="402"/>
      <c r="DD98" s="402"/>
      <c r="DE98" s="402"/>
      <c r="DF98" s="402"/>
      <c r="DG98" s="402"/>
      <c r="DH98" s="402"/>
      <c r="DI98" s="402"/>
      <c r="DJ98" s="402"/>
      <c r="DK98" s="402"/>
      <c r="DL98" s="402"/>
      <c r="DM98" s="402"/>
      <c r="DN98" s="402"/>
      <c r="DO98" s="402"/>
      <c r="DP98" s="402"/>
      <c r="DQ98" s="402"/>
    </row>
    <row r="99" spans="1:121" s="759" customFormat="1" ht="14.45" customHeight="1" x14ac:dyDescent="0.25">
      <c r="A99" s="266">
        <f t="shared" si="1"/>
        <v>10.766666666666667</v>
      </c>
      <c r="B99" s="389">
        <v>42533</v>
      </c>
      <c r="C99" s="394" t="s">
        <v>1502</v>
      </c>
      <c r="D99" s="394" t="s">
        <v>1502</v>
      </c>
      <c r="E99" s="394" t="s">
        <v>552</v>
      </c>
      <c r="F99" s="394" t="s">
        <v>298</v>
      </c>
      <c r="G99" s="394" t="s">
        <v>1470</v>
      </c>
      <c r="H99" s="261"/>
      <c r="I99" s="261"/>
      <c r="J99" s="261"/>
      <c r="K99" s="261"/>
      <c r="L99" s="261">
        <v>41</v>
      </c>
      <c r="M99" s="261"/>
      <c r="N99" s="261"/>
      <c r="O99" s="261"/>
      <c r="P99" s="261"/>
      <c r="Q99" s="261"/>
      <c r="R99" s="261"/>
      <c r="S99" s="261"/>
      <c r="T99" s="261"/>
      <c r="U99" s="261"/>
      <c r="V99" s="762"/>
      <c r="W99" s="261"/>
      <c r="X99" s="261"/>
      <c r="Y99" s="264">
        <f>IF(NFI_Expiration=1,IF($A99&lt;VLOOKUP(H$5,NFI,5,0),1,0)*Table_NFI[[#This Row],[Hygiene Kit]],Table_NFI[Hygiene Kit])</f>
        <v>0</v>
      </c>
      <c r="Z99" s="264">
        <f>IF(NFI_Expiration=1,IF($A99&lt;VLOOKUP(I$5,NFI,5,0),1,0)*Table_NFI[[#This Row],[NFI Core Kit]],Table_NFI[NFI Core Kit])</f>
        <v>0</v>
      </c>
      <c r="AA99" s="264">
        <f>IF(NFI_Expiration=1,IF($A99&lt;VLOOKUP(J$5,NFI,5,0),1,0)*Table_NFI[[#This Row],[Sanitary Kit]],Table_NFI[Sanitary Kit])</f>
        <v>0</v>
      </c>
      <c r="AB99" s="264">
        <f>IF(NFI_Expiration=1,IF($A99&lt;VLOOKUP(K$5,NFI,5,0),1,0)*Table_NFI[[#This Row],[Mosquito net]],Table_NFI[Mosquito net])</f>
        <v>0</v>
      </c>
      <c r="AC99" s="264">
        <f>IF(NFI_Expiration=1,IF($A99&lt;VLOOKUP(L$5,NFI,5,0),1,0)*Table_NFI[[#This Row],[Tarpaulin]],Table_NFI[[#This Row],[Tarpaulin]])</f>
        <v>41</v>
      </c>
      <c r="AD99" s="264">
        <f>IF(NFI_Expiration=1,IF($A99&lt;VLOOKUP(M$5,NFI,5,0),1,0)*Table_NFI[[#This Row],[Blanket]],Table_NFI[[#This Row],[Blanket]])</f>
        <v>0</v>
      </c>
      <c r="AE99" s="264">
        <f>IF(NFI_Expiration=1,IF($A99&lt;VLOOKUP(N$5,NFI,5,0),1,0)*Table_NFI[[#This Row],[Kitchen Set]],Table_NFI[Kitchen Set])</f>
        <v>0</v>
      </c>
      <c r="AF99" s="264">
        <f>IF(NFI_Expiration=1,IF($A99&lt;VLOOKUP(O$5,NFI,5,0),1,0)*Table_NFI[[#This Row],[Clothes Kit]],Table_NFI[Clothes Kit])</f>
        <v>0</v>
      </c>
      <c r="AG99" s="264">
        <f>IF(NFI_Expiration=1,IF($A99&lt;VLOOKUP(P$5,NFI,5,0),1,0)*Table_NFI[[#This Row],[Plastic Bucket]],Table_NFI[Plastic Bucket])</f>
        <v>0</v>
      </c>
      <c r="AH99" s="264">
        <f>IF(NFI_Expiration=1,IF($A99&lt;VLOOKUP(Q$5,NFI,5,0),1,0)*Table_NFI[[#This Row],[Plastic Mat]],Table_NFI[Plastic Mat])*IF(Table_NFI[[#This Row],[Distribution Date]]&gt;"2014-04-01",1,2.5)</f>
        <v>0</v>
      </c>
      <c r="AI99" s="264">
        <f>IF(NFI_Expiration=1,IF($A99&lt;VLOOKUP(R$5,NFI,5,0),1,0)*Table_NFI[[#This Row],[Winter Clothes Adult]],Table_NFI[Winter Clothes Adult])</f>
        <v>0</v>
      </c>
      <c r="AJ99" s="264">
        <f>IF(NFI_Expiration=1,IF($A99&lt;VLOOKUP(S$5,NFI,5,0),1,0)*Table_NFI[[#This Row],[Winter Clothes Children]],Table_NFI[Winter Clothes Children])</f>
        <v>0</v>
      </c>
      <c r="AK99" s="264">
        <f>IF(NFI_Expiration=1,IF($A99&lt;VLOOKUP(T$5,NFI,5,0),1,0)*Table_NFI[[#This Row],[Winter Items Other]],Table_NFI[Winter Items Other])</f>
        <v>0</v>
      </c>
      <c r="AL99" s="264">
        <f>IF(NFI_Expiration=1,IF($A99&lt;VLOOKUP(M$5,NFI,5,0),1,0)*Table_NFI[[#This Row],[Winter Blanket]],Table_NFI[[#This Row],[Winter Blanket]])</f>
        <v>0</v>
      </c>
      <c r="AM99" s="264">
        <f>IF(Table_NFI[[#This Row],[Winter Clothes Adult]]+Table_NFI[[#This Row],[Winter Clothes Children]]+Table_NFI[[#This Row],[Winter Items Other]]+Table_NFI[[#This Row],[Winter Blanket]]&gt;0,1,0)</f>
        <v>0</v>
      </c>
      <c r="AN99" s="296">
        <f>IF(NFI_Expiration=1,IF($A99&lt;VLOOKUP(V$5,NFI,5,0),1,0)*Table_NFI[[#This Row],[Jerry Can]],Table_NFI[Jerry Can])</f>
        <v>0</v>
      </c>
      <c r="AO99" s="296">
        <f>IF(NFI_Expiration=1,IF($A99&lt;VLOOKUP(V$5,NFI,5,0),1,0)*Table_NFI[[#This Row],[Shelter Tool kit]],Table_NFI[Shelter Tool kit])</f>
        <v>0</v>
      </c>
      <c r="AP99" s="296">
        <f>IF(NFI_Expiration=1,IF($A99&lt;VLOOKUP(V$5,NFI,5,0),1,0)*Table_NFI[[#This Row],[Tent]],Table_NFI[Tent])</f>
        <v>0</v>
      </c>
      <c r="AQ99" s="396" t="str">
        <f>IFERROR(VLOOKUP(Table_NFI[[#This Row],[Camp Name]],CL,2,0),"")</f>
        <v>MMR015CMP230</v>
      </c>
      <c r="AR99" s="702">
        <f ca="1">IF(Table_NFI[[#This Row],[Pcode]]="","",IF(OFFSET(CampList[Opening Date],MATCH(Table_NFI[[#This Row],[Pcode]],CampList[CP_Pcode],0)-1,0,1,1)&gt;=NFI_Monitor_Date,1,0))</f>
        <v>0</v>
      </c>
      <c r="AS99" s="396" t="str">
        <f>IFERROR(VLOOKUP(Table_NFI[[#This Row],[Camp Name]],CL,3,0),"")</f>
        <v>Closed</v>
      </c>
      <c r="AT99" s="264">
        <f ca="1">IF(Table_NFI[[#This Row],[Pcode]]="","",OFFSET(CampList[Priority],MATCH(Table_NFI[[#This Row],[Pcode]],CampList[CP_Pcode],0)-1,0,1,1))</f>
        <v>0</v>
      </c>
      <c r="AU99" s="263" t="str">
        <f>IFERROR(Table_NFI[[#This Row],[Kitchen Set]]/VLOOKUP(Table_NFI[[#This Row],[Camp Name]],CL,4,0),"")</f>
        <v/>
      </c>
      <c r="AV99" s="390"/>
      <c r="AW99" s="397" t="s">
        <v>1503</v>
      </c>
      <c r="AX99" s="402"/>
      <c r="AY99" s="402"/>
      <c r="AZ99" s="402"/>
      <c r="BA99" s="402"/>
      <c r="BB99" s="402"/>
      <c r="BC99" s="402"/>
      <c r="BD99" s="402"/>
      <c r="BE99" s="402"/>
      <c r="BF99" s="402"/>
      <c r="BG99" s="402"/>
      <c r="BH99" s="402"/>
      <c r="BI99" s="402"/>
      <c r="BJ99" s="402"/>
      <c r="BK99" s="402"/>
      <c r="BL99" s="402"/>
      <c r="BM99" s="402"/>
      <c r="BN99" s="402"/>
      <c r="BO99" s="402"/>
      <c r="BP99" s="402"/>
      <c r="BQ99" s="402"/>
      <c r="BR99" s="402"/>
      <c r="BS99" s="402"/>
      <c r="BT99" s="402"/>
      <c r="BU99" s="402"/>
      <c r="BV99" s="402"/>
      <c r="BW99" s="402"/>
      <c r="BX99" s="402"/>
      <c r="BY99" s="402"/>
      <c r="BZ99" s="402"/>
      <c r="CA99" s="402"/>
      <c r="CB99" s="402"/>
      <c r="CC99" s="402"/>
      <c r="CD99" s="402"/>
      <c r="CE99" s="402"/>
      <c r="CF99" s="402"/>
      <c r="CG99" s="402"/>
      <c r="CH99" s="402"/>
      <c r="CI99" s="402"/>
      <c r="CJ99" s="402"/>
      <c r="CK99" s="402"/>
      <c r="CL99" s="402"/>
      <c r="CM99" s="402"/>
      <c r="CN99" s="402"/>
      <c r="CO99" s="402"/>
      <c r="CP99" s="402"/>
      <c r="CQ99" s="402"/>
      <c r="CR99" s="402"/>
      <c r="CS99" s="402"/>
      <c r="CT99" s="402"/>
      <c r="CU99" s="402"/>
      <c r="CV99" s="402"/>
      <c r="CW99" s="402"/>
      <c r="CX99" s="402"/>
      <c r="CY99" s="402"/>
      <c r="CZ99" s="402"/>
      <c r="DA99" s="402"/>
      <c r="DB99" s="402"/>
      <c r="DC99" s="402"/>
      <c r="DD99" s="402"/>
      <c r="DE99" s="402"/>
      <c r="DF99" s="402"/>
      <c r="DG99" s="402"/>
      <c r="DH99" s="402"/>
      <c r="DI99" s="402"/>
      <c r="DJ99" s="402"/>
      <c r="DK99" s="402"/>
      <c r="DL99" s="402"/>
      <c r="DM99" s="402"/>
      <c r="DN99" s="402"/>
      <c r="DO99" s="402"/>
      <c r="DP99" s="402"/>
      <c r="DQ99" s="402"/>
    </row>
    <row r="100" spans="1:121" s="759" customFormat="1" ht="14.45" customHeight="1" x14ac:dyDescent="0.25">
      <c r="A100" s="266">
        <f t="shared" si="1"/>
        <v>10.766666666666667</v>
      </c>
      <c r="B100" s="389">
        <v>42533</v>
      </c>
      <c r="C100" s="394" t="s">
        <v>1502</v>
      </c>
      <c r="D100" s="394" t="s">
        <v>1502</v>
      </c>
      <c r="E100" s="394" t="s">
        <v>552</v>
      </c>
      <c r="F100" s="394" t="s">
        <v>298</v>
      </c>
      <c r="G100" s="394" t="s">
        <v>1469</v>
      </c>
      <c r="H100" s="261"/>
      <c r="I100" s="261"/>
      <c r="J100" s="261"/>
      <c r="K100" s="261"/>
      <c r="L100" s="261">
        <v>23</v>
      </c>
      <c r="M100" s="261"/>
      <c r="N100" s="261"/>
      <c r="O100" s="261"/>
      <c r="P100" s="261"/>
      <c r="Q100" s="261"/>
      <c r="R100" s="261"/>
      <c r="S100" s="261"/>
      <c r="T100" s="261"/>
      <c r="U100" s="261"/>
      <c r="V100" s="762"/>
      <c r="W100" s="261"/>
      <c r="X100" s="261"/>
      <c r="Y100" s="264">
        <f>IF(NFI_Expiration=1,IF($A100&lt;VLOOKUP(H$5,NFI,5,0),1,0)*Table_NFI[[#This Row],[Hygiene Kit]],Table_NFI[Hygiene Kit])</f>
        <v>0</v>
      </c>
      <c r="Z100" s="264">
        <f>IF(NFI_Expiration=1,IF($A100&lt;VLOOKUP(I$5,NFI,5,0),1,0)*Table_NFI[[#This Row],[NFI Core Kit]],Table_NFI[NFI Core Kit])</f>
        <v>0</v>
      </c>
      <c r="AA100" s="264">
        <f>IF(NFI_Expiration=1,IF($A100&lt;VLOOKUP(J$5,NFI,5,0),1,0)*Table_NFI[[#This Row],[Sanitary Kit]],Table_NFI[Sanitary Kit])</f>
        <v>0</v>
      </c>
      <c r="AB100" s="264">
        <f>IF(NFI_Expiration=1,IF($A100&lt;VLOOKUP(K$5,NFI,5,0),1,0)*Table_NFI[[#This Row],[Mosquito net]],Table_NFI[Mosquito net])</f>
        <v>0</v>
      </c>
      <c r="AC100" s="264">
        <f>IF(NFI_Expiration=1,IF($A100&lt;VLOOKUP(L$5,NFI,5,0),1,0)*Table_NFI[[#This Row],[Tarpaulin]],Table_NFI[[#This Row],[Tarpaulin]])</f>
        <v>23</v>
      </c>
      <c r="AD100" s="264">
        <f>IF(NFI_Expiration=1,IF($A100&lt;VLOOKUP(M$5,NFI,5,0),1,0)*Table_NFI[[#This Row],[Blanket]],Table_NFI[[#This Row],[Blanket]])</f>
        <v>0</v>
      </c>
      <c r="AE100" s="264">
        <f>IF(NFI_Expiration=1,IF($A100&lt;VLOOKUP(N$5,NFI,5,0),1,0)*Table_NFI[[#This Row],[Kitchen Set]],Table_NFI[Kitchen Set])</f>
        <v>0</v>
      </c>
      <c r="AF100" s="264">
        <f>IF(NFI_Expiration=1,IF($A100&lt;VLOOKUP(O$5,NFI,5,0),1,0)*Table_NFI[[#This Row],[Clothes Kit]],Table_NFI[Clothes Kit])</f>
        <v>0</v>
      </c>
      <c r="AG100" s="264">
        <f>IF(NFI_Expiration=1,IF($A100&lt;VLOOKUP(P$5,NFI,5,0),1,0)*Table_NFI[[#This Row],[Plastic Bucket]],Table_NFI[Plastic Bucket])</f>
        <v>0</v>
      </c>
      <c r="AH100" s="264">
        <f>IF(NFI_Expiration=1,IF($A100&lt;VLOOKUP(Q$5,NFI,5,0),1,0)*Table_NFI[[#This Row],[Plastic Mat]],Table_NFI[Plastic Mat])*IF(Table_NFI[[#This Row],[Distribution Date]]&gt;"2014-04-01",1,2.5)</f>
        <v>0</v>
      </c>
      <c r="AI100" s="264">
        <f>IF(NFI_Expiration=1,IF($A100&lt;VLOOKUP(R$5,NFI,5,0),1,0)*Table_NFI[[#This Row],[Winter Clothes Adult]],Table_NFI[Winter Clothes Adult])</f>
        <v>0</v>
      </c>
      <c r="AJ100" s="264">
        <f>IF(NFI_Expiration=1,IF($A100&lt;VLOOKUP(S$5,NFI,5,0),1,0)*Table_NFI[[#This Row],[Winter Clothes Children]],Table_NFI[Winter Clothes Children])</f>
        <v>0</v>
      </c>
      <c r="AK100" s="264">
        <f>IF(NFI_Expiration=1,IF($A100&lt;VLOOKUP(T$5,NFI,5,0),1,0)*Table_NFI[[#This Row],[Winter Items Other]],Table_NFI[Winter Items Other])</f>
        <v>0</v>
      </c>
      <c r="AL100" s="264">
        <f>IF(NFI_Expiration=1,IF($A100&lt;VLOOKUP(M$5,NFI,5,0),1,0)*Table_NFI[[#This Row],[Winter Blanket]],Table_NFI[[#This Row],[Winter Blanket]])</f>
        <v>0</v>
      </c>
      <c r="AM100" s="264">
        <f>IF(Table_NFI[[#This Row],[Winter Clothes Adult]]+Table_NFI[[#This Row],[Winter Clothes Children]]+Table_NFI[[#This Row],[Winter Items Other]]+Table_NFI[[#This Row],[Winter Blanket]]&gt;0,1,0)</f>
        <v>0</v>
      </c>
      <c r="AN100" s="296">
        <f>IF(NFI_Expiration=1,IF($A100&lt;VLOOKUP(V$5,NFI,5,0),1,0)*Table_NFI[[#This Row],[Jerry Can]],Table_NFI[Jerry Can])</f>
        <v>0</v>
      </c>
      <c r="AO100" s="296">
        <f>IF(NFI_Expiration=1,IF($A100&lt;VLOOKUP(V$5,NFI,5,0),1,0)*Table_NFI[[#This Row],[Shelter Tool kit]],Table_NFI[Shelter Tool kit])</f>
        <v>0</v>
      </c>
      <c r="AP100" s="296">
        <f>IF(NFI_Expiration=1,IF($A100&lt;VLOOKUP(V$5,NFI,5,0),1,0)*Table_NFI[[#This Row],[Tent]],Table_NFI[Tent])</f>
        <v>0</v>
      </c>
      <c r="AQ100" s="396" t="str">
        <f>IFERROR(VLOOKUP(Table_NFI[[#This Row],[Camp Name]],CL,2,0),"")</f>
        <v>MMR015CMP229</v>
      </c>
      <c r="AR100" s="702">
        <f ca="1">IF(Table_NFI[[#This Row],[Pcode]]="","",IF(OFFSET(CampList[Opening Date],MATCH(Table_NFI[[#This Row],[Pcode]],CampList[CP_Pcode],0)-1,0,1,1)&gt;=NFI_Monitor_Date,1,0))</f>
        <v>0</v>
      </c>
      <c r="AS100" s="396" t="str">
        <f>IFERROR(VLOOKUP(Table_NFI[[#This Row],[Camp Name]],CL,3,0),"")</f>
        <v>Open</v>
      </c>
      <c r="AT100" s="264">
        <f ca="1">IF(Table_NFI[[#This Row],[Pcode]]="","",OFFSET(CampList[Priority],MATCH(Table_NFI[[#This Row],[Pcode]],CampList[CP_Pcode],0)-1,0,1,1))</f>
        <v>0</v>
      </c>
      <c r="AU100" s="263" t="str">
        <f>IFERROR(Table_NFI[[#This Row],[Kitchen Set]]/VLOOKUP(Table_NFI[[#This Row],[Camp Name]],CL,4,0),"")</f>
        <v/>
      </c>
      <c r="AV100" s="390"/>
      <c r="AW100" s="397" t="s">
        <v>1503</v>
      </c>
      <c r="AX100" s="402"/>
      <c r="AY100" s="402"/>
      <c r="AZ100" s="402"/>
      <c r="BA100" s="402"/>
      <c r="BB100" s="402"/>
      <c r="BC100" s="402"/>
      <c r="BD100" s="402"/>
      <c r="BE100" s="402"/>
      <c r="BF100" s="402"/>
      <c r="BG100" s="402"/>
      <c r="BH100" s="402"/>
      <c r="BI100" s="402"/>
      <c r="BJ100" s="402"/>
      <c r="BK100" s="402"/>
      <c r="BL100" s="402"/>
      <c r="BM100" s="402"/>
      <c r="BN100" s="402"/>
      <c r="BO100" s="402"/>
      <c r="BP100" s="402"/>
      <c r="BQ100" s="402"/>
      <c r="BR100" s="402"/>
      <c r="BS100" s="402"/>
      <c r="BT100" s="402"/>
      <c r="BU100" s="402"/>
      <c r="BV100" s="402"/>
      <c r="BW100" s="402"/>
      <c r="BX100" s="402"/>
      <c r="BY100" s="402"/>
      <c r="BZ100" s="402"/>
      <c r="CA100" s="402"/>
      <c r="CB100" s="402"/>
      <c r="CC100" s="402"/>
      <c r="CD100" s="402"/>
      <c r="CE100" s="402"/>
      <c r="CF100" s="402"/>
      <c r="CG100" s="402"/>
      <c r="CH100" s="402"/>
      <c r="CI100" s="402"/>
      <c r="CJ100" s="402"/>
      <c r="CK100" s="402"/>
      <c r="CL100" s="402"/>
      <c r="CM100" s="402"/>
      <c r="CN100" s="402"/>
      <c r="CO100" s="402"/>
      <c r="CP100" s="402"/>
      <c r="CQ100" s="402"/>
      <c r="CR100" s="402"/>
      <c r="CS100" s="402"/>
      <c r="CT100" s="402"/>
      <c r="CU100" s="402"/>
      <c r="CV100" s="402"/>
      <c r="CW100" s="402"/>
      <c r="CX100" s="402"/>
      <c r="CY100" s="402"/>
      <c r="CZ100" s="402"/>
      <c r="DA100" s="402"/>
      <c r="DB100" s="402"/>
      <c r="DC100" s="402"/>
      <c r="DD100" s="402"/>
      <c r="DE100" s="402"/>
      <c r="DF100" s="402"/>
      <c r="DG100" s="402"/>
      <c r="DH100" s="402"/>
      <c r="DI100" s="402"/>
      <c r="DJ100" s="402"/>
      <c r="DK100" s="402"/>
      <c r="DL100" s="402"/>
      <c r="DM100" s="402"/>
      <c r="DN100" s="402"/>
      <c r="DO100" s="402"/>
      <c r="DP100" s="402"/>
      <c r="DQ100" s="402"/>
    </row>
    <row r="101" spans="1:121" s="94" customFormat="1" ht="15" customHeight="1" x14ac:dyDescent="0.25">
      <c r="A101" s="266">
        <f t="shared" si="1"/>
        <v>10.833333333333334</v>
      </c>
      <c r="B101" s="389">
        <v>42531</v>
      </c>
      <c r="C101" s="394" t="s">
        <v>451</v>
      </c>
      <c r="D101" s="394" t="s">
        <v>451</v>
      </c>
      <c r="E101" s="394" t="s">
        <v>380</v>
      </c>
      <c r="F101" s="394" t="s">
        <v>807</v>
      </c>
      <c r="G101" s="394" t="s">
        <v>1417</v>
      </c>
      <c r="H101" s="261"/>
      <c r="I101" s="261"/>
      <c r="J101" s="261"/>
      <c r="K101" s="261">
        <v>25</v>
      </c>
      <c r="L101" s="261">
        <v>8</v>
      </c>
      <c r="M101" s="261">
        <v>66</v>
      </c>
      <c r="N101" s="261">
        <v>34</v>
      </c>
      <c r="O101" s="261"/>
      <c r="P101" s="261">
        <v>6</v>
      </c>
      <c r="Q101" s="261">
        <v>104</v>
      </c>
      <c r="R101" s="261"/>
      <c r="S101" s="261"/>
      <c r="T101" s="261"/>
      <c r="U101" s="261"/>
      <c r="V101" s="762"/>
      <c r="W101" s="261"/>
      <c r="X101" s="261"/>
      <c r="Y101" s="264">
        <f>IF(NFI_Expiration=1,IF($A101&lt;VLOOKUP(H$5,NFI,5,0),1,0)*Table_NFI[[#This Row],[Hygiene Kit]],Table_NFI[Hygiene Kit])</f>
        <v>0</v>
      </c>
      <c r="Z101" s="264">
        <f>IF(NFI_Expiration=1,IF($A101&lt;VLOOKUP(I$5,NFI,5,0),1,0)*Table_NFI[[#This Row],[NFI Core Kit]],Table_NFI[NFI Core Kit])</f>
        <v>0</v>
      </c>
      <c r="AA101" s="264">
        <f>IF(NFI_Expiration=1,IF($A101&lt;VLOOKUP(J$5,NFI,5,0),1,0)*Table_NFI[[#This Row],[Sanitary Kit]],Table_NFI[Sanitary Kit])</f>
        <v>0</v>
      </c>
      <c r="AB101" s="264">
        <f>IF(NFI_Expiration=1,IF($A101&lt;VLOOKUP(K$5,NFI,5,0),1,0)*Table_NFI[[#This Row],[Mosquito net]],Table_NFI[Mosquito net])</f>
        <v>25</v>
      </c>
      <c r="AC101" s="264">
        <f>IF(NFI_Expiration=1,IF($A101&lt;VLOOKUP(L$5,NFI,5,0),1,0)*Table_NFI[[#This Row],[Tarpaulin]],Table_NFI[[#This Row],[Tarpaulin]])</f>
        <v>8</v>
      </c>
      <c r="AD101" s="264">
        <f>IF(NFI_Expiration=1,IF($A101&lt;VLOOKUP(M$5,NFI,5,0),1,0)*Table_NFI[[#This Row],[Blanket]],Table_NFI[[#This Row],[Blanket]])</f>
        <v>66</v>
      </c>
      <c r="AE101" s="264">
        <f>IF(NFI_Expiration=1,IF($A101&lt;VLOOKUP(N$5,NFI,5,0),1,0)*Table_NFI[[#This Row],[Kitchen Set]],Table_NFI[Kitchen Set])</f>
        <v>34</v>
      </c>
      <c r="AF101" s="264">
        <f>IF(NFI_Expiration=1,IF($A101&lt;VLOOKUP(O$5,NFI,5,0),1,0)*Table_NFI[[#This Row],[Clothes Kit]],Table_NFI[Clothes Kit])</f>
        <v>0</v>
      </c>
      <c r="AG101" s="264">
        <f>IF(NFI_Expiration=1,IF($A101&lt;VLOOKUP(P$5,NFI,5,0),1,0)*Table_NFI[[#This Row],[Plastic Bucket]],Table_NFI[Plastic Bucket])</f>
        <v>6</v>
      </c>
      <c r="AH101" s="264">
        <f>IF(NFI_Expiration=1,IF($A101&lt;VLOOKUP(Q$5,NFI,5,0),1,0)*Table_NFI[[#This Row],[Plastic Mat]],Table_NFI[Plastic Mat])*IF(Table_NFI[[#This Row],[Distribution Date]]&gt;"2014-04-01",1,2.5)</f>
        <v>260</v>
      </c>
      <c r="AI101" s="264">
        <f>IF(NFI_Expiration=1,IF($A101&lt;VLOOKUP(R$5,NFI,5,0),1,0)*Table_NFI[[#This Row],[Winter Clothes Adult]],Table_NFI[Winter Clothes Adult])</f>
        <v>0</v>
      </c>
      <c r="AJ101" s="264">
        <f>IF(NFI_Expiration=1,IF($A101&lt;VLOOKUP(S$5,NFI,5,0),1,0)*Table_NFI[[#This Row],[Winter Clothes Children]],Table_NFI[Winter Clothes Children])</f>
        <v>0</v>
      </c>
      <c r="AK101" s="264">
        <f>IF(NFI_Expiration=1,IF($A101&lt;VLOOKUP(T$5,NFI,5,0),1,0)*Table_NFI[[#This Row],[Winter Items Other]],Table_NFI[Winter Items Other])</f>
        <v>0</v>
      </c>
      <c r="AL101" s="264">
        <f>IF(NFI_Expiration=1,IF($A101&lt;VLOOKUP(M$5,NFI,5,0),1,0)*Table_NFI[[#This Row],[Winter Blanket]],Table_NFI[[#This Row],[Winter Blanket]])</f>
        <v>0</v>
      </c>
      <c r="AM101" s="264">
        <f>IF(Table_NFI[[#This Row],[Winter Clothes Adult]]+Table_NFI[[#This Row],[Winter Clothes Children]]+Table_NFI[[#This Row],[Winter Items Other]]+Table_NFI[[#This Row],[Winter Blanket]]&gt;0,1,0)</f>
        <v>0</v>
      </c>
      <c r="AN101" s="296">
        <f>IF(NFI_Expiration=1,IF($A101&lt;VLOOKUP(V$5,NFI,5,0),1,0)*Table_NFI[[#This Row],[Jerry Can]],Table_NFI[Jerry Can])</f>
        <v>0</v>
      </c>
      <c r="AO101" s="296">
        <f>IF(NFI_Expiration=1,IF($A101&lt;VLOOKUP(V$5,NFI,5,0),1,0)*Table_NFI[[#This Row],[Shelter Tool kit]],Table_NFI[Shelter Tool kit])</f>
        <v>0</v>
      </c>
      <c r="AP101" s="296">
        <f>IF(NFI_Expiration=1,IF($A101&lt;VLOOKUP(V$5,NFI,5,0),1,0)*Table_NFI[[#This Row],[Tent]],Table_NFI[Tent])</f>
        <v>0</v>
      </c>
      <c r="AQ101" s="396" t="str">
        <f>IFERROR(VLOOKUP(Table_NFI[[#This Row],[Camp Name]],CL,2,0),"")</f>
        <v/>
      </c>
      <c r="AR101" s="702" t="str">
        <f ca="1">IF(Table_NFI[[#This Row],[Pcode]]="","",IF(OFFSET(CampList[Opening Date],MATCH(Table_NFI[[#This Row],[Pcode]],CampList[CP_Pcode],0)-1,0,1,1)&gt;=NFI_Monitor_Date,1,0))</f>
        <v/>
      </c>
      <c r="AS101" s="396" t="str">
        <f>IFERROR(VLOOKUP(Table_NFI[[#This Row],[Camp Name]],CL,3,0),"")</f>
        <v/>
      </c>
      <c r="AT101" s="264" t="str">
        <f ca="1">IF(Table_NFI[[#This Row],[Pcode]]="","",OFFSET(CampList[Priority],MATCH(Table_NFI[[#This Row],[Pcode]],CampList[CP_Pcode],0)-1,0,1,1))</f>
        <v/>
      </c>
      <c r="AU101" s="263" t="str">
        <f>IFERROR(Table_NFI[[#This Row],[Kitchen Set]]/VLOOKUP(Table_NFI[[#This Row],[Camp Name]],CL,4,0),"")</f>
        <v/>
      </c>
      <c r="AV101" s="561" t="s">
        <v>1087</v>
      </c>
      <c r="AW101" s="397"/>
      <c r="AX101" s="402"/>
      <c r="AY101" s="402"/>
      <c r="AZ101" s="402"/>
      <c r="BA101" s="402"/>
      <c r="BB101" s="402"/>
      <c r="BC101" s="402"/>
      <c r="BD101" s="402"/>
      <c r="BE101" s="402"/>
      <c r="BF101" s="402"/>
      <c r="BG101" s="402"/>
      <c r="BH101" s="402"/>
      <c r="BI101" s="402"/>
      <c r="BJ101" s="402"/>
      <c r="BK101" s="402"/>
      <c r="BL101" s="402"/>
      <c r="BM101" s="402"/>
      <c r="BN101" s="402"/>
      <c r="BO101" s="402"/>
      <c r="BP101" s="402"/>
      <c r="BQ101" s="402"/>
      <c r="BR101" s="402"/>
      <c r="BS101" s="402"/>
      <c r="BT101" s="402"/>
      <c r="BU101" s="402"/>
      <c r="BV101" s="402"/>
      <c r="BW101" s="402"/>
      <c r="BX101" s="402"/>
      <c r="BY101" s="402"/>
      <c r="BZ101" s="402"/>
      <c r="CA101" s="402"/>
      <c r="CB101" s="402"/>
      <c r="CC101" s="402"/>
      <c r="CD101" s="402"/>
      <c r="CE101" s="402"/>
      <c r="CF101" s="402"/>
      <c r="CG101" s="402"/>
      <c r="CH101" s="402"/>
      <c r="CI101" s="402"/>
      <c r="CJ101" s="402"/>
      <c r="CK101" s="402"/>
      <c r="CL101" s="402"/>
      <c r="CM101" s="402"/>
      <c r="CN101" s="402"/>
      <c r="CO101" s="402"/>
      <c r="CP101" s="402"/>
      <c r="CQ101" s="402"/>
      <c r="CR101" s="402"/>
      <c r="CS101" s="402"/>
      <c r="CT101" s="402"/>
      <c r="CU101" s="402"/>
      <c r="CV101" s="402"/>
      <c r="CW101" s="402"/>
      <c r="CX101" s="402"/>
      <c r="CY101" s="402"/>
      <c r="CZ101" s="402"/>
      <c r="DA101" s="402"/>
      <c r="DB101" s="402"/>
      <c r="DC101" s="402"/>
      <c r="DD101" s="402"/>
      <c r="DE101" s="402"/>
      <c r="DF101" s="402"/>
      <c r="DG101" s="402"/>
      <c r="DH101" s="402"/>
      <c r="DI101" s="402"/>
      <c r="DJ101" s="402"/>
      <c r="DK101" s="402"/>
      <c r="DL101" s="402"/>
      <c r="DM101" s="402"/>
      <c r="DN101" s="402"/>
      <c r="DO101" s="402"/>
      <c r="DP101" s="402"/>
      <c r="DQ101" s="402"/>
    </row>
    <row r="102" spans="1:121" s="393" customFormat="1" ht="14.45" customHeight="1" x14ac:dyDescent="0.25">
      <c r="A102" s="266">
        <f t="shared" si="1"/>
        <v>11.166666666666666</v>
      </c>
      <c r="B102" s="389">
        <v>42521</v>
      </c>
      <c r="C102" s="390" t="s">
        <v>904</v>
      </c>
      <c r="D102" s="390" t="s">
        <v>904</v>
      </c>
      <c r="E102" s="390" t="s">
        <v>380</v>
      </c>
      <c r="F102" s="390" t="s">
        <v>151</v>
      </c>
      <c r="G102" s="390" t="s">
        <v>884</v>
      </c>
      <c r="H102" s="261">
        <v>25</v>
      </c>
      <c r="I102" s="261">
        <v>25</v>
      </c>
      <c r="J102" s="261"/>
      <c r="K102" s="261"/>
      <c r="L102" s="261">
        <v>25</v>
      </c>
      <c r="M102" s="261"/>
      <c r="N102" s="261"/>
      <c r="O102" s="261"/>
      <c r="P102" s="261"/>
      <c r="Q102" s="261"/>
      <c r="R102" s="261"/>
      <c r="S102" s="261"/>
      <c r="T102" s="261"/>
      <c r="U102" s="261"/>
      <c r="V102" s="762"/>
      <c r="W102" s="261"/>
      <c r="X102" s="261"/>
      <c r="Y102" s="264">
        <f>IF(NFI_Expiration=1,IF($A102&lt;VLOOKUP(H$5,NFI,5,0),1,0)*Table_NFI[[#This Row],[Hygiene Kit]],Table_NFI[Hygiene Kit])</f>
        <v>25</v>
      </c>
      <c r="Z102" s="264">
        <f>IF(NFI_Expiration=1,IF($A102&lt;VLOOKUP(I$5,NFI,5,0),1,0)*Table_NFI[[#This Row],[NFI Core Kit]],Table_NFI[NFI Core Kit])</f>
        <v>25</v>
      </c>
      <c r="AA102" s="264">
        <f>IF(NFI_Expiration=1,IF($A102&lt;VLOOKUP(J$5,NFI,5,0),1,0)*Table_NFI[[#This Row],[Sanitary Kit]],Table_NFI[Sanitary Kit])</f>
        <v>0</v>
      </c>
      <c r="AB102" s="264">
        <f>IF(NFI_Expiration=1,IF($A102&lt;VLOOKUP(K$5,NFI,5,0),1,0)*Table_NFI[[#This Row],[Mosquito net]],Table_NFI[Mosquito net])</f>
        <v>0</v>
      </c>
      <c r="AC102" s="264">
        <f>IF(NFI_Expiration=1,IF($A102&lt;VLOOKUP(L$5,NFI,5,0),1,0)*Table_NFI[[#This Row],[Tarpaulin]],Table_NFI[[#This Row],[Tarpaulin]])</f>
        <v>25</v>
      </c>
      <c r="AD102" s="264">
        <f>IF(NFI_Expiration=1,IF($A102&lt;VLOOKUP(M$5,NFI,5,0),1,0)*Table_NFI[[#This Row],[Blanket]],Table_NFI[[#This Row],[Blanket]])</f>
        <v>0</v>
      </c>
      <c r="AE102" s="264">
        <f>IF(NFI_Expiration=1,IF($A102&lt;VLOOKUP(N$5,NFI,5,0),1,0)*Table_NFI[[#This Row],[Kitchen Set]],Table_NFI[Kitchen Set])</f>
        <v>0</v>
      </c>
      <c r="AF102" s="264">
        <f>IF(NFI_Expiration=1,IF($A102&lt;VLOOKUP(O$5,NFI,5,0),1,0)*Table_NFI[[#This Row],[Clothes Kit]],Table_NFI[Clothes Kit])</f>
        <v>0</v>
      </c>
      <c r="AG102" s="264">
        <f>IF(NFI_Expiration=1,IF($A102&lt;VLOOKUP(P$5,NFI,5,0),1,0)*Table_NFI[[#This Row],[Plastic Bucket]],Table_NFI[Plastic Bucket])</f>
        <v>0</v>
      </c>
      <c r="AH102" s="264">
        <f>IF(NFI_Expiration=1,IF($A102&lt;VLOOKUP(Q$5,NFI,5,0),1,0)*Table_NFI[[#This Row],[Plastic Mat]],Table_NFI[Plastic Mat])*IF(Table_NFI[[#This Row],[Distribution Date]]&gt;"2014-04-01",1,2.5)</f>
        <v>0</v>
      </c>
      <c r="AI102" s="264">
        <f>IF(NFI_Expiration=1,IF($A102&lt;VLOOKUP(R$5,NFI,5,0),1,0)*Table_NFI[[#This Row],[Winter Clothes Adult]],Table_NFI[Winter Clothes Adult])</f>
        <v>0</v>
      </c>
      <c r="AJ102" s="264">
        <f>IF(NFI_Expiration=1,IF($A102&lt;VLOOKUP(S$5,NFI,5,0),1,0)*Table_NFI[[#This Row],[Winter Clothes Children]],Table_NFI[Winter Clothes Children])</f>
        <v>0</v>
      </c>
      <c r="AK102" s="264">
        <f>IF(NFI_Expiration=1,IF($A102&lt;VLOOKUP(T$5,NFI,5,0),1,0)*Table_NFI[[#This Row],[Winter Items Other]],Table_NFI[Winter Items Other])</f>
        <v>0</v>
      </c>
      <c r="AL102" s="264">
        <f>IF(NFI_Expiration=1,IF($A102&lt;VLOOKUP(M$5,NFI,5,0),1,0)*Table_NFI[[#This Row],[Winter Blanket]],Table_NFI[[#This Row],[Winter Blanket]])</f>
        <v>0</v>
      </c>
      <c r="AM102" s="264">
        <f>IF(Table_NFI[[#This Row],[Winter Clothes Adult]]+Table_NFI[[#This Row],[Winter Clothes Children]]+Table_NFI[[#This Row],[Winter Items Other]]+Table_NFI[[#This Row],[Winter Blanket]]&gt;0,1,0)</f>
        <v>0</v>
      </c>
      <c r="AN102" s="296">
        <f>IF(NFI_Expiration=1,IF($A102&lt;VLOOKUP(V$5,NFI,5,0),1,0)*Table_NFI[[#This Row],[Jerry Can]],Table_NFI[Jerry Can])</f>
        <v>0</v>
      </c>
      <c r="AO102" s="296">
        <f>IF(NFI_Expiration=1,IF($A102&lt;VLOOKUP(V$5,NFI,5,0),1,0)*Table_NFI[[#This Row],[Shelter Tool kit]],Table_NFI[Shelter Tool kit])</f>
        <v>0</v>
      </c>
      <c r="AP102" s="296">
        <f>IF(NFI_Expiration=1,IF($A102&lt;VLOOKUP(V$5,NFI,5,0),1,0)*Table_NFI[[#This Row],[Tent]],Table_NFI[Tent])</f>
        <v>0</v>
      </c>
      <c r="AQ102" s="396" t="str">
        <f>IFERROR(VLOOKUP(Table_NFI[[#This Row],[Camp Name]],CL,2,0),"")</f>
        <v>MMR001CMP218</v>
      </c>
      <c r="AR102" s="702">
        <f ca="1">IF(Table_NFI[[#This Row],[Pcode]]="","",IF(OFFSET(CampList[Opening Date],MATCH(Table_NFI[[#This Row],[Pcode]],CampList[CP_Pcode],0)-1,0,1,1)&gt;=NFI_Monitor_Date,1,0))</f>
        <v>0</v>
      </c>
      <c r="AS102" s="396" t="str">
        <f>IFERROR(VLOOKUP(Table_NFI[[#This Row],[Camp Name]],CL,3,0),"")</f>
        <v>Open</v>
      </c>
      <c r="AT102" s="264" t="str">
        <f ca="1">IF(Table_NFI[[#This Row],[Pcode]]="","",OFFSET(CampList[Priority],MATCH(Table_NFI[[#This Row],[Pcode]],CampList[CP_Pcode],0)-1,0,1,1))</f>
        <v>P4</v>
      </c>
      <c r="AU102" s="263">
        <f>IFERROR(Table_NFI[[#This Row],[Kitchen Set]]/VLOOKUP(Table_NFI[[#This Row],[Camp Name]],CL,4,0),"")</f>
        <v>0</v>
      </c>
      <c r="AV102" s="390"/>
      <c r="AW102" s="392"/>
      <c r="AX102" s="399"/>
      <c r="AY102" s="399"/>
      <c r="AZ102" s="399"/>
      <c r="BA102" s="399"/>
      <c r="BB102" s="399"/>
      <c r="BC102" s="399"/>
      <c r="BD102" s="399"/>
      <c r="BE102" s="399"/>
      <c r="BF102" s="399"/>
      <c r="BG102" s="399"/>
      <c r="BH102" s="399"/>
      <c r="BI102" s="399"/>
      <c r="BJ102" s="399"/>
      <c r="BK102" s="399"/>
      <c r="BL102" s="399"/>
      <c r="BM102" s="399"/>
      <c r="BN102" s="399"/>
      <c r="BO102" s="399"/>
      <c r="BP102" s="399"/>
      <c r="BQ102" s="399"/>
      <c r="BR102" s="399"/>
      <c r="BS102" s="399"/>
      <c r="BT102" s="399"/>
      <c r="BU102" s="399"/>
      <c r="BV102" s="399"/>
      <c r="BW102" s="399"/>
      <c r="BX102" s="399"/>
      <c r="BY102" s="399"/>
      <c r="BZ102" s="399"/>
      <c r="CA102" s="399"/>
      <c r="CB102" s="399"/>
      <c r="CC102" s="399"/>
      <c r="CD102" s="399"/>
      <c r="CE102" s="399"/>
      <c r="CF102" s="399"/>
      <c r="CG102" s="399"/>
      <c r="CH102" s="399"/>
      <c r="CI102" s="399"/>
      <c r="CJ102" s="399"/>
      <c r="CK102" s="399"/>
      <c r="CL102" s="399"/>
      <c r="CM102" s="399"/>
      <c r="CN102" s="399"/>
      <c r="CO102" s="399"/>
      <c r="CP102" s="399"/>
      <c r="CQ102" s="399"/>
      <c r="CR102" s="399"/>
      <c r="CS102" s="399"/>
      <c r="CT102" s="399"/>
      <c r="CU102" s="399"/>
      <c r="CV102" s="399"/>
      <c r="CW102" s="399"/>
      <c r="CX102" s="399"/>
      <c r="CY102" s="399"/>
      <c r="CZ102" s="399"/>
      <c r="DA102" s="399"/>
      <c r="DB102" s="399"/>
      <c r="DC102" s="399"/>
      <c r="DD102" s="399"/>
      <c r="DE102" s="399"/>
      <c r="DF102" s="399"/>
      <c r="DG102" s="399"/>
      <c r="DH102" s="399"/>
      <c r="DI102" s="399"/>
      <c r="DJ102" s="399"/>
      <c r="DK102" s="399"/>
      <c r="DL102" s="399"/>
      <c r="DM102" s="399"/>
      <c r="DN102" s="399"/>
      <c r="DO102" s="399"/>
      <c r="DP102" s="399"/>
      <c r="DQ102" s="399"/>
    </row>
    <row r="103" spans="1:121" s="759" customFormat="1" ht="14.45" customHeight="1" x14ac:dyDescent="0.25">
      <c r="A103" s="416">
        <f t="shared" si="1"/>
        <v>12.033333333333333</v>
      </c>
      <c r="B103" s="389">
        <v>42495</v>
      </c>
      <c r="C103" s="390" t="s">
        <v>451</v>
      </c>
      <c r="D103" s="390" t="s">
        <v>1340</v>
      </c>
      <c r="E103" s="390" t="s">
        <v>380</v>
      </c>
      <c r="F103" s="390" t="s">
        <v>173</v>
      </c>
      <c r="G103" s="390" t="s">
        <v>1256</v>
      </c>
      <c r="H103" s="767"/>
      <c r="I103" s="767">
        <v>7</v>
      </c>
      <c r="J103" s="767">
        <v>7</v>
      </c>
      <c r="K103" s="767">
        <v>13</v>
      </c>
      <c r="L103" s="767">
        <v>7</v>
      </c>
      <c r="M103" s="767">
        <v>13</v>
      </c>
      <c r="N103" s="767">
        <v>7</v>
      </c>
      <c r="O103" s="767">
        <v>7</v>
      </c>
      <c r="P103" s="767">
        <v>7</v>
      </c>
      <c r="Q103" s="767">
        <v>13</v>
      </c>
      <c r="R103" s="767"/>
      <c r="S103" s="767"/>
      <c r="T103" s="767"/>
      <c r="U103" s="767"/>
      <c r="V103" s="768">
        <v>7</v>
      </c>
      <c r="W103" s="767"/>
      <c r="X103" s="767"/>
      <c r="Y103" s="418">
        <f>IF(NFI_Expiration=1,IF($A103&lt;VLOOKUP(H$5,NFI,5,0),1,0)*Table_NFI[[#This Row],[Hygiene Kit]],Table_NFI[Hygiene Kit])</f>
        <v>0</v>
      </c>
      <c r="Z103" s="418">
        <f>IF(NFI_Expiration=1,IF($A103&lt;VLOOKUP(I$5,NFI,5,0),1,0)*Table_NFI[[#This Row],[NFI Core Kit]],Table_NFI[NFI Core Kit])</f>
        <v>0</v>
      </c>
      <c r="AA103" s="418">
        <f>IF(NFI_Expiration=1,IF($A103&lt;VLOOKUP(J$5,NFI,5,0),1,0)*Table_NFI[[#This Row],[Sanitary Kit]],Table_NFI[Sanitary Kit])</f>
        <v>0</v>
      </c>
      <c r="AB103" s="418">
        <f>IF(NFI_Expiration=1,IF($A103&lt;VLOOKUP(K$5,NFI,5,0),1,0)*Table_NFI[[#This Row],[Mosquito net]],Table_NFI[Mosquito net])</f>
        <v>0</v>
      </c>
      <c r="AC103" s="418">
        <f>IF(NFI_Expiration=1,IF($A103&lt;VLOOKUP(L$5,NFI,5,0),1,0)*Table_NFI[[#This Row],[Tarpaulin]],Table_NFI[[#This Row],[Tarpaulin]])</f>
        <v>0</v>
      </c>
      <c r="AD103" s="418">
        <f>IF(NFI_Expiration=1,IF($A103&lt;VLOOKUP(M$5,NFI,5,0),1,0)*Table_NFI[[#This Row],[Blanket]],Table_NFI[[#This Row],[Blanket]])</f>
        <v>0</v>
      </c>
      <c r="AE103" s="418">
        <f>IF(NFI_Expiration=1,IF($A103&lt;VLOOKUP(N$5,NFI,5,0),1,0)*Table_NFI[[#This Row],[Kitchen Set]],Table_NFI[Kitchen Set])</f>
        <v>0</v>
      </c>
      <c r="AF103" s="418">
        <f>IF(NFI_Expiration=1,IF($A103&lt;VLOOKUP(O$5,NFI,5,0),1,0)*Table_NFI[[#This Row],[Clothes Kit]],Table_NFI[Clothes Kit])</f>
        <v>0</v>
      </c>
      <c r="AG103" s="418">
        <f>IF(NFI_Expiration=1,IF($A103&lt;VLOOKUP(P$5,NFI,5,0),1,0)*Table_NFI[[#This Row],[Plastic Bucket]],Table_NFI[Plastic Bucket])</f>
        <v>0</v>
      </c>
      <c r="AH103" s="418">
        <f>IF(NFI_Expiration=1,IF($A103&lt;VLOOKUP(Q$5,NFI,5,0),1,0)*Table_NFI[[#This Row],[Plastic Mat]],Table_NFI[Plastic Mat])*IF(Table_NFI[[#This Row],[Distribution Date]]&gt;"2014-04-01",1,2.5)</f>
        <v>0</v>
      </c>
      <c r="AI103" s="418">
        <f>IF(NFI_Expiration=1,IF($A103&lt;VLOOKUP(R$5,NFI,5,0),1,0)*Table_NFI[[#This Row],[Winter Clothes Adult]],Table_NFI[Winter Clothes Adult])</f>
        <v>0</v>
      </c>
      <c r="AJ103" s="418">
        <f>IF(NFI_Expiration=1,IF($A103&lt;VLOOKUP(S$5,NFI,5,0),1,0)*Table_NFI[[#This Row],[Winter Clothes Children]],Table_NFI[Winter Clothes Children])</f>
        <v>0</v>
      </c>
      <c r="AK103" s="418">
        <f>IF(NFI_Expiration=1,IF($A103&lt;VLOOKUP(T$5,NFI,5,0),1,0)*Table_NFI[[#This Row],[Winter Items Other]],Table_NFI[Winter Items Other])</f>
        <v>0</v>
      </c>
      <c r="AL103" s="418">
        <f>IF(NFI_Expiration=1,IF($A103&lt;VLOOKUP(M$5,NFI,5,0),1,0)*Table_NFI[[#This Row],[Winter Blanket]],Table_NFI[[#This Row],[Winter Blanket]])</f>
        <v>0</v>
      </c>
      <c r="AM103" s="418">
        <f>IF(Table_NFI[[#This Row],[Winter Clothes Adult]]+Table_NFI[[#This Row],[Winter Clothes Children]]+Table_NFI[[#This Row],[Winter Items Other]]+Table_NFI[[#This Row],[Winter Blanket]]&gt;0,1,0)</f>
        <v>0</v>
      </c>
      <c r="AN103" s="419">
        <f>IF(NFI_Expiration=1,IF($A103&lt;VLOOKUP(V$5,NFI,5,0),1,0)*Table_NFI[[#This Row],[Jerry Can]],Table_NFI[Jerry Can])</f>
        <v>0</v>
      </c>
      <c r="AO103" s="419">
        <f>IF(NFI_Expiration=1,IF($A103&lt;VLOOKUP(V$5,NFI,5,0),1,0)*Table_NFI[[#This Row],[Shelter Tool kit]],Table_NFI[Shelter Tool kit])</f>
        <v>0</v>
      </c>
      <c r="AP103" s="419">
        <f>IF(NFI_Expiration=1,IF($A103&lt;VLOOKUP(V$5,NFI,5,0),1,0)*Table_NFI[[#This Row],[Tent]],Table_NFI[Tent])</f>
        <v>0</v>
      </c>
      <c r="AQ103" s="420" t="str">
        <f>IFERROR(VLOOKUP(Table_NFI[[#This Row],[Camp Name]],CL,2,0),"")</f>
        <v>MMR001CMP237</v>
      </c>
      <c r="AR103" s="702">
        <f ca="1">IF(Table_NFI[[#This Row],[Pcode]]="","",IF(OFFSET(CampList[Opening Date],MATCH(Table_NFI[[#This Row],[Pcode]],CampList[CP_Pcode],0)-1,0,1,1)&gt;=NFI_Monitor_Date,1,0))</f>
        <v>1</v>
      </c>
      <c r="AS103" s="396" t="str">
        <f>IFERROR(VLOOKUP(Table_NFI[[#This Row],[Camp Name]],CL,3,0),"")</f>
        <v>Open</v>
      </c>
      <c r="AT103" s="418">
        <f ca="1">IF(Table_NFI[[#This Row],[Pcode]]="","",OFFSET(CampList[Priority],MATCH(Table_NFI[[#This Row],[Pcode]],CampList[CP_Pcode],0)-1,0,1,1))</f>
        <v>0</v>
      </c>
      <c r="AU103" s="421">
        <f>IFERROR(Table_NFI[[#This Row],[Kitchen Set]]/VLOOKUP(Table_NFI[[#This Row],[Camp Name]],CL,4,0),"")</f>
        <v>1.6617210682492583E-4</v>
      </c>
      <c r="AV103" s="417"/>
      <c r="AW103" s="422"/>
      <c r="AX103" s="402"/>
      <c r="AY103" s="402"/>
      <c r="AZ103" s="402"/>
      <c r="BA103" s="402"/>
      <c r="BB103" s="402"/>
      <c r="BC103" s="402"/>
      <c r="BD103" s="402"/>
      <c r="BE103" s="402"/>
      <c r="BF103" s="402"/>
      <c r="BG103" s="402"/>
      <c r="BH103" s="402"/>
      <c r="BI103" s="402"/>
      <c r="BJ103" s="402"/>
      <c r="BK103" s="402"/>
      <c r="BL103" s="402"/>
      <c r="BM103" s="402"/>
      <c r="BN103" s="402"/>
      <c r="BO103" s="402"/>
      <c r="BP103" s="402"/>
      <c r="BQ103" s="402"/>
      <c r="BR103" s="402"/>
      <c r="BS103" s="402"/>
      <c r="BT103" s="402"/>
      <c r="BU103" s="402"/>
      <c r="BV103" s="402"/>
      <c r="BW103" s="402"/>
      <c r="BX103" s="402"/>
      <c r="BY103" s="402"/>
      <c r="BZ103" s="402"/>
      <c r="CA103" s="402"/>
      <c r="CB103" s="402"/>
      <c r="CC103" s="402"/>
      <c r="CD103" s="402"/>
      <c r="CE103" s="402"/>
      <c r="CF103" s="402"/>
      <c r="CG103" s="402"/>
      <c r="CH103" s="402"/>
      <c r="CI103" s="402"/>
      <c r="CJ103" s="402"/>
      <c r="CK103" s="402"/>
      <c r="CL103" s="402"/>
      <c r="CM103" s="402"/>
      <c r="CN103" s="402"/>
      <c r="CO103" s="402"/>
      <c r="CP103" s="402"/>
      <c r="CQ103" s="402"/>
      <c r="CR103" s="402"/>
      <c r="CS103" s="402"/>
      <c r="CT103" s="402"/>
      <c r="CU103" s="402"/>
      <c r="CV103" s="402"/>
      <c r="CW103" s="402"/>
      <c r="CX103" s="402"/>
      <c r="CY103" s="402"/>
      <c r="CZ103" s="402"/>
      <c r="DA103" s="402"/>
      <c r="DB103" s="402"/>
      <c r="DC103" s="402"/>
      <c r="DD103" s="402"/>
      <c r="DE103" s="402"/>
      <c r="DF103" s="402"/>
      <c r="DG103" s="402"/>
      <c r="DH103" s="402"/>
      <c r="DI103" s="402"/>
      <c r="DJ103" s="402"/>
      <c r="DK103" s="402"/>
      <c r="DL103" s="402"/>
      <c r="DM103" s="402"/>
      <c r="DN103" s="402"/>
      <c r="DO103" s="402"/>
      <c r="DP103" s="402"/>
      <c r="DQ103" s="402"/>
    </row>
    <row r="104" spans="1:121" s="759" customFormat="1" ht="15" customHeight="1" x14ac:dyDescent="0.25">
      <c r="A104" s="266">
        <f t="shared" si="1"/>
        <v>12.2</v>
      </c>
      <c r="B104" s="389">
        <v>42490</v>
      </c>
      <c r="C104" s="390" t="s">
        <v>904</v>
      </c>
      <c r="D104" s="391" t="s">
        <v>904</v>
      </c>
      <c r="E104" s="390" t="s">
        <v>380</v>
      </c>
      <c r="F104" s="262" t="s">
        <v>185</v>
      </c>
      <c r="G104" s="262" t="s">
        <v>186</v>
      </c>
      <c r="H104" s="261"/>
      <c r="I104" s="261"/>
      <c r="J104" s="261"/>
      <c r="K104" s="261"/>
      <c r="L104" s="261"/>
      <c r="M104" s="261"/>
      <c r="N104" s="261"/>
      <c r="O104" s="261"/>
      <c r="P104" s="261"/>
      <c r="Q104" s="261"/>
      <c r="R104" s="261"/>
      <c r="S104" s="261"/>
      <c r="T104" s="261"/>
      <c r="U104" s="261"/>
      <c r="V104" s="762"/>
      <c r="W104" s="261">
        <v>3</v>
      </c>
      <c r="X104" s="261"/>
      <c r="Y104" s="264">
        <f>IF(NFI_Expiration=1,IF($A104&lt;VLOOKUP(H$5,NFI,5,0),1,0)*Table_NFI[[#This Row],[Hygiene Kit]],Table_NFI[Hygiene Kit])</f>
        <v>0</v>
      </c>
      <c r="Z104" s="264">
        <f>IF(NFI_Expiration=1,IF($A104&lt;VLOOKUP(I$5,NFI,5,0),1,0)*Table_NFI[[#This Row],[NFI Core Kit]],Table_NFI[NFI Core Kit])</f>
        <v>0</v>
      </c>
      <c r="AA104" s="264">
        <f>IF(NFI_Expiration=1,IF($A104&lt;VLOOKUP(J$5,NFI,5,0),1,0)*Table_NFI[[#This Row],[Sanitary Kit]],Table_NFI[Sanitary Kit])</f>
        <v>0</v>
      </c>
      <c r="AB104" s="264">
        <f>IF(NFI_Expiration=1,IF($A104&lt;VLOOKUP(K$5,NFI,5,0),1,0)*Table_NFI[[#This Row],[Mosquito net]],Table_NFI[Mosquito net])</f>
        <v>0</v>
      </c>
      <c r="AC104" s="264">
        <f>IF(NFI_Expiration=1,IF($A104&lt;VLOOKUP(L$5,NFI,5,0),1,0)*Table_NFI[[#This Row],[Tarpaulin]],Table_NFI[[#This Row],[Tarpaulin]])</f>
        <v>0</v>
      </c>
      <c r="AD104" s="264">
        <f>IF(NFI_Expiration=1,IF($A104&lt;VLOOKUP(M$5,NFI,5,0),1,0)*Table_NFI[[#This Row],[Blanket]],Table_NFI[[#This Row],[Blanket]])</f>
        <v>0</v>
      </c>
      <c r="AE104" s="264">
        <f>IF(NFI_Expiration=1,IF($A104&lt;VLOOKUP(N$5,NFI,5,0),1,0)*Table_NFI[[#This Row],[Kitchen Set]],Table_NFI[Kitchen Set])</f>
        <v>0</v>
      </c>
      <c r="AF104" s="264">
        <f>IF(NFI_Expiration=1,IF($A104&lt;VLOOKUP(O$5,NFI,5,0),1,0)*Table_NFI[[#This Row],[Clothes Kit]],Table_NFI[Clothes Kit])</f>
        <v>0</v>
      </c>
      <c r="AG104" s="264">
        <f>IF(NFI_Expiration=1,IF($A104&lt;VLOOKUP(P$5,NFI,5,0),1,0)*Table_NFI[[#This Row],[Plastic Bucket]],Table_NFI[Plastic Bucket])</f>
        <v>0</v>
      </c>
      <c r="AH104" s="264">
        <f>IF(NFI_Expiration=1,IF($A104&lt;VLOOKUP(Q$5,NFI,5,0),1,0)*Table_NFI[[#This Row],[Plastic Mat]],Table_NFI[Plastic Mat])*IF(Table_NFI[[#This Row],[Distribution Date]]&gt;"2014-04-01",1,2.5)</f>
        <v>0</v>
      </c>
      <c r="AI104" s="264">
        <f>IF(NFI_Expiration=1,IF($A104&lt;VLOOKUP(R$5,NFI,5,0),1,0)*Table_NFI[[#This Row],[Winter Clothes Adult]],Table_NFI[Winter Clothes Adult])</f>
        <v>0</v>
      </c>
      <c r="AJ104" s="264">
        <f>IF(NFI_Expiration=1,IF($A104&lt;VLOOKUP(S$5,NFI,5,0),1,0)*Table_NFI[[#This Row],[Winter Clothes Children]],Table_NFI[Winter Clothes Children])</f>
        <v>0</v>
      </c>
      <c r="AK104" s="264">
        <f>IF(NFI_Expiration=1,IF($A104&lt;VLOOKUP(T$5,NFI,5,0),1,0)*Table_NFI[[#This Row],[Winter Items Other]],Table_NFI[Winter Items Other])</f>
        <v>0</v>
      </c>
      <c r="AL104" s="264">
        <f>IF(NFI_Expiration=1,IF($A104&lt;VLOOKUP(M$5,NFI,5,0),1,0)*Table_NFI[[#This Row],[Winter Blanket]],Table_NFI[[#This Row],[Winter Blanket]])</f>
        <v>0</v>
      </c>
      <c r="AM104" s="264">
        <f>IF(Table_NFI[[#This Row],[Winter Clothes Adult]]+Table_NFI[[#This Row],[Winter Clothes Children]]+Table_NFI[[#This Row],[Winter Items Other]]+Table_NFI[[#This Row],[Winter Blanket]]&gt;0,1,0)</f>
        <v>0</v>
      </c>
      <c r="AN104" s="296">
        <f>IF(NFI_Expiration=1,IF($A104&lt;VLOOKUP(V$5,NFI,5,0),1,0)*Table_NFI[[#This Row],[Jerry Can]],Table_NFI[Jerry Can])</f>
        <v>0</v>
      </c>
      <c r="AO104" s="296">
        <f>IF(NFI_Expiration=1,IF($A104&lt;VLOOKUP(V$5,NFI,5,0),1,0)*Table_NFI[[#This Row],[Shelter Tool kit]],Table_NFI[Shelter Tool kit])</f>
        <v>0</v>
      </c>
      <c r="AP104" s="296">
        <f>IF(NFI_Expiration=1,IF($A104&lt;VLOOKUP(V$5,NFI,5,0),1,0)*Table_NFI[[#This Row],[Tent]],Table_NFI[Tent])</f>
        <v>0</v>
      </c>
      <c r="AQ104" s="396" t="str">
        <f>IFERROR(VLOOKUP(Table_NFI[[#This Row],[Camp Name]],CL,2,0),"")</f>
        <v>MMR001CMP071</v>
      </c>
      <c r="AR104" s="702">
        <f ca="1">IF(Table_NFI[[#This Row],[Pcode]]="","",IF(OFFSET(CampList[Opening Date],MATCH(Table_NFI[[#This Row],[Pcode]],CampList[CP_Pcode],0)-1,0,1,1)&gt;=NFI_Monitor_Date,1,0))</f>
        <v>0</v>
      </c>
      <c r="AS104" s="396" t="str">
        <f>IFERROR(VLOOKUP(Table_NFI[[#This Row],[Camp Name]],CL,3,0),"")</f>
        <v>Open</v>
      </c>
      <c r="AT104" s="264" t="str">
        <f ca="1">IF(Table_NFI[[#This Row],[Pcode]]="","",OFFSET(CampList[Priority],MATCH(Table_NFI[[#This Row],[Pcode]],CampList[CP_Pcode],0)-1,0,1,1))</f>
        <v>P3</v>
      </c>
      <c r="AU104" s="263">
        <f>IFERROR(Table_NFI[[#This Row],[Kitchen Set]]/VLOOKUP(Table_NFI[[#This Row],[Camp Name]],CL,4,0),"")</f>
        <v>0</v>
      </c>
      <c r="AV104" s="390"/>
      <c r="AW104" s="392"/>
      <c r="AX104" s="402"/>
      <c r="AY104" s="402"/>
      <c r="AZ104" s="402"/>
      <c r="BA104" s="402"/>
      <c r="BB104" s="402"/>
      <c r="BC104" s="402"/>
      <c r="BD104" s="402"/>
      <c r="BE104" s="402"/>
      <c r="BF104" s="402"/>
      <c r="BG104" s="402"/>
      <c r="BH104" s="402"/>
      <c r="BI104" s="402"/>
      <c r="BJ104" s="402"/>
      <c r="BK104" s="402"/>
      <c r="BL104" s="402"/>
      <c r="BM104" s="402"/>
      <c r="BN104" s="402"/>
      <c r="BO104" s="402"/>
      <c r="BP104" s="402"/>
      <c r="BQ104" s="402"/>
      <c r="BR104" s="402"/>
      <c r="BS104" s="402"/>
      <c r="BT104" s="402"/>
      <c r="BU104" s="402"/>
      <c r="BV104" s="402"/>
      <c r="BW104" s="402"/>
      <c r="BX104" s="402"/>
      <c r="BY104" s="402"/>
      <c r="BZ104" s="402"/>
      <c r="CA104" s="402"/>
      <c r="CB104" s="402"/>
      <c r="CC104" s="402"/>
      <c r="CD104" s="402"/>
      <c r="CE104" s="402"/>
      <c r="CF104" s="402"/>
      <c r="CG104" s="402"/>
      <c r="CH104" s="402"/>
      <c r="CI104" s="402"/>
      <c r="CJ104" s="402"/>
      <c r="CK104" s="402"/>
      <c r="CL104" s="402"/>
      <c r="CM104" s="402"/>
      <c r="CN104" s="402"/>
      <c r="CO104" s="402"/>
      <c r="CP104" s="402"/>
      <c r="CQ104" s="402"/>
      <c r="CR104" s="402"/>
      <c r="CS104" s="402"/>
      <c r="CT104" s="402"/>
      <c r="CU104" s="402"/>
      <c r="CV104" s="402"/>
      <c r="CW104" s="402"/>
      <c r="CX104" s="402"/>
      <c r="CY104" s="402"/>
      <c r="CZ104" s="402"/>
      <c r="DA104" s="402"/>
      <c r="DB104" s="402"/>
      <c r="DC104" s="402"/>
      <c r="DD104" s="402"/>
      <c r="DE104" s="402"/>
      <c r="DF104" s="402"/>
      <c r="DG104" s="402"/>
      <c r="DH104" s="402"/>
      <c r="DI104" s="402"/>
      <c r="DJ104" s="402"/>
      <c r="DK104" s="402"/>
      <c r="DL104" s="402"/>
      <c r="DM104" s="402"/>
      <c r="DN104" s="402"/>
      <c r="DO104" s="402"/>
      <c r="DP104" s="402"/>
      <c r="DQ104" s="402"/>
    </row>
    <row r="105" spans="1:121" s="759" customFormat="1" ht="14.45" customHeight="1" x14ac:dyDescent="0.25">
      <c r="A105" s="266">
        <f t="shared" si="1"/>
        <v>12.2</v>
      </c>
      <c r="B105" s="389">
        <v>42490</v>
      </c>
      <c r="C105" s="390" t="s">
        <v>904</v>
      </c>
      <c r="D105" s="391" t="s">
        <v>904</v>
      </c>
      <c r="E105" s="390" t="s">
        <v>380</v>
      </c>
      <c r="F105" s="262" t="s">
        <v>185</v>
      </c>
      <c r="G105" s="262" t="s">
        <v>186</v>
      </c>
      <c r="H105" s="261"/>
      <c r="I105" s="261"/>
      <c r="J105" s="261"/>
      <c r="K105" s="261"/>
      <c r="L105" s="261"/>
      <c r="M105" s="261"/>
      <c r="N105" s="261"/>
      <c r="O105" s="261"/>
      <c r="P105" s="261"/>
      <c r="Q105" s="261"/>
      <c r="R105" s="261"/>
      <c r="S105" s="261"/>
      <c r="T105" s="261"/>
      <c r="U105" s="261"/>
      <c r="V105" s="762"/>
      <c r="W105" s="261"/>
      <c r="X105" s="261"/>
      <c r="Y105" s="264">
        <f>IF(NFI_Expiration=1,IF($A105&lt;VLOOKUP(H$5,NFI,5,0),1,0)*Table_NFI[[#This Row],[Hygiene Kit]],Table_NFI[Hygiene Kit])</f>
        <v>0</v>
      </c>
      <c r="Z105" s="264">
        <f>IF(NFI_Expiration=1,IF($A105&lt;VLOOKUP(I$5,NFI,5,0),1,0)*Table_NFI[[#This Row],[NFI Core Kit]],Table_NFI[NFI Core Kit])</f>
        <v>0</v>
      </c>
      <c r="AA105" s="264">
        <f>IF(NFI_Expiration=1,IF($A105&lt;VLOOKUP(J$5,NFI,5,0),1,0)*Table_NFI[[#This Row],[Sanitary Kit]],Table_NFI[Sanitary Kit])</f>
        <v>0</v>
      </c>
      <c r="AB105" s="264">
        <f>IF(NFI_Expiration=1,IF($A105&lt;VLOOKUP(K$5,NFI,5,0),1,0)*Table_NFI[[#This Row],[Mosquito net]],Table_NFI[Mosquito net])</f>
        <v>0</v>
      </c>
      <c r="AC105" s="264">
        <f>IF(NFI_Expiration=1,IF($A105&lt;VLOOKUP(L$5,NFI,5,0),1,0)*Table_NFI[[#This Row],[Tarpaulin]],Table_NFI[[#This Row],[Tarpaulin]])</f>
        <v>0</v>
      </c>
      <c r="AD105" s="264">
        <f>IF(NFI_Expiration=1,IF($A105&lt;VLOOKUP(M$5,NFI,5,0),1,0)*Table_NFI[[#This Row],[Blanket]],Table_NFI[[#This Row],[Blanket]])</f>
        <v>0</v>
      </c>
      <c r="AE105" s="264">
        <f>IF(NFI_Expiration=1,IF($A105&lt;VLOOKUP(N$5,NFI,5,0),1,0)*Table_NFI[[#This Row],[Kitchen Set]],Table_NFI[Kitchen Set])</f>
        <v>0</v>
      </c>
      <c r="AF105" s="264">
        <f>IF(NFI_Expiration=1,IF($A105&lt;VLOOKUP(O$5,NFI,5,0),1,0)*Table_NFI[[#This Row],[Clothes Kit]],Table_NFI[Clothes Kit])</f>
        <v>0</v>
      </c>
      <c r="AG105" s="264">
        <f>IF(NFI_Expiration=1,IF($A105&lt;VLOOKUP(P$5,NFI,5,0),1,0)*Table_NFI[[#This Row],[Plastic Bucket]],Table_NFI[Plastic Bucket])</f>
        <v>0</v>
      </c>
      <c r="AH105" s="264">
        <f>IF(NFI_Expiration=1,IF($A105&lt;VLOOKUP(Q$5,NFI,5,0),1,0)*Table_NFI[[#This Row],[Plastic Mat]],Table_NFI[Plastic Mat])*IF(Table_NFI[[#This Row],[Distribution Date]]&gt;"2014-04-01",1,2.5)</f>
        <v>0</v>
      </c>
      <c r="AI105" s="264">
        <f>IF(NFI_Expiration=1,IF($A105&lt;VLOOKUP(R$5,NFI,5,0),1,0)*Table_NFI[[#This Row],[Winter Clothes Adult]],Table_NFI[Winter Clothes Adult])</f>
        <v>0</v>
      </c>
      <c r="AJ105" s="264">
        <f>IF(NFI_Expiration=1,IF($A105&lt;VLOOKUP(S$5,NFI,5,0),1,0)*Table_NFI[[#This Row],[Winter Clothes Children]],Table_NFI[Winter Clothes Children])</f>
        <v>0</v>
      </c>
      <c r="AK105" s="264">
        <f>IF(NFI_Expiration=1,IF($A105&lt;VLOOKUP(T$5,NFI,5,0),1,0)*Table_NFI[[#This Row],[Winter Items Other]],Table_NFI[Winter Items Other])</f>
        <v>0</v>
      </c>
      <c r="AL105" s="264">
        <f>IF(NFI_Expiration=1,IF($A105&lt;VLOOKUP(M$5,NFI,5,0),1,0)*Table_NFI[[#This Row],[Winter Blanket]],Table_NFI[[#This Row],[Winter Blanket]])</f>
        <v>0</v>
      </c>
      <c r="AM105" s="264">
        <f>IF(Table_NFI[[#This Row],[Winter Clothes Adult]]+Table_NFI[[#This Row],[Winter Clothes Children]]+Table_NFI[[#This Row],[Winter Items Other]]+Table_NFI[[#This Row],[Winter Blanket]]&gt;0,1,0)</f>
        <v>0</v>
      </c>
      <c r="AN105" s="296">
        <f>IF(NFI_Expiration=1,IF($A105&lt;VLOOKUP(V$5,NFI,5,0),1,0)*Table_NFI[[#This Row],[Jerry Can]],Table_NFI[Jerry Can])</f>
        <v>0</v>
      </c>
      <c r="AO105" s="296">
        <f>IF(NFI_Expiration=1,IF($A105&lt;VLOOKUP(V$5,NFI,5,0),1,0)*Table_NFI[[#This Row],[Shelter Tool kit]],Table_NFI[Shelter Tool kit])</f>
        <v>0</v>
      </c>
      <c r="AP105" s="296">
        <f>IF(NFI_Expiration=1,IF($A105&lt;VLOOKUP(V$5,NFI,5,0),1,0)*Table_NFI[[#This Row],[Tent]],Table_NFI[Tent])</f>
        <v>0</v>
      </c>
      <c r="AQ105" s="396" t="str">
        <f>IFERROR(VLOOKUP(Table_NFI[[#This Row],[Camp Name]],CL,2,0),"")</f>
        <v>MMR001CMP071</v>
      </c>
      <c r="AR105" s="702">
        <f ca="1">IF(Table_NFI[[#This Row],[Pcode]]="","",IF(OFFSET(CampList[Opening Date],MATCH(Table_NFI[[#This Row],[Pcode]],CampList[CP_Pcode],0)-1,0,1,1)&gt;=NFI_Monitor_Date,1,0))</f>
        <v>0</v>
      </c>
      <c r="AS105" s="396" t="str">
        <f>IFERROR(VLOOKUP(Table_NFI[[#This Row],[Camp Name]],CL,3,0),"")</f>
        <v>Open</v>
      </c>
      <c r="AT105" s="264" t="str">
        <f ca="1">IF(Table_NFI[[#This Row],[Pcode]]="","",OFFSET(CampList[Priority],MATCH(Table_NFI[[#This Row],[Pcode]],CampList[CP_Pcode],0)-1,0,1,1))</f>
        <v>P3</v>
      </c>
      <c r="AU105" s="263">
        <f>IFERROR(Table_NFI[[#This Row],[Kitchen Set]]/VLOOKUP(Table_NFI[[#This Row],[Camp Name]],CL,4,0),"")</f>
        <v>0</v>
      </c>
      <c r="AV105" s="390"/>
      <c r="AW105" s="392"/>
      <c r="AX105" s="402"/>
      <c r="AY105" s="402"/>
      <c r="AZ105" s="402"/>
      <c r="BA105" s="402"/>
      <c r="BB105" s="402"/>
      <c r="BC105" s="402"/>
      <c r="BD105" s="402"/>
      <c r="BE105" s="402"/>
      <c r="BF105" s="402"/>
      <c r="BG105" s="402"/>
      <c r="BH105" s="402"/>
      <c r="BI105" s="402"/>
      <c r="BJ105" s="402"/>
      <c r="BK105" s="402"/>
      <c r="BL105" s="402"/>
      <c r="BM105" s="402"/>
      <c r="BN105" s="402"/>
      <c r="BO105" s="402"/>
      <c r="BP105" s="402"/>
      <c r="BQ105" s="402"/>
      <c r="BR105" s="402"/>
      <c r="BS105" s="402"/>
      <c r="BT105" s="402"/>
      <c r="BU105" s="402"/>
      <c r="BV105" s="402"/>
      <c r="BW105" s="402"/>
      <c r="BX105" s="402"/>
      <c r="BY105" s="402"/>
      <c r="BZ105" s="402"/>
      <c r="CA105" s="402"/>
      <c r="CB105" s="402"/>
      <c r="CC105" s="402"/>
      <c r="CD105" s="402"/>
      <c r="CE105" s="402"/>
      <c r="CF105" s="402"/>
      <c r="CG105" s="402"/>
      <c r="CH105" s="402"/>
      <c r="CI105" s="402"/>
      <c r="CJ105" s="402"/>
      <c r="CK105" s="402"/>
      <c r="CL105" s="402"/>
      <c r="CM105" s="402"/>
      <c r="CN105" s="402"/>
      <c r="CO105" s="402"/>
      <c r="CP105" s="402"/>
      <c r="CQ105" s="402"/>
      <c r="CR105" s="402"/>
      <c r="CS105" s="402"/>
      <c r="CT105" s="402"/>
      <c r="CU105" s="402"/>
      <c r="CV105" s="402"/>
      <c r="CW105" s="402"/>
      <c r="CX105" s="402"/>
      <c r="CY105" s="402"/>
      <c r="CZ105" s="402"/>
      <c r="DA105" s="402"/>
      <c r="DB105" s="402"/>
      <c r="DC105" s="402"/>
      <c r="DD105" s="402"/>
      <c r="DE105" s="402"/>
      <c r="DF105" s="402"/>
      <c r="DG105" s="402"/>
      <c r="DH105" s="402"/>
      <c r="DI105" s="402"/>
      <c r="DJ105" s="402"/>
      <c r="DK105" s="402"/>
      <c r="DL105" s="402"/>
      <c r="DM105" s="402"/>
      <c r="DN105" s="402"/>
      <c r="DO105" s="402"/>
      <c r="DP105" s="402"/>
      <c r="DQ105" s="402"/>
    </row>
    <row r="106" spans="1:121" s="759" customFormat="1" ht="14.45" customHeight="1" x14ac:dyDescent="0.25">
      <c r="A106" s="266">
        <f t="shared" si="1"/>
        <v>12.2</v>
      </c>
      <c r="B106" s="389">
        <v>42490</v>
      </c>
      <c r="C106" s="390" t="s">
        <v>904</v>
      </c>
      <c r="D106" s="391" t="s">
        <v>904</v>
      </c>
      <c r="E106" s="390" t="s">
        <v>380</v>
      </c>
      <c r="F106" s="262" t="s">
        <v>185</v>
      </c>
      <c r="G106" s="262" t="s">
        <v>223</v>
      </c>
      <c r="H106" s="261"/>
      <c r="I106" s="261"/>
      <c r="J106" s="261"/>
      <c r="K106" s="261"/>
      <c r="L106" s="261"/>
      <c r="M106" s="261"/>
      <c r="N106" s="261"/>
      <c r="O106" s="261"/>
      <c r="P106" s="261"/>
      <c r="Q106" s="261"/>
      <c r="R106" s="261"/>
      <c r="S106" s="261"/>
      <c r="T106" s="261"/>
      <c r="U106" s="261"/>
      <c r="V106" s="762"/>
      <c r="W106" s="261">
        <v>6</v>
      </c>
      <c r="X106" s="261"/>
      <c r="Y106" s="264">
        <f>IF(NFI_Expiration=1,IF($A106&lt;VLOOKUP(H$5,NFI,5,0),1,0)*Table_NFI[[#This Row],[Hygiene Kit]],Table_NFI[Hygiene Kit])</f>
        <v>0</v>
      </c>
      <c r="Z106" s="264">
        <f>IF(NFI_Expiration=1,IF($A106&lt;VLOOKUP(I$5,NFI,5,0),1,0)*Table_NFI[[#This Row],[NFI Core Kit]],Table_NFI[NFI Core Kit])</f>
        <v>0</v>
      </c>
      <c r="AA106" s="264">
        <f>IF(NFI_Expiration=1,IF($A106&lt;VLOOKUP(J$5,NFI,5,0),1,0)*Table_NFI[[#This Row],[Sanitary Kit]],Table_NFI[Sanitary Kit])</f>
        <v>0</v>
      </c>
      <c r="AB106" s="264">
        <f>IF(NFI_Expiration=1,IF($A106&lt;VLOOKUP(K$5,NFI,5,0),1,0)*Table_NFI[[#This Row],[Mosquito net]],Table_NFI[Mosquito net])</f>
        <v>0</v>
      </c>
      <c r="AC106" s="264">
        <f>IF(NFI_Expiration=1,IF($A106&lt;VLOOKUP(L$5,NFI,5,0),1,0)*Table_NFI[[#This Row],[Tarpaulin]],Table_NFI[[#This Row],[Tarpaulin]])</f>
        <v>0</v>
      </c>
      <c r="AD106" s="264">
        <f>IF(NFI_Expiration=1,IF($A106&lt;VLOOKUP(M$5,NFI,5,0),1,0)*Table_NFI[[#This Row],[Blanket]],Table_NFI[[#This Row],[Blanket]])</f>
        <v>0</v>
      </c>
      <c r="AE106" s="264">
        <f>IF(NFI_Expiration=1,IF($A106&lt;VLOOKUP(N$5,NFI,5,0),1,0)*Table_NFI[[#This Row],[Kitchen Set]],Table_NFI[Kitchen Set])</f>
        <v>0</v>
      </c>
      <c r="AF106" s="264">
        <f>IF(NFI_Expiration=1,IF($A106&lt;VLOOKUP(O$5,NFI,5,0),1,0)*Table_NFI[[#This Row],[Clothes Kit]],Table_NFI[Clothes Kit])</f>
        <v>0</v>
      </c>
      <c r="AG106" s="264">
        <f>IF(NFI_Expiration=1,IF($A106&lt;VLOOKUP(P$5,NFI,5,0),1,0)*Table_NFI[[#This Row],[Plastic Bucket]],Table_NFI[Plastic Bucket])</f>
        <v>0</v>
      </c>
      <c r="AH106" s="264">
        <f>IF(NFI_Expiration=1,IF($A106&lt;VLOOKUP(Q$5,NFI,5,0),1,0)*Table_NFI[[#This Row],[Plastic Mat]],Table_NFI[Plastic Mat])*IF(Table_NFI[[#This Row],[Distribution Date]]&gt;"2014-04-01",1,2.5)</f>
        <v>0</v>
      </c>
      <c r="AI106" s="264">
        <f>IF(NFI_Expiration=1,IF($A106&lt;VLOOKUP(R$5,NFI,5,0),1,0)*Table_NFI[[#This Row],[Winter Clothes Adult]],Table_NFI[Winter Clothes Adult])</f>
        <v>0</v>
      </c>
      <c r="AJ106" s="264">
        <f>IF(NFI_Expiration=1,IF($A106&lt;VLOOKUP(S$5,NFI,5,0),1,0)*Table_NFI[[#This Row],[Winter Clothes Children]],Table_NFI[Winter Clothes Children])</f>
        <v>0</v>
      </c>
      <c r="AK106" s="264">
        <f>IF(NFI_Expiration=1,IF($A106&lt;VLOOKUP(T$5,NFI,5,0),1,0)*Table_NFI[[#This Row],[Winter Items Other]],Table_NFI[Winter Items Other])</f>
        <v>0</v>
      </c>
      <c r="AL106" s="264">
        <f>IF(NFI_Expiration=1,IF($A106&lt;VLOOKUP(M$5,NFI,5,0),1,0)*Table_NFI[[#This Row],[Winter Blanket]],Table_NFI[[#This Row],[Winter Blanket]])</f>
        <v>0</v>
      </c>
      <c r="AM106" s="264">
        <f>IF(Table_NFI[[#This Row],[Winter Clothes Adult]]+Table_NFI[[#This Row],[Winter Clothes Children]]+Table_NFI[[#This Row],[Winter Items Other]]+Table_NFI[[#This Row],[Winter Blanket]]&gt;0,1,0)</f>
        <v>0</v>
      </c>
      <c r="AN106" s="296">
        <f>IF(NFI_Expiration=1,IF($A106&lt;VLOOKUP(V$5,NFI,5,0),1,0)*Table_NFI[[#This Row],[Jerry Can]],Table_NFI[Jerry Can])</f>
        <v>0</v>
      </c>
      <c r="AO106" s="296">
        <f>IF(NFI_Expiration=1,IF($A106&lt;VLOOKUP(V$5,NFI,5,0),1,0)*Table_NFI[[#This Row],[Shelter Tool kit]],Table_NFI[Shelter Tool kit])</f>
        <v>0</v>
      </c>
      <c r="AP106" s="296">
        <f>IF(NFI_Expiration=1,IF($A106&lt;VLOOKUP(V$5,NFI,5,0),1,0)*Table_NFI[[#This Row],[Tent]],Table_NFI[Tent])</f>
        <v>0</v>
      </c>
      <c r="AQ106" s="396" t="str">
        <f>IFERROR(VLOOKUP(Table_NFI[[#This Row],[Camp Name]],CL,2,0),"")</f>
        <v>MMR001CMP069</v>
      </c>
      <c r="AR106" s="702">
        <f ca="1">IF(Table_NFI[[#This Row],[Pcode]]="","",IF(OFFSET(CampList[Opening Date],MATCH(Table_NFI[[#This Row],[Pcode]],CampList[CP_Pcode],0)-1,0,1,1)&gt;=NFI_Monitor_Date,1,0))</f>
        <v>0</v>
      </c>
      <c r="AS106" s="396" t="str">
        <f>IFERROR(VLOOKUP(Table_NFI[[#This Row],[Camp Name]],CL,3,0),"")</f>
        <v>Open</v>
      </c>
      <c r="AT106" s="264" t="str">
        <f ca="1">IF(Table_NFI[[#This Row],[Pcode]]="","",OFFSET(CampList[Priority],MATCH(Table_NFI[[#This Row],[Pcode]],CampList[CP_Pcode],0)-1,0,1,1))</f>
        <v>P3</v>
      </c>
      <c r="AU106" s="263">
        <f>IFERROR(Table_NFI[[#This Row],[Kitchen Set]]/VLOOKUP(Table_NFI[[#This Row],[Camp Name]],CL,4,0),"")</f>
        <v>0</v>
      </c>
      <c r="AV106" s="390"/>
      <c r="AW106" s="392"/>
      <c r="AX106" s="402"/>
      <c r="AY106" s="402"/>
      <c r="AZ106" s="402"/>
      <c r="BA106" s="402"/>
      <c r="BB106" s="402"/>
      <c r="BC106" s="402"/>
      <c r="BD106" s="402"/>
      <c r="BE106" s="402"/>
      <c r="BF106" s="402"/>
      <c r="BG106" s="402"/>
      <c r="BH106" s="402"/>
      <c r="BI106" s="402"/>
      <c r="BJ106" s="402"/>
      <c r="BK106" s="402"/>
      <c r="BL106" s="402"/>
      <c r="BM106" s="402"/>
      <c r="BN106" s="402"/>
      <c r="BO106" s="402"/>
      <c r="BP106" s="402"/>
      <c r="BQ106" s="402"/>
      <c r="BR106" s="402"/>
      <c r="BS106" s="402"/>
      <c r="BT106" s="402"/>
      <c r="BU106" s="402"/>
      <c r="BV106" s="402"/>
      <c r="BW106" s="402"/>
      <c r="BX106" s="402"/>
      <c r="BY106" s="402"/>
      <c r="BZ106" s="402"/>
      <c r="CA106" s="402"/>
      <c r="CB106" s="402"/>
      <c r="CC106" s="402"/>
      <c r="CD106" s="402"/>
      <c r="CE106" s="402"/>
      <c r="CF106" s="402"/>
      <c r="CG106" s="402"/>
      <c r="CH106" s="402"/>
      <c r="CI106" s="402"/>
      <c r="CJ106" s="402"/>
      <c r="CK106" s="402"/>
      <c r="CL106" s="402"/>
      <c r="CM106" s="402"/>
      <c r="CN106" s="402"/>
      <c r="CO106" s="402"/>
      <c r="CP106" s="402"/>
      <c r="CQ106" s="402"/>
      <c r="CR106" s="402"/>
      <c r="CS106" s="402"/>
      <c r="CT106" s="402"/>
      <c r="CU106" s="402"/>
      <c r="CV106" s="402"/>
      <c r="CW106" s="402"/>
      <c r="CX106" s="402"/>
      <c r="CY106" s="402"/>
      <c r="CZ106" s="402"/>
      <c r="DA106" s="402"/>
      <c r="DB106" s="402"/>
      <c r="DC106" s="402"/>
      <c r="DD106" s="402"/>
      <c r="DE106" s="402"/>
      <c r="DF106" s="402"/>
      <c r="DG106" s="402"/>
      <c r="DH106" s="402"/>
      <c r="DI106" s="402"/>
      <c r="DJ106" s="402"/>
      <c r="DK106" s="402"/>
      <c r="DL106" s="402"/>
      <c r="DM106" s="402"/>
      <c r="DN106" s="402"/>
      <c r="DO106" s="402"/>
      <c r="DP106" s="402"/>
      <c r="DQ106" s="402"/>
    </row>
    <row r="107" spans="1:121" s="760" customFormat="1" ht="14.45" customHeight="1" x14ac:dyDescent="0.25">
      <c r="A107" s="266">
        <f t="shared" si="1"/>
        <v>12.2</v>
      </c>
      <c r="B107" s="389">
        <v>42490</v>
      </c>
      <c r="C107" s="390" t="s">
        <v>904</v>
      </c>
      <c r="D107" s="391" t="s">
        <v>904</v>
      </c>
      <c r="E107" s="390" t="s">
        <v>380</v>
      </c>
      <c r="F107" s="262" t="s">
        <v>185</v>
      </c>
      <c r="G107" s="262" t="s">
        <v>190</v>
      </c>
      <c r="H107" s="261"/>
      <c r="I107" s="261"/>
      <c r="J107" s="261"/>
      <c r="K107" s="261"/>
      <c r="L107" s="261"/>
      <c r="M107" s="261"/>
      <c r="N107" s="261"/>
      <c r="O107" s="261"/>
      <c r="P107" s="261"/>
      <c r="Q107" s="261"/>
      <c r="R107" s="261"/>
      <c r="S107" s="261"/>
      <c r="T107" s="261"/>
      <c r="U107" s="261"/>
      <c r="V107" s="762"/>
      <c r="W107" s="261">
        <v>14</v>
      </c>
      <c r="X107" s="261"/>
      <c r="Y107" s="264">
        <f>IF(NFI_Expiration=1,IF($A107&lt;VLOOKUP(H$5,NFI,5,0),1,0)*Table_NFI[[#This Row],[Hygiene Kit]],Table_NFI[Hygiene Kit])</f>
        <v>0</v>
      </c>
      <c r="Z107" s="264">
        <f>IF(NFI_Expiration=1,IF($A107&lt;VLOOKUP(I$5,NFI,5,0),1,0)*Table_NFI[[#This Row],[NFI Core Kit]],Table_NFI[NFI Core Kit])</f>
        <v>0</v>
      </c>
      <c r="AA107" s="264">
        <f>IF(NFI_Expiration=1,IF($A107&lt;VLOOKUP(J$5,NFI,5,0),1,0)*Table_NFI[[#This Row],[Sanitary Kit]],Table_NFI[Sanitary Kit])</f>
        <v>0</v>
      </c>
      <c r="AB107" s="264">
        <f>IF(NFI_Expiration=1,IF($A107&lt;VLOOKUP(K$5,NFI,5,0),1,0)*Table_NFI[[#This Row],[Mosquito net]],Table_NFI[Mosquito net])</f>
        <v>0</v>
      </c>
      <c r="AC107" s="264">
        <f>IF(NFI_Expiration=1,IF($A107&lt;VLOOKUP(L$5,NFI,5,0),1,0)*Table_NFI[[#This Row],[Tarpaulin]],Table_NFI[[#This Row],[Tarpaulin]])</f>
        <v>0</v>
      </c>
      <c r="AD107" s="264">
        <f>IF(NFI_Expiration=1,IF($A107&lt;VLOOKUP(M$5,NFI,5,0),1,0)*Table_NFI[[#This Row],[Blanket]],Table_NFI[[#This Row],[Blanket]])</f>
        <v>0</v>
      </c>
      <c r="AE107" s="264">
        <f>IF(NFI_Expiration=1,IF($A107&lt;VLOOKUP(N$5,NFI,5,0),1,0)*Table_NFI[[#This Row],[Kitchen Set]],Table_NFI[Kitchen Set])</f>
        <v>0</v>
      </c>
      <c r="AF107" s="264">
        <f>IF(NFI_Expiration=1,IF($A107&lt;VLOOKUP(O$5,NFI,5,0),1,0)*Table_NFI[[#This Row],[Clothes Kit]],Table_NFI[Clothes Kit])</f>
        <v>0</v>
      </c>
      <c r="AG107" s="264">
        <f>IF(NFI_Expiration=1,IF($A107&lt;VLOOKUP(P$5,NFI,5,0),1,0)*Table_NFI[[#This Row],[Plastic Bucket]],Table_NFI[Plastic Bucket])</f>
        <v>0</v>
      </c>
      <c r="AH107" s="264">
        <f>IF(NFI_Expiration=1,IF($A107&lt;VLOOKUP(Q$5,NFI,5,0),1,0)*Table_NFI[[#This Row],[Plastic Mat]],Table_NFI[Plastic Mat])*IF(Table_NFI[[#This Row],[Distribution Date]]&gt;"2014-04-01",1,2.5)</f>
        <v>0</v>
      </c>
      <c r="AI107" s="264">
        <f>IF(NFI_Expiration=1,IF($A107&lt;VLOOKUP(R$5,NFI,5,0),1,0)*Table_NFI[[#This Row],[Winter Clothes Adult]],Table_NFI[Winter Clothes Adult])</f>
        <v>0</v>
      </c>
      <c r="AJ107" s="264">
        <f>IF(NFI_Expiration=1,IF($A107&lt;VLOOKUP(S$5,NFI,5,0),1,0)*Table_NFI[[#This Row],[Winter Clothes Children]],Table_NFI[Winter Clothes Children])</f>
        <v>0</v>
      </c>
      <c r="AK107" s="264">
        <f>IF(NFI_Expiration=1,IF($A107&lt;VLOOKUP(T$5,NFI,5,0),1,0)*Table_NFI[[#This Row],[Winter Items Other]],Table_NFI[Winter Items Other])</f>
        <v>0</v>
      </c>
      <c r="AL107" s="264">
        <f>IF(NFI_Expiration=1,IF($A107&lt;VLOOKUP(M$5,NFI,5,0),1,0)*Table_NFI[[#This Row],[Winter Blanket]],Table_NFI[[#This Row],[Winter Blanket]])</f>
        <v>0</v>
      </c>
      <c r="AM107" s="264">
        <f>IF(Table_NFI[[#This Row],[Winter Clothes Adult]]+Table_NFI[[#This Row],[Winter Clothes Children]]+Table_NFI[[#This Row],[Winter Items Other]]+Table_NFI[[#This Row],[Winter Blanket]]&gt;0,1,0)</f>
        <v>0</v>
      </c>
      <c r="AN107" s="296">
        <f>IF(NFI_Expiration=1,IF($A107&lt;VLOOKUP(V$5,NFI,5,0),1,0)*Table_NFI[[#This Row],[Jerry Can]],Table_NFI[Jerry Can])</f>
        <v>0</v>
      </c>
      <c r="AO107" s="296">
        <f>IF(NFI_Expiration=1,IF($A107&lt;VLOOKUP(V$5,NFI,5,0),1,0)*Table_NFI[[#This Row],[Shelter Tool kit]],Table_NFI[Shelter Tool kit])</f>
        <v>0</v>
      </c>
      <c r="AP107" s="296">
        <f>IF(NFI_Expiration=1,IF($A107&lt;VLOOKUP(V$5,NFI,5,0),1,0)*Table_NFI[[#This Row],[Tent]],Table_NFI[Tent])</f>
        <v>0</v>
      </c>
      <c r="AQ107" s="396" t="str">
        <f>IFERROR(VLOOKUP(Table_NFI[[#This Row],[Camp Name]],CL,2,0),"")</f>
        <v>MMR001CMP070</v>
      </c>
      <c r="AR107" s="702">
        <f ca="1">IF(Table_NFI[[#This Row],[Pcode]]="","",IF(OFFSET(CampList[Opening Date],MATCH(Table_NFI[[#This Row],[Pcode]],CampList[CP_Pcode],0)-1,0,1,1)&gt;=NFI_Monitor_Date,1,0))</f>
        <v>0</v>
      </c>
      <c r="AS107" s="396" t="str">
        <f>IFERROR(VLOOKUP(Table_NFI[[#This Row],[Camp Name]],CL,3,0),"")</f>
        <v>Open</v>
      </c>
      <c r="AT107" s="264" t="str">
        <f ca="1">IF(Table_NFI[[#This Row],[Pcode]]="","",OFFSET(CampList[Priority],MATCH(Table_NFI[[#This Row],[Pcode]],CampList[CP_Pcode],0)-1,0,1,1))</f>
        <v>P3</v>
      </c>
      <c r="AU107" s="263">
        <f>IFERROR(Table_NFI[[#This Row],[Kitchen Set]]/VLOOKUP(Table_NFI[[#This Row],[Camp Name]],CL,4,0),"")</f>
        <v>0</v>
      </c>
      <c r="AV107" s="390"/>
      <c r="AW107" s="392"/>
      <c r="AX107" s="399"/>
      <c r="AY107" s="399"/>
      <c r="AZ107" s="399"/>
      <c r="BA107" s="399"/>
      <c r="BB107" s="399"/>
      <c r="BC107" s="399"/>
      <c r="BD107" s="399"/>
      <c r="BE107" s="399"/>
      <c r="BF107" s="399"/>
      <c r="BG107" s="399"/>
      <c r="BH107" s="399"/>
      <c r="BI107" s="399"/>
      <c r="BJ107" s="399"/>
      <c r="BK107" s="399"/>
      <c r="BL107" s="399"/>
      <c r="BM107" s="399"/>
      <c r="BN107" s="399"/>
      <c r="BO107" s="399"/>
      <c r="BP107" s="399"/>
      <c r="BQ107" s="399"/>
      <c r="BR107" s="399"/>
      <c r="BS107" s="399"/>
      <c r="BT107" s="399"/>
      <c r="BU107" s="399"/>
      <c r="BV107" s="399"/>
      <c r="BW107" s="399"/>
      <c r="BX107" s="399"/>
      <c r="BY107" s="399"/>
      <c r="BZ107" s="399"/>
      <c r="CA107" s="399"/>
      <c r="CB107" s="399"/>
      <c r="CC107" s="399"/>
      <c r="CD107" s="399"/>
      <c r="CE107" s="399"/>
      <c r="CF107" s="399"/>
      <c r="CG107" s="399"/>
      <c r="CH107" s="399"/>
      <c r="CI107" s="399"/>
      <c r="CJ107" s="399"/>
      <c r="CK107" s="399"/>
      <c r="CL107" s="399"/>
      <c r="CM107" s="399"/>
      <c r="CN107" s="399"/>
      <c r="CO107" s="399"/>
      <c r="CP107" s="399"/>
      <c r="CQ107" s="399"/>
      <c r="CR107" s="399"/>
      <c r="CS107" s="399"/>
      <c r="CT107" s="399"/>
      <c r="CU107" s="399"/>
      <c r="CV107" s="399"/>
      <c r="CW107" s="399"/>
      <c r="CX107" s="399"/>
      <c r="CY107" s="399"/>
      <c r="CZ107" s="399"/>
      <c r="DA107" s="399"/>
      <c r="DB107" s="399"/>
      <c r="DC107" s="399"/>
      <c r="DD107" s="399"/>
      <c r="DE107" s="399"/>
      <c r="DF107" s="399"/>
      <c r="DG107" s="399"/>
      <c r="DH107" s="399"/>
      <c r="DI107" s="399"/>
      <c r="DJ107" s="399"/>
      <c r="DK107" s="399"/>
      <c r="DL107" s="399"/>
      <c r="DM107" s="399"/>
      <c r="DN107" s="399"/>
      <c r="DO107" s="399"/>
      <c r="DP107" s="399"/>
      <c r="DQ107" s="399"/>
    </row>
    <row r="108" spans="1:121" s="94" customFormat="1" ht="14.45" customHeight="1" x14ac:dyDescent="0.25">
      <c r="A108" s="266">
        <f t="shared" si="1"/>
        <v>12.2</v>
      </c>
      <c r="B108" s="389">
        <v>42490</v>
      </c>
      <c r="C108" s="390" t="s">
        <v>904</v>
      </c>
      <c r="D108" s="390" t="s">
        <v>904</v>
      </c>
      <c r="E108" s="390" t="s">
        <v>380</v>
      </c>
      <c r="F108" s="262" t="s">
        <v>185</v>
      </c>
      <c r="G108" s="262" t="s">
        <v>229</v>
      </c>
      <c r="H108" s="261"/>
      <c r="I108" s="261"/>
      <c r="J108" s="261"/>
      <c r="K108" s="261"/>
      <c r="L108" s="261"/>
      <c r="M108" s="261"/>
      <c r="N108" s="261"/>
      <c r="O108" s="261"/>
      <c r="P108" s="261"/>
      <c r="Q108" s="261"/>
      <c r="R108" s="261"/>
      <c r="S108" s="261"/>
      <c r="T108" s="261"/>
      <c r="U108" s="261"/>
      <c r="V108" s="762"/>
      <c r="W108" s="261">
        <v>5</v>
      </c>
      <c r="X108" s="261"/>
      <c r="Y108" s="264">
        <f>IF(NFI_Expiration=1,IF($A108&lt;VLOOKUP(H$5,NFI,5,0),1,0)*Table_NFI[[#This Row],[Hygiene Kit]],Table_NFI[Hygiene Kit])</f>
        <v>0</v>
      </c>
      <c r="Z108" s="264">
        <f>IF(NFI_Expiration=1,IF($A108&lt;VLOOKUP(I$5,NFI,5,0),1,0)*Table_NFI[[#This Row],[NFI Core Kit]],Table_NFI[NFI Core Kit])</f>
        <v>0</v>
      </c>
      <c r="AA108" s="264">
        <f>IF(NFI_Expiration=1,IF($A108&lt;VLOOKUP(J$5,NFI,5,0),1,0)*Table_NFI[[#This Row],[Sanitary Kit]],Table_NFI[Sanitary Kit])</f>
        <v>0</v>
      </c>
      <c r="AB108" s="264">
        <f>IF(NFI_Expiration=1,IF($A108&lt;VLOOKUP(K$5,NFI,5,0),1,0)*Table_NFI[[#This Row],[Mosquito net]],Table_NFI[Mosquito net])</f>
        <v>0</v>
      </c>
      <c r="AC108" s="264">
        <f>IF(NFI_Expiration=1,IF($A108&lt;VLOOKUP(L$5,NFI,5,0),1,0)*Table_NFI[[#This Row],[Tarpaulin]],Table_NFI[[#This Row],[Tarpaulin]])</f>
        <v>0</v>
      </c>
      <c r="AD108" s="264">
        <f>IF(NFI_Expiration=1,IF($A108&lt;VLOOKUP(M$5,NFI,5,0),1,0)*Table_NFI[[#This Row],[Blanket]],Table_NFI[[#This Row],[Blanket]])</f>
        <v>0</v>
      </c>
      <c r="AE108" s="264">
        <f>IF(NFI_Expiration=1,IF($A108&lt;VLOOKUP(N$5,NFI,5,0),1,0)*Table_NFI[[#This Row],[Kitchen Set]],Table_NFI[Kitchen Set])</f>
        <v>0</v>
      </c>
      <c r="AF108" s="264">
        <f>IF(NFI_Expiration=1,IF($A108&lt;VLOOKUP(O$5,NFI,5,0),1,0)*Table_NFI[[#This Row],[Clothes Kit]],Table_NFI[Clothes Kit])</f>
        <v>0</v>
      </c>
      <c r="AG108" s="264">
        <f>IF(NFI_Expiration=1,IF($A108&lt;VLOOKUP(P$5,NFI,5,0),1,0)*Table_NFI[[#This Row],[Plastic Bucket]],Table_NFI[Plastic Bucket])</f>
        <v>0</v>
      </c>
      <c r="AH108" s="264">
        <f>IF(NFI_Expiration=1,IF($A108&lt;VLOOKUP(Q$5,NFI,5,0),1,0)*Table_NFI[[#This Row],[Plastic Mat]],Table_NFI[Plastic Mat])*IF(Table_NFI[[#This Row],[Distribution Date]]&gt;"2014-04-01",1,2.5)</f>
        <v>0</v>
      </c>
      <c r="AI108" s="264">
        <f>IF(NFI_Expiration=1,IF($A108&lt;VLOOKUP(R$5,NFI,5,0),1,0)*Table_NFI[[#This Row],[Winter Clothes Adult]],Table_NFI[Winter Clothes Adult])</f>
        <v>0</v>
      </c>
      <c r="AJ108" s="264">
        <f>IF(NFI_Expiration=1,IF($A108&lt;VLOOKUP(S$5,NFI,5,0),1,0)*Table_NFI[[#This Row],[Winter Clothes Children]],Table_NFI[Winter Clothes Children])</f>
        <v>0</v>
      </c>
      <c r="AK108" s="264">
        <f>IF(NFI_Expiration=1,IF($A108&lt;VLOOKUP(T$5,NFI,5,0),1,0)*Table_NFI[[#This Row],[Winter Items Other]],Table_NFI[Winter Items Other])</f>
        <v>0</v>
      </c>
      <c r="AL108" s="264">
        <f>IF(NFI_Expiration=1,IF($A108&lt;VLOOKUP(M$5,NFI,5,0),1,0)*Table_NFI[[#This Row],[Winter Blanket]],Table_NFI[[#This Row],[Winter Blanket]])</f>
        <v>0</v>
      </c>
      <c r="AM108" s="264">
        <f>IF(Table_NFI[[#This Row],[Winter Clothes Adult]]+Table_NFI[[#This Row],[Winter Clothes Children]]+Table_NFI[[#This Row],[Winter Items Other]]+Table_NFI[[#This Row],[Winter Blanket]]&gt;0,1,0)</f>
        <v>0</v>
      </c>
      <c r="AN108" s="296">
        <f>IF(NFI_Expiration=1,IF($A108&lt;VLOOKUP(V$5,NFI,5,0),1,0)*Table_NFI[[#This Row],[Jerry Can]],Table_NFI[Jerry Can])</f>
        <v>0</v>
      </c>
      <c r="AO108" s="296">
        <f>IF(NFI_Expiration=1,IF($A108&lt;VLOOKUP(V$5,NFI,5,0),1,0)*Table_NFI[[#This Row],[Shelter Tool kit]],Table_NFI[Shelter Tool kit])</f>
        <v>0</v>
      </c>
      <c r="AP108" s="296">
        <f>IF(NFI_Expiration=1,IF($A108&lt;VLOOKUP(V$5,NFI,5,0),1,0)*Table_NFI[[#This Row],[Tent]],Table_NFI[Tent])</f>
        <v>0</v>
      </c>
      <c r="AQ108" s="396" t="str">
        <f>IFERROR(VLOOKUP(Table_NFI[[#This Row],[Camp Name]],CL,2,0),"")</f>
        <v>MMR001CMP072</v>
      </c>
      <c r="AR108" s="702">
        <f ca="1">IF(Table_NFI[[#This Row],[Pcode]]="","",IF(OFFSET(CampList[Opening Date],MATCH(Table_NFI[[#This Row],[Pcode]],CampList[CP_Pcode],0)-1,0,1,1)&gt;=NFI_Monitor_Date,1,0))</f>
        <v>0</v>
      </c>
      <c r="AS108" s="396" t="str">
        <f>IFERROR(VLOOKUP(Table_NFI[[#This Row],[Camp Name]],CL,3,0),"")</f>
        <v>Open</v>
      </c>
      <c r="AT108" s="264" t="str">
        <f ca="1">IF(Table_NFI[[#This Row],[Pcode]]="","",OFFSET(CampList[Priority],MATCH(Table_NFI[[#This Row],[Pcode]],CampList[CP_Pcode],0)-1,0,1,1))</f>
        <v>P3</v>
      </c>
      <c r="AU108" s="263">
        <f>IFERROR(Table_NFI[[#This Row],[Kitchen Set]]/VLOOKUP(Table_NFI[[#This Row],[Camp Name]],CL,4,0),"")</f>
        <v>0</v>
      </c>
      <c r="AV108" s="390"/>
      <c r="AW108" s="392"/>
      <c r="AX108" s="402"/>
      <c r="AY108" s="402"/>
      <c r="AZ108" s="402"/>
      <c r="BA108" s="402"/>
      <c r="BB108" s="402"/>
      <c r="BC108" s="402"/>
      <c r="BD108" s="402"/>
      <c r="BE108" s="402"/>
      <c r="BF108" s="402"/>
      <c r="BG108" s="402"/>
      <c r="BH108" s="402"/>
      <c r="BI108" s="402"/>
      <c r="BJ108" s="402"/>
      <c r="BK108" s="402"/>
      <c r="BL108" s="402"/>
      <c r="BM108" s="402"/>
      <c r="BN108" s="402"/>
      <c r="BO108" s="402"/>
      <c r="BP108" s="402"/>
      <c r="BQ108" s="402"/>
      <c r="BR108" s="402"/>
      <c r="BS108" s="402"/>
      <c r="BT108" s="402"/>
      <c r="BU108" s="402"/>
      <c r="BV108" s="402"/>
      <c r="BW108" s="402"/>
      <c r="BX108" s="402"/>
      <c r="BY108" s="402"/>
      <c r="BZ108" s="402"/>
      <c r="CA108" s="402"/>
      <c r="CB108" s="402"/>
      <c r="CC108" s="402"/>
      <c r="CD108" s="402"/>
      <c r="CE108" s="402"/>
      <c r="CF108" s="402"/>
      <c r="CG108" s="402"/>
      <c r="CH108" s="402"/>
      <c r="CI108" s="402"/>
      <c r="CJ108" s="402"/>
      <c r="CK108" s="402"/>
      <c r="CL108" s="402"/>
      <c r="CM108" s="402"/>
      <c r="CN108" s="402"/>
      <c r="CO108" s="402"/>
      <c r="CP108" s="402"/>
      <c r="CQ108" s="402"/>
      <c r="CR108" s="402"/>
      <c r="CS108" s="402"/>
      <c r="CT108" s="402"/>
      <c r="CU108" s="402"/>
      <c r="CV108" s="402"/>
      <c r="CW108" s="402"/>
      <c r="CX108" s="402"/>
      <c r="CY108" s="402"/>
      <c r="CZ108" s="402"/>
      <c r="DA108" s="402"/>
      <c r="DB108" s="402"/>
      <c r="DC108" s="402"/>
      <c r="DD108" s="402"/>
      <c r="DE108" s="402"/>
      <c r="DF108" s="402"/>
      <c r="DG108" s="402"/>
      <c r="DH108" s="402"/>
      <c r="DI108" s="402"/>
      <c r="DJ108" s="402"/>
      <c r="DK108" s="402"/>
      <c r="DL108" s="402"/>
      <c r="DM108" s="402"/>
      <c r="DN108" s="402"/>
      <c r="DO108" s="402"/>
      <c r="DP108" s="402"/>
      <c r="DQ108" s="402"/>
    </row>
    <row r="109" spans="1:121" s="759" customFormat="1" ht="14.45" customHeight="1" x14ac:dyDescent="0.25">
      <c r="A109" s="266">
        <f t="shared" si="1"/>
        <v>12.2</v>
      </c>
      <c r="B109" s="389">
        <v>42490</v>
      </c>
      <c r="C109" s="390" t="s">
        <v>904</v>
      </c>
      <c r="D109" s="391" t="s">
        <v>904</v>
      </c>
      <c r="E109" s="390" t="s">
        <v>380</v>
      </c>
      <c r="F109" s="262" t="s">
        <v>185</v>
      </c>
      <c r="G109" s="262" t="s">
        <v>225</v>
      </c>
      <c r="H109" s="261"/>
      <c r="I109" s="261"/>
      <c r="J109" s="261"/>
      <c r="K109" s="261"/>
      <c r="L109" s="261"/>
      <c r="M109" s="261"/>
      <c r="N109" s="261"/>
      <c r="O109" s="261"/>
      <c r="P109" s="261"/>
      <c r="Q109" s="261"/>
      <c r="R109" s="261"/>
      <c r="S109" s="261"/>
      <c r="T109" s="261"/>
      <c r="U109" s="261"/>
      <c r="V109" s="762"/>
      <c r="W109" s="762">
        <v>4</v>
      </c>
      <c r="X109" s="762"/>
      <c r="Y109" s="264">
        <f>IF(NFI_Expiration=1,IF($A109&lt;VLOOKUP(H$5,NFI,5,0),1,0)*Table_NFI[[#This Row],[Hygiene Kit]],Table_NFI[Hygiene Kit])</f>
        <v>0</v>
      </c>
      <c r="Z109" s="264">
        <f>IF(NFI_Expiration=1,IF($A109&lt;VLOOKUP(I$5,NFI,5,0),1,0)*Table_NFI[[#This Row],[NFI Core Kit]],Table_NFI[NFI Core Kit])</f>
        <v>0</v>
      </c>
      <c r="AA109" s="264">
        <f>IF(NFI_Expiration=1,IF($A109&lt;VLOOKUP(J$5,NFI,5,0),1,0)*Table_NFI[[#This Row],[Sanitary Kit]],Table_NFI[Sanitary Kit])</f>
        <v>0</v>
      </c>
      <c r="AB109" s="264">
        <f>IF(NFI_Expiration=1,IF($A109&lt;VLOOKUP(K$5,NFI,5,0),1,0)*Table_NFI[[#This Row],[Mosquito net]],Table_NFI[Mosquito net])</f>
        <v>0</v>
      </c>
      <c r="AC109" s="264">
        <f>IF(NFI_Expiration=1,IF($A109&lt;VLOOKUP(L$5,NFI,5,0),1,0)*Table_NFI[[#This Row],[Tarpaulin]],Table_NFI[[#This Row],[Tarpaulin]])</f>
        <v>0</v>
      </c>
      <c r="AD109" s="264">
        <f>IF(NFI_Expiration=1,IF($A109&lt;VLOOKUP(M$5,NFI,5,0),1,0)*Table_NFI[[#This Row],[Blanket]],Table_NFI[[#This Row],[Blanket]])</f>
        <v>0</v>
      </c>
      <c r="AE109" s="264">
        <f>IF(NFI_Expiration=1,IF($A109&lt;VLOOKUP(N$5,NFI,5,0),1,0)*Table_NFI[[#This Row],[Kitchen Set]],Table_NFI[Kitchen Set])</f>
        <v>0</v>
      </c>
      <c r="AF109" s="264">
        <f>IF(NFI_Expiration=1,IF($A109&lt;VLOOKUP(O$5,NFI,5,0),1,0)*Table_NFI[[#This Row],[Clothes Kit]],Table_NFI[Clothes Kit])</f>
        <v>0</v>
      </c>
      <c r="AG109" s="264">
        <f>IF(NFI_Expiration=1,IF($A109&lt;VLOOKUP(P$5,NFI,5,0),1,0)*Table_NFI[[#This Row],[Plastic Bucket]],Table_NFI[Plastic Bucket])</f>
        <v>0</v>
      </c>
      <c r="AH109" s="264">
        <f>IF(NFI_Expiration=1,IF($A109&lt;VLOOKUP(Q$5,NFI,5,0),1,0)*Table_NFI[[#This Row],[Plastic Mat]],Table_NFI[Plastic Mat])*IF(Table_NFI[[#This Row],[Distribution Date]]&gt;"2014-04-01",1,2.5)</f>
        <v>0</v>
      </c>
      <c r="AI109" s="264">
        <f>IF(NFI_Expiration=1,IF($A109&lt;VLOOKUP(R$5,NFI,5,0),1,0)*Table_NFI[[#This Row],[Winter Clothes Adult]],Table_NFI[Winter Clothes Adult])</f>
        <v>0</v>
      </c>
      <c r="AJ109" s="264">
        <f>IF(NFI_Expiration=1,IF($A109&lt;VLOOKUP(S$5,NFI,5,0),1,0)*Table_NFI[[#This Row],[Winter Clothes Children]],Table_NFI[Winter Clothes Children])</f>
        <v>0</v>
      </c>
      <c r="AK109" s="264">
        <f>IF(NFI_Expiration=1,IF($A109&lt;VLOOKUP(T$5,NFI,5,0),1,0)*Table_NFI[[#This Row],[Winter Items Other]],Table_NFI[Winter Items Other])</f>
        <v>0</v>
      </c>
      <c r="AL109" s="264">
        <f>IF(NFI_Expiration=1,IF($A109&lt;VLOOKUP(M$5,NFI,5,0),1,0)*Table_NFI[[#This Row],[Winter Blanket]],Table_NFI[[#This Row],[Winter Blanket]])</f>
        <v>0</v>
      </c>
      <c r="AM109" s="264">
        <f>IF(Table_NFI[[#This Row],[Winter Clothes Adult]]+Table_NFI[[#This Row],[Winter Clothes Children]]+Table_NFI[[#This Row],[Winter Items Other]]+Table_NFI[[#This Row],[Winter Blanket]]&gt;0,1,0)</f>
        <v>0</v>
      </c>
      <c r="AN109" s="296">
        <f>IF(NFI_Expiration=1,IF($A109&lt;VLOOKUP(V$5,NFI,5,0),1,0)*Table_NFI[[#This Row],[Jerry Can]],Table_NFI[Jerry Can])</f>
        <v>0</v>
      </c>
      <c r="AO109" s="296">
        <f>IF(NFI_Expiration=1,IF($A109&lt;VLOOKUP(V$5,NFI,5,0),1,0)*Table_NFI[[#This Row],[Shelter Tool kit]],Table_NFI[Shelter Tool kit])</f>
        <v>0</v>
      </c>
      <c r="AP109" s="296">
        <f>IF(NFI_Expiration=1,IF($A109&lt;VLOOKUP(V$5,NFI,5,0),1,0)*Table_NFI[[#This Row],[Tent]],Table_NFI[Tent])</f>
        <v>0</v>
      </c>
      <c r="AQ109" s="396" t="str">
        <f>IFERROR(VLOOKUP(Table_NFI[[#This Row],[Camp Name]],CL,2,0),"")</f>
        <v>MMR001CMP073</v>
      </c>
      <c r="AR109" s="702">
        <f ca="1">IF(Table_NFI[[#This Row],[Pcode]]="","",IF(OFFSET(CampList[Opening Date],MATCH(Table_NFI[[#This Row],[Pcode]],CampList[CP_Pcode],0)-1,0,1,1)&gt;=NFI_Monitor_Date,1,0))</f>
        <v>0</v>
      </c>
      <c r="AS109" s="396" t="str">
        <f>IFERROR(VLOOKUP(Table_NFI[[#This Row],[Camp Name]],CL,3,0),"")</f>
        <v>Open</v>
      </c>
      <c r="AT109" s="264" t="str">
        <f ca="1">IF(Table_NFI[[#This Row],[Pcode]]="","",OFFSET(CampList[Priority],MATCH(Table_NFI[[#This Row],[Pcode]],CampList[CP_Pcode],0)-1,0,1,1))</f>
        <v>P3</v>
      </c>
      <c r="AU109" s="263">
        <f>IFERROR(Table_NFI[[#This Row],[Kitchen Set]]/VLOOKUP(Table_NFI[[#This Row],[Camp Name]],CL,4,0),"")</f>
        <v>0</v>
      </c>
      <c r="AV109" s="390"/>
      <c r="AW109" s="392"/>
      <c r="AX109" s="402"/>
      <c r="AY109" s="402"/>
      <c r="AZ109" s="402"/>
      <c r="BA109" s="402"/>
      <c r="BB109" s="402"/>
      <c r="BC109" s="402"/>
      <c r="BD109" s="402"/>
      <c r="BE109" s="402"/>
      <c r="BF109" s="402"/>
      <c r="BG109" s="402"/>
      <c r="BH109" s="402"/>
      <c r="BI109" s="402"/>
      <c r="BJ109" s="402"/>
      <c r="BK109" s="402"/>
      <c r="BL109" s="402"/>
      <c r="BM109" s="402"/>
      <c r="BN109" s="402"/>
      <c r="BO109" s="402"/>
      <c r="BP109" s="402"/>
      <c r="BQ109" s="402"/>
      <c r="BR109" s="402"/>
      <c r="BS109" s="402"/>
      <c r="BT109" s="402"/>
      <c r="BU109" s="402"/>
      <c r="BV109" s="402"/>
      <c r="BW109" s="402"/>
      <c r="BX109" s="402"/>
      <c r="BY109" s="402"/>
      <c r="BZ109" s="402"/>
      <c r="CA109" s="402"/>
      <c r="CB109" s="402"/>
      <c r="CC109" s="402"/>
      <c r="CD109" s="402"/>
      <c r="CE109" s="402"/>
      <c r="CF109" s="402"/>
      <c r="CG109" s="402"/>
      <c r="CH109" s="402"/>
      <c r="CI109" s="402"/>
      <c r="CJ109" s="402"/>
      <c r="CK109" s="402"/>
      <c r="CL109" s="402"/>
      <c r="CM109" s="402"/>
      <c r="CN109" s="402"/>
      <c r="CO109" s="402"/>
      <c r="CP109" s="402"/>
      <c r="CQ109" s="402"/>
      <c r="CR109" s="402"/>
      <c r="CS109" s="402"/>
      <c r="CT109" s="402"/>
      <c r="CU109" s="402"/>
      <c r="CV109" s="402"/>
      <c r="CW109" s="402"/>
      <c r="CX109" s="402"/>
      <c r="CY109" s="402"/>
      <c r="CZ109" s="402"/>
      <c r="DA109" s="402"/>
      <c r="DB109" s="402"/>
      <c r="DC109" s="402"/>
      <c r="DD109" s="402"/>
      <c r="DE109" s="402"/>
      <c r="DF109" s="402"/>
      <c r="DG109" s="402"/>
      <c r="DH109" s="402"/>
      <c r="DI109" s="402"/>
      <c r="DJ109" s="402"/>
      <c r="DK109" s="402"/>
      <c r="DL109" s="402"/>
      <c r="DM109" s="402"/>
      <c r="DN109" s="402"/>
      <c r="DO109" s="402"/>
      <c r="DP109" s="402"/>
      <c r="DQ109" s="402"/>
    </row>
    <row r="110" spans="1:121" s="759" customFormat="1" ht="14.45" customHeight="1" x14ac:dyDescent="0.25">
      <c r="A110" s="266">
        <f t="shared" si="1"/>
        <v>12.233333333333333</v>
      </c>
      <c r="B110" s="389">
        <v>42489</v>
      </c>
      <c r="C110" s="390" t="s">
        <v>904</v>
      </c>
      <c r="D110" s="390" t="s">
        <v>904</v>
      </c>
      <c r="E110" s="390" t="s">
        <v>380</v>
      </c>
      <c r="F110" s="262" t="s">
        <v>5</v>
      </c>
      <c r="G110" s="262" t="s">
        <v>6</v>
      </c>
      <c r="H110" s="261"/>
      <c r="I110" s="261"/>
      <c r="J110" s="261"/>
      <c r="K110" s="261"/>
      <c r="L110" s="261"/>
      <c r="M110" s="261"/>
      <c r="N110" s="261"/>
      <c r="O110" s="261"/>
      <c r="P110" s="261"/>
      <c r="Q110" s="261"/>
      <c r="R110" s="261"/>
      <c r="S110" s="261"/>
      <c r="T110" s="261"/>
      <c r="U110" s="261"/>
      <c r="V110" s="762"/>
      <c r="W110" s="261">
        <v>74</v>
      </c>
      <c r="X110" s="261"/>
      <c r="Y110" s="264">
        <f>IF(NFI_Expiration=1,IF($A110&lt;VLOOKUP(H$5,NFI,5,0),1,0)*Table_NFI[[#This Row],[Hygiene Kit]],Table_NFI[Hygiene Kit])</f>
        <v>0</v>
      </c>
      <c r="Z110" s="264">
        <f>IF(NFI_Expiration=1,IF($A110&lt;VLOOKUP(I$5,NFI,5,0),1,0)*Table_NFI[[#This Row],[NFI Core Kit]],Table_NFI[NFI Core Kit])</f>
        <v>0</v>
      </c>
      <c r="AA110" s="264">
        <f>IF(NFI_Expiration=1,IF($A110&lt;VLOOKUP(J$5,NFI,5,0),1,0)*Table_NFI[[#This Row],[Sanitary Kit]],Table_NFI[Sanitary Kit])</f>
        <v>0</v>
      </c>
      <c r="AB110" s="264">
        <f>IF(NFI_Expiration=1,IF($A110&lt;VLOOKUP(K$5,NFI,5,0),1,0)*Table_NFI[[#This Row],[Mosquito net]],Table_NFI[Mosquito net])</f>
        <v>0</v>
      </c>
      <c r="AC110" s="264">
        <f>IF(NFI_Expiration=1,IF($A110&lt;VLOOKUP(L$5,NFI,5,0),1,0)*Table_NFI[[#This Row],[Tarpaulin]],Table_NFI[[#This Row],[Tarpaulin]])</f>
        <v>0</v>
      </c>
      <c r="AD110" s="264">
        <f>IF(NFI_Expiration=1,IF($A110&lt;VLOOKUP(M$5,NFI,5,0),1,0)*Table_NFI[[#This Row],[Blanket]],Table_NFI[[#This Row],[Blanket]])</f>
        <v>0</v>
      </c>
      <c r="AE110" s="264">
        <f>IF(NFI_Expiration=1,IF($A110&lt;VLOOKUP(N$5,NFI,5,0),1,0)*Table_NFI[[#This Row],[Kitchen Set]],Table_NFI[Kitchen Set])</f>
        <v>0</v>
      </c>
      <c r="AF110" s="264">
        <f>IF(NFI_Expiration=1,IF($A110&lt;VLOOKUP(O$5,NFI,5,0),1,0)*Table_NFI[[#This Row],[Clothes Kit]],Table_NFI[Clothes Kit])</f>
        <v>0</v>
      </c>
      <c r="AG110" s="264">
        <f>IF(NFI_Expiration=1,IF($A110&lt;VLOOKUP(P$5,NFI,5,0),1,0)*Table_NFI[[#This Row],[Plastic Bucket]],Table_NFI[Plastic Bucket])</f>
        <v>0</v>
      </c>
      <c r="AH110" s="264">
        <f>IF(NFI_Expiration=1,IF($A110&lt;VLOOKUP(Q$5,NFI,5,0),1,0)*Table_NFI[[#This Row],[Plastic Mat]],Table_NFI[Plastic Mat])*IF(Table_NFI[[#This Row],[Distribution Date]]&gt;"2014-04-01",1,2.5)</f>
        <v>0</v>
      </c>
      <c r="AI110" s="264">
        <f>IF(NFI_Expiration=1,IF($A110&lt;VLOOKUP(R$5,NFI,5,0),1,0)*Table_NFI[[#This Row],[Winter Clothes Adult]],Table_NFI[Winter Clothes Adult])</f>
        <v>0</v>
      </c>
      <c r="AJ110" s="264">
        <f>IF(NFI_Expiration=1,IF($A110&lt;VLOOKUP(S$5,NFI,5,0),1,0)*Table_NFI[[#This Row],[Winter Clothes Children]],Table_NFI[Winter Clothes Children])</f>
        <v>0</v>
      </c>
      <c r="AK110" s="264">
        <f>IF(NFI_Expiration=1,IF($A110&lt;VLOOKUP(T$5,NFI,5,0),1,0)*Table_NFI[[#This Row],[Winter Items Other]],Table_NFI[Winter Items Other])</f>
        <v>0</v>
      </c>
      <c r="AL110" s="264">
        <f>IF(NFI_Expiration=1,IF($A110&lt;VLOOKUP(M$5,NFI,5,0),1,0)*Table_NFI[[#This Row],[Winter Blanket]],Table_NFI[[#This Row],[Winter Blanket]])</f>
        <v>0</v>
      </c>
      <c r="AM110" s="264">
        <f>IF(Table_NFI[[#This Row],[Winter Clothes Adult]]+Table_NFI[[#This Row],[Winter Clothes Children]]+Table_NFI[[#This Row],[Winter Items Other]]+Table_NFI[[#This Row],[Winter Blanket]]&gt;0,1,0)</f>
        <v>0</v>
      </c>
      <c r="AN110" s="296">
        <f>IF(NFI_Expiration=1,IF($A110&lt;VLOOKUP(V$5,NFI,5,0),1,0)*Table_NFI[[#This Row],[Jerry Can]],Table_NFI[Jerry Can])</f>
        <v>0</v>
      </c>
      <c r="AO110" s="296">
        <f>IF(NFI_Expiration=1,IF($A110&lt;VLOOKUP(V$5,NFI,5,0),1,0)*Table_NFI[[#This Row],[Shelter Tool kit]],Table_NFI[Shelter Tool kit])</f>
        <v>0</v>
      </c>
      <c r="AP110" s="296">
        <f>IF(NFI_Expiration=1,IF($A110&lt;VLOOKUP(V$5,NFI,5,0),1,0)*Table_NFI[[#This Row],[Tent]],Table_NFI[Tent])</f>
        <v>0</v>
      </c>
      <c r="AQ110" s="396" t="str">
        <f>IFERROR(VLOOKUP(Table_NFI[[#This Row],[Camp Name]],CL,2,0),"")</f>
        <v>MMR001CMP050</v>
      </c>
      <c r="AR110" s="702">
        <f ca="1">IF(Table_NFI[[#This Row],[Pcode]]="","",IF(OFFSET(CampList[Opening Date],MATCH(Table_NFI[[#This Row],[Pcode]],CampList[CP_Pcode],0)-1,0,1,1)&gt;=NFI_Monitor_Date,1,0))</f>
        <v>0</v>
      </c>
      <c r="AS110" s="396" t="str">
        <f>IFERROR(VLOOKUP(Table_NFI[[#This Row],[Camp Name]],CL,3,0),"")</f>
        <v>Open</v>
      </c>
      <c r="AT110" s="264" t="str">
        <f ca="1">IF(Table_NFI[[#This Row],[Pcode]]="","",OFFSET(CampList[Priority],MATCH(Table_NFI[[#This Row],[Pcode]],CampList[CP_Pcode],0)-1,0,1,1))</f>
        <v>P4</v>
      </c>
      <c r="AU110" s="263">
        <f>IFERROR(Table_NFI[[#This Row],[Kitchen Set]]/VLOOKUP(Table_NFI[[#This Row],[Camp Name]],CL,4,0),"")</f>
        <v>0</v>
      </c>
      <c r="AV110" s="390"/>
      <c r="AW110" s="392"/>
      <c r="AX110" s="402"/>
      <c r="AY110" s="402"/>
      <c r="AZ110" s="402"/>
      <c r="BA110" s="402"/>
      <c r="BB110" s="402"/>
      <c r="BC110" s="402"/>
      <c r="BD110" s="402"/>
      <c r="BE110" s="402"/>
      <c r="BF110" s="402"/>
      <c r="BG110" s="402"/>
      <c r="BH110" s="402"/>
      <c r="BI110" s="402"/>
      <c r="BJ110" s="402"/>
      <c r="BK110" s="402"/>
      <c r="BL110" s="402"/>
      <c r="BM110" s="402"/>
      <c r="BN110" s="402"/>
      <c r="BO110" s="402"/>
      <c r="BP110" s="402"/>
      <c r="BQ110" s="402"/>
      <c r="BR110" s="402"/>
      <c r="BS110" s="402"/>
      <c r="BT110" s="402"/>
      <c r="BU110" s="402"/>
      <c r="BV110" s="402"/>
      <c r="BW110" s="402"/>
      <c r="BX110" s="402"/>
      <c r="BY110" s="402"/>
      <c r="BZ110" s="402"/>
      <c r="CA110" s="402"/>
      <c r="CB110" s="402"/>
      <c r="CC110" s="402"/>
      <c r="CD110" s="402"/>
      <c r="CE110" s="402"/>
      <c r="CF110" s="402"/>
      <c r="CG110" s="402"/>
      <c r="CH110" s="402"/>
      <c r="CI110" s="402"/>
      <c r="CJ110" s="402"/>
      <c r="CK110" s="402"/>
      <c r="CL110" s="402"/>
      <c r="CM110" s="402"/>
      <c r="CN110" s="402"/>
      <c r="CO110" s="402"/>
      <c r="CP110" s="402"/>
      <c r="CQ110" s="402"/>
      <c r="CR110" s="402"/>
      <c r="CS110" s="402"/>
      <c r="CT110" s="402"/>
      <c r="CU110" s="402"/>
      <c r="CV110" s="402"/>
      <c r="CW110" s="402"/>
      <c r="CX110" s="402"/>
      <c r="CY110" s="402"/>
      <c r="CZ110" s="402"/>
      <c r="DA110" s="402"/>
      <c r="DB110" s="402"/>
      <c r="DC110" s="402"/>
      <c r="DD110" s="402"/>
      <c r="DE110" s="402"/>
      <c r="DF110" s="402"/>
      <c r="DG110" s="402"/>
      <c r="DH110" s="402"/>
      <c r="DI110" s="402"/>
      <c r="DJ110" s="402"/>
      <c r="DK110" s="402"/>
      <c r="DL110" s="402"/>
      <c r="DM110" s="402"/>
      <c r="DN110" s="402"/>
      <c r="DO110" s="402"/>
      <c r="DP110" s="402"/>
      <c r="DQ110" s="402"/>
    </row>
    <row r="111" spans="1:121" s="760" customFormat="1" ht="14.45" customHeight="1" x14ac:dyDescent="0.25">
      <c r="A111" s="266">
        <f t="shared" si="1"/>
        <v>12.233333333333333</v>
      </c>
      <c r="B111" s="389">
        <v>42489</v>
      </c>
      <c r="C111" s="390" t="s">
        <v>904</v>
      </c>
      <c r="D111" s="390" t="s">
        <v>904</v>
      </c>
      <c r="E111" s="390" t="s">
        <v>380</v>
      </c>
      <c r="F111" s="390" t="s">
        <v>5</v>
      </c>
      <c r="G111" s="390" t="s">
        <v>366</v>
      </c>
      <c r="H111" s="261"/>
      <c r="I111" s="261"/>
      <c r="J111" s="261"/>
      <c r="K111" s="261"/>
      <c r="L111" s="261"/>
      <c r="M111" s="261"/>
      <c r="N111" s="261"/>
      <c r="O111" s="261"/>
      <c r="P111" s="261"/>
      <c r="Q111" s="261"/>
      <c r="R111" s="261"/>
      <c r="S111" s="261"/>
      <c r="T111" s="261"/>
      <c r="U111" s="261"/>
      <c r="V111" s="762"/>
      <c r="W111" s="261">
        <v>48</v>
      </c>
      <c r="X111" s="261"/>
      <c r="Y111" s="264">
        <f>IF(NFI_Expiration=1,IF($A111&lt;VLOOKUP(H$5,NFI,5,0),1,0)*Table_NFI[[#This Row],[Hygiene Kit]],Table_NFI[Hygiene Kit])</f>
        <v>0</v>
      </c>
      <c r="Z111" s="264">
        <f>IF(NFI_Expiration=1,IF($A111&lt;VLOOKUP(I$5,NFI,5,0),1,0)*Table_NFI[[#This Row],[NFI Core Kit]],Table_NFI[NFI Core Kit])</f>
        <v>0</v>
      </c>
      <c r="AA111" s="264">
        <f>IF(NFI_Expiration=1,IF($A111&lt;VLOOKUP(J$5,NFI,5,0),1,0)*Table_NFI[[#This Row],[Sanitary Kit]],Table_NFI[Sanitary Kit])</f>
        <v>0</v>
      </c>
      <c r="AB111" s="264">
        <f>IF(NFI_Expiration=1,IF($A111&lt;VLOOKUP(K$5,NFI,5,0),1,0)*Table_NFI[[#This Row],[Mosquito net]],Table_NFI[Mosquito net])</f>
        <v>0</v>
      </c>
      <c r="AC111" s="264">
        <f>IF(NFI_Expiration=1,IF($A111&lt;VLOOKUP(L$5,NFI,5,0),1,0)*Table_NFI[[#This Row],[Tarpaulin]],Table_NFI[[#This Row],[Tarpaulin]])</f>
        <v>0</v>
      </c>
      <c r="AD111" s="264">
        <f>IF(NFI_Expiration=1,IF($A111&lt;VLOOKUP(M$5,NFI,5,0),1,0)*Table_NFI[[#This Row],[Blanket]],Table_NFI[[#This Row],[Blanket]])</f>
        <v>0</v>
      </c>
      <c r="AE111" s="264">
        <f>IF(NFI_Expiration=1,IF($A111&lt;VLOOKUP(N$5,NFI,5,0),1,0)*Table_NFI[[#This Row],[Kitchen Set]],Table_NFI[Kitchen Set])</f>
        <v>0</v>
      </c>
      <c r="AF111" s="264">
        <f>IF(NFI_Expiration=1,IF($A111&lt;VLOOKUP(O$5,NFI,5,0),1,0)*Table_NFI[[#This Row],[Clothes Kit]],Table_NFI[Clothes Kit])</f>
        <v>0</v>
      </c>
      <c r="AG111" s="264">
        <f>IF(NFI_Expiration=1,IF($A111&lt;VLOOKUP(P$5,NFI,5,0),1,0)*Table_NFI[[#This Row],[Plastic Bucket]],Table_NFI[Plastic Bucket])</f>
        <v>0</v>
      </c>
      <c r="AH111" s="264">
        <f>IF(NFI_Expiration=1,IF($A111&lt;VLOOKUP(Q$5,NFI,5,0),1,0)*Table_NFI[[#This Row],[Plastic Mat]],Table_NFI[Plastic Mat])*IF(Table_NFI[[#This Row],[Distribution Date]]&gt;"2014-04-01",1,2.5)</f>
        <v>0</v>
      </c>
      <c r="AI111" s="264">
        <f>IF(NFI_Expiration=1,IF($A111&lt;VLOOKUP(R$5,NFI,5,0),1,0)*Table_NFI[[#This Row],[Winter Clothes Adult]],Table_NFI[Winter Clothes Adult])</f>
        <v>0</v>
      </c>
      <c r="AJ111" s="264">
        <f>IF(NFI_Expiration=1,IF($A111&lt;VLOOKUP(S$5,NFI,5,0),1,0)*Table_NFI[[#This Row],[Winter Clothes Children]],Table_NFI[Winter Clothes Children])</f>
        <v>0</v>
      </c>
      <c r="AK111" s="264">
        <f>IF(NFI_Expiration=1,IF($A111&lt;VLOOKUP(T$5,NFI,5,0),1,0)*Table_NFI[[#This Row],[Winter Items Other]],Table_NFI[Winter Items Other])</f>
        <v>0</v>
      </c>
      <c r="AL111" s="264">
        <f>IF(NFI_Expiration=1,IF($A111&lt;VLOOKUP(M$5,NFI,5,0),1,0)*Table_NFI[[#This Row],[Winter Blanket]],Table_NFI[[#This Row],[Winter Blanket]])</f>
        <v>0</v>
      </c>
      <c r="AM111" s="264">
        <f>IF(Table_NFI[[#This Row],[Winter Clothes Adult]]+Table_NFI[[#This Row],[Winter Clothes Children]]+Table_NFI[[#This Row],[Winter Items Other]]+Table_NFI[[#This Row],[Winter Blanket]]&gt;0,1,0)</f>
        <v>0</v>
      </c>
      <c r="AN111" s="296">
        <f>IF(NFI_Expiration=1,IF($A111&lt;VLOOKUP(V$5,NFI,5,0),1,0)*Table_NFI[[#This Row],[Jerry Can]],Table_NFI[Jerry Can])</f>
        <v>0</v>
      </c>
      <c r="AO111" s="296">
        <f>IF(NFI_Expiration=1,IF($A111&lt;VLOOKUP(V$5,NFI,5,0),1,0)*Table_NFI[[#This Row],[Shelter Tool kit]],Table_NFI[Shelter Tool kit])</f>
        <v>0</v>
      </c>
      <c r="AP111" s="296">
        <f>IF(NFI_Expiration=1,IF($A111&lt;VLOOKUP(V$5,NFI,5,0),1,0)*Table_NFI[[#This Row],[Tent]],Table_NFI[Tent])</f>
        <v>0</v>
      </c>
      <c r="AQ111" s="396" t="str">
        <f>IFERROR(VLOOKUP(Table_NFI[[#This Row],[Camp Name]],CL,2,0),"")</f>
        <v>MMR001CMP193</v>
      </c>
      <c r="AR111" s="702">
        <f ca="1">IF(Table_NFI[[#This Row],[Pcode]]="","",IF(OFFSET(CampList[Opening Date],MATCH(Table_NFI[[#This Row],[Pcode]],CampList[CP_Pcode],0)-1,0,1,1)&gt;=NFI_Monitor_Date,1,0))</f>
        <v>0</v>
      </c>
      <c r="AS111" s="396" t="str">
        <f>IFERROR(VLOOKUP(Table_NFI[[#This Row],[Camp Name]],CL,3,0),"")</f>
        <v>Open</v>
      </c>
      <c r="AT111" s="264" t="str">
        <f ca="1">IF(Table_NFI[[#This Row],[Pcode]]="","",OFFSET(CampList[Priority],MATCH(Table_NFI[[#This Row],[Pcode]],CampList[CP_Pcode],0)-1,0,1,1))</f>
        <v>P4</v>
      </c>
      <c r="AU111" s="263">
        <f>IFERROR(Table_NFI[[#This Row],[Kitchen Set]]/VLOOKUP(Table_NFI[[#This Row],[Camp Name]],CL,4,0),"")</f>
        <v>0</v>
      </c>
      <c r="AV111" s="390"/>
      <c r="AW111" s="392"/>
      <c r="AX111" s="399"/>
      <c r="AY111" s="399"/>
      <c r="AZ111" s="399"/>
      <c r="BA111" s="399"/>
      <c r="BB111" s="399"/>
      <c r="BC111" s="399"/>
      <c r="BD111" s="399"/>
      <c r="BE111" s="399"/>
      <c r="BF111" s="399"/>
      <c r="BG111" s="399"/>
      <c r="BH111" s="399"/>
      <c r="BI111" s="399"/>
      <c r="BJ111" s="399"/>
      <c r="BK111" s="399"/>
      <c r="BL111" s="399"/>
      <c r="BM111" s="399"/>
      <c r="BN111" s="399"/>
      <c r="BO111" s="399"/>
      <c r="BP111" s="399"/>
      <c r="BQ111" s="399"/>
      <c r="BR111" s="399"/>
      <c r="BS111" s="399"/>
      <c r="BT111" s="399"/>
      <c r="BU111" s="399"/>
      <c r="BV111" s="399"/>
      <c r="BW111" s="399"/>
      <c r="BX111" s="399"/>
      <c r="BY111" s="399"/>
      <c r="BZ111" s="399"/>
      <c r="CA111" s="399"/>
      <c r="CB111" s="399"/>
      <c r="CC111" s="399"/>
      <c r="CD111" s="399"/>
      <c r="CE111" s="399"/>
      <c r="CF111" s="399"/>
      <c r="CG111" s="399"/>
      <c r="CH111" s="399"/>
      <c r="CI111" s="399"/>
      <c r="CJ111" s="399"/>
      <c r="CK111" s="399"/>
      <c r="CL111" s="399"/>
      <c r="CM111" s="399"/>
      <c r="CN111" s="399"/>
      <c r="CO111" s="399"/>
      <c r="CP111" s="399"/>
      <c r="CQ111" s="399"/>
      <c r="CR111" s="399"/>
      <c r="CS111" s="399"/>
      <c r="CT111" s="399"/>
      <c r="CU111" s="399"/>
      <c r="CV111" s="399"/>
      <c r="CW111" s="399"/>
      <c r="CX111" s="399"/>
      <c r="CY111" s="399"/>
      <c r="CZ111" s="399"/>
      <c r="DA111" s="399"/>
      <c r="DB111" s="399"/>
      <c r="DC111" s="399"/>
      <c r="DD111" s="399"/>
      <c r="DE111" s="399"/>
      <c r="DF111" s="399"/>
      <c r="DG111" s="399"/>
      <c r="DH111" s="399"/>
      <c r="DI111" s="399"/>
      <c r="DJ111" s="399"/>
      <c r="DK111" s="399"/>
      <c r="DL111" s="399"/>
      <c r="DM111" s="399"/>
      <c r="DN111" s="399"/>
      <c r="DO111" s="399"/>
      <c r="DP111" s="399"/>
      <c r="DQ111" s="399"/>
    </row>
    <row r="112" spans="1:121" s="760" customFormat="1" ht="14.45" customHeight="1" x14ac:dyDescent="0.2">
      <c r="A112" s="266">
        <f t="shared" si="1"/>
        <v>12.233333333333333</v>
      </c>
      <c r="B112" s="389">
        <v>42489</v>
      </c>
      <c r="C112" s="390" t="s">
        <v>904</v>
      </c>
      <c r="D112" s="391" t="s">
        <v>904</v>
      </c>
      <c r="E112" s="390" t="s">
        <v>380</v>
      </c>
      <c r="F112" s="262" t="s">
        <v>5</v>
      </c>
      <c r="G112" s="262" t="s">
        <v>22</v>
      </c>
      <c r="H112" s="261"/>
      <c r="I112" s="261"/>
      <c r="J112" s="261"/>
      <c r="K112" s="261"/>
      <c r="L112" s="261"/>
      <c r="M112" s="261"/>
      <c r="N112" s="261"/>
      <c r="O112" s="261"/>
      <c r="P112" s="261"/>
      <c r="Q112" s="261"/>
      <c r="R112" s="261"/>
      <c r="S112" s="261"/>
      <c r="T112" s="261"/>
      <c r="U112" s="261"/>
      <c r="V112" s="762"/>
      <c r="W112" s="764">
        <v>152</v>
      </c>
      <c r="X112" s="261"/>
      <c r="Y112" s="264">
        <f>IF(NFI_Expiration=1,IF($A112&lt;VLOOKUP(H$5,NFI,5,0),1,0)*Table_NFI[[#This Row],[Hygiene Kit]],Table_NFI[Hygiene Kit])</f>
        <v>0</v>
      </c>
      <c r="Z112" s="264">
        <f>IF(NFI_Expiration=1,IF($A112&lt;VLOOKUP(I$5,NFI,5,0),1,0)*Table_NFI[[#This Row],[NFI Core Kit]],Table_NFI[NFI Core Kit])</f>
        <v>0</v>
      </c>
      <c r="AA112" s="264">
        <f>IF(NFI_Expiration=1,IF($A112&lt;VLOOKUP(J$5,NFI,5,0),1,0)*Table_NFI[[#This Row],[Sanitary Kit]],Table_NFI[Sanitary Kit])</f>
        <v>0</v>
      </c>
      <c r="AB112" s="264">
        <f>IF(NFI_Expiration=1,IF($A112&lt;VLOOKUP(K$5,NFI,5,0),1,0)*Table_NFI[[#This Row],[Mosquito net]],Table_NFI[Mosquito net])</f>
        <v>0</v>
      </c>
      <c r="AC112" s="264">
        <f>IF(NFI_Expiration=1,IF($A112&lt;VLOOKUP(L$5,NFI,5,0),1,0)*Table_NFI[[#This Row],[Tarpaulin]],Table_NFI[[#This Row],[Tarpaulin]])</f>
        <v>0</v>
      </c>
      <c r="AD112" s="264">
        <f>IF(NFI_Expiration=1,IF($A112&lt;VLOOKUP(M$5,NFI,5,0),1,0)*Table_NFI[[#This Row],[Blanket]],Table_NFI[[#This Row],[Blanket]])</f>
        <v>0</v>
      </c>
      <c r="AE112" s="264">
        <f>IF(NFI_Expiration=1,IF($A112&lt;VLOOKUP(N$5,NFI,5,0),1,0)*Table_NFI[[#This Row],[Kitchen Set]],Table_NFI[Kitchen Set])</f>
        <v>0</v>
      </c>
      <c r="AF112" s="264">
        <f>IF(NFI_Expiration=1,IF($A112&lt;VLOOKUP(O$5,NFI,5,0),1,0)*Table_NFI[[#This Row],[Clothes Kit]],Table_NFI[Clothes Kit])</f>
        <v>0</v>
      </c>
      <c r="AG112" s="264">
        <f>IF(NFI_Expiration=1,IF($A112&lt;VLOOKUP(P$5,NFI,5,0),1,0)*Table_NFI[[#This Row],[Plastic Bucket]],Table_NFI[Plastic Bucket])</f>
        <v>0</v>
      </c>
      <c r="AH112" s="264">
        <f>IF(NFI_Expiration=1,IF($A112&lt;VLOOKUP(Q$5,NFI,5,0),1,0)*Table_NFI[[#This Row],[Plastic Mat]],Table_NFI[Plastic Mat])*IF(Table_NFI[[#This Row],[Distribution Date]]&gt;"2014-04-01",1,2.5)</f>
        <v>0</v>
      </c>
      <c r="AI112" s="264">
        <f>IF(NFI_Expiration=1,IF($A112&lt;VLOOKUP(R$5,NFI,5,0),1,0)*Table_NFI[[#This Row],[Winter Clothes Adult]],Table_NFI[Winter Clothes Adult])</f>
        <v>0</v>
      </c>
      <c r="AJ112" s="264">
        <f>IF(NFI_Expiration=1,IF($A112&lt;VLOOKUP(S$5,NFI,5,0),1,0)*Table_NFI[[#This Row],[Winter Clothes Children]],Table_NFI[Winter Clothes Children])</f>
        <v>0</v>
      </c>
      <c r="AK112" s="264">
        <f>IF(NFI_Expiration=1,IF($A112&lt;VLOOKUP(T$5,NFI,5,0),1,0)*Table_NFI[[#This Row],[Winter Items Other]],Table_NFI[Winter Items Other])</f>
        <v>0</v>
      </c>
      <c r="AL112" s="264">
        <f>IF(NFI_Expiration=1,IF($A112&lt;VLOOKUP(M$5,NFI,5,0),1,0)*Table_NFI[[#This Row],[Winter Blanket]],Table_NFI[[#This Row],[Winter Blanket]])</f>
        <v>0</v>
      </c>
      <c r="AM112" s="264">
        <f>IF(Table_NFI[[#This Row],[Winter Clothes Adult]]+Table_NFI[[#This Row],[Winter Clothes Children]]+Table_NFI[[#This Row],[Winter Items Other]]+Table_NFI[[#This Row],[Winter Blanket]]&gt;0,1,0)</f>
        <v>0</v>
      </c>
      <c r="AN112" s="296">
        <f>IF(NFI_Expiration=1,IF($A112&lt;VLOOKUP(V$5,NFI,5,0),1,0)*Table_NFI[[#This Row],[Jerry Can]],Table_NFI[Jerry Can])</f>
        <v>0</v>
      </c>
      <c r="AO112" s="296">
        <f>IF(NFI_Expiration=1,IF($A112&lt;VLOOKUP(V$5,NFI,5,0),1,0)*Table_NFI[[#This Row],[Shelter Tool kit]],Table_NFI[Shelter Tool kit])</f>
        <v>0</v>
      </c>
      <c r="AP112" s="296">
        <f>IF(NFI_Expiration=1,IF($A112&lt;VLOOKUP(V$5,NFI,5,0),1,0)*Table_NFI[[#This Row],[Tent]],Table_NFI[Tent])</f>
        <v>0</v>
      </c>
      <c r="AQ112" s="396" t="str">
        <f>IFERROR(VLOOKUP(Table_NFI[[#This Row],[Camp Name]],CL,2,0),"")</f>
        <v>MMR001CMP047</v>
      </c>
      <c r="AR112" s="702">
        <f ca="1">IF(Table_NFI[[#This Row],[Pcode]]="","",IF(OFFSET(CampList[Opening Date],MATCH(Table_NFI[[#This Row],[Pcode]],CampList[CP_Pcode],0)-1,0,1,1)&gt;=NFI_Monitor_Date,1,0))</f>
        <v>0</v>
      </c>
      <c r="AS112" s="396" t="str">
        <f>IFERROR(VLOOKUP(Table_NFI[[#This Row],[Camp Name]],CL,3,0),"")</f>
        <v>Open</v>
      </c>
      <c r="AT112" s="264" t="str">
        <f ca="1">IF(Table_NFI[[#This Row],[Pcode]]="","",OFFSET(CampList[Priority],MATCH(Table_NFI[[#This Row],[Pcode]],CampList[CP_Pcode],0)-1,0,1,1))</f>
        <v>P4</v>
      </c>
      <c r="AU112" s="263">
        <f>IFERROR(Table_NFI[[#This Row],[Kitchen Set]]/VLOOKUP(Table_NFI[[#This Row],[Camp Name]],CL,4,0),"")</f>
        <v>0</v>
      </c>
      <c r="AV112" s="390"/>
      <c r="AW112" s="392"/>
      <c r="AX112" s="399"/>
      <c r="AY112" s="399"/>
      <c r="AZ112" s="399"/>
      <c r="BA112" s="399"/>
      <c r="BB112" s="399"/>
      <c r="BC112" s="399"/>
      <c r="BD112" s="399"/>
      <c r="BE112" s="399"/>
      <c r="BF112" s="399"/>
      <c r="BG112" s="399"/>
      <c r="BH112" s="399"/>
      <c r="BI112" s="399"/>
      <c r="BJ112" s="399"/>
      <c r="BK112" s="399"/>
      <c r="BL112" s="399"/>
      <c r="BM112" s="399"/>
      <c r="BN112" s="399"/>
      <c r="BO112" s="399"/>
      <c r="BP112" s="399"/>
      <c r="BQ112" s="399"/>
      <c r="BR112" s="399"/>
      <c r="BS112" s="399"/>
      <c r="BT112" s="399"/>
      <c r="BU112" s="399"/>
      <c r="BV112" s="399"/>
      <c r="BW112" s="399"/>
      <c r="BX112" s="399"/>
      <c r="BY112" s="399"/>
      <c r="BZ112" s="399"/>
      <c r="CA112" s="399"/>
      <c r="CB112" s="399"/>
      <c r="CC112" s="399"/>
      <c r="CD112" s="399"/>
      <c r="CE112" s="399"/>
      <c r="CF112" s="399"/>
      <c r="CG112" s="399"/>
      <c r="CH112" s="399"/>
      <c r="CI112" s="399"/>
      <c r="CJ112" s="399"/>
      <c r="CK112" s="399"/>
      <c r="CL112" s="399"/>
      <c r="CM112" s="399"/>
      <c r="CN112" s="399"/>
      <c r="CO112" s="399"/>
      <c r="CP112" s="399"/>
      <c r="CQ112" s="399"/>
      <c r="CR112" s="399"/>
      <c r="CS112" s="399"/>
      <c r="CT112" s="399"/>
      <c r="CU112" s="399"/>
      <c r="CV112" s="399"/>
      <c r="CW112" s="399"/>
      <c r="CX112" s="399"/>
      <c r="CY112" s="399"/>
      <c r="CZ112" s="399"/>
      <c r="DA112" s="399"/>
      <c r="DB112" s="399"/>
      <c r="DC112" s="399"/>
      <c r="DD112" s="399"/>
      <c r="DE112" s="399"/>
      <c r="DF112" s="399"/>
      <c r="DG112" s="399"/>
      <c r="DH112" s="399"/>
      <c r="DI112" s="399"/>
      <c r="DJ112" s="399"/>
      <c r="DK112" s="399"/>
      <c r="DL112" s="399"/>
      <c r="DM112" s="399"/>
      <c r="DN112" s="399"/>
      <c r="DO112" s="399"/>
      <c r="DP112" s="399"/>
      <c r="DQ112" s="399"/>
    </row>
    <row r="113" spans="1:121" s="393" customFormat="1" ht="14.45" customHeight="1" x14ac:dyDescent="0.25">
      <c r="A113" s="266">
        <f t="shared" si="1"/>
        <v>12.233333333333333</v>
      </c>
      <c r="B113" s="389">
        <v>42489</v>
      </c>
      <c r="C113" s="390" t="s">
        <v>904</v>
      </c>
      <c r="D113" s="390" t="s">
        <v>904</v>
      </c>
      <c r="E113" s="390" t="s">
        <v>380</v>
      </c>
      <c r="F113" s="390" t="s">
        <v>5</v>
      </c>
      <c r="G113" s="390" t="s">
        <v>24</v>
      </c>
      <c r="H113" s="261"/>
      <c r="I113" s="261"/>
      <c r="J113" s="261"/>
      <c r="K113" s="261"/>
      <c r="L113" s="261"/>
      <c r="M113" s="261"/>
      <c r="N113" s="261"/>
      <c r="O113" s="261"/>
      <c r="P113" s="261"/>
      <c r="Q113" s="261"/>
      <c r="R113" s="261"/>
      <c r="S113" s="261"/>
      <c r="T113" s="261"/>
      <c r="U113" s="261"/>
      <c r="V113" s="762"/>
      <c r="W113" s="261">
        <v>10</v>
      </c>
      <c r="X113" s="261"/>
      <c r="Y113" s="264">
        <f>IF(NFI_Expiration=1,IF($A113&lt;VLOOKUP(H$5,NFI,5,0),1,0)*Table_NFI[[#This Row],[Hygiene Kit]],Table_NFI[Hygiene Kit])</f>
        <v>0</v>
      </c>
      <c r="Z113" s="264">
        <f>IF(NFI_Expiration=1,IF($A113&lt;VLOOKUP(I$5,NFI,5,0),1,0)*Table_NFI[[#This Row],[NFI Core Kit]],Table_NFI[NFI Core Kit])</f>
        <v>0</v>
      </c>
      <c r="AA113" s="264">
        <f>IF(NFI_Expiration=1,IF($A113&lt;VLOOKUP(J$5,NFI,5,0),1,0)*Table_NFI[[#This Row],[Sanitary Kit]],Table_NFI[Sanitary Kit])</f>
        <v>0</v>
      </c>
      <c r="AB113" s="264">
        <f>IF(NFI_Expiration=1,IF($A113&lt;VLOOKUP(K$5,NFI,5,0),1,0)*Table_NFI[[#This Row],[Mosquito net]],Table_NFI[Mosquito net])</f>
        <v>0</v>
      </c>
      <c r="AC113" s="264">
        <f>IF(NFI_Expiration=1,IF($A113&lt;VLOOKUP(L$5,NFI,5,0),1,0)*Table_NFI[[#This Row],[Tarpaulin]],Table_NFI[[#This Row],[Tarpaulin]])</f>
        <v>0</v>
      </c>
      <c r="AD113" s="264">
        <f>IF(NFI_Expiration=1,IF($A113&lt;VLOOKUP(M$5,NFI,5,0),1,0)*Table_NFI[[#This Row],[Blanket]],Table_NFI[[#This Row],[Blanket]])</f>
        <v>0</v>
      </c>
      <c r="AE113" s="264">
        <f>IF(NFI_Expiration=1,IF($A113&lt;VLOOKUP(N$5,NFI,5,0),1,0)*Table_NFI[[#This Row],[Kitchen Set]],Table_NFI[Kitchen Set])</f>
        <v>0</v>
      </c>
      <c r="AF113" s="264">
        <f>IF(NFI_Expiration=1,IF($A113&lt;VLOOKUP(O$5,NFI,5,0),1,0)*Table_NFI[[#This Row],[Clothes Kit]],Table_NFI[Clothes Kit])</f>
        <v>0</v>
      </c>
      <c r="AG113" s="264">
        <f>IF(NFI_Expiration=1,IF($A113&lt;VLOOKUP(P$5,NFI,5,0),1,0)*Table_NFI[[#This Row],[Plastic Bucket]],Table_NFI[Plastic Bucket])</f>
        <v>0</v>
      </c>
      <c r="AH113" s="264">
        <f>IF(NFI_Expiration=1,IF($A113&lt;VLOOKUP(Q$5,NFI,5,0),1,0)*Table_NFI[[#This Row],[Plastic Mat]],Table_NFI[Plastic Mat])*IF(Table_NFI[[#This Row],[Distribution Date]]&gt;"2014-04-01",1,2.5)</f>
        <v>0</v>
      </c>
      <c r="AI113" s="264">
        <f>IF(NFI_Expiration=1,IF($A113&lt;VLOOKUP(R$5,NFI,5,0),1,0)*Table_NFI[[#This Row],[Winter Clothes Adult]],Table_NFI[Winter Clothes Adult])</f>
        <v>0</v>
      </c>
      <c r="AJ113" s="264">
        <f>IF(NFI_Expiration=1,IF($A113&lt;VLOOKUP(S$5,NFI,5,0),1,0)*Table_NFI[[#This Row],[Winter Clothes Children]],Table_NFI[Winter Clothes Children])</f>
        <v>0</v>
      </c>
      <c r="AK113" s="264">
        <f>IF(NFI_Expiration=1,IF($A113&lt;VLOOKUP(T$5,NFI,5,0),1,0)*Table_NFI[[#This Row],[Winter Items Other]],Table_NFI[Winter Items Other])</f>
        <v>0</v>
      </c>
      <c r="AL113" s="264">
        <f>IF(NFI_Expiration=1,IF($A113&lt;VLOOKUP(M$5,NFI,5,0),1,0)*Table_NFI[[#This Row],[Winter Blanket]],Table_NFI[[#This Row],[Winter Blanket]])</f>
        <v>0</v>
      </c>
      <c r="AM113" s="264">
        <f>IF(Table_NFI[[#This Row],[Winter Clothes Adult]]+Table_NFI[[#This Row],[Winter Clothes Children]]+Table_NFI[[#This Row],[Winter Items Other]]+Table_NFI[[#This Row],[Winter Blanket]]&gt;0,1,0)</f>
        <v>0</v>
      </c>
      <c r="AN113" s="296">
        <f>IF(NFI_Expiration=1,IF($A113&lt;VLOOKUP(V$5,NFI,5,0),1,0)*Table_NFI[[#This Row],[Jerry Can]],Table_NFI[Jerry Can])</f>
        <v>0</v>
      </c>
      <c r="AO113" s="296">
        <f>IF(NFI_Expiration=1,IF($A113&lt;VLOOKUP(V$5,NFI,5,0),1,0)*Table_NFI[[#This Row],[Shelter Tool kit]],Table_NFI[Shelter Tool kit])</f>
        <v>0</v>
      </c>
      <c r="AP113" s="296">
        <f>IF(NFI_Expiration=1,IF($A113&lt;VLOOKUP(V$5,NFI,5,0),1,0)*Table_NFI[[#This Row],[Tent]],Table_NFI[Tent])</f>
        <v>0</v>
      </c>
      <c r="AQ113" s="396" t="str">
        <f>IFERROR(VLOOKUP(Table_NFI[[#This Row],[Camp Name]],CL,2,0),"")</f>
        <v>MMR001CMP055</v>
      </c>
      <c r="AR113" s="702">
        <f ca="1">IF(Table_NFI[[#This Row],[Pcode]]="","",IF(OFFSET(CampList[Opening Date],MATCH(Table_NFI[[#This Row],[Pcode]],CampList[CP_Pcode],0)-1,0,1,1)&gt;=NFI_Monitor_Date,1,0))</f>
        <v>0</v>
      </c>
      <c r="AS113" s="396" t="str">
        <f>IFERROR(VLOOKUP(Table_NFI[[#This Row],[Camp Name]],CL,3,0),"")</f>
        <v>Open</v>
      </c>
      <c r="AT113" s="264" t="str">
        <f ca="1">IF(Table_NFI[[#This Row],[Pcode]]="","",OFFSET(CampList[Priority],MATCH(Table_NFI[[#This Row],[Pcode]],CampList[CP_Pcode],0)-1,0,1,1))</f>
        <v>P4</v>
      </c>
      <c r="AU113" s="263">
        <f>IFERROR(Table_NFI[[#This Row],[Kitchen Set]]/VLOOKUP(Table_NFI[[#This Row],[Camp Name]],CL,4,0),"")</f>
        <v>0</v>
      </c>
      <c r="AV113" s="390"/>
      <c r="AW113" s="392"/>
      <c r="AX113" s="399"/>
      <c r="AY113" s="399"/>
      <c r="AZ113" s="399"/>
      <c r="BA113" s="399"/>
      <c r="BB113" s="399"/>
      <c r="BC113" s="399"/>
      <c r="BD113" s="399"/>
      <c r="BE113" s="399"/>
      <c r="BF113" s="399"/>
      <c r="BG113" s="399"/>
      <c r="BH113" s="399"/>
      <c r="BI113" s="399"/>
      <c r="BJ113" s="399"/>
      <c r="BK113" s="399"/>
      <c r="BL113" s="399"/>
      <c r="BM113" s="399"/>
      <c r="BN113" s="399"/>
      <c r="BO113" s="399"/>
      <c r="BP113" s="399"/>
      <c r="BQ113" s="399"/>
      <c r="BR113" s="399"/>
      <c r="BS113" s="399"/>
      <c r="BT113" s="399"/>
      <c r="BU113" s="399"/>
      <c r="BV113" s="399"/>
      <c r="BW113" s="399"/>
      <c r="BX113" s="399"/>
      <c r="BY113" s="399"/>
      <c r="BZ113" s="399"/>
      <c r="CA113" s="399"/>
      <c r="CB113" s="399"/>
      <c r="CC113" s="399"/>
      <c r="CD113" s="399"/>
      <c r="CE113" s="399"/>
      <c r="CF113" s="399"/>
      <c r="CG113" s="399"/>
      <c r="CH113" s="399"/>
      <c r="CI113" s="399"/>
      <c r="CJ113" s="399"/>
      <c r="CK113" s="399"/>
      <c r="CL113" s="399"/>
      <c r="CM113" s="399"/>
      <c r="CN113" s="399"/>
      <c r="CO113" s="399"/>
      <c r="CP113" s="399"/>
      <c r="CQ113" s="399"/>
      <c r="CR113" s="399"/>
      <c r="CS113" s="399"/>
      <c r="CT113" s="399"/>
      <c r="CU113" s="399"/>
      <c r="CV113" s="399"/>
      <c r="CW113" s="399"/>
      <c r="CX113" s="399"/>
      <c r="CY113" s="399"/>
      <c r="CZ113" s="399"/>
      <c r="DA113" s="399"/>
      <c r="DB113" s="399"/>
      <c r="DC113" s="399"/>
      <c r="DD113" s="399"/>
      <c r="DE113" s="399"/>
      <c r="DF113" s="399"/>
      <c r="DG113" s="399"/>
      <c r="DH113" s="399"/>
      <c r="DI113" s="399"/>
      <c r="DJ113" s="399"/>
      <c r="DK113" s="399"/>
      <c r="DL113" s="399"/>
      <c r="DM113" s="399"/>
      <c r="DN113" s="399"/>
      <c r="DO113" s="399"/>
      <c r="DP113" s="399"/>
      <c r="DQ113" s="399"/>
    </row>
    <row r="114" spans="1:121" s="760" customFormat="1" ht="14.45" customHeight="1" x14ac:dyDescent="0.25">
      <c r="A114" s="266">
        <f t="shared" si="1"/>
        <v>12.233333333333333</v>
      </c>
      <c r="B114" s="389">
        <v>42489</v>
      </c>
      <c r="C114" s="390" t="s">
        <v>904</v>
      </c>
      <c r="D114" s="391" t="s">
        <v>904</v>
      </c>
      <c r="E114" s="390" t="s">
        <v>380</v>
      </c>
      <c r="F114" s="262" t="s">
        <v>185</v>
      </c>
      <c r="G114" s="262" t="s">
        <v>1415</v>
      </c>
      <c r="H114" s="261"/>
      <c r="I114" s="261"/>
      <c r="J114" s="261"/>
      <c r="K114" s="261"/>
      <c r="L114" s="261"/>
      <c r="M114" s="261"/>
      <c r="N114" s="261"/>
      <c r="O114" s="261"/>
      <c r="P114" s="261"/>
      <c r="Q114" s="261"/>
      <c r="R114" s="261"/>
      <c r="S114" s="261"/>
      <c r="T114" s="261"/>
      <c r="U114" s="261"/>
      <c r="V114" s="762"/>
      <c r="W114" s="261">
        <v>26</v>
      </c>
      <c r="X114" s="261"/>
      <c r="Y114" s="264">
        <f>IF(NFI_Expiration=1,IF($A114&lt;VLOOKUP(H$5,NFI,5,0),1,0)*Table_NFI[[#This Row],[Hygiene Kit]],Table_NFI[Hygiene Kit])</f>
        <v>0</v>
      </c>
      <c r="Z114" s="264">
        <f>IF(NFI_Expiration=1,IF($A114&lt;VLOOKUP(I$5,NFI,5,0),1,0)*Table_NFI[[#This Row],[NFI Core Kit]],Table_NFI[NFI Core Kit])</f>
        <v>0</v>
      </c>
      <c r="AA114" s="264">
        <f>IF(NFI_Expiration=1,IF($A114&lt;VLOOKUP(J$5,NFI,5,0),1,0)*Table_NFI[[#This Row],[Sanitary Kit]],Table_NFI[Sanitary Kit])</f>
        <v>0</v>
      </c>
      <c r="AB114" s="264">
        <f>IF(NFI_Expiration=1,IF($A114&lt;VLOOKUP(K$5,NFI,5,0),1,0)*Table_NFI[[#This Row],[Mosquito net]],Table_NFI[Mosquito net])</f>
        <v>0</v>
      </c>
      <c r="AC114" s="264">
        <f>IF(NFI_Expiration=1,IF($A114&lt;VLOOKUP(L$5,NFI,5,0),1,0)*Table_NFI[[#This Row],[Tarpaulin]],Table_NFI[[#This Row],[Tarpaulin]])</f>
        <v>0</v>
      </c>
      <c r="AD114" s="264">
        <f>IF(NFI_Expiration=1,IF($A114&lt;VLOOKUP(M$5,NFI,5,0),1,0)*Table_NFI[[#This Row],[Blanket]],Table_NFI[[#This Row],[Blanket]])</f>
        <v>0</v>
      </c>
      <c r="AE114" s="264">
        <f>IF(NFI_Expiration=1,IF($A114&lt;VLOOKUP(N$5,NFI,5,0),1,0)*Table_NFI[[#This Row],[Kitchen Set]],Table_NFI[Kitchen Set])</f>
        <v>0</v>
      </c>
      <c r="AF114" s="264">
        <f>IF(NFI_Expiration=1,IF($A114&lt;VLOOKUP(O$5,NFI,5,0),1,0)*Table_NFI[[#This Row],[Clothes Kit]],Table_NFI[Clothes Kit])</f>
        <v>0</v>
      </c>
      <c r="AG114" s="264">
        <f>IF(NFI_Expiration=1,IF($A114&lt;VLOOKUP(P$5,NFI,5,0),1,0)*Table_NFI[[#This Row],[Plastic Bucket]],Table_NFI[Plastic Bucket])</f>
        <v>0</v>
      </c>
      <c r="AH114" s="264">
        <f>IF(NFI_Expiration=1,IF($A114&lt;VLOOKUP(Q$5,NFI,5,0),1,0)*Table_NFI[[#This Row],[Plastic Mat]],Table_NFI[Plastic Mat])*IF(Table_NFI[[#This Row],[Distribution Date]]&gt;"2014-04-01",1,2.5)</f>
        <v>0</v>
      </c>
      <c r="AI114" s="264">
        <f>IF(NFI_Expiration=1,IF($A114&lt;VLOOKUP(R$5,NFI,5,0),1,0)*Table_NFI[[#This Row],[Winter Clothes Adult]],Table_NFI[Winter Clothes Adult])</f>
        <v>0</v>
      </c>
      <c r="AJ114" s="264">
        <f>IF(NFI_Expiration=1,IF($A114&lt;VLOOKUP(S$5,NFI,5,0),1,0)*Table_NFI[[#This Row],[Winter Clothes Children]],Table_NFI[Winter Clothes Children])</f>
        <v>0</v>
      </c>
      <c r="AK114" s="264">
        <f>IF(NFI_Expiration=1,IF($A114&lt;VLOOKUP(T$5,NFI,5,0),1,0)*Table_NFI[[#This Row],[Winter Items Other]],Table_NFI[Winter Items Other])</f>
        <v>0</v>
      </c>
      <c r="AL114" s="264">
        <f>IF(NFI_Expiration=1,IF($A114&lt;VLOOKUP(M$5,NFI,5,0),1,0)*Table_NFI[[#This Row],[Winter Blanket]],Table_NFI[[#This Row],[Winter Blanket]])</f>
        <v>0</v>
      </c>
      <c r="AM114" s="264">
        <f>IF(Table_NFI[[#This Row],[Winter Clothes Adult]]+Table_NFI[[#This Row],[Winter Clothes Children]]+Table_NFI[[#This Row],[Winter Items Other]]+Table_NFI[[#This Row],[Winter Blanket]]&gt;0,1,0)</f>
        <v>0</v>
      </c>
      <c r="AN114" s="296">
        <f>IF(NFI_Expiration=1,IF($A114&lt;VLOOKUP(V$5,NFI,5,0),1,0)*Table_NFI[[#This Row],[Jerry Can]],Table_NFI[Jerry Can])</f>
        <v>0</v>
      </c>
      <c r="AO114" s="296">
        <f>IF(NFI_Expiration=1,IF($A114&lt;VLOOKUP(V$5,NFI,5,0),1,0)*Table_NFI[[#This Row],[Shelter Tool kit]],Table_NFI[Shelter Tool kit])</f>
        <v>0</v>
      </c>
      <c r="AP114" s="296">
        <f>IF(NFI_Expiration=1,IF($A114&lt;VLOOKUP(V$5,NFI,5,0),1,0)*Table_NFI[[#This Row],[Tent]],Table_NFI[Tent])</f>
        <v>0</v>
      </c>
      <c r="AQ114" s="396" t="str">
        <f>IFERROR(VLOOKUP(Table_NFI[[#This Row],[Camp Name]],CL,2,0),"")</f>
        <v/>
      </c>
      <c r="AR114" s="702" t="str">
        <f ca="1">IF(Table_NFI[[#This Row],[Pcode]]="","",IF(OFFSET(CampList[Opening Date],MATCH(Table_NFI[[#This Row],[Pcode]],CampList[CP_Pcode],0)-1,0,1,1)&gt;=NFI_Monitor_Date,1,0))</f>
        <v/>
      </c>
      <c r="AS114" s="396" t="str">
        <f>IFERROR(VLOOKUP(Table_NFI[[#This Row],[Camp Name]],CL,3,0),"")</f>
        <v/>
      </c>
      <c r="AT114" s="264" t="str">
        <f ca="1">IF(Table_NFI[[#This Row],[Pcode]]="","",OFFSET(CampList[Priority],MATCH(Table_NFI[[#This Row],[Pcode]],CampList[CP_Pcode],0)-1,0,1,1))</f>
        <v/>
      </c>
      <c r="AU114" s="263" t="str">
        <f>IFERROR(Table_NFI[[#This Row],[Kitchen Set]]/VLOOKUP(Table_NFI[[#This Row],[Camp Name]],CL,4,0),"")</f>
        <v/>
      </c>
      <c r="AV114" s="390"/>
      <c r="AW114" s="392"/>
      <c r="AX114" s="399"/>
      <c r="AY114" s="399"/>
      <c r="AZ114" s="399"/>
      <c r="BA114" s="399"/>
      <c r="BB114" s="399"/>
      <c r="BC114" s="399"/>
      <c r="BD114" s="399"/>
      <c r="BE114" s="399"/>
      <c r="BF114" s="399"/>
      <c r="BG114" s="399"/>
      <c r="BH114" s="399"/>
      <c r="BI114" s="399"/>
      <c r="BJ114" s="399"/>
      <c r="BK114" s="399"/>
      <c r="BL114" s="399"/>
      <c r="BM114" s="399"/>
      <c r="BN114" s="399"/>
      <c r="BO114" s="399"/>
      <c r="BP114" s="399"/>
      <c r="BQ114" s="399"/>
      <c r="BR114" s="399"/>
      <c r="BS114" s="399"/>
      <c r="BT114" s="399"/>
      <c r="BU114" s="399"/>
      <c r="BV114" s="399"/>
      <c r="BW114" s="399"/>
      <c r="BX114" s="399"/>
      <c r="BY114" s="399"/>
      <c r="BZ114" s="399"/>
      <c r="CA114" s="399"/>
      <c r="CB114" s="399"/>
      <c r="CC114" s="399"/>
      <c r="CD114" s="399"/>
      <c r="CE114" s="399"/>
      <c r="CF114" s="399"/>
      <c r="CG114" s="399"/>
      <c r="CH114" s="399"/>
      <c r="CI114" s="399"/>
      <c r="CJ114" s="399"/>
      <c r="CK114" s="399"/>
      <c r="CL114" s="399"/>
      <c r="CM114" s="399"/>
      <c r="CN114" s="399"/>
      <c r="CO114" s="399"/>
      <c r="CP114" s="399"/>
      <c r="CQ114" s="399"/>
      <c r="CR114" s="399"/>
      <c r="CS114" s="399"/>
      <c r="CT114" s="399"/>
      <c r="CU114" s="399"/>
      <c r="CV114" s="399"/>
      <c r="CW114" s="399"/>
      <c r="CX114" s="399"/>
      <c r="CY114" s="399"/>
      <c r="CZ114" s="399"/>
      <c r="DA114" s="399"/>
      <c r="DB114" s="399"/>
      <c r="DC114" s="399"/>
      <c r="DD114" s="399"/>
      <c r="DE114" s="399"/>
      <c r="DF114" s="399"/>
      <c r="DG114" s="399"/>
      <c r="DH114" s="399"/>
      <c r="DI114" s="399"/>
      <c r="DJ114" s="399"/>
      <c r="DK114" s="399"/>
      <c r="DL114" s="399"/>
      <c r="DM114" s="399"/>
      <c r="DN114" s="399"/>
      <c r="DO114" s="399"/>
      <c r="DP114" s="399"/>
      <c r="DQ114" s="399"/>
    </row>
    <row r="115" spans="1:121" s="760" customFormat="1" ht="14.45" customHeight="1" x14ac:dyDescent="0.25">
      <c r="A115" s="266">
        <f t="shared" si="1"/>
        <v>12.233333333333333</v>
      </c>
      <c r="B115" s="389">
        <v>42489</v>
      </c>
      <c r="C115" s="390" t="s">
        <v>904</v>
      </c>
      <c r="D115" s="390" t="s">
        <v>904</v>
      </c>
      <c r="E115" s="390" t="s">
        <v>380</v>
      </c>
      <c r="F115" s="390" t="s">
        <v>185</v>
      </c>
      <c r="G115" s="262" t="s">
        <v>217</v>
      </c>
      <c r="H115" s="261"/>
      <c r="I115" s="261"/>
      <c r="J115" s="261"/>
      <c r="K115" s="261"/>
      <c r="L115" s="261"/>
      <c r="M115" s="261"/>
      <c r="N115" s="261"/>
      <c r="O115" s="261"/>
      <c r="P115" s="261"/>
      <c r="Q115" s="261"/>
      <c r="R115" s="261"/>
      <c r="S115" s="261"/>
      <c r="T115" s="261"/>
      <c r="U115" s="261"/>
      <c r="V115" s="762"/>
      <c r="W115" s="261">
        <v>10</v>
      </c>
      <c r="X115" s="261"/>
      <c r="Y115" s="264">
        <f>IF(NFI_Expiration=1,IF($A115&lt;VLOOKUP(H$5,NFI,5,0),1,0)*Table_NFI[[#This Row],[Hygiene Kit]],Table_NFI[Hygiene Kit])</f>
        <v>0</v>
      </c>
      <c r="Z115" s="264">
        <f>IF(NFI_Expiration=1,IF($A115&lt;VLOOKUP(I$5,NFI,5,0),1,0)*Table_NFI[[#This Row],[NFI Core Kit]],Table_NFI[NFI Core Kit])</f>
        <v>0</v>
      </c>
      <c r="AA115" s="264">
        <f>IF(NFI_Expiration=1,IF($A115&lt;VLOOKUP(J$5,NFI,5,0),1,0)*Table_NFI[[#This Row],[Sanitary Kit]],Table_NFI[Sanitary Kit])</f>
        <v>0</v>
      </c>
      <c r="AB115" s="264">
        <f>IF(NFI_Expiration=1,IF($A115&lt;VLOOKUP(K$5,NFI,5,0),1,0)*Table_NFI[[#This Row],[Mosquito net]],Table_NFI[Mosquito net])</f>
        <v>0</v>
      </c>
      <c r="AC115" s="264">
        <f>IF(NFI_Expiration=1,IF($A115&lt;VLOOKUP(L$5,NFI,5,0),1,0)*Table_NFI[[#This Row],[Tarpaulin]],Table_NFI[[#This Row],[Tarpaulin]])</f>
        <v>0</v>
      </c>
      <c r="AD115" s="264">
        <f>IF(NFI_Expiration=1,IF($A115&lt;VLOOKUP(M$5,NFI,5,0),1,0)*Table_NFI[[#This Row],[Blanket]],Table_NFI[[#This Row],[Blanket]])</f>
        <v>0</v>
      </c>
      <c r="AE115" s="264">
        <f>IF(NFI_Expiration=1,IF($A115&lt;VLOOKUP(N$5,NFI,5,0),1,0)*Table_NFI[[#This Row],[Kitchen Set]],Table_NFI[Kitchen Set])</f>
        <v>0</v>
      </c>
      <c r="AF115" s="264">
        <f>IF(NFI_Expiration=1,IF($A115&lt;VLOOKUP(O$5,NFI,5,0),1,0)*Table_NFI[[#This Row],[Clothes Kit]],Table_NFI[Clothes Kit])</f>
        <v>0</v>
      </c>
      <c r="AG115" s="264">
        <f>IF(NFI_Expiration=1,IF($A115&lt;VLOOKUP(P$5,NFI,5,0),1,0)*Table_NFI[[#This Row],[Plastic Bucket]],Table_NFI[Plastic Bucket])</f>
        <v>0</v>
      </c>
      <c r="AH115" s="264">
        <f>IF(NFI_Expiration=1,IF($A115&lt;VLOOKUP(Q$5,NFI,5,0),1,0)*Table_NFI[[#This Row],[Plastic Mat]],Table_NFI[Plastic Mat])*IF(Table_NFI[[#This Row],[Distribution Date]]&gt;"2014-04-01",1,2.5)</f>
        <v>0</v>
      </c>
      <c r="AI115" s="264">
        <f>IF(NFI_Expiration=1,IF($A115&lt;VLOOKUP(R$5,NFI,5,0),1,0)*Table_NFI[[#This Row],[Winter Clothes Adult]],Table_NFI[Winter Clothes Adult])</f>
        <v>0</v>
      </c>
      <c r="AJ115" s="264">
        <f>IF(NFI_Expiration=1,IF($A115&lt;VLOOKUP(S$5,NFI,5,0),1,0)*Table_NFI[[#This Row],[Winter Clothes Children]],Table_NFI[Winter Clothes Children])</f>
        <v>0</v>
      </c>
      <c r="AK115" s="264">
        <f>IF(NFI_Expiration=1,IF($A115&lt;VLOOKUP(T$5,NFI,5,0),1,0)*Table_NFI[[#This Row],[Winter Items Other]],Table_NFI[Winter Items Other])</f>
        <v>0</v>
      </c>
      <c r="AL115" s="264">
        <f>IF(NFI_Expiration=1,IF($A115&lt;VLOOKUP(M$5,NFI,5,0),1,0)*Table_NFI[[#This Row],[Winter Blanket]],Table_NFI[[#This Row],[Winter Blanket]])</f>
        <v>0</v>
      </c>
      <c r="AM115" s="264">
        <f>IF(Table_NFI[[#This Row],[Winter Clothes Adult]]+Table_NFI[[#This Row],[Winter Clothes Children]]+Table_NFI[[#This Row],[Winter Items Other]]+Table_NFI[[#This Row],[Winter Blanket]]&gt;0,1,0)</f>
        <v>0</v>
      </c>
      <c r="AN115" s="296">
        <f>IF(NFI_Expiration=1,IF($A115&lt;VLOOKUP(V$5,NFI,5,0),1,0)*Table_NFI[[#This Row],[Jerry Can]],Table_NFI[Jerry Can])</f>
        <v>0</v>
      </c>
      <c r="AO115" s="296">
        <f>IF(NFI_Expiration=1,IF($A115&lt;VLOOKUP(V$5,NFI,5,0),1,0)*Table_NFI[[#This Row],[Shelter Tool kit]],Table_NFI[Shelter Tool kit])</f>
        <v>0</v>
      </c>
      <c r="AP115" s="296">
        <f>IF(NFI_Expiration=1,IF($A115&lt;VLOOKUP(V$5,NFI,5,0),1,0)*Table_NFI[[#This Row],[Tent]],Table_NFI[Tent])</f>
        <v>0</v>
      </c>
      <c r="AQ115" s="396" t="str">
        <f>IFERROR(VLOOKUP(Table_NFI[[#This Row],[Camp Name]],CL,2,0),"")</f>
        <v>MMR001CMP059</v>
      </c>
      <c r="AR115" s="702">
        <f ca="1">IF(Table_NFI[[#This Row],[Pcode]]="","",IF(OFFSET(CampList[Opening Date],MATCH(Table_NFI[[#This Row],[Pcode]],CampList[CP_Pcode],0)-1,0,1,1)&gt;=NFI_Monitor_Date,1,0))</f>
        <v>0</v>
      </c>
      <c r="AS115" s="396" t="str">
        <f>IFERROR(VLOOKUP(Table_NFI[[#This Row],[Camp Name]],CL,3,0),"")</f>
        <v>Closed</v>
      </c>
      <c r="AT115" s="264" t="str">
        <f ca="1">IF(Table_NFI[[#This Row],[Pcode]]="","",OFFSET(CampList[Priority],MATCH(Table_NFI[[#This Row],[Pcode]],CampList[CP_Pcode],0)-1,0,1,1))</f>
        <v>P4</v>
      </c>
      <c r="AU115" s="263">
        <f>IFERROR(Table_NFI[[#This Row],[Kitchen Set]]/VLOOKUP(Table_NFI[[#This Row],[Camp Name]],CL,4,0),"")</f>
        <v>0</v>
      </c>
      <c r="AV115" s="390"/>
      <c r="AW115" s="392"/>
      <c r="AX115" s="399"/>
      <c r="AY115" s="399"/>
      <c r="AZ115" s="399"/>
      <c r="BA115" s="399"/>
      <c r="BB115" s="399"/>
      <c r="BC115" s="399"/>
      <c r="BD115" s="399"/>
      <c r="BE115" s="399"/>
      <c r="BF115" s="399"/>
      <c r="BG115" s="399"/>
      <c r="BH115" s="399"/>
      <c r="BI115" s="399"/>
      <c r="BJ115" s="399"/>
      <c r="BK115" s="399"/>
      <c r="BL115" s="399"/>
      <c r="BM115" s="399"/>
      <c r="BN115" s="399"/>
      <c r="BO115" s="399"/>
      <c r="BP115" s="399"/>
      <c r="BQ115" s="399"/>
      <c r="BR115" s="399"/>
      <c r="BS115" s="399"/>
      <c r="BT115" s="399"/>
      <c r="BU115" s="399"/>
      <c r="BV115" s="399"/>
      <c r="BW115" s="399"/>
      <c r="BX115" s="399"/>
      <c r="BY115" s="399"/>
      <c r="BZ115" s="399"/>
      <c r="CA115" s="399"/>
      <c r="CB115" s="399"/>
      <c r="CC115" s="399"/>
      <c r="CD115" s="399"/>
      <c r="CE115" s="399"/>
      <c r="CF115" s="399"/>
      <c r="CG115" s="399"/>
      <c r="CH115" s="399"/>
      <c r="CI115" s="399"/>
      <c r="CJ115" s="399"/>
      <c r="CK115" s="399"/>
      <c r="CL115" s="399"/>
      <c r="CM115" s="399"/>
      <c r="CN115" s="399"/>
      <c r="CO115" s="399"/>
      <c r="CP115" s="399"/>
      <c r="CQ115" s="399"/>
      <c r="CR115" s="399"/>
      <c r="CS115" s="399"/>
      <c r="CT115" s="399"/>
      <c r="CU115" s="399"/>
      <c r="CV115" s="399"/>
      <c r="CW115" s="399"/>
      <c r="CX115" s="399"/>
      <c r="CY115" s="399"/>
      <c r="CZ115" s="399"/>
      <c r="DA115" s="399"/>
      <c r="DB115" s="399"/>
      <c r="DC115" s="399"/>
      <c r="DD115" s="399"/>
      <c r="DE115" s="399"/>
      <c r="DF115" s="399"/>
      <c r="DG115" s="399"/>
      <c r="DH115" s="399"/>
      <c r="DI115" s="399"/>
      <c r="DJ115" s="399"/>
      <c r="DK115" s="399"/>
      <c r="DL115" s="399"/>
      <c r="DM115" s="399"/>
      <c r="DN115" s="399"/>
      <c r="DO115" s="399"/>
      <c r="DP115" s="399"/>
      <c r="DQ115" s="399"/>
    </row>
    <row r="116" spans="1:121" s="760" customFormat="1" ht="14.45" customHeight="1" x14ac:dyDescent="0.25">
      <c r="A116" s="416">
        <f t="shared" si="1"/>
        <v>12.833333333333334</v>
      </c>
      <c r="B116" s="389">
        <v>42471</v>
      </c>
      <c r="C116" s="394" t="s">
        <v>451</v>
      </c>
      <c r="D116" s="394" t="s">
        <v>459</v>
      </c>
      <c r="E116" s="390" t="s">
        <v>552</v>
      </c>
      <c r="F116" s="390" t="s">
        <v>289</v>
      </c>
      <c r="G116" s="394" t="s">
        <v>1372</v>
      </c>
      <c r="H116" s="767"/>
      <c r="I116" s="767"/>
      <c r="J116" s="767"/>
      <c r="K116" s="767">
        <v>126</v>
      </c>
      <c r="L116" s="767"/>
      <c r="M116" s="767">
        <v>126</v>
      </c>
      <c r="N116" s="767">
        <v>64</v>
      </c>
      <c r="O116" s="767"/>
      <c r="P116" s="767"/>
      <c r="Q116" s="767">
        <v>122</v>
      </c>
      <c r="R116" s="767"/>
      <c r="S116" s="767"/>
      <c r="T116" s="767"/>
      <c r="U116" s="767"/>
      <c r="V116" s="768">
        <v>64</v>
      </c>
      <c r="W116" s="767"/>
      <c r="X116" s="767"/>
      <c r="Y116" s="418">
        <f>IF(NFI_Expiration=1,IF($A116&lt;VLOOKUP(H$5,NFI,5,0),1,0)*Table_NFI[[#This Row],[Hygiene Kit]],Table_NFI[Hygiene Kit])</f>
        <v>0</v>
      </c>
      <c r="Z116" s="418">
        <f>IF(NFI_Expiration=1,IF($A116&lt;VLOOKUP(I$5,NFI,5,0),1,0)*Table_NFI[[#This Row],[NFI Core Kit]],Table_NFI[NFI Core Kit])</f>
        <v>0</v>
      </c>
      <c r="AA116" s="418">
        <f>IF(NFI_Expiration=1,IF($A116&lt;VLOOKUP(J$5,NFI,5,0),1,0)*Table_NFI[[#This Row],[Sanitary Kit]],Table_NFI[Sanitary Kit])</f>
        <v>0</v>
      </c>
      <c r="AB116" s="418">
        <f>IF(NFI_Expiration=1,IF($A116&lt;VLOOKUP(K$5,NFI,5,0),1,0)*Table_NFI[[#This Row],[Mosquito net]],Table_NFI[Mosquito net])</f>
        <v>0</v>
      </c>
      <c r="AC116" s="418">
        <f>IF(NFI_Expiration=1,IF($A116&lt;VLOOKUP(L$5,NFI,5,0),1,0)*Table_NFI[[#This Row],[Tarpaulin]],Table_NFI[[#This Row],[Tarpaulin]])</f>
        <v>0</v>
      </c>
      <c r="AD116" s="418">
        <f>IF(NFI_Expiration=1,IF($A116&lt;VLOOKUP(M$5,NFI,5,0),1,0)*Table_NFI[[#This Row],[Blanket]],Table_NFI[[#This Row],[Blanket]])</f>
        <v>0</v>
      </c>
      <c r="AE116" s="418">
        <f>IF(NFI_Expiration=1,IF($A116&lt;VLOOKUP(N$5,NFI,5,0),1,0)*Table_NFI[[#This Row],[Kitchen Set]],Table_NFI[Kitchen Set])</f>
        <v>0</v>
      </c>
      <c r="AF116" s="418">
        <f>IF(NFI_Expiration=1,IF($A116&lt;VLOOKUP(O$5,NFI,5,0),1,0)*Table_NFI[[#This Row],[Clothes Kit]],Table_NFI[Clothes Kit])</f>
        <v>0</v>
      </c>
      <c r="AG116" s="418">
        <f>IF(NFI_Expiration=1,IF($A116&lt;VLOOKUP(P$5,NFI,5,0),1,0)*Table_NFI[[#This Row],[Plastic Bucket]],Table_NFI[Plastic Bucket])</f>
        <v>0</v>
      </c>
      <c r="AH116" s="418">
        <f>IF(NFI_Expiration=1,IF($A116&lt;VLOOKUP(Q$5,NFI,5,0),1,0)*Table_NFI[[#This Row],[Plastic Mat]],Table_NFI[Plastic Mat])*IF(Table_NFI[[#This Row],[Distribution Date]]&gt;"2014-04-01",1,2.5)</f>
        <v>0</v>
      </c>
      <c r="AI116" s="418">
        <f>IF(NFI_Expiration=1,IF($A116&lt;VLOOKUP(R$5,NFI,5,0),1,0)*Table_NFI[[#This Row],[Winter Clothes Adult]],Table_NFI[Winter Clothes Adult])</f>
        <v>0</v>
      </c>
      <c r="AJ116" s="418">
        <f>IF(NFI_Expiration=1,IF($A116&lt;VLOOKUP(S$5,NFI,5,0),1,0)*Table_NFI[[#This Row],[Winter Clothes Children]],Table_NFI[Winter Clothes Children])</f>
        <v>0</v>
      </c>
      <c r="AK116" s="418">
        <f>IF(NFI_Expiration=1,IF($A116&lt;VLOOKUP(T$5,NFI,5,0),1,0)*Table_NFI[[#This Row],[Winter Items Other]],Table_NFI[Winter Items Other])</f>
        <v>0</v>
      </c>
      <c r="AL116" s="418">
        <f>IF(NFI_Expiration=1,IF($A116&lt;VLOOKUP(M$5,NFI,5,0),1,0)*Table_NFI[[#This Row],[Winter Blanket]],Table_NFI[[#This Row],[Winter Blanket]])</f>
        <v>0</v>
      </c>
      <c r="AM116" s="418">
        <f>IF(Table_NFI[[#This Row],[Winter Clothes Adult]]+Table_NFI[[#This Row],[Winter Clothes Children]]+Table_NFI[[#This Row],[Winter Items Other]]+Table_NFI[[#This Row],[Winter Blanket]]&gt;0,1,0)</f>
        <v>0</v>
      </c>
      <c r="AN116" s="419">
        <f>IF(NFI_Expiration=1,IF($A116&lt;VLOOKUP(V$5,NFI,5,0),1,0)*Table_NFI[[#This Row],[Jerry Can]],Table_NFI[Jerry Can])</f>
        <v>0</v>
      </c>
      <c r="AO116" s="419">
        <f>IF(NFI_Expiration=1,IF($A116&lt;VLOOKUP(V$5,NFI,5,0),1,0)*Table_NFI[[#This Row],[Shelter Tool kit]],Table_NFI[Shelter Tool kit])</f>
        <v>0</v>
      </c>
      <c r="AP116" s="419">
        <f>IF(NFI_Expiration=1,IF($A116&lt;VLOOKUP(V$5,NFI,5,0),1,0)*Table_NFI[[#This Row],[Tent]],Table_NFI[Tent])</f>
        <v>0</v>
      </c>
      <c r="AQ116" s="420" t="str">
        <f>IFERROR(VLOOKUP(Table_NFI[[#This Row],[Camp Name]],CL,2,0),"")</f>
        <v/>
      </c>
      <c r="AR116" s="702" t="str">
        <f ca="1">IF(Table_NFI[[#This Row],[Pcode]]="","",IF(OFFSET(CampList[Opening Date],MATCH(Table_NFI[[#This Row],[Pcode]],CampList[CP_Pcode],0)-1,0,1,1)&gt;=NFI_Monitor_Date,1,0))</f>
        <v/>
      </c>
      <c r="AS116" s="560" t="str">
        <f>IFERROR(VLOOKUP(Table_NFI[[#This Row],[Camp Name]],CL,3,0),"")</f>
        <v/>
      </c>
      <c r="AT116" s="418" t="str">
        <f ca="1">IF(Table_NFI[[#This Row],[Pcode]]="","",OFFSET(CampList[Priority],MATCH(Table_NFI[[#This Row],[Pcode]],CampList[CP_Pcode],0)-1,0,1,1))</f>
        <v/>
      </c>
      <c r="AU116" s="421" t="str">
        <f>IFERROR(Table_NFI[[#This Row],[Kitchen Set]]/VLOOKUP(Table_NFI[[#This Row],[Camp Name]],CL,4,0),"")</f>
        <v/>
      </c>
      <c r="AV116" s="417"/>
      <c r="AW116" s="425"/>
      <c r="AX116" s="399"/>
      <c r="AY116" s="399"/>
      <c r="AZ116" s="399"/>
      <c r="BA116" s="399"/>
      <c r="BB116" s="399"/>
      <c r="BC116" s="399"/>
      <c r="BD116" s="399"/>
      <c r="BE116" s="399"/>
      <c r="BF116" s="399"/>
      <c r="BG116" s="399"/>
      <c r="BH116" s="399"/>
      <c r="BI116" s="399"/>
      <c r="BJ116" s="399"/>
      <c r="BK116" s="399"/>
      <c r="BL116" s="399"/>
      <c r="BM116" s="399"/>
      <c r="BN116" s="399"/>
      <c r="BO116" s="399"/>
      <c r="BP116" s="399"/>
      <c r="BQ116" s="399"/>
      <c r="BR116" s="399"/>
      <c r="BS116" s="399"/>
      <c r="BT116" s="399"/>
      <c r="BU116" s="399"/>
      <c r="BV116" s="399"/>
      <c r="BW116" s="399"/>
      <c r="BX116" s="399"/>
      <c r="BY116" s="399"/>
      <c r="BZ116" s="399"/>
      <c r="CA116" s="399"/>
      <c r="CB116" s="399"/>
      <c r="CC116" s="399"/>
      <c r="CD116" s="399"/>
      <c r="CE116" s="399"/>
      <c r="CF116" s="399"/>
      <c r="CG116" s="399"/>
      <c r="CH116" s="399"/>
      <c r="CI116" s="399"/>
      <c r="CJ116" s="399"/>
      <c r="CK116" s="399"/>
      <c r="CL116" s="399"/>
      <c r="CM116" s="399"/>
      <c r="CN116" s="399"/>
      <c r="CO116" s="399"/>
      <c r="CP116" s="399"/>
      <c r="CQ116" s="399"/>
      <c r="CR116" s="399"/>
      <c r="CS116" s="399"/>
      <c r="CT116" s="399"/>
      <c r="CU116" s="399"/>
      <c r="CV116" s="399"/>
      <c r="CW116" s="399"/>
      <c r="CX116" s="399"/>
      <c r="CY116" s="399"/>
      <c r="CZ116" s="399"/>
      <c r="DA116" s="399"/>
      <c r="DB116" s="399"/>
      <c r="DC116" s="399"/>
      <c r="DD116" s="399"/>
      <c r="DE116" s="399"/>
      <c r="DF116" s="399"/>
      <c r="DG116" s="399"/>
      <c r="DH116" s="399"/>
      <c r="DI116" s="399"/>
      <c r="DJ116" s="399"/>
      <c r="DK116" s="399"/>
      <c r="DL116" s="399"/>
      <c r="DM116" s="399"/>
      <c r="DN116" s="399"/>
      <c r="DO116" s="399"/>
      <c r="DP116" s="399"/>
      <c r="DQ116" s="399"/>
    </row>
    <row r="117" spans="1:121" s="760" customFormat="1" ht="14.45" customHeight="1" x14ac:dyDescent="0.25">
      <c r="A117" s="416">
        <f t="shared" si="1"/>
        <v>12.933333333333334</v>
      </c>
      <c r="B117" s="389">
        <v>42468</v>
      </c>
      <c r="C117" s="390" t="s">
        <v>451</v>
      </c>
      <c r="D117" s="390" t="s">
        <v>459</v>
      </c>
      <c r="E117" s="390" t="s">
        <v>380</v>
      </c>
      <c r="F117" s="390" t="s">
        <v>5</v>
      </c>
      <c r="G117" s="390" t="s">
        <v>18</v>
      </c>
      <c r="H117" s="767"/>
      <c r="I117" s="767"/>
      <c r="J117" s="767"/>
      <c r="K117" s="767"/>
      <c r="L117" s="767">
        <v>10</v>
      </c>
      <c r="M117" s="767"/>
      <c r="N117" s="767"/>
      <c r="O117" s="767"/>
      <c r="P117" s="767"/>
      <c r="Q117" s="767"/>
      <c r="R117" s="767"/>
      <c r="S117" s="767"/>
      <c r="T117" s="767"/>
      <c r="U117" s="767"/>
      <c r="V117" s="768"/>
      <c r="W117" s="767"/>
      <c r="X117" s="767"/>
      <c r="Y117" s="418">
        <f>IF(NFI_Expiration=1,IF($A117&lt;VLOOKUP(H$5,NFI,5,0),1,0)*Table_NFI[[#This Row],[Hygiene Kit]],Table_NFI[Hygiene Kit])</f>
        <v>0</v>
      </c>
      <c r="Z117" s="418">
        <f>IF(NFI_Expiration=1,IF($A117&lt;VLOOKUP(I$5,NFI,5,0),1,0)*Table_NFI[[#This Row],[NFI Core Kit]],Table_NFI[NFI Core Kit])</f>
        <v>0</v>
      </c>
      <c r="AA117" s="418">
        <f>IF(NFI_Expiration=1,IF($A117&lt;VLOOKUP(J$5,NFI,5,0),1,0)*Table_NFI[[#This Row],[Sanitary Kit]],Table_NFI[Sanitary Kit])</f>
        <v>0</v>
      </c>
      <c r="AB117" s="418">
        <f>IF(NFI_Expiration=1,IF($A117&lt;VLOOKUP(K$5,NFI,5,0),1,0)*Table_NFI[[#This Row],[Mosquito net]],Table_NFI[Mosquito net])</f>
        <v>0</v>
      </c>
      <c r="AC117" s="418">
        <f>IF(NFI_Expiration=1,IF($A117&lt;VLOOKUP(L$5,NFI,5,0),1,0)*Table_NFI[[#This Row],[Tarpaulin]],Table_NFI[[#This Row],[Tarpaulin]])</f>
        <v>0</v>
      </c>
      <c r="AD117" s="418">
        <f>IF(NFI_Expiration=1,IF($A117&lt;VLOOKUP(M$5,NFI,5,0),1,0)*Table_NFI[[#This Row],[Blanket]],Table_NFI[[#This Row],[Blanket]])</f>
        <v>0</v>
      </c>
      <c r="AE117" s="418">
        <f>IF(NFI_Expiration=1,IF($A117&lt;VLOOKUP(N$5,NFI,5,0),1,0)*Table_NFI[[#This Row],[Kitchen Set]],Table_NFI[Kitchen Set])</f>
        <v>0</v>
      </c>
      <c r="AF117" s="418">
        <f>IF(NFI_Expiration=1,IF($A117&lt;VLOOKUP(O$5,NFI,5,0),1,0)*Table_NFI[[#This Row],[Clothes Kit]],Table_NFI[Clothes Kit])</f>
        <v>0</v>
      </c>
      <c r="AG117" s="418">
        <f>IF(NFI_Expiration=1,IF($A117&lt;VLOOKUP(P$5,NFI,5,0),1,0)*Table_NFI[[#This Row],[Plastic Bucket]],Table_NFI[Plastic Bucket])</f>
        <v>0</v>
      </c>
      <c r="AH117" s="418">
        <f>IF(NFI_Expiration=1,IF($A117&lt;VLOOKUP(Q$5,NFI,5,0),1,0)*Table_NFI[[#This Row],[Plastic Mat]],Table_NFI[Plastic Mat])*IF(Table_NFI[[#This Row],[Distribution Date]]&gt;"2014-04-01",1,2.5)</f>
        <v>0</v>
      </c>
      <c r="AI117" s="418">
        <f>IF(NFI_Expiration=1,IF($A117&lt;VLOOKUP(R$5,NFI,5,0),1,0)*Table_NFI[[#This Row],[Winter Clothes Adult]],Table_NFI[Winter Clothes Adult])</f>
        <v>0</v>
      </c>
      <c r="AJ117" s="418">
        <f>IF(NFI_Expiration=1,IF($A117&lt;VLOOKUP(S$5,NFI,5,0),1,0)*Table_NFI[[#This Row],[Winter Clothes Children]],Table_NFI[Winter Clothes Children])</f>
        <v>0</v>
      </c>
      <c r="AK117" s="418">
        <f>IF(NFI_Expiration=1,IF($A117&lt;VLOOKUP(T$5,NFI,5,0),1,0)*Table_NFI[[#This Row],[Winter Items Other]],Table_NFI[Winter Items Other])</f>
        <v>0</v>
      </c>
      <c r="AL117" s="418">
        <f>IF(NFI_Expiration=1,IF($A117&lt;VLOOKUP(M$5,NFI,5,0),1,0)*Table_NFI[[#This Row],[Winter Blanket]],Table_NFI[[#This Row],[Winter Blanket]])</f>
        <v>0</v>
      </c>
      <c r="AM117" s="418">
        <f>IF(Table_NFI[[#This Row],[Winter Clothes Adult]]+Table_NFI[[#This Row],[Winter Clothes Children]]+Table_NFI[[#This Row],[Winter Items Other]]+Table_NFI[[#This Row],[Winter Blanket]]&gt;0,1,0)</f>
        <v>0</v>
      </c>
      <c r="AN117" s="419">
        <f>IF(NFI_Expiration=1,IF($A117&lt;VLOOKUP(V$5,NFI,5,0),1,0)*Table_NFI[[#This Row],[Jerry Can]],Table_NFI[Jerry Can])</f>
        <v>0</v>
      </c>
      <c r="AO117" s="419">
        <f>IF(NFI_Expiration=1,IF($A117&lt;VLOOKUP(V$5,NFI,5,0),1,0)*Table_NFI[[#This Row],[Shelter Tool kit]],Table_NFI[Shelter Tool kit])</f>
        <v>0</v>
      </c>
      <c r="AP117" s="419">
        <f>IF(NFI_Expiration=1,IF($A117&lt;VLOOKUP(V$5,NFI,5,0),1,0)*Table_NFI[[#This Row],[Tent]],Table_NFI[Tent])</f>
        <v>0</v>
      </c>
      <c r="AQ117" s="420" t="str">
        <f>IFERROR(VLOOKUP(Table_NFI[[#This Row],[Camp Name]],CL,2,0),"")</f>
        <v>MMR001CMP049</v>
      </c>
      <c r="AR117" s="702">
        <f ca="1">IF(Table_NFI[[#This Row],[Pcode]]="","",IF(OFFSET(CampList[Opening Date],MATCH(Table_NFI[[#This Row],[Pcode]],CampList[CP_Pcode],0)-1,0,1,1)&gt;=NFI_Monitor_Date,1,0))</f>
        <v>0</v>
      </c>
      <c r="AS117" s="420" t="str">
        <f>IFERROR(VLOOKUP(Table_NFI[[#This Row],[Camp Name]],CL,3,0),"")</f>
        <v>Open</v>
      </c>
      <c r="AT117" s="418" t="str">
        <f ca="1">IF(Table_NFI[[#This Row],[Pcode]]="","",OFFSET(CampList[Priority],MATCH(Table_NFI[[#This Row],[Pcode]],CampList[CP_Pcode],0)-1,0,1,1))</f>
        <v>P4</v>
      </c>
      <c r="AU117" s="421">
        <f>IFERROR(Table_NFI[[#This Row],[Kitchen Set]]/VLOOKUP(Table_NFI[[#This Row],[Camp Name]],CL,4,0),"")</f>
        <v>0</v>
      </c>
      <c r="AV117" s="417"/>
      <c r="AW117" s="422"/>
      <c r="AX117" s="399"/>
      <c r="AY117" s="399"/>
      <c r="AZ117" s="399"/>
      <c r="BA117" s="399"/>
      <c r="BB117" s="399"/>
      <c r="BC117" s="399"/>
      <c r="BD117" s="399"/>
      <c r="BE117" s="399"/>
      <c r="BF117" s="399"/>
      <c r="BG117" s="399"/>
      <c r="BH117" s="399"/>
      <c r="BI117" s="399"/>
      <c r="BJ117" s="399"/>
      <c r="BK117" s="399"/>
      <c r="BL117" s="399"/>
      <c r="BM117" s="399"/>
      <c r="BN117" s="399"/>
      <c r="BO117" s="399"/>
      <c r="BP117" s="399"/>
      <c r="BQ117" s="399"/>
      <c r="BR117" s="399"/>
      <c r="BS117" s="399"/>
      <c r="BT117" s="399"/>
      <c r="BU117" s="399"/>
      <c r="BV117" s="399"/>
      <c r="BW117" s="399"/>
      <c r="BX117" s="399"/>
      <c r="BY117" s="399"/>
      <c r="BZ117" s="399"/>
      <c r="CA117" s="399"/>
      <c r="CB117" s="399"/>
      <c r="CC117" s="399"/>
      <c r="CD117" s="399"/>
      <c r="CE117" s="399"/>
      <c r="CF117" s="399"/>
      <c r="CG117" s="399"/>
      <c r="CH117" s="399"/>
      <c r="CI117" s="399"/>
      <c r="CJ117" s="399"/>
      <c r="CK117" s="399"/>
      <c r="CL117" s="399"/>
      <c r="CM117" s="399"/>
      <c r="CN117" s="399"/>
      <c r="CO117" s="399"/>
      <c r="CP117" s="399"/>
      <c r="CQ117" s="399"/>
      <c r="CR117" s="399"/>
      <c r="CS117" s="399"/>
      <c r="CT117" s="399"/>
      <c r="CU117" s="399"/>
      <c r="CV117" s="399"/>
      <c r="CW117" s="399"/>
      <c r="CX117" s="399"/>
      <c r="CY117" s="399"/>
      <c r="CZ117" s="399"/>
      <c r="DA117" s="399"/>
      <c r="DB117" s="399"/>
      <c r="DC117" s="399"/>
      <c r="DD117" s="399"/>
      <c r="DE117" s="399"/>
      <c r="DF117" s="399"/>
      <c r="DG117" s="399"/>
      <c r="DH117" s="399"/>
      <c r="DI117" s="399"/>
      <c r="DJ117" s="399"/>
      <c r="DK117" s="399"/>
      <c r="DL117" s="399"/>
      <c r="DM117" s="399"/>
      <c r="DN117" s="399"/>
      <c r="DO117" s="399"/>
      <c r="DP117" s="399"/>
      <c r="DQ117" s="399"/>
    </row>
    <row r="118" spans="1:121" s="760" customFormat="1" ht="14.45" customHeight="1" x14ac:dyDescent="0.25">
      <c r="A118" s="416">
        <f t="shared" si="1"/>
        <v>13.2</v>
      </c>
      <c r="B118" s="389">
        <v>42460</v>
      </c>
      <c r="C118" s="390" t="s">
        <v>451</v>
      </c>
      <c r="D118" s="390" t="s">
        <v>504</v>
      </c>
      <c r="E118" s="390" t="s">
        <v>380</v>
      </c>
      <c r="F118" s="390" t="s">
        <v>5</v>
      </c>
      <c r="G118" s="390" t="s">
        <v>8</v>
      </c>
      <c r="H118" s="767"/>
      <c r="I118" s="767"/>
      <c r="J118" s="767"/>
      <c r="K118" s="767"/>
      <c r="L118" s="767">
        <v>4</v>
      </c>
      <c r="M118" s="767"/>
      <c r="N118" s="767"/>
      <c r="O118" s="767"/>
      <c r="P118" s="767"/>
      <c r="Q118" s="767"/>
      <c r="R118" s="767"/>
      <c r="S118" s="767"/>
      <c r="T118" s="767"/>
      <c r="U118" s="767"/>
      <c r="V118" s="768"/>
      <c r="W118" s="767"/>
      <c r="X118" s="767"/>
      <c r="Y118" s="418">
        <f>IF(NFI_Expiration=1,IF($A118&lt;VLOOKUP(H$5,NFI,5,0),1,0)*Table_NFI[[#This Row],[Hygiene Kit]],Table_NFI[Hygiene Kit])</f>
        <v>0</v>
      </c>
      <c r="Z118" s="418">
        <f>IF(NFI_Expiration=1,IF($A118&lt;VLOOKUP(I$5,NFI,5,0),1,0)*Table_NFI[[#This Row],[NFI Core Kit]],Table_NFI[NFI Core Kit])</f>
        <v>0</v>
      </c>
      <c r="AA118" s="418">
        <f>IF(NFI_Expiration=1,IF($A118&lt;VLOOKUP(J$5,NFI,5,0),1,0)*Table_NFI[[#This Row],[Sanitary Kit]],Table_NFI[Sanitary Kit])</f>
        <v>0</v>
      </c>
      <c r="AB118" s="418">
        <f>IF(NFI_Expiration=1,IF($A118&lt;VLOOKUP(K$5,NFI,5,0),1,0)*Table_NFI[[#This Row],[Mosquito net]],Table_NFI[Mosquito net])</f>
        <v>0</v>
      </c>
      <c r="AC118" s="418">
        <f>IF(NFI_Expiration=1,IF($A118&lt;VLOOKUP(L$5,NFI,5,0),1,0)*Table_NFI[[#This Row],[Tarpaulin]],Table_NFI[[#This Row],[Tarpaulin]])</f>
        <v>0</v>
      </c>
      <c r="AD118" s="418">
        <f>IF(NFI_Expiration=1,IF($A118&lt;VLOOKUP(M$5,NFI,5,0),1,0)*Table_NFI[[#This Row],[Blanket]],Table_NFI[[#This Row],[Blanket]])</f>
        <v>0</v>
      </c>
      <c r="AE118" s="418">
        <f>IF(NFI_Expiration=1,IF($A118&lt;VLOOKUP(N$5,NFI,5,0),1,0)*Table_NFI[[#This Row],[Kitchen Set]],Table_NFI[Kitchen Set])</f>
        <v>0</v>
      </c>
      <c r="AF118" s="418">
        <f>IF(NFI_Expiration=1,IF($A118&lt;VLOOKUP(O$5,NFI,5,0),1,0)*Table_NFI[[#This Row],[Clothes Kit]],Table_NFI[Clothes Kit])</f>
        <v>0</v>
      </c>
      <c r="AG118" s="418">
        <f>IF(NFI_Expiration=1,IF($A118&lt;VLOOKUP(P$5,NFI,5,0),1,0)*Table_NFI[[#This Row],[Plastic Bucket]],Table_NFI[Plastic Bucket])</f>
        <v>0</v>
      </c>
      <c r="AH118" s="418">
        <f>IF(NFI_Expiration=1,IF($A118&lt;VLOOKUP(Q$5,NFI,5,0),1,0)*Table_NFI[[#This Row],[Plastic Mat]],Table_NFI[Plastic Mat])*IF(Table_NFI[[#This Row],[Distribution Date]]&gt;"2014-04-01",1,2.5)</f>
        <v>0</v>
      </c>
      <c r="AI118" s="418">
        <f>IF(NFI_Expiration=1,IF($A118&lt;VLOOKUP(R$5,NFI,5,0),1,0)*Table_NFI[[#This Row],[Winter Clothes Adult]],Table_NFI[Winter Clothes Adult])</f>
        <v>0</v>
      </c>
      <c r="AJ118" s="418">
        <f>IF(NFI_Expiration=1,IF($A118&lt;VLOOKUP(S$5,NFI,5,0),1,0)*Table_NFI[[#This Row],[Winter Clothes Children]],Table_NFI[Winter Clothes Children])</f>
        <v>0</v>
      </c>
      <c r="AK118" s="418">
        <f>IF(NFI_Expiration=1,IF($A118&lt;VLOOKUP(T$5,NFI,5,0),1,0)*Table_NFI[[#This Row],[Winter Items Other]],Table_NFI[Winter Items Other])</f>
        <v>0</v>
      </c>
      <c r="AL118" s="418">
        <f>IF(NFI_Expiration=1,IF($A118&lt;VLOOKUP(M$5,NFI,5,0),1,0)*Table_NFI[[#This Row],[Winter Blanket]],Table_NFI[[#This Row],[Winter Blanket]])</f>
        <v>0</v>
      </c>
      <c r="AM118" s="418">
        <f>IF(Table_NFI[[#This Row],[Winter Clothes Adult]]+Table_NFI[[#This Row],[Winter Clothes Children]]+Table_NFI[[#This Row],[Winter Items Other]]+Table_NFI[[#This Row],[Winter Blanket]]&gt;0,1,0)</f>
        <v>0</v>
      </c>
      <c r="AN118" s="419">
        <f>IF(NFI_Expiration=1,IF($A118&lt;VLOOKUP(V$5,NFI,5,0),1,0)*Table_NFI[[#This Row],[Jerry Can]],Table_NFI[Jerry Can])</f>
        <v>0</v>
      </c>
      <c r="AO118" s="419">
        <f>IF(NFI_Expiration=1,IF($A118&lt;VLOOKUP(V$5,NFI,5,0),1,0)*Table_NFI[[#This Row],[Shelter Tool kit]],Table_NFI[Shelter Tool kit])</f>
        <v>0</v>
      </c>
      <c r="AP118" s="419">
        <f>IF(NFI_Expiration=1,IF($A118&lt;VLOOKUP(V$5,NFI,5,0),1,0)*Table_NFI[[#This Row],[Tent]],Table_NFI[Tent])</f>
        <v>0</v>
      </c>
      <c r="AQ118" s="420" t="str">
        <f>IFERROR(VLOOKUP(Table_NFI[[#This Row],[Camp Name]],CL,2,0),"")</f>
        <v>MMR001CMP051</v>
      </c>
      <c r="AR118" s="702">
        <f ca="1">IF(Table_NFI[[#This Row],[Pcode]]="","",IF(OFFSET(CampList[Opening Date],MATCH(Table_NFI[[#This Row],[Pcode]],CampList[CP_Pcode],0)-1,0,1,1)&gt;=NFI_Monitor_Date,1,0))</f>
        <v>0</v>
      </c>
      <c r="AS118" s="420" t="str">
        <f>IFERROR(VLOOKUP(Table_NFI[[#This Row],[Camp Name]],CL,3,0),"")</f>
        <v>Open</v>
      </c>
      <c r="AT118" s="418" t="str">
        <f ca="1">IF(Table_NFI[[#This Row],[Pcode]]="","",OFFSET(CampList[Priority],MATCH(Table_NFI[[#This Row],[Pcode]],CampList[CP_Pcode],0)-1,0,1,1))</f>
        <v>P4</v>
      </c>
      <c r="AU118" s="421">
        <f>IFERROR(Table_NFI[[#This Row],[Kitchen Set]]/VLOOKUP(Table_NFI[[#This Row],[Camp Name]],CL,4,0),"")</f>
        <v>0</v>
      </c>
      <c r="AV118" s="417"/>
      <c r="AW118" s="422"/>
      <c r="AX118" s="399"/>
      <c r="AY118" s="399"/>
      <c r="AZ118" s="399"/>
      <c r="BA118" s="399"/>
      <c r="BB118" s="399"/>
      <c r="BC118" s="399"/>
      <c r="BD118" s="399"/>
      <c r="BE118" s="399"/>
      <c r="BF118" s="399"/>
      <c r="BG118" s="399"/>
      <c r="BH118" s="399"/>
      <c r="BI118" s="399"/>
      <c r="BJ118" s="399"/>
      <c r="BK118" s="399"/>
      <c r="BL118" s="399"/>
      <c r="BM118" s="399"/>
      <c r="BN118" s="399"/>
      <c r="BO118" s="399"/>
      <c r="BP118" s="399"/>
      <c r="BQ118" s="399"/>
      <c r="BR118" s="399"/>
      <c r="BS118" s="399"/>
      <c r="BT118" s="399"/>
      <c r="BU118" s="399"/>
      <c r="BV118" s="399"/>
      <c r="BW118" s="399"/>
      <c r="BX118" s="399"/>
      <c r="BY118" s="399"/>
      <c r="BZ118" s="399"/>
      <c r="CA118" s="399"/>
      <c r="CB118" s="399"/>
      <c r="CC118" s="399"/>
      <c r="CD118" s="399"/>
      <c r="CE118" s="399"/>
      <c r="CF118" s="399"/>
      <c r="CG118" s="399"/>
      <c r="CH118" s="399"/>
      <c r="CI118" s="399"/>
      <c r="CJ118" s="399"/>
      <c r="CK118" s="399"/>
      <c r="CL118" s="399"/>
      <c r="CM118" s="399"/>
      <c r="CN118" s="399"/>
      <c r="CO118" s="399"/>
      <c r="CP118" s="399"/>
      <c r="CQ118" s="399"/>
      <c r="CR118" s="399"/>
      <c r="CS118" s="399"/>
      <c r="CT118" s="399"/>
      <c r="CU118" s="399"/>
      <c r="CV118" s="399"/>
      <c r="CW118" s="399"/>
      <c r="CX118" s="399"/>
      <c r="CY118" s="399"/>
      <c r="CZ118" s="399"/>
      <c r="DA118" s="399"/>
      <c r="DB118" s="399"/>
      <c r="DC118" s="399"/>
      <c r="DD118" s="399"/>
      <c r="DE118" s="399"/>
      <c r="DF118" s="399"/>
      <c r="DG118" s="399"/>
      <c r="DH118" s="399"/>
      <c r="DI118" s="399"/>
      <c r="DJ118" s="399"/>
      <c r="DK118" s="399"/>
      <c r="DL118" s="399"/>
      <c r="DM118" s="399"/>
      <c r="DN118" s="399"/>
      <c r="DO118" s="399"/>
      <c r="DP118" s="399"/>
      <c r="DQ118" s="399"/>
    </row>
    <row r="119" spans="1:121" s="760" customFormat="1" ht="14.45" customHeight="1" x14ac:dyDescent="0.2">
      <c r="A119" s="266">
        <f t="shared" si="1"/>
        <v>13.666666666666666</v>
      </c>
      <c r="B119" s="389">
        <v>42446</v>
      </c>
      <c r="C119" s="390" t="s">
        <v>904</v>
      </c>
      <c r="D119" s="391" t="s">
        <v>904</v>
      </c>
      <c r="E119" s="390" t="s">
        <v>380</v>
      </c>
      <c r="F119" s="262" t="s">
        <v>5</v>
      </c>
      <c r="G119" s="262" t="s">
        <v>22</v>
      </c>
      <c r="H119" s="261"/>
      <c r="I119" s="261"/>
      <c r="J119" s="261"/>
      <c r="K119" s="261"/>
      <c r="L119" s="261"/>
      <c r="M119" s="261"/>
      <c r="N119" s="261"/>
      <c r="O119" s="261"/>
      <c r="P119" s="261"/>
      <c r="Q119" s="261"/>
      <c r="R119" s="261"/>
      <c r="S119" s="261"/>
      <c r="T119" s="261"/>
      <c r="U119" s="261"/>
      <c r="V119" s="766">
        <v>1</v>
      </c>
      <c r="W119" s="261"/>
      <c r="X119" s="261"/>
      <c r="Y119" s="264">
        <f>IF(NFI_Expiration=1,IF($A119&lt;VLOOKUP(H$5,NFI,5,0),1,0)*Table_NFI[[#This Row],[Hygiene Kit]],Table_NFI[Hygiene Kit])</f>
        <v>0</v>
      </c>
      <c r="Z119" s="264">
        <f>IF(NFI_Expiration=1,IF($A119&lt;VLOOKUP(I$5,NFI,5,0),1,0)*Table_NFI[[#This Row],[NFI Core Kit]],Table_NFI[NFI Core Kit])</f>
        <v>0</v>
      </c>
      <c r="AA119" s="264">
        <f>IF(NFI_Expiration=1,IF($A119&lt;VLOOKUP(J$5,NFI,5,0),1,0)*Table_NFI[[#This Row],[Sanitary Kit]],Table_NFI[Sanitary Kit])</f>
        <v>0</v>
      </c>
      <c r="AB119" s="264">
        <f>IF(NFI_Expiration=1,IF($A119&lt;VLOOKUP(K$5,NFI,5,0),1,0)*Table_NFI[[#This Row],[Mosquito net]],Table_NFI[Mosquito net])</f>
        <v>0</v>
      </c>
      <c r="AC119" s="264">
        <f>IF(NFI_Expiration=1,IF($A119&lt;VLOOKUP(L$5,NFI,5,0),1,0)*Table_NFI[[#This Row],[Tarpaulin]],Table_NFI[[#This Row],[Tarpaulin]])</f>
        <v>0</v>
      </c>
      <c r="AD119" s="264">
        <f>IF(NFI_Expiration=1,IF($A119&lt;VLOOKUP(M$5,NFI,5,0),1,0)*Table_NFI[[#This Row],[Blanket]],Table_NFI[[#This Row],[Blanket]])</f>
        <v>0</v>
      </c>
      <c r="AE119" s="264">
        <f>IF(NFI_Expiration=1,IF($A119&lt;VLOOKUP(N$5,NFI,5,0),1,0)*Table_NFI[[#This Row],[Kitchen Set]],Table_NFI[Kitchen Set])</f>
        <v>0</v>
      </c>
      <c r="AF119" s="264">
        <f>IF(NFI_Expiration=1,IF($A119&lt;VLOOKUP(O$5,NFI,5,0),1,0)*Table_NFI[[#This Row],[Clothes Kit]],Table_NFI[Clothes Kit])</f>
        <v>0</v>
      </c>
      <c r="AG119" s="264">
        <f>IF(NFI_Expiration=1,IF($A119&lt;VLOOKUP(P$5,NFI,5,0),1,0)*Table_NFI[[#This Row],[Plastic Bucket]],Table_NFI[Plastic Bucket])</f>
        <v>0</v>
      </c>
      <c r="AH119" s="264">
        <f>IF(NFI_Expiration=1,IF($A119&lt;VLOOKUP(Q$5,NFI,5,0),1,0)*Table_NFI[[#This Row],[Plastic Mat]],Table_NFI[Plastic Mat])*IF(Table_NFI[[#This Row],[Distribution Date]]&gt;"2014-04-01",1,2.5)</f>
        <v>0</v>
      </c>
      <c r="AI119" s="264">
        <f>IF(NFI_Expiration=1,IF($A119&lt;VLOOKUP(R$5,NFI,5,0),1,0)*Table_NFI[[#This Row],[Winter Clothes Adult]],Table_NFI[Winter Clothes Adult])</f>
        <v>0</v>
      </c>
      <c r="AJ119" s="264">
        <f>IF(NFI_Expiration=1,IF($A119&lt;VLOOKUP(S$5,NFI,5,0),1,0)*Table_NFI[[#This Row],[Winter Clothes Children]],Table_NFI[Winter Clothes Children])</f>
        <v>0</v>
      </c>
      <c r="AK119" s="264">
        <f>IF(NFI_Expiration=1,IF($A119&lt;VLOOKUP(T$5,NFI,5,0),1,0)*Table_NFI[[#This Row],[Winter Items Other]],Table_NFI[Winter Items Other])</f>
        <v>0</v>
      </c>
      <c r="AL119" s="264">
        <f>IF(NFI_Expiration=1,IF($A119&lt;VLOOKUP(M$5,NFI,5,0),1,0)*Table_NFI[[#This Row],[Winter Blanket]],Table_NFI[[#This Row],[Winter Blanket]])</f>
        <v>0</v>
      </c>
      <c r="AM119" s="264">
        <f>IF(Table_NFI[[#This Row],[Winter Clothes Adult]]+Table_NFI[[#This Row],[Winter Clothes Children]]+Table_NFI[[#This Row],[Winter Items Other]]+Table_NFI[[#This Row],[Winter Blanket]]&gt;0,1,0)</f>
        <v>0</v>
      </c>
      <c r="AN119" s="296">
        <f>IF(NFI_Expiration=1,IF($A119&lt;VLOOKUP(V$5,NFI,5,0),1,0)*Table_NFI[[#This Row],[Jerry Can]],Table_NFI[Jerry Can])</f>
        <v>0</v>
      </c>
      <c r="AO119" s="296">
        <f>IF(NFI_Expiration=1,IF($A119&lt;VLOOKUP(V$5,NFI,5,0),1,0)*Table_NFI[[#This Row],[Shelter Tool kit]],Table_NFI[Shelter Tool kit])</f>
        <v>0</v>
      </c>
      <c r="AP119" s="296">
        <f>IF(NFI_Expiration=1,IF($A119&lt;VLOOKUP(V$5,NFI,5,0),1,0)*Table_NFI[[#This Row],[Tent]],Table_NFI[Tent])</f>
        <v>0</v>
      </c>
      <c r="AQ119" s="396" t="str">
        <f>IFERROR(VLOOKUP(Table_NFI[[#This Row],[Camp Name]],CL,2,0),"")</f>
        <v>MMR001CMP047</v>
      </c>
      <c r="AR119" s="702">
        <f ca="1">IF(Table_NFI[[#This Row],[Pcode]]="","",IF(OFFSET(CampList[Opening Date],MATCH(Table_NFI[[#This Row],[Pcode]],CampList[CP_Pcode],0)-1,0,1,1)&gt;=NFI_Monitor_Date,1,0))</f>
        <v>0</v>
      </c>
      <c r="AS119" s="396" t="str">
        <f>IFERROR(VLOOKUP(Table_NFI[[#This Row],[Camp Name]],CL,3,0),"")</f>
        <v>Open</v>
      </c>
      <c r="AT119" s="264" t="str">
        <f ca="1">IF(Table_NFI[[#This Row],[Pcode]]="","",OFFSET(CampList[Priority],MATCH(Table_NFI[[#This Row],[Pcode]],CampList[CP_Pcode],0)-1,0,1,1))</f>
        <v>P4</v>
      </c>
      <c r="AU119" s="263">
        <f>IFERROR(Table_NFI[[#This Row],[Kitchen Set]]/VLOOKUP(Table_NFI[[#This Row],[Camp Name]],CL,4,0),"")</f>
        <v>0</v>
      </c>
      <c r="AV119" s="390"/>
      <c r="AW119" s="392"/>
      <c r="AX119" s="399"/>
      <c r="AY119" s="399"/>
      <c r="AZ119" s="399"/>
      <c r="BA119" s="399"/>
      <c r="BB119" s="399"/>
      <c r="BC119" s="399"/>
      <c r="BD119" s="399"/>
      <c r="BE119" s="399"/>
      <c r="BF119" s="399"/>
      <c r="BG119" s="399"/>
      <c r="BH119" s="399"/>
      <c r="BI119" s="399"/>
      <c r="BJ119" s="399"/>
      <c r="BK119" s="399"/>
      <c r="BL119" s="399"/>
      <c r="BM119" s="399"/>
      <c r="BN119" s="399"/>
      <c r="BO119" s="399"/>
      <c r="BP119" s="399"/>
      <c r="BQ119" s="399"/>
      <c r="BR119" s="399"/>
      <c r="BS119" s="399"/>
      <c r="BT119" s="399"/>
      <c r="BU119" s="399"/>
      <c r="BV119" s="399"/>
      <c r="BW119" s="399"/>
      <c r="BX119" s="399"/>
      <c r="BY119" s="399"/>
      <c r="BZ119" s="399"/>
      <c r="CA119" s="399"/>
      <c r="CB119" s="399"/>
      <c r="CC119" s="399"/>
      <c r="CD119" s="399"/>
      <c r="CE119" s="399"/>
      <c r="CF119" s="399"/>
      <c r="CG119" s="399"/>
      <c r="CH119" s="399"/>
      <c r="CI119" s="399"/>
      <c r="CJ119" s="399"/>
      <c r="CK119" s="399"/>
      <c r="CL119" s="399"/>
      <c r="CM119" s="399"/>
      <c r="CN119" s="399"/>
      <c r="CO119" s="399"/>
      <c r="CP119" s="399"/>
      <c r="CQ119" s="399"/>
      <c r="CR119" s="399"/>
      <c r="CS119" s="399"/>
      <c r="CT119" s="399"/>
      <c r="CU119" s="399"/>
      <c r="CV119" s="399"/>
      <c r="CW119" s="399"/>
      <c r="CX119" s="399"/>
      <c r="CY119" s="399"/>
      <c r="CZ119" s="399"/>
      <c r="DA119" s="399"/>
      <c r="DB119" s="399"/>
      <c r="DC119" s="399"/>
      <c r="DD119" s="399"/>
      <c r="DE119" s="399"/>
      <c r="DF119" s="399"/>
      <c r="DG119" s="399"/>
      <c r="DH119" s="399"/>
      <c r="DI119" s="399"/>
      <c r="DJ119" s="399"/>
      <c r="DK119" s="399"/>
      <c r="DL119" s="399"/>
      <c r="DM119" s="399"/>
      <c r="DN119" s="399"/>
      <c r="DO119" s="399"/>
      <c r="DP119" s="399"/>
      <c r="DQ119" s="399"/>
    </row>
    <row r="120" spans="1:121" s="760" customFormat="1" ht="14.45" customHeight="1" x14ac:dyDescent="0.2">
      <c r="A120" s="266">
        <f t="shared" si="1"/>
        <v>13.7</v>
      </c>
      <c r="B120" s="389">
        <v>42445</v>
      </c>
      <c r="C120" s="390" t="s">
        <v>904</v>
      </c>
      <c r="D120" s="390" t="s">
        <v>904</v>
      </c>
      <c r="E120" s="390" t="s">
        <v>380</v>
      </c>
      <c r="F120" s="390" t="s">
        <v>5</v>
      </c>
      <c r="G120" s="390" t="s">
        <v>366</v>
      </c>
      <c r="H120" s="261"/>
      <c r="I120" s="261"/>
      <c r="J120" s="261"/>
      <c r="K120" s="261"/>
      <c r="L120" s="261"/>
      <c r="M120" s="261"/>
      <c r="N120" s="261"/>
      <c r="O120" s="261"/>
      <c r="P120" s="261"/>
      <c r="Q120" s="261"/>
      <c r="R120" s="261"/>
      <c r="S120" s="261"/>
      <c r="T120" s="261"/>
      <c r="U120" s="261"/>
      <c r="V120" s="766">
        <v>4</v>
      </c>
      <c r="W120" s="261"/>
      <c r="X120" s="261"/>
      <c r="Y120" s="264">
        <f>IF(NFI_Expiration=1,IF($A120&lt;VLOOKUP(H$5,NFI,5,0),1,0)*Table_NFI[[#This Row],[Hygiene Kit]],Table_NFI[Hygiene Kit])</f>
        <v>0</v>
      </c>
      <c r="Z120" s="264">
        <f>IF(NFI_Expiration=1,IF($A120&lt;VLOOKUP(I$5,NFI,5,0),1,0)*Table_NFI[[#This Row],[NFI Core Kit]],Table_NFI[NFI Core Kit])</f>
        <v>0</v>
      </c>
      <c r="AA120" s="264">
        <f>IF(NFI_Expiration=1,IF($A120&lt;VLOOKUP(J$5,NFI,5,0),1,0)*Table_NFI[[#This Row],[Sanitary Kit]],Table_NFI[Sanitary Kit])</f>
        <v>0</v>
      </c>
      <c r="AB120" s="264">
        <f>IF(NFI_Expiration=1,IF($A120&lt;VLOOKUP(K$5,NFI,5,0),1,0)*Table_NFI[[#This Row],[Mosquito net]],Table_NFI[Mosquito net])</f>
        <v>0</v>
      </c>
      <c r="AC120" s="264">
        <f>IF(NFI_Expiration=1,IF($A120&lt;VLOOKUP(L$5,NFI,5,0),1,0)*Table_NFI[[#This Row],[Tarpaulin]],Table_NFI[[#This Row],[Tarpaulin]])</f>
        <v>0</v>
      </c>
      <c r="AD120" s="264">
        <f>IF(NFI_Expiration=1,IF($A120&lt;VLOOKUP(M$5,NFI,5,0),1,0)*Table_NFI[[#This Row],[Blanket]],Table_NFI[[#This Row],[Blanket]])</f>
        <v>0</v>
      </c>
      <c r="AE120" s="264">
        <f>IF(NFI_Expiration=1,IF($A120&lt;VLOOKUP(N$5,NFI,5,0),1,0)*Table_NFI[[#This Row],[Kitchen Set]],Table_NFI[Kitchen Set])</f>
        <v>0</v>
      </c>
      <c r="AF120" s="264">
        <f>IF(NFI_Expiration=1,IF($A120&lt;VLOOKUP(O$5,NFI,5,0),1,0)*Table_NFI[[#This Row],[Clothes Kit]],Table_NFI[Clothes Kit])</f>
        <v>0</v>
      </c>
      <c r="AG120" s="264">
        <f>IF(NFI_Expiration=1,IF($A120&lt;VLOOKUP(P$5,NFI,5,0),1,0)*Table_NFI[[#This Row],[Plastic Bucket]],Table_NFI[Plastic Bucket])</f>
        <v>0</v>
      </c>
      <c r="AH120" s="264">
        <f>IF(NFI_Expiration=1,IF($A120&lt;VLOOKUP(Q$5,NFI,5,0),1,0)*Table_NFI[[#This Row],[Plastic Mat]],Table_NFI[Plastic Mat])*IF(Table_NFI[[#This Row],[Distribution Date]]&gt;"2014-04-01",1,2.5)</f>
        <v>0</v>
      </c>
      <c r="AI120" s="264">
        <f>IF(NFI_Expiration=1,IF($A120&lt;VLOOKUP(R$5,NFI,5,0),1,0)*Table_NFI[[#This Row],[Winter Clothes Adult]],Table_NFI[Winter Clothes Adult])</f>
        <v>0</v>
      </c>
      <c r="AJ120" s="264">
        <f>IF(NFI_Expiration=1,IF($A120&lt;VLOOKUP(S$5,NFI,5,0),1,0)*Table_NFI[[#This Row],[Winter Clothes Children]],Table_NFI[Winter Clothes Children])</f>
        <v>0</v>
      </c>
      <c r="AK120" s="264">
        <f>IF(NFI_Expiration=1,IF($A120&lt;VLOOKUP(T$5,NFI,5,0),1,0)*Table_NFI[[#This Row],[Winter Items Other]],Table_NFI[Winter Items Other])</f>
        <v>0</v>
      </c>
      <c r="AL120" s="264">
        <f>IF(NFI_Expiration=1,IF($A120&lt;VLOOKUP(M$5,NFI,5,0),1,0)*Table_NFI[[#This Row],[Winter Blanket]],Table_NFI[[#This Row],[Winter Blanket]])</f>
        <v>0</v>
      </c>
      <c r="AM120" s="264">
        <f>IF(Table_NFI[[#This Row],[Winter Clothes Adult]]+Table_NFI[[#This Row],[Winter Clothes Children]]+Table_NFI[[#This Row],[Winter Items Other]]+Table_NFI[[#This Row],[Winter Blanket]]&gt;0,1,0)</f>
        <v>0</v>
      </c>
      <c r="AN120" s="296">
        <f>IF(NFI_Expiration=1,IF($A120&lt;VLOOKUP(V$5,NFI,5,0),1,0)*Table_NFI[[#This Row],[Jerry Can]],Table_NFI[Jerry Can])</f>
        <v>0</v>
      </c>
      <c r="AO120" s="296">
        <f>IF(NFI_Expiration=1,IF($A120&lt;VLOOKUP(V$5,NFI,5,0),1,0)*Table_NFI[[#This Row],[Shelter Tool kit]],Table_NFI[Shelter Tool kit])</f>
        <v>0</v>
      </c>
      <c r="AP120" s="296">
        <f>IF(NFI_Expiration=1,IF($A120&lt;VLOOKUP(V$5,NFI,5,0),1,0)*Table_NFI[[#This Row],[Tent]],Table_NFI[Tent])</f>
        <v>0</v>
      </c>
      <c r="AQ120" s="396" t="str">
        <f>IFERROR(VLOOKUP(Table_NFI[[#This Row],[Camp Name]],CL,2,0),"")</f>
        <v>MMR001CMP193</v>
      </c>
      <c r="AR120" s="702">
        <f ca="1">IF(Table_NFI[[#This Row],[Pcode]]="","",IF(OFFSET(CampList[Opening Date],MATCH(Table_NFI[[#This Row],[Pcode]],CampList[CP_Pcode],0)-1,0,1,1)&gt;=NFI_Monitor_Date,1,0))</f>
        <v>0</v>
      </c>
      <c r="AS120" s="396" t="str">
        <f>IFERROR(VLOOKUP(Table_NFI[[#This Row],[Camp Name]],CL,3,0),"")</f>
        <v>Open</v>
      </c>
      <c r="AT120" s="264" t="str">
        <f ca="1">IF(Table_NFI[[#This Row],[Pcode]]="","",OFFSET(CampList[Priority],MATCH(Table_NFI[[#This Row],[Pcode]],CampList[CP_Pcode],0)-1,0,1,1))</f>
        <v>P4</v>
      </c>
      <c r="AU120" s="263">
        <f>IFERROR(Table_NFI[[#This Row],[Kitchen Set]]/VLOOKUP(Table_NFI[[#This Row],[Camp Name]],CL,4,0),"")</f>
        <v>0</v>
      </c>
      <c r="AV120" s="390"/>
      <c r="AW120" s="392"/>
      <c r="AX120" s="399"/>
      <c r="AY120" s="399"/>
      <c r="AZ120" s="399"/>
      <c r="BA120" s="399"/>
      <c r="BB120" s="399"/>
      <c r="BC120" s="399"/>
      <c r="BD120" s="399"/>
      <c r="BE120" s="399"/>
      <c r="BF120" s="399"/>
      <c r="BG120" s="399"/>
      <c r="BH120" s="399"/>
      <c r="BI120" s="399"/>
      <c r="BJ120" s="399"/>
      <c r="BK120" s="399"/>
      <c r="BL120" s="399"/>
      <c r="BM120" s="399"/>
      <c r="BN120" s="399"/>
      <c r="BO120" s="399"/>
      <c r="BP120" s="399"/>
      <c r="BQ120" s="399"/>
      <c r="BR120" s="399"/>
      <c r="BS120" s="399"/>
      <c r="BT120" s="399"/>
      <c r="BU120" s="399"/>
      <c r="BV120" s="399"/>
      <c r="BW120" s="399"/>
      <c r="BX120" s="399"/>
      <c r="BY120" s="399"/>
      <c r="BZ120" s="399"/>
      <c r="CA120" s="399"/>
      <c r="CB120" s="399"/>
      <c r="CC120" s="399"/>
      <c r="CD120" s="399"/>
      <c r="CE120" s="399"/>
      <c r="CF120" s="399"/>
      <c r="CG120" s="399"/>
      <c r="CH120" s="399"/>
      <c r="CI120" s="399"/>
      <c r="CJ120" s="399"/>
      <c r="CK120" s="399"/>
      <c r="CL120" s="399"/>
      <c r="CM120" s="399"/>
      <c r="CN120" s="399"/>
      <c r="CO120" s="399"/>
      <c r="CP120" s="399"/>
      <c r="CQ120" s="399"/>
      <c r="CR120" s="399"/>
      <c r="CS120" s="399"/>
      <c r="CT120" s="399"/>
      <c r="CU120" s="399"/>
      <c r="CV120" s="399"/>
      <c r="CW120" s="399"/>
      <c r="CX120" s="399"/>
      <c r="CY120" s="399"/>
      <c r="CZ120" s="399"/>
      <c r="DA120" s="399"/>
      <c r="DB120" s="399"/>
      <c r="DC120" s="399"/>
      <c r="DD120" s="399"/>
      <c r="DE120" s="399"/>
      <c r="DF120" s="399"/>
      <c r="DG120" s="399"/>
      <c r="DH120" s="399"/>
      <c r="DI120" s="399"/>
      <c r="DJ120" s="399"/>
      <c r="DK120" s="399"/>
      <c r="DL120" s="399"/>
      <c r="DM120" s="399"/>
      <c r="DN120" s="399"/>
      <c r="DO120" s="399"/>
      <c r="DP120" s="399"/>
      <c r="DQ120" s="399"/>
    </row>
    <row r="121" spans="1:121" s="393" customFormat="1" ht="14.45" customHeight="1" x14ac:dyDescent="0.2">
      <c r="A121" s="266">
        <f t="shared" si="1"/>
        <v>13.7</v>
      </c>
      <c r="B121" s="389">
        <v>42445</v>
      </c>
      <c r="C121" s="390" t="s">
        <v>904</v>
      </c>
      <c r="D121" s="390" t="s">
        <v>904</v>
      </c>
      <c r="E121" s="390" t="s">
        <v>380</v>
      </c>
      <c r="F121" s="390" t="s">
        <v>185</v>
      </c>
      <c r="G121" s="262" t="s">
        <v>217</v>
      </c>
      <c r="H121" s="261"/>
      <c r="I121" s="261"/>
      <c r="J121" s="261"/>
      <c r="K121" s="261"/>
      <c r="L121" s="261"/>
      <c r="M121" s="261"/>
      <c r="N121" s="261"/>
      <c r="O121" s="261"/>
      <c r="P121" s="261"/>
      <c r="Q121" s="261"/>
      <c r="R121" s="261"/>
      <c r="S121" s="261"/>
      <c r="T121" s="261"/>
      <c r="U121" s="261"/>
      <c r="V121" s="766">
        <v>1</v>
      </c>
      <c r="W121" s="261"/>
      <c r="X121" s="261"/>
      <c r="Y121" s="264">
        <f>IF(NFI_Expiration=1,IF($A121&lt;VLOOKUP(H$5,NFI,5,0),1,0)*Table_NFI[[#This Row],[Hygiene Kit]],Table_NFI[Hygiene Kit])</f>
        <v>0</v>
      </c>
      <c r="Z121" s="264">
        <f>IF(NFI_Expiration=1,IF($A121&lt;VLOOKUP(I$5,NFI,5,0),1,0)*Table_NFI[[#This Row],[NFI Core Kit]],Table_NFI[NFI Core Kit])</f>
        <v>0</v>
      </c>
      <c r="AA121" s="264">
        <f>IF(NFI_Expiration=1,IF($A121&lt;VLOOKUP(J$5,NFI,5,0),1,0)*Table_NFI[[#This Row],[Sanitary Kit]],Table_NFI[Sanitary Kit])</f>
        <v>0</v>
      </c>
      <c r="AB121" s="264">
        <f>IF(NFI_Expiration=1,IF($A121&lt;VLOOKUP(K$5,NFI,5,0),1,0)*Table_NFI[[#This Row],[Mosquito net]],Table_NFI[Mosquito net])</f>
        <v>0</v>
      </c>
      <c r="AC121" s="264">
        <f>IF(NFI_Expiration=1,IF($A121&lt;VLOOKUP(L$5,NFI,5,0),1,0)*Table_NFI[[#This Row],[Tarpaulin]],Table_NFI[[#This Row],[Tarpaulin]])</f>
        <v>0</v>
      </c>
      <c r="AD121" s="264">
        <f>IF(NFI_Expiration=1,IF($A121&lt;VLOOKUP(M$5,NFI,5,0),1,0)*Table_NFI[[#This Row],[Blanket]],Table_NFI[[#This Row],[Blanket]])</f>
        <v>0</v>
      </c>
      <c r="AE121" s="264">
        <f>IF(NFI_Expiration=1,IF($A121&lt;VLOOKUP(N$5,NFI,5,0),1,0)*Table_NFI[[#This Row],[Kitchen Set]],Table_NFI[Kitchen Set])</f>
        <v>0</v>
      </c>
      <c r="AF121" s="264">
        <f>IF(NFI_Expiration=1,IF($A121&lt;VLOOKUP(O$5,NFI,5,0),1,0)*Table_NFI[[#This Row],[Clothes Kit]],Table_NFI[Clothes Kit])</f>
        <v>0</v>
      </c>
      <c r="AG121" s="264">
        <f>IF(NFI_Expiration=1,IF($A121&lt;VLOOKUP(P$5,NFI,5,0),1,0)*Table_NFI[[#This Row],[Plastic Bucket]],Table_NFI[Plastic Bucket])</f>
        <v>0</v>
      </c>
      <c r="AH121" s="264">
        <f>IF(NFI_Expiration=1,IF($A121&lt;VLOOKUP(Q$5,NFI,5,0),1,0)*Table_NFI[[#This Row],[Plastic Mat]],Table_NFI[Plastic Mat])*IF(Table_NFI[[#This Row],[Distribution Date]]&gt;"2014-04-01",1,2.5)</f>
        <v>0</v>
      </c>
      <c r="AI121" s="264">
        <f>IF(NFI_Expiration=1,IF($A121&lt;VLOOKUP(R$5,NFI,5,0),1,0)*Table_NFI[[#This Row],[Winter Clothes Adult]],Table_NFI[Winter Clothes Adult])</f>
        <v>0</v>
      </c>
      <c r="AJ121" s="264">
        <f>IF(NFI_Expiration=1,IF($A121&lt;VLOOKUP(S$5,NFI,5,0),1,0)*Table_NFI[[#This Row],[Winter Clothes Children]],Table_NFI[Winter Clothes Children])</f>
        <v>0</v>
      </c>
      <c r="AK121" s="264">
        <f>IF(NFI_Expiration=1,IF($A121&lt;VLOOKUP(T$5,NFI,5,0),1,0)*Table_NFI[[#This Row],[Winter Items Other]],Table_NFI[Winter Items Other])</f>
        <v>0</v>
      </c>
      <c r="AL121" s="264">
        <f>IF(NFI_Expiration=1,IF($A121&lt;VLOOKUP(M$5,NFI,5,0),1,0)*Table_NFI[[#This Row],[Winter Blanket]],Table_NFI[[#This Row],[Winter Blanket]])</f>
        <v>0</v>
      </c>
      <c r="AM121" s="264">
        <f>IF(Table_NFI[[#This Row],[Winter Clothes Adult]]+Table_NFI[[#This Row],[Winter Clothes Children]]+Table_NFI[[#This Row],[Winter Items Other]]+Table_NFI[[#This Row],[Winter Blanket]]&gt;0,1,0)</f>
        <v>0</v>
      </c>
      <c r="AN121" s="296">
        <f>IF(NFI_Expiration=1,IF($A121&lt;VLOOKUP(V$5,NFI,5,0),1,0)*Table_NFI[[#This Row],[Jerry Can]],Table_NFI[Jerry Can])</f>
        <v>0</v>
      </c>
      <c r="AO121" s="296">
        <f>IF(NFI_Expiration=1,IF($A121&lt;VLOOKUP(V$5,NFI,5,0),1,0)*Table_NFI[[#This Row],[Shelter Tool kit]],Table_NFI[Shelter Tool kit])</f>
        <v>0</v>
      </c>
      <c r="AP121" s="296">
        <f>IF(NFI_Expiration=1,IF($A121&lt;VLOOKUP(V$5,NFI,5,0),1,0)*Table_NFI[[#This Row],[Tent]],Table_NFI[Tent])</f>
        <v>0</v>
      </c>
      <c r="AQ121" s="396" t="str">
        <f>IFERROR(VLOOKUP(Table_NFI[[#This Row],[Camp Name]],CL,2,0),"")</f>
        <v>MMR001CMP059</v>
      </c>
      <c r="AR121" s="702">
        <f ca="1">IF(Table_NFI[[#This Row],[Pcode]]="","",IF(OFFSET(CampList[Opening Date],MATCH(Table_NFI[[#This Row],[Pcode]],CampList[CP_Pcode],0)-1,0,1,1)&gt;=NFI_Monitor_Date,1,0))</f>
        <v>0</v>
      </c>
      <c r="AS121" s="396" t="str">
        <f>IFERROR(VLOOKUP(Table_NFI[[#This Row],[Camp Name]],CL,3,0),"")</f>
        <v>Closed</v>
      </c>
      <c r="AT121" s="264" t="str">
        <f ca="1">IF(Table_NFI[[#This Row],[Pcode]]="","",OFFSET(CampList[Priority],MATCH(Table_NFI[[#This Row],[Pcode]],CampList[CP_Pcode],0)-1,0,1,1))</f>
        <v>P4</v>
      </c>
      <c r="AU121" s="263">
        <f>IFERROR(Table_NFI[[#This Row],[Kitchen Set]]/VLOOKUP(Table_NFI[[#This Row],[Camp Name]],CL,4,0),"")</f>
        <v>0</v>
      </c>
      <c r="AV121" s="390"/>
      <c r="AW121" s="392"/>
      <c r="AX121" s="399"/>
      <c r="AY121" s="399"/>
      <c r="AZ121" s="399"/>
      <c r="BA121" s="399"/>
      <c r="BB121" s="399"/>
      <c r="BC121" s="399"/>
      <c r="BD121" s="399"/>
      <c r="BE121" s="399"/>
      <c r="BF121" s="399"/>
      <c r="BG121" s="399"/>
      <c r="BH121" s="399"/>
      <c r="BI121" s="399"/>
      <c r="BJ121" s="399"/>
      <c r="BK121" s="399"/>
      <c r="BL121" s="399"/>
      <c r="BM121" s="399"/>
      <c r="BN121" s="399"/>
      <c r="BO121" s="399"/>
      <c r="BP121" s="399"/>
      <c r="BQ121" s="399"/>
      <c r="BR121" s="399"/>
      <c r="BS121" s="399"/>
      <c r="BT121" s="399"/>
      <c r="BU121" s="399"/>
      <c r="BV121" s="399"/>
      <c r="BW121" s="399"/>
      <c r="BX121" s="399"/>
      <c r="BY121" s="399"/>
      <c r="BZ121" s="399"/>
      <c r="CA121" s="399"/>
      <c r="CB121" s="399"/>
      <c r="CC121" s="399"/>
      <c r="CD121" s="399"/>
      <c r="CE121" s="399"/>
      <c r="CF121" s="399"/>
      <c r="CG121" s="399"/>
      <c r="CH121" s="399"/>
      <c r="CI121" s="399"/>
      <c r="CJ121" s="399"/>
      <c r="CK121" s="399"/>
      <c r="CL121" s="399"/>
      <c r="CM121" s="399"/>
      <c r="CN121" s="399"/>
      <c r="CO121" s="399"/>
      <c r="CP121" s="399"/>
      <c r="CQ121" s="399"/>
      <c r="CR121" s="399"/>
      <c r="CS121" s="399"/>
      <c r="CT121" s="399"/>
      <c r="CU121" s="399"/>
      <c r="CV121" s="399"/>
      <c r="CW121" s="399"/>
      <c r="CX121" s="399"/>
      <c r="CY121" s="399"/>
      <c r="CZ121" s="399"/>
      <c r="DA121" s="399"/>
      <c r="DB121" s="399"/>
      <c r="DC121" s="399"/>
      <c r="DD121" s="399"/>
      <c r="DE121" s="399"/>
      <c r="DF121" s="399"/>
      <c r="DG121" s="399"/>
      <c r="DH121" s="399"/>
      <c r="DI121" s="399"/>
      <c r="DJ121" s="399"/>
      <c r="DK121" s="399"/>
      <c r="DL121" s="399"/>
      <c r="DM121" s="399"/>
      <c r="DN121" s="399"/>
      <c r="DO121" s="399"/>
      <c r="DP121" s="399"/>
      <c r="DQ121" s="399"/>
    </row>
    <row r="122" spans="1:121" s="393" customFormat="1" ht="14.45" customHeight="1" x14ac:dyDescent="0.25">
      <c r="A122" s="266">
        <f t="shared" si="1"/>
        <v>13.966666666666667</v>
      </c>
      <c r="B122" s="389">
        <v>42437</v>
      </c>
      <c r="C122" s="394" t="s">
        <v>451</v>
      </c>
      <c r="D122" s="394" t="s">
        <v>1334</v>
      </c>
      <c r="E122" s="390" t="s">
        <v>552</v>
      </c>
      <c r="F122" s="390" t="s">
        <v>146</v>
      </c>
      <c r="G122" s="394"/>
      <c r="H122" s="261"/>
      <c r="I122" s="261"/>
      <c r="J122" s="261"/>
      <c r="K122" s="261">
        <v>600</v>
      </c>
      <c r="L122" s="261"/>
      <c r="M122" s="261"/>
      <c r="N122" s="261"/>
      <c r="O122" s="261"/>
      <c r="P122" s="261"/>
      <c r="Q122" s="261"/>
      <c r="R122" s="261"/>
      <c r="S122" s="261"/>
      <c r="T122" s="261"/>
      <c r="U122" s="261"/>
      <c r="V122" s="762"/>
      <c r="W122" s="261"/>
      <c r="X122" s="261"/>
      <c r="Y122" s="264">
        <f>IF(NFI_Expiration=1,IF($A122&lt;VLOOKUP(H$5,NFI,5,0),1,0)*Table_NFI[[#This Row],[Hygiene Kit]],Table_NFI[Hygiene Kit])</f>
        <v>0</v>
      </c>
      <c r="Z122" s="264">
        <f>IF(NFI_Expiration=1,IF($A122&lt;VLOOKUP(I$5,NFI,5,0),1,0)*Table_NFI[[#This Row],[NFI Core Kit]],Table_NFI[NFI Core Kit])</f>
        <v>0</v>
      </c>
      <c r="AA122" s="264">
        <f>IF(NFI_Expiration=1,IF($A122&lt;VLOOKUP(J$5,NFI,5,0),1,0)*Table_NFI[[#This Row],[Sanitary Kit]],Table_NFI[Sanitary Kit])</f>
        <v>0</v>
      </c>
      <c r="AB122" s="264">
        <f>IF(NFI_Expiration=1,IF($A122&lt;VLOOKUP(K$5,NFI,5,0),1,0)*Table_NFI[[#This Row],[Mosquito net]],Table_NFI[Mosquito net])</f>
        <v>0</v>
      </c>
      <c r="AC122" s="264">
        <f>IF(NFI_Expiration=1,IF($A122&lt;VLOOKUP(L$5,NFI,5,0),1,0)*Table_NFI[[#This Row],[Tarpaulin]],Table_NFI[[#This Row],[Tarpaulin]])</f>
        <v>0</v>
      </c>
      <c r="AD122" s="264">
        <f>IF(NFI_Expiration=1,IF($A122&lt;VLOOKUP(M$5,NFI,5,0),1,0)*Table_NFI[[#This Row],[Blanket]],Table_NFI[[#This Row],[Blanket]])</f>
        <v>0</v>
      </c>
      <c r="AE122" s="264">
        <f>IF(NFI_Expiration=1,IF($A122&lt;VLOOKUP(N$5,NFI,5,0),1,0)*Table_NFI[[#This Row],[Kitchen Set]],Table_NFI[Kitchen Set])</f>
        <v>0</v>
      </c>
      <c r="AF122" s="264">
        <f>IF(NFI_Expiration=1,IF($A122&lt;VLOOKUP(O$5,NFI,5,0),1,0)*Table_NFI[[#This Row],[Clothes Kit]],Table_NFI[Clothes Kit])</f>
        <v>0</v>
      </c>
      <c r="AG122" s="264">
        <f>IF(NFI_Expiration=1,IF($A122&lt;VLOOKUP(P$5,NFI,5,0),1,0)*Table_NFI[[#This Row],[Plastic Bucket]],Table_NFI[Plastic Bucket])</f>
        <v>0</v>
      </c>
      <c r="AH122" s="264">
        <f>IF(NFI_Expiration=1,IF($A122&lt;VLOOKUP(Q$5,NFI,5,0),1,0)*Table_NFI[[#This Row],[Plastic Mat]],Table_NFI[Plastic Mat])*IF(Table_NFI[[#This Row],[Distribution Date]]&gt;"2014-04-01",1,2.5)</f>
        <v>0</v>
      </c>
      <c r="AI122" s="264">
        <f>IF(NFI_Expiration=1,IF($A122&lt;VLOOKUP(R$5,NFI,5,0),1,0)*Table_NFI[[#This Row],[Winter Clothes Adult]],Table_NFI[Winter Clothes Adult])</f>
        <v>0</v>
      </c>
      <c r="AJ122" s="264">
        <f>IF(NFI_Expiration=1,IF($A122&lt;VLOOKUP(S$5,NFI,5,0),1,0)*Table_NFI[[#This Row],[Winter Clothes Children]],Table_NFI[Winter Clothes Children])</f>
        <v>0</v>
      </c>
      <c r="AK122" s="264">
        <f>IF(NFI_Expiration=1,IF($A122&lt;VLOOKUP(T$5,NFI,5,0),1,0)*Table_NFI[[#This Row],[Winter Items Other]],Table_NFI[Winter Items Other])</f>
        <v>0</v>
      </c>
      <c r="AL122" s="264">
        <f>IF(NFI_Expiration=1,IF($A122&lt;VLOOKUP(M$5,NFI,5,0),1,0)*Table_NFI[[#This Row],[Winter Blanket]],Table_NFI[[#This Row],[Winter Blanket]])</f>
        <v>0</v>
      </c>
      <c r="AM122" s="264">
        <f>IF(Table_NFI[[#This Row],[Winter Clothes Adult]]+Table_NFI[[#This Row],[Winter Clothes Children]]+Table_NFI[[#This Row],[Winter Items Other]]+Table_NFI[[#This Row],[Winter Blanket]]&gt;0,1,0)</f>
        <v>0</v>
      </c>
      <c r="AN122" s="296">
        <f>IF(NFI_Expiration=1,IF($A122&lt;VLOOKUP(V$5,NFI,5,0),1,0)*Table_NFI[[#This Row],[Jerry Can]],Table_NFI[Jerry Can])</f>
        <v>0</v>
      </c>
      <c r="AO122" s="296">
        <f>IF(NFI_Expiration=1,IF($A122&lt;VLOOKUP(V$5,NFI,5,0),1,0)*Table_NFI[[#This Row],[Shelter Tool kit]],Table_NFI[Shelter Tool kit])</f>
        <v>0</v>
      </c>
      <c r="AP122" s="296">
        <f>IF(NFI_Expiration=1,IF($A122&lt;VLOOKUP(V$5,NFI,5,0),1,0)*Table_NFI[[#This Row],[Tent]],Table_NFI[Tent])</f>
        <v>0</v>
      </c>
      <c r="AQ122" s="396" t="str">
        <f>IFERROR(VLOOKUP(Table_NFI[[#This Row],[Camp Name]],CL,2,0),"")</f>
        <v/>
      </c>
      <c r="AR122" s="702" t="str">
        <f ca="1">IF(Table_NFI[[#This Row],[Pcode]]="","",IF(OFFSET(CampList[Opening Date],MATCH(Table_NFI[[#This Row],[Pcode]],CampList[CP_Pcode],0)-1,0,1,1)&gt;=NFI_Monitor_Date,1,0))</f>
        <v/>
      </c>
      <c r="AS122" s="559" t="str">
        <f>IFERROR(VLOOKUP(Table_NFI[[#This Row],[Camp Name]],CL,3,0),"")</f>
        <v/>
      </c>
      <c r="AT122" s="264" t="str">
        <f ca="1">IF(Table_NFI[[#This Row],[Pcode]]="","",OFFSET(CampList[Priority],MATCH(Table_NFI[[#This Row],[Pcode]],CampList[CP_Pcode],0)-1,0,1,1))</f>
        <v/>
      </c>
      <c r="AU122" s="421" t="str">
        <f>IFERROR(Table_NFI[[#This Row],[Kitchen Set]]/VLOOKUP(Table_NFI[[#This Row],[Camp Name]],CL,4,0),"")</f>
        <v/>
      </c>
      <c r="AV122" s="394"/>
      <c r="AW122" s="397" t="s">
        <v>1335</v>
      </c>
      <c r="AX122" s="399"/>
      <c r="AY122" s="399"/>
      <c r="AZ122" s="399"/>
      <c r="BA122" s="399"/>
      <c r="BB122" s="399"/>
      <c r="BC122" s="399"/>
      <c r="BD122" s="399"/>
      <c r="BE122" s="399"/>
      <c r="BF122" s="399"/>
      <c r="BG122" s="399"/>
      <c r="BH122" s="399"/>
      <c r="BI122" s="399"/>
      <c r="BJ122" s="399"/>
      <c r="BK122" s="399"/>
      <c r="BL122" s="399"/>
      <c r="BM122" s="399"/>
      <c r="BN122" s="399"/>
      <c r="BO122" s="399"/>
      <c r="BP122" s="399"/>
      <c r="BQ122" s="399"/>
      <c r="BR122" s="399"/>
      <c r="BS122" s="399"/>
      <c r="BT122" s="399"/>
      <c r="BU122" s="399"/>
      <c r="BV122" s="399"/>
      <c r="BW122" s="399"/>
      <c r="BX122" s="399"/>
      <c r="BY122" s="399"/>
      <c r="BZ122" s="399"/>
      <c r="CA122" s="399"/>
      <c r="CB122" s="399"/>
      <c r="CC122" s="399"/>
      <c r="CD122" s="399"/>
      <c r="CE122" s="399"/>
      <c r="CF122" s="399"/>
      <c r="CG122" s="399"/>
      <c r="CH122" s="399"/>
      <c r="CI122" s="399"/>
      <c r="CJ122" s="399"/>
      <c r="CK122" s="399"/>
      <c r="CL122" s="399"/>
      <c r="CM122" s="399"/>
      <c r="CN122" s="399"/>
      <c r="CO122" s="399"/>
      <c r="CP122" s="399"/>
      <c r="CQ122" s="399"/>
      <c r="CR122" s="399"/>
      <c r="CS122" s="399"/>
      <c r="CT122" s="399"/>
      <c r="CU122" s="399"/>
      <c r="CV122" s="399"/>
      <c r="CW122" s="399"/>
      <c r="CX122" s="399"/>
      <c r="CY122" s="399"/>
      <c r="CZ122" s="399"/>
      <c r="DA122" s="399"/>
      <c r="DB122" s="399"/>
      <c r="DC122" s="399"/>
      <c r="DD122" s="399"/>
      <c r="DE122" s="399"/>
      <c r="DF122" s="399"/>
      <c r="DG122" s="399"/>
      <c r="DH122" s="399"/>
      <c r="DI122" s="399"/>
      <c r="DJ122" s="399"/>
      <c r="DK122" s="399"/>
      <c r="DL122" s="399"/>
      <c r="DM122" s="399"/>
      <c r="DN122" s="399"/>
      <c r="DO122" s="399"/>
      <c r="DP122" s="399"/>
      <c r="DQ122" s="399"/>
    </row>
    <row r="123" spans="1:121" s="760" customFormat="1" ht="14.45" customHeight="1" x14ac:dyDescent="0.25">
      <c r="A123" s="266">
        <f t="shared" si="1"/>
        <v>14.233333333333333</v>
      </c>
      <c r="B123" s="389">
        <v>42429</v>
      </c>
      <c r="C123" s="390" t="s">
        <v>904</v>
      </c>
      <c r="D123" s="391" t="s">
        <v>904</v>
      </c>
      <c r="E123" s="390" t="s">
        <v>380</v>
      </c>
      <c r="F123" s="262" t="s">
        <v>185</v>
      </c>
      <c r="G123" s="262" t="s">
        <v>1415</v>
      </c>
      <c r="H123" s="261"/>
      <c r="I123" s="261"/>
      <c r="J123" s="261"/>
      <c r="K123" s="261"/>
      <c r="L123" s="261"/>
      <c r="M123" s="261"/>
      <c r="N123" s="261"/>
      <c r="O123" s="261"/>
      <c r="P123" s="261"/>
      <c r="Q123" s="261"/>
      <c r="R123" s="261"/>
      <c r="S123" s="261"/>
      <c r="T123" s="261"/>
      <c r="U123" s="261"/>
      <c r="V123" s="762"/>
      <c r="W123" s="261"/>
      <c r="X123" s="261"/>
      <c r="Y123" s="264">
        <f>IF(NFI_Expiration=1,IF($A123&lt;VLOOKUP(H$5,NFI,5,0),1,0)*Table_NFI[[#This Row],[Hygiene Kit]],Table_NFI[Hygiene Kit])</f>
        <v>0</v>
      </c>
      <c r="Z123" s="264">
        <f>IF(NFI_Expiration=1,IF($A123&lt;VLOOKUP(I$5,NFI,5,0),1,0)*Table_NFI[[#This Row],[NFI Core Kit]],Table_NFI[NFI Core Kit])</f>
        <v>0</v>
      </c>
      <c r="AA123" s="264">
        <f>IF(NFI_Expiration=1,IF($A123&lt;VLOOKUP(J$5,NFI,5,0),1,0)*Table_NFI[[#This Row],[Sanitary Kit]],Table_NFI[Sanitary Kit])</f>
        <v>0</v>
      </c>
      <c r="AB123" s="264">
        <f>IF(NFI_Expiration=1,IF($A123&lt;VLOOKUP(K$5,NFI,5,0),1,0)*Table_NFI[[#This Row],[Mosquito net]],Table_NFI[Mosquito net])</f>
        <v>0</v>
      </c>
      <c r="AC123" s="264">
        <f>IF(NFI_Expiration=1,IF($A123&lt;VLOOKUP(L$5,NFI,5,0),1,0)*Table_NFI[[#This Row],[Tarpaulin]],Table_NFI[[#This Row],[Tarpaulin]])</f>
        <v>0</v>
      </c>
      <c r="AD123" s="264">
        <f>IF(NFI_Expiration=1,IF($A123&lt;VLOOKUP(M$5,NFI,5,0),1,0)*Table_NFI[[#This Row],[Blanket]],Table_NFI[[#This Row],[Blanket]])</f>
        <v>0</v>
      </c>
      <c r="AE123" s="264">
        <f>IF(NFI_Expiration=1,IF($A123&lt;VLOOKUP(N$5,NFI,5,0),1,0)*Table_NFI[[#This Row],[Kitchen Set]],Table_NFI[Kitchen Set])</f>
        <v>0</v>
      </c>
      <c r="AF123" s="264">
        <f>IF(NFI_Expiration=1,IF($A123&lt;VLOOKUP(O$5,NFI,5,0),1,0)*Table_NFI[[#This Row],[Clothes Kit]],Table_NFI[Clothes Kit])</f>
        <v>0</v>
      </c>
      <c r="AG123" s="264">
        <f>IF(NFI_Expiration=1,IF($A123&lt;VLOOKUP(P$5,NFI,5,0),1,0)*Table_NFI[[#This Row],[Plastic Bucket]],Table_NFI[Plastic Bucket])</f>
        <v>0</v>
      </c>
      <c r="AH123" s="264">
        <f>IF(NFI_Expiration=1,IF($A123&lt;VLOOKUP(Q$5,NFI,5,0),1,0)*Table_NFI[[#This Row],[Plastic Mat]],Table_NFI[Plastic Mat])*IF(Table_NFI[[#This Row],[Distribution Date]]&gt;"2014-04-01",1,2.5)</f>
        <v>0</v>
      </c>
      <c r="AI123" s="264">
        <f>IF(NFI_Expiration=1,IF($A123&lt;VLOOKUP(R$5,NFI,5,0),1,0)*Table_NFI[[#This Row],[Winter Clothes Adult]],Table_NFI[Winter Clothes Adult])</f>
        <v>0</v>
      </c>
      <c r="AJ123" s="264">
        <f>IF(NFI_Expiration=1,IF($A123&lt;VLOOKUP(S$5,NFI,5,0),1,0)*Table_NFI[[#This Row],[Winter Clothes Children]],Table_NFI[Winter Clothes Children])</f>
        <v>0</v>
      </c>
      <c r="AK123" s="264">
        <f>IF(NFI_Expiration=1,IF($A123&lt;VLOOKUP(T$5,NFI,5,0),1,0)*Table_NFI[[#This Row],[Winter Items Other]],Table_NFI[Winter Items Other])</f>
        <v>0</v>
      </c>
      <c r="AL123" s="264">
        <f>IF(NFI_Expiration=1,IF($A123&lt;VLOOKUP(M$5,NFI,5,0),1,0)*Table_NFI[[#This Row],[Winter Blanket]],Table_NFI[[#This Row],[Winter Blanket]])</f>
        <v>0</v>
      </c>
      <c r="AM123" s="264">
        <f>IF(Table_NFI[[#This Row],[Winter Clothes Adult]]+Table_NFI[[#This Row],[Winter Clothes Children]]+Table_NFI[[#This Row],[Winter Items Other]]+Table_NFI[[#This Row],[Winter Blanket]]&gt;0,1,0)</f>
        <v>0</v>
      </c>
      <c r="AN123" s="296">
        <f>IF(NFI_Expiration=1,IF($A123&lt;VLOOKUP(V$5,NFI,5,0),1,0)*Table_NFI[[#This Row],[Jerry Can]],Table_NFI[Jerry Can])</f>
        <v>0</v>
      </c>
      <c r="AO123" s="296">
        <f>IF(NFI_Expiration=1,IF($A123&lt;VLOOKUP(V$5,NFI,5,0),1,0)*Table_NFI[[#This Row],[Shelter Tool kit]],Table_NFI[Shelter Tool kit])</f>
        <v>0</v>
      </c>
      <c r="AP123" s="296">
        <f>IF(NFI_Expiration=1,IF($A123&lt;VLOOKUP(V$5,NFI,5,0),1,0)*Table_NFI[[#This Row],[Tent]],Table_NFI[Tent])</f>
        <v>0</v>
      </c>
      <c r="AQ123" s="396" t="str">
        <f>IFERROR(VLOOKUP(Table_NFI[[#This Row],[Camp Name]],CL,2,0),"")</f>
        <v/>
      </c>
      <c r="AR123" s="702" t="str">
        <f ca="1">IF(Table_NFI[[#This Row],[Pcode]]="","",IF(OFFSET(CampList[Opening Date],MATCH(Table_NFI[[#This Row],[Pcode]],CampList[CP_Pcode],0)-1,0,1,1)&gt;=NFI_Monitor_Date,1,0))</f>
        <v/>
      </c>
      <c r="AS123" s="559" t="str">
        <f>IFERROR(VLOOKUP(Table_NFI[[#This Row],[Camp Name]],CL,3,0),"")</f>
        <v/>
      </c>
      <c r="AT123" s="264" t="str">
        <f ca="1">IF(Table_NFI[[#This Row],[Pcode]]="","",OFFSET(CampList[Priority],MATCH(Table_NFI[[#This Row],[Pcode]],CampList[CP_Pcode],0)-1,0,1,1))</f>
        <v/>
      </c>
      <c r="AU123" s="263" t="str">
        <f>IFERROR(Table_NFI[[#This Row],[Kitchen Set]]/VLOOKUP(Table_NFI[[#This Row],[Camp Name]],CL,4,0),"")</f>
        <v/>
      </c>
      <c r="AV123" s="390"/>
      <c r="AW123" s="392"/>
      <c r="AX123" s="399"/>
      <c r="AY123" s="399"/>
      <c r="AZ123" s="399"/>
      <c r="BA123" s="399"/>
      <c r="BB123" s="399"/>
      <c r="BC123" s="399"/>
      <c r="BD123" s="399"/>
      <c r="BE123" s="399"/>
      <c r="BF123" s="399"/>
      <c r="BG123" s="399"/>
      <c r="BH123" s="399"/>
      <c r="BI123" s="399"/>
      <c r="BJ123" s="399"/>
      <c r="BK123" s="399"/>
      <c r="BL123" s="399"/>
      <c r="BM123" s="399"/>
      <c r="BN123" s="399"/>
      <c r="BO123" s="399"/>
      <c r="BP123" s="399"/>
      <c r="BQ123" s="399"/>
      <c r="BR123" s="399"/>
      <c r="BS123" s="399"/>
      <c r="BT123" s="399"/>
      <c r="BU123" s="399"/>
      <c r="BV123" s="399"/>
      <c r="BW123" s="399"/>
      <c r="BX123" s="399"/>
      <c r="BY123" s="399"/>
      <c r="BZ123" s="399"/>
      <c r="CA123" s="399"/>
      <c r="CB123" s="399"/>
      <c r="CC123" s="399"/>
      <c r="CD123" s="399"/>
      <c r="CE123" s="399"/>
      <c r="CF123" s="399"/>
      <c r="CG123" s="399"/>
      <c r="CH123" s="399"/>
      <c r="CI123" s="399"/>
      <c r="CJ123" s="399"/>
      <c r="CK123" s="399"/>
      <c r="CL123" s="399"/>
      <c r="CM123" s="399"/>
      <c r="CN123" s="399"/>
      <c r="CO123" s="399"/>
      <c r="CP123" s="399"/>
      <c r="CQ123" s="399"/>
      <c r="CR123" s="399"/>
      <c r="CS123" s="399"/>
      <c r="CT123" s="399"/>
      <c r="CU123" s="399"/>
      <c r="CV123" s="399"/>
      <c r="CW123" s="399"/>
      <c r="CX123" s="399"/>
      <c r="CY123" s="399"/>
      <c r="CZ123" s="399"/>
      <c r="DA123" s="399"/>
      <c r="DB123" s="399"/>
      <c r="DC123" s="399"/>
      <c r="DD123" s="399"/>
      <c r="DE123" s="399"/>
      <c r="DF123" s="399"/>
      <c r="DG123" s="399"/>
      <c r="DH123" s="399"/>
      <c r="DI123" s="399"/>
      <c r="DJ123" s="399"/>
      <c r="DK123" s="399"/>
      <c r="DL123" s="399"/>
      <c r="DM123" s="399"/>
      <c r="DN123" s="399"/>
      <c r="DO123" s="399"/>
      <c r="DP123" s="399"/>
      <c r="DQ123" s="399"/>
    </row>
    <row r="124" spans="1:121" s="760" customFormat="1" ht="14.45" customHeight="1" x14ac:dyDescent="0.25">
      <c r="A124" s="266">
        <f t="shared" si="1"/>
        <v>14.233333333333333</v>
      </c>
      <c r="B124" s="389">
        <v>42429</v>
      </c>
      <c r="C124" s="390" t="s">
        <v>904</v>
      </c>
      <c r="D124" s="390" t="s">
        <v>904</v>
      </c>
      <c r="E124" s="390" t="s">
        <v>380</v>
      </c>
      <c r="F124" s="390" t="s">
        <v>185</v>
      </c>
      <c r="G124" s="262" t="s">
        <v>217</v>
      </c>
      <c r="H124" s="261"/>
      <c r="I124" s="261"/>
      <c r="J124" s="261"/>
      <c r="K124" s="261"/>
      <c r="L124" s="261"/>
      <c r="M124" s="261"/>
      <c r="N124" s="261"/>
      <c r="O124" s="261"/>
      <c r="P124" s="261"/>
      <c r="Q124" s="261"/>
      <c r="R124" s="261"/>
      <c r="S124" s="261"/>
      <c r="T124" s="261"/>
      <c r="U124" s="261"/>
      <c r="V124" s="762"/>
      <c r="W124" s="261"/>
      <c r="X124" s="261"/>
      <c r="Y124" s="264">
        <f>IF(NFI_Expiration=1,IF($A124&lt;VLOOKUP(H$5,NFI,5,0),1,0)*Table_NFI[[#This Row],[Hygiene Kit]],Table_NFI[Hygiene Kit])</f>
        <v>0</v>
      </c>
      <c r="Z124" s="264">
        <f>IF(NFI_Expiration=1,IF($A124&lt;VLOOKUP(I$5,NFI,5,0),1,0)*Table_NFI[[#This Row],[NFI Core Kit]],Table_NFI[NFI Core Kit])</f>
        <v>0</v>
      </c>
      <c r="AA124" s="264">
        <f>IF(NFI_Expiration=1,IF($A124&lt;VLOOKUP(J$5,NFI,5,0),1,0)*Table_NFI[[#This Row],[Sanitary Kit]],Table_NFI[Sanitary Kit])</f>
        <v>0</v>
      </c>
      <c r="AB124" s="264">
        <f>IF(NFI_Expiration=1,IF($A124&lt;VLOOKUP(K$5,NFI,5,0),1,0)*Table_NFI[[#This Row],[Mosquito net]],Table_NFI[Mosquito net])</f>
        <v>0</v>
      </c>
      <c r="AC124" s="264">
        <f>IF(NFI_Expiration=1,IF($A124&lt;VLOOKUP(L$5,NFI,5,0),1,0)*Table_NFI[[#This Row],[Tarpaulin]],Table_NFI[[#This Row],[Tarpaulin]])</f>
        <v>0</v>
      </c>
      <c r="AD124" s="264">
        <f>IF(NFI_Expiration=1,IF($A124&lt;VLOOKUP(M$5,NFI,5,0),1,0)*Table_NFI[[#This Row],[Blanket]],Table_NFI[[#This Row],[Blanket]])</f>
        <v>0</v>
      </c>
      <c r="AE124" s="264">
        <f>IF(NFI_Expiration=1,IF($A124&lt;VLOOKUP(N$5,NFI,5,0),1,0)*Table_NFI[[#This Row],[Kitchen Set]],Table_NFI[Kitchen Set])</f>
        <v>0</v>
      </c>
      <c r="AF124" s="264">
        <f>IF(NFI_Expiration=1,IF($A124&lt;VLOOKUP(O$5,NFI,5,0),1,0)*Table_NFI[[#This Row],[Clothes Kit]],Table_NFI[Clothes Kit])</f>
        <v>0</v>
      </c>
      <c r="AG124" s="264">
        <f>IF(NFI_Expiration=1,IF($A124&lt;VLOOKUP(P$5,NFI,5,0),1,0)*Table_NFI[[#This Row],[Plastic Bucket]],Table_NFI[Plastic Bucket])</f>
        <v>0</v>
      </c>
      <c r="AH124" s="264">
        <f>IF(NFI_Expiration=1,IF($A124&lt;VLOOKUP(Q$5,NFI,5,0),1,0)*Table_NFI[[#This Row],[Plastic Mat]],Table_NFI[Plastic Mat])*IF(Table_NFI[[#This Row],[Distribution Date]]&gt;"2014-04-01",1,2.5)</f>
        <v>0</v>
      </c>
      <c r="AI124" s="264">
        <f>IF(NFI_Expiration=1,IF($A124&lt;VLOOKUP(R$5,NFI,5,0),1,0)*Table_NFI[[#This Row],[Winter Clothes Adult]],Table_NFI[Winter Clothes Adult])</f>
        <v>0</v>
      </c>
      <c r="AJ124" s="264">
        <f>IF(NFI_Expiration=1,IF($A124&lt;VLOOKUP(S$5,NFI,5,0),1,0)*Table_NFI[[#This Row],[Winter Clothes Children]],Table_NFI[Winter Clothes Children])</f>
        <v>0</v>
      </c>
      <c r="AK124" s="264">
        <f>IF(NFI_Expiration=1,IF($A124&lt;VLOOKUP(T$5,NFI,5,0),1,0)*Table_NFI[[#This Row],[Winter Items Other]],Table_NFI[Winter Items Other])</f>
        <v>0</v>
      </c>
      <c r="AL124" s="264">
        <f>IF(NFI_Expiration=1,IF($A124&lt;VLOOKUP(M$5,NFI,5,0),1,0)*Table_NFI[[#This Row],[Winter Blanket]],Table_NFI[[#This Row],[Winter Blanket]])</f>
        <v>0</v>
      </c>
      <c r="AM124" s="264">
        <f>IF(Table_NFI[[#This Row],[Winter Clothes Adult]]+Table_NFI[[#This Row],[Winter Clothes Children]]+Table_NFI[[#This Row],[Winter Items Other]]+Table_NFI[[#This Row],[Winter Blanket]]&gt;0,1,0)</f>
        <v>0</v>
      </c>
      <c r="AN124" s="296">
        <f>IF(NFI_Expiration=1,IF($A124&lt;VLOOKUP(V$5,NFI,5,0),1,0)*Table_NFI[[#This Row],[Jerry Can]],Table_NFI[Jerry Can])</f>
        <v>0</v>
      </c>
      <c r="AO124" s="296">
        <f>IF(NFI_Expiration=1,IF($A124&lt;VLOOKUP(V$5,NFI,5,0),1,0)*Table_NFI[[#This Row],[Shelter Tool kit]],Table_NFI[Shelter Tool kit])</f>
        <v>0</v>
      </c>
      <c r="AP124" s="296">
        <f>IF(NFI_Expiration=1,IF($A124&lt;VLOOKUP(V$5,NFI,5,0),1,0)*Table_NFI[[#This Row],[Tent]],Table_NFI[Tent])</f>
        <v>0</v>
      </c>
      <c r="AQ124" s="396" t="str">
        <f>IFERROR(VLOOKUP(Table_NFI[[#This Row],[Camp Name]],CL,2,0),"")</f>
        <v>MMR001CMP059</v>
      </c>
      <c r="AR124" s="702">
        <f ca="1">IF(Table_NFI[[#This Row],[Pcode]]="","",IF(OFFSET(CampList[Opening Date],MATCH(Table_NFI[[#This Row],[Pcode]],CampList[CP_Pcode],0)-1,0,1,1)&gt;=NFI_Monitor_Date,1,0))</f>
        <v>0</v>
      </c>
      <c r="AS124" s="396" t="str">
        <f>IFERROR(VLOOKUP(Table_NFI[[#This Row],[Camp Name]],CL,3,0),"")</f>
        <v>Closed</v>
      </c>
      <c r="AT124" s="264" t="str">
        <f ca="1">IF(Table_NFI[[#This Row],[Pcode]]="","",OFFSET(CampList[Priority],MATCH(Table_NFI[[#This Row],[Pcode]],CampList[CP_Pcode],0)-1,0,1,1))</f>
        <v>P4</v>
      </c>
      <c r="AU124" s="263">
        <f>IFERROR(Table_NFI[[#This Row],[Kitchen Set]]/VLOOKUP(Table_NFI[[#This Row],[Camp Name]],CL,4,0),"")</f>
        <v>0</v>
      </c>
      <c r="AV124" s="390"/>
      <c r="AW124" s="392"/>
      <c r="AX124" s="399"/>
      <c r="AY124" s="399"/>
      <c r="AZ124" s="399"/>
      <c r="BA124" s="399"/>
      <c r="BB124" s="399"/>
      <c r="BC124" s="399"/>
      <c r="BD124" s="399"/>
      <c r="BE124" s="399"/>
      <c r="BF124" s="399"/>
      <c r="BG124" s="399"/>
      <c r="BH124" s="399"/>
      <c r="BI124" s="399"/>
      <c r="BJ124" s="399"/>
      <c r="BK124" s="399"/>
      <c r="BL124" s="399"/>
      <c r="BM124" s="399"/>
      <c r="BN124" s="399"/>
      <c r="BO124" s="399"/>
      <c r="BP124" s="399"/>
      <c r="BQ124" s="399"/>
      <c r="BR124" s="399"/>
      <c r="BS124" s="399"/>
      <c r="BT124" s="399"/>
      <c r="BU124" s="399"/>
      <c r="BV124" s="399"/>
      <c r="BW124" s="399"/>
      <c r="BX124" s="399"/>
      <c r="BY124" s="399"/>
      <c r="BZ124" s="399"/>
      <c r="CA124" s="399"/>
      <c r="CB124" s="399"/>
      <c r="CC124" s="399"/>
      <c r="CD124" s="399"/>
      <c r="CE124" s="399"/>
      <c r="CF124" s="399"/>
      <c r="CG124" s="399"/>
      <c r="CH124" s="399"/>
      <c r="CI124" s="399"/>
      <c r="CJ124" s="399"/>
      <c r="CK124" s="399"/>
      <c r="CL124" s="399"/>
      <c r="CM124" s="399"/>
      <c r="CN124" s="399"/>
      <c r="CO124" s="399"/>
      <c r="CP124" s="399"/>
      <c r="CQ124" s="399"/>
      <c r="CR124" s="399"/>
      <c r="CS124" s="399"/>
      <c r="CT124" s="399"/>
      <c r="CU124" s="399"/>
      <c r="CV124" s="399"/>
      <c r="CW124" s="399"/>
      <c r="CX124" s="399"/>
      <c r="CY124" s="399"/>
      <c r="CZ124" s="399"/>
      <c r="DA124" s="399"/>
      <c r="DB124" s="399"/>
      <c r="DC124" s="399"/>
      <c r="DD124" s="399"/>
      <c r="DE124" s="399"/>
      <c r="DF124" s="399"/>
      <c r="DG124" s="399"/>
      <c r="DH124" s="399"/>
      <c r="DI124" s="399"/>
      <c r="DJ124" s="399"/>
      <c r="DK124" s="399"/>
      <c r="DL124" s="399"/>
      <c r="DM124" s="399"/>
      <c r="DN124" s="399"/>
      <c r="DO124" s="399"/>
      <c r="DP124" s="399"/>
      <c r="DQ124" s="399"/>
    </row>
    <row r="125" spans="1:121" s="760" customFormat="1" ht="14.45" customHeight="1" x14ac:dyDescent="0.25">
      <c r="A125" s="416">
        <f t="shared" si="1"/>
        <v>14.266666666666667</v>
      </c>
      <c r="B125" s="389">
        <v>42428</v>
      </c>
      <c r="C125" s="394" t="s">
        <v>451</v>
      </c>
      <c r="D125" s="394" t="s">
        <v>459</v>
      </c>
      <c r="E125" s="390" t="s">
        <v>380</v>
      </c>
      <c r="F125" s="390" t="s">
        <v>27</v>
      </c>
      <c r="G125" s="394" t="s">
        <v>364</v>
      </c>
      <c r="H125" s="767"/>
      <c r="I125" s="767"/>
      <c r="J125" s="767"/>
      <c r="K125" s="767"/>
      <c r="L125" s="767"/>
      <c r="M125" s="767">
        <v>345</v>
      </c>
      <c r="N125" s="767"/>
      <c r="O125" s="767"/>
      <c r="P125" s="767"/>
      <c r="Q125" s="767"/>
      <c r="R125" s="767"/>
      <c r="S125" s="767">
        <v>765</v>
      </c>
      <c r="T125" s="767"/>
      <c r="U125" s="767"/>
      <c r="V125" s="768"/>
      <c r="W125" s="767"/>
      <c r="X125" s="767"/>
      <c r="Y125" s="418">
        <f>IF(NFI_Expiration=1,IF($A125&lt;VLOOKUP(H$5,NFI,5,0),1,0)*Table_NFI[[#This Row],[Hygiene Kit]],Table_NFI[Hygiene Kit])</f>
        <v>0</v>
      </c>
      <c r="Z125" s="418">
        <f>IF(NFI_Expiration=1,IF($A125&lt;VLOOKUP(I$5,NFI,5,0),1,0)*Table_NFI[[#This Row],[NFI Core Kit]],Table_NFI[NFI Core Kit])</f>
        <v>0</v>
      </c>
      <c r="AA125" s="418">
        <f>IF(NFI_Expiration=1,IF($A125&lt;VLOOKUP(J$5,NFI,5,0),1,0)*Table_NFI[[#This Row],[Sanitary Kit]],Table_NFI[Sanitary Kit])</f>
        <v>0</v>
      </c>
      <c r="AB125" s="418">
        <f>IF(NFI_Expiration=1,IF($A125&lt;VLOOKUP(K$5,NFI,5,0),1,0)*Table_NFI[[#This Row],[Mosquito net]],Table_NFI[Mosquito net])</f>
        <v>0</v>
      </c>
      <c r="AC125" s="418">
        <f>IF(NFI_Expiration=1,IF($A125&lt;VLOOKUP(L$5,NFI,5,0),1,0)*Table_NFI[[#This Row],[Tarpaulin]],Table_NFI[[#This Row],[Tarpaulin]])</f>
        <v>0</v>
      </c>
      <c r="AD125" s="418">
        <f>IF(NFI_Expiration=1,IF($A125&lt;VLOOKUP(M$5,NFI,5,0),1,0)*Table_NFI[[#This Row],[Blanket]],Table_NFI[[#This Row],[Blanket]])</f>
        <v>0</v>
      </c>
      <c r="AE125" s="418">
        <f>IF(NFI_Expiration=1,IF($A125&lt;VLOOKUP(N$5,NFI,5,0),1,0)*Table_NFI[[#This Row],[Kitchen Set]],Table_NFI[Kitchen Set])</f>
        <v>0</v>
      </c>
      <c r="AF125" s="418">
        <f>IF(NFI_Expiration=1,IF($A125&lt;VLOOKUP(O$5,NFI,5,0),1,0)*Table_NFI[[#This Row],[Clothes Kit]],Table_NFI[Clothes Kit])</f>
        <v>0</v>
      </c>
      <c r="AG125" s="418">
        <f>IF(NFI_Expiration=1,IF($A125&lt;VLOOKUP(P$5,NFI,5,0),1,0)*Table_NFI[[#This Row],[Plastic Bucket]],Table_NFI[Plastic Bucket])</f>
        <v>0</v>
      </c>
      <c r="AH125" s="418">
        <f>IF(NFI_Expiration=1,IF($A125&lt;VLOOKUP(Q$5,NFI,5,0),1,0)*Table_NFI[[#This Row],[Plastic Mat]],Table_NFI[Plastic Mat])*IF(Table_NFI[[#This Row],[Distribution Date]]&gt;"2014-04-01",1,2.5)</f>
        <v>0</v>
      </c>
      <c r="AI125" s="418">
        <f>IF(NFI_Expiration=1,IF($A125&lt;VLOOKUP(R$5,NFI,5,0),1,0)*Table_NFI[[#This Row],[Winter Clothes Adult]],Table_NFI[Winter Clothes Adult])</f>
        <v>0</v>
      </c>
      <c r="AJ125" s="418">
        <f>IF(NFI_Expiration=1,IF($A125&lt;VLOOKUP(S$5,NFI,5,0),1,0)*Table_NFI[[#This Row],[Winter Clothes Children]],Table_NFI[Winter Clothes Children])</f>
        <v>0</v>
      </c>
      <c r="AK125" s="418">
        <f>IF(NFI_Expiration=1,IF($A125&lt;VLOOKUP(T$5,NFI,5,0),1,0)*Table_NFI[[#This Row],[Winter Items Other]],Table_NFI[Winter Items Other])</f>
        <v>0</v>
      </c>
      <c r="AL125" s="418">
        <f>IF(NFI_Expiration=1,IF($A125&lt;VLOOKUP(M$5,NFI,5,0),1,0)*Table_NFI[[#This Row],[Winter Blanket]],Table_NFI[[#This Row],[Winter Blanket]])</f>
        <v>0</v>
      </c>
      <c r="AM125" s="418">
        <f>IF(Table_NFI[[#This Row],[Winter Clothes Adult]]+Table_NFI[[#This Row],[Winter Clothes Children]]+Table_NFI[[#This Row],[Winter Items Other]]+Table_NFI[[#This Row],[Winter Blanket]]&gt;0,1,0)</f>
        <v>1</v>
      </c>
      <c r="AN125" s="419">
        <f>IF(NFI_Expiration=1,IF($A125&lt;VLOOKUP(V$5,NFI,5,0),1,0)*Table_NFI[[#This Row],[Jerry Can]],Table_NFI[Jerry Can])</f>
        <v>0</v>
      </c>
      <c r="AO125" s="419">
        <f>IF(NFI_Expiration=1,IF($A125&lt;VLOOKUP(V$5,NFI,5,0),1,0)*Table_NFI[[#This Row],[Shelter Tool kit]],Table_NFI[Shelter Tool kit])</f>
        <v>0</v>
      </c>
      <c r="AP125" s="419">
        <f>IF(NFI_Expiration=1,IF($A125&lt;VLOOKUP(V$5,NFI,5,0),1,0)*Table_NFI[[#This Row],[Tent]],Table_NFI[Tent])</f>
        <v>0</v>
      </c>
      <c r="AQ125" s="420" t="str">
        <f>IFERROR(VLOOKUP(Table_NFI[[#This Row],[Camp Name]],CL,2,0),"")</f>
        <v>MMR001CMP043</v>
      </c>
      <c r="AR125" s="702">
        <f ca="1">IF(Table_NFI[[#This Row],[Pcode]]="","",IF(OFFSET(CampList[Opening Date],MATCH(Table_NFI[[#This Row],[Pcode]],CampList[CP_Pcode],0)-1,0,1,1)&gt;=NFI_Monitor_Date,1,0))</f>
        <v>0</v>
      </c>
      <c r="AS125" s="420" t="str">
        <f>IFERROR(VLOOKUP(Table_NFI[[#This Row],[Camp Name]],CL,3,0),"")</f>
        <v>Open</v>
      </c>
      <c r="AT125" s="418" t="str">
        <f ca="1">IF(Table_NFI[[#This Row],[Pcode]]="","",OFFSET(CampList[Priority],MATCH(Table_NFI[[#This Row],[Pcode]],CampList[CP_Pcode],0)-1,0,1,1))</f>
        <v>P1</v>
      </c>
      <c r="AU125" s="421">
        <f>IFERROR(Table_NFI[[#This Row],[Kitchen Set]]/VLOOKUP(Table_NFI[[#This Row],[Camp Name]],CL,4,0),"")</f>
        <v>0</v>
      </c>
      <c r="AV125" s="417"/>
      <c r="AW125" s="425"/>
      <c r="AX125" s="399"/>
      <c r="AY125" s="399"/>
      <c r="AZ125" s="399"/>
      <c r="BA125" s="399"/>
      <c r="BB125" s="399"/>
      <c r="BC125" s="399"/>
      <c r="BD125" s="399"/>
      <c r="BE125" s="399"/>
      <c r="BF125" s="399"/>
      <c r="BG125" s="399"/>
      <c r="BH125" s="399"/>
      <c r="BI125" s="399"/>
      <c r="BJ125" s="399"/>
      <c r="BK125" s="399"/>
      <c r="BL125" s="399"/>
      <c r="BM125" s="399"/>
      <c r="BN125" s="399"/>
      <c r="BO125" s="399"/>
      <c r="BP125" s="399"/>
      <c r="BQ125" s="399"/>
      <c r="BR125" s="399"/>
      <c r="BS125" s="399"/>
      <c r="BT125" s="399"/>
      <c r="BU125" s="399"/>
      <c r="BV125" s="399"/>
      <c r="BW125" s="399"/>
      <c r="BX125" s="399"/>
      <c r="BY125" s="399"/>
      <c r="BZ125" s="399"/>
      <c r="CA125" s="399"/>
      <c r="CB125" s="399"/>
      <c r="CC125" s="399"/>
      <c r="CD125" s="399"/>
      <c r="CE125" s="399"/>
      <c r="CF125" s="399"/>
      <c r="CG125" s="399"/>
      <c r="CH125" s="399"/>
      <c r="CI125" s="399"/>
      <c r="CJ125" s="399"/>
      <c r="CK125" s="399"/>
      <c r="CL125" s="399"/>
      <c r="CM125" s="399"/>
      <c r="CN125" s="399"/>
      <c r="CO125" s="399"/>
      <c r="CP125" s="399"/>
      <c r="CQ125" s="399"/>
      <c r="CR125" s="399"/>
      <c r="CS125" s="399"/>
      <c r="CT125" s="399"/>
      <c r="CU125" s="399"/>
      <c r="CV125" s="399"/>
      <c r="CW125" s="399"/>
      <c r="CX125" s="399"/>
      <c r="CY125" s="399"/>
      <c r="CZ125" s="399"/>
      <c r="DA125" s="399"/>
      <c r="DB125" s="399"/>
      <c r="DC125" s="399"/>
      <c r="DD125" s="399"/>
      <c r="DE125" s="399"/>
      <c r="DF125" s="399"/>
      <c r="DG125" s="399"/>
      <c r="DH125" s="399"/>
      <c r="DI125" s="399"/>
      <c r="DJ125" s="399"/>
      <c r="DK125" s="399"/>
      <c r="DL125" s="399"/>
      <c r="DM125" s="399"/>
      <c r="DN125" s="399"/>
      <c r="DO125" s="399"/>
      <c r="DP125" s="399"/>
      <c r="DQ125" s="399"/>
    </row>
    <row r="126" spans="1:121" s="760" customFormat="1" ht="14.45" customHeight="1" x14ac:dyDescent="0.25">
      <c r="A126" s="266">
        <f t="shared" si="1"/>
        <v>14.3</v>
      </c>
      <c r="B126" s="389">
        <v>42427</v>
      </c>
      <c r="C126" s="390" t="s">
        <v>451</v>
      </c>
      <c r="D126" s="390" t="s">
        <v>459</v>
      </c>
      <c r="E126" s="390" t="s">
        <v>380</v>
      </c>
      <c r="F126" s="390" t="s">
        <v>310</v>
      </c>
      <c r="G126" s="262" t="s">
        <v>364</v>
      </c>
      <c r="H126" s="261"/>
      <c r="I126" s="261"/>
      <c r="J126" s="261"/>
      <c r="K126" s="261"/>
      <c r="L126" s="261"/>
      <c r="M126" s="261"/>
      <c r="N126" s="261"/>
      <c r="O126" s="261"/>
      <c r="P126" s="261"/>
      <c r="Q126" s="261"/>
      <c r="R126" s="261">
        <v>380</v>
      </c>
      <c r="S126" s="261">
        <v>380</v>
      </c>
      <c r="T126" s="261"/>
      <c r="U126" s="261"/>
      <c r="V126" s="762"/>
      <c r="W126" s="261"/>
      <c r="X126" s="261"/>
      <c r="Y126" s="264">
        <f>IF(NFI_Expiration=1,IF($A126&lt;VLOOKUP(H$5,NFI,5,0),1,0)*Table_NFI[[#This Row],[Hygiene Kit]],Table_NFI[Hygiene Kit])</f>
        <v>0</v>
      </c>
      <c r="Z126" s="264">
        <f>IF(NFI_Expiration=1,IF($A126&lt;VLOOKUP(I$5,NFI,5,0),1,0)*Table_NFI[[#This Row],[NFI Core Kit]],Table_NFI[NFI Core Kit])</f>
        <v>0</v>
      </c>
      <c r="AA126" s="264">
        <f>IF(NFI_Expiration=1,IF($A126&lt;VLOOKUP(J$5,NFI,5,0),1,0)*Table_NFI[[#This Row],[Sanitary Kit]],Table_NFI[Sanitary Kit])</f>
        <v>0</v>
      </c>
      <c r="AB126" s="264">
        <f>IF(NFI_Expiration=1,IF($A126&lt;VLOOKUP(K$5,NFI,5,0),1,0)*Table_NFI[[#This Row],[Mosquito net]],Table_NFI[Mosquito net])</f>
        <v>0</v>
      </c>
      <c r="AC126" s="264">
        <f>IF(NFI_Expiration=1,IF($A126&lt;VLOOKUP(L$5,NFI,5,0),1,0)*Table_NFI[[#This Row],[Tarpaulin]],Table_NFI[[#This Row],[Tarpaulin]])</f>
        <v>0</v>
      </c>
      <c r="AD126" s="264">
        <f>IF(NFI_Expiration=1,IF($A126&lt;VLOOKUP(M$5,NFI,5,0),1,0)*Table_NFI[[#This Row],[Blanket]],Table_NFI[[#This Row],[Blanket]])</f>
        <v>0</v>
      </c>
      <c r="AE126" s="264">
        <f>IF(NFI_Expiration=1,IF($A126&lt;VLOOKUP(N$5,NFI,5,0),1,0)*Table_NFI[[#This Row],[Kitchen Set]],Table_NFI[Kitchen Set])</f>
        <v>0</v>
      </c>
      <c r="AF126" s="264">
        <f>IF(NFI_Expiration=1,IF($A126&lt;VLOOKUP(O$5,NFI,5,0),1,0)*Table_NFI[[#This Row],[Clothes Kit]],Table_NFI[Clothes Kit])</f>
        <v>0</v>
      </c>
      <c r="AG126" s="264">
        <f>IF(NFI_Expiration=1,IF($A126&lt;VLOOKUP(P$5,NFI,5,0),1,0)*Table_NFI[[#This Row],[Plastic Bucket]],Table_NFI[Plastic Bucket])</f>
        <v>0</v>
      </c>
      <c r="AH126" s="264">
        <f>IF(NFI_Expiration=1,IF($A126&lt;VLOOKUP(Q$5,NFI,5,0),1,0)*Table_NFI[[#This Row],[Plastic Mat]],Table_NFI[Plastic Mat])*IF(Table_NFI[[#This Row],[Distribution Date]]&gt;"2014-04-01",1,2.5)</f>
        <v>0</v>
      </c>
      <c r="AI126" s="264">
        <f>IF(NFI_Expiration=1,IF($A126&lt;VLOOKUP(R$5,NFI,5,0),1,0)*Table_NFI[[#This Row],[Winter Clothes Adult]],Table_NFI[Winter Clothes Adult])</f>
        <v>0</v>
      </c>
      <c r="AJ126" s="264">
        <f>IF(NFI_Expiration=1,IF($A126&lt;VLOOKUP(S$5,NFI,5,0),1,0)*Table_NFI[[#This Row],[Winter Clothes Children]],Table_NFI[Winter Clothes Children])</f>
        <v>0</v>
      </c>
      <c r="AK126" s="264">
        <f>IF(NFI_Expiration=1,IF($A126&lt;VLOOKUP(T$5,NFI,5,0),1,0)*Table_NFI[[#This Row],[Winter Items Other]],Table_NFI[Winter Items Other])</f>
        <v>0</v>
      </c>
      <c r="AL126" s="264">
        <f>IF(NFI_Expiration=1,IF($A126&lt;VLOOKUP(M$5,NFI,5,0),1,0)*Table_NFI[[#This Row],[Winter Blanket]],Table_NFI[[#This Row],[Winter Blanket]])</f>
        <v>0</v>
      </c>
      <c r="AM126" s="264">
        <f>IF(Table_NFI[[#This Row],[Winter Clothes Adult]]+Table_NFI[[#This Row],[Winter Clothes Children]]+Table_NFI[[#This Row],[Winter Items Other]]+Table_NFI[[#This Row],[Winter Blanket]]&gt;0,1,0)</f>
        <v>1</v>
      </c>
      <c r="AN126" s="296">
        <f>IF(NFI_Expiration=1,IF($A126&lt;VLOOKUP(V$5,NFI,5,0),1,0)*Table_NFI[[#This Row],[Jerry Can]],Table_NFI[Jerry Can])</f>
        <v>0</v>
      </c>
      <c r="AO126" s="296">
        <f>IF(NFI_Expiration=1,IF($A126&lt;VLOOKUP(V$5,NFI,5,0),1,0)*Table_NFI[[#This Row],[Shelter Tool kit]],Table_NFI[Shelter Tool kit])</f>
        <v>0</v>
      </c>
      <c r="AP126" s="296">
        <f>IF(NFI_Expiration=1,IF($A126&lt;VLOOKUP(V$5,NFI,5,0),1,0)*Table_NFI[[#This Row],[Tent]],Table_NFI[Tent])</f>
        <v>0</v>
      </c>
      <c r="AQ126" s="396" t="str">
        <f>IFERROR(VLOOKUP(Table_NFI[[#This Row],[Camp Name]],CL,2,0),"")</f>
        <v>MMR001CMP043</v>
      </c>
      <c r="AR126" s="702">
        <f ca="1">IF(Table_NFI[[#This Row],[Pcode]]="","",IF(OFFSET(CampList[Opening Date],MATCH(Table_NFI[[#This Row],[Pcode]],CampList[CP_Pcode],0)-1,0,1,1)&gt;=NFI_Monitor_Date,1,0))</f>
        <v>0</v>
      </c>
      <c r="AS126" s="396" t="str">
        <f>IFERROR(VLOOKUP(Table_NFI[[#This Row],[Camp Name]],CL,3,0),"")</f>
        <v>Open</v>
      </c>
      <c r="AT126" s="264" t="str">
        <f ca="1">IF(Table_NFI[[#This Row],[Pcode]]="","",OFFSET(CampList[Priority],MATCH(Table_NFI[[#This Row],[Pcode]],CampList[CP_Pcode],0)-1,0,1,1))</f>
        <v>P1</v>
      </c>
      <c r="AU126" s="421">
        <f>IFERROR(Table_NFI[[#This Row],[Kitchen Set]]/VLOOKUP(Table_NFI[[#This Row],[Camp Name]],CL,4,0),"")</f>
        <v>0</v>
      </c>
      <c r="AV126" s="394"/>
      <c r="AW126" s="424" t="s">
        <v>1341</v>
      </c>
      <c r="AX126" s="399"/>
      <c r="AY126" s="399"/>
      <c r="AZ126" s="399"/>
      <c r="BA126" s="399"/>
      <c r="BB126" s="399"/>
      <c r="BC126" s="399"/>
      <c r="BD126" s="399"/>
      <c r="BE126" s="399"/>
      <c r="BF126" s="399"/>
      <c r="BG126" s="399"/>
      <c r="BH126" s="399"/>
      <c r="BI126" s="399"/>
      <c r="BJ126" s="399"/>
      <c r="BK126" s="399"/>
      <c r="BL126" s="399"/>
      <c r="BM126" s="399"/>
      <c r="BN126" s="399"/>
      <c r="BO126" s="399"/>
      <c r="BP126" s="399"/>
      <c r="BQ126" s="399"/>
      <c r="BR126" s="399"/>
      <c r="BS126" s="399"/>
      <c r="BT126" s="399"/>
      <c r="BU126" s="399"/>
      <c r="BV126" s="399"/>
      <c r="BW126" s="399"/>
      <c r="BX126" s="399"/>
      <c r="BY126" s="399"/>
      <c r="BZ126" s="399"/>
      <c r="CA126" s="399"/>
      <c r="CB126" s="399"/>
      <c r="CC126" s="399"/>
      <c r="CD126" s="399"/>
      <c r="CE126" s="399"/>
      <c r="CF126" s="399"/>
      <c r="CG126" s="399"/>
      <c r="CH126" s="399"/>
      <c r="CI126" s="399"/>
      <c r="CJ126" s="399"/>
      <c r="CK126" s="399"/>
      <c r="CL126" s="399"/>
      <c r="CM126" s="399"/>
      <c r="CN126" s="399"/>
      <c r="CO126" s="399"/>
      <c r="CP126" s="399"/>
      <c r="CQ126" s="399"/>
      <c r="CR126" s="399"/>
      <c r="CS126" s="399"/>
      <c r="CT126" s="399"/>
      <c r="CU126" s="399"/>
      <c r="CV126" s="399"/>
      <c r="CW126" s="399"/>
      <c r="CX126" s="399"/>
      <c r="CY126" s="399"/>
      <c r="CZ126" s="399"/>
      <c r="DA126" s="399"/>
      <c r="DB126" s="399"/>
      <c r="DC126" s="399"/>
      <c r="DD126" s="399"/>
      <c r="DE126" s="399"/>
      <c r="DF126" s="399"/>
      <c r="DG126" s="399"/>
      <c r="DH126" s="399"/>
      <c r="DI126" s="399"/>
      <c r="DJ126" s="399"/>
      <c r="DK126" s="399"/>
      <c r="DL126" s="399"/>
      <c r="DM126" s="399"/>
      <c r="DN126" s="399"/>
      <c r="DO126" s="399"/>
      <c r="DP126" s="399"/>
      <c r="DQ126" s="399"/>
    </row>
    <row r="127" spans="1:121" s="760" customFormat="1" ht="14.45" customHeight="1" x14ac:dyDescent="0.25">
      <c r="A127" s="416">
        <f t="shared" si="1"/>
        <v>14.3</v>
      </c>
      <c r="B127" s="389">
        <v>42427</v>
      </c>
      <c r="C127" s="390" t="s">
        <v>451</v>
      </c>
      <c r="D127" s="390" t="s">
        <v>459</v>
      </c>
      <c r="E127" s="390" t="s">
        <v>380</v>
      </c>
      <c r="F127" s="390" t="s">
        <v>310</v>
      </c>
      <c r="G127" s="390" t="s">
        <v>1231</v>
      </c>
      <c r="H127" s="767"/>
      <c r="I127" s="767"/>
      <c r="J127" s="767"/>
      <c r="K127" s="767"/>
      <c r="L127" s="767"/>
      <c r="M127" s="767"/>
      <c r="N127" s="767"/>
      <c r="O127" s="767"/>
      <c r="P127" s="767"/>
      <c r="Q127" s="767"/>
      <c r="R127" s="767">
        <v>330</v>
      </c>
      <c r="S127" s="767">
        <v>330</v>
      </c>
      <c r="T127" s="767"/>
      <c r="U127" s="767">
        <v>346</v>
      </c>
      <c r="V127" s="768"/>
      <c r="W127" s="767"/>
      <c r="X127" s="767"/>
      <c r="Y127" s="418">
        <f>IF(NFI_Expiration=1,IF($A127&lt;VLOOKUP(H$5,NFI,5,0),1,0)*Table_NFI[[#This Row],[Hygiene Kit]],Table_NFI[Hygiene Kit])</f>
        <v>0</v>
      </c>
      <c r="Z127" s="418">
        <f>IF(NFI_Expiration=1,IF($A127&lt;VLOOKUP(I$5,NFI,5,0),1,0)*Table_NFI[[#This Row],[NFI Core Kit]],Table_NFI[NFI Core Kit])</f>
        <v>0</v>
      </c>
      <c r="AA127" s="418">
        <f>IF(NFI_Expiration=1,IF($A127&lt;VLOOKUP(J$5,NFI,5,0),1,0)*Table_NFI[[#This Row],[Sanitary Kit]],Table_NFI[Sanitary Kit])</f>
        <v>0</v>
      </c>
      <c r="AB127" s="418">
        <f>IF(NFI_Expiration=1,IF($A127&lt;VLOOKUP(K$5,NFI,5,0),1,0)*Table_NFI[[#This Row],[Mosquito net]],Table_NFI[Mosquito net])</f>
        <v>0</v>
      </c>
      <c r="AC127" s="418">
        <f>IF(NFI_Expiration=1,IF($A127&lt;VLOOKUP(L$5,NFI,5,0),1,0)*Table_NFI[[#This Row],[Tarpaulin]],Table_NFI[[#This Row],[Tarpaulin]])</f>
        <v>0</v>
      </c>
      <c r="AD127" s="418">
        <f>IF(NFI_Expiration=1,IF($A127&lt;VLOOKUP(M$5,NFI,5,0),1,0)*Table_NFI[[#This Row],[Blanket]],Table_NFI[[#This Row],[Blanket]])</f>
        <v>0</v>
      </c>
      <c r="AE127" s="418">
        <f>IF(NFI_Expiration=1,IF($A127&lt;VLOOKUP(N$5,NFI,5,0),1,0)*Table_NFI[[#This Row],[Kitchen Set]],Table_NFI[Kitchen Set])</f>
        <v>0</v>
      </c>
      <c r="AF127" s="418">
        <f>IF(NFI_Expiration=1,IF($A127&lt;VLOOKUP(O$5,NFI,5,0),1,0)*Table_NFI[[#This Row],[Clothes Kit]],Table_NFI[Clothes Kit])</f>
        <v>0</v>
      </c>
      <c r="AG127" s="418">
        <f>IF(NFI_Expiration=1,IF($A127&lt;VLOOKUP(P$5,NFI,5,0),1,0)*Table_NFI[[#This Row],[Plastic Bucket]],Table_NFI[Plastic Bucket])</f>
        <v>0</v>
      </c>
      <c r="AH127" s="418">
        <f>IF(NFI_Expiration=1,IF($A127&lt;VLOOKUP(Q$5,NFI,5,0),1,0)*Table_NFI[[#This Row],[Plastic Mat]],Table_NFI[Plastic Mat])*IF(Table_NFI[[#This Row],[Distribution Date]]&gt;"2014-04-01",1,2.5)</f>
        <v>0</v>
      </c>
      <c r="AI127" s="418">
        <f>IF(NFI_Expiration=1,IF($A127&lt;VLOOKUP(R$5,NFI,5,0),1,0)*Table_NFI[[#This Row],[Winter Clothes Adult]],Table_NFI[Winter Clothes Adult])</f>
        <v>0</v>
      </c>
      <c r="AJ127" s="418">
        <f>IF(NFI_Expiration=1,IF($A127&lt;VLOOKUP(S$5,NFI,5,0),1,0)*Table_NFI[[#This Row],[Winter Clothes Children]],Table_NFI[Winter Clothes Children])</f>
        <v>0</v>
      </c>
      <c r="AK127" s="418">
        <f>IF(NFI_Expiration=1,IF($A127&lt;VLOOKUP(T$5,NFI,5,0),1,0)*Table_NFI[[#This Row],[Winter Items Other]],Table_NFI[Winter Items Other])</f>
        <v>0</v>
      </c>
      <c r="AL127" s="418">
        <f>IF(NFI_Expiration=1,IF($A127&lt;VLOOKUP(M$5,NFI,5,0),1,0)*Table_NFI[[#This Row],[Winter Blanket]],Table_NFI[[#This Row],[Winter Blanket]])</f>
        <v>0</v>
      </c>
      <c r="AM127" s="418">
        <f>IF(Table_NFI[[#This Row],[Winter Clothes Adult]]+Table_NFI[[#This Row],[Winter Clothes Children]]+Table_NFI[[#This Row],[Winter Items Other]]+Table_NFI[[#This Row],[Winter Blanket]]&gt;0,1,0)</f>
        <v>1</v>
      </c>
      <c r="AN127" s="419">
        <f>IF(NFI_Expiration=1,IF($A127&lt;VLOOKUP(V$5,NFI,5,0),1,0)*Table_NFI[[#This Row],[Jerry Can]],Table_NFI[Jerry Can])</f>
        <v>0</v>
      </c>
      <c r="AO127" s="419">
        <f>IF(NFI_Expiration=1,IF($A127&lt;VLOOKUP(V$5,NFI,5,0),1,0)*Table_NFI[[#This Row],[Shelter Tool kit]],Table_NFI[Shelter Tool kit])</f>
        <v>0</v>
      </c>
      <c r="AP127" s="419">
        <f>IF(NFI_Expiration=1,IF($A127&lt;VLOOKUP(V$5,NFI,5,0),1,0)*Table_NFI[[#This Row],[Tent]],Table_NFI[Tent])</f>
        <v>0</v>
      </c>
      <c r="AQ127" s="420" t="str">
        <f>IFERROR(VLOOKUP(Table_NFI[[#This Row],[Camp Name]],CL,2,0),"")</f>
        <v>MMR001CMP120</v>
      </c>
      <c r="AR127" s="702">
        <f ca="1">IF(Table_NFI[[#This Row],[Pcode]]="","",IF(OFFSET(CampList[Opening Date],MATCH(Table_NFI[[#This Row],[Pcode]],CampList[CP_Pcode],0)-1,0,1,1)&gt;=NFI_Monitor_Date,1,0))</f>
        <v>0</v>
      </c>
      <c r="AS127" s="420" t="str">
        <f>IFERROR(VLOOKUP(Table_NFI[[#This Row],[Camp Name]],CL,3,0),"")</f>
        <v>Open</v>
      </c>
      <c r="AT127" s="418" t="str">
        <f ca="1">IF(Table_NFI[[#This Row],[Pcode]]="","",OFFSET(CampList[Priority],MATCH(Table_NFI[[#This Row],[Pcode]],CampList[CP_Pcode],0)-1,0,1,1))</f>
        <v>P1</v>
      </c>
      <c r="AU127" s="421">
        <f>IFERROR(Table_NFI[[#This Row],[Kitchen Set]]/VLOOKUP(Table_NFI[[#This Row],[Camp Name]],CL,4,0),"")</f>
        <v>0</v>
      </c>
      <c r="AV127" s="417"/>
      <c r="AW127" s="425" t="s">
        <v>1342</v>
      </c>
      <c r="AX127" s="399"/>
      <c r="AY127" s="399"/>
      <c r="AZ127" s="399"/>
      <c r="BA127" s="399"/>
      <c r="BB127" s="399"/>
      <c r="BC127" s="399"/>
      <c r="BD127" s="399"/>
      <c r="BE127" s="399"/>
      <c r="BF127" s="399"/>
      <c r="BG127" s="399"/>
      <c r="BH127" s="399"/>
      <c r="BI127" s="399"/>
      <c r="BJ127" s="399"/>
      <c r="BK127" s="399"/>
      <c r="BL127" s="399"/>
      <c r="BM127" s="399"/>
      <c r="BN127" s="399"/>
      <c r="BO127" s="399"/>
      <c r="BP127" s="399"/>
      <c r="BQ127" s="399"/>
      <c r="BR127" s="399"/>
      <c r="BS127" s="399"/>
      <c r="BT127" s="399"/>
      <c r="BU127" s="399"/>
      <c r="BV127" s="399"/>
      <c r="BW127" s="399"/>
      <c r="BX127" s="399"/>
      <c r="BY127" s="399"/>
      <c r="BZ127" s="399"/>
      <c r="CA127" s="399"/>
      <c r="CB127" s="399"/>
      <c r="CC127" s="399"/>
      <c r="CD127" s="399"/>
      <c r="CE127" s="399"/>
      <c r="CF127" s="399"/>
      <c r="CG127" s="399"/>
      <c r="CH127" s="399"/>
      <c r="CI127" s="399"/>
      <c r="CJ127" s="399"/>
      <c r="CK127" s="399"/>
      <c r="CL127" s="399"/>
      <c r="CM127" s="399"/>
      <c r="CN127" s="399"/>
      <c r="CO127" s="399"/>
      <c r="CP127" s="399"/>
      <c r="CQ127" s="399"/>
      <c r="CR127" s="399"/>
      <c r="CS127" s="399"/>
      <c r="CT127" s="399"/>
      <c r="CU127" s="399"/>
      <c r="CV127" s="399"/>
      <c r="CW127" s="399"/>
      <c r="CX127" s="399"/>
      <c r="CY127" s="399"/>
      <c r="CZ127" s="399"/>
      <c r="DA127" s="399"/>
      <c r="DB127" s="399"/>
      <c r="DC127" s="399"/>
      <c r="DD127" s="399"/>
      <c r="DE127" s="399"/>
      <c r="DF127" s="399"/>
      <c r="DG127" s="399"/>
      <c r="DH127" s="399"/>
      <c r="DI127" s="399"/>
      <c r="DJ127" s="399"/>
      <c r="DK127" s="399"/>
      <c r="DL127" s="399"/>
      <c r="DM127" s="399"/>
      <c r="DN127" s="399"/>
      <c r="DO127" s="399"/>
      <c r="DP127" s="399"/>
      <c r="DQ127" s="399"/>
    </row>
    <row r="128" spans="1:121" s="759" customFormat="1" ht="14.45" customHeight="1" x14ac:dyDescent="0.25">
      <c r="A128" s="416">
        <f t="shared" si="1"/>
        <v>14.3</v>
      </c>
      <c r="B128" s="389">
        <v>42427</v>
      </c>
      <c r="C128" s="394" t="s">
        <v>451</v>
      </c>
      <c r="D128" s="394" t="s">
        <v>459</v>
      </c>
      <c r="E128" s="390" t="s">
        <v>380</v>
      </c>
      <c r="F128" s="390" t="s">
        <v>310</v>
      </c>
      <c r="G128" s="394" t="s">
        <v>1231</v>
      </c>
      <c r="H128" s="767"/>
      <c r="I128" s="767"/>
      <c r="J128" s="767"/>
      <c r="K128" s="767"/>
      <c r="L128" s="767"/>
      <c r="M128" s="767">
        <v>670</v>
      </c>
      <c r="N128" s="767"/>
      <c r="O128" s="767"/>
      <c r="P128" s="767">
        <v>345</v>
      </c>
      <c r="Q128" s="767"/>
      <c r="R128" s="767"/>
      <c r="S128" s="767"/>
      <c r="T128" s="767"/>
      <c r="U128" s="767"/>
      <c r="V128" s="768"/>
      <c r="W128" s="767"/>
      <c r="X128" s="767"/>
      <c r="Y128" s="418">
        <f>IF(NFI_Expiration=1,IF($A128&lt;VLOOKUP(H$5,NFI,5,0),1,0)*Table_NFI[[#This Row],[Hygiene Kit]],Table_NFI[Hygiene Kit])</f>
        <v>0</v>
      </c>
      <c r="Z128" s="418">
        <f>IF(NFI_Expiration=1,IF($A128&lt;VLOOKUP(I$5,NFI,5,0),1,0)*Table_NFI[[#This Row],[NFI Core Kit]],Table_NFI[NFI Core Kit])</f>
        <v>0</v>
      </c>
      <c r="AA128" s="418">
        <f>IF(NFI_Expiration=1,IF($A128&lt;VLOOKUP(J$5,NFI,5,0),1,0)*Table_NFI[[#This Row],[Sanitary Kit]],Table_NFI[Sanitary Kit])</f>
        <v>0</v>
      </c>
      <c r="AB128" s="418">
        <f>IF(NFI_Expiration=1,IF($A128&lt;VLOOKUP(K$5,NFI,5,0),1,0)*Table_NFI[[#This Row],[Mosquito net]],Table_NFI[Mosquito net])</f>
        <v>0</v>
      </c>
      <c r="AC128" s="418">
        <f>IF(NFI_Expiration=1,IF($A128&lt;VLOOKUP(L$5,NFI,5,0),1,0)*Table_NFI[[#This Row],[Tarpaulin]],Table_NFI[[#This Row],[Tarpaulin]])</f>
        <v>0</v>
      </c>
      <c r="AD128" s="418">
        <f>IF(NFI_Expiration=1,IF($A128&lt;VLOOKUP(M$5,NFI,5,0),1,0)*Table_NFI[[#This Row],[Blanket]],Table_NFI[[#This Row],[Blanket]])</f>
        <v>0</v>
      </c>
      <c r="AE128" s="418">
        <f>IF(NFI_Expiration=1,IF($A128&lt;VLOOKUP(N$5,NFI,5,0),1,0)*Table_NFI[[#This Row],[Kitchen Set]],Table_NFI[Kitchen Set])</f>
        <v>0</v>
      </c>
      <c r="AF128" s="418">
        <f>IF(NFI_Expiration=1,IF($A128&lt;VLOOKUP(O$5,NFI,5,0),1,0)*Table_NFI[[#This Row],[Clothes Kit]],Table_NFI[Clothes Kit])</f>
        <v>0</v>
      </c>
      <c r="AG128" s="418">
        <f>IF(NFI_Expiration=1,IF($A128&lt;VLOOKUP(P$5,NFI,5,0),1,0)*Table_NFI[[#This Row],[Plastic Bucket]],Table_NFI[Plastic Bucket])</f>
        <v>0</v>
      </c>
      <c r="AH128" s="418">
        <f>IF(NFI_Expiration=1,IF($A128&lt;VLOOKUP(Q$5,NFI,5,0),1,0)*Table_NFI[[#This Row],[Plastic Mat]],Table_NFI[Plastic Mat])*IF(Table_NFI[[#This Row],[Distribution Date]]&gt;"2014-04-01",1,2.5)</f>
        <v>0</v>
      </c>
      <c r="AI128" s="418">
        <f>IF(NFI_Expiration=1,IF($A128&lt;VLOOKUP(R$5,NFI,5,0),1,0)*Table_NFI[[#This Row],[Winter Clothes Adult]],Table_NFI[Winter Clothes Adult])</f>
        <v>0</v>
      </c>
      <c r="AJ128" s="418">
        <f>IF(NFI_Expiration=1,IF($A128&lt;VLOOKUP(S$5,NFI,5,0),1,0)*Table_NFI[[#This Row],[Winter Clothes Children]],Table_NFI[Winter Clothes Children])</f>
        <v>0</v>
      </c>
      <c r="AK128" s="418">
        <f>IF(NFI_Expiration=1,IF($A128&lt;VLOOKUP(T$5,NFI,5,0),1,0)*Table_NFI[[#This Row],[Winter Items Other]],Table_NFI[Winter Items Other])</f>
        <v>0</v>
      </c>
      <c r="AL128" s="418">
        <f>IF(NFI_Expiration=1,IF($A128&lt;VLOOKUP(M$5,NFI,5,0),1,0)*Table_NFI[[#This Row],[Winter Blanket]],Table_NFI[[#This Row],[Winter Blanket]])</f>
        <v>0</v>
      </c>
      <c r="AM128" s="418">
        <f>IF(Table_NFI[[#This Row],[Winter Clothes Adult]]+Table_NFI[[#This Row],[Winter Clothes Children]]+Table_NFI[[#This Row],[Winter Items Other]]+Table_NFI[[#This Row],[Winter Blanket]]&gt;0,1,0)</f>
        <v>0</v>
      </c>
      <c r="AN128" s="419">
        <f>IF(NFI_Expiration=1,IF($A128&lt;VLOOKUP(V$5,NFI,5,0),1,0)*Table_NFI[[#This Row],[Jerry Can]],Table_NFI[Jerry Can])</f>
        <v>0</v>
      </c>
      <c r="AO128" s="419">
        <f>IF(NFI_Expiration=1,IF($A128&lt;VLOOKUP(V$5,NFI,5,0),1,0)*Table_NFI[[#This Row],[Shelter Tool kit]],Table_NFI[Shelter Tool kit])</f>
        <v>0</v>
      </c>
      <c r="AP128" s="419">
        <f>IF(NFI_Expiration=1,IF($A128&lt;VLOOKUP(V$5,NFI,5,0),1,0)*Table_NFI[[#This Row],[Tent]],Table_NFI[Tent])</f>
        <v>0</v>
      </c>
      <c r="AQ128" s="420" t="str">
        <f>IFERROR(VLOOKUP(Table_NFI[[#This Row],[Camp Name]],CL,2,0),"")</f>
        <v>MMR001CMP120</v>
      </c>
      <c r="AR128" s="702">
        <f ca="1">IF(Table_NFI[[#This Row],[Pcode]]="","",IF(OFFSET(CampList[Opening Date],MATCH(Table_NFI[[#This Row],[Pcode]],CampList[CP_Pcode],0)-1,0,1,1)&gt;=NFI_Monitor_Date,1,0))</f>
        <v>0</v>
      </c>
      <c r="AS128" s="420" t="str">
        <f>IFERROR(VLOOKUP(Table_NFI[[#This Row],[Camp Name]],CL,3,0),"")</f>
        <v>Open</v>
      </c>
      <c r="AT128" s="418" t="str">
        <f ca="1">IF(Table_NFI[[#This Row],[Pcode]]="","",OFFSET(CampList[Priority],MATCH(Table_NFI[[#This Row],[Pcode]],CampList[CP_Pcode],0)-1,0,1,1))</f>
        <v>P1</v>
      </c>
      <c r="AU128" s="421">
        <f>IFERROR(Table_NFI[[#This Row],[Kitchen Set]]/VLOOKUP(Table_NFI[[#This Row],[Camp Name]],CL,4,0),"")</f>
        <v>0</v>
      </c>
      <c r="AV128" s="417"/>
      <c r="AW128" s="425"/>
      <c r="AX128" s="402"/>
      <c r="AY128" s="402"/>
      <c r="AZ128" s="402"/>
      <c r="BA128" s="402"/>
      <c r="BB128" s="402"/>
      <c r="BC128" s="402"/>
      <c r="BD128" s="402"/>
      <c r="BE128" s="402"/>
      <c r="BF128" s="402"/>
      <c r="BG128" s="402"/>
      <c r="BH128" s="402"/>
      <c r="BI128" s="402"/>
      <c r="BJ128" s="402"/>
      <c r="BK128" s="402"/>
      <c r="BL128" s="402"/>
      <c r="BM128" s="402"/>
      <c r="BN128" s="402"/>
      <c r="BO128" s="402"/>
      <c r="BP128" s="402"/>
      <c r="BQ128" s="402"/>
      <c r="BR128" s="402"/>
      <c r="BS128" s="402"/>
      <c r="BT128" s="402"/>
      <c r="BU128" s="402"/>
      <c r="BV128" s="402"/>
      <c r="BW128" s="402"/>
      <c r="BX128" s="402"/>
      <c r="BY128" s="402"/>
      <c r="BZ128" s="402"/>
      <c r="CA128" s="402"/>
      <c r="CB128" s="402"/>
      <c r="CC128" s="402"/>
      <c r="CD128" s="402"/>
      <c r="CE128" s="402"/>
      <c r="CF128" s="402"/>
      <c r="CG128" s="402"/>
      <c r="CH128" s="402"/>
      <c r="CI128" s="402"/>
      <c r="CJ128" s="402"/>
      <c r="CK128" s="402"/>
      <c r="CL128" s="402"/>
      <c r="CM128" s="402"/>
      <c r="CN128" s="402"/>
      <c r="CO128" s="402"/>
      <c r="CP128" s="402"/>
      <c r="CQ128" s="402"/>
      <c r="CR128" s="402"/>
      <c r="CS128" s="402"/>
      <c r="CT128" s="402"/>
      <c r="CU128" s="402"/>
      <c r="CV128" s="402"/>
      <c r="CW128" s="402"/>
      <c r="CX128" s="402"/>
      <c r="CY128" s="402"/>
      <c r="CZ128" s="402"/>
      <c r="DA128" s="402"/>
      <c r="DB128" s="402"/>
      <c r="DC128" s="402"/>
      <c r="DD128" s="402"/>
      <c r="DE128" s="402"/>
      <c r="DF128" s="402"/>
      <c r="DG128" s="402"/>
      <c r="DH128" s="402"/>
      <c r="DI128" s="402"/>
      <c r="DJ128" s="402"/>
      <c r="DK128" s="402"/>
      <c r="DL128" s="402"/>
      <c r="DM128" s="402"/>
      <c r="DN128" s="402"/>
      <c r="DO128" s="402"/>
      <c r="DP128" s="402"/>
      <c r="DQ128" s="402"/>
    </row>
    <row r="129" spans="1:121" s="760" customFormat="1" ht="14.45" customHeight="1" x14ac:dyDescent="0.25">
      <c r="A129" s="266">
        <f t="shared" si="1"/>
        <v>14.333333333333334</v>
      </c>
      <c r="B129" s="389">
        <v>42426</v>
      </c>
      <c r="C129" s="390" t="s">
        <v>904</v>
      </c>
      <c r="D129" s="390" t="s">
        <v>904</v>
      </c>
      <c r="E129" s="390" t="s">
        <v>380</v>
      </c>
      <c r="F129" s="262" t="s">
        <v>5</v>
      </c>
      <c r="G129" s="262" t="s">
        <v>6</v>
      </c>
      <c r="H129" s="261"/>
      <c r="I129" s="261"/>
      <c r="J129" s="261"/>
      <c r="K129" s="261"/>
      <c r="L129" s="261"/>
      <c r="M129" s="261"/>
      <c r="N129" s="261"/>
      <c r="O129" s="261"/>
      <c r="P129" s="261"/>
      <c r="Q129" s="261"/>
      <c r="R129" s="261"/>
      <c r="S129" s="261"/>
      <c r="T129" s="261"/>
      <c r="U129" s="261"/>
      <c r="V129" s="762"/>
      <c r="W129" s="261"/>
      <c r="X129" s="261"/>
      <c r="Y129" s="264">
        <f>IF(NFI_Expiration=1,IF($A129&lt;VLOOKUP(H$5,NFI,5,0),1,0)*Table_NFI[[#This Row],[Hygiene Kit]],Table_NFI[Hygiene Kit])</f>
        <v>0</v>
      </c>
      <c r="Z129" s="264">
        <f>IF(NFI_Expiration=1,IF($A129&lt;VLOOKUP(I$5,NFI,5,0),1,0)*Table_NFI[[#This Row],[NFI Core Kit]],Table_NFI[NFI Core Kit])</f>
        <v>0</v>
      </c>
      <c r="AA129" s="264">
        <f>IF(NFI_Expiration=1,IF($A129&lt;VLOOKUP(J$5,NFI,5,0),1,0)*Table_NFI[[#This Row],[Sanitary Kit]],Table_NFI[Sanitary Kit])</f>
        <v>0</v>
      </c>
      <c r="AB129" s="264">
        <f>IF(NFI_Expiration=1,IF($A129&lt;VLOOKUP(K$5,NFI,5,0),1,0)*Table_NFI[[#This Row],[Mosquito net]],Table_NFI[Mosquito net])</f>
        <v>0</v>
      </c>
      <c r="AC129" s="264">
        <f>IF(NFI_Expiration=1,IF($A129&lt;VLOOKUP(L$5,NFI,5,0),1,0)*Table_NFI[[#This Row],[Tarpaulin]],Table_NFI[[#This Row],[Tarpaulin]])</f>
        <v>0</v>
      </c>
      <c r="AD129" s="264">
        <f>IF(NFI_Expiration=1,IF($A129&lt;VLOOKUP(M$5,NFI,5,0),1,0)*Table_NFI[[#This Row],[Blanket]],Table_NFI[[#This Row],[Blanket]])</f>
        <v>0</v>
      </c>
      <c r="AE129" s="264">
        <f>IF(NFI_Expiration=1,IF($A129&lt;VLOOKUP(N$5,NFI,5,0),1,0)*Table_NFI[[#This Row],[Kitchen Set]],Table_NFI[Kitchen Set])</f>
        <v>0</v>
      </c>
      <c r="AF129" s="264">
        <f>IF(NFI_Expiration=1,IF($A129&lt;VLOOKUP(O$5,NFI,5,0),1,0)*Table_NFI[[#This Row],[Clothes Kit]],Table_NFI[Clothes Kit])</f>
        <v>0</v>
      </c>
      <c r="AG129" s="264">
        <f>IF(NFI_Expiration=1,IF($A129&lt;VLOOKUP(P$5,NFI,5,0),1,0)*Table_NFI[[#This Row],[Plastic Bucket]],Table_NFI[Plastic Bucket])</f>
        <v>0</v>
      </c>
      <c r="AH129" s="264">
        <f>IF(NFI_Expiration=1,IF($A129&lt;VLOOKUP(Q$5,NFI,5,0),1,0)*Table_NFI[[#This Row],[Plastic Mat]],Table_NFI[Plastic Mat])*IF(Table_NFI[[#This Row],[Distribution Date]]&gt;"2014-04-01",1,2.5)</f>
        <v>0</v>
      </c>
      <c r="AI129" s="264">
        <f>IF(NFI_Expiration=1,IF($A129&lt;VLOOKUP(R$5,NFI,5,0),1,0)*Table_NFI[[#This Row],[Winter Clothes Adult]],Table_NFI[Winter Clothes Adult])</f>
        <v>0</v>
      </c>
      <c r="AJ129" s="264">
        <f>IF(NFI_Expiration=1,IF($A129&lt;VLOOKUP(S$5,NFI,5,0),1,0)*Table_NFI[[#This Row],[Winter Clothes Children]],Table_NFI[Winter Clothes Children])</f>
        <v>0</v>
      </c>
      <c r="AK129" s="264">
        <f>IF(NFI_Expiration=1,IF($A129&lt;VLOOKUP(T$5,NFI,5,0),1,0)*Table_NFI[[#This Row],[Winter Items Other]],Table_NFI[Winter Items Other])</f>
        <v>0</v>
      </c>
      <c r="AL129" s="264">
        <f>IF(NFI_Expiration=1,IF($A129&lt;VLOOKUP(M$5,NFI,5,0),1,0)*Table_NFI[[#This Row],[Winter Blanket]],Table_NFI[[#This Row],[Winter Blanket]])</f>
        <v>0</v>
      </c>
      <c r="AM129" s="264">
        <f>IF(Table_NFI[[#This Row],[Winter Clothes Adult]]+Table_NFI[[#This Row],[Winter Clothes Children]]+Table_NFI[[#This Row],[Winter Items Other]]+Table_NFI[[#This Row],[Winter Blanket]]&gt;0,1,0)</f>
        <v>0</v>
      </c>
      <c r="AN129" s="296">
        <f>IF(NFI_Expiration=1,IF($A129&lt;VLOOKUP(V$5,NFI,5,0),1,0)*Table_NFI[[#This Row],[Jerry Can]],Table_NFI[Jerry Can])</f>
        <v>0</v>
      </c>
      <c r="AO129" s="296">
        <f>IF(NFI_Expiration=1,IF($A129&lt;VLOOKUP(V$5,NFI,5,0),1,0)*Table_NFI[[#This Row],[Shelter Tool kit]],Table_NFI[Shelter Tool kit])</f>
        <v>0</v>
      </c>
      <c r="AP129" s="296">
        <f>IF(NFI_Expiration=1,IF($A129&lt;VLOOKUP(V$5,NFI,5,0),1,0)*Table_NFI[[#This Row],[Tent]],Table_NFI[Tent])</f>
        <v>0</v>
      </c>
      <c r="AQ129" s="396" t="str">
        <f>IFERROR(VLOOKUP(Table_NFI[[#This Row],[Camp Name]],CL,2,0),"")</f>
        <v>MMR001CMP050</v>
      </c>
      <c r="AR129" s="702">
        <f ca="1">IF(Table_NFI[[#This Row],[Pcode]]="","",IF(OFFSET(CampList[Opening Date],MATCH(Table_NFI[[#This Row],[Pcode]],CampList[CP_Pcode],0)-1,0,1,1)&gt;=NFI_Monitor_Date,1,0))</f>
        <v>0</v>
      </c>
      <c r="AS129" s="396" t="str">
        <f>IFERROR(VLOOKUP(Table_NFI[[#This Row],[Camp Name]],CL,3,0),"")</f>
        <v>Open</v>
      </c>
      <c r="AT129" s="264" t="str">
        <f ca="1">IF(Table_NFI[[#This Row],[Pcode]]="","",OFFSET(CampList[Priority],MATCH(Table_NFI[[#This Row],[Pcode]],CampList[CP_Pcode],0)-1,0,1,1))</f>
        <v>P4</v>
      </c>
      <c r="AU129" s="263">
        <f>IFERROR(Table_NFI[[#This Row],[Kitchen Set]]/VLOOKUP(Table_NFI[[#This Row],[Camp Name]],CL,4,0),"")</f>
        <v>0</v>
      </c>
      <c r="AV129" s="390"/>
      <c r="AW129" s="392"/>
      <c r="AX129" s="399"/>
      <c r="AY129" s="399"/>
      <c r="AZ129" s="399"/>
      <c r="BA129" s="399"/>
      <c r="BB129" s="399"/>
      <c r="BC129" s="399"/>
      <c r="BD129" s="399"/>
      <c r="BE129" s="399"/>
      <c r="BF129" s="399"/>
      <c r="BG129" s="399"/>
      <c r="BH129" s="399"/>
      <c r="BI129" s="399"/>
      <c r="BJ129" s="399"/>
      <c r="BK129" s="399"/>
      <c r="BL129" s="399"/>
      <c r="BM129" s="399"/>
      <c r="BN129" s="399"/>
      <c r="BO129" s="399"/>
      <c r="BP129" s="399"/>
      <c r="BQ129" s="399"/>
      <c r="BR129" s="399"/>
      <c r="BS129" s="399"/>
      <c r="BT129" s="399"/>
      <c r="BU129" s="399"/>
      <c r="BV129" s="399"/>
      <c r="BW129" s="399"/>
      <c r="BX129" s="399"/>
      <c r="BY129" s="399"/>
      <c r="BZ129" s="399"/>
      <c r="CA129" s="399"/>
      <c r="CB129" s="399"/>
      <c r="CC129" s="399"/>
      <c r="CD129" s="399"/>
      <c r="CE129" s="399"/>
      <c r="CF129" s="399"/>
      <c r="CG129" s="399"/>
      <c r="CH129" s="399"/>
      <c r="CI129" s="399"/>
      <c r="CJ129" s="399"/>
      <c r="CK129" s="399"/>
      <c r="CL129" s="399"/>
      <c r="CM129" s="399"/>
      <c r="CN129" s="399"/>
      <c r="CO129" s="399"/>
      <c r="CP129" s="399"/>
      <c r="CQ129" s="399"/>
      <c r="CR129" s="399"/>
      <c r="CS129" s="399"/>
      <c r="CT129" s="399"/>
      <c r="CU129" s="399"/>
      <c r="CV129" s="399"/>
      <c r="CW129" s="399"/>
      <c r="CX129" s="399"/>
      <c r="CY129" s="399"/>
      <c r="CZ129" s="399"/>
      <c r="DA129" s="399"/>
      <c r="DB129" s="399"/>
      <c r="DC129" s="399"/>
      <c r="DD129" s="399"/>
      <c r="DE129" s="399"/>
      <c r="DF129" s="399"/>
      <c r="DG129" s="399"/>
      <c r="DH129" s="399"/>
      <c r="DI129" s="399"/>
      <c r="DJ129" s="399"/>
      <c r="DK129" s="399"/>
      <c r="DL129" s="399"/>
      <c r="DM129" s="399"/>
      <c r="DN129" s="399"/>
      <c r="DO129" s="399"/>
      <c r="DP129" s="399"/>
      <c r="DQ129" s="399"/>
    </row>
    <row r="130" spans="1:121" s="760" customFormat="1" ht="14.45" customHeight="1" x14ac:dyDescent="0.25">
      <c r="A130" s="266">
        <f t="shared" si="1"/>
        <v>14.333333333333334</v>
      </c>
      <c r="B130" s="389">
        <v>42426</v>
      </c>
      <c r="C130" s="390" t="s">
        <v>904</v>
      </c>
      <c r="D130" s="390" t="s">
        <v>904</v>
      </c>
      <c r="E130" s="390" t="s">
        <v>380</v>
      </c>
      <c r="F130" s="390" t="s">
        <v>5</v>
      </c>
      <c r="G130" s="390" t="s">
        <v>24</v>
      </c>
      <c r="H130" s="261"/>
      <c r="I130" s="261"/>
      <c r="J130" s="261"/>
      <c r="K130" s="261"/>
      <c r="L130" s="261"/>
      <c r="M130" s="261"/>
      <c r="N130" s="261"/>
      <c r="O130" s="261"/>
      <c r="P130" s="261"/>
      <c r="Q130" s="261"/>
      <c r="R130" s="261"/>
      <c r="S130" s="261"/>
      <c r="T130" s="261"/>
      <c r="U130" s="261"/>
      <c r="V130" s="762"/>
      <c r="W130" s="261"/>
      <c r="X130" s="261"/>
      <c r="Y130" s="264">
        <f>IF(NFI_Expiration=1,IF($A130&lt;VLOOKUP(H$5,NFI,5,0),1,0)*Table_NFI[[#This Row],[Hygiene Kit]],Table_NFI[Hygiene Kit])</f>
        <v>0</v>
      </c>
      <c r="Z130" s="264">
        <f>IF(NFI_Expiration=1,IF($A130&lt;VLOOKUP(I$5,NFI,5,0),1,0)*Table_NFI[[#This Row],[NFI Core Kit]],Table_NFI[NFI Core Kit])</f>
        <v>0</v>
      </c>
      <c r="AA130" s="264">
        <f>IF(NFI_Expiration=1,IF($A130&lt;VLOOKUP(J$5,NFI,5,0),1,0)*Table_NFI[[#This Row],[Sanitary Kit]],Table_NFI[Sanitary Kit])</f>
        <v>0</v>
      </c>
      <c r="AB130" s="264">
        <f>IF(NFI_Expiration=1,IF($A130&lt;VLOOKUP(K$5,NFI,5,0),1,0)*Table_NFI[[#This Row],[Mosquito net]],Table_NFI[Mosquito net])</f>
        <v>0</v>
      </c>
      <c r="AC130" s="264">
        <f>IF(NFI_Expiration=1,IF($A130&lt;VLOOKUP(L$5,NFI,5,0),1,0)*Table_NFI[[#This Row],[Tarpaulin]],Table_NFI[[#This Row],[Tarpaulin]])</f>
        <v>0</v>
      </c>
      <c r="AD130" s="264">
        <f>IF(NFI_Expiration=1,IF($A130&lt;VLOOKUP(M$5,NFI,5,0),1,0)*Table_NFI[[#This Row],[Blanket]],Table_NFI[[#This Row],[Blanket]])</f>
        <v>0</v>
      </c>
      <c r="AE130" s="264">
        <f>IF(NFI_Expiration=1,IF($A130&lt;VLOOKUP(N$5,NFI,5,0),1,0)*Table_NFI[[#This Row],[Kitchen Set]],Table_NFI[Kitchen Set])</f>
        <v>0</v>
      </c>
      <c r="AF130" s="264">
        <f>IF(NFI_Expiration=1,IF($A130&lt;VLOOKUP(O$5,NFI,5,0),1,0)*Table_NFI[[#This Row],[Clothes Kit]],Table_NFI[Clothes Kit])</f>
        <v>0</v>
      </c>
      <c r="AG130" s="264">
        <f>IF(NFI_Expiration=1,IF($A130&lt;VLOOKUP(P$5,NFI,5,0),1,0)*Table_NFI[[#This Row],[Plastic Bucket]],Table_NFI[Plastic Bucket])</f>
        <v>0</v>
      </c>
      <c r="AH130" s="264">
        <f>IF(NFI_Expiration=1,IF($A130&lt;VLOOKUP(Q$5,NFI,5,0),1,0)*Table_NFI[[#This Row],[Plastic Mat]],Table_NFI[Plastic Mat])*IF(Table_NFI[[#This Row],[Distribution Date]]&gt;"2014-04-01",1,2.5)</f>
        <v>0</v>
      </c>
      <c r="AI130" s="264">
        <f>IF(NFI_Expiration=1,IF($A130&lt;VLOOKUP(R$5,NFI,5,0),1,0)*Table_NFI[[#This Row],[Winter Clothes Adult]],Table_NFI[Winter Clothes Adult])</f>
        <v>0</v>
      </c>
      <c r="AJ130" s="264">
        <f>IF(NFI_Expiration=1,IF($A130&lt;VLOOKUP(S$5,NFI,5,0),1,0)*Table_NFI[[#This Row],[Winter Clothes Children]],Table_NFI[Winter Clothes Children])</f>
        <v>0</v>
      </c>
      <c r="AK130" s="264">
        <f>IF(NFI_Expiration=1,IF($A130&lt;VLOOKUP(T$5,NFI,5,0),1,0)*Table_NFI[[#This Row],[Winter Items Other]],Table_NFI[Winter Items Other])</f>
        <v>0</v>
      </c>
      <c r="AL130" s="264">
        <f>IF(NFI_Expiration=1,IF($A130&lt;VLOOKUP(M$5,NFI,5,0),1,0)*Table_NFI[[#This Row],[Winter Blanket]],Table_NFI[[#This Row],[Winter Blanket]])</f>
        <v>0</v>
      </c>
      <c r="AM130" s="264">
        <f>IF(Table_NFI[[#This Row],[Winter Clothes Adult]]+Table_NFI[[#This Row],[Winter Clothes Children]]+Table_NFI[[#This Row],[Winter Items Other]]+Table_NFI[[#This Row],[Winter Blanket]]&gt;0,1,0)</f>
        <v>0</v>
      </c>
      <c r="AN130" s="296">
        <f>IF(NFI_Expiration=1,IF($A130&lt;VLOOKUP(V$5,NFI,5,0),1,0)*Table_NFI[[#This Row],[Jerry Can]],Table_NFI[Jerry Can])</f>
        <v>0</v>
      </c>
      <c r="AO130" s="296">
        <f>IF(NFI_Expiration=1,IF($A130&lt;VLOOKUP(V$5,NFI,5,0),1,0)*Table_NFI[[#This Row],[Shelter Tool kit]],Table_NFI[Shelter Tool kit])</f>
        <v>0</v>
      </c>
      <c r="AP130" s="296">
        <f>IF(NFI_Expiration=1,IF($A130&lt;VLOOKUP(V$5,NFI,5,0),1,0)*Table_NFI[[#This Row],[Tent]],Table_NFI[Tent])</f>
        <v>0</v>
      </c>
      <c r="AQ130" s="396" t="str">
        <f>IFERROR(VLOOKUP(Table_NFI[[#This Row],[Camp Name]],CL,2,0),"")</f>
        <v>MMR001CMP055</v>
      </c>
      <c r="AR130" s="702">
        <f ca="1">IF(Table_NFI[[#This Row],[Pcode]]="","",IF(OFFSET(CampList[Opening Date],MATCH(Table_NFI[[#This Row],[Pcode]],CampList[CP_Pcode],0)-1,0,1,1)&gt;=NFI_Monitor_Date,1,0))</f>
        <v>0</v>
      </c>
      <c r="AS130" s="396" t="str">
        <f>IFERROR(VLOOKUP(Table_NFI[[#This Row],[Camp Name]],CL,3,0),"")</f>
        <v>Open</v>
      </c>
      <c r="AT130" s="264" t="str">
        <f ca="1">IF(Table_NFI[[#This Row],[Pcode]]="","",OFFSET(CampList[Priority],MATCH(Table_NFI[[#This Row],[Pcode]],CampList[CP_Pcode],0)-1,0,1,1))</f>
        <v>P4</v>
      </c>
      <c r="AU130" s="263">
        <f>IFERROR(Table_NFI[[#This Row],[Kitchen Set]]/VLOOKUP(Table_NFI[[#This Row],[Camp Name]],CL,4,0),"")</f>
        <v>0</v>
      </c>
      <c r="AV130" s="390"/>
      <c r="AW130" s="392"/>
      <c r="AX130" s="399"/>
      <c r="AY130" s="399"/>
      <c r="AZ130" s="399"/>
      <c r="BA130" s="399"/>
      <c r="BB130" s="399"/>
      <c r="BC130" s="399"/>
      <c r="BD130" s="399"/>
      <c r="BE130" s="399"/>
      <c r="BF130" s="399"/>
      <c r="BG130" s="399"/>
      <c r="BH130" s="399"/>
      <c r="BI130" s="399"/>
      <c r="BJ130" s="399"/>
      <c r="BK130" s="399"/>
      <c r="BL130" s="399"/>
      <c r="BM130" s="399"/>
      <c r="BN130" s="399"/>
      <c r="BO130" s="399"/>
      <c r="BP130" s="399"/>
      <c r="BQ130" s="399"/>
      <c r="BR130" s="399"/>
      <c r="BS130" s="399"/>
      <c r="BT130" s="399"/>
      <c r="BU130" s="399"/>
      <c r="BV130" s="399"/>
      <c r="BW130" s="399"/>
      <c r="BX130" s="399"/>
      <c r="BY130" s="399"/>
      <c r="BZ130" s="399"/>
      <c r="CA130" s="399"/>
      <c r="CB130" s="399"/>
      <c r="CC130" s="399"/>
      <c r="CD130" s="399"/>
      <c r="CE130" s="399"/>
      <c r="CF130" s="399"/>
      <c r="CG130" s="399"/>
      <c r="CH130" s="399"/>
      <c r="CI130" s="399"/>
      <c r="CJ130" s="399"/>
      <c r="CK130" s="399"/>
      <c r="CL130" s="399"/>
      <c r="CM130" s="399"/>
      <c r="CN130" s="399"/>
      <c r="CO130" s="399"/>
      <c r="CP130" s="399"/>
      <c r="CQ130" s="399"/>
      <c r="CR130" s="399"/>
      <c r="CS130" s="399"/>
      <c r="CT130" s="399"/>
      <c r="CU130" s="399"/>
      <c r="CV130" s="399"/>
      <c r="CW130" s="399"/>
      <c r="CX130" s="399"/>
      <c r="CY130" s="399"/>
      <c r="CZ130" s="399"/>
      <c r="DA130" s="399"/>
      <c r="DB130" s="399"/>
      <c r="DC130" s="399"/>
      <c r="DD130" s="399"/>
      <c r="DE130" s="399"/>
      <c r="DF130" s="399"/>
      <c r="DG130" s="399"/>
      <c r="DH130" s="399"/>
      <c r="DI130" s="399"/>
      <c r="DJ130" s="399"/>
      <c r="DK130" s="399"/>
      <c r="DL130" s="399"/>
      <c r="DM130" s="399"/>
      <c r="DN130" s="399"/>
      <c r="DO130" s="399"/>
      <c r="DP130" s="399"/>
      <c r="DQ130" s="399"/>
    </row>
    <row r="131" spans="1:121" s="760" customFormat="1" ht="14.45" customHeight="1" x14ac:dyDescent="0.25">
      <c r="A131" s="266">
        <f t="shared" si="1"/>
        <v>14.366666666666667</v>
      </c>
      <c r="B131" s="389">
        <v>42425</v>
      </c>
      <c r="C131" s="390" t="s">
        <v>904</v>
      </c>
      <c r="D131" s="390" t="s">
        <v>904</v>
      </c>
      <c r="E131" s="390" t="s">
        <v>380</v>
      </c>
      <c r="F131" s="390" t="s">
        <v>5</v>
      </c>
      <c r="G131" s="390" t="s">
        <v>366</v>
      </c>
      <c r="H131" s="261"/>
      <c r="I131" s="261"/>
      <c r="J131" s="261"/>
      <c r="K131" s="261"/>
      <c r="L131" s="261"/>
      <c r="M131" s="261"/>
      <c r="N131" s="261"/>
      <c r="O131" s="261"/>
      <c r="P131" s="261"/>
      <c r="Q131" s="261"/>
      <c r="R131" s="261"/>
      <c r="S131" s="261"/>
      <c r="T131" s="261"/>
      <c r="U131" s="261"/>
      <c r="V131" s="762"/>
      <c r="W131" s="261"/>
      <c r="X131" s="261"/>
      <c r="Y131" s="264">
        <f>IF(NFI_Expiration=1,IF($A131&lt;VLOOKUP(H$5,NFI,5,0),1,0)*Table_NFI[[#This Row],[Hygiene Kit]],Table_NFI[Hygiene Kit])</f>
        <v>0</v>
      </c>
      <c r="Z131" s="264">
        <f>IF(NFI_Expiration=1,IF($A131&lt;VLOOKUP(I$5,NFI,5,0),1,0)*Table_NFI[[#This Row],[NFI Core Kit]],Table_NFI[NFI Core Kit])</f>
        <v>0</v>
      </c>
      <c r="AA131" s="264">
        <f>IF(NFI_Expiration=1,IF($A131&lt;VLOOKUP(J$5,NFI,5,0),1,0)*Table_NFI[[#This Row],[Sanitary Kit]],Table_NFI[Sanitary Kit])</f>
        <v>0</v>
      </c>
      <c r="AB131" s="264">
        <f>IF(NFI_Expiration=1,IF($A131&lt;VLOOKUP(K$5,NFI,5,0),1,0)*Table_NFI[[#This Row],[Mosquito net]],Table_NFI[Mosquito net])</f>
        <v>0</v>
      </c>
      <c r="AC131" s="264">
        <f>IF(NFI_Expiration=1,IF($A131&lt;VLOOKUP(L$5,NFI,5,0),1,0)*Table_NFI[[#This Row],[Tarpaulin]],Table_NFI[[#This Row],[Tarpaulin]])</f>
        <v>0</v>
      </c>
      <c r="AD131" s="264">
        <f>IF(NFI_Expiration=1,IF($A131&lt;VLOOKUP(M$5,NFI,5,0),1,0)*Table_NFI[[#This Row],[Blanket]],Table_NFI[[#This Row],[Blanket]])</f>
        <v>0</v>
      </c>
      <c r="AE131" s="264">
        <f>IF(NFI_Expiration=1,IF($A131&lt;VLOOKUP(N$5,NFI,5,0),1,0)*Table_NFI[[#This Row],[Kitchen Set]],Table_NFI[Kitchen Set])</f>
        <v>0</v>
      </c>
      <c r="AF131" s="264">
        <f>IF(NFI_Expiration=1,IF($A131&lt;VLOOKUP(O$5,NFI,5,0),1,0)*Table_NFI[[#This Row],[Clothes Kit]],Table_NFI[Clothes Kit])</f>
        <v>0</v>
      </c>
      <c r="AG131" s="264">
        <f>IF(NFI_Expiration=1,IF($A131&lt;VLOOKUP(P$5,NFI,5,0),1,0)*Table_NFI[[#This Row],[Plastic Bucket]],Table_NFI[Plastic Bucket])</f>
        <v>0</v>
      </c>
      <c r="AH131" s="264">
        <f>IF(NFI_Expiration=1,IF($A131&lt;VLOOKUP(Q$5,NFI,5,0),1,0)*Table_NFI[[#This Row],[Plastic Mat]],Table_NFI[Plastic Mat])*IF(Table_NFI[[#This Row],[Distribution Date]]&gt;"2014-04-01",1,2.5)</f>
        <v>0</v>
      </c>
      <c r="AI131" s="264">
        <f>IF(NFI_Expiration=1,IF($A131&lt;VLOOKUP(R$5,NFI,5,0),1,0)*Table_NFI[[#This Row],[Winter Clothes Adult]],Table_NFI[Winter Clothes Adult])</f>
        <v>0</v>
      </c>
      <c r="AJ131" s="264">
        <f>IF(NFI_Expiration=1,IF($A131&lt;VLOOKUP(S$5,NFI,5,0),1,0)*Table_NFI[[#This Row],[Winter Clothes Children]],Table_NFI[Winter Clothes Children])</f>
        <v>0</v>
      </c>
      <c r="AK131" s="264">
        <f>IF(NFI_Expiration=1,IF($A131&lt;VLOOKUP(T$5,NFI,5,0),1,0)*Table_NFI[[#This Row],[Winter Items Other]],Table_NFI[Winter Items Other])</f>
        <v>0</v>
      </c>
      <c r="AL131" s="264">
        <f>IF(NFI_Expiration=1,IF($A131&lt;VLOOKUP(M$5,NFI,5,0),1,0)*Table_NFI[[#This Row],[Winter Blanket]],Table_NFI[[#This Row],[Winter Blanket]])</f>
        <v>0</v>
      </c>
      <c r="AM131" s="264">
        <f>IF(Table_NFI[[#This Row],[Winter Clothes Adult]]+Table_NFI[[#This Row],[Winter Clothes Children]]+Table_NFI[[#This Row],[Winter Items Other]]+Table_NFI[[#This Row],[Winter Blanket]]&gt;0,1,0)</f>
        <v>0</v>
      </c>
      <c r="AN131" s="296">
        <f>IF(NFI_Expiration=1,IF($A131&lt;VLOOKUP(V$5,NFI,5,0),1,0)*Table_NFI[[#This Row],[Jerry Can]],Table_NFI[Jerry Can])</f>
        <v>0</v>
      </c>
      <c r="AO131" s="296">
        <f>IF(NFI_Expiration=1,IF($A131&lt;VLOOKUP(V$5,NFI,5,0),1,0)*Table_NFI[[#This Row],[Shelter Tool kit]],Table_NFI[Shelter Tool kit])</f>
        <v>0</v>
      </c>
      <c r="AP131" s="296">
        <f>IF(NFI_Expiration=1,IF($A131&lt;VLOOKUP(V$5,NFI,5,0),1,0)*Table_NFI[[#This Row],[Tent]],Table_NFI[Tent])</f>
        <v>0</v>
      </c>
      <c r="AQ131" s="396" t="str">
        <f>IFERROR(VLOOKUP(Table_NFI[[#This Row],[Camp Name]],CL,2,0),"")</f>
        <v>MMR001CMP193</v>
      </c>
      <c r="AR131" s="702">
        <f ca="1">IF(Table_NFI[[#This Row],[Pcode]]="","",IF(OFFSET(CampList[Opening Date],MATCH(Table_NFI[[#This Row],[Pcode]],CampList[CP_Pcode],0)-1,0,1,1)&gt;=NFI_Monitor_Date,1,0))</f>
        <v>0</v>
      </c>
      <c r="AS131" s="396" t="str">
        <f>IFERROR(VLOOKUP(Table_NFI[[#This Row],[Camp Name]],CL,3,0),"")</f>
        <v>Open</v>
      </c>
      <c r="AT131" s="264" t="str">
        <f ca="1">IF(Table_NFI[[#This Row],[Pcode]]="","",OFFSET(CampList[Priority],MATCH(Table_NFI[[#This Row],[Pcode]],CampList[CP_Pcode],0)-1,0,1,1))</f>
        <v>P4</v>
      </c>
      <c r="AU131" s="263">
        <f>IFERROR(Table_NFI[[#This Row],[Kitchen Set]]/VLOOKUP(Table_NFI[[#This Row],[Camp Name]],CL,4,0),"")</f>
        <v>0</v>
      </c>
      <c r="AV131" s="390"/>
      <c r="AW131" s="392"/>
      <c r="AX131" s="399"/>
      <c r="AY131" s="399"/>
      <c r="AZ131" s="399"/>
      <c r="BA131" s="399"/>
      <c r="BB131" s="399"/>
      <c r="BC131" s="399"/>
      <c r="BD131" s="399"/>
      <c r="BE131" s="399"/>
      <c r="BF131" s="399"/>
      <c r="BG131" s="399"/>
      <c r="BH131" s="399"/>
      <c r="BI131" s="399"/>
      <c r="BJ131" s="399"/>
      <c r="BK131" s="399"/>
      <c r="BL131" s="399"/>
      <c r="BM131" s="399"/>
      <c r="BN131" s="399"/>
      <c r="BO131" s="399"/>
      <c r="BP131" s="399"/>
      <c r="BQ131" s="399"/>
      <c r="BR131" s="399"/>
      <c r="BS131" s="399"/>
      <c r="BT131" s="399"/>
      <c r="BU131" s="399"/>
      <c r="BV131" s="399"/>
      <c r="BW131" s="399"/>
      <c r="BX131" s="399"/>
      <c r="BY131" s="399"/>
      <c r="BZ131" s="399"/>
      <c r="CA131" s="399"/>
      <c r="CB131" s="399"/>
      <c r="CC131" s="399"/>
      <c r="CD131" s="399"/>
      <c r="CE131" s="399"/>
      <c r="CF131" s="399"/>
      <c r="CG131" s="399"/>
      <c r="CH131" s="399"/>
      <c r="CI131" s="399"/>
      <c r="CJ131" s="399"/>
      <c r="CK131" s="399"/>
      <c r="CL131" s="399"/>
      <c r="CM131" s="399"/>
      <c r="CN131" s="399"/>
      <c r="CO131" s="399"/>
      <c r="CP131" s="399"/>
      <c r="CQ131" s="399"/>
      <c r="CR131" s="399"/>
      <c r="CS131" s="399"/>
      <c r="CT131" s="399"/>
      <c r="CU131" s="399"/>
      <c r="CV131" s="399"/>
      <c r="CW131" s="399"/>
      <c r="CX131" s="399"/>
      <c r="CY131" s="399"/>
      <c r="CZ131" s="399"/>
      <c r="DA131" s="399"/>
      <c r="DB131" s="399"/>
      <c r="DC131" s="399"/>
      <c r="DD131" s="399"/>
      <c r="DE131" s="399"/>
      <c r="DF131" s="399"/>
      <c r="DG131" s="399"/>
      <c r="DH131" s="399"/>
      <c r="DI131" s="399"/>
      <c r="DJ131" s="399"/>
      <c r="DK131" s="399"/>
      <c r="DL131" s="399"/>
      <c r="DM131" s="399"/>
      <c r="DN131" s="399"/>
      <c r="DO131" s="399"/>
      <c r="DP131" s="399"/>
      <c r="DQ131" s="399"/>
    </row>
    <row r="132" spans="1:121" s="760" customFormat="1" ht="14.45" customHeight="1" x14ac:dyDescent="0.2">
      <c r="A132" s="266">
        <f t="shared" si="1"/>
        <v>14.366666666666667</v>
      </c>
      <c r="B132" s="389">
        <v>42425</v>
      </c>
      <c r="C132" s="390" t="s">
        <v>904</v>
      </c>
      <c r="D132" s="391" t="s">
        <v>904</v>
      </c>
      <c r="E132" s="390" t="s">
        <v>380</v>
      </c>
      <c r="F132" s="262" t="s">
        <v>5</v>
      </c>
      <c r="G132" s="262" t="s">
        <v>22</v>
      </c>
      <c r="H132" s="261"/>
      <c r="I132" s="261"/>
      <c r="J132" s="261"/>
      <c r="K132" s="261"/>
      <c r="L132" s="261"/>
      <c r="M132" s="261"/>
      <c r="N132" s="261"/>
      <c r="O132" s="261"/>
      <c r="P132" s="261"/>
      <c r="Q132" s="261"/>
      <c r="R132" s="261"/>
      <c r="S132" s="261"/>
      <c r="T132" s="261"/>
      <c r="U132" s="261"/>
      <c r="V132" s="762"/>
      <c r="W132" s="764"/>
      <c r="X132" s="261"/>
      <c r="Y132" s="264">
        <f>IF(NFI_Expiration=1,IF($A132&lt;VLOOKUP(H$5,NFI,5,0),1,0)*Table_NFI[[#This Row],[Hygiene Kit]],Table_NFI[Hygiene Kit])</f>
        <v>0</v>
      </c>
      <c r="Z132" s="264">
        <f>IF(NFI_Expiration=1,IF($A132&lt;VLOOKUP(I$5,NFI,5,0),1,0)*Table_NFI[[#This Row],[NFI Core Kit]],Table_NFI[NFI Core Kit])</f>
        <v>0</v>
      </c>
      <c r="AA132" s="264">
        <f>IF(NFI_Expiration=1,IF($A132&lt;VLOOKUP(J$5,NFI,5,0),1,0)*Table_NFI[[#This Row],[Sanitary Kit]],Table_NFI[Sanitary Kit])</f>
        <v>0</v>
      </c>
      <c r="AB132" s="264">
        <f>IF(NFI_Expiration=1,IF($A132&lt;VLOOKUP(K$5,NFI,5,0),1,0)*Table_NFI[[#This Row],[Mosquito net]],Table_NFI[Mosquito net])</f>
        <v>0</v>
      </c>
      <c r="AC132" s="264">
        <f>IF(NFI_Expiration=1,IF($A132&lt;VLOOKUP(L$5,NFI,5,0),1,0)*Table_NFI[[#This Row],[Tarpaulin]],Table_NFI[[#This Row],[Tarpaulin]])</f>
        <v>0</v>
      </c>
      <c r="AD132" s="264">
        <f>IF(NFI_Expiration=1,IF($A132&lt;VLOOKUP(M$5,NFI,5,0),1,0)*Table_NFI[[#This Row],[Blanket]],Table_NFI[[#This Row],[Blanket]])</f>
        <v>0</v>
      </c>
      <c r="AE132" s="264">
        <f>IF(NFI_Expiration=1,IF($A132&lt;VLOOKUP(N$5,NFI,5,0),1,0)*Table_NFI[[#This Row],[Kitchen Set]],Table_NFI[Kitchen Set])</f>
        <v>0</v>
      </c>
      <c r="AF132" s="264">
        <f>IF(NFI_Expiration=1,IF($A132&lt;VLOOKUP(O$5,NFI,5,0),1,0)*Table_NFI[[#This Row],[Clothes Kit]],Table_NFI[Clothes Kit])</f>
        <v>0</v>
      </c>
      <c r="AG132" s="264">
        <f>IF(NFI_Expiration=1,IF($A132&lt;VLOOKUP(P$5,NFI,5,0),1,0)*Table_NFI[[#This Row],[Plastic Bucket]],Table_NFI[Plastic Bucket])</f>
        <v>0</v>
      </c>
      <c r="AH132" s="264">
        <f>IF(NFI_Expiration=1,IF($A132&lt;VLOOKUP(Q$5,NFI,5,0),1,0)*Table_NFI[[#This Row],[Plastic Mat]],Table_NFI[Plastic Mat])*IF(Table_NFI[[#This Row],[Distribution Date]]&gt;"2014-04-01",1,2.5)</f>
        <v>0</v>
      </c>
      <c r="AI132" s="264">
        <f>IF(NFI_Expiration=1,IF($A132&lt;VLOOKUP(R$5,NFI,5,0),1,0)*Table_NFI[[#This Row],[Winter Clothes Adult]],Table_NFI[Winter Clothes Adult])</f>
        <v>0</v>
      </c>
      <c r="AJ132" s="264">
        <f>IF(NFI_Expiration=1,IF($A132&lt;VLOOKUP(S$5,NFI,5,0),1,0)*Table_NFI[[#This Row],[Winter Clothes Children]],Table_NFI[Winter Clothes Children])</f>
        <v>0</v>
      </c>
      <c r="AK132" s="264">
        <f>IF(NFI_Expiration=1,IF($A132&lt;VLOOKUP(T$5,NFI,5,0),1,0)*Table_NFI[[#This Row],[Winter Items Other]],Table_NFI[Winter Items Other])</f>
        <v>0</v>
      </c>
      <c r="AL132" s="264">
        <f>IF(NFI_Expiration=1,IF($A132&lt;VLOOKUP(M$5,NFI,5,0),1,0)*Table_NFI[[#This Row],[Winter Blanket]],Table_NFI[[#This Row],[Winter Blanket]])</f>
        <v>0</v>
      </c>
      <c r="AM132" s="264">
        <f>IF(Table_NFI[[#This Row],[Winter Clothes Adult]]+Table_NFI[[#This Row],[Winter Clothes Children]]+Table_NFI[[#This Row],[Winter Items Other]]+Table_NFI[[#This Row],[Winter Blanket]]&gt;0,1,0)</f>
        <v>0</v>
      </c>
      <c r="AN132" s="296">
        <f>IF(NFI_Expiration=1,IF($A132&lt;VLOOKUP(V$5,NFI,5,0),1,0)*Table_NFI[[#This Row],[Jerry Can]],Table_NFI[Jerry Can])</f>
        <v>0</v>
      </c>
      <c r="AO132" s="296">
        <f>IF(NFI_Expiration=1,IF($A132&lt;VLOOKUP(V$5,NFI,5,0),1,0)*Table_NFI[[#This Row],[Shelter Tool kit]],Table_NFI[Shelter Tool kit])</f>
        <v>0</v>
      </c>
      <c r="AP132" s="296">
        <f>IF(NFI_Expiration=1,IF($A132&lt;VLOOKUP(V$5,NFI,5,0),1,0)*Table_NFI[[#This Row],[Tent]],Table_NFI[Tent])</f>
        <v>0</v>
      </c>
      <c r="AQ132" s="396" t="str">
        <f>IFERROR(VLOOKUP(Table_NFI[[#This Row],[Camp Name]],CL,2,0),"")</f>
        <v>MMR001CMP047</v>
      </c>
      <c r="AR132" s="702">
        <f ca="1">IF(Table_NFI[[#This Row],[Pcode]]="","",IF(OFFSET(CampList[Opening Date],MATCH(Table_NFI[[#This Row],[Pcode]],CampList[CP_Pcode],0)-1,0,1,1)&gt;=NFI_Monitor_Date,1,0))</f>
        <v>0</v>
      </c>
      <c r="AS132" s="396" t="str">
        <f>IFERROR(VLOOKUP(Table_NFI[[#This Row],[Camp Name]],CL,3,0),"")</f>
        <v>Open</v>
      </c>
      <c r="AT132" s="264" t="str">
        <f ca="1">IF(Table_NFI[[#This Row],[Pcode]]="","",OFFSET(CampList[Priority],MATCH(Table_NFI[[#This Row],[Pcode]],CampList[CP_Pcode],0)-1,0,1,1))</f>
        <v>P4</v>
      </c>
      <c r="AU132" s="263">
        <f>IFERROR(Table_NFI[[#This Row],[Kitchen Set]]/VLOOKUP(Table_NFI[[#This Row],[Camp Name]],CL,4,0),"")</f>
        <v>0</v>
      </c>
      <c r="AV132" s="390"/>
      <c r="AW132" s="392"/>
      <c r="AX132" s="399"/>
      <c r="AY132" s="399"/>
      <c r="AZ132" s="399"/>
      <c r="BA132" s="399"/>
      <c r="BB132" s="399"/>
      <c r="BC132" s="399"/>
      <c r="BD132" s="399"/>
      <c r="BE132" s="399"/>
      <c r="BF132" s="399"/>
      <c r="BG132" s="399"/>
      <c r="BH132" s="399"/>
      <c r="BI132" s="399"/>
      <c r="BJ132" s="399"/>
      <c r="BK132" s="399"/>
      <c r="BL132" s="399"/>
      <c r="BM132" s="399"/>
      <c r="BN132" s="399"/>
      <c r="BO132" s="399"/>
      <c r="BP132" s="399"/>
      <c r="BQ132" s="399"/>
      <c r="BR132" s="399"/>
      <c r="BS132" s="399"/>
      <c r="BT132" s="399"/>
      <c r="BU132" s="399"/>
      <c r="BV132" s="399"/>
      <c r="BW132" s="399"/>
      <c r="BX132" s="399"/>
      <c r="BY132" s="399"/>
      <c r="BZ132" s="399"/>
      <c r="CA132" s="399"/>
      <c r="CB132" s="399"/>
      <c r="CC132" s="399"/>
      <c r="CD132" s="399"/>
      <c r="CE132" s="399"/>
      <c r="CF132" s="399"/>
      <c r="CG132" s="399"/>
      <c r="CH132" s="399"/>
      <c r="CI132" s="399"/>
      <c r="CJ132" s="399"/>
      <c r="CK132" s="399"/>
      <c r="CL132" s="399"/>
      <c r="CM132" s="399"/>
      <c r="CN132" s="399"/>
      <c r="CO132" s="399"/>
      <c r="CP132" s="399"/>
      <c r="CQ132" s="399"/>
      <c r="CR132" s="399"/>
      <c r="CS132" s="399"/>
      <c r="CT132" s="399"/>
      <c r="CU132" s="399"/>
      <c r="CV132" s="399"/>
      <c r="CW132" s="399"/>
      <c r="CX132" s="399"/>
      <c r="CY132" s="399"/>
      <c r="CZ132" s="399"/>
      <c r="DA132" s="399"/>
      <c r="DB132" s="399"/>
      <c r="DC132" s="399"/>
      <c r="DD132" s="399"/>
      <c r="DE132" s="399"/>
      <c r="DF132" s="399"/>
      <c r="DG132" s="399"/>
      <c r="DH132" s="399"/>
      <c r="DI132" s="399"/>
      <c r="DJ132" s="399"/>
      <c r="DK132" s="399"/>
      <c r="DL132" s="399"/>
      <c r="DM132" s="399"/>
      <c r="DN132" s="399"/>
      <c r="DO132" s="399"/>
      <c r="DP132" s="399"/>
      <c r="DQ132" s="399"/>
    </row>
    <row r="133" spans="1:121" s="759" customFormat="1" ht="14.45" customHeight="1" x14ac:dyDescent="0.25">
      <c r="A133" s="266">
        <f t="shared" si="1"/>
        <v>14.4</v>
      </c>
      <c r="B133" s="389">
        <v>42424</v>
      </c>
      <c r="C133" s="390" t="s">
        <v>904</v>
      </c>
      <c r="D133" s="390" t="s">
        <v>459</v>
      </c>
      <c r="E133" s="390" t="s">
        <v>380</v>
      </c>
      <c r="F133" s="262" t="s">
        <v>185</v>
      </c>
      <c r="G133" s="262" t="s">
        <v>196</v>
      </c>
      <c r="H133" s="261"/>
      <c r="I133" s="261"/>
      <c r="J133" s="261"/>
      <c r="K133" s="261"/>
      <c r="L133" s="261"/>
      <c r="M133" s="261"/>
      <c r="N133" s="261"/>
      <c r="O133" s="261"/>
      <c r="P133" s="261"/>
      <c r="Q133" s="261"/>
      <c r="R133" s="261"/>
      <c r="S133" s="261"/>
      <c r="T133" s="261"/>
      <c r="U133" s="261"/>
      <c r="V133" s="762"/>
      <c r="W133" s="261"/>
      <c r="X133" s="261"/>
      <c r="Y133" s="264">
        <f>IF(NFI_Expiration=1,IF($A133&lt;VLOOKUP(H$5,NFI,5,0),1,0)*Table_NFI[[#This Row],[Hygiene Kit]],Table_NFI[Hygiene Kit])</f>
        <v>0</v>
      </c>
      <c r="Z133" s="264">
        <f>IF(NFI_Expiration=1,IF($A133&lt;VLOOKUP(I$5,NFI,5,0),1,0)*Table_NFI[[#This Row],[NFI Core Kit]],Table_NFI[NFI Core Kit])</f>
        <v>0</v>
      </c>
      <c r="AA133" s="264">
        <f>IF(NFI_Expiration=1,IF($A133&lt;VLOOKUP(J$5,NFI,5,0),1,0)*Table_NFI[[#This Row],[Sanitary Kit]],Table_NFI[Sanitary Kit])</f>
        <v>0</v>
      </c>
      <c r="AB133" s="264">
        <f>IF(NFI_Expiration=1,IF($A133&lt;VLOOKUP(K$5,NFI,5,0),1,0)*Table_NFI[[#This Row],[Mosquito net]],Table_NFI[Mosquito net])</f>
        <v>0</v>
      </c>
      <c r="AC133" s="264">
        <f>IF(NFI_Expiration=1,IF($A133&lt;VLOOKUP(L$5,NFI,5,0),1,0)*Table_NFI[[#This Row],[Tarpaulin]],Table_NFI[[#This Row],[Tarpaulin]])</f>
        <v>0</v>
      </c>
      <c r="AD133" s="264">
        <f>IF(NFI_Expiration=1,IF($A133&lt;VLOOKUP(M$5,NFI,5,0),1,0)*Table_NFI[[#This Row],[Blanket]],Table_NFI[[#This Row],[Blanket]])</f>
        <v>0</v>
      </c>
      <c r="AE133" s="264">
        <f>IF(NFI_Expiration=1,IF($A133&lt;VLOOKUP(N$5,NFI,5,0),1,0)*Table_NFI[[#This Row],[Kitchen Set]],Table_NFI[Kitchen Set])</f>
        <v>0</v>
      </c>
      <c r="AF133" s="264">
        <f>IF(NFI_Expiration=1,IF($A133&lt;VLOOKUP(O$5,NFI,5,0),1,0)*Table_NFI[[#This Row],[Clothes Kit]],Table_NFI[Clothes Kit])</f>
        <v>0</v>
      </c>
      <c r="AG133" s="264">
        <f>IF(NFI_Expiration=1,IF($A133&lt;VLOOKUP(P$5,NFI,5,0),1,0)*Table_NFI[[#This Row],[Plastic Bucket]],Table_NFI[Plastic Bucket])</f>
        <v>0</v>
      </c>
      <c r="AH133" s="264">
        <f>IF(NFI_Expiration=1,IF($A133&lt;VLOOKUP(Q$5,NFI,5,0),1,0)*Table_NFI[[#This Row],[Plastic Mat]],Table_NFI[Plastic Mat])*IF(Table_NFI[[#This Row],[Distribution Date]]&gt;"2014-04-01",1,2.5)</f>
        <v>0</v>
      </c>
      <c r="AI133" s="264">
        <f>IF(NFI_Expiration=1,IF($A133&lt;VLOOKUP(R$5,NFI,5,0),1,0)*Table_NFI[[#This Row],[Winter Clothes Adult]],Table_NFI[Winter Clothes Adult])</f>
        <v>0</v>
      </c>
      <c r="AJ133" s="264">
        <f>IF(NFI_Expiration=1,IF($A133&lt;VLOOKUP(S$5,NFI,5,0),1,0)*Table_NFI[[#This Row],[Winter Clothes Children]],Table_NFI[Winter Clothes Children])</f>
        <v>0</v>
      </c>
      <c r="AK133" s="264">
        <f>IF(NFI_Expiration=1,IF($A133&lt;VLOOKUP(T$5,NFI,5,0),1,0)*Table_NFI[[#This Row],[Winter Items Other]],Table_NFI[Winter Items Other])</f>
        <v>0</v>
      </c>
      <c r="AL133" s="264">
        <f>IF(NFI_Expiration=1,IF($A133&lt;VLOOKUP(M$5,NFI,5,0),1,0)*Table_NFI[[#This Row],[Winter Blanket]],Table_NFI[[#This Row],[Winter Blanket]])</f>
        <v>0</v>
      </c>
      <c r="AM133" s="264">
        <f>IF(Table_NFI[[#This Row],[Winter Clothes Adult]]+Table_NFI[[#This Row],[Winter Clothes Children]]+Table_NFI[[#This Row],[Winter Items Other]]+Table_NFI[[#This Row],[Winter Blanket]]&gt;0,1,0)</f>
        <v>0</v>
      </c>
      <c r="AN133" s="296">
        <f>IF(NFI_Expiration=1,IF($A133&lt;VLOOKUP(V$5,NFI,5,0),1,0)*Table_NFI[[#This Row],[Jerry Can]],Table_NFI[Jerry Can])</f>
        <v>0</v>
      </c>
      <c r="AO133" s="296">
        <f>IF(NFI_Expiration=1,IF($A133&lt;VLOOKUP(V$5,NFI,5,0),1,0)*Table_NFI[[#This Row],[Shelter Tool kit]],Table_NFI[Shelter Tool kit])</f>
        <v>0</v>
      </c>
      <c r="AP133" s="296">
        <f>IF(NFI_Expiration=1,IF($A133&lt;VLOOKUP(V$5,NFI,5,0),1,0)*Table_NFI[[#This Row],[Tent]],Table_NFI[Tent])</f>
        <v>0</v>
      </c>
      <c r="AQ133" s="396" t="str">
        <f>IFERROR(VLOOKUP(Table_NFI[[#This Row],[Camp Name]],CL,2,0),"")</f>
        <v>MMR001CMP121</v>
      </c>
      <c r="AR133" s="702">
        <f ca="1">IF(Table_NFI[[#This Row],[Pcode]]="","",IF(OFFSET(CampList[Opening Date],MATCH(Table_NFI[[#This Row],[Pcode]],CampList[CP_Pcode],0)-1,0,1,1)&gt;=NFI_Monitor_Date,1,0))</f>
        <v>0</v>
      </c>
      <c r="AS133" s="396" t="str">
        <f>IFERROR(VLOOKUP(Table_NFI[[#This Row],[Camp Name]],CL,3,0),"")</f>
        <v>Open</v>
      </c>
      <c r="AT133" s="264" t="str">
        <f ca="1">IF(Table_NFI[[#This Row],[Pcode]]="","",OFFSET(CampList[Priority],MATCH(Table_NFI[[#This Row],[Pcode]],CampList[CP_Pcode],0)-1,0,1,1))</f>
        <v>P2</v>
      </c>
      <c r="AU133" s="263">
        <f>IFERROR(Table_NFI[[#This Row],[Kitchen Set]]/VLOOKUP(Table_NFI[[#This Row],[Camp Name]],CL,4,0),"")</f>
        <v>0</v>
      </c>
      <c r="AV133" s="390"/>
      <c r="AW133" s="392"/>
      <c r="AX133" s="402"/>
      <c r="AY133" s="402"/>
      <c r="AZ133" s="402"/>
      <c r="BA133" s="402"/>
      <c r="BB133" s="402"/>
      <c r="BC133" s="402"/>
      <c r="BD133" s="402"/>
      <c r="BE133" s="402"/>
      <c r="BF133" s="402"/>
      <c r="BG133" s="402"/>
      <c r="BH133" s="402"/>
      <c r="BI133" s="402"/>
      <c r="BJ133" s="402"/>
      <c r="BK133" s="402"/>
      <c r="BL133" s="402"/>
      <c r="BM133" s="402"/>
      <c r="BN133" s="402"/>
      <c r="BO133" s="402"/>
      <c r="BP133" s="402"/>
      <c r="BQ133" s="402"/>
      <c r="BR133" s="402"/>
      <c r="BS133" s="402"/>
      <c r="BT133" s="402"/>
      <c r="BU133" s="402"/>
      <c r="BV133" s="402"/>
      <c r="BW133" s="402"/>
      <c r="BX133" s="402"/>
      <c r="BY133" s="402"/>
      <c r="BZ133" s="402"/>
      <c r="CA133" s="402"/>
      <c r="CB133" s="402"/>
      <c r="CC133" s="402"/>
      <c r="CD133" s="402"/>
      <c r="CE133" s="402"/>
      <c r="CF133" s="402"/>
      <c r="CG133" s="402"/>
      <c r="CH133" s="402"/>
      <c r="CI133" s="402"/>
      <c r="CJ133" s="402"/>
      <c r="CK133" s="402"/>
      <c r="CL133" s="402"/>
      <c r="CM133" s="402"/>
      <c r="CN133" s="402"/>
      <c r="CO133" s="402"/>
      <c r="CP133" s="402"/>
      <c r="CQ133" s="402"/>
      <c r="CR133" s="402"/>
      <c r="CS133" s="402"/>
      <c r="CT133" s="402"/>
      <c r="CU133" s="402"/>
      <c r="CV133" s="402"/>
      <c r="CW133" s="402"/>
      <c r="CX133" s="402"/>
      <c r="CY133" s="402"/>
      <c r="CZ133" s="402"/>
      <c r="DA133" s="402"/>
      <c r="DB133" s="402"/>
      <c r="DC133" s="402"/>
      <c r="DD133" s="402"/>
      <c r="DE133" s="402"/>
      <c r="DF133" s="402"/>
      <c r="DG133" s="402"/>
      <c r="DH133" s="402"/>
      <c r="DI133" s="402"/>
      <c r="DJ133" s="402"/>
      <c r="DK133" s="402"/>
      <c r="DL133" s="402"/>
      <c r="DM133" s="402"/>
      <c r="DN133" s="402"/>
      <c r="DO133" s="402"/>
      <c r="DP133" s="402"/>
      <c r="DQ133" s="402"/>
    </row>
    <row r="134" spans="1:121" s="760" customFormat="1" ht="14.45" customHeight="1" x14ac:dyDescent="0.2">
      <c r="A134" s="266">
        <f t="shared" ref="A134:A197" si="2">IF(ISBLANK(B134),"",(Report_Date-B134)/30)</f>
        <v>14.433333333333334</v>
      </c>
      <c r="B134" s="389">
        <v>42423</v>
      </c>
      <c r="C134" s="390" t="s">
        <v>904</v>
      </c>
      <c r="D134" s="390" t="s">
        <v>459</v>
      </c>
      <c r="E134" s="390" t="s">
        <v>380</v>
      </c>
      <c r="F134" s="390" t="s">
        <v>185</v>
      </c>
      <c r="G134" s="262" t="s">
        <v>196</v>
      </c>
      <c r="H134" s="261"/>
      <c r="I134" s="261"/>
      <c r="J134" s="764">
        <v>1807</v>
      </c>
      <c r="K134" s="261"/>
      <c r="L134" s="261"/>
      <c r="M134" s="261"/>
      <c r="N134" s="261"/>
      <c r="O134" s="261"/>
      <c r="P134" s="261"/>
      <c r="Q134" s="261"/>
      <c r="R134" s="261"/>
      <c r="S134" s="261"/>
      <c r="T134" s="261"/>
      <c r="U134" s="261"/>
      <c r="V134" s="762"/>
      <c r="W134" s="261"/>
      <c r="X134" s="261"/>
      <c r="Y134" s="264">
        <f>IF(NFI_Expiration=1,IF($A134&lt;VLOOKUP(H$5,NFI,5,0),1,0)*Table_NFI[[#This Row],[Hygiene Kit]],Table_NFI[Hygiene Kit])</f>
        <v>0</v>
      </c>
      <c r="Z134" s="264">
        <f>IF(NFI_Expiration=1,IF($A134&lt;VLOOKUP(I$5,NFI,5,0),1,0)*Table_NFI[[#This Row],[NFI Core Kit]],Table_NFI[NFI Core Kit])</f>
        <v>0</v>
      </c>
      <c r="AA134" s="264">
        <f>IF(NFI_Expiration=1,IF($A134&lt;VLOOKUP(J$5,NFI,5,0),1,0)*Table_NFI[[#This Row],[Sanitary Kit]],Table_NFI[Sanitary Kit])</f>
        <v>0</v>
      </c>
      <c r="AB134" s="264">
        <f>IF(NFI_Expiration=1,IF($A134&lt;VLOOKUP(K$5,NFI,5,0),1,0)*Table_NFI[[#This Row],[Mosquito net]],Table_NFI[Mosquito net])</f>
        <v>0</v>
      </c>
      <c r="AC134" s="264">
        <f>IF(NFI_Expiration=1,IF($A134&lt;VLOOKUP(L$5,NFI,5,0),1,0)*Table_NFI[[#This Row],[Tarpaulin]],Table_NFI[[#This Row],[Tarpaulin]])</f>
        <v>0</v>
      </c>
      <c r="AD134" s="264">
        <f>IF(NFI_Expiration=1,IF($A134&lt;VLOOKUP(M$5,NFI,5,0),1,0)*Table_NFI[[#This Row],[Blanket]],Table_NFI[[#This Row],[Blanket]])</f>
        <v>0</v>
      </c>
      <c r="AE134" s="264">
        <f>IF(NFI_Expiration=1,IF($A134&lt;VLOOKUP(N$5,NFI,5,0),1,0)*Table_NFI[[#This Row],[Kitchen Set]],Table_NFI[Kitchen Set])</f>
        <v>0</v>
      </c>
      <c r="AF134" s="264">
        <f>IF(NFI_Expiration=1,IF($A134&lt;VLOOKUP(O$5,NFI,5,0),1,0)*Table_NFI[[#This Row],[Clothes Kit]],Table_NFI[Clothes Kit])</f>
        <v>0</v>
      </c>
      <c r="AG134" s="264">
        <f>IF(NFI_Expiration=1,IF($A134&lt;VLOOKUP(P$5,NFI,5,0),1,0)*Table_NFI[[#This Row],[Plastic Bucket]],Table_NFI[Plastic Bucket])</f>
        <v>0</v>
      </c>
      <c r="AH134" s="264">
        <f>IF(NFI_Expiration=1,IF($A134&lt;VLOOKUP(Q$5,NFI,5,0),1,0)*Table_NFI[[#This Row],[Plastic Mat]],Table_NFI[Plastic Mat])*IF(Table_NFI[[#This Row],[Distribution Date]]&gt;"2014-04-01",1,2.5)</f>
        <v>0</v>
      </c>
      <c r="AI134" s="264">
        <f>IF(NFI_Expiration=1,IF($A134&lt;VLOOKUP(R$5,NFI,5,0),1,0)*Table_NFI[[#This Row],[Winter Clothes Adult]],Table_NFI[Winter Clothes Adult])</f>
        <v>0</v>
      </c>
      <c r="AJ134" s="264">
        <f>IF(NFI_Expiration=1,IF($A134&lt;VLOOKUP(S$5,NFI,5,0),1,0)*Table_NFI[[#This Row],[Winter Clothes Children]],Table_NFI[Winter Clothes Children])</f>
        <v>0</v>
      </c>
      <c r="AK134" s="264">
        <f>IF(NFI_Expiration=1,IF($A134&lt;VLOOKUP(T$5,NFI,5,0),1,0)*Table_NFI[[#This Row],[Winter Items Other]],Table_NFI[Winter Items Other])</f>
        <v>0</v>
      </c>
      <c r="AL134" s="264">
        <f>IF(NFI_Expiration=1,IF($A134&lt;VLOOKUP(M$5,NFI,5,0),1,0)*Table_NFI[[#This Row],[Winter Blanket]],Table_NFI[[#This Row],[Winter Blanket]])</f>
        <v>0</v>
      </c>
      <c r="AM134" s="264">
        <f>IF(Table_NFI[[#This Row],[Winter Clothes Adult]]+Table_NFI[[#This Row],[Winter Clothes Children]]+Table_NFI[[#This Row],[Winter Items Other]]+Table_NFI[[#This Row],[Winter Blanket]]&gt;0,1,0)</f>
        <v>0</v>
      </c>
      <c r="AN134" s="296">
        <f>IF(NFI_Expiration=1,IF($A134&lt;VLOOKUP(V$5,NFI,5,0),1,0)*Table_NFI[[#This Row],[Jerry Can]],Table_NFI[Jerry Can])</f>
        <v>0</v>
      </c>
      <c r="AO134" s="296">
        <f>IF(NFI_Expiration=1,IF($A134&lt;VLOOKUP(V$5,NFI,5,0),1,0)*Table_NFI[[#This Row],[Shelter Tool kit]],Table_NFI[Shelter Tool kit])</f>
        <v>0</v>
      </c>
      <c r="AP134" s="296">
        <f>IF(NFI_Expiration=1,IF($A134&lt;VLOOKUP(V$5,NFI,5,0),1,0)*Table_NFI[[#This Row],[Tent]],Table_NFI[Tent])</f>
        <v>0</v>
      </c>
      <c r="AQ134" s="396" t="str">
        <f>IFERROR(VLOOKUP(Table_NFI[[#This Row],[Camp Name]],CL,2,0),"")</f>
        <v>MMR001CMP121</v>
      </c>
      <c r="AR134" s="702">
        <f ca="1">IF(Table_NFI[[#This Row],[Pcode]]="","",IF(OFFSET(CampList[Opening Date],MATCH(Table_NFI[[#This Row],[Pcode]],CampList[CP_Pcode],0)-1,0,1,1)&gt;=NFI_Monitor_Date,1,0))</f>
        <v>0</v>
      </c>
      <c r="AS134" s="396" t="str">
        <f>IFERROR(VLOOKUP(Table_NFI[[#This Row],[Camp Name]],CL,3,0),"")</f>
        <v>Open</v>
      </c>
      <c r="AT134" s="264" t="str">
        <f ca="1">IF(Table_NFI[[#This Row],[Pcode]]="","",OFFSET(CampList[Priority],MATCH(Table_NFI[[#This Row],[Pcode]],CampList[CP_Pcode],0)-1,0,1,1))</f>
        <v>P2</v>
      </c>
      <c r="AU134" s="263">
        <f>IFERROR(Table_NFI[[#This Row],[Kitchen Set]]/VLOOKUP(Table_NFI[[#This Row],[Camp Name]],CL,4,0),"")</f>
        <v>0</v>
      </c>
      <c r="AV134" s="390"/>
      <c r="AW134" s="392"/>
      <c r="AX134" s="399"/>
      <c r="AY134" s="399"/>
      <c r="AZ134" s="399"/>
      <c r="BA134" s="399"/>
      <c r="BB134" s="399"/>
      <c r="BC134" s="399"/>
      <c r="BD134" s="399"/>
      <c r="BE134" s="399"/>
      <c r="BF134" s="399"/>
      <c r="BG134" s="399"/>
      <c r="BH134" s="399"/>
      <c r="BI134" s="399"/>
      <c r="BJ134" s="399"/>
      <c r="BK134" s="399"/>
      <c r="BL134" s="399"/>
      <c r="BM134" s="399"/>
      <c r="BN134" s="399"/>
      <c r="BO134" s="399"/>
      <c r="BP134" s="399"/>
      <c r="BQ134" s="399"/>
      <c r="BR134" s="399"/>
      <c r="BS134" s="399"/>
      <c r="BT134" s="399"/>
      <c r="BU134" s="399"/>
      <c r="BV134" s="399"/>
      <c r="BW134" s="399"/>
      <c r="BX134" s="399"/>
      <c r="BY134" s="399"/>
      <c r="BZ134" s="399"/>
      <c r="CA134" s="399"/>
      <c r="CB134" s="399"/>
      <c r="CC134" s="399"/>
      <c r="CD134" s="399"/>
      <c r="CE134" s="399"/>
      <c r="CF134" s="399"/>
      <c r="CG134" s="399"/>
      <c r="CH134" s="399"/>
      <c r="CI134" s="399"/>
      <c r="CJ134" s="399"/>
      <c r="CK134" s="399"/>
      <c r="CL134" s="399"/>
      <c r="CM134" s="399"/>
      <c r="CN134" s="399"/>
      <c r="CO134" s="399"/>
      <c r="CP134" s="399"/>
      <c r="CQ134" s="399"/>
      <c r="CR134" s="399"/>
      <c r="CS134" s="399"/>
      <c r="CT134" s="399"/>
      <c r="CU134" s="399"/>
      <c r="CV134" s="399"/>
      <c r="CW134" s="399"/>
      <c r="CX134" s="399"/>
      <c r="CY134" s="399"/>
      <c r="CZ134" s="399"/>
      <c r="DA134" s="399"/>
      <c r="DB134" s="399"/>
      <c r="DC134" s="399"/>
      <c r="DD134" s="399"/>
      <c r="DE134" s="399"/>
      <c r="DF134" s="399"/>
      <c r="DG134" s="399"/>
      <c r="DH134" s="399"/>
      <c r="DI134" s="399"/>
      <c r="DJ134" s="399"/>
      <c r="DK134" s="399"/>
      <c r="DL134" s="399"/>
      <c r="DM134" s="399"/>
      <c r="DN134" s="399"/>
      <c r="DO134" s="399"/>
      <c r="DP134" s="399"/>
      <c r="DQ134" s="399"/>
    </row>
    <row r="135" spans="1:121" s="760" customFormat="1" ht="14.45" customHeight="1" x14ac:dyDescent="0.25">
      <c r="A135" s="416">
        <f t="shared" si="2"/>
        <v>14.466666666666667</v>
      </c>
      <c r="B135" s="389">
        <v>42422</v>
      </c>
      <c r="C135" s="390" t="s">
        <v>451</v>
      </c>
      <c r="D135" s="390" t="s">
        <v>459</v>
      </c>
      <c r="E135" s="390" t="s">
        <v>552</v>
      </c>
      <c r="F135" s="390" t="s">
        <v>146</v>
      </c>
      <c r="G135" s="390"/>
      <c r="H135" s="767"/>
      <c r="I135" s="767"/>
      <c r="J135" s="767"/>
      <c r="K135" s="767"/>
      <c r="L135" s="767"/>
      <c r="M135" s="767"/>
      <c r="N135" s="767"/>
      <c r="O135" s="767"/>
      <c r="P135" s="767"/>
      <c r="Q135" s="767"/>
      <c r="R135" s="767"/>
      <c r="S135" s="767"/>
      <c r="T135" s="767"/>
      <c r="U135" s="767"/>
      <c r="V135" s="768"/>
      <c r="W135" s="767"/>
      <c r="X135" s="767">
        <v>71</v>
      </c>
      <c r="Y135" s="418">
        <f>IF(NFI_Expiration=1,IF($A135&lt;VLOOKUP(H$5,NFI,5,0),1,0)*Table_NFI[[#This Row],[Hygiene Kit]],Table_NFI[Hygiene Kit])</f>
        <v>0</v>
      </c>
      <c r="Z135" s="418">
        <f>IF(NFI_Expiration=1,IF($A135&lt;VLOOKUP(I$5,NFI,5,0),1,0)*Table_NFI[[#This Row],[NFI Core Kit]],Table_NFI[NFI Core Kit])</f>
        <v>0</v>
      </c>
      <c r="AA135" s="418">
        <f>IF(NFI_Expiration=1,IF($A135&lt;VLOOKUP(J$5,NFI,5,0),1,0)*Table_NFI[[#This Row],[Sanitary Kit]],Table_NFI[Sanitary Kit])</f>
        <v>0</v>
      </c>
      <c r="AB135" s="418">
        <f>IF(NFI_Expiration=1,IF($A135&lt;VLOOKUP(K$5,NFI,5,0),1,0)*Table_NFI[[#This Row],[Mosquito net]],Table_NFI[Mosquito net])</f>
        <v>0</v>
      </c>
      <c r="AC135" s="418">
        <f>IF(NFI_Expiration=1,IF($A135&lt;VLOOKUP(L$5,NFI,5,0),1,0)*Table_NFI[[#This Row],[Tarpaulin]],Table_NFI[[#This Row],[Tarpaulin]])</f>
        <v>0</v>
      </c>
      <c r="AD135" s="418">
        <f>IF(NFI_Expiration=1,IF($A135&lt;VLOOKUP(M$5,NFI,5,0),1,0)*Table_NFI[[#This Row],[Blanket]],Table_NFI[[#This Row],[Blanket]])</f>
        <v>0</v>
      </c>
      <c r="AE135" s="418">
        <f>IF(NFI_Expiration=1,IF($A135&lt;VLOOKUP(N$5,NFI,5,0),1,0)*Table_NFI[[#This Row],[Kitchen Set]],Table_NFI[Kitchen Set])</f>
        <v>0</v>
      </c>
      <c r="AF135" s="418">
        <f>IF(NFI_Expiration=1,IF($A135&lt;VLOOKUP(O$5,NFI,5,0),1,0)*Table_NFI[[#This Row],[Clothes Kit]],Table_NFI[Clothes Kit])</f>
        <v>0</v>
      </c>
      <c r="AG135" s="418">
        <f>IF(NFI_Expiration=1,IF($A135&lt;VLOOKUP(P$5,NFI,5,0),1,0)*Table_NFI[[#This Row],[Plastic Bucket]],Table_NFI[Plastic Bucket])</f>
        <v>0</v>
      </c>
      <c r="AH135" s="418">
        <f>IF(NFI_Expiration=1,IF($A135&lt;VLOOKUP(Q$5,NFI,5,0),1,0)*Table_NFI[[#This Row],[Plastic Mat]],Table_NFI[Plastic Mat])*IF(Table_NFI[[#This Row],[Distribution Date]]&gt;"2014-04-01",1,2.5)</f>
        <v>0</v>
      </c>
      <c r="AI135" s="418">
        <f>IF(NFI_Expiration=1,IF($A135&lt;VLOOKUP(R$5,NFI,5,0),1,0)*Table_NFI[[#This Row],[Winter Clothes Adult]],Table_NFI[Winter Clothes Adult])</f>
        <v>0</v>
      </c>
      <c r="AJ135" s="418">
        <f>IF(NFI_Expiration=1,IF($A135&lt;VLOOKUP(S$5,NFI,5,0),1,0)*Table_NFI[[#This Row],[Winter Clothes Children]],Table_NFI[Winter Clothes Children])</f>
        <v>0</v>
      </c>
      <c r="AK135" s="418">
        <f>IF(NFI_Expiration=1,IF($A135&lt;VLOOKUP(T$5,NFI,5,0),1,0)*Table_NFI[[#This Row],[Winter Items Other]],Table_NFI[Winter Items Other])</f>
        <v>0</v>
      </c>
      <c r="AL135" s="418">
        <f>IF(NFI_Expiration=1,IF($A135&lt;VLOOKUP(M$5,NFI,5,0),1,0)*Table_NFI[[#This Row],[Winter Blanket]],Table_NFI[[#This Row],[Winter Blanket]])</f>
        <v>0</v>
      </c>
      <c r="AM135" s="418">
        <f>IF(Table_NFI[[#This Row],[Winter Clothes Adult]]+Table_NFI[[#This Row],[Winter Clothes Children]]+Table_NFI[[#This Row],[Winter Items Other]]+Table_NFI[[#This Row],[Winter Blanket]]&gt;0,1,0)</f>
        <v>0</v>
      </c>
      <c r="AN135" s="419">
        <f>IF(NFI_Expiration=1,IF($A135&lt;VLOOKUP(V$5,NFI,5,0),1,0)*Table_NFI[[#This Row],[Jerry Can]],Table_NFI[Jerry Can])</f>
        <v>0</v>
      </c>
      <c r="AO135" s="419">
        <f>IF(NFI_Expiration=1,IF($A135&lt;VLOOKUP(V$5,NFI,5,0),1,0)*Table_NFI[[#This Row],[Shelter Tool kit]],Table_NFI[Shelter Tool kit])</f>
        <v>0</v>
      </c>
      <c r="AP135" s="419">
        <f>IF(NFI_Expiration=1,IF($A135&lt;VLOOKUP(V$5,NFI,5,0),1,0)*Table_NFI[[#This Row],[Tent]],Table_NFI[Tent])</f>
        <v>0</v>
      </c>
      <c r="AQ135" s="420" t="str">
        <f>IFERROR(VLOOKUP(Table_NFI[[#This Row],[Camp Name]],CL,2,0),"")</f>
        <v/>
      </c>
      <c r="AR135" s="702" t="str">
        <f ca="1">IF(Table_NFI[[#This Row],[Pcode]]="","",IF(OFFSET(CampList[Opening Date],MATCH(Table_NFI[[#This Row],[Pcode]],CampList[CP_Pcode],0)-1,0,1,1)&gt;=NFI_Monitor_Date,1,0))</f>
        <v/>
      </c>
      <c r="AS135" s="560" t="str">
        <f>IFERROR(VLOOKUP(Table_NFI[[#This Row],[Camp Name]],CL,3,0),"")</f>
        <v/>
      </c>
      <c r="AT135" s="418" t="str">
        <f ca="1">IF(Table_NFI[[#This Row],[Pcode]]="","",OFFSET(CampList[Priority],MATCH(Table_NFI[[#This Row],[Pcode]],CampList[CP_Pcode],0)-1,0,1,1))</f>
        <v/>
      </c>
      <c r="AU135" s="421" t="str">
        <f>IFERROR(Table_NFI[[#This Row],[Kitchen Set]]/VLOOKUP(Table_NFI[[#This Row],[Camp Name]],CL,4,0),"")</f>
        <v/>
      </c>
      <c r="AV135" s="417"/>
      <c r="AW135" s="425" t="s">
        <v>1343</v>
      </c>
      <c r="AX135" s="399"/>
      <c r="AY135" s="399"/>
      <c r="AZ135" s="399"/>
      <c r="BA135" s="399"/>
      <c r="BB135" s="399"/>
      <c r="BC135" s="399"/>
      <c r="BD135" s="399"/>
      <c r="BE135" s="399"/>
      <c r="BF135" s="399"/>
      <c r="BG135" s="399"/>
      <c r="BH135" s="399"/>
      <c r="BI135" s="399"/>
      <c r="BJ135" s="399"/>
      <c r="BK135" s="399"/>
      <c r="BL135" s="399"/>
      <c r="BM135" s="399"/>
      <c r="BN135" s="399"/>
      <c r="BO135" s="399"/>
      <c r="BP135" s="399"/>
      <c r="BQ135" s="399"/>
      <c r="BR135" s="399"/>
      <c r="BS135" s="399"/>
      <c r="BT135" s="399"/>
      <c r="BU135" s="399"/>
      <c r="BV135" s="399"/>
      <c r="BW135" s="399"/>
      <c r="BX135" s="399"/>
      <c r="BY135" s="399"/>
      <c r="BZ135" s="399"/>
      <c r="CA135" s="399"/>
      <c r="CB135" s="399"/>
      <c r="CC135" s="399"/>
      <c r="CD135" s="399"/>
      <c r="CE135" s="399"/>
      <c r="CF135" s="399"/>
      <c r="CG135" s="399"/>
      <c r="CH135" s="399"/>
      <c r="CI135" s="399"/>
      <c r="CJ135" s="399"/>
      <c r="CK135" s="399"/>
      <c r="CL135" s="399"/>
      <c r="CM135" s="399"/>
      <c r="CN135" s="399"/>
      <c r="CO135" s="399"/>
      <c r="CP135" s="399"/>
      <c r="CQ135" s="399"/>
      <c r="CR135" s="399"/>
      <c r="CS135" s="399"/>
      <c r="CT135" s="399"/>
      <c r="CU135" s="399"/>
      <c r="CV135" s="399"/>
      <c r="CW135" s="399"/>
      <c r="CX135" s="399"/>
      <c r="CY135" s="399"/>
      <c r="CZ135" s="399"/>
      <c r="DA135" s="399"/>
      <c r="DB135" s="399"/>
      <c r="DC135" s="399"/>
      <c r="DD135" s="399"/>
      <c r="DE135" s="399"/>
      <c r="DF135" s="399"/>
      <c r="DG135" s="399"/>
      <c r="DH135" s="399"/>
      <c r="DI135" s="399"/>
      <c r="DJ135" s="399"/>
      <c r="DK135" s="399"/>
      <c r="DL135" s="399"/>
      <c r="DM135" s="399"/>
      <c r="DN135" s="399"/>
      <c r="DO135" s="399"/>
      <c r="DP135" s="399"/>
      <c r="DQ135" s="399"/>
    </row>
    <row r="136" spans="1:121" s="760" customFormat="1" ht="14.45" customHeight="1" x14ac:dyDescent="0.2">
      <c r="A136" s="266">
        <f t="shared" si="2"/>
        <v>14.933333333333334</v>
      </c>
      <c r="B136" s="389">
        <v>42408</v>
      </c>
      <c r="C136" s="390" t="s">
        <v>904</v>
      </c>
      <c r="D136" s="390" t="s">
        <v>904</v>
      </c>
      <c r="E136" s="390" t="s">
        <v>380</v>
      </c>
      <c r="F136" s="262" t="s">
        <v>185</v>
      </c>
      <c r="G136" s="262" t="s">
        <v>229</v>
      </c>
      <c r="H136" s="261"/>
      <c r="I136" s="261"/>
      <c r="J136" s="764">
        <v>82</v>
      </c>
      <c r="K136" s="261"/>
      <c r="L136" s="261"/>
      <c r="M136" s="261"/>
      <c r="N136" s="261"/>
      <c r="O136" s="261"/>
      <c r="P136" s="261"/>
      <c r="Q136" s="261"/>
      <c r="R136" s="261"/>
      <c r="S136" s="261"/>
      <c r="T136" s="261"/>
      <c r="U136" s="261"/>
      <c r="V136" s="762"/>
      <c r="W136" s="261"/>
      <c r="X136" s="261"/>
      <c r="Y136" s="264">
        <f>IF(NFI_Expiration=1,IF($A136&lt;VLOOKUP(H$5,NFI,5,0),1,0)*Table_NFI[[#This Row],[Hygiene Kit]],Table_NFI[Hygiene Kit])</f>
        <v>0</v>
      </c>
      <c r="Z136" s="264">
        <f>IF(NFI_Expiration=1,IF($A136&lt;VLOOKUP(I$5,NFI,5,0),1,0)*Table_NFI[[#This Row],[NFI Core Kit]],Table_NFI[NFI Core Kit])</f>
        <v>0</v>
      </c>
      <c r="AA136" s="264">
        <f>IF(NFI_Expiration=1,IF($A136&lt;VLOOKUP(J$5,NFI,5,0),1,0)*Table_NFI[[#This Row],[Sanitary Kit]],Table_NFI[Sanitary Kit])</f>
        <v>0</v>
      </c>
      <c r="AB136" s="264">
        <f>IF(NFI_Expiration=1,IF($A136&lt;VLOOKUP(K$5,NFI,5,0),1,0)*Table_NFI[[#This Row],[Mosquito net]],Table_NFI[Mosquito net])</f>
        <v>0</v>
      </c>
      <c r="AC136" s="264">
        <f>IF(NFI_Expiration=1,IF($A136&lt;VLOOKUP(L$5,NFI,5,0),1,0)*Table_NFI[[#This Row],[Tarpaulin]],Table_NFI[[#This Row],[Tarpaulin]])</f>
        <v>0</v>
      </c>
      <c r="AD136" s="264">
        <f>IF(NFI_Expiration=1,IF($A136&lt;VLOOKUP(M$5,NFI,5,0),1,0)*Table_NFI[[#This Row],[Blanket]],Table_NFI[[#This Row],[Blanket]])</f>
        <v>0</v>
      </c>
      <c r="AE136" s="264">
        <f>IF(NFI_Expiration=1,IF($A136&lt;VLOOKUP(N$5,NFI,5,0),1,0)*Table_NFI[[#This Row],[Kitchen Set]],Table_NFI[Kitchen Set])</f>
        <v>0</v>
      </c>
      <c r="AF136" s="264">
        <f>IF(NFI_Expiration=1,IF($A136&lt;VLOOKUP(O$5,NFI,5,0),1,0)*Table_NFI[[#This Row],[Clothes Kit]],Table_NFI[Clothes Kit])</f>
        <v>0</v>
      </c>
      <c r="AG136" s="264">
        <f>IF(NFI_Expiration=1,IF($A136&lt;VLOOKUP(P$5,NFI,5,0),1,0)*Table_NFI[[#This Row],[Plastic Bucket]],Table_NFI[Plastic Bucket])</f>
        <v>0</v>
      </c>
      <c r="AH136" s="264">
        <f>IF(NFI_Expiration=1,IF($A136&lt;VLOOKUP(Q$5,NFI,5,0),1,0)*Table_NFI[[#This Row],[Plastic Mat]],Table_NFI[Plastic Mat])*IF(Table_NFI[[#This Row],[Distribution Date]]&gt;"2014-04-01",1,2.5)</f>
        <v>0</v>
      </c>
      <c r="AI136" s="264">
        <f>IF(NFI_Expiration=1,IF($A136&lt;VLOOKUP(R$5,NFI,5,0),1,0)*Table_NFI[[#This Row],[Winter Clothes Adult]],Table_NFI[Winter Clothes Adult])</f>
        <v>0</v>
      </c>
      <c r="AJ136" s="264">
        <f>IF(NFI_Expiration=1,IF($A136&lt;VLOOKUP(S$5,NFI,5,0),1,0)*Table_NFI[[#This Row],[Winter Clothes Children]],Table_NFI[Winter Clothes Children])</f>
        <v>0</v>
      </c>
      <c r="AK136" s="264">
        <f>IF(NFI_Expiration=1,IF($A136&lt;VLOOKUP(T$5,NFI,5,0),1,0)*Table_NFI[[#This Row],[Winter Items Other]],Table_NFI[Winter Items Other])</f>
        <v>0</v>
      </c>
      <c r="AL136" s="264">
        <f>IF(NFI_Expiration=1,IF($A136&lt;VLOOKUP(M$5,NFI,5,0),1,0)*Table_NFI[[#This Row],[Winter Blanket]],Table_NFI[[#This Row],[Winter Blanket]])</f>
        <v>0</v>
      </c>
      <c r="AM136" s="264">
        <f>IF(Table_NFI[[#This Row],[Winter Clothes Adult]]+Table_NFI[[#This Row],[Winter Clothes Children]]+Table_NFI[[#This Row],[Winter Items Other]]+Table_NFI[[#This Row],[Winter Blanket]]&gt;0,1,0)</f>
        <v>0</v>
      </c>
      <c r="AN136" s="296">
        <f>IF(NFI_Expiration=1,IF($A136&lt;VLOOKUP(V$5,NFI,5,0),1,0)*Table_NFI[[#This Row],[Jerry Can]],Table_NFI[Jerry Can])</f>
        <v>0</v>
      </c>
      <c r="AO136" s="296">
        <f>IF(NFI_Expiration=1,IF($A136&lt;VLOOKUP(V$5,NFI,5,0),1,0)*Table_NFI[[#This Row],[Shelter Tool kit]],Table_NFI[Shelter Tool kit])</f>
        <v>0</v>
      </c>
      <c r="AP136" s="296">
        <f>IF(NFI_Expiration=1,IF($A136&lt;VLOOKUP(V$5,NFI,5,0),1,0)*Table_NFI[[#This Row],[Tent]],Table_NFI[Tent])</f>
        <v>0</v>
      </c>
      <c r="AQ136" s="396" t="str">
        <f>IFERROR(VLOOKUP(Table_NFI[[#This Row],[Camp Name]],CL,2,0),"")</f>
        <v>MMR001CMP072</v>
      </c>
      <c r="AR136" s="702">
        <f ca="1">IF(Table_NFI[[#This Row],[Pcode]]="","",IF(OFFSET(CampList[Opening Date],MATCH(Table_NFI[[#This Row],[Pcode]],CampList[CP_Pcode],0)-1,0,1,1)&gt;=NFI_Monitor_Date,1,0))</f>
        <v>0</v>
      </c>
      <c r="AS136" s="396" t="str">
        <f>IFERROR(VLOOKUP(Table_NFI[[#This Row],[Camp Name]],CL,3,0),"")</f>
        <v>Open</v>
      </c>
      <c r="AT136" s="264" t="str">
        <f ca="1">IF(Table_NFI[[#This Row],[Pcode]]="","",OFFSET(CampList[Priority],MATCH(Table_NFI[[#This Row],[Pcode]],CampList[CP_Pcode],0)-1,0,1,1))</f>
        <v>P3</v>
      </c>
      <c r="AU136" s="263">
        <f>IFERROR(Table_NFI[[#This Row],[Kitchen Set]]/VLOOKUP(Table_NFI[[#This Row],[Camp Name]],CL,4,0),"")</f>
        <v>0</v>
      </c>
      <c r="AV136" s="390"/>
      <c r="AW136" s="392"/>
      <c r="AX136" s="399"/>
      <c r="AY136" s="399"/>
      <c r="AZ136" s="399"/>
      <c r="BA136" s="399"/>
      <c r="BB136" s="399"/>
      <c r="BC136" s="399"/>
      <c r="BD136" s="399"/>
      <c r="BE136" s="399"/>
      <c r="BF136" s="399"/>
      <c r="BG136" s="399"/>
      <c r="BH136" s="399"/>
      <c r="BI136" s="399"/>
      <c r="BJ136" s="399"/>
      <c r="BK136" s="399"/>
      <c r="BL136" s="399"/>
      <c r="BM136" s="399"/>
      <c r="BN136" s="399"/>
      <c r="BO136" s="399"/>
      <c r="BP136" s="399"/>
      <c r="BQ136" s="399"/>
      <c r="BR136" s="399"/>
      <c r="BS136" s="399"/>
      <c r="BT136" s="399"/>
      <c r="BU136" s="399"/>
      <c r="BV136" s="399"/>
      <c r="BW136" s="399"/>
      <c r="BX136" s="399"/>
      <c r="BY136" s="399"/>
      <c r="BZ136" s="399"/>
      <c r="CA136" s="399"/>
      <c r="CB136" s="399"/>
      <c r="CC136" s="399"/>
      <c r="CD136" s="399"/>
      <c r="CE136" s="399"/>
      <c r="CF136" s="399"/>
      <c r="CG136" s="399"/>
      <c r="CH136" s="399"/>
      <c r="CI136" s="399"/>
      <c r="CJ136" s="399"/>
      <c r="CK136" s="399"/>
      <c r="CL136" s="399"/>
      <c r="CM136" s="399"/>
      <c r="CN136" s="399"/>
      <c r="CO136" s="399"/>
      <c r="CP136" s="399"/>
      <c r="CQ136" s="399"/>
      <c r="CR136" s="399"/>
      <c r="CS136" s="399"/>
      <c r="CT136" s="399"/>
      <c r="CU136" s="399"/>
      <c r="CV136" s="399"/>
      <c r="CW136" s="399"/>
      <c r="CX136" s="399"/>
      <c r="CY136" s="399"/>
      <c r="CZ136" s="399"/>
      <c r="DA136" s="399"/>
      <c r="DB136" s="399"/>
      <c r="DC136" s="399"/>
      <c r="DD136" s="399"/>
      <c r="DE136" s="399"/>
      <c r="DF136" s="399"/>
      <c r="DG136" s="399"/>
      <c r="DH136" s="399"/>
      <c r="DI136" s="399"/>
      <c r="DJ136" s="399"/>
      <c r="DK136" s="399"/>
      <c r="DL136" s="399"/>
      <c r="DM136" s="399"/>
      <c r="DN136" s="399"/>
      <c r="DO136" s="399"/>
      <c r="DP136" s="399"/>
      <c r="DQ136" s="399"/>
    </row>
    <row r="137" spans="1:121" s="760" customFormat="1" ht="14.45" customHeight="1" x14ac:dyDescent="0.2">
      <c r="A137" s="266">
        <f t="shared" si="2"/>
        <v>14.933333333333334</v>
      </c>
      <c r="B137" s="389">
        <v>42408</v>
      </c>
      <c r="C137" s="390" t="s">
        <v>904</v>
      </c>
      <c r="D137" s="391" t="s">
        <v>904</v>
      </c>
      <c r="E137" s="390" t="s">
        <v>380</v>
      </c>
      <c r="F137" s="262" t="s">
        <v>5</v>
      </c>
      <c r="G137" s="262" t="s">
        <v>22</v>
      </c>
      <c r="H137" s="261"/>
      <c r="I137" s="261"/>
      <c r="J137" s="764">
        <v>996</v>
      </c>
      <c r="K137" s="261"/>
      <c r="L137" s="261"/>
      <c r="M137" s="261"/>
      <c r="N137" s="261"/>
      <c r="O137" s="261"/>
      <c r="P137" s="261"/>
      <c r="Q137" s="261"/>
      <c r="R137" s="261"/>
      <c r="S137" s="261"/>
      <c r="T137" s="261"/>
      <c r="U137" s="261"/>
      <c r="V137" s="762"/>
      <c r="W137" s="261"/>
      <c r="X137" s="261"/>
      <c r="Y137" s="264">
        <f>IF(NFI_Expiration=1,IF($A137&lt;VLOOKUP(H$5,NFI,5,0),1,0)*Table_NFI[[#This Row],[Hygiene Kit]],Table_NFI[Hygiene Kit])</f>
        <v>0</v>
      </c>
      <c r="Z137" s="264">
        <f>IF(NFI_Expiration=1,IF($A137&lt;VLOOKUP(I$5,NFI,5,0),1,0)*Table_NFI[[#This Row],[NFI Core Kit]],Table_NFI[NFI Core Kit])</f>
        <v>0</v>
      </c>
      <c r="AA137" s="264">
        <f>IF(NFI_Expiration=1,IF($A137&lt;VLOOKUP(J$5,NFI,5,0),1,0)*Table_NFI[[#This Row],[Sanitary Kit]],Table_NFI[Sanitary Kit])</f>
        <v>0</v>
      </c>
      <c r="AB137" s="264">
        <f>IF(NFI_Expiration=1,IF($A137&lt;VLOOKUP(K$5,NFI,5,0),1,0)*Table_NFI[[#This Row],[Mosquito net]],Table_NFI[Mosquito net])</f>
        <v>0</v>
      </c>
      <c r="AC137" s="264">
        <f>IF(NFI_Expiration=1,IF($A137&lt;VLOOKUP(L$5,NFI,5,0),1,0)*Table_NFI[[#This Row],[Tarpaulin]],Table_NFI[[#This Row],[Tarpaulin]])</f>
        <v>0</v>
      </c>
      <c r="AD137" s="264">
        <f>IF(NFI_Expiration=1,IF($A137&lt;VLOOKUP(M$5,NFI,5,0),1,0)*Table_NFI[[#This Row],[Blanket]],Table_NFI[[#This Row],[Blanket]])</f>
        <v>0</v>
      </c>
      <c r="AE137" s="264">
        <f>IF(NFI_Expiration=1,IF($A137&lt;VLOOKUP(N$5,NFI,5,0),1,0)*Table_NFI[[#This Row],[Kitchen Set]],Table_NFI[Kitchen Set])</f>
        <v>0</v>
      </c>
      <c r="AF137" s="264">
        <f>IF(NFI_Expiration=1,IF($A137&lt;VLOOKUP(O$5,NFI,5,0),1,0)*Table_NFI[[#This Row],[Clothes Kit]],Table_NFI[Clothes Kit])</f>
        <v>0</v>
      </c>
      <c r="AG137" s="264">
        <f>IF(NFI_Expiration=1,IF($A137&lt;VLOOKUP(P$5,NFI,5,0),1,0)*Table_NFI[[#This Row],[Plastic Bucket]],Table_NFI[Plastic Bucket])</f>
        <v>0</v>
      </c>
      <c r="AH137" s="264">
        <f>IF(NFI_Expiration=1,IF($A137&lt;VLOOKUP(Q$5,NFI,5,0),1,0)*Table_NFI[[#This Row],[Plastic Mat]],Table_NFI[Plastic Mat])*IF(Table_NFI[[#This Row],[Distribution Date]]&gt;"2014-04-01",1,2.5)</f>
        <v>0</v>
      </c>
      <c r="AI137" s="264">
        <f>IF(NFI_Expiration=1,IF($A137&lt;VLOOKUP(R$5,NFI,5,0),1,0)*Table_NFI[[#This Row],[Winter Clothes Adult]],Table_NFI[Winter Clothes Adult])</f>
        <v>0</v>
      </c>
      <c r="AJ137" s="264">
        <f>IF(NFI_Expiration=1,IF($A137&lt;VLOOKUP(S$5,NFI,5,0),1,0)*Table_NFI[[#This Row],[Winter Clothes Children]],Table_NFI[Winter Clothes Children])</f>
        <v>0</v>
      </c>
      <c r="AK137" s="264">
        <f>IF(NFI_Expiration=1,IF($A137&lt;VLOOKUP(T$5,NFI,5,0),1,0)*Table_NFI[[#This Row],[Winter Items Other]],Table_NFI[Winter Items Other])</f>
        <v>0</v>
      </c>
      <c r="AL137" s="264">
        <f>IF(NFI_Expiration=1,IF($A137&lt;VLOOKUP(M$5,NFI,5,0),1,0)*Table_NFI[[#This Row],[Winter Blanket]],Table_NFI[[#This Row],[Winter Blanket]])</f>
        <v>0</v>
      </c>
      <c r="AM137" s="264">
        <f>IF(Table_NFI[[#This Row],[Winter Clothes Adult]]+Table_NFI[[#This Row],[Winter Clothes Children]]+Table_NFI[[#This Row],[Winter Items Other]]+Table_NFI[[#This Row],[Winter Blanket]]&gt;0,1,0)</f>
        <v>0</v>
      </c>
      <c r="AN137" s="296">
        <f>IF(NFI_Expiration=1,IF($A137&lt;VLOOKUP(V$5,NFI,5,0),1,0)*Table_NFI[[#This Row],[Jerry Can]],Table_NFI[Jerry Can])</f>
        <v>0</v>
      </c>
      <c r="AO137" s="296">
        <f>IF(NFI_Expiration=1,IF($A137&lt;VLOOKUP(V$5,NFI,5,0),1,0)*Table_NFI[[#This Row],[Shelter Tool kit]],Table_NFI[Shelter Tool kit])</f>
        <v>0</v>
      </c>
      <c r="AP137" s="296">
        <f>IF(NFI_Expiration=1,IF($A137&lt;VLOOKUP(V$5,NFI,5,0),1,0)*Table_NFI[[#This Row],[Tent]],Table_NFI[Tent])</f>
        <v>0</v>
      </c>
      <c r="AQ137" s="396" t="str">
        <f>IFERROR(VLOOKUP(Table_NFI[[#This Row],[Camp Name]],CL,2,0),"")</f>
        <v>MMR001CMP047</v>
      </c>
      <c r="AR137" s="702">
        <f ca="1">IF(Table_NFI[[#This Row],[Pcode]]="","",IF(OFFSET(CampList[Opening Date],MATCH(Table_NFI[[#This Row],[Pcode]],CampList[CP_Pcode],0)-1,0,1,1)&gt;=NFI_Monitor_Date,1,0))</f>
        <v>0</v>
      </c>
      <c r="AS137" s="396" t="str">
        <f>IFERROR(VLOOKUP(Table_NFI[[#This Row],[Camp Name]],CL,3,0),"")</f>
        <v>Open</v>
      </c>
      <c r="AT137" s="264" t="str">
        <f ca="1">IF(Table_NFI[[#This Row],[Pcode]]="","",OFFSET(CampList[Priority],MATCH(Table_NFI[[#This Row],[Pcode]],CampList[CP_Pcode],0)-1,0,1,1))</f>
        <v>P4</v>
      </c>
      <c r="AU137" s="263">
        <f>IFERROR(Table_NFI[[#This Row],[Kitchen Set]]/VLOOKUP(Table_NFI[[#This Row],[Camp Name]],CL,4,0),"")</f>
        <v>0</v>
      </c>
      <c r="AV137" s="390"/>
      <c r="AW137" s="392"/>
      <c r="AX137" s="399"/>
      <c r="AY137" s="399"/>
      <c r="AZ137" s="399"/>
      <c r="BA137" s="399"/>
      <c r="BB137" s="399"/>
      <c r="BC137" s="399"/>
      <c r="BD137" s="399"/>
      <c r="BE137" s="399"/>
      <c r="BF137" s="399"/>
      <c r="BG137" s="399"/>
      <c r="BH137" s="399"/>
      <c r="BI137" s="399"/>
      <c r="BJ137" s="399"/>
      <c r="BK137" s="399"/>
      <c r="BL137" s="399"/>
      <c r="BM137" s="399"/>
      <c r="BN137" s="399"/>
      <c r="BO137" s="399"/>
      <c r="BP137" s="399"/>
      <c r="BQ137" s="399"/>
      <c r="BR137" s="399"/>
      <c r="BS137" s="399"/>
      <c r="BT137" s="399"/>
      <c r="BU137" s="399"/>
      <c r="BV137" s="399"/>
      <c r="BW137" s="399"/>
      <c r="BX137" s="399"/>
      <c r="BY137" s="399"/>
      <c r="BZ137" s="399"/>
      <c r="CA137" s="399"/>
      <c r="CB137" s="399"/>
      <c r="CC137" s="399"/>
      <c r="CD137" s="399"/>
      <c r="CE137" s="399"/>
      <c r="CF137" s="399"/>
      <c r="CG137" s="399"/>
      <c r="CH137" s="399"/>
      <c r="CI137" s="399"/>
      <c r="CJ137" s="399"/>
      <c r="CK137" s="399"/>
      <c r="CL137" s="399"/>
      <c r="CM137" s="399"/>
      <c r="CN137" s="399"/>
      <c r="CO137" s="399"/>
      <c r="CP137" s="399"/>
      <c r="CQ137" s="399"/>
      <c r="CR137" s="399"/>
      <c r="CS137" s="399"/>
      <c r="CT137" s="399"/>
      <c r="CU137" s="399"/>
      <c r="CV137" s="399"/>
      <c r="CW137" s="399"/>
      <c r="CX137" s="399"/>
      <c r="CY137" s="399"/>
      <c r="CZ137" s="399"/>
      <c r="DA137" s="399"/>
      <c r="DB137" s="399"/>
      <c r="DC137" s="399"/>
      <c r="DD137" s="399"/>
      <c r="DE137" s="399"/>
      <c r="DF137" s="399"/>
      <c r="DG137" s="399"/>
      <c r="DH137" s="399"/>
      <c r="DI137" s="399"/>
      <c r="DJ137" s="399"/>
      <c r="DK137" s="399"/>
      <c r="DL137" s="399"/>
      <c r="DM137" s="399"/>
      <c r="DN137" s="399"/>
      <c r="DO137" s="399"/>
      <c r="DP137" s="399"/>
      <c r="DQ137" s="399"/>
    </row>
    <row r="138" spans="1:121" s="393" customFormat="1" ht="14.45" customHeight="1" x14ac:dyDescent="0.2">
      <c r="A138" s="266">
        <f t="shared" si="2"/>
        <v>14.933333333333334</v>
      </c>
      <c r="B138" s="389">
        <v>42408</v>
      </c>
      <c r="C138" s="390" t="s">
        <v>904</v>
      </c>
      <c r="D138" s="391" t="s">
        <v>904</v>
      </c>
      <c r="E138" s="390" t="s">
        <v>380</v>
      </c>
      <c r="F138" s="262" t="s">
        <v>185</v>
      </c>
      <c r="G138" s="262" t="s">
        <v>225</v>
      </c>
      <c r="H138" s="261"/>
      <c r="I138" s="261"/>
      <c r="J138" s="764">
        <v>62</v>
      </c>
      <c r="K138" s="261"/>
      <c r="L138" s="261"/>
      <c r="M138" s="261"/>
      <c r="N138" s="261"/>
      <c r="O138" s="261"/>
      <c r="P138" s="261"/>
      <c r="Q138" s="261"/>
      <c r="R138" s="261"/>
      <c r="S138" s="261"/>
      <c r="T138" s="261"/>
      <c r="U138" s="261"/>
      <c r="V138" s="762"/>
      <c r="W138" s="261"/>
      <c r="X138" s="261"/>
      <c r="Y138" s="264">
        <f>IF(NFI_Expiration=1,IF($A138&lt;VLOOKUP(H$5,NFI,5,0),1,0)*Table_NFI[[#This Row],[Hygiene Kit]],Table_NFI[Hygiene Kit])</f>
        <v>0</v>
      </c>
      <c r="Z138" s="264">
        <f>IF(NFI_Expiration=1,IF($A138&lt;VLOOKUP(I$5,NFI,5,0),1,0)*Table_NFI[[#This Row],[NFI Core Kit]],Table_NFI[NFI Core Kit])</f>
        <v>0</v>
      </c>
      <c r="AA138" s="264">
        <f>IF(NFI_Expiration=1,IF($A138&lt;VLOOKUP(J$5,NFI,5,0),1,0)*Table_NFI[[#This Row],[Sanitary Kit]],Table_NFI[Sanitary Kit])</f>
        <v>0</v>
      </c>
      <c r="AB138" s="264">
        <f>IF(NFI_Expiration=1,IF($A138&lt;VLOOKUP(K$5,NFI,5,0),1,0)*Table_NFI[[#This Row],[Mosquito net]],Table_NFI[Mosquito net])</f>
        <v>0</v>
      </c>
      <c r="AC138" s="264">
        <f>IF(NFI_Expiration=1,IF($A138&lt;VLOOKUP(L$5,NFI,5,0),1,0)*Table_NFI[[#This Row],[Tarpaulin]],Table_NFI[[#This Row],[Tarpaulin]])</f>
        <v>0</v>
      </c>
      <c r="AD138" s="264">
        <f>IF(NFI_Expiration=1,IF($A138&lt;VLOOKUP(M$5,NFI,5,0),1,0)*Table_NFI[[#This Row],[Blanket]],Table_NFI[[#This Row],[Blanket]])</f>
        <v>0</v>
      </c>
      <c r="AE138" s="264">
        <f>IF(NFI_Expiration=1,IF($A138&lt;VLOOKUP(N$5,NFI,5,0),1,0)*Table_NFI[[#This Row],[Kitchen Set]],Table_NFI[Kitchen Set])</f>
        <v>0</v>
      </c>
      <c r="AF138" s="264">
        <f>IF(NFI_Expiration=1,IF($A138&lt;VLOOKUP(O$5,NFI,5,0),1,0)*Table_NFI[[#This Row],[Clothes Kit]],Table_NFI[Clothes Kit])</f>
        <v>0</v>
      </c>
      <c r="AG138" s="264">
        <f>IF(NFI_Expiration=1,IF($A138&lt;VLOOKUP(P$5,NFI,5,0),1,0)*Table_NFI[[#This Row],[Plastic Bucket]],Table_NFI[Plastic Bucket])</f>
        <v>0</v>
      </c>
      <c r="AH138" s="264">
        <f>IF(NFI_Expiration=1,IF($A138&lt;VLOOKUP(Q$5,NFI,5,0),1,0)*Table_NFI[[#This Row],[Plastic Mat]],Table_NFI[Plastic Mat])*IF(Table_NFI[[#This Row],[Distribution Date]]&gt;"2014-04-01",1,2.5)</f>
        <v>0</v>
      </c>
      <c r="AI138" s="264">
        <f>IF(NFI_Expiration=1,IF($A138&lt;VLOOKUP(R$5,NFI,5,0),1,0)*Table_NFI[[#This Row],[Winter Clothes Adult]],Table_NFI[Winter Clothes Adult])</f>
        <v>0</v>
      </c>
      <c r="AJ138" s="264">
        <f>IF(NFI_Expiration=1,IF($A138&lt;VLOOKUP(S$5,NFI,5,0),1,0)*Table_NFI[[#This Row],[Winter Clothes Children]],Table_NFI[Winter Clothes Children])</f>
        <v>0</v>
      </c>
      <c r="AK138" s="264">
        <f>IF(NFI_Expiration=1,IF($A138&lt;VLOOKUP(T$5,NFI,5,0),1,0)*Table_NFI[[#This Row],[Winter Items Other]],Table_NFI[Winter Items Other])</f>
        <v>0</v>
      </c>
      <c r="AL138" s="264">
        <f>IF(NFI_Expiration=1,IF($A138&lt;VLOOKUP(M$5,NFI,5,0),1,0)*Table_NFI[[#This Row],[Winter Blanket]],Table_NFI[[#This Row],[Winter Blanket]])</f>
        <v>0</v>
      </c>
      <c r="AM138" s="264">
        <f>IF(Table_NFI[[#This Row],[Winter Clothes Adult]]+Table_NFI[[#This Row],[Winter Clothes Children]]+Table_NFI[[#This Row],[Winter Items Other]]+Table_NFI[[#This Row],[Winter Blanket]]&gt;0,1,0)</f>
        <v>0</v>
      </c>
      <c r="AN138" s="296">
        <f>IF(NFI_Expiration=1,IF($A138&lt;VLOOKUP(V$5,NFI,5,0),1,0)*Table_NFI[[#This Row],[Jerry Can]],Table_NFI[Jerry Can])</f>
        <v>0</v>
      </c>
      <c r="AO138" s="296">
        <f>IF(NFI_Expiration=1,IF($A138&lt;VLOOKUP(V$5,NFI,5,0),1,0)*Table_NFI[[#This Row],[Shelter Tool kit]],Table_NFI[Shelter Tool kit])</f>
        <v>0</v>
      </c>
      <c r="AP138" s="296">
        <f>IF(NFI_Expiration=1,IF($A138&lt;VLOOKUP(V$5,NFI,5,0),1,0)*Table_NFI[[#This Row],[Tent]],Table_NFI[Tent])</f>
        <v>0</v>
      </c>
      <c r="AQ138" s="396" t="str">
        <f>IFERROR(VLOOKUP(Table_NFI[[#This Row],[Camp Name]],CL,2,0),"")</f>
        <v>MMR001CMP073</v>
      </c>
      <c r="AR138" s="702">
        <f ca="1">IF(Table_NFI[[#This Row],[Pcode]]="","",IF(OFFSET(CampList[Opening Date],MATCH(Table_NFI[[#This Row],[Pcode]],CampList[CP_Pcode],0)-1,0,1,1)&gt;=NFI_Monitor_Date,1,0))</f>
        <v>0</v>
      </c>
      <c r="AS138" s="396" t="str">
        <f>IFERROR(VLOOKUP(Table_NFI[[#This Row],[Camp Name]],CL,3,0),"")</f>
        <v>Open</v>
      </c>
      <c r="AT138" s="264" t="str">
        <f ca="1">IF(Table_NFI[[#This Row],[Pcode]]="","",OFFSET(CampList[Priority],MATCH(Table_NFI[[#This Row],[Pcode]],CampList[CP_Pcode],0)-1,0,1,1))</f>
        <v>P3</v>
      </c>
      <c r="AU138" s="263">
        <f>IFERROR(Table_NFI[[#This Row],[Kitchen Set]]/VLOOKUP(Table_NFI[[#This Row],[Camp Name]],CL,4,0),"")</f>
        <v>0</v>
      </c>
      <c r="AV138" s="390"/>
      <c r="AW138" s="392"/>
      <c r="AX138" s="399"/>
      <c r="AY138" s="399"/>
      <c r="AZ138" s="399"/>
      <c r="BA138" s="399"/>
      <c r="BB138" s="399"/>
      <c r="BC138" s="399"/>
      <c r="BD138" s="399"/>
      <c r="BE138" s="399"/>
      <c r="BF138" s="399"/>
      <c r="BG138" s="399"/>
      <c r="BH138" s="399"/>
      <c r="BI138" s="399"/>
      <c r="BJ138" s="399"/>
      <c r="BK138" s="399"/>
      <c r="BL138" s="399"/>
      <c r="BM138" s="399"/>
      <c r="BN138" s="399"/>
      <c r="BO138" s="399"/>
      <c r="BP138" s="399"/>
      <c r="BQ138" s="399"/>
      <c r="BR138" s="399"/>
      <c r="BS138" s="399"/>
      <c r="BT138" s="399"/>
      <c r="BU138" s="399"/>
      <c r="BV138" s="399"/>
      <c r="BW138" s="399"/>
      <c r="BX138" s="399"/>
      <c r="BY138" s="399"/>
      <c r="BZ138" s="399"/>
      <c r="CA138" s="399"/>
      <c r="CB138" s="399"/>
      <c r="CC138" s="399"/>
      <c r="CD138" s="399"/>
      <c r="CE138" s="399"/>
      <c r="CF138" s="399"/>
      <c r="CG138" s="399"/>
      <c r="CH138" s="399"/>
      <c r="CI138" s="399"/>
      <c r="CJ138" s="399"/>
      <c r="CK138" s="399"/>
      <c r="CL138" s="399"/>
      <c r="CM138" s="399"/>
      <c r="CN138" s="399"/>
      <c r="CO138" s="399"/>
      <c r="CP138" s="399"/>
      <c r="CQ138" s="399"/>
      <c r="CR138" s="399"/>
      <c r="CS138" s="399"/>
      <c r="CT138" s="399"/>
      <c r="CU138" s="399"/>
      <c r="CV138" s="399"/>
      <c r="CW138" s="399"/>
      <c r="CX138" s="399"/>
      <c r="CY138" s="399"/>
      <c r="CZ138" s="399"/>
      <c r="DA138" s="399"/>
      <c r="DB138" s="399"/>
      <c r="DC138" s="399"/>
      <c r="DD138" s="399"/>
      <c r="DE138" s="399"/>
      <c r="DF138" s="399"/>
      <c r="DG138" s="399"/>
      <c r="DH138" s="399"/>
      <c r="DI138" s="399"/>
      <c r="DJ138" s="399"/>
      <c r="DK138" s="399"/>
      <c r="DL138" s="399"/>
      <c r="DM138" s="399"/>
      <c r="DN138" s="399"/>
      <c r="DO138" s="399"/>
      <c r="DP138" s="399"/>
      <c r="DQ138" s="399"/>
    </row>
    <row r="139" spans="1:121" s="760" customFormat="1" ht="14.45" customHeight="1" x14ac:dyDescent="0.2">
      <c r="A139" s="266">
        <f t="shared" si="2"/>
        <v>15.033333333333333</v>
      </c>
      <c r="B139" s="389">
        <v>42405</v>
      </c>
      <c r="C139" s="390" t="s">
        <v>904</v>
      </c>
      <c r="D139" s="391" t="s">
        <v>904</v>
      </c>
      <c r="E139" s="390" t="s">
        <v>380</v>
      </c>
      <c r="F139" s="262" t="s">
        <v>185</v>
      </c>
      <c r="G139" s="262" t="s">
        <v>190</v>
      </c>
      <c r="H139" s="261"/>
      <c r="I139" s="261"/>
      <c r="J139" s="764">
        <v>258</v>
      </c>
      <c r="K139" s="261"/>
      <c r="L139" s="261"/>
      <c r="M139" s="261"/>
      <c r="N139" s="261"/>
      <c r="O139" s="261"/>
      <c r="P139" s="261"/>
      <c r="Q139" s="261"/>
      <c r="R139" s="261"/>
      <c r="S139" s="261"/>
      <c r="T139" s="261"/>
      <c r="U139" s="261"/>
      <c r="V139" s="762"/>
      <c r="W139" s="261"/>
      <c r="X139" s="261"/>
      <c r="Y139" s="264">
        <f>IF(NFI_Expiration=1,IF($A139&lt;VLOOKUP(H$5,NFI,5,0),1,0)*Table_NFI[[#This Row],[Hygiene Kit]],Table_NFI[Hygiene Kit])</f>
        <v>0</v>
      </c>
      <c r="Z139" s="264">
        <f>IF(NFI_Expiration=1,IF($A139&lt;VLOOKUP(I$5,NFI,5,0),1,0)*Table_NFI[[#This Row],[NFI Core Kit]],Table_NFI[NFI Core Kit])</f>
        <v>0</v>
      </c>
      <c r="AA139" s="264">
        <f>IF(NFI_Expiration=1,IF($A139&lt;VLOOKUP(J$5,NFI,5,0),1,0)*Table_NFI[[#This Row],[Sanitary Kit]],Table_NFI[Sanitary Kit])</f>
        <v>0</v>
      </c>
      <c r="AB139" s="264">
        <f>IF(NFI_Expiration=1,IF($A139&lt;VLOOKUP(K$5,NFI,5,0),1,0)*Table_NFI[[#This Row],[Mosquito net]],Table_NFI[Mosquito net])</f>
        <v>0</v>
      </c>
      <c r="AC139" s="264">
        <f>IF(NFI_Expiration=1,IF($A139&lt;VLOOKUP(L$5,NFI,5,0),1,0)*Table_NFI[[#This Row],[Tarpaulin]],Table_NFI[[#This Row],[Tarpaulin]])</f>
        <v>0</v>
      </c>
      <c r="AD139" s="264">
        <f>IF(NFI_Expiration=1,IF($A139&lt;VLOOKUP(M$5,NFI,5,0),1,0)*Table_NFI[[#This Row],[Blanket]],Table_NFI[[#This Row],[Blanket]])</f>
        <v>0</v>
      </c>
      <c r="AE139" s="264">
        <f>IF(NFI_Expiration=1,IF($A139&lt;VLOOKUP(N$5,NFI,5,0),1,0)*Table_NFI[[#This Row],[Kitchen Set]],Table_NFI[Kitchen Set])</f>
        <v>0</v>
      </c>
      <c r="AF139" s="264">
        <f>IF(NFI_Expiration=1,IF($A139&lt;VLOOKUP(O$5,NFI,5,0),1,0)*Table_NFI[[#This Row],[Clothes Kit]],Table_NFI[Clothes Kit])</f>
        <v>0</v>
      </c>
      <c r="AG139" s="264">
        <f>IF(NFI_Expiration=1,IF($A139&lt;VLOOKUP(P$5,NFI,5,0),1,0)*Table_NFI[[#This Row],[Plastic Bucket]],Table_NFI[Plastic Bucket])</f>
        <v>0</v>
      </c>
      <c r="AH139" s="264">
        <f>IF(NFI_Expiration=1,IF($A139&lt;VLOOKUP(Q$5,NFI,5,0),1,0)*Table_NFI[[#This Row],[Plastic Mat]],Table_NFI[Plastic Mat])*IF(Table_NFI[[#This Row],[Distribution Date]]&gt;"2014-04-01",1,2.5)</f>
        <v>0</v>
      </c>
      <c r="AI139" s="264">
        <f>IF(NFI_Expiration=1,IF($A139&lt;VLOOKUP(R$5,NFI,5,0),1,0)*Table_NFI[[#This Row],[Winter Clothes Adult]],Table_NFI[Winter Clothes Adult])</f>
        <v>0</v>
      </c>
      <c r="AJ139" s="264">
        <f>IF(NFI_Expiration=1,IF($A139&lt;VLOOKUP(S$5,NFI,5,0),1,0)*Table_NFI[[#This Row],[Winter Clothes Children]],Table_NFI[Winter Clothes Children])</f>
        <v>0</v>
      </c>
      <c r="AK139" s="264">
        <f>IF(NFI_Expiration=1,IF($A139&lt;VLOOKUP(T$5,NFI,5,0),1,0)*Table_NFI[[#This Row],[Winter Items Other]],Table_NFI[Winter Items Other])</f>
        <v>0</v>
      </c>
      <c r="AL139" s="264">
        <f>IF(NFI_Expiration=1,IF($A139&lt;VLOOKUP(M$5,NFI,5,0),1,0)*Table_NFI[[#This Row],[Winter Blanket]],Table_NFI[[#This Row],[Winter Blanket]])</f>
        <v>0</v>
      </c>
      <c r="AM139" s="264">
        <f>IF(Table_NFI[[#This Row],[Winter Clothes Adult]]+Table_NFI[[#This Row],[Winter Clothes Children]]+Table_NFI[[#This Row],[Winter Items Other]]+Table_NFI[[#This Row],[Winter Blanket]]&gt;0,1,0)</f>
        <v>0</v>
      </c>
      <c r="AN139" s="296">
        <f>IF(NFI_Expiration=1,IF($A139&lt;VLOOKUP(V$5,NFI,5,0),1,0)*Table_NFI[[#This Row],[Jerry Can]],Table_NFI[Jerry Can])</f>
        <v>0</v>
      </c>
      <c r="AO139" s="296">
        <f>IF(NFI_Expiration=1,IF($A139&lt;VLOOKUP(V$5,NFI,5,0),1,0)*Table_NFI[[#This Row],[Shelter Tool kit]],Table_NFI[Shelter Tool kit])</f>
        <v>0</v>
      </c>
      <c r="AP139" s="296">
        <f>IF(NFI_Expiration=1,IF($A139&lt;VLOOKUP(V$5,NFI,5,0),1,0)*Table_NFI[[#This Row],[Tent]],Table_NFI[Tent])</f>
        <v>0</v>
      </c>
      <c r="AQ139" s="396" t="str">
        <f>IFERROR(VLOOKUP(Table_NFI[[#This Row],[Camp Name]],CL,2,0),"")</f>
        <v>MMR001CMP070</v>
      </c>
      <c r="AR139" s="702">
        <f ca="1">IF(Table_NFI[[#This Row],[Pcode]]="","",IF(OFFSET(CampList[Opening Date],MATCH(Table_NFI[[#This Row],[Pcode]],CampList[CP_Pcode],0)-1,0,1,1)&gt;=NFI_Monitor_Date,1,0))</f>
        <v>0</v>
      </c>
      <c r="AS139" s="396" t="str">
        <f>IFERROR(VLOOKUP(Table_NFI[[#This Row],[Camp Name]],CL,3,0),"")</f>
        <v>Open</v>
      </c>
      <c r="AT139" s="264" t="str">
        <f ca="1">IF(Table_NFI[[#This Row],[Pcode]]="","",OFFSET(CampList[Priority],MATCH(Table_NFI[[#This Row],[Pcode]],CampList[CP_Pcode],0)-1,0,1,1))</f>
        <v>P3</v>
      </c>
      <c r="AU139" s="263">
        <f>IFERROR(Table_NFI[[#This Row],[Kitchen Set]]/VLOOKUP(Table_NFI[[#This Row],[Camp Name]],CL,4,0),"")</f>
        <v>0</v>
      </c>
      <c r="AV139" s="390"/>
      <c r="AW139" s="392"/>
      <c r="AX139" s="399"/>
      <c r="AY139" s="399"/>
      <c r="AZ139" s="399"/>
      <c r="BA139" s="399"/>
      <c r="BB139" s="399"/>
      <c r="BC139" s="399"/>
      <c r="BD139" s="399"/>
      <c r="BE139" s="399"/>
      <c r="BF139" s="399"/>
      <c r="BG139" s="399"/>
      <c r="BH139" s="399"/>
      <c r="BI139" s="399"/>
      <c r="BJ139" s="399"/>
      <c r="BK139" s="399"/>
      <c r="BL139" s="399"/>
      <c r="BM139" s="399"/>
      <c r="BN139" s="399"/>
      <c r="BO139" s="399"/>
      <c r="BP139" s="399"/>
      <c r="BQ139" s="399"/>
      <c r="BR139" s="399"/>
      <c r="BS139" s="399"/>
      <c r="BT139" s="399"/>
      <c r="BU139" s="399"/>
      <c r="BV139" s="399"/>
      <c r="BW139" s="399"/>
      <c r="BX139" s="399"/>
      <c r="BY139" s="399"/>
      <c r="BZ139" s="399"/>
      <c r="CA139" s="399"/>
      <c r="CB139" s="399"/>
      <c r="CC139" s="399"/>
      <c r="CD139" s="399"/>
      <c r="CE139" s="399"/>
      <c r="CF139" s="399"/>
      <c r="CG139" s="399"/>
      <c r="CH139" s="399"/>
      <c r="CI139" s="399"/>
      <c r="CJ139" s="399"/>
      <c r="CK139" s="399"/>
      <c r="CL139" s="399"/>
      <c r="CM139" s="399"/>
      <c r="CN139" s="399"/>
      <c r="CO139" s="399"/>
      <c r="CP139" s="399"/>
      <c r="CQ139" s="399"/>
      <c r="CR139" s="399"/>
      <c r="CS139" s="399"/>
      <c r="CT139" s="399"/>
      <c r="CU139" s="399"/>
      <c r="CV139" s="399"/>
      <c r="CW139" s="399"/>
      <c r="CX139" s="399"/>
      <c r="CY139" s="399"/>
      <c r="CZ139" s="399"/>
      <c r="DA139" s="399"/>
      <c r="DB139" s="399"/>
      <c r="DC139" s="399"/>
      <c r="DD139" s="399"/>
      <c r="DE139" s="399"/>
      <c r="DF139" s="399"/>
      <c r="DG139" s="399"/>
      <c r="DH139" s="399"/>
      <c r="DI139" s="399"/>
      <c r="DJ139" s="399"/>
      <c r="DK139" s="399"/>
      <c r="DL139" s="399"/>
      <c r="DM139" s="399"/>
      <c r="DN139" s="399"/>
      <c r="DO139" s="399"/>
      <c r="DP139" s="399"/>
      <c r="DQ139" s="399"/>
    </row>
    <row r="140" spans="1:121" s="759" customFormat="1" ht="14.45" customHeight="1" x14ac:dyDescent="0.2">
      <c r="A140" s="266">
        <f t="shared" si="2"/>
        <v>15.066666666666666</v>
      </c>
      <c r="B140" s="389">
        <v>42404</v>
      </c>
      <c r="C140" s="390" t="s">
        <v>904</v>
      </c>
      <c r="D140" s="391" t="s">
        <v>904</v>
      </c>
      <c r="E140" s="390" t="s">
        <v>380</v>
      </c>
      <c r="F140" s="262" t="s">
        <v>185</v>
      </c>
      <c r="G140" s="262" t="s">
        <v>186</v>
      </c>
      <c r="H140" s="261"/>
      <c r="I140" s="261"/>
      <c r="J140" s="764">
        <v>55</v>
      </c>
      <c r="K140" s="261"/>
      <c r="L140" s="261"/>
      <c r="M140" s="261"/>
      <c r="N140" s="261"/>
      <c r="O140" s="261"/>
      <c r="P140" s="261"/>
      <c r="Q140" s="261"/>
      <c r="R140" s="261"/>
      <c r="S140" s="261"/>
      <c r="T140" s="261"/>
      <c r="U140" s="261"/>
      <c r="V140" s="762"/>
      <c r="W140" s="261"/>
      <c r="X140" s="261"/>
      <c r="Y140" s="264">
        <f>IF(NFI_Expiration=1,IF($A140&lt;VLOOKUP(H$5,NFI,5,0),1,0)*Table_NFI[[#This Row],[Hygiene Kit]],Table_NFI[Hygiene Kit])</f>
        <v>0</v>
      </c>
      <c r="Z140" s="264">
        <f>IF(NFI_Expiration=1,IF($A140&lt;VLOOKUP(I$5,NFI,5,0),1,0)*Table_NFI[[#This Row],[NFI Core Kit]],Table_NFI[NFI Core Kit])</f>
        <v>0</v>
      </c>
      <c r="AA140" s="264">
        <f>IF(NFI_Expiration=1,IF($A140&lt;VLOOKUP(J$5,NFI,5,0),1,0)*Table_NFI[[#This Row],[Sanitary Kit]],Table_NFI[Sanitary Kit])</f>
        <v>0</v>
      </c>
      <c r="AB140" s="264">
        <f>IF(NFI_Expiration=1,IF($A140&lt;VLOOKUP(K$5,NFI,5,0),1,0)*Table_NFI[[#This Row],[Mosquito net]],Table_NFI[Mosquito net])</f>
        <v>0</v>
      </c>
      <c r="AC140" s="264">
        <f>IF(NFI_Expiration=1,IF($A140&lt;VLOOKUP(L$5,NFI,5,0),1,0)*Table_NFI[[#This Row],[Tarpaulin]],Table_NFI[[#This Row],[Tarpaulin]])</f>
        <v>0</v>
      </c>
      <c r="AD140" s="264">
        <f>IF(NFI_Expiration=1,IF($A140&lt;VLOOKUP(M$5,NFI,5,0),1,0)*Table_NFI[[#This Row],[Blanket]],Table_NFI[[#This Row],[Blanket]])</f>
        <v>0</v>
      </c>
      <c r="AE140" s="264">
        <f>IF(NFI_Expiration=1,IF($A140&lt;VLOOKUP(N$5,NFI,5,0),1,0)*Table_NFI[[#This Row],[Kitchen Set]],Table_NFI[Kitchen Set])</f>
        <v>0</v>
      </c>
      <c r="AF140" s="264">
        <f>IF(NFI_Expiration=1,IF($A140&lt;VLOOKUP(O$5,NFI,5,0),1,0)*Table_NFI[[#This Row],[Clothes Kit]],Table_NFI[Clothes Kit])</f>
        <v>0</v>
      </c>
      <c r="AG140" s="264">
        <f>IF(NFI_Expiration=1,IF($A140&lt;VLOOKUP(P$5,NFI,5,0),1,0)*Table_NFI[[#This Row],[Plastic Bucket]],Table_NFI[Plastic Bucket])</f>
        <v>0</v>
      </c>
      <c r="AH140" s="264">
        <f>IF(NFI_Expiration=1,IF($A140&lt;VLOOKUP(Q$5,NFI,5,0),1,0)*Table_NFI[[#This Row],[Plastic Mat]],Table_NFI[Plastic Mat])*IF(Table_NFI[[#This Row],[Distribution Date]]&gt;"2014-04-01",1,2.5)</f>
        <v>0</v>
      </c>
      <c r="AI140" s="264">
        <f>IF(NFI_Expiration=1,IF($A140&lt;VLOOKUP(R$5,NFI,5,0),1,0)*Table_NFI[[#This Row],[Winter Clothes Adult]],Table_NFI[Winter Clothes Adult])</f>
        <v>0</v>
      </c>
      <c r="AJ140" s="264">
        <f>IF(NFI_Expiration=1,IF($A140&lt;VLOOKUP(S$5,NFI,5,0),1,0)*Table_NFI[[#This Row],[Winter Clothes Children]],Table_NFI[Winter Clothes Children])</f>
        <v>0</v>
      </c>
      <c r="AK140" s="264">
        <f>IF(NFI_Expiration=1,IF($A140&lt;VLOOKUP(T$5,NFI,5,0),1,0)*Table_NFI[[#This Row],[Winter Items Other]],Table_NFI[Winter Items Other])</f>
        <v>0</v>
      </c>
      <c r="AL140" s="264">
        <f>IF(NFI_Expiration=1,IF($A140&lt;VLOOKUP(M$5,NFI,5,0),1,0)*Table_NFI[[#This Row],[Winter Blanket]],Table_NFI[[#This Row],[Winter Blanket]])</f>
        <v>0</v>
      </c>
      <c r="AM140" s="264">
        <f>IF(Table_NFI[[#This Row],[Winter Clothes Adult]]+Table_NFI[[#This Row],[Winter Clothes Children]]+Table_NFI[[#This Row],[Winter Items Other]]+Table_NFI[[#This Row],[Winter Blanket]]&gt;0,1,0)</f>
        <v>0</v>
      </c>
      <c r="AN140" s="296">
        <f>IF(NFI_Expiration=1,IF($A140&lt;VLOOKUP(V$5,NFI,5,0),1,0)*Table_NFI[[#This Row],[Jerry Can]],Table_NFI[Jerry Can])</f>
        <v>0</v>
      </c>
      <c r="AO140" s="296">
        <f>IF(NFI_Expiration=1,IF($A140&lt;VLOOKUP(V$5,NFI,5,0),1,0)*Table_NFI[[#This Row],[Shelter Tool kit]],Table_NFI[Shelter Tool kit])</f>
        <v>0</v>
      </c>
      <c r="AP140" s="296">
        <f>IF(NFI_Expiration=1,IF($A140&lt;VLOOKUP(V$5,NFI,5,0),1,0)*Table_NFI[[#This Row],[Tent]],Table_NFI[Tent])</f>
        <v>0</v>
      </c>
      <c r="AQ140" s="396" t="str">
        <f>IFERROR(VLOOKUP(Table_NFI[[#This Row],[Camp Name]],CL,2,0),"")</f>
        <v>MMR001CMP071</v>
      </c>
      <c r="AR140" s="702">
        <f ca="1">IF(Table_NFI[[#This Row],[Pcode]]="","",IF(OFFSET(CampList[Opening Date],MATCH(Table_NFI[[#This Row],[Pcode]],CampList[CP_Pcode],0)-1,0,1,1)&gt;=NFI_Monitor_Date,1,0))</f>
        <v>0</v>
      </c>
      <c r="AS140" s="396" t="str">
        <f>IFERROR(VLOOKUP(Table_NFI[[#This Row],[Camp Name]],CL,3,0),"")</f>
        <v>Open</v>
      </c>
      <c r="AT140" s="264" t="str">
        <f ca="1">IF(Table_NFI[[#This Row],[Pcode]]="","",OFFSET(CampList[Priority],MATCH(Table_NFI[[#This Row],[Pcode]],CampList[CP_Pcode],0)-1,0,1,1))</f>
        <v>P3</v>
      </c>
      <c r="AU140" s="263">
        <f>IFERROR(Table_NFI[[#This Row],[Kitchen Set]]/VLOOKUP(Table_NFI[[#This Row],[Camp Name]],CL,4,0),"")</f>
        <v>0</v>
      </c>
      <c r="AV140" s="390"/>
      <c r="AW140" s="392"/>
      <c r="AX140" s="402"/>
      <c r="AY140" s="402"/>
      <c r="AZ140" s="402"/>
      <c r="BA140" s="402"/>
      <c r="BB140" s="402"/>
      <c r="BC140" s="402"/>
      <c r="BD140" s="402"/>
      <c r="BE140" s="402"/>
      <c r="BF140" s="402"/>
      <c r="BG140" s="402"/>
      <c r="BH140" s="402"/>
      <c r="BI140" s="402"/>
      <c r="BJ140" s="402"/>
      <c r="BK140" s="402"/>
      <c r="BL140" s="402"/>
      <c r="BM140" s="402"/>
      <c r="BN140" s="402"/>
      <c r="BO140" s="402"/>
      <c r="BP140" s="402"/>
      <c r="BQ140" s="402"/>
      <c r="BR140" s="402"/>
      <c r="BS140" s="402"/>
      <c r="BT140" s="402"/>
      <c r="BU140" s="402"/>
      <c r="BV140" s="402"/>
      <c r="BW140" s="402"/>
      <c r="BX140" s="402"/>
      <c r="BY140" s="402"/>
      <c r="BZ140" s="402"/>
      <c r="CA140" s="402"/>
      <c r="CB140" s="402"/>
      <c r="CC140" s="402"/>
      <c r="CD140" s="402"/>
      <c r="CE140" s="402"/>
      <c r="CF140" s="402"/>
      <c r="CG140" s="402"/>
      <c r="CH140" s="402"/>
      <c r="CI140" s="402"/>
      <c r="CJ140" s="402"/>
      <c r="CK140" s="402"/>
      <c r="CL140" s="402"/>
      <c r="CM140" s="402"/>
      <c r="CN140" s="402"/>
      <c r="CO140" s="402"/>
      <c r="CP140" s="402"/>
      <c r="CQ140" s="402"/>
      <c r="CR140" s="402"/>
      <c r="CS140" s="402"/>
      <c r="CT140" s="402"/>
      <c r="CU140" s="402"/>
      <c r="CV140" s="402"/>
      <c r="CW140" s="402"/>
      <c r="CX140" s="402"/>
      <c r="CY140" s="402"/>
      <c r="CZ140" s="402"/>
      <c r="DA140" s="402"/>
      <c r="DB140" s="402"/>
      <c r="DC140" s="402"/>
      <c r="DD140" s="402"/>
      <c r="DE140" s="402"/>
      <c r="DF140" s="402"/>
      <c r="DG140" s="402"/>
      <c r="DH140" s="402"/>
      <c r="DI140" s="402"/>
      <c r="DJ140" s="402"/>
      <c r="DK140" s="402"/>
      <c r="DL140" s="402"/>
      <c r="DM140" s="402"/>
      <c r="DN140" s="402"/>
      <c r="DO140" s="402"/>
      <c r="DP140" s="402"/>
      <c r="DQ140" s="402"/>
    </row>
    <row r="141" spans="1:121" s="759" customFormat="1" ht="14.45" customHeight="1" x14ac:dyDescent="0.2">
      <c r="A141" s="266">
        <f t="shared" si="2"/>
        <v>15.066666666666666</v>
      </c>
      <c r="B141" s="389">
        <v>42404</v>
      </c>
      <c r="C141" s="390" t="s">
        <v>904</v>
      </c>
      <c r="D141" s="391" t="s">
        <v>904</v>
      </c>
      <c r="E141" s="390" t="s">
        <v>380</v>
      </c>
      <c r="F141" s="262" t="s">
        <v>185</v>
      </c>
      <c r="G141" s="262" t="s">
        <v>186</v>
      </c>
      <c r="H141" s="261"/>
      <c r="I141" s="261"/>
      <c r="J141" s="764"/>
      <c r="K141" s="261"/>
      <c r="L141" s="261"/>
      <c r="M141" s="261"/>
      <c r="N141" s="261"/>
      <c r="O141" s="261"/>
      <c r="P141" s="261"/>
      <c r="Q141" s="261"/>
      <c r="R141" s="261"/>
      <c r="S141" s="261"/>
      <c r="T141" s="261"/>
      <c r="U141" s="261"/>
      <c r="V141" s="762"/>
      <c r="W141" s="261"/>
      <c r="X141" s="261"/>
      <c r="Y141" s="264">
        <f>IF(NFI_Expiration=1,IF($A141&lt;VLOOKUP(H$5,NFI,5,0),1,0)*Table_NFI[[#This Row],[Hygiene Kit]],Table_NFI[Hygiene Kit])</f>
        <v>0</v>
      </c>
      <c r="Z141" s="264">
        <f>IF(NFI_Expiration=1,IF($A141&lt;VLOOKUP(I$5,NFI,5,0),1,0)*Table_NFI[[#This Row],[NFI Core Kit]],Table_NFI[NFI Core Kit])</f>
        <v>0</v>
      </c>
      <c r="AA141" s="264">
        <f>IF(NFI_Expiration=1,IF($A141&lt;VLOOKUP(J$5,NFI,5,0),1,0)*Table_NFI[[#This Row],[Sanitary Kit]],Table_NFI[Sanitary Kit])</f>
        <v>0</v>
      </c>
      <c r="AB141" s="264">
        <f>IF(NFI_Expiration=1,IF($A141&lt;VLOOKUP(K$5,NFI,5,0),1,0)*Table_NFI[[#This Row],[Mosquito net]],Table_NFI[Mosquito net])</f>
        <v>0</v>
      </c>
      <c r="AC141" s="264">
        <f>IF(NFI_Expiration=1,IF($A141&lt;VLOOKUP(L$5,NFI,5,0),1,0)*Table_NFI[[#This Row],[Tarpaulin]],Table_NFI[[#This Row],[Tarpaulin]])</f>
        <v>0</v>
      </c>
      <c r="AD141" s="264">
        <f>IF(NFI_Expiration=1,IF($A141&lt;VLOOKUP(M$5,NFI,5,0),1,0)*Table_NFI[[#This Row],[Blanket]],Table_NFI[[#This Row],[Blanket]])</f>
        <v>0</v>
      </c>
      <c r="AE141" s="264">
        <f>IF(NFI_Expiration=1,IF($A141&lt;VLOOKUP(N$5,NFI,5,0),1,0)*Table_NFI[[#This Row],[Kitchen Set]],Table_NFI[Kitchen Set])</f>
        <v>0</v>
      </c>
      <c r="AF141" s="264">
        <f>IF(NFI_Expiration=1,IF($A141&lt;VLOOKUP(O$5,NFI,5,0),1,0)*Table_NFI[[#This Row],[Clothes Kit]],Table_NFI[Clothes Kit])</f>
        <v>0</v>
      </c>
      <c r="AG141" s="264">
        <f>IF(NFI_Expiration=1,IF($A141&lt;VLOOKUP(P$5,NFI,5,0),1,0)*Table_NFI[[#This Row],[Plastic Bucket]],Table_NFI[Plastic Bucket])</f>
        <v>0</v>
      </c>
      <c r="AH141" s="264">
        <f>IF(NFI_Expiration=1,IF($A141&lt;VLOOKUP(Q$5,NFI,5,0),1,0)*Table_NFI[[#This Row],[Plastic Mat]],Table_NFI[Plastic Mat])*IF(Table_NFI[[#This Row],[Distribution Date]]&gt;"2014-04-01",1,2.5)</f>
        <v>0</v>
      </c>
      <c r="AI141" s="264">
        <f>IF(NFI_Expiration=1,IF($A141&lt;VLOOKUP(R$5,NFI,5,0),1,0)*Table_NFI[[#This Row],[Winter Clothes Adult]],Table_NFI[Winter Clothes Adult])</f>
        <v>0</v>
      </c>
      <c r="AJ141" s="264">
        <f>IF(NFI_Expiration=1,IF($A141&lt;VLOOKUP(S$5,NFI,5,0),1,0)*Table_NFI[[#This Row],[Winter Clothes Children]],Table_NFI[Winter Clothes Children])</f>
        <v>0</v>
      </c>
      <c r="AK141" s="264">
        <f>IF(NFI_Expiration=1,IF($A141&lt;VLOOKUP(T$5,NFI,5,0),1,0)*Table_NFI[[#This Row],[Winter Items Other]],Table_NFI[Winter Items Other])</f>
        <v>0</v>
      </c>
      <c r="AL141" s="264">
        <f>IF(NFI_Expiration=1,IF($A141&lt;VLOOKUP(M$5,NFI,5,0),1,0)*Table_NFI[[#This Row],[Winter Blanket]],Table_NFI[[#This Row],[Winter Blanket]])</f>
        <v>0</v>
      </c>
      <c r="AM141" s="264">
        <f>IF(Table_NFI[[#This Row],[Winter Clothes Adult]]+Table_NFI[[#This Row],[Winter Clothes Children]]+Table_NFI[[#This Row],[Winter Items Other]]+Table_NFI[[#This Row],[Winter Blanket]]&gt;0,1,0)</f>
        <v>0</v>
      </c>
      <c r="AN141" s="296">
        <f>IF(NFI_Expiration=1,IF($A141&lt;VLOOKUP(V$5,NFI,5,0),1,0)*Table_NFI[[#This Row],[Jerry Can]],Table_NFI[Jerry Can])</f>
        <v>0</v>
      </c>
      <c r="AO141" s="296">
        <f>IF(NFI_Expiration=1,IF($A141&lt;VLOOKUP(V$5,NFI,5,0),1,0)*Table_NFI[[#This Row],[Shelter Tool kit]],Table_NFI[Shelter Tool kit])</f>
        <v>0</v>
      </c>
      <c r="AP141" s="296">
        <f>IF(NFI_Expiration=1,IF($A141&lt;VLOOKUP(V$5,NFI,5,0),1,0)*Table_NFI[[#This Row],[Tent]],Table_NFI[Tent])</f>
        <v>0</v>
      </c>
      <c r="AQ141" s="396" t="str">
        <f>IFERROR(VLOOKUP(Table_NFI[[#This Row],[Camp Name]],CL,2,0),"")</f>
        <v>MMR001CMP071</v>
      </c>
      <c r="AR141" s="702">
        <f ca="1">IF(Table_NFI[[#This Row],[Pcode]]="","",IF(OFFSET(CampList[Opening Date],MATCH(Table_NFI[[#This Row],[Pcode]],CampList[CP_Pcode],0)-1,0,1,1)&gt;=NFI_Monitor_Date,1,0))</f>
        <v>0</v>
      </c>
      <c r="AS141" s="396" t="str">
        <f>IFERROR(VLOOKUP(Table_NFI[[#This Row],[Camp Name]],CL,3,0),"")</f>
        <v>Open</v>
      </c>
      <c r="AT141" s="264" t="str">
        <f ca="1">IF(Table_NFI[[#This Row],[Pcode]]="","",OFFSET(CampList[Priority],MATCH(Table_NFI[[#This Row],[Pcode]],CampList[CP_Pcode],0)-1,0,1,1))</f>
        <v>P3</v>
      </c>
      <c r="AU141" s="263">
        <f>IFERROR(Table_NFI[[#This Row],[Kitchen Set]]/VLOOKUP(Table_NFI[[#This Row],[Camp Name]],CL,4,0),"")</f>
        <v>0</v>
      </c>
      <c r="AV141" s="390"/>
      <c r="AW141" s="392"/>
      <c r="AX141" s="402"/>
      <c r="AY141" s="402"/>
      <c r="AZ141" s="402"/>
      <c r="BA141" s="402"/>
      <c r="BB141" s="402"/>
      <c r="BC141" s="402"/>
      <c r="BD141" s="402"/>
      <c r="BE141" s="402"/>
      <c r="BF141" s="402"/>
      <c r="BG141" s="402"/>
      <c r="BH141" s="402"/>
      <c r="BI141" s="402"/>
      <c r="BJ141" s="402"/>
      <c r="BK141" s="402"/>
      <c r="BL141" s="402"/>
      <c r="BM141" s="402"/>
      <c r="BN141" s="402"/>
      <c r="BO141" s="402"/>
      <c r="BP141" s="402"/>
      <c r="BQ141" s="402"/>
      <c r="BR141" s="402"/>
      <c r="BS141" s="402"/>
      <c r="BT141" s="402"/>
      <c r="BU141" s="402"/>
      <c r="BV141" s="402"/>
      <c r="BW141" s="402"/>
      <c r="BX141" s="402"/>
      <c r="BY141" s="402"/>
      <c r="BZ141" s="402"/>
      <c r="CA141" s="402"/>
      <c r="CB141" s="402"/>
      <c r="CC141" s="402"/>
      <c r="CD141" s="402"/>
      <c r="CE141" s="402"/>
      <c r="CF141" s="402"/>
      <c r="CG141" s="402"/>
      <c r="CH141" s="402"/>
      <c r="CI141" s="402"/>
      <c r="CJ141" s="402"/>
      <c r="CK141" s="402"/>
      <c r="CL141" s="402"/>
      <c r="CM141" s="402"/>
      <c r="CN141" s="402"/>
      <c r="CO141" s="402"/>
      <c r="CP141" s="402"/>
      <c r="CQ141" s="402"/>
      <c r="CR141" s="402"/>
      <c r="CS141" s="402"/>
      <c r="CT141" s="402"/>
      <c r="CU141" s="402"/>
      <c r="CV141" s="402"/>
      <c r="CW141" s="402"/>
      <c r="CX141" s="402"/>
      <c r="CY141" s="402"/>
      <c r="CZ141" s="402"/>
      <c r="DA141" s="402"/>
      <c r="DB141" s="402"/>
      <c r="DC141" s="402"/>
      <c r="DD141" s="402"/>
      <c r="DE141" s="402"/>
      <c r="DF141" s="402"/>
      <c r="DG141" s="402"/>
      <c r="DH141" s="402"/>
      <c r="DI141" s="402"/>
      <c r="DJ141" s="402"/>
      <c r="DK141" s="402"/>
      <c r="DL141" s="402"/>
      <c r="DM141" s="402"/>
      <c r="DN141" s="402"/>
      <c r="DO141" s="402"/>
      <c r="DP141" s="402"/>
      <c r="DQ141" s="402"/>
    </row>
    <row r="142" spans="1:121" s="759" customFormat="1" ht="14.45" customHeight="1" x14ac:dyDescent="0.25">
      <c r="A142" s="266">
        <f t="shared" si="2"/>
        <v>15.066666666666666</v>
      </c>
      <c r="B142" s="389">
        <v>42404</v>
      </c>
      <c r="C142" s="390" t="s">
        <v>904</v>
      </c>
      <c r="D142" s="390" t="s">
        <v>904</v>
      </c>
      <c r="E142" s="390" t="s">
        <v>380</v>
      </c>
      <c r="F142" s="390" t="s">
        <v>185</v>
      </c>
      <c r="G142" s="262" t="s">
        <v>223</v>
      </c>
      <c r="H142" s="261"/>
      <c r="I142" s="261"/>
      <c r="J142" s="261">
        <v>71</v>
      </c>
      <c r="K142" s="261"/>
      <c r="L142" s="261"/>
      <c r="M142" s="261"/>
      <c r="N142" s="261"/>
      <c r="O142" s="261"/>
      <c r="P142" s="261"/>
      <c r="Q142" s="261"/>
      <c r="R142" s="261"/>
      <c r="S142" s="261"/>
      <c r="T142" s="261"/>
      <c r="U142" s="261"/>
      <c r="V142" s="762"/>
      <c r="W142" s="261"/>
      <c r="X142" s="261"/>
      <c r="Y142" s="264">
        <f>IF(NFI_Expiration=1,IF($A142&lt;VLOOKUP(H$5,NFI,5,0),1,0)*Table_NFI[[#This Row],[Hygiene Kit]],Table_NFI[Hygiene Kit])</f>
        <v>0</v>
      </c>
      <c r="Z142" s="264">
        <f>IF(NFI_Expiration=1,IF($A142&lt;VLOOKUP(I$5,NFI,5,0),1,0)*Table_NFI[[#This Row],[NFI Core Kit]],Table_NFI[NFI Core Kit])</f>
        <v>0</v>
      </c>
      <c r="AA142" s="264">
        <f>IF(NFI_Expiration=1,IF($A142&lt;VLOOKUP(J$5,NFI,5,0),1,0)*Table_NFI[[#This Row],[Sanitary Kit]],Table_NFI[Sanitary Kit])</f>
        <v>0</v>
      </c>
      <c r="AB142" s="264">
        <f>IF(NFI_Expiration=1,IF($A142&lt;VLOOKUP(K$5,NFI,5,0),1,0)*Table_NFI[[#This Row],[Mosquito net]],Table_NFI[Mosquito net])</f>
        <v>0</v>
      </c>
      <c r="AC142" s="264">
        <f>IF(NFI_Expiration=1,IF($A142&lt;VLOOKUP(L$5,NFI,5,0),1,0)*Table_NFI[[#This Row],[Tarpaulin]],Table_NFI[[#This Row],[Tarpaulin]])</f>
        <v>0</v>
      </c>
      <c r="AD142" s="264">
        <f>IF(NFI_Expiration=1,IF($A142&lt;VLOOKUP(M$5,NFI,5,0),1,0)*Table_NFI[[#This Row],[Blanket]],Table_NFI[[#This Row],[Blanket]])</f>
        <v>0</v>
      </c>
      <c r="AE142" s="264">
        <f>IF(NFI_Expiration=1,IF($A142&lt;VLOOKUP(N$5,NFI,5,0),1,0)*Table_NFI[[#This Row],[Kitchen Set]],Table_NFI[Kitchen Set])</f>
        <v>0</v>
      </c>
      <c r="AF142" s="264">
        <f>IF(NFI_Expiration=1,IF($A142&lt;VLOOKUP(O$5,NFI,5,0),1,0)*Table_NFI[[#This Row],[Clothes Kit]],Table_NFI[Clothes Kit])</f>
        <v>0</v>
      </c>
      <c r="AG142" s="264">
        <f>IF(NFI_Expiration=1,IF($A142&lt;VLOOKUP(P$5,NFI,5,0),1,0)*Table_NFI[[#This Row],[Plastic Bucket]],Table_NFI[Plastic Bucket])</f>
        <v>0</v>
      </c>
      <c r="AH142" s="264">
        <f>IF(NFI_Expiration=1,IF($A142&lt;VLOOKUP(Q$5,NFI,5,0),1,0)*Table_NFI[[#This Row],[Plastic Mat]],Table_NFI[Plastic Mat])*IF(Table_NFI[[#This Row],[Distribution Date]]&gt;"2014-04-01",1,2.5)</f>
        <v>0</v>
      </c>
      <c r="AI142" s="264">
        <f>IF(NFI_Expiration=1,IF($A142&lt;VLOOKUP(R$5,NFI,5,0),1,0)*Table_NFI[[#This Row],[Winter Clothes Adult]],Table_NFI[Winter Clothes Adult])</f>
        <v>0</v>
      </c>
      <c r="AJ142" s="264">
        <f>IF(NFI_Expiration=1,IF($A142&lt;VLOOKUP(S$5,NFI,5,0),1,0)*Table_NFI[[#This Row],[Winter Clothes Children]],Table_NFI[Winter Clothes Children])</f>
        <v>0</v>
      </c>
      <c r="AK142" s="264">
        <f>IF(NFI_Expiration=1,IF($A142&lt;VLOOKUP(T$5,NFI,5,0),1,0)*Table_NFI[[#This Row],[Winter Items Other]],Table_NFI[Winter Items Other])</f>
        <v>0</v>
      </c>
      <c r="AL142" s="264">
        <f>IF(NFI_Expiration=1,IF($A142&lt;VLOOKUP(M$5,NFI,5,0),1,0)*Table_NFI[[#This Row],[Winter Blanket]],Table_NFI[[#This Row],[Winter Blanket]])</f>
        <v>0</v>
      </c>
      <c r="AM142" s="264">
        <f>IF(Table_NFI[[#This Row],[Winter Clothes Adult]]+Table_NFI[[#This Row],[Winter Clothes Children]]+Table_NFI[[#This Row],[Winter Items Other]]+Table_NFI[[#This Row],[Winter Blanket]]&gt;0,1,0)</f>
        <v>0</v>
      </c>
      <c r="AN142" s="296">
        <f>IF(NFI_Expiration=1,IF($A142&lt;VLOOKUP(V$5,NFI,5,0),1,0)*Table_NFI[[#This Row],[Jerry Can]],Table_NFI[Jerry Can])</f>
        <v>0</v>
      </c>
      <c r="AO142" s="296">
        <f>IF(NFI_Expiration=1,IF($A142&lt;VLOOKUP(V$5,NFI,5,0),1,0)*Table_NFI[[#This Row],[Shelter Tool kit]],Table_NFI[Shelter Tool kit])</f>
        <v>0</v>
      </c>
      <c r="AP142" s="296">
        <f>IF(NFI_Expiration=1,IF($A142&lt;VLOOKUP(V$5,NFI,5,0),1,0)*Table_NFI[[#This Row],[Tent]],Table_NFI[Tent])</f>
        <v>0</v>
      </c>
      <c r="AQ142" s="396" t="str">
        <f>IFERROR(VLOOKUP(Table_NFI[[#This Row],[Camp Name]],CL,2,0),"")</f>
        <v>MMR001CMP069</v>
      </c>
      <c r="AR142" s="702">
        <f ca="1">IF(Table_NFI[[#This Row],[Pcode]]="","",IF(OFFSET(CampList[Opening Date],MATCH(Table_NFI[[#This Row],[Pcode]],CampList[CP_Pcode],0)-1,0,1,1)&gt;=NFI_Monitor_Date,1,0))</f>
        <v>0</v>
      </c>
      <c r="AS142" s="396" t="str">
        <f>IFERROR(VLOOKUP(Table_NFI[[#This Row],[Camp Name]],CL,3,0),"")</f>
        <v>Open</v>
      </c>
      <c r="AT142" s="264" t="str">
        <f ca="1">IF(Table_NFI[[#This Row],[Pcode]]="","",OFFSET(CampList[Priority],MATCH(Table_NFI[[#This Row],[Pcode]],CampList[CP_Pcode],0)-1,0,1,1))</f>
        <v>P3</v>
      </c>
      <c r="AU142" s="263">
        <f>IFERROR(Table_NFI[[#This Row],[Kitchen Set]]/VLOOKUP(Table_NFI[[#This Row],[Camp Name]],CL,4,0),"")</f>
        <v>0</v>
      </c>
      <c r="AV142" s="390"/>
      <c r="AW142" s="392"/>
      <c r="AX142" s="402"/>
      <c r="AY142" s="402"/>
      <c r="AZ142" s="402"/>
      <c r="BA142" s="402"/>
      <c r="BB142" s="402"/>
      <c r="BC142" s="402"/>
      <c r="BD142" s="402"/>
      <c r="BE142" s="402"/>
      <c r="BF142" s="402"/>
      <c r="BG142" s="402"/>
      <c r="BH142" s="402"/>
      <c r="BI142" s="402"/>
      <c r="BJ142" s="402"/>
      <c r="BK142" s="402"/>
      <c r="BL142" s="402"/>
      <c r="BM142" s="402"/>
      <c r="BN142" s="402"/>
      <c r="BO142" s="402"/>
      <c r="BP142" s="402"/>
      <c r="BQ142" s="402"/>
      <c r="BR142" s="402"/>
      <c r="BS142" s="402"/>
      <c r="BT142" s="402"/>
      <c r="BU142" s="402"/>
      <c r="BV142" s="402"/>
      <c r="BW142" s="402"/>
      <c r="BX142" s="402"/>
      <c r="BY142" s="402"/>
      <c r="BZ142" s="402"/>
      <c r="CA142" s="402"/>
      <c r="CB142" s="402"/>
      <c r="CC142" s="402"/>
      <c r="CD142" s="402"/>
      <c r="CE142" s="402"/>
      <c r="CF142" s="402"/>
      <c r="CG142" s="402"/>
      <c r="CH142" s="402"/>
      <c r="CI142" s="402"/>
      <c r="CJ142" s="402"/>
      <c r="CK142" s="402"/>
      <c r="CL142" s="402"/>
      <c r="CM142" s="402"/>
      <c r="CN142" s="402"/>
      <c r="CO142" s="402"/>
      <c r="CP142" s="402"/>
      <c r="CQ142" s="402"/>
      <c r="CR142" s="402"/>
      <c r="CS142" s="402"/>
      <c r="CT142" s="402"/>
      <c r="CU142" s="402"/>
      <c r="CV142" s="402"/>
      <c r="CW142" s="402"/>
      <c r="CX142" s="402"/>
      <c r="CY142" s="402"/>
      <c r="CZ142" s="402"/>
      <c r="DA142" s="402"/>
      <c r="DB142" s="402"/>
      <c r="DC142" s="402"/>
      <c r="DD142" s="402"/>
      <c r="DE142" s="402"/>
      <c r="DF142" s="402"/>
      <c r="DG142" s="402"/>
      <c r="DH142" s="402"/>
      <c r="DI142" s="402"/>
      <c r="DJ142" s="402"/>
      <c r="DK142" s="402"/>
      <c r="DL142" s="402"/>
      <c r="DM142" s="402"/>
      <c r="DN142" s="402"/>
      <c r="DO142" s="402"/>
      <c r="DP142" s="402"/>
      <c r="DQ142" s="402"/>
    </row>
    <row r="143" spans="1:121" s="759" customFormat="1" ht="14.45" customHeight="1" x14ac:dyDescent="0.2">
      <c r="A143" s="266">
        <f t="shared" si="2"/>
        <v>15.066666666666666</v>
      </c>
      <c r="B143" s="389">
        <v>42404</v>
      </c>
      <c r="C143" s="390" t="s">
        <v>904</v>
      </c>
      <c r="D143" s="390" t="s">
        <v>904</v>
      </c>
      <c r="E143" s="390" t="s">
        <v>380</v>
      </c>
      <c r="F143" s="390" t="s">
        <v>5</v>
      </c>
      <c r="G143" s="390" t="s">
        <v>24</v>
      </c>
      <c r="H143" s="261"/>
      <c r="I143" s="261"/>
      <c r="J143" s="764">
        <v>29</v>
      </c>
      <c r="K143" s="261"/>
      <c r="L143" s="261"/>
      <c r="M143" s="261"/>
      <c r="N143" s="261"/>
      <c r="O143" s="261"/>
      <c r="P143" s="261"/>
      <c r="Q143" s="261"/>
      <c r="R143" s="261"/>
      <c r="S143" s="261"/>
      <c r="T143" s="261"/>
      <c r="U143" s="261"/>
      <c r="V143" s="762"/>
      <c r="W143" s="261"/>
      <c r="X143" s="261"/>
      <c r="Y143" s="264">
        <f>IF(NFI_Expiration=1,IF($A143&lt;VLOOKUP(H$5,NFI,5,0),1,0)*Table_NFI[[#This Row],[Hygiene Kit]],Table_NFI[Hygiene Kit])</f>
        <v>0</v>
      </c>
      <c r="Z143" s="264">
        <f>IF(NFI_Expiration=1,IF($A143&lt;VLOOKUP(I$5,NFI,5,0),1,0)*Table_NFI[[#This Row],[NFI Core Kit]],Table_NFI[NFI Core Kit])</f>
        <v>0</v>
      </c>
      <c r="AA143" s="264">
        <f>IF(NFI_Expiration=1,IF($A143&lt;VLOOKUP(J$5,NFI,5,0),1,0)*Table_NFI[[#This Row],[Sanitary Kit]],Table_NFI[Sanitary Kit])</f>
        <v>0</v>
      </c>
      <c r="AB143" s="264">
        <f>IF(NFI_Expiration=1,IF($A143&lt;VLOOKUP(K$5,NFI,5,0),1,0)*Table_NFI[[#This Row],[Mosquito net]],Table_NFI[Mosquito net])</f>
        <v>0</v>
      </c>
      <c r="AC143" s="264">
        <f>IF(NFI_Expiration=1,IF($A143&lt;VLOOKUP(L$5,NFI,5,0),1,0)*Table_NFI[[#This Row],[Tarpaulin]],Table_NFI[[#This Row],[Tarpaulin]])</f>
        <v>0</v>
      </c>
      <c r="AD143" s="264">
        <f>IF(NFI_Expiration=1,IF($A143&lt;VLOOKUP(M$5,NFI,5,0),1,0)*Table_NFI[[#This Row],[Blanket]],Table_NFI[[#This Row],[Blanket]])</f>
        <v>0</v>
      </c>
      <c r="AE143" s="264">
        <f>IF(NFI_Expiration=1,IF($A143&lt;VLOOKUP(N$5,NFI,5,0),1,0)*Table_NFI[[#This Row],[Kitchen Set]],Table_NFI[Kitchen Set])</f>
        <v>0</v>
      </c>
      <c r="AF143" s="264">
        <f>IF(NFI_Expiration=1,IF($A143&lt;VLOOKUP(O$5,NFI,5,0),1,0)*Table_NFI[[#This Row],[Clothes Kit]],Table_NFI[Clothes Kit])</f>
        <v>0</v>
      </c>
      <c r="AG143" s="264">
        <f>IF(NFI_Expiration=1,IF($A143&lt;VLOOKUP(P$5,NFI,5,0),1,0)*Table_NFI[[#This Row],[Plastic Bucket]],Table_NFI[Plastic Bucket])</f>
        <v>0</v>
      </c>
      <c r="AH143" s="264">
        <f>IF(NFI_Expiration=1,IF($A143&lt;VLOOKUP(Q$5,NFI,5,0),1,0)*Table_NFI[[#This Row],[Plastic Mat]],Table_NFI[Plastic Mat])*IF(Table_NFI[[#This Row],[Distribution Date]]&gt;"2014-04-01",1,2.5)</f>
        <v>0</v>
      </c>
      <c r="AI143" s="264">
        <f>IF(NFI_Expiration=1,IF($A143&lt;VLOOKUP(R$5,NFI,5,0),1,0)*Table_NFI[[#This Row],[Winter Clothes Adult]],Table_NFI[Winter Clothes Adult])</f>
        <v>0</v>
      </c>
      <c r="AJ143" s="264">
        <f>IF(NFI_Expiration=1,IF($A143&lt;VLOOKUP(S$5,NFI,5,0),1,0)*Table_NFI[[#This Row],[Winter Clothes Children]],Table_NFI[Winter Clothes Children])</f>
        <v>0</v>
      </c>
      <c r="AK143" s="264">
        <f>IF(NFI_Expiration=1,IF($A143&lt;VLOOKUP(T$5,NFI,5,0),1,0)*Table_NFI[[#This Row],[Winter Items Other]],Table_NFI[Winter Items Other])</f>
        <v>0</v>
      </c>
      <c r="AL143" s="264">
        <f>IF(NFI_Expiration=1,IF($A143&lt;VLOOKUP(M$5,NFI,5,0),1,0)*Table_NFI[[#This Row],[Winter Blanket]],Table_NFI[[#This Row],[Winter Blanket]])</f>
        <v>0</v>
      </c>
      <c r="AM143" s="264">
        <f>IF(Table_NFI[[#This Row],[Winter Clothes Adult]]+Table_NFI[[#This Row],[Winter Clothes Children]]+Table_NFI[[#This Row],[Winter Items Other]]+Table_NFI[[#This Row],[Winter Blanket]]&gt;0,1,0)</f>
        <v>0</v>
      </c>
      <c r="AN143" s="296">
        <f>IF(NFI_Expiration=1,IF($A143&lt;VLOOKUP(V$5,NFI,5,0),1,0)*Table_NFI[[#This Row],[Jerry Can]],Table_NFI[Jerry Can])</f>
        <v>0</v>
      </c>
      <c r="AO143" s="296">
        <f>IF(NFI_Expiration=1,IF($A143&lt;VLOOKUP(V$5,NFI,5,0),1,0)*Table_NFI[[#This Row],[Shelter Tool kit]],Table_NFI[Shelter Tool kit])</f>
        <v>0</v>
      </c>
      <c r="AP143" s="296">
        <f>IF(NFI_Expiration=1,IF($A143&lt;VLOOKUP(V$5,NFI,5,0),1,0)*Table_NFI[[#This Row],[Tent]],Table_NFI[Tent])</f>
        <v>0</v>
      </c>
      <c r="AQ143" s="396" t="str">
        <f>IFERROR(VLOOKUP(Table_NFI[[#This Row],[Camp Name]],CL,2,0),"")</f>
        <v>MMR001CMP055</v>
      </c>
      <c r="AR143" s="702">
        <f ca="1">IF(Table_NFI[[#This Row],[Pcode]]="","",IF(OFFSET(CampList[Opening Date],MATCH(Table_NFI[[#This Row],[Pcode]],CampList[CP_Pcode],0)-1,0,1,1)&gt;=NFI_Monitor_Date,1,0))</f>
        <v>0</v>
      </c>
      <c r="AS143" s="396" t="str">
        <f>IFERROR(VLOOKUP(Table_NFI[[#This Row],[Camp Name]],CL,3,0),"")</f>
        <v>Open</v>
      </c>
      <c r="AT143" s="264" t="str">
        <f ca="1">IF(Table_NFI[[#This Row],[Pcode]]="","",OFFSET(CampList[Priority],MATCH(Table_NFI[[#This Row],[Pcode]],CampList[CP_Pcode],0)-1,0,1,1))</f>
        <v>P4</v>
      </c>
      <c r="AU143" s="263">
        <f>IFERROR(Table_NFI[[#This Row],[Kitchen Set]]/VLOOKUP(Table_NFI[[#This Row],[Camp Name]],CL,4,0),"")</f>
        <v>0</v>
      </c>
      <c r="AV143" s="390"/>
      <c r="AW143" s="392"/>
      <c r="AX143" s="402"/>
      <c r="AY143" s="402"/>
      <c r="AZ143" s="402"/>
      <c r="BA143" s="402"/>
      <c r="BB143" s="402"/>
      <c r="BC143" s="402"/>
      <c r="BD143" s="402"/>
      <c r="BE143" s="402"/>
      <c r="BF143" s="402"/>
      <c r="BG143" s="402"/>
      <c r="BH143" s="402"/>
      <c r="BI143" s="402"/>
      <c r="BJ143" s="402"/>
      <c r="BK143" s="402"/>
      <c r="BL143" s="402"/>
      <c r="BM143" s="402"/>
      <c r="BN143" s="402"/>
      <c r="BO143" s="402"/>
      <c r="BP143" s="402"/>
      <c r="BQ143" s="402"/>
      <c r="BR143" s="402"/>
      <c r="BS143" s="402"/>
      <c r="BT143" s="402"/>
      <c r="BU143" s="402"/>
      <c r="BV143" s="402"/>
      <c r="BW143" s="402"/>
      <c r="BX143" s="402"/>
      <c r="BY143" s="402"/>
      <c r="BZ143" s="402"/>
      <c r="CA143" s="402"/>
      <c r="CB143" s="402"/>
      <c r="CC143" s="402"/>
      <c r="CD143" s="402"/>
      <c r="CE143" s="402"/>
      <c r="CF143" s="402"/>
      <c r="CG143" s="402"/>
      <c r="CH143" s="402"/>
      <c r="CI143" s="402"/>
      <c r="CJ143" s="402"/>
      <c r="CK143" s="402"/>
      <c r="CL143" s="402"/>
      <c r="CM143" s="402"/>
      <c r="CN143" s="402"/>
      <c r="CO143" s="402"/>
      <c r="CP143" s="402"/>
      <c r="CQ143" s="402"/>
      <c r="CR143" s="402"/>
      <c r="CS143" s="402"/>
      <c r="CT143" s="402"/>
      <c r="CU143" s="402"/>
      <c r="CV143" s="402"/>
      <c r="CW143" s="402"/>
      <c r="CX143" s="402"/>
      <c r="CY143" s="402"/>
      <c r="CZ143" s="402"/>
      <c r="DA143" s="402"/>
      <c r="DB143" s="402"/>
      <c r="DC143" s="402"/>
      <c r="DD143" s="402"/>
      <c r="DE143" s="402"/>
      <c r="DF143" s="402"/>
      <c r="DG143" s="402"/>
      <c r="DH143" s="402"/>
      <c r="DI143" s="402"/>
      <c r="DJ143" s="402"/>
      <c r="DK143" s="402"/>
      <c r="DL143" s="402"/>
      <c r="DM143" s="402"/>
      <c r="DN143" s="402"/>
      <c r="DO143" s="402"/>
      <c r="DP143" s="402"/>
      <c r="DQ143" s="402"/>
    </row>
    <row r="144" spans="1:121" s="759" customFormat="1" ht="15" customHeight="1" x14ac:dyDescent="0.25">
      <c r="A144" s="266">
        <f t="shared" si="2"/>
        <v>15.066666666666666</v>
      </c>
      <c r="B144" s="389">
        <v>42404</v>
      </c>
      <c r="C144" s="390" t="s">
        <v>904</v>
      </c>
      <c r="D144" s="390" t="s">
        <v>904</v>
      </c>
      <c r="E144" s="390" t="s">
        <v>380</v>
      </c>
      <c r="F144" s="262" t="s">
        <v>185</v>
      </c>
      <c r="G144" s="262" t="s">
        <v>1415</v>
      </c>
      <c r="H144" s="261"/>
      <c r="I144" s="261"/>
      <c r="J144" s="261">
        <v>96</v>
      </c>
      <c r="K144" s="261"/>
      <c r="L144" s="261"/>
      <c r="M144" s="261"/>
      <c r="N144" s="261"/>
      <c r="O144" s="261"/>
      <c r="P144" s="261"/>
      <c r="Q144" s="261"/>
      <c r="R144" s="261"/>
      <c r="S144" s="261"/>
      <c r="T144" s="261"/>
      <c r="U144" s="261"/>
      <c r="V144" s="762"/>
      <c r="W144" s="261"/>
      <c r="X144" s="261"/>
      <c r="Y144" s="264">
        <f>IF(NFI_Expiration=1,IF($A144&lt;VLOOKUP(H$5,NFI,5,0),1,0)*Table_NFI[[#This Row],[Hygiene Kit]],Table_NFI[Hygiene Kit])</f>
        <v>0</v>
      </c>
      <c r="Z144" s="264">
        <f>IF(NFI_Expiration=1,IF($A144&lt;VLOOKUP(I$5,NFI,5,0),1,0)*Table_NFI[[#This Row],[NFI Core Kit]],Table_NFI[NFI Core Kit])</f>
        <v>0</v>
      </c>
      <c r="AA144" s="264">
        <f>IF(NFI_Expiration=1,IF($A144&lt;VLOOKUP(J$5,NFI,5,0),1,0)*Table_NFI[[#This Row],[Sanitary Kit]],Table_NFI[Sanitary Kit])</f>
        <v>0</v>
      </c>
      <c r="AB144" s="264">
        <f>IF(NFI_Expiration=1,IF($A144&lt;VLOOKUP(K$5,NFI,5,0),1,0)*Table_NFI[[#This Row],[Mosquito net]],Table_NFI[Mosquito net])</f>
        <v>0</v>
      </c>
      <c r="AC144" s="264">
        <f>IF(NFI_Expiration=1,IF($A144&lt;VLOOKUP(L$5,NFI,5,0),1,0)*Table_NFI[[#This Row],[Tarpaulin]],Table_NFI[[#This Row],[Tarpaulin]])</f>
        <v>0</v>
      </c>
      <c r="AD144" s="264">
        <f>IF(NFI_Expiration=1,IF($A144&lt;VLOOKUP(M$5,NFI,5,0),1,0)*Table_NFI[[#This Row],[Blanket]],Table_NFI[[#This Row],[Blanket]])</f>
        <v>0</v>
      </c>
      <c r="AE144" s="264">
        <f>IF(NFI_Expiration=1,IF($A144&lt;VLOOKUP(N$5,NFI,5,0),1,0)*Table_NFI[[#This Row],[Kitchen Set]],Table_NFI[Kitchen Set])</f>
        <v>0</v>
      </c>
      <c r="AF144" s="264">
        <f>IF(NFI_Expiration=1,IF($A144&lt;VLOOKUP(O$5,NFI,5,0),1,0)*Table_NFI[[#This Row],[Clothes Kit]],Table_NFI[Clothes Kit])</f>
        <v>0</v>
      </c>
      <c r="AG144" s="264">
        <f>IF(NFI_Expiration=1,IF($A144&lt;VLOOKUP(P$5,NFI,5,0),1,0)*Table_NFI[[#This Row],[Plastic Bucket]],Table_NFI[Plastic Bucket])</f>
        <v>0</v>
      </c>
      <c r="AH144" s="264">
        <f>IF(NFI_Expiration=1,IF($A144&lt;VLOOKUP(Q$5,NFI,5,0),1,0)*Table_NFI[[#This Row],[Plastic Mat]],Table_NFI[Plastic Mat])*IF(Table_NFI[[#This Row],[Distribution Date]]&gt;"2014-04-01",1,2.5)</f>
        <v>0</v>
      </c>
      <c r="AI144" s="264">
        <f>IF(NFI_Expiration=1,IF($A144&lt;VLOOKUP(R$5,NFI,5,0),1,0)*Table_NFI[[#This Row],[Winter Clothes Adult]],Table_NFI[Winter Clothes Adult])</f>
        <v>0</v>
      </c>
      <c r="AJ144" s="264">
        <f>IF(NFI_Expiration=1,IF($A144&lt;VLOOKUP(S$5,NFI,5,0),1,0)*Table_NFI[[#This Row],[Winter Clothes Children]],Table_NFI[Winter Clothes Children])</f>
        <v>0</v>
      </c>
      <c r="AK144" s="264">
        <f>IF(NFI_Expiration=1,IF($A144&lt;VLOOKUP(T$5,NFI,5,0),1,0)*Table_NFI[[#This Row],[Winter Items Other]],Table_NFI[Winter Items Other])</f>
        <v>0</v>
      </c>
      <c r="AL144" s="264">
        <f>IF(NFI_Expiration=1,IF($A144&lt;VLOOKUP(M$5,NFI,5,0),1,0)*Table_NFI[[#This Row],[Winter Blanket]],Table_NFI[[#This Row],[Winter Blanket]])</f>
        <v>0</v>
      </c>
      <c r="AM144" s="264">
        <f>IF(Table_NFI[[#This Row],[Winter Clothes Adult]]+Table_NFI[[#This Row],[Winter Clothes Children]]+Table_NFI[[#This Row],[Winter Items Other]]+Table_NFI[[#This Row],[Winter Blanket]]&gt;0,1,0)</f>
        <v>0</v>
      </c>
      <c r="AN144" s="296">
        <f>IF(NFI_Expiration=1,IF($A144&lt;VLOOKUP(V$5,NFI,5,0),1,0)*Table_NFI[[#This Row],[Jerry Can]],Table_NFI[Jerry Can])</f>
        <v>0</v>
      </c>
      <c r="AO144" s="296">
        <f>IF(NFI_Expiration=1,IF($A144&lt;VLOOKUP(V$5,NFI,5,0),1,0)*Table_NFI[[#This Row],[Shelter Tool kit]],Table_NFI[Shelter Tool kit])</f>
        <v>0</v>
      </c>
      <c r="AP144" s="296">
        <f>IF(NFI_Expiration=1,IF($A144&lt;VLOOKUP(V$5,NFI,5,0),1,0)*Table_NFI[[#This Row],[Tent]],Table_NFI[Tent])</f>
        <v>0</v>
      </c>
      <c r="AQ144" s="396" t="str">
        <f>IFERROR(VLOOKUP(Table_NFI[[#This Row],[Camp Name]],CL,2,0),"")</f>
        <v/>
      </c>
      <c r="AR144" s="702" t="str">
        <f ca="1">IF(Table_NFI[[#This Row],[Pcode]]="","",IF(OFFSET(CampList[Opening Date],MATCH(Table_NFI[[#This Row],[Pcode]],CampList[CP_Pcode],0)-1,0,1,1)&gt;=NFI_Monitor_Date,1,0))</f>
        <v/>
      </c>
      <c r="AS144" s="559" t="str">
        <f>IFERROR(VLOOKUP(Table_NFI[[#This Row],[Camp Name]],CL,3,0),"")</f>
        <v/>
      </c>
      <c r="AT144" s="264" t="str">
        <f ca="1">IF(Table_NFI[[#This Row],[Pcode]]="","",OFFSET(CampList[Priority],MATCH(Table_NFI[[#This Row],[Pcode]],CampList[CP_Pcode],0)-1,0,1,1))</f>
        <v/>
      </c>
      <c r="AU144" s="263" t="str">
        <f>IFERROR(Table_NFI[[#This Row],[Kitchen Set]]/VLOOKUP(Table_NFI[[#This Row],[Camp Name]],CL,4,0),"")</f>
        <v/>
      </c>
      <c r="AV144" s="390"/>
      <c r="AW144" s="392"/>
      <c r="AX144" s="402"/>
      <c r="AY144" s="402"/>
      <c r="AZ144" s="402"/>
      <c r="BA144" s="402"/>
      <c r="BB144" s="402"/>
      <c r="BC144" s="402"/>
      <c r="BD144" s="402"/>
      <c r="BE144" s="402"/>
      <c r="BF144" s="402"/>
      <c r="BG144" s="402"/>
      <c r="BH144" s="402"/>
      <c r="BI144" s="402"/>
      <c r="BJ144" s="402"/>
      <c r="BK144" s="402"/>
      <c r="BL144" s="402"/>
      <c r="BM144" s="402"/>
      <c r="BN144" s="402"/>
      <c r="BO144" s="402"/>
      <c r="BP144" s="402"/>
      <c r="BQ144" s="402"/>
      <c r="BR144" s="402"/>
      <c r="BS144" s="402"/>
      <c r="BT144" s="402"/>
      <c r="BU144" s="402"/>
      <c r="BV144" s="402"/>
      <c r="BW144" s="402"/>
      <c r="BX144" s="402"/>
      <c r="BY144" s="402"/>
      <c r="BZ144" s="402"/>
      <c r="CA144" s="402"/>
      <c r="CB144" s="402"/>
      <c r="CC144" s="402"/>
      <c r="CD144" s="402"/>
      <c r="CE144" s="402"/>
      <c r="CF144" s="402"/>
      <c r="CG144" s="402"/>
      <c r="CH144" s="402"/>
      <c r="CI144" s="402"/>
      <c r="CJ144" s="402"/>
      <c r="CK144" s="402"/>
      <c r="CL144" s="402"/>
      <c r="CM144" s="402"/>
      <c r="CN144" s="402"/>
      <c r="CO144" s="402"/>
      <c r="CP144" s="402"/>
      <c r="CQ144" s="402"/>
      <c r="CR144" s="402"/>
      <c r="CS144" s="402"/>
      <c r="CT144" s="402"/>
      <c r="CU144" s="402"/>
      <c r="CV144" s="402"/>
      <c r="CW144" s="402"/>
      <c r="CX144" s="402"/>
      <c r="CY144" s="402"/>
      <c r="CZ144" s="402"/>
      <c r="DA144" s="402"/>
      <c r="DB144" s="402"/>
      <c r="DC144" s="402"/>
      <c r="DD144" s="402"/>
      <c r="DE144" s="402"/>
      <c r="DF144" s="402"/>
      <c r="DG144" s="402"/>
      <c r="DH144" s="402"/>
      <c r="DI144" s="402"/>
      <c r="DJ144" s="402"/>
      <c r="DK144" s="402"/>
      <c r="DL144" s="402"/>
      <c r="DM144" s="402"/>
      <c r="DN144" s="402"/>
      <c r="DO144" s="402"/>
      <c r="DP144" s="402"/>
      <c r="DQ144" s="402"/>
    </row>
    <row r="145" spans="1:121" s="759" customFormat="1" ht="15" customHeight="1" x14ac:dyDescent="0.2">
      <c r="A145" s="266">
        <f t="shared" si="2"/>
        <v>15.066666666666666</v>
      </c>
      <c r="B145" s="389">
        <v>42404</v>
      </c>
      <c r="C145" s="390" t="s">
        <v>904</v>
      </c>
      <c r="D145" s="390" t="s">
        <v>904</v>
      </c>
      <c r="E145" s="390" t="s">
        <v>380</v>
      </c>
      <c r="F145" s="390" t="s">
        <v>185</v>
      </c>
      <c r="G145" s="262" t="s">
        <v>217</v>
      </c>
      <c r="H145" s="261"/>
      <c r="I145" s="261"/>
      <c r="J145" s="764">
        <v>33</v>
      </c>
      <c r="K145" s="261"/>
      <c r="L145" s="261"/>
      <c r="M145" s="261"/>
      <c r="N145" s="261"/>
      <c r="O145" s="261"/>
      <c r="P145" s="261"/>
      <c r="Q145" s="261"/>
      <c r="R145" s="261"/>
      <c r="S145" s="261"/>
      <c r="T145" s="261"/>
      <c r="U145" s="261"/>
      <c r="V145" s="762"/>
      <c r="W145" s="762"/>
      <c r="X145" s="762"/>
      <c r="Y145" s="264">
        <f>IF(NFI_Expiration=1,IF($A145&lt;VLOOKUP(H$5,NFI,5,0),1,0)*Table_NFI[[#This Row],[Hygiene Kit]],Table_NFI[Hygiene Kit])</f>
        <v>0</v>
      </c>
      <c r="Z145" s="264">
        <f>IF(NFI_Expiration=1,IF($A145&lt;VLOOKUP(I$5,NFI,5,0),1,0)*Table_NFI[[#This Row],[NFI Core Kit]],Table_NFI[NFI Core Kit])</f>
        <v>0</v>
      </c>
      <c r="AA145" s="264">
        <f>IF(NFI_Expiration=1,IF($A145&lt;VLOOKUP(J$5,NFI,5,0),1,0)*Table_NFI[[#This Row],[Sanitary Kit]],Table_NFI[Sanitary Kit])</f>
        <v>0</v>
      </c>
      <c r="AB145" s="264">
        <f>IF(NFI_Expiration=1,IF($A145&lt;VLOOKUP(K$5,NFI,5,0),1,0)*Table_NFI[[#This Row],[Mosquito net]],Table_NFI[Mosquito net])</f>
        <v>0</v>
      </c>
      <c r="AC145" s="264">
        <f>IF(NFI_Expiration=1,IF($A145&lt;VLOOKUP(L$5,NFI,5,0),1,0)*Table_NFI[[#This Row],[Tarpaulin]],Table_NFI[[#This Row],[Tarpaulin]])</f>
        <v>0</v>
      </c>
      <c r="AD145" s="264">
        <f>IF(NFI_Expiration=1,IF($A145&lt;VLOOKUP(M$5,NFI,5,0),1,0)*Table_NFI[[#This Row],[Blanket]],Table_NFI[[#This Row],[Blanket]])</f>
        <v>0</v>
      </c>
      <c r="AE145" s="264">
        <f>IF(NFI_Expiration=1,IF($A145&lt;VLOOKUP(N$5,NFI,5,0),1,0)*Table_NFI[[#This Row],[Kitchen Set]],Table_NFI[Kitchen Set])</f>
        <v>0</v>
      </c>
      <c r="AF145" s="264">
        <f>IF(NFI_Expiration=1,IF($A145&lt;VLOOKUP(O$5,NFI,5,0),1,0)*Table_NFI[[#This Row],[Clothes Kit]],Table_NFI[Clothes Kit])</f>
        <v>0</v>
      </c>
      <c r="AG145" s="264">
        <f>IF(NFI_Expiration=1,IF($A145&lt;VLOOKUP(P$5,NFI,5,0),1,0)*Table_NFI[[#This Row],[Plastic Bucket]],Table_NFI[Plastic Bucket])</f>
        <v>0</v>
      </c>
      <c r="AH145" s="264">
        <f>IF(NFI_Expiration=1,IF($A145&lt;VLOOKUP(Q$5,NFI,5,0),1,0)*Table_NFI[[#This Row],[Plastic Mat]],Table_NFI[Plastic Mat])*IF(Table_NFI[[#This Row],[Distribution Date]]&gt;"2014-04-01",1,2.5)</f>
        <v>0</v>
      </c>
      <c r="AI145" s="264">
        <f>IF(NFI_Expiration=1,IF($A145&lt;VLOOKUP(R$5,NFI,5,0),1,0)*Table_NFI[[#This Row],[Winter Clothes Adult]],Table_NFI[Winter Clothes Adult])</f>
        <v>0</v>
      </c>
      <c r="AJ145" s="264">
        <f>IF(NFI_Expiration=1,IF($A145&lt;VLOOKUP(S$5,NFI,5,0),1,0)*Table_NFI[[#This Row],[Winter Clothes Children]],Table_NFI[Winter Clothes Children])</f>
        <v>0</v>
      </c>
      <c r="AK145" s="264">
        <f>IF(NFI_Expiration=1,IF($A145&lt;VLOOKUP(T$5,NFI,5,0),1,0)*Table_NFI[[#This Row],[Winter Items Other]],Table_NFI[Winter Items Other])</f>
        <v>0</v>
      </c>
      <c r="AL145" s="264">
        <f>IF(NFI_Expiration=1,IF($A145&lt;VLOOKUP(M$5,NFI,5,0),1,0)*Table_NFI[[#This Row],[Winter Blanket]],Table_NFI[[#This Row],[Winter Blanket]])</f>
        <v>0</v>
      </c>
      <c r="AM145" s="264">
        <f>IF(Table_NFI[[#This Row],[Winter Clothes Adult]]+Table_NFI[[#This Row],[Winter Clothes Children]]+Table_NFI[[#This Row],[Winter Items Other]]+Table_NFI[[#This Row],[Winter Blanket]]&gt;0,1,0)</f>
        <v>0</v>
      </c>
      <c r="AN145" s="296">
        <f>IF(NFI_Expiration=1,IF($A145&lt;VLOOKUP(V$5,NFI,5,0),1,0)*Table_NFI[[#This Row],[Jerry Can]],Table_NFI[Jerry Can])</f>
        <v>0</v>
      </c>
      <c r="AO145" s="296">
        <f>IF(NFI_Expiration=1,IF($A145&lt;VLOOKUP(V$5,NFI,5,0),1,0)*Table_NFI[[#This Row],[Shelter Tool kit]],Table_NFI[Shelter Tool kit])</f>
        <v>0</v>
      </c>
      <c r="AP145" s="296">
        <f>IF(NFI_Expiration=1,IF($A145&lt;VLOOKUP(V$5,NFI,5,0),1,0)*Table_NFI[[#This Row],[Tent]],Table_NFI[Tent])</f>
        <v>0</v>
      </c>
      <c r="AQ145" s="396" t="str">
        <f>IFERROR(VLOOKUP(Table_NFI[[#This Row],[Camp Name]],CL,2,0),"")</f>
        <v>MMR001CMP059</v>
      </c>
      <c r="AR145" s="702">
        <f ca="1">IF(Table_NFI[[#This Row],[Pcode]]="","",IF(OFFSET(CampList[Opening Date],MATCH(Table_NFI[[#This Row],[Pcode]],CampList[CP_Pcode],0)-1,0,1,1)&gt;=NFI_Monitor_Date,1,0))</f>
        <v>0</v>
      </c>
      <c r="AS145" s="396" t="str">
        <f>IFERROR(VLOOKUP(Table_NFI[[#This Row],[Camp Name]],CL,3,0),"")</f>
        <v>Closed</v>
      </c>
      <c r="AT145" s="264" t="str">
        <f ca="1">IF(Table_NFI[[#This Row],[Pcode]]="","",OFFSET(CampList[Priority],MATCH(Table_NFI[[#This Row],[Pcode]],CampList[CP_Pcode],0)-1,0,1,1))</f>
        <v>P4</v>
      </c>
      <c r="AU145" s="263">
        <f>IFERROR(Table_NFI[[#This Row],[Kitchen Set]]/VLOOKUP(Table_NFI[[#This Row],[Camp Name]],CL,4,0),"")</f>
        <v>0</v>
      </c>
      <c r="AV145" s="390"/>
      <c r="AW145" s="392"/>
      <c r="AX145" s="402"/>
      <c r="AY145" s="402"/>
      <c r="AZ145" s="402"/>
      <c r="BA145" s="402"/>
      <c r="BB145" s="402"/>
      <c r="BC145" s="402"/>
      <c r="BD145" s="402"/>
      <c r="BE145" s="402"/>
      <c r="BF145" s="402"/>
      <c r="BG145" s="402"/>
      <c r="BH145" s="402"/>
      <c r="BI145" s="402"/>
      <c r="BJ145" s="402"/>
      <c r="BK145" s="402"/>
      <c r="BL145" s="402"/>
      <c r="BM145" s="402"/>
      <c r="BN145" s="402"/>
      <c r="BO145" s="402"/>
      <c r="BP145" s="402"/>
      <c r="BQ145" s="402"/>
      <c r="BR145" s="402"/>
      <c r="BS145" s="402"/>
      <c r="BT145" s="402"/>
      <c r="BU145" s="402"/>
      <c r="BV145" s="402"/>
      <c r="BW145" s="402"/>
      <c r="BX145" s="402"/>
      <c r="BY145" s="402"/>
      <c r="BZ145" s="402"/>
      <c r="CA145" s="402"/>
      <c r="CB145" s="402"/>
      <c r="CC145" s="402"/>
      <c r="CD145" s="402"/>
      <c r="CE145" s="402"/>
      <c r="CF145" s="402"/>
      <c r="CG145" s="402"/>
      <c r="CH145" s="402"/>
      <c r="CI145" s="402"/>
      <c r="CJ145" s="402"/>
      <c r="CK145" s="402"/>
      <c r="CL145" s="402"/>
      <c r="CM145" s="402"/>
      <c r="CN145" s="402"/>
      <c r="CO145" s="402"/>
      <c r="CP145" s="402"/>
      <c r="CQ145" s="402"/>
      <c r="CR145" s="402"/>
      <c r="CS145" s="402"/>
      <c r="CT145" s="402"/>
      <c r="CU145" s="402"/>
      <c r="CV145" s="402"/>
      <c r="CW145" s="402"/>
      <c r="CX145" s="402"/>
      <c r="CY145" s="402"/>
      <c r="CZ145" s="402"/>
      <c r="DA145" s="402"/>
      <c r="DB145" s="402"/>
      <c r="DC145" s="402"/>
      <c r="DD145" s="402"/>
      <c r="DE145" s="402"/>
      <c r="DF145" s="402"/>
      <c r="DG145" s="402"/>
      <c r="DH145" s="402"/>
      <c r="DI145" s="402"/>
      <c r="DJ145" s="402"/>
      <c r="DK145" s="402"/>
      <c r="DL145" s="402"/>
      <c r="DM145" s="402"/>
      <c r="DN145" s="402"/>
      <c r="DO145" s="402"/>
      <c r="DP145" s="402"/>
      <c r="DQ145" s="402"/>
    </row>
    <row r="146" spans="1:121" s="759" customFormat="1" ht="15" customHeight="1" x14ac:dyDescent="0.25">
      <c r="A146" s="266">
        <f t="shared" si="2"/>
        <v>15.133333333333333</v>
      </c>
      <c r="B146" s="389">
        <v>42402</v>
      </c>
      <c r="C146" s="390" t="s">
        <v>904</v>
      </c>
      <c r="D146" s="390" t="s">
        <v>904</v>
      </c>
      <c r="E146" s="390" t="s">
        <v>380</v>
      </c>
      <c r="F146" s="262" t="s">
        <v>5</v>
      </c>
      <c r="G146" s="262" t="s">
        <v>6</v>
      </c>
      <c r="H146" s="261"/>
      <c r="I146" s="261"/>
      <c r="J146" s="261">
        <v>310</v>
      </c>
      <c r="K146" s="261"/>
      <c r="L146" s="261"/>
      <c r="M146" s="261"/>
      <c r="N146" s="261"/>
      <c r="O146" s="261"/>
      <c r="P146" s="261"/>
      <c r="Q146" s="261"/>
      <c r="R146" s="261"/>
      <c r="S146" s="261"/>
      <c r="T146" s="261"/>
      <c r="U146" s="261"/>
      <c r="V146" s="762"/>
      <c r="W146" s="261"/>
      <c r="X146" s="261"/>
      <c r="Y146" s="264">
        <f>IF(NFI_Expiration=1,IF($A146&lt;VLOOKUP(H$5,NFI,5,0),1,0)*Table_NFI[[#This Row],[Hygiene Kit]],Table_NFI[Hygiene Kit])</f>
        <v>0</v>
      </c>
      <c r="Z146" s="264">
        <f>IF(NFI_Expiration=1,IF($A146&lt;VLOOKUP(I$5,NFI,5,0),1,0)*Table_NFI[[#This Row],[NFI Core Kit]],Table_NFI[NFI Core Kit])</f>
        <v>0</v>
      </c>
      <c r="AA146" s="264">
        <f>IF(NFI_Expiration=1,IF($A146&lt;VLOOKUP(J$5,NFI,5,0),1,0)*Table_NFI[[#This Row],[Sanitary Kit]],Table_NFI[Sanitary Kit])</f>
        <v>0</v>
      </c>
      <c r="AB146" s="264">
        <f>IF(NFI_Expiration=1,IF($A146&lt;VLOOKUP(K$5,NFI,5,0),1,0)*Table_NFI[[#This Row],[Mosquito net]],Table_NFI[Mosquito net])</f>
        <v>0</v>
      </c>
      <c r="AC146" s="264">
        <f>IF(NFI_Expiration=1,IF($A146&lt;VLOOKUP(L$5,NFI,5,0),1,0)*Table_NFI[[#This Row],[Tarpaulin]],Table_NFI[[#This Row],[Tarpaulin]])</f>
        <v>0</v>
      </c>
      <c r="AD146" s="264">
        <f>IF(NFI_Expiration=1,IF($A146&lt;VLOOKUP(M$5,NFI,5,0),1,0)*Table_NFI[[#This Row],[Blanket]],Table_NFI[[#This Row],[Blanket]])</f>
        <v>0</v>
      </c>
      <c r="AE146" s="264">
        <f>IF(NFI_Expiration=1,IF($A146&lt;VLOOKUP(N$5,NFI,5,0),1,0)*Table_NFI[[#This Row],[Kitchen Set]],Table_NFI[Kitchen Set])</f>
        <v>0</v>
      </c>
      <c r="AF146" s="264">
        <f>IF(NFI_Expiration=1,IF($A146&lt;VLOOKUP(O$5,NFI,5,0),1,0)*Table_NFI[[#This Row],[Clothes Kit]],Table_NFI[Clothes Kit])</f>
        <v>0</v>
      </c>
      <c r="AG146" s="264">
        <f>IF(NFI_Expiration=1,IF($A146&lt;VLOOKUP(P$5,NFI,5,0),1,0)*Table_NFI[[#This Row],[Plastic Bucket]],Table_NFI[Plastic Bucket])</f>
        <v>0</v>
      </c>
      <c r="AH146" s="264">
        <f>IF(NFI_Expiration=1,IF($A146&lt;VLOOKUP(Q$5,NFI,5,0),1,0)*Table_NFI[[#This Row],[Plastic Mat]],Table_NFI[Plastic Mat])*IF(Table_NFI[[#This Row],[Distribution Date]]&gt;"2014-04-01",1,2.5)</f>
        <v>0</v>
      </c>
      <c r="AI146" s="264">
        <f>IF(NFI_Expiration=1,IF($A146&lt;VLOOKUP(R$5,NFI,5,0),1,0)*Table_NFI[[#This Row],[Winter Clothes Adult]],Table_NFI[Winter Clothes Adult])</f>
        <v>0</v>
      </c>
      <c r="AJ146" s="264">
        <f>IF(NFI_Expiration=1,IF($A146&lt;VLOOKUP(S$5,NFI,5,0),1,0)*Table_NFI[[#This Row],[Winter Clothes Children]],Table_NFI[Winter Clothes Children])</f>
        <v>0</v>
      </c>
      <c r="AK146" s="264">
        <f>IF(NFI_Expiration=1,IF($A146&lt;VLOOKUP(T$5,NFI,5,0),1,0)*Table_NFI[[#This Row],[Winter Items Other]],Table_NFI[Winter Items Other])</f>
        <v>0</v>
      </c>
      <c r="AL146" s="264">
        <f>IF(NFI_Expiration=1,IF($A146&lt;VLOOKUP(M$5,NFI,5,0),1,0)*Table_NFI[[#This Row],[Winter Blanket]],Table_NFI[[#This Row],[Winter Blanket]])</f>
        <v>0</v>
      </c>
      <c r="AM146" s="264">
        <f>IF(Table_NFI[[#This Row],[Winter Clothes Adult]]+Table_NFI[[#This Row],[Winter Clothes Children]]+Table_NFI[[#This Row],[Winter Items Other]]+Table_NFI[[#This Row],[Winter Blanket]]&gt;0,1,0)</f>
        <v>0</v>
      </c>
      <c r="AN146" s="296">
        <f>IF(NFI_Expiration=1,IF($A146&lt;VLOOKUP(V$5,NFI,5,0),1,0)*Table_NFI[[#This Row],[Jerry Can]],Table_NFI[Jerry Can])</f>
        <v>0</v>
      </c>
      <c r="AO146" s="296">
        <f>IF(NFI_Expiration=1,IF($A146&lt;VLOOKUP(V$5,NFI,5,0),1,0)*Table_NFI[[#This Row],[Shelter Tool kit]],Table_NFI[Shelter Tool kit])</f>
        <v>0</v>
      </c>
      <c r="AP146" s="296">
        <f>IF(NFI_Expiration=1,IF($A146&lt;VLOOKUP(V$5,NFI,5,0),1,0)*Table_NFI[[#This Row],[Tent]],Table_NFI[Tent])</f>
        <v>0</v>
      </c>
      <c r="AQ146" s="396" t="str">
        <f>IFERROR(VLOOKUP(Table_NFI[[#This Row],[Camp Name]],CL,2,0),"")</f>
        <v>MMR001CMP050</v>
      </c>
      <c r="AR146" s="702">
        <f ca="1">IF(Table_NFI[[#This Row],[Pcode]]="","",IF(OFFSET(CampList[Opening Date],MATCH(Table_NFI[[#This Row],[Pcode]],CampList[CP_Pcode],0)-1,0,1,1)&gt;=NFI_Monitor_Date,1,0))</f>
        <v>0</v>
      </c>
      <c r="AS146" s="396" t="str">
        <f>IFERROR(VLOOKUP(Table_NFI[[#This Row],[Camp Name]],CL,3,0),"")</f>
        <v>Open</v>
      </c>
      <c r="AT146" s="264" t="str">
        <f ca="1">IF(Table_NFI[[#This Row],[Pcode]]="","",OFFSET(CampList[Priority],MATCH(Table_NFI[[#This Row],[Pcode]],CampList[CP_Pcode],0)-1,0,1,1))</f>
        <v>P4</v>
      </c>
      <c r="AU146" s="263">
        <f>IFERROR(Table_NFI[[#This Row],[Kitchen Set]]/VLOOKUP(Table_NFI[[#This Row],[Camp Name]],CL,4,0),"")</f>
        <v>0</v>
      </c>
      <c r="AV146" s="390"/>
      <c r="AW146" s="392"/>
      <c r="AX146" s="402"/>
      <c r="AY146" s="402"/>
      <c r="AZ146" s="402"/>
      <c r="BA146" s="402"/>
      <c r="BB146" s="402"/>
      <c r="BC146" s="402"/>
      <c r="BD146" s="402"/>
      <c r="BE146" s="402"/>
      <c r="BF146" s="402"/>
      <c r="BG146" s="402"/>
      <c r="BH146" s="402"/>
      <c r="BI146" s="402"/>
      <c r="BJ146" s="402"/>
      <c r="BK146" s="402"/>
      <c r="BL146" s="402"/>
      <c r="BM146" s="402"/>
      <c r="BN146" s="402"/>
      <c r="BO146" s="402"/>
      <c r="BP146" s="402"/>
      <c r="BQ146" s="402"/>
      <c r="BR146" s="402"/>
      <c r="BS146" s="402"/>
      <c r="BT146" s="402"/>
      <c r="BU146" s="402"/>
      <c r="BV146" s="402"/>
      <c r="BW146" s="402"/>
      <c r="BX146" s="402"/>
      <c r="BY146" s="402"/>
      <c r="BZ146" s="402"/>
      <c r="CA146" s="402"/>
      <c r="CB146" s="402"/>
      <c r="CC146" s="402"/>
      <c r="CD146" s="402"/>
      <c r="CE146" s="402"/>
      <c r="CF146" s="402"/>
      <c r="CG146" s="402"/>
      <c r="CH146" s="402"/>
      <c r="CI146" s="402"/>
      <c r="CJ146" s="402"/>
      <c r="CK146" s="402"/>
      <c r="CL146" s="402"/>
      <c r="CM146" s="402"/>
      <c r="CN146" s="402"/>
      <c r="CO146" s="402"/>
      <c r="CP146" s="402"/>
      <c r="CQ146" s="402"/>
      <c r="CR146" s="402"/>
      <c r="CS146" s="402"/>
      <c r="CT146" s="402"/>
      <c r="CU146" s="402"/>
      <c r="CV146" s="402"/>
      <c r="CW146" s="402"/>
      <c r="CX146" s="402"/>
      <c r="CY146" s="402"/>
      <c r="CZ146" s="402"/>
      <c r="DA146" s="402"/>
      <c r="DB146" s="402"/>
      <c r="DC146" s="402"/>
      <c r="DD146" s="402"/>
      <c r="DE146" s="402"/>
      <c r="DF146" s="402"/>
      <c r="DG146" s="402"/>
      <c r="DH146" s="402"/>
      <c r="DI146" s="402"/>
      <c r="DJ146" s="402"/>
      <c r="DK146" s="402"/>
      <c r="DL146" s="402"/>
      <c r="DM146" s="402"/>
      <c r="DN146" s="402"/>
      <c r="DO146" s="402"/>
      <c r="DP146" s="402"/>
      <c r="DQ146" s="402"/>
    </row>
    <row r="147" spans="1:121" s="759" customFormat="1" ht="14.45" customHeight="1" x14ac:dyDescent="0.2">
      <c r="A147" s="266">
        <f t="shared" si="2"/>
        <v>15.133333333333333</v>
      </c>
      <c r="B147" s="389">
        <v>42402</v>
      </c>
      <c r="C147" s="390" t="s">
        <v>904</v>
      </c>
      <c r="D147" s="390" t="s">
        <v>904</v>
      </c>
      <c r="E147" s="390" t="s">
        <v>380</v>
      </c>
      <c r="F147" s="390" t="s">
        <v>5</v>
      </c>
      <c r="G147" s="390" t="s">
        <v>366</v>
      </c>
      <c r="H147" s="261"/>
      <c r="I147" s="261"/>
      <c r="J147" s="764">
        <v>204</v>
      </c>
      <c r="K147" s="261"/>
      <c r="L147" s="261"/>
      <c r="M147" s="261"/>
      <c r="N147" s="261"/>
      <c r="O147" s="261"/>
      <c r="P147" s="261"/>
      <c r="Q147" s="261"/>
      <c r="R147" s="261"/>
      <c r="S147" s="261"/>
      <c r="T147" s="261"/>
      <c r="U147" s="261"/>
      <c r="V147" s="762"/>
      <c r="W147" s="261"/>
      <c r="X147" s="261"/>
      <c r="Y147" s="264">
        <f>IF(NFI_Expiration=1,IF($A147&lt;VLOOKUP(H$5,NFI,5,0),1,0)*Table_NFI[[#This Row],[Hygiene Kit]],Table_NFI[Hygiene Kit])</f>
        <v>0</v>
      </c>
      <c r="Z147" s="264">
        <f>IF(NFI_Expiration=1,IF($A147&lt;VLOOKUP(I$5,NFI,5,0),1,0)*Table_NFI[[#This Row],[NFI Core Kit]],Table_NFI[NFI Core Kit])</f>
        <v>0</v>
      </c>
      <c r="AA147" s="264">
        <f>IF(NFI_Expiration=1,IF($A147&lt;VLOOKUP(J$5,NFI,5,0),1,0)*Table_NFI[[#This Row],[Sanitary Kit]],Table_NFI[Sanitary Kit])</f>
        <v>0</v>
      </c>
      <c r="AB147" s="264">
        <f>IF(NFI_Expiration=1,IF($A147&lt;VLOOKUP(K$5,NFI,5,0),1,0)*Table_NFI[[#This Row],[Mosquito net]],Table_NFI[Mosquito net])</f>
        <v>0</v>
      </c>
      <c r="AC147" s="264">
        <f>IF(NFI_Expiration=1,IF($A147&lt;VLOOKUP(L$5,NFI,5,0),1,0)*Table_NFI[[#This Row],[Tarpaulin]],Table_NFI[[#This Row],[Tarpaulin]])</f>
        <v>0</v>
      </c>
      <c r="AD147" s="264">
        <f>IF(NFI_Expiration=1,IF($A147&lt;VLOOKUP(M$5,NFI,5,0),1,0)*Table_NFI[[#This Row],[Blanket]],Table_NFI[[#This Row],[Blanket]])</f>
        <v>0</v>
      </c>
      <c r="AE147" s="264">
        <f>IF(NFI_Expiration=1,IF($A147&lt;VLOOKUP(N$5,NFI,5,0),1,0)*Table_NFI[[#This Row],[Kitchen Set]],Table_NFI[Kitchen Set])</f>
        <v>0</v>
      </c>
      <c r="AF147" s="264">
        <f>IF(NFI_Expiration=1,IF($A147&lt;VLOOKUP(O$5,NFI,5,0),1,0)*Table_NFI[[#This Row],[Clothes Kit]],Table_NFI[Clothes Kit])</f>
        <v>0</v>
      </c>
      <c r="AG147" s="264">
        <f>IF(NFI_Expiration=1,IF($A147&lt;VLOOKUP(P$5,NFI,5,0),1,0)*Table_NFI[[#This Row],[Plastic Bucket]],Table_NFI[Plastic Bucket])</f>
        <v>0</v>
      </c>
      <c r="AH147" s="264">
        <f>IF(NFI_Expiration=1,IF($A147&lt;VLOOKUP(Q$5,NFI,5,0),1,0)*Table_NFI[[#This Row],[Plastic Mat]],Table_NFI[Plastic Mat])*IF(Table_NFI[[#This Row],[Distribution Date]]&gt;"2014-04-01",1,2.5)</f>
        <v>0</v>
      </c>
      <c r="AI147" s="264">
        <f>IF(NFI_Expiration=1,IF($A147&lt;VLOOKUP(R$5,NFI,5,0),1,0)*Table_NFI[[#This Row],[Winter Clothes Adult]],Table_NFI[Winter Clothes Adult])</f>
        <v>0</v>
      </c>
      <c r="AJ147" s="264">
        <f>IF(NFI_Expiration=1,IF($A147&lt;VLOOKUP(S$5,NFI,5,0),1,0)*Table_NFI[[#This Row],[Winter Clothes Children]],Table_NFI[Winter Clothes Children])</f>
        <v>0</v>
      </c>
      <c r="AK147" s="264">
        <f>IF(NFI_Expiration=1,IF($A147&lt;VLOOKUP(T$5,NFI,5,0),1,0)*Table_NFI[[#This Row],[Winter Items Other]],Table_NFI[Winter Items Other])</f>
        <v>0</v>
      </c>
      <c r="AL147" s="264">
        <f>IF(NFI_Expiration=1,IF($A147&lt;VLOOKUP(M$5,NFI,5,0),1,0)*Table_NFI[[#This Row],[Winter Blanket]],Table_NFI[[#This Row],[Winter Blanket]])</f>
        <v>0</v>
      </c>
      <c r="AM147" s="264">
        <f>IF(Table_NFI[[#This Row],[Winter Clothes Adult]]+Table_NFI[[#This Row],[Winter Clothes Children]]+Table_NFI[[#This Row],[Winter Items Other]]+Table_NFI[[#This Row],[Winter Blanket]]&gt;0,1,0)</f>
        <v>0</v>
      </c>
      <c r="AN147" s="296">
        <f>IF(NFI_Expiration=1,IF($A147&lt;VLOOKUP(V$5,NFI,5,0),1,0)*Table_NFI[[#This Row],[Jerry Can]],Table_NFI[Jerry Can])</f>
        <v>0</v>
      </c>
      <c r="AO147" s="296">
        <f>IF(NFI_Expiration=1,IF($A147&lt;VLOOKUP(V$5,NFI,5,0),1,0)*Table_NFI[[#This Row],[Shelter Tool kit]],Table_NFI[Shelter Tool kit])</f>
        <v>0</v>
      </c>
      <c r="AP147" s="296">
        <f>IF(NFI_Expiration=1,IF($A147&lt;VLOOKUP(V$5,NFI,5,0),1,0)*Table_NFI[[#This Row],[Tent]],Table_NFI[Tent])</f>
        <v>0</v>
      </c>
      <c r="AQ147" s="396" t="str">
        <f>IFERROR(VLOOKUP(Table_NFI[[#This Row],[Camp Name]],CL,2,0),"")</f>
        <v>MMR001CMP193</v>
      </c>
      <c r="AR147" s="702">
        <f ca="1">IF(Table_NFI[[#This Row],[Pcode]]="","",IF(OFFSET(CampList[Opening Date],MATCH(Table_NFI[[#This Row],[Pcode]],CampList[CP_Pcode],0)-1,0,1,1)&gt;=NFI_Monitor_Date,1,0))</f>
        <v>0</v>
      </c>
      <c r="AS147" s="396" t="str">
        <f>IFERROR(VLOOKUP(Table_NFI[[#This Row],[Camp Name]],CL,3,0),"")</f>
        <v>Open</v>
      </c>
      <c r="AT147" s="264" t="str">
        <f ca="1">IF(Table_NFI[[#This Row],[Pcode]]="","",OFFSET(CampList[Priority],MATCH(Table_NFI[[#This Row],[Pcode]],CampList[CP_Pcode],0)-1,0,1,1))</f>
        <v>P4</v>
      </c>
      <c r="AU147" s="263">
        <f>IFERROR(Table_NFI[[#This Row],[Kitchen Set]]/VLOOKUP(Table_NFI[[#This Row],[Camp Name]],CL,4,0),"")</f>
        <v>0</v>
      </c>
      <c r="AV147" s="390"/>
      <c r="AW147" s="392"/>
      <c r="AX147" s="402"/>
      <c r="AY147" s="402"/>
      <c r="AZ147" s="402"/>
      <c r="BA147" s="402"/>
      <c r="BB147" s="402"/>
      <c r="BC147" s="402"/>
      <c r="BD147" s="402"/>
      <c r="BE147" s="402"/>
      <c r="BF147" s="402"/>
      <c r="BG147" s="402"/>
      <c r="BH147" s="402"/>
      <c r="BI147" s="402"/>
      <c r="BJ147" s="402"/>
      <c r="BK147" s="402"/>
      <c r="BL147" s="402"/>
      <c r="BM147" s="402"/>
      <c r="BN147" s="402"/>
      <c r="BO147" s="402"/>
      <c r="BP147" s="402"/>
      <c r="BQ147" s="402"/>
      <c r="BR147" s="402"/>
      <c r="BS147" s="402"/>
      <c r="BT147" s="402"/>
      <c r="BU147" s="402"/>
      <c r="BV147" s="402"/>
      <c r="BW147" s="402"/>
      <c r="BX147" s="402"/>
      <c r="BY147" s="402"/>
      <c r="BZ147" s="402"/>
      <c r="CA147" s="402"/>
      <c r="CB147" s="402"/>
      <c r="CC147" s="402"/>
      <c r="CD147" s="402"/>
      <c r="CE147" s="402"/>
      <c r="CF147" s="402"/>
      <c r="CG147" s="402"/>
      <c r="CH147" s="402"/>
      <c r="CI147" s="402"/>
      <c r="CJ147" s="402"/>
      <c r="CK147" s="402"/>
      <c r="CL147" s="402"/>
      <c r="CM147" s="402"/>
      <c r="CN147" s="402"/>
      <c r="CO147" s="402"/>
      <c r="CP147" s="402"/>
      <c r="CQ147" s="402"/>
      <c r="CR147" s="402"/>
      <c r="CS147" s="402"/>
      <c r="CT147" s="402"/>
      <c r="CU147" s="402"/>
      <c r="CV147" s="402"/>
      <c r="CW147" s="402"/>
      <c r="CX147" s="402"/>
      <c r="CY147" s="402"/>
      <c r="CZ147" s="402"/>
      <c r="DA147" s="402"/>
      <c r="DB147" s="402"/>
      <c r="DC147" s="402"/>
      <c r="DD147" s="402"/>
      <c r="DE147" s="402"/>
      <c r="DF147" s="402"/>
      <c r="DG147" s="402"/>
      <c r="DH147" s="402"/>
      <c r="DI147" s="402"/>
      <c r="DJ147" s="402"/>
      <c r="DK147" s="402"/>
      <c r="DL147" s="402"/>
      <c r="DM147" s="402"/>
      <c r="DN147" s="402"/>
      <c r="DO147" s="402"/>
      <c r="DP147" s="402"/>
      <c r="DQ147" s="402"/>
    </row>
    <row r="148" spans="1:121" s="393" customFormat="1" ht="14.45" customHeight="1" x14ac:dyDescent="0.2">
      <c r="A148" s="266">
        <f t="shared" si="2"/>
        <v>15.266666666666667</v>
      </c>
      <c r="B148" s="389">
        <v>42398</v>
      </c>
      <c r="C148" s="390" t="s">
        <v>904</v>
      </c>
      <c r="D148" s="391" t="s">
        <v>904</v>
      </c>
      <c r="E148" s="390" t="s">
        <v>380</v>
      </c>
      <c r="F148" s="262" t="s">
        <v>185</v>
      </c>
      <c r="G148" s="262" t="s">
        <v>186</v>
      </c>
      <c r="H148" s="261"/>
      <c r="I148" s="261"/>
      <c r="J148" s="261"/>
      <c r="K148" s="261"/>
      <c r="L148" s="261"/>
      <c r="M148" s="261"/>
      <c r="N148" s="261"/>
      <c r="O148" s="261"/>
      <c r="P148" s="261"/>
      <c r="Q148" s="261"/>
      <c r="R148" s="261"/>
      <c r="S148" s="261"/>
      <c r="T148" s="261"/>
      <c r="U148" s="261"/>
      <c r="V148" s="766">
        <v>2</v>
      </c>
      <c r="W148" s="261"/>
      <c r="X148" s="261"/>
      <c r="Y148" s="264">
        <f>IF(NFI_Expiration=1,IF($A148&lt;VLOOKUP(H$5,NFI,5,0),1,0)*Table_NFI[[#This Row],[Hygiene Kit]],Table_NFI[Hygiene Kit])</f>
        <v>0</v>
      </c>
      <c r="Z148" s="264">
        <f>IF(NFI_Expiration=1,IF($A148&lt;VLOOKUP(I$5,NFI,5,0),1,0)*Table_NFI[[#This Row],[NFI Core Kit]],Table_NFI[NFI Core Kit])</f>
        <v>0</v>
      </c>
      <c r="AA148" s="264">
        <f>IF(NFI_Expiration=1,IF($A148&lt;VLOOKUP(J$5,NFI,5,0),1,0)*Table_NFI[[#This Row],[Sanitary Kit]],Table_NFI[Sanitary Kit])</f>
        <v>0</v>
      </c>
      <c r="AB148" s="264">
        <f>IF(NFI_Expiration=1,IF($A148&lt;VLOOKUP(K$5,NFI,5,0),1,0)*Table_NFI[[#This Row],[Mosquito net]],Table_NFI[Mosquito net])</f>
        <v>0</v>
      </c>
      <c r="AC148" s="264">
        <f>IF(NFI_Expiration=1,IF($A148&lt;VLOOKUP(L$5,NFI,5,0),1,0)*Table_NFI[[#This Row],[Tarpaulin]],Table_NFI[[#This Row],[Tarpaulin]])</f>
        <v>0</v>
      </c>
      <c r="AD148" s="264">
        <f>IF(NFI_Expiration=1,IF($A148&lt;VLOOKUP(M$5,NFI,5,0),1,0)*Table_NFI[[#This Row],[Blanket]],Table_NFI[[#This Row],[Blanket]])</f>
        <v>0</v>
      </c>
      <c r="AE148" s="264">
        <f>IF(NFI_Expiration=1,IF($A148&lt;VLOOKUP(N$5,NFI,5,0),1,0)*Table_NFI[[#This Row],[Kitchen Set]],Table_NFI[Kitchen Set])</f>
        <v>0</v>
      </c>
      <c r="AF148" s="264">
        <f>IF(NFI_Expiration=1,IF($A148&lt;VLOOKUP(O$5,NFI,5,0),1,0)*Table_NFI[[#This Row],[Clothes Kit]],Table_NFI[Clothes Kit])</f>
        <v>0</v>
      </c>
      <c r="AG148" s="264">
        <f>IF(NFI_Expiration=1,IF($A148&lt;VLOOKUP(P$5,NFI,5,0),1,0)*Table_NFI[[#This Row],[Plastic Bucket]],Table_NFI[Plastic Bucket])</f>
        <v>0</v>
      </c>
      <c r="AH148" s="264">
        <f>IF(NFI_Expiration=1,IF($A148&lt;VLOOKUP(Q$5,NFI,5,0),1,0)*Table_NFI[[#This Row],[Plastic Mat]],Table_NFI[Plastic Mat])*IF(Table_NFI[[#This Row],[Distribution Date]]&gt;"2014-04-01",1,2.5)</f>
        <v>0</v>
      </c>
      <c r="AI148" s="264">
        <f>IF(NFI_Expiration=1,IF($A148&lt;VLOOKUP(R$5,NFI,5,0),1,0)*Table_NFI[[#This Row],[Winter Clothes Adult]],Table_NFI[Winter Clothes Adult])</f>
        <v>0</v>
      </c>
      <c r="AJ148" s="264">
        <f>IF(NFI_Expiration=1,IF($A148&lt;VLOOKUP(S$5,NFI,5,0),1,0)*Table_NFI[[#This Row],[Winter Clothes Children]],Table_NFI[Winter Clothes Children])</f>
        <v>0</v>
      </c>
      <c r="AK148" s="264">
        <f>IF(NFI_Expiration=1,IF($A148&lt;VLOOKUP(T$5,NFI,5,0),1,0)*Table_NFI[[#This Row],[Winter Items Other]],Table_NFI[Winter Items Other])</f>
        <v>0</v>
      </c>
      <c r="AL148" s="264">
        <f>IF(NFI_Expiration=1,IF($A148&lt;VLOOKUP(M$5,NFI,5,0),1,0)*Table_NFI[[#This Row],[Winter Blanket]],Table_NFI[[#This Row],[Winter Blanket]])</f>
        <v>0</v>
      </c>
      <c r="AM148" s="264">
        <f>IF(Table_NFI[[#This Row],[Winter Clothes Adult]]+Table_NFI[[#This Row],[Winter Clothes Children]]+Table_NFI[[#This Row],[Winter Items Other]]+Table_NFI[[#This Row],[Winter Blanket]]&gt;0,1,0)</f>
        <v>0</v>
      </c>
      <c r="AN148" s="296">
        <f>IF(NFI_Expiration=1,IF($A148&lt;VLOOKUP(V$5,NFI,5,0),1,0)*Table_NFI[[#This Row],[Jerry Can]],Table_NFI[Jerry Can])</f>
        <v>0</v>
      </c>
      <c r="AO148" s="296">
        <f>IF(NFI_Expiration=1,IF($A148&lt;VLOOKUP(V$5,NFI,5,0),1,0)*Table_NFI[[#This Row],[Shelter Tool kit]],Table_NFI[Shelter Tool kit])</f>
        <v>0</v>
      </c>
      <c r="AP148" s="296">
        <f>IF(NFI_Expiration=1,IF($A148&lt;VLOOKUP(V$5,NFI,5,0),1,0)*Table_NFI[[#This Row],[Tent]],Table_NFI[Tent])</f>
        <v>0</v>
      </c>
      <c r="AQ148" s="396" t="str">
        <f>IFERROR(VLOOKUP(Table_NFI[[#This Row],[Camp Name]],CL,2,0),"")</f>
        <v>MMR001CMP071</v>
      </c>
      <c r="AR148" s="702">
        <f ca="1">IF(Table_NFI[[#This Row],[Pcode]]="","",IF(OFFSET(CampList[Opening Date],MATCH(Table_NFI[[#This Row],[Pcode]],CampList[CP_Pcode],0)-1,0,1,1)&gt;=NFI_Monitor_Date,1,0))</f>
        <v>0</v>
      </c>
      <c r="AS148" s="396" t="str">
        <f>IFERROR(VLOOKUP(Table_NFI[[#This Row],[Camp Name]],CL,3,0),"")</f>
        <v>Open</v>
      </c>
      <c r="AT148" s="264" t="str">
        <f ca="1">IF(Table_NFI[[#This Row],[Pcode]]="","",OFFSET(CampList[Priority],MATCH(Table_NFI[[#This Row],[Pcode]],CampList[CP_Pcode],0)-1,0,1,1))</f>
        <v>P3</v>
      </c>
      <c r="AU148" s="263">
        <f>IFERROR(Table_NFI[[#This Row],[Kitchen Set]]/VLOOKUP(Table_NFI[[#This Row],[Camp Name]],CL,4,0),"")</f>
        <v>0</v>
      </c>
      <c r="AV148" s="390"/>
      <c r="AW148" s="392"/>
      <c r="AX148" s="399"/>
      <c r="AY148" s="399"/>
      <c r="AZ148" s="399"/>
      <c r="BA148" s="399"/>
      <c r="BB148" s="399"/>
      <c r="BC148" s="399"/>
      <c r="BD148" s="399"/>
      <c r="BE148" s="399"/>
      <c r="BF148" s="399"/>
      <c r="BG148" s="399"/>
      <c r="BH148" s="399"/>
      <c r="BI148" s="399"/>
      <c r="BJ148" s="399"/>
      <c r="BK148" s="399"/>
      <c r="BL148" s="399"/>
      <c r="BM148" s="399"/>
      <c r="BN148" s="399"/>
      <c r="BO148" s="399"/>
      <c r="BP148" s="399"/>
      <c r="BQ148" s="399"/>
      <c r="BR148" s="399"/>
      <c r="BS148" s="399"/>
      <c r="BT148" s="399"/>
      <c r="BU148" s="399"/>
      <c r="BV148" s="399"/>
      <c r="BW148" s="399"/>
      <c r="BX148" s="399"/>
      <c r="BY148" s="399"/>
      <c r="BZ148" s="399"/>
      <c r="CA148" s="399"/>
      <c r="CB148" s="399"/>
      <c r="CC148" s="399"/>
      <c r="CD148" s="399"/>
      <c r="CE148" s="399"/>
      <c r="CF148" s="399"/>
      <c r="CG148" s="399"/>
      <c r="CH148" s="399"/>
      <c r="CI148" s="399"/>
      <c r="CJ148" s="399"/>
      <c r="CK148" s="399"/>
      <c r="CL148" s="399"/>
      <c r="CM148" s="399"/>
      <c r="CN148" s="399"/>
      <c r="CO148" s="399"/>
      <c r="CP148" s="399"/>
      <c r="CQ148" s="399"/>
      <c r="CR148" s="399"/>
      <c r="CS148" s="399"/>
      <c r="CT148" s="399"/>
      <c r="CU148" s="399"/>
      <c r="CV148" s="399"/>
      <c r="CW148" s="399"/>
      <c r="CX148" s="399"/>
      <c r="CY148" s="399"/>
      <c r="CZ148" s="399"/>
      <c r="DA148" s="399"/>
      <c r="DB148" s="399"/>
      <c r="DC148" s="399"/>
      <c r="DD148" s="399"/>
      <c r="DE148" s="399"/>
      <c r="DF148" s="399"/>
      <c r="DG148" s="399"/>
      <c r="DH148" s="399"/>
      <c r="DI148" s="399"/>
      <c r="DJ148" s="399"/>
      <c r="DK148" s="399"/>
      <c r="DL148" s="399"/>
      <c r="DM148" s="399"/>
      <c r="DN148" s="399"/>
      <c r="DO148" s="399"/>
      <c r="DP148" s="399"/>
      <c r="DQ148" s="399"/>
    </row>
    <row r="149" spans="1:121" s="759" customFormat="1" ht="14.45" customHeight="1" x14ac:dyDescent="0.2">
      <c r="A149" s="266">
        <f t="shared" si="2"/>
        <v>15.266666666666667</v>
      </c>
      <c r="B149" s="389">
        <v>42398</v>
      </c>
      <c r="C149" s="390" t="s">
        <v>904</v>
      </c>
      <c r="D149" s="391" t="s">
        <v>904</v>
      </c>
      <c r="E149" s="390" t="s">
        <v>380</v>
      </c>
      <c r="F149" s="262" t="s">
        <v>185</v>
      </c>
      <c r="G149" s="262" t="s">
        <v>190</v>
      </c>
      <c r="H149" s="261"/>
      <c r="I149" s="261"/>
      <c r="J149" s="261"/>
      <c r="K149" s="261"/>
      <c r="L149" s="261"/>
      <c r="M149" s="261"/>
      <c r="N149" s="261"/>
      <c r="O149" s="261"/>
      <c r="P149" s="261"/>
      <c r="Q149" s="261"/>
      <c r="R149" s="261"/>
      <c r="S149" s="261"/>
      <c r="T149" s="261"/>
      <c r="U149" s="261"/>
      <c r="V149" s="766">
        <v>3</v>
      </c>
      <c r="W149" s="261"/>
      <c r="X149" s="261"/>
      <c r="Y149" s="264">
        <f>IF(NFI_Expiration=1,IF($A149&lt;VLOOKUP(H$5,NFI,5,0),1,0)*Table_NFI[[#This Row],[Hygiene Kit]],Table_NFI[Hygiene Kit])</f>
        <v>0</v>
      </c>
      <c r="Z149" s="264">
        <f>IF(NFI_Expiration=1,IF($A149&lt;VLOOKUP(I$5,NFI,5,0),1,0)*Table_NFI[[#This Row],[NFI Core Kit]],Table_NFI[NFI Core Kit])</f>
        <v>0</v>
      </c>
      <c r="AA149" s="264">
        <f>IF(NFI_Expiration=1,IF($A149&lt;VLOOKUP(J$5,NFI,5,0),1,0)*Table_NFI[[#This Row],[Sanitary Kit]],Table_NFI[Sanitary Kit])</f>
        <v>0</v>
      </c>
      <c r="AB149" s="264">
        <f>IF(NFI_Expiration=1,IF($A149&lt;VLOOKUP(K$5,NFI,5,0),1,0)*Table_NFI[[#This Row],[Mosquito net]],Table_NFI[Mosquito net])</f>
        <v>0</v>
      </c>
      <c r="AC149" s="264">
        <f>IF(NFI_Expiration=1,IF($A149&lt;VLOOKUP(L$5,NFI,5,0),1,0)*Table_NFI[[#This Row],[Tarpaulin]],Table_NFI[[#This Row],[Tarpaulin]])</f>
        <v>0</v>
      </c>
      <c r="AD149" s="264">
        <f>IF(NFI_Expiration=1,IF($A149&lt;VLOOKUP(M$5,NFI,5,0),1,0)*Table_NFI[[#This Row],[Blanket]],Table_NFI[[#This Row],[Blanket]])</f>
        <v>0</v>
      </c>
      <c r="AE149" s="264">
        <f>IF(NFI_Expiration=1,IF($A149&lt;VLOOKUP(N$5,NFI,5,0),1,0)*Table_NFI[[#This Row],[Kitchen Set]],Table_NFI[Kitchen Set])</f>
        <v>0</v>
      </c>
      <c r="AF149" s="264">
        <f>IF(NFI_Expiration=1,IF($A149&lt;VLOOKUP(O$5,NFI,5,0),1,0)*Table_NFI[[#This Row],[Clothes Kit]],Table_NFI[Clothes Kit])</f>
        <v>0</v>
      </c>
      <c r="AG149" s="264">
        <f>IF(NFI_Expiration=1,IF($A149&lt;VLOOKUP(P$5,NFI,5,0),1,0)*Table_NFI[[#This Row],[Plastic Bucket]],Table_NFI[Plastic Bucket])</f>
        <v>0</v>
      </c>
      <c r="AH149" s="264">
        <f>IF(NFI_Expiration=1,IF($A149&lt;VLOOKUP(Q$5,NFI,5,0),1,0)*Table_NFI[[#This Row],[Plastic Mat]],Table_NFI[Plastic Mat])*IF(Table_NFI[[#This Row],[Distribution Date]]&gt;"2014-04-01",1,2.5)</f>
        <v>0</v>
      </c>
      <c r="AI149" s="264">
        <f>IF(NFI_Expiration=1,IF($A149&lt;VLOOKUP(R$5,NFI,5,0),1,0)*Table_NFI[[#This Row],[Winter Clothes Adult]],Table_NFI[Winter Clothes Adult])</f>
        <v>0</v>
      </c>
      <c r="AJ149" s="264">
        <f>IF(NFI_Expiration=1,IF($A149&lt;VLOOKUP(S$5,NFI,5,0),1,0)*Table_NFI[[#This Row],[Winter Clothes Children]],Table_NFI[Winter Clothes Children])</f>
        <v>0</v>
      </c>
      <c r="AK149" s="264">
        <f>IF(NFI_Expiration=1,IF($A149&lt;VLOOKUP(T$5,NFI,5,0),1,0)*Table_NFI[[#This Row],[Winter Items Other]],Table_NFI[Winter Items Other])</f>
        <v>0</v>
      </c>
      <c r="AL149" s="264">
        <f>IF(NFI_Expiration=1,IF($A149&lt;VLOOKUP(M$5,NFI,5,0),1,0)*Table_NFI[[#This Row],[Winter Blanket]],Table_NFI[[#This Row],[Winter Blanket]])</f>
        <v>0</v>
      </c>
      <c r="AM149" s="264">
        <f>IF(Table_NFI[[#This Row],[Winter Clothes Adult]]+Table_NFI[[#This Row],[Winter Clothes Children]]+Table_NFI[[#This Row],[Winter Items Other]]+Table_NFI[[#This Row],[Winter Blanket]]&gt;0,1,0)</f>
        <v>0</v>
      </c>
      <c r="AN149" s="296">
        <f>IF(NFI_Expiration=1,IF($A149&lt;VLOOKUP(V$5,NFI,5,0),1,0)*Table_NFI[[#This Row],[Jerry Can]],Table_NFI[Jerry Can])</f>
        <v>0</v>
      </c>
      <c r="AO149" s="296">
        <f>IF(NFI_Expiration=1,IF($A149&lt;VLOOKUP(V$5,NFI,5,0),1,0)*Table_NFI[[#This Row],[Shelter Tool kit]],Table_NFI[Shelter Tool kit])</f>
        <v>0</v>
      </c>
      <c r="AP149" s="296">
        <f>IF(NFI_Expiration=1,IF($A149&lt;VLOOKUP(V$5,NFI,5,0),1,0)*Table_NFI[[#This Row],[Tent]],Table_NFI[Tent])</f>
        <v>0</v>
      </c>
      <c r="AQ149" s="396" t="str">
        <f>IFERROR(VLOOKUP(Table_NFI[[#This Row],[Camp Name]],CL,2,0),"")</f>
        <v>MMR001CMP070</v>
      </c>
      <c r="AR149" s="702">
        <f ca="1">IF(Table_NFI[[#This Row],[Pcode]]="","",IF(OFFSET(CampList[Opening Date],MATCH(Table_NFI[[#This Row],[Pcode]],CampList[CP_Pcode],0)-1,0,1,1)&gt;=NFI_Monitor_Date,1,0))</f>
        <v>0</v>
      </c>
      <c r="AS149" s="396" t="str">
        <f>IFERROR(VLOOKUP(Table_NFI[[#This Row],[Camp Name]],CL,3,0),"")</f>
        <v>Open</v>
      </c>
      <c r="AT149" s="264" t="str">
        <f ca="1">IF(Table_NFI[[#This Row],[Pcode]]="","",OFFSET(CampList[Priority],MATCH(Table_NFI[[#This Row],[Pcode]],CampList[CP_Pcode],0)-1,0,1,1))</f>
        <v>P3</v>
      </c>
      <c r="AU149" s="263">
        <f>IFERROR(Table_NFI[[#This Row],[Kitchen Set]]/VLOOKUP(Table_NFI[[#This Row],[Camp Name]],CL,4,0),"")</f>
        <v>0</v>
      </c>
      <c r="AV149" s="390"/>
      <c r="AW149" s="392"/>
      <c r="AX149" s="402"/>
      <c r="AY149" s="402"/>
      <c r="AZ149" s="402"/>
      <c r="BA149" s="402"/>
      <c r="BB149" s="402"/>
      <c r="BC149" s="402"/>
      <c r="BD149" s="402"/>
      <c r="BE149" s="402"/>
      <c r="BF149" s="402"/>
      <c r="BG149" s="402"/>
      <c r="BH149" s="402"/>
      <c r="BI149" s="402"/>
      <c r="BJ149" s="402"/>
      <c r="BK149" s="402"/>
      <c r="BL149" s="402"/>
      <c r="BM149" s="402"/>
      <c r="BN149" s="402"/>
      <c r="BO149" s="402"/>
      <c r="BP149" s="402"/>
      <c r="BQ149" s="402"/>
      <c r="BR149" s="402"/>
      <c r="BS149" s="402"/>
      <c r="BT149" s="402"/>
      <c r="BU149" s="402"/>
      <c r="BV149" s="402"/>
      <c r="BW149" s="402"/>
      <c r="BX149" s="402"/>
      <c r="BY149" s="402"/>
      <c r="BZ149" s="402"/>
      <c r="CA149" s="402"/>
      <c r="CB149" s="402"/>
      <c r="CC149" s="402"/>
      <c r="CD149" s="402"/>
      <c r="CE149" s="402"/>
      <c r="CF149" s="402"/>
      <c r="CG149" s="402"/>
      <c r="CH149" s="402"/>
      <c r="CI149" s="402"/>
      <c r="CJ149" s="402"/>
      <c r="CK149" s="402"/>
      <c r="CL149" s="402"/>
      <c r="CM149" s="402"/>
      <c r="CN149" s="402"/>
      <c r="CO149" s="402"/>
      <c r="CP149" s="402"/>
      <c r="CQ149" s="402"/>
      <c r="CR149" s="402"/>
      <c r="CS149" s="402"/>
      <c r="CT149" s="402"/>
      <c r="CU149" s="402"/>
      <c r="CV149" s="402"/>
      <c r="CW149" s="402"/>
      <c r="CX149" s="402"/>
      <c r="CY149" s="402"/>
      <c r="CZ149" s="402"/>
      <c r="DA149" s="402"/>
      <c r="DB149" s="402"/>
      <c r="DC149" s="402"/>
      <c r="DD149" s="402"/>
      <c r="DE149" s="402"/>
      <c r="DF149" s="402"/>
      <c r="DG149" s="402"/>
      <c r="DH149" s="402"/>
      <c r="DI149" s="402"/>
      <c r="DJ149" s="402"/>
      <c r="DK149" s="402"/>
      <c r="DL149" s="402"/>
      <c r="DM149" s="402"/>
      <c r="DN149" s="402"/>
      <c r="DO149" s="402"/>
      <c r="DP149" s="402"/>
      <c r="DQ149" s="402"/>
    </row>
    <row r="150" spans="1:121" s="759" customFormat="1" ht="14.45" customHeight="1" x14ac:dyDescent="0.2">
      <c r="A150" s="266">
        <f t="shared" si="2"/>
        <v>15.266666666666667</v>
      </c>
      <c r="B150" s="389">
        <v>42398</v>
      </c>
      <c r="C150" s="390" t="s">
        <v>904</v>
      </c>
      <c r="D150" s="391" t="s">
        <v>904</v>
      </c>
      <c r="E150" s="390" t="s">
        <v>380</v>
      </c>
      <c r="F150" s="262" t="s">
        <v>185</v>
      </c>
      <c r="G150" s="262" t="s">
        <v>225</v>
      </c>
      <c r="H150" s="261"/>
      <c r="I150" s="261"/>
      <c r="J150" s="261"/>
      <c r="K150" s="261"/>
      <c r="L150" s="261"/>
      <c r="M150" s="261"/>
      <c r="N150" s="261"/>
      <c r="O150" s="261"/>
      <c r="P150" s="261"/>
      <c r="Q150" s="261"/>
      <c r="R150" s="261"/>
      <c r="S150" s="261"/>
      <c r="T150" s="261"/>
      <c r="U150" s="261"/>
      <c r="V150" s="766">
        <v>3</v>
      </c>
      <c r="W150" s="261"/>
      <c r="X150" s="261"/>
      <c r="Y150" s="264">
        <f>IF(NFI_Expiration=1,IF($A150&lt;VLOOKUP(H$5,NFI,5,0),1,0)*Table_NFI[[#This Row],[Hygiene Kit]],Table_NFI[Hygiene Kit])</f>
        <v>0</v>
      </c>
      <c r="Z150" s="264">
        <f>IF(NFI_Expiration=1,IF($A150&lt;VLOOKUP(I$5,NFI,5,0),1,0)*Table_NFI[[#This Row],[NFI Core Kit]],Table_NFI[NFI Core Kit])</f>
        <v>0</v>
      </c>
      <c r="AA150" s="264">
        <f>IF(NFI_Expiration=1,IF($A150&lt;VLOOKUP(J$5,NFI,5,0),1,0)*Table_NFI[[#This Row],[Sanitary Kit]],Table_NFI[Sanitary Kit])</f>
        <v>0</v>
      </c>
      <c r="AB150" s="264">
        <f>IF(NFI_Expiration=1,IF($A150&lt;VLOOKUP(K$5,NFI,5,0),1,0)*Table_NFI[[#This Row],[Mosquito net]],Table_NFI[Mosquito net])</f>
        <v>0</v>
      </c>
      <c r="AC150" s="264">
        <f>IF(NFI_Expiration=1,IF($A150&lt;VLOOKUP(L$5,NFI,5,0),1,0)*Table_NFI[[#This Row],[Tarpaulin]],Table_NFI[[#This Row],[Tarpaulin]])</f>
        <v>0</v>
      </c>
      <c r="AD150" s="264">
        <f>IF(NFI_Expiration=1,IF($A150&lt;VLOOKUP(M$5,NFI,5,0),1,0)*Table_NFI[[#This Row],[Blanket]],Table_NFI[[#This Row],[Blanket]])</f>
        <v>0</v>
      </c>
      <c r="AE150" s="264">
        <f>IF(NFI_Expiration=1,IF($A150&lt;VLOOKUP(N$5,NFI,5,0),1,0)*Table_NFI[[#This Row],[Kitchen Set]],Table_NFI[Kitchen Set])</f>
        <v>0</v>
      </c>
      <c r="AF150" s="264">
        <f>IF(NFI_Expiration=1,IF($A150&lt;VLOOKUP(O$5,NFI,5,0),1,0)*Table_NFI[[#This Row],[Clothes Kit]],Table_NFI[Clothes Kit])</f>
        <v>0</v>
      </c>
      <c r="AG150" s="264">
        <f>IF(NFI_Expiration=1,IF($A150&lt;VLOOKUP(P$5,NFI,5,0),1,0)*Table_NFI[[#This Row],[Plastic Bucket]],Table_NFI[Plastic Bucket])</f>
        <v>0</v>
      </c>
      <c r="AH150" s="264">
        <f>IF(NFI_Expiration=1,IF($A150&lt;VLOOKUP(Q$5,NFI,5,0),1,0)*Table_NFI[[#This Row],[Plastic Mat]],Table_NFI[Plastic Mat])*IF(Table_NFI[[#This Row],[Distribution Date]]&gt;"2014-04-01",1,2.5)</f>
        <v>0</v>
      </c>
      <c r="AI150" s="264">
        <f>IF(NFI_Expiration=1,IF($A150&lt;VLOOKUP(R$5,NFI,5,0),1,0)*Table_NFI[[#This Row],[Winter Clothes Adult]],Table_NFI[Winter Clothes Adult])</f>
        <v>0</v>
      </c>
      <c r="AJ150" s="264">
        <f>IF(NFI_Expiration=1,IF($A150&lt;VLOOKUP(S$5,NFI,5,0),1,0)*Table_NFI[[#This Row],[Winter Clothes Children]],Table_NFI[Winter Clothes Children])</f>
        <v>0</v>
      </c>
      <c r="AK150" s="264">
        <f>IF(NFI_Expiration=1,IF($A150&lt;VLOOKUP(T$5,NFI,5,0),1,0)*Table_NFI[[#This Row],[Winter Items Other]],Table_NFI[Winter Items Other])</f>
        <v>0</v>
      </c>
      <c r="AL150" s="264">
        <f>IF(NFI_Expiration=1,IF($A150&lt;VLOOKUP(M$5,NFI,5,0),1,0)*Table_NFI[[#This Row],[Winter Blanket]],Table_NFI[[#This Row],[Winter Blanket]])</f>
        <v>0</v>
      </c>
      <c r="AM150" s="264">
        <f>IF(Table_NFI[[#This Row],[Winter Clothes Adult]]+Table_NFI[[#This Row],[Winter Clothes Children]]+Table_NFI[[#This Row],[Winter Items Other]]+Table_NFI[[#This Row],[Winter Blanket]]&gt;0,1,0)</f>
        <v>0</v>
      </c>
      <c r="AN150" s="296">
        <f>IF(NFI_Expiration=1,IF($A150&lt;VLOOKUP(V$5,NFI,5,0),1,0)*Table_NFI[[#This Row],[Jerry Can]],Table_NFI[Jerry Can])</f>
        <v>0</v>
      </c>
      <c r="AO150" s="296">
        <f>IF(NFI_Expiration=1,IF($A150&lt;VLOOKUP(V$5,NFI,5,0),1,0)*Table_NFI[[#This Row],[Shelter Tool kit]],Table_NFI[Shelter Tool kit])</f>
        <v>0</v>
      </c>
      <c r="AP150" s="296">
        <f>IF(NFI_Expiration=1,IF($A150&lt;VLOOKUP(V$5,NFI,5,0),1,0)*Table_NFI[[#This Row],[Tent]],Table_NFI[Tent])</f>
        <v>0</v>
      </c>
      <c r="AQ150" s="396" t="str">
        <f>IFERROR(VLOOKUP(Table_NFI[[#This Row],[Camp Name]],CL,2,0),"")</f>
        <v>MMR001CMP073</v>
      </c>
      <c r="AR150" s="702">
        <f ca="1">IF(Table_NFI[[#This Row],[Pcode]]="","",IF(OFFSET(CampList[Opening Date],MATCH(Table_NFI[[#This Row],[Pcode]],CampList[CP_Pcode],0)-1,0,1,1)&gt;=NFI_Monitor_Date,1,0))</f>
        <v>0</v>
      </c>
      <c r="AS150" s="396" t="str">
        <f>IFERROR(VLOOKUP(Table_NFI[[#This Row],[Camp Name]],CL,3,0),"")</f>
        <v>Open</v>
      </c>
      <c r="AT150" s="264" t="str">
        <f ca="1">IF(Table_NFI[[#This Row],[Pcode]]="","",OFFSET(CampList[Priority],MATCH(Table_NFI[[#This Row],[Pcode]],CampList[CP_Pcode],0)-1,0,1,1))</f>
        <v>P3</v>
      </c>
      <c r="AU150" s="263">
        <f>IFERROR(Table_NFI[[#This Row],[Kitchen Set]]/VLOOKUP(Table_NFI[[#This Row],[Camp Name]],CL,4,0),"")</f>
        <v>0</v>
      </c>
      <c r="AV150" s="390"/>
      <c r="AW150" s="392"/>
      <c r="AX150" s="402"/>
      <c r="AY150" s="402"/>
      <c r="AZ150" s="402"/>
      <c r="BA150" s="402"/>
      <c r="BB150" s="402"/>
      <c r="BC150" s="402"/>
      <c r="BD150" s="402"/>
      <c r="BE150" s="402"/>
      <c r="BF150" s="402"/>
      <c r="BG150" s="402"/>
      <c r="BH150" s="402"/>
      <c r="BI150" s="402"/>
      <c r="BJ150" s="402"/>
      <c r="BK150" s="402"/>
      <c r="BL150" s="402"/>
      <c r="BM150" s="402"/>
      <c r="BN150" s="402"/>
      <c r="BO150" s="402"/>
      <c r="BP150" s="402"/>
      <c r="BQ150" s="402"/>
      <c r="BR150" s="402"/>
      <c r="BS150" s="402"/>
      <c r="BT150" s="402"/>
      <c r="BU150" s="402"/>
      <c r="BV150" s="402"/>
      <c r="BW150" s="402"/>
      <c r="BX150" s="402"/>
      <c r="BY150" s="402"/>
      <c r="BZ150" s="402"/>
      <c r="CA150" s="402"/>
      <c r="CB150" s="402"/>
      <c r="CC150" s="402"/>
      <c r="CD150" s="402"/>
      <c r="CE150" s="402"/>
      <c r="CF150" s="402"/>
      <c r="CG150" s="402"/>
      <c r="CH150" s="402"/>
      <c r="CI150" s="402"/>
      <c r="CJ150" s="402"/>
      <c r="CK150" s="402"/>
      <c r="CL150" s="402"/>
      <c r="CM150" s="402"/>
      <c r="CN150" s="402"/>
      <c r="CO150" s="402"/>
      <c r="CP150" s="402"/>
      <c r="CQ150" s="402"/>
      <c r="CR150" s="402"/>
      <c r="CS150" s="402"/>
      <c r="CT150" s="402"/>
      <c r="CU150" s="402"/>
      <c r="CV150" s="402"/>
      <c r="CW150" s="402"/>
      <c r="CX150" s="402"/>
      <c r="CY150" s="402"/>
      <c r="CZ150" s="402"/>
      <c r="DA150" s="402"/>
      <c r="DB150" s="402"/>
      <c r="DC150" s="402"/>
      <c r="DD150" s="402"/>
      <c r="DE150" s="402"/>
      <c r="DF150" s="402"/>
      <c r="DG150" s="402"/>
      <c r="DH150" s="402"/>
      <c r="DI150" s="402"/>
      <c r="DJ150" s="402"/>
      <c r="DK150" s="402"/>
      <c r="DL150" s="402"/>
      <c r="DM150" s="402"/>
      <c r="DN150" s="402"/>
      <c r="DO150" s="402"/>
      <c r="DP150" s="402"/>
      <c r="DQ150" s="402"/>
    </row>
    <row r="151" spans="1:121" s="759" customFormat="1" ht="14.45" customHeight="1" x14ac:dyDescent="0.2">
      <c r="A151" s="266">
        <f t="shared" si="2"/>
        <v>15.366666666666667</v>
      </c>
      <c r="B151" s="389">
        <v>42395</v>
      </c>
      <c r="C151" s="390" t="s">
        <v>904</v>
      </c>
      <c r="D151" s="391" t="s">
        <v>904</v>
      </c>
      <c r="E151" s="390" t="s">
        <v>380</v>
      </c>
      <c r="F151" s="262" t="s">
        <v>5</v>
      </c>
      <c r="G151" s="262" t="s">
        <v>22</v>
      </c>
      <c r="H151" s="261"/>
      <c r="I151" s="261"/>
      <c r="J151" s="261"/>
      <c r="K151" s="261"/>
      <c r="L151" s="261"/>
      <c r="M151" s="261"/>
      <c r="N151" s="261"/>
      <c r="O151" s="261"/>
      <c r="P151" s="261"/>
      <c r="Q151" s="261"/>
      <c r="R151" s="261"/>
      <c r="S151" s="261"/>
      <c r="T151" s="261"/>
      <c r="U151" s="261"/>
      <c r="V151" s="766">
        <v>5</v>
      </c>
      <c r="W151" s="261"/>
      <c r="X151" s="261"/>
      <c r="Y151" s="264">
        <f>IF(NFI_Expiration=1,IF($A151&lt;VLOOKUP(H$5,NFI,5,0),1,0)*Table_NFI[[#This Row],[Hygiene Kit]],Table_NFI[Hygiene Kit])</f>
        <v>0</v>
      </c>
      <c r="Z151" s="264">
        <f>IF(NFI_Expiration=1,IF($A151&lt;VLOOKUP(I$5,NFI,5,0),1,0)*Table_NFI[[#This Row],[NFI Core Kit]],Table_NFI[NFI Core Kit])</f>
        <v>0</v>
      </c>
      <c r="AA151" s="264">
        <f>IF(NFI_Expiration=1,IF($A151&lt;VLOOKUP(J$5,NFI,5,0),1,0)*Table_NFI[[#This Row],[Sanitary Kit]],Table_NFI[Sanitary Kit])</f>
        <v>0</v>
      </c>
      <c r="AB151" s="264">
        <f>IF(NFI_Expiration=1,IF($A151&lt;VLOOKUP(K$5,NFI,5,0),1,0)*Table_NFI[[#This Row],[Mosquito net]],Table_NFI[Mosquito net])</f>
        <v>0</v>
      </c>
      <c r="AC151" s="264">
        <f>IF(NFI_Expiration=1,IF($A151&lt;VLOOKUP(L$5,NFI,5,0),1,0)*Table_NFI[[#This Row],[Tarpaulin]],Table_NFI[[#This Row],[Tarpaulin]])</f>
        <v>0</v>
      </c>
      <c r="AD151" s="264">
        <f>IF(NFI_Expiration=1,IF($A151&lt;VLOOKUP(M$5,NFI,5,0),1,0)*Table_NFI[[#This Row],[Blanket]],Table_NFI[[#This Row],[Blanket]])</f>
        <v>0</v>
      </c>
      <c r="AE151" s="264">
        <f>IF(NFI_Expiration=1,IF($A151&lt;VLOOKUP(N$5,NFI,5,0),1,0)*Table_NFI[[#This Row],[Kitchen Set]],Table_NFI[Kitchen Set])</f>
        <v>0</v>
      </c>
      <c r="AF151" s="264">
        <f>IF(NFI_Expiration=1,IF($A151&lt;VLOOKUP(O$5,NFI,5,0),1,0)*Table_NFI[[#This Row],[Clothes Kit]],Table_NFI[Clothes Kit])</f>
        <v>0</v>
      </c>
      <c r="AG151" s="264">
        <f>IF(NFI_Expiration=1,IF($A151&lt;VLOOKUP(P$5,NFI,5,0),1,0)*Table_NFI[[#This Row],[Plastic Bucket]],Table_NFI[Plastic Bucket])</f>
        <v>0</v>
      </c>
      <c r="AH151" s="264">
        <f>IF(NFI_Expiration=1,IF($A151&lt;VLOOKUP(Q$5,NFI,5,0),1,0)*Table_NFI[[#This Row],[Plastic Mat]],Table_NFI[Plastic Mat])*IF(Table_NFI[[#This Row],[Distribution Date]]&gt;"2014-04-01",1,2.5)</f>
        <v>0</v>
      </c>
      <c r="AI151" s="264">
        <f>IF(NFI_Expiration=1,IF($A151&lt;VLOOKUP(R$5,NFI,5,0),1,0)*Table_NFI[[#This Row],[Winter Clothes Adult]],Table_NFI[Winter Clothes Adult])</f>
        <v>0</v>
      </c>
      <c r="AJ151" s="264">
        <f>IF(NFI_Expiration=1,IF($A151&lt;VLOOKUP(S$5,NFI,5,0),1,0)*Table_NFI[[#This Row],[Winter Clothes Children]],Table_NFI[Winter Clothes Children])</f>
        <v>0</v>
      </c>
      <c r="AK151" s="264">
        <f>IF(NFI_Expiration=1,IF($A151&lt;VLOOKUP(T$5,NFI,5,0),1,0)*Table_NFI[[#This Row],[Winter Items Other]],Table_NFI[Winter Items Other])</f>
        <v>0</v>
      </c>
      <c r="AL151" s="264">
        <f>IF(NFI_Expiration=1,IF($A151&lt;VLOOKUP(M$5,NFI,5,0),1,0)*Table_NFI[[#This Row],[Winter Blanket]],Table_NFI[[#This Row],[Winter Blanket]])</f>
        <v>0</v>
      </c>
      <c r="AM151" s="264">
        <f>IF(Table_NFI[[#This Row],[Winter Clothes Adult]]+Table_NFI[[#This Row],[Winter Clothes Children]]+Table_NFI[[#This Row],[Winter Items Other]]+Table_NFI[[#This Row],[Winter Blanket]]&gt;0,1,0)</f>
        <v>0</v>
      </c>
      <c r="AN151" s="296">
        <f>IF(NFI_Expiration=1,IF($A151&lt;VLOOKUP(V$5,NFI,5,0),1,0)*Table_NFI[[#This Row],[Jerry Can]],Table_NFI[Jerry Can])</f>
        <v>0</v>
      </c>
      <c r="AO151" s="296">
        <f>IF(NFI_Expiration=1,IF($A151&lt;VLOOKUP(V$5,NFI,5,0),1,0)*Table_NFI[[#This Row],[Shelter Tool kit]],Table_NFI[Shelter Tool kit])</f>
        <v>0</v>
      </c>
      <c r="AP151" s="296">
        <f>IF(NFI_Expiration=1,IF($A151&lt;VLOOKUP(V$5,NFI,5,0),1,0)*Table_NFI[[#This Row],[Tent]],Table_NFI[Tent])</f>
        <v>0</v>
      </c>
      <c r="AQ151" s="396" t="str">
        <f>IFERROR(VLOOKUP(Table_NFI[[#This Row],[Camp Name]],CL,2,0),"")</f>
        <v>MMR001CMP047</v>
      </c>
      <c r="AR151" s="702">
        <f ca="1">IF(Table_NFI[[#This Row],[Pcode]]="","",IF(OFFSET(CampList[Opening Date],MATCH(Table_NFI[[#This Row],[Pcode]],CampList[CP_Pcode],0)-1,0,1,1)&gt;=NFI_Monitor_Date,1,0))</f>
        <v>0</v>
      </c>
      <c r="AS151" s="396" t="str">
        <f>IFERROR(VLOOKUP(Table_NFI[[#This Row],[Camp Name]],CL,3,0),"")</f>
        <v>Open</v>
      </c>
      <c r="AT151" s="264" t="str">
        <f ca="1">IF(Table_NFI[[#This Row],[Pcode]]="","",OFFSET(CampList[Priority],MATCH(Table_NFI[[#This Row],[Pcode]],CampList[CP_Pcode],0)-1,0,1,1))</f>
        <v>P4</v>
      </c>
      <c r="AU151" s="263">
        <f>IFERROR(Table_NFI[[#This Row],[Kitchen Set]]/VLOOKUP(Table_NFI[[#This Row],[Camp Name]],CL,4,0),"")</f>
        <v>0</v>
      </c>
      <c r="AV151" s="390"/>
      <c r="AW151" s="392"/>
      <c r="AX151" s="402"/>
      <c r="AY151" s="402"/>
      <c r="AZ151" s="402"/>
      <c r="BA151" s="402"/>
      <c r="BB151" s="402"/>
      <c r="BC151" s="402"/>
      <c r="BD151" s="402"/>
      <c r="BE151" s="402"/>
      <c r="BF151" s="402"/>
      <c r="BG151" s="402"/>
      <c r="BH151" s="402"/>
      <c r="BI151" s="402"/>
      <c r="BJ151" s="402"/>
      <c r="BK151" s="402"/>
      <c r="BL151" s="402"/>
      <c r="BM151" s="402"/>
      <c r="BN151" s="402"/>
      <c r="BO151" s="402"/>
      <c r="BP151" s="402"/>
      <c r="BQ151" s="402"/>
      <c r="BR151" s="402"/>
      <c r="BS151" s="402"/>
      <c r="BT151" s="402"/>
      <c r="BU151" s="402"/>
      <c r="BV151" s="402"/>
      <c r="BW151" s="402"/>
      <c r="BX151" s="402"/>
      <c r="BY151" s="402"/>
      <c r="BZ151" s="402"/>
      <c r="CA151" s="402"/>
      <c r="CB151" s="402"/>
      <c r="CC151" s="402"/>
      <c r="CD151" s="402"/>
      <c r="CE151" s="402"/>
      <c r="CF151" s="402"/>
      <c r="CG151" s="402"/>
      <c r="CH151" s="402"/>
      <c r="CI151" s="402"/>
      <c r="CJ151" s="402"/>
      <c r="CK151" s="402"/>
      <c r="CL151" s="402"/>
      <c r="CM151" s="402"/>
      <c r="CN151" s="402"/>
      <c r="CO151" s="402"/>
      <c r="CP151" s="402"/>
      <c r="CQ151" s="402"/>
      <c r="CR151" s="402"/>
      <c r="CS151" s="402"/>
      <c r="CT151" s="402"/>
      <c r="CU151" s="402"/>
      <c r="CV151" s="402"/>
      <c r="CW151" s="402"/>
      <c r="CX151" s="402"/>
      <c r="CY151" s="402"/>
      <c r="CZ151" s="402"/>
      <c r="DA151" s="402"/>
      <c r="DB151" s="402"/>
      <c r="DC151" s="402"/>
      <c r="DD151" s="402"/>
      <c r="DE151" s="402"/>
      <c r="DF151" s="402"/>
      <c r="DG151" s="402"/>
      <c r="DH151" s="402"/>
      <c r="DI151" s="402"/>
      <c r="DJ151" s="402"/>
      <c r="DK151" s="402"/>
      <c r="DL151" s="402"/>
      <c r="DM151" s="402"/>
      <c r="DN151" s="402"/>
      <c r="DO151" s="402"/>
      <c r="DP151" s="402"/>
      <c r="DQ151" s="402"/>
    </row>
    <row r="152" spans="1:121" s="759" customFormat="1" ht="14.45" customHeight="1" x14ac:dyDescent="0.2">
      <c r="A152" s="266">
        <f t="shared" si="2"/>
        <v>15.5</v>
      </c>
      <c r="B152" s="389">
        <v>42391</v>
      </c>
      <c r="C152" s="390" t="s">
        <v>904</v>
      </c>
      <c r="D152" s="390" t="s">
        <v>904</v>
      </c>
      <c r="E152" s="390" t="s">
        <v>380</v>
      </c>
      <c r="F152" s="390" t="s">
        <v>5</v>
      </c>
      <c r="G152" s="390" t="s">
        <v>366</v>
      </c>
      <c r="H152" s="261"/>
      <c r="I152" s="261"/>
      <c r="J152" s="261"/>
      <c r="K152" s="261"/>
      <c r="L152" s="261"/>
      <c r="M152" s="261"/>
      <c r="N152" s="261"/>
      <c r="O152" s="261"/>
      <c r="P152" s="261"/>
      <c r="Q152" s="261"/>
      <c r="R152" s="261"/>
      <c r="S152" s="261"/>
      <c r="T152" s="261"/>
      <c r="U152" s="261"/>
      <c r="V152" s="766">
        <v>4</v>
      </c>
      <c r="W152" s="261"/>
      <c r="X152" s="261"/>
      <c r="Y152" s="264">
        <f>IF(NFI_Expiration=1,IF($A152&lt;VLOOKUP(H$5,NFI,5,0),1,0)*Table_NFI[[#This Row],[Hygiene Kit]],Table_NFI[Hygiene Kit])</f>
        <v>0</v>
      </c>
      <c r="Z152" s="264">
        <f>IF(NFI_Expiration=1,IF($A152&lt;VLOOKUP(I$5,NFI,5,0),1,0)*Table_NFI[[#This Row],[NFI Core Kit]],Table_NFI[NFI Core Kit])</f>
        <v>0</v>
      </c>
      <c r="AA152" s="264">
        <f>IF(NFI_Expiration=1,IF($A152&lt;VLOOKUP(J$5,NFI,5,0),1,0)*Table_NFI[[#This Row],[Sanitary Kit]],Table_NFI[Sanitary Kit])</f>
        <v>0</v>
      </c>
      <c r="AB152" s="264">
        <f>IF(NFI_Expiration=1,IF($A152&lt;VLOOKUP(K$5,NFI,5,0),1,0)*Table_NFI[[#This Row],[Mosquito net]],Table_NFI[Mosquito net])</f>
        <v>0</v>
      </c>
      <c r="AC152" s="264">
        <f>IF(NFI_Expiration=1,IF($A152&lt;VLOOKUP(L$5,NFI,5,0),1,0)*Table_NFI[[#This Row],[Tarpaulin]],Table_NFI[[#This Row],[Tarpaulin]])</f>
        <v>0</v>
      </c>
      <c r="AD152" s="264">
        <f>IF(NFI_Expiration=1,IF($A152&lt;VLOOKUP(M$5,NFI,5,0),1,0)*Table_NFI[[#This Row],[Blanket]],Table_NFI[[#This Row],[Blanket]])</f>
        <v>0</v>
      </c>
      <c r="AE152" s="264">
        <f>IF(NFI_Expiration=1,IF($A152&lt;VLOOKUP(N$5,NFI,5,0),1,0)*Table_NFI[[#This Row],[Kitchen Set]],Table_NFI[Kitchen Set])</f>
        <v>0</v>
      </c>
      <c r="AF152" s="264">
        <f>IF(NFI_Expiration=1,IF($A152&lt;VLOOKUP(O$5,NFI,5,0),1,0)*Table_NFI[[#This Row],[Clothes Kit]],Table_NFI[Clothes Kit])</f>
        <v>0</v>
      </c>
      <c r="AG152" s="264">
        <f>IF(NFI_Expiration=1,IF($A152&lt;VLOOKUP(P$5,NFI,5,0),1,0)*Table_NFI[[#This Row],[Plastic Bucket]],Table_NFI[Plastic Bucket])</f>
        <v>0</v>
      </c>
      <c r="AH152" s="264">
        <f>IF(NFI_Expiration=1,IF($A152&lt;VLOOKUP(Q$5,NFI,5,0),1,0)*Table_NFI[[#This Row],[Plastic Mat]],Table_NFI[Plastic Mat])*IF(Table_NFI[[#This Row],[Distribution Date]]&gt;"2014-04-01",1,2.5)</f>
        <v>0</v>
      </c>
      <c r="AI152" s="264">
        <f>IF(NFI_Expiration=1,IF($A152&lt;VLOOKUP(R$5,NFI,5,0),1,0)*Table_NFI[[#This Row],[Winter Clothes Adult]],Table_NFI[Winter Clothes Adult])</f>
        <v>0</v>
      </c>
      <c r="AJ152" s="264">
        <f>IF(NFI_Expiration=1,IF($A152&lt;VLOOKUP(S$5,NFI,5,0),1,0)*Table_NFI[[#This Row],[Winter Clothes Children]],Table_NFI[Winter Clothes Children])</f>
        <v>0</v>
      </c>
      <c r="AK152" s="264">
        <f>IF(NFI_Expiration=1,IF($A152&lt;VLOOKUP(T$5,NFI,5,0),1,0)*Table_NFI[[#This Row],[Winter Items Other]],Table_NFI[Winter Items Other])</f>
        <v>0</v>
      </c>
      <c r="AL152" s="264">
        <f>IF(NFI_Expiration=1,IF($A152&lt;VLOOKUP(M$5,NFI,5,0),1,0)*Table_NFI[[#This Row],[Winter Blanket]],Table_NFI[[#This Row],[Winter Blanket]])</f>
        <v>0</v>
      </c>
      <c r="AM152" s="264">
        <f>IF(Table_NFI[[#This Row],[Winter Clothes Adult]]+Table_NFI[[#This Row],[Winter Clothes Children]]+Table_NFI[[#This Row],[Winter Items Other]]+Table_NFI[[#This Row],[Winter Blanket]]&gt;0,1,0)</f>
        <v>0</v>
      </c>
      <c r="AN152" s="296">
        <f>IF(NFI_Expiration=1,IF($A152&lt;VLOOKUP(V$5,NFI,5,0),1,0)*Table_NFI[[#This Row],[Jerry Can]],Table_NFI[Jerry Can])</f>
        <v>0</v>
      </c>
      <c r="AO152" s="296">
        <f>IF(NFI_Expiration=1,IF($A152&lt;VLOOKUP(V$5,NFI,5,0),1,0)*Table_NFI[[#This Row],[Shelter Tool kit]],Table_NFI[Shelter Tool kit])</f>
        <v>0</v>
      </c>
      <c r="AP152" s="296">
        <f>IF(NFI_Expiration=1,IF($A152&lt;VLOOKUP(V$5,NFI,5,0),1,0)*Table_NFI[[#This Row],[Tent]],Table_NFI[Tent])</f>
        <v>0</v>
      </c>
      <c r="AQ152" s="396" t="str">
        <f>IFERROR(VLOOKUP(Table_NFI[[#This Row],[Camp Name]],CL,2,0),"")</f>
        <v>MMR001CMP193</v>
      </c>
      <c r="AR152" s="702">
        <f ca="1">IF(Table_NFI[[#This Row],[Pcode]]="","",IF(OFFSET(CampList[Opening Date],MATCH(Table_NFI[[#This Row],[Pcode]],CampList[CP_Pcode],0)-1,0,1,1)&gt;=NFI_Monitor_Date,1,0))</f>
        <v>0</v>
      </c>
      <c r="AS152" s="396" t="str">
        <f>IFERROR(VLOOKUP(Table_NFI[[#This Row],[Camp Name]],CL,3,0),"")</f>
        <v>Open</v>
      </c>
      <c r="AT152" s="264" t="str">
        <f ca="1">IF(Table_NFI[[#This Row],[Pcode]]="","",OFFSET(CampList[Priority],MATCH(Table_NFI[[#This Row],[Pcode]],CampList[CP_Pcode],0)-1,0,1,1))</f>
        <v>P4</v>
      </c>
      <c r="AU152" s="263">
        <f>IFERROR(Table_NFI[[#This Row],[Kitchen Set]]/VLOOKUP(Table_NFI[[#This Row],[Camp Name]],CL,4,0),"")</f>
        <v>0</v>
      </c>
      <c r="AV152" s="390"/>
      <c r="AW152" s="392"/>
      <c r="AX152" s="402"/>
      <c r="AY152" s="402"/>
      <c r="AZ152" s="402"/>
      <c r="BA152" s="402"/>
      <c r="BB152" s="402"/>
      <c r="BC152" s="402"/>
      <c r="BD152" s="402"/>
      <c r="BE152" s="402"/>
      <c r="BF152" s="402"/>
      <c r="BG152" s="402"/>
      <c r="BH152" s="402"/>
      <c r="BI152" s="402"/>
      <c r="BJ152" s="402"/>
      <c r="BK152" s="402"/>
      <c r="BL152" s="402"/>
      <c r="BM152" s="402"/>
      <c r="BN152" s="402"/>
      <c r="BO152" s="402"/>
      <c r="BP152" s="402"/>
      <c r="BQ152" s="402"/>
      <c r="BR152" s="402"/>
      <c r="BS152" s="402"/>
      <c r="BT152" s="402"/>
      <c r="BU152" s="402"/>
      <c r="BV152" s="402"/>
      <c r="BW152" s="402"/>
      <c r="BX152" s="402"/>
      <c r="BY152" s="402"/>
      <c r="BZ152" s="402"/>
      <c r="CA152" s="402"/>
      <c r="CB152" s="402"/>
      <c r="CC152" s="402"/>
      <c r="CD152" s="402"/>
      <c r="CE152" s="402"/>
      <c r="CF152" s="402"/>
      <c r="CG152" s="402"/>
      <c r="CH152" s="402"/>
      <c r="CI152" s="402"/>
      <c r="CJ152" s="402"/>
      <c r="CK152" s="402"/>
      <c r="CL152" s="402"/>
      <c r="CM152" s="402"/>
      <c r="CN152" s="402"/>
      <c r="CO152" s="402"/>
      <c r="CP152" s="402"/>
      <c r="CQ152" s="402"/>
      <c r="CR152" s="402"/>
      <c r="CS152" s="402"/>
      <c r="CT152" s="402"/>
      <c r="CU152" s="402"/>
      <c r="CV152" s="402"/>
      <c r="CW152" s="402"/>
      <c r="CX152" s="402"/>
      <c r="CY152" s="402"/>
      <c r="CZ152" s="402"/>
      <c r="DA152" s="402"/>
      <c r="DB152" s="402"/>
      <c r="DC152" s="402"/>
      <c r="DD152" s="402"/>
      <c r="DE152" s="402"/>
      <c r="DF152" s="402"/>
      <c r="DG152" s="402"/>
      <c r="DH152" s="402"/>
      <c r="DI152" s="402"/>
      <c r="DJ152" s="402"/>
      <c r="DK152" s="402"/>
      <c r="DL152" s="402"/>
      <c r="DM152" s="402"/>
      <c r="DN152" s="402"/>
      <c r="DO152" s="402"/>
      <c r="DP152" s="402"/>
      <c r="DQ152" s="402"/>
    </row>
    <row r="153" spans="1:121" s="759" customFormat="1" ht="14.45" customHeight="1" x14ac:dyDescent="0.25">
      <c r="A153" s="416">
        <f t="shared" si="2"/>
        <v>15.966666666666667</v>
      </c>
      <c r="B153" s="389">
        <v>42377</v>
      </c>
      <c r="C153" s="394" t="s">
        <v>451</v>
      </c>
      <c r="D153" s="394" t="s">
        <v>459</v>
      </c>
      <c r="E153" s="390" t="s">
        <v>552</v>
      </c>
      <c r="F153" s="390" t="s">
        <v>298</v>
      </c>
      <c r="G153" s="394" t="s">
        <v>820</v>
      </c>
      <c r="H153" s="767"/>
      <c r="I153" s="767"/>
      <c r="J153" s="767"/>
      <c r="K153" s="767">
        <v>35</v>
      </c>
      <c r="L153" s="767"/>
      <c r="M153" s="767">
        <v>35</v>
      </c>
      <c r="N153" s="767">
        <v>18</v>
      </c>
      <c r="O153" s="767"/>
      <c r="P153" s="767">
        <v>18</v>
      </c>
      <c r="Q153" s="767">
        <v>82</v>
      </c>
      <c r="R153" s="767"/>
      <c r="S153" s="767"/>
      <c r="T153" s="767"/>
      <c r="U153" s="767"/>
      <c r="V153" s="768">
        <v>18</v>
      </c>
      <c r="W153" s="767"/>
      <c r="X153" s="767"/>
      <c r="Y153" s="418">
        <f>IF(NFI_Expiration=1,IF($A153&lt;VLOOKUP(H$5,NFI,5,0),1,0)*Table_NFI[[#This Row],[Hygiene Kit]],Table_NFI[Hygiene Kit])</f>
        <v>0</v>
      </c>
      <c r="Z153" s="418">
        <f>IF(NFI_Expiration=1,IF($A153&lt;VLOOKUP(I$5,NFI,5,0),1,0)*Table_NFI[[#This Row],[NFI Core Kit]],Table_NFI[NFI Core Kit])</f>
        <v>0</v>
      </c>
      <c r="AA153" s="418">
        <f>IF(NFI_Expiration=1,IF($A153&lt;VLOOKUP(J$5,NFI,5,0),1,0)*Table_NFI[[#This Row],[Sanitary Kit]],Table_NFI[Sanitary Kit])</f>
        <v>0</v>
      </c>
      <c r="AB153" s="418">
        <f>IF(NFI_Expiration=1,IF($A153&lt;VLOOKUP(K$5,NFI,5,0),1,0)*Table_NFI[[#This Row],[Mosquito net]],Table_NFI[Mosquito net])</f>
        <v>0</v>
      </c>
      <c r="AC153" s="418">
        <f>IF(NFI_Expiration=1,IF($A153&lt;VLOOKUP(L$5,NFI,5,0),1,0)*Table_NFI[[#This Row],[Tarpaulin]],Table_NFI[[#This Row],[Tarpaulin]])</f>
        <v>0</v>
      </c>
      <c r="AD153" s="418">
        <f>IF(NFI_Expiration=1,IF($A153&lt;VLOOKUP(M$5,NFI,5,0),1,0)*Table_NFI[[#This Row],[Blanket]],Table_NFI[[#This Row],[Blanket]])</f>
        <v>0</v>
      </c>
      <c r="AE153" s="418">
        <f>IF(NFI_Expiration=1,IF($A153&lt;VLOOKUP(N$5,NFI,5,0),1,0)*Table_NFI[[#This Row],[Kitchen Set]],Table_NFI[Kitchen Set])</f>
        <v>0</v>
      </c>
      <c r="AF153" s="418">
        <f>IF(NFI_Expiration=1,IF($A153&lt;VLOOKUP(O$5,NFI,5,0),1,0)*Table_NFI[[#This Row],[Clothes Kit]],Table_NFI[Clothes Kit])</f>
        <v>0</v>
      </c>
      <c r="AG153" s="418">
        <f>IF(NFI_Expiration=1,IF($A153&lt;VLOOKUP(P$5,NFI,5,0),1,0)*Table_NFI[[#This Row],[Plastic Bucket]],Table_NFI[Plastic Bucket])</f>
        <v>0</v>
      </c>
      <c r="AH153" s="418">
        <f>IF(NFI_Expiration=1,IF($A153&lt;VLOOKUP(Q$5,NFI,5,0),1,0)*Table_NFI[[#This Row],[Plastic Mat]],Table_NFI[Plastic Mat])*IF(Table_NFI[[#This Row],[Distribution Date]]&gt;"2014-04-01",1,2.5)</f>
        <v>0</v>
      </c>
      <c r="AI153" s="418">
        <f>IF(NFI_Expiration=1,IF($A153&lt;VLOOKUP(R$5,NFI,5,0),1,0)*Table_NFI[[#This Row],[Winter Clothes Adult]],Table_NFI[Winter Clothes Adult])</f>
        <v>0</v>
      </c>
      <c r="AJ153" s="418">
        <f>IF(NFI_Expiration=1,IF($A153&lt;VLOOKUP(S$5,NFI,5,0),1,0)*Table_NFI[[#This Row],[Winter Clothes Children]],Table_NFI[Winter Clothes Children])</f>
        <v>0</v>
      </c>
      <c r="AK153" s="418">
        <f>IF(NFI_Expiration=1,IF($A153&lt;VLOOKUP(T$5,NFI,5,0),1,0)*Table_NFI[[#This Row],[Winter Items Other]],Table_NFI[Winter Items Other])</f>
        <v>0</v>
      </c>
      <c r="AL153" s="418">
        <f>IF(NFI_Expiration=1,IF($A153&lt;VLOOKUP(M$5,NFI,5,0),1,0)*Table_NFI[[#This Row],[Winter Blanket]],Table_NFI[[#This Row],[Winter Blanket]])</f>
        <v>0</v>
      </c>
      <c r="AM153" s="418">
        <f>IF(Table_NFI[[#This Row],[Winter Clothes Adult]]+Table_NFI[[#This Row],[Winter Clothes Children]]+Table_NFI[[#This Row],[Winter Items Other]]+Table_NFI[[#This Row],[Winter Blanket]]&gt;0,1,0)</f>
        <v>0</v>
      </c>
      <c r="AN153" s="419">
        <f>IF(NFI_Expiration=1,IF($A153&lt;VLOOKUP(V$5,NFI,5,0),1,0)*Table_NFI[[#This Row],[Jerry Can]],Table_NFI[Jerry Can])</f>
        <v>0</v>
      </c>
      <c r="AO153" s="419">
        <f>IF(NFI_Expiration=1,IF($A153&lt;VLOOKUP(V$5,NFI,5,0),1,0)*Table_NFI[[#This Row],[Shelter Tool kit]],Table_NFI[Shelter Tool kit])</f>
        <v>0</v>
      </c>
      <c r="AP153" s="419">
        <f>IF(NFI_Expiration=1,IF($A153&lt;VLOOKUP(V$5,NFI,5,0),1,0)*Table_NFI[[#This Row],[Tent]],Table_NFI[Tent])</f>
        <v>0</v>
      </c>
      <c r="AQ153" s="420" t="str">
        <f>IFERROR(VLOOKUP(Table_NFI[[#This Row],[Camp Name]],CL,2,0),"")</f>
        <v>MMR015CMP014</v>
      </c>
      <c r="AR153" s="702">
        <f ca="1">IF(Table_NFI[[#This Row],[Pcode]]="","",IF(OFFSET(CampList[Opening Date],MATCH(Table_NFI[[#This Row],[Pcode]],CampList[CP_Pcode],0)-1,0,1,1)&gt;=NFI_Monitor_Date,1,0))</f>
        <v>0</v>
      </c>
      <c r="AS153" s="420" t="str">
        <f>IFERROR(VLOOKUP(Table_NFI[[#This Row],[Camp Name]],CL,3,0),"")</f>
        <v>Open</v>
      </c>
      <c r="AT153" s="418" t="str">
        <f ca="1">IF(Table_NFI[[#This Row],[Pcode]]="","",OFFSET(CampList[Priority],MATCH(Table_NFI[[#This Row],[Pcode]],CampList[CP_Pcode],0)-1,0,1,1))</f>
        <v>P3</v>
      </c>
      <c r="AU153" s="421">
        <f>IFERROR(Table_NFI[[#This Row],[Kitchen Set]]/VLOOKUP(Table_NFI[[#This Row],[Camp Name]],CL,4,0),"")</f>
        <v>4.3902439024390245E-4</v>
      </c>
      <c r="AV153" s="417"/>
      <c r="AW153" s="425"/>
      <c r="AX153" s="402"/>
      <c r="AY153" s="402"/>
      <c r="AZ153" s="402"/>
      <c r="BA153" s="402"/>
      <c r="BB153" s="402"/>
      <c r="BC153" s="402"/>
      <c r="BD153" s="402"/>
      <c r="BE153" s="402"/>
      <c r="BF153" s="402"/>
      <c r="BG153" s="402"/>
      <c r="BH153" s="402"/>
      <c r="BI153" s="402"/>
      <c r="BJ153" s="402"/>
      <c r="BK153" s="402"/>
      <c r="BL153" s="402"/>
      <c r="BM153" s="402"/>
      <c r="BN153" s="402"/>
      <c r="BO153" s="402"/>
      <c r="BP153" s="402"/>
      <c r="BQ153" s="402"/>
      <c r="BR153" s="402"/>
      <c r="BS153" s="402"/>
      <c r="BT153" s="402"/>
      <c r="BU153" s="402"/>
      <c r="BV153" s="402"/>
      <c r="BW153" s="402"/>
      <c r="BX153" s="402"/>
      <c r="BY153" s="402"/>
      <c r="BZ153" s="402"/>
      <c r="CA153" s="402"/>
      <c r="CB153" s="402"/>
      <c r="CC153" s="402"/>
      <c r="CD153" s="402"/>
      <c r="CE153" s="402"/>
      <c r="CF153" s="402"/>
      <c r="CG153" s="402"/>
      <c r="CH153" s="402"/>
      <c r="CI153" s="402"/>
      <c r="CJ153" s="402"/>
      <c r="CK153" s="402"/>
      <c r="CL153" s="402"/>
      <c r="CM153" s="402"/>
      <c r="CN153" s="402"/>
      <c r="CO153" s="402"/>
      <c r="CP153" s="402"/>
      <c r="CQ153" s="402"/>
      <c r="CR153" s="402"/>
      <c r="CS153" s="402"/>
      <c r="CT153" s="402"/>
      <c r="CU153" s="402"/>
      <c r="CV153" s="402"/>
      <c r="CW153" s="402"/>
      <c r="CX153" s="402"/>
      <c r="CY153" s="402"/>
      <c r="CZ153" s="402"/>
      <c r="DA153" s="402"/>
      <c r="DB153" s="402"/>
      <c r="DC153" s="402"/>
      <c r="DD153" s="402"/>
      <c r="DE153" s="402"/>
      <c r="DF153" s="402"/>
      <c r="DG153" s="402"/>
      <c r="DH153" s="402"/>
      <c r="DI153" s="402"/>
      <c r="DJ153" s="402"/>
      <c r="DK153" s="402"/>
      <c r="DL153" s="402"/>
      <c r="DM153" s="402"/>
      <c r="DN153" s="402"/>
      <c r="DO153" s="402"/>
      <c r="DP153" s="402"/>
      <c r="DQ153" s="402"/>
    </row>
    <row r="154" spans="1:121" s="759" customFormat="1" ht="14.45" customHeight="1" x14ac:dyDescent="0.25">
      <c r="A154" s="266">
        <f t="shared" si="2"/>
        <v>16.166666666666668</v>
      </c>
      <c r="B154" s="389">
        <v>42371</v>
      </c>
      <c r="C154" s="390" t="s">
        <v>451</v>
      </c>
      <c r="D154" s="390" t="s">
        <v>459</v>
      </c>
      <c r="E154" s="390" t="s">
        <v>552</v>
      </c>
      <c r="F154" s="390" t="s">
        <v>289</v>
      </c>
      <c r="G154" s="390"/>
      <c r="H154" s="261"/>
      <c r="I154" s="261"/>
      <c r="J154" s="261"/>
      <c r="K154" s="261"/>
      <c r="L154" s="261"/>
      <c r="M154" s="261"/>
      <c r="N154" s="261"/>
      <c r="O154" s="261"/>
      <c r="P154" s="261"/>
      <c r="Q154" s="261"/>
      <c r="R154" s="261"/>
      <c r="S154" s="261"/>
      <c r="T154" s="261"/>
      <c r="U154" s="261"/>
      <c r="V154" s="762"/>
      <c r="W154" s="261"/>
      <c r="X154" s="261">
        <v>37</v>
      </c>
      <c r="Y154" s="264">
        <f>IF(NFI_Expiration=1,IF($A154&lt;VLOOKUP(H$5,NFI,5,0),1,0)*Table_NFI[[#This Row],[Hygiene Kit]],Table_NFI[Hygiene Kit])</f>
        <v>0</v>
      </c>
      <c r="Z154" s="264">
        <f>IF(NFI_Expiration=1,IF($A154&lt;VLOOKUP(I$5,NFI,5,0),1,0)*Table_NFI[[#This Row],[NFI Core Kit]],Table_NFI[NFI Core Kit])</f>
        <v>0</v>
      </c>
      <c r="AA154" s="264">
        <f>IF(NFI_Expiration=1,IF($A154&lt;VLOOKUP(J$5,NFI,5,0),1,0)*Table_NFI[[#This Row],[Sanitary Kit]],Table_NFI[Sanitary Kit])</f>
        <v>0</v>
      </c>
      <c r="AB154" s="264">
        <f>IF(NFI_Expiration=1,IF($A154&lt;VLOOKUP(K$5,NFI,5,0),1,0)*Table_NFI[[#This Row],[Mosquito net]],Table_NFI[Mosquito net])</f>
        <v>0</v>
      </c>
      <c r="AC154" s="264">
        <f>IF(NFI_Expiration=1,IF($A154&lt;VLOOKUP(L$5,NFI,5,0),1,0)*Table_NFI[[#This Row],[Tarpaulin]],Table_NFI[[#This Row],[Tarpaulin]])</f>
        <v>0</v>
      </c>
      <c r="AD154" s="264">
        <f>IF(NFI_Expiration=1,IF($A154&lt;VLOOKUP(M$5,NFI,5,0),1,0)*Table_NFI[[#This Row],[Blanket]],Table_NFI[[#This Row],[Blanket]])</f>
        <v>0</v>
      </c>
      <c r="AE154" s="264">
        <f>IF(NFI_Expiration=1,IF($A154&lt;VLOOKUP(N$5,NFI,5,0),1,0)*Table_NFI[[#This Row],[Kitchen Set]],Table_NFI[Kitchen Set])</f>
        <v>0</v>
      </c>
      <c r="AF154" s="264">
        <f>IF(NFI_Expiration=1,IF($A154&lt;VLOOKUP(O$5,NFI,5,0),1,0)*Table_NFI[[#This Row],[Clothes Kit]],Table_NFI[Clothes Kit])</f>
        <v>0</v>
      </c>
      <c r="AG154" s="264">
        <f>IF(NFI_Expiration=1,IF($A154&lt;VLOOKUP(P$5,NFI,5,0),1,0)*Table_NFI[[#This Row],[Plastic Bucket]],Table_NFI[Plastic Bucket])</f>
        <v>0</v>
      </c>
      <c r="AH154" s="264">
        <f>IF(NFI_Expiration=1,IF($A154&lt;VLOOKUP(Q$5,NFI,5,0),1,0)*Table_NFI[[#This Row],[Plastic Mat]],Table_NFI[Plastic Mat])*IF(Table_NFI[[#This Row],[Distribution Date]]&gt;"2014-04-01",1,2.5)</f>
        <v>0</v>
      </c>
      <c r="AI154" s="264">
        <f>IF(NFI_Expiration=1,IF($A154&lt;VLOOKUP(R$5,NFI,5,0),1,0)*Table_NFI[[#This Row],[Winter Clothes Adult]],Table_NFI[Winter Clothes Adult])</f>
        <v>0</v>
      </c>
      <c r="AJ154" s="264">
        <f>IF(NFI_Expiration=1,IF($A154&lt;VLOOKUP(S$5,NFI,5,0),1,0)*Table_NFI[[#This Row],[Winter Clothes Children]],Table_NFI[Winter Clothes Children])</f>
        <v>0</v>
      </c>
      <c r="AK154" s="264">
        <f>IF(NFI_Expiration=1,IF($A154&lt;VLOOKUP(T$5,NFI,5,0),1,0)*Table_NFI[[#This Row],[Winter Items Other]],Table_NFI[Winter Items Other])</f>
        <v>0</v>
      </c>
      <c r="AL154" s="264">
        <f>IF(NFI_Expiration=1,IF($A154&lt;VLOOKUP(M$5,NFI,5,0),1,0)*Table_NFI[[#This Row],[Winter Blanket]],Table_NFI[[#This Row],[Winter Blanket]])</f>
        <v>0</v>
      </c>
      <c r="AM154" s="264">
        <f>IF(Table_NFI[[#This Row],[Winter Clothes Adult]]+Table_NFI[[#This Row],[Winter Clothes Children]]+Table_NFI[[#This Row],[Winter Items Other]]+Table_NFI[[#This Row],[Winter Blanket]]&gt;0,1,0)</f>
        <v>0</v>
      </c>
      <c r="AN154" s="296">
        <f>IF(NFI_Expiration=1,IF($A154&lt;VLOOKUP(V$5,NFI,5,0),1,0)*Table_NFI[[#This Row],[Jerry Can]],Table_NFI[Jerry Can])</f>
        <v>0</v>
      </c>
      <c r="AO154" s="296">
        <f>IF(NFI_Expiration=1,IF($A154&lt;VLOOKUP(V$5,NFI,5,0),1,0)*Table_NFI[[#This Row],[Shelter Tool kit]],Table_NFI[Shelter Tool kit])</f>
        <v>0</v>
      </c>
      <c r="AP154" s="296">
        <f>IF(NFI_Expiration=1,IF($A154&lt;VLOOKUP(V$5,NFI,5,0),1,0)*Table_NFI[[#This Row],[Tent]],Table_NFI[Tent])</f>
        <v>0</v>
      </c>
      <c r="AQ154" s="396" t="str">
        <f>IFERROR(VLOOKUP(Table_NFI[[#This Row],[Camp Name]],CL,2,0),"")</f>
        <v/>
      </c>
      <c r="AR154" s="702" t="str">
        <f ca="1">IF(Table_NFI[[#This Row],[Pcode]]="","",IF(OFFSET(CampList[Opening Date],MATCH(Table_NFI[[#This Row],[Pcode]],CampList[CP_Pcode],0)-1,0,1,1)&gt;=NFI_Monitor_Date,1,0))</f>
        <v/>
      </c>
      <c r="AS154" s="559" t="str">
        <f>IFERROR(VLOOKUP(Table_NFI[[#This Row],[Camp Name]],CL,3,0),"")</f>
        <v/>
      </c>
      <c r="AT154" s="264" t="str">
        <f ca="1">IF(Table_NFI[[#This Row],[Pcode]]="","",OFFSET(CampList[Priority],MATCH(Table_NFI[[#This Row],[Pcode]],CampList[CP_Pcode],0)-1,0,1,1))</f>
        <v/>
      </c>
      <c r="AU154" s="421" t="str">
        <f>IFERROR(Table_NFI[[#This Row],[Kitchen Set]]/VLOOKUP(Table_NFI[[#This Row],[Camp Name]],CL,4,0),"")</f>
        <v/>
      </c>
      <c r="AV154" s="390"/>
      <c r="AW154" s="392" t="s">
        <v>1333</v>
      </c>
      <c r="AX154" s="402"/>
      <c r="AY154" s="402"/>
      <c r="AZ154" s="402"/>
      <c r="BA154" s="402"/>
      <c r="BB154" s="402"/>
      <c r="BC154" s="402"/>
      <c r="BD154" s="402"/>
      <c r="BE154" s="402"/>
      <c r="BF154" s="402"/>
      <c r="BG154" s="402"/>
      <c r="BH154" s="402"/>
      <c r="BI154" s="402"/>
      <c r="BJ154" s="402"/>
      <c r="BK154" s="402"/>
      <c r="BL154" s="402"/>
      <c r="BM154" s="402"/>
      <c r="BN154" s="402"/>
      <c r="BO154" s="402"/>
      <c r="BP154" s="402"/>
      <c r="BQ154" s="402"/>
      <c r="BR154" s="402"/>
      <c r="BS154" s="402"/>
      <c r="BT154" s="402"/>
      <c r="BU154" s="402"/>
      <c r="BV154" s="402"/>
      <c r="BW154" s="402"/>
      <c r="BX154" s="402"/>
      <c r="BY154" s="402"/>
      <c r="BZ154" s="402"/>
      <c r="CA154" s="402"/>
      <c r="CB154" s="402"/>
      <c r="CC154" s="402"/>
      <c r="CD154" s="402"/>
      <c r="CE154" s="402"/>
      <c r="CF154" s="402"/>
      <c r="CG154" s="402"/>
      <c r="CH154" s="402"/>
      <c r="CI154" s="402"/>
      <c r="CJ154" s="402"/>
      <c r="CK154" s="402"/>
      <c r="CL154" s="402"/>
      <c r="CM154" s="402"/>
      <c r="CN154" s="402"/>
      <c r="CO154" s="402"/>
      <c r="CP154" s="402"/>
      <c r="CQ154" s="402"/>
      <c r="CR154" s="402"/>
      <c r="CS154" s="402"/>
      <c r="CT154" s="402"/>
      <c r="CU154" s="402"/>
      <c r="CV154" s="402"/>
      <c r="CW154" s="402"/>
      <c r="CX154" s="402"/>
      <c r="CY154" s="402"/>
      <c r="CZ154" s="402"/>
      <c r="DA154" s="402"/>
      <c r="DB154" s="402"/>
      <c r="DC154" s="402"/>
      <c r="DD154" s="402"/>
      <c r="DE154" s="402"/>
      <c r="DF154" s="402"/>
      <c r="DG154" s="402"/>
      <c r="DH154" s="402"/>
      <c r="DI154" s="402"/>
      <c r="DJ154" s="402"/>
      <c r="DK154" s="402"/>
      <c r="DL154" s="402"/>
      <c r="DM154" s="402"/>
      <c r="DN154" s="402"/>
      <c r="DO154" s="402"/>
      <c r="DP154" s="402"/>
      <c r="DQ154" s="402"/>
    </row>
    <row r="155" spans="1:121" s="94" customFormat="1" ht="14.45" customHeight="1" x14ac:dyDescent="0.25">
      <c r="A155" s="266">
        <f t="shared" si="2"/>
        <v>16.666666666666668</v>
      </c>
      <c r="B155" s="389">
        <v>42356</v>
      </c>
      <c r="C155" s="390" t="s">
        <v>904</v>
      </c>
      <c r="D155" s="390" t="s">
        <v>904</v>
      </c>
      <c r="E155" s="390" t="s">
        <v>380</v>
      </c>
      <c r="F155" s="390" t="s">
        <v>5</v>
      </c>
      <c r="G155" s="390" t="s">
        <v>366</v>
      </c>
      <c r="H155" s="261"/>
      <c r="I155" s="261"/>
      <c r="J155" s="261"/>
      <c r="K155" s="261"/>
      <c r="L155" s="261"/>
      <c r="M155" s="261"/>
      <c r="N155" s="261"/>
      <c r="O155" s="261"/>
      <c r="P155" s="261"/>
      <c r="Q155" s="261"/>
      <c r="R155" s="261"/>
      <c r="S155" s="261"/>
      <c r="T155" s="261"/>
      <c r="U155" s="261"/>
      <c r="V155" s="762"/>
      <c r="W155" s="261">
        <v>24</v>
      </c>
      <c r="X155" s="261"/>
      <c r="Y155" s="264">
        <f>IF(NFI_Expiration=1,IF($A155&lt;VLOOKUP(H$5,NFI,5,0),1,0)*Table_NFI[[#This Row],[Hygiene Kit]],Table_NFI[Hygiene Kit])</f>
        <v>0</v>
      </c>
      <c r="Z155" s="264">
        <f>IF(NFI_Expiration=1,IF($A155&lt;VLOOKUP(I$5,NFI,5,0),1,0)*Table_NFI[[#This Row],[NFI Core Kit]],Table_NFI[NFI Core Kit])</f>
        <v>0</v>
      </c>
      <c r="AA155" s="264">
        <f>IF(NFI_Expiration=1,IF($A155&lt;VLOOKUP(J$5,NFI,5,0),1,0)*Table_NFI[[#This Row],[Sanitary Kit]],Table_NFI[Sanitary Kit])</f>
        <v>0</v>
      </c>
      <c r="AB155" s="264">
        <f>IF(NFI_Expiration=1,IF($A155&lt;VLOOKUP(K$5,NFI,5,0),1,0)*Table_NFI[[#This Row],[Mosquito net]],Table_NFI[Mosquito net])</f>
        <v>0</v>
      </c>
      <c r="AC155" s="264">
        <f>IF(NFI_Expiration=1,IF($A155&lt;VLOOKUP(L$5,NFI,5,0),1,0)*Table_NFI[[#This Row],[Tarpaulin]],Table_NFI[[#This Row],[Tarpaulin]])</f>
        <v>0</v>
      </c>
      <c r="AD155" s="264">
        <f>IF(NFI_Expiration=1,IF($A155&lt;VLOOKUP(M$5,NFI,5,0),1,0)*Table_NFI[[#This Row],[Blanket]],Table_NFI[[#This Row],[Blanket]])</f>
        <v>0</v>
      </c>
      <c r="AE155" s="264">
        <f>IF(NFI_Expiration=1,IF($A155&lt;VLOOKUP(N$5,NFI,5,0),1,0)*Table_NFI[[#This Row],[Kitchen Set]],Table_NFI[Kitchen Set])</f>
        <v>0</v>
      </c>
      <c r="AF155" s="264">
        <f>IF(NFI_Expiration=1,IF($A155&lt;VLOOKUP(O$5,NFI,5,0),1,0)*Table_NFI[[#This Row],[Clothes Kit]],Table_NFI[Clothes Kit])</f>
        <v>0</v>
      </c>
      <c r="AG155" s="264">
        <f>IF(NFI_Expiration=1,IF($A155&lt;VLOOKUP(P$5,NFI,5,0),1,0)*Table_NFI[[#This Row],[Plastic Bucket]],Table_NFI[Plastic Bucket])</f>
        <v>0</v>
      </c>
      <c r="AH155" s="264">
        <f>IF(NFI_Expiration=1,IF($A155&lt;VLOOKUP(Q$5,NFI,5,0),1,0)*Table_NFI[[#This Row],[Plastic Mat]],Table_NFI[Plastic Mat])*IF(Table_NFI[[#This Row],[Distribution Date]]&gt;"2014-04-01",1,2.5)</f>
        <v>0</v>
      </c>
      <c r="AI155" s="264">
        <f>IF(NFI_Expiration=1,IF($A155&lt;VLOOKUP(R$5,NFI,5,0),1,0)*Table_NFI[[#This Row],[Winter Clothes Adult]],Table_NFI[Winter Clothes Adult])</f>
        <v>0</v>
      </c>
      <c r="AJ155" s="264">
        <f>IF(NFI_Expiration=1,IF($A155&lt;VLOOKUP(S$5,NFI,5,0),1,0)*Table_NFI[[#This Row],[Winter Clothes Children]],Table_NFI[Winter Clothes Children])</f>
        <v>0</v>
      </c>
      <c r="AK155" s="264">
        <f>IF(NFI_Expiration=1,IF($A155&lt;VLOOKUP(T$5,NFI,5,0),1,0)*Table_NFI[[#This Row],[Winter Items Other]],Table_NFI[Winter Items Other])</f>
        <v>0</v>
      </c>
      <c r="AL155" s="264">
        <f>IF(NFI_Expiration=1,IF($A155&lt;VLOOKUP(M$5,NFI,5,0),1,0)*Table_NFI[[#This Row],[Winter Blanket]],Table_NFI[[#This Row],[Winter Blanket]])</f>
        <v>0</v>
      </c>
      <c r="AM155" s="264">
        <f>IF(Table_NFI[[#This Row],[Winter Clothes Adult]]+Table_NFI[[#This Row],[Winter Clothes Children]]+Table_NFI[[#This Row],[Winter Items Other]]+Table_NFI[[#This Row],[Winter Blanket]]&gt;0,1,0)</f>
        <v>0</v>
      </c>
      <c r="AN155" s="296">
        <f>IF(NFI_Expiration=1,IF($A155&lt;VLOOKUP(V$5,NFI,5,0),1,0)*Table_NFI[[#This Row],[Jerry Can]],Table_NFI[Jerry Can])</f>
        <v>0</v>
      </c>
      <c r="AO155" s="296">
        <f>IF(NFI_Expiration=1,IF($A155&lt;VLOOKUP(V$5,NFI,5,0),1,0)*Table_NFI[[#This Row],[Shelter Tool kit]],Table_NFI[Shelter Tool kit])</f>
        <v>0</v>
      </c>
      <c r="AP155" s="296">
        <f>IF(NFI_Expiration=1,IF($A155&lt;VLOOKUP(V$5,NFI,5,0),1,0)*Table_NFI[[#This Row],[Tent]],Table_NFI[Tent])</f>
        <v>0</v>
      </c>
      <c r="AQ155" s="396" t="str">
        <f>IFERROR(VLOOKUP(Table_NFI[[#This Row],[Camp Name]],CL,2,0),"")</f>
        <v>MMR001CMP193</v>
      </c>
      <c r="AR155" s="702">
        <f ca="1">IF(Table_NFI[[#This Row],[Pcode]]="","",IF(OFFSET(CampList[Opening Date],MATCH(Table_NFI[[#This Row],[Pcode]],CampList[CP_Pcode],0)-1,0,1,1)&gt;=NFI_Monitor_Date,1,0))</f>
        <v>0</v>
      </c>
      <c r="AS155" s="396" t="str">
        <f>IFERROR(VLOOKUP(Table_NFI[[#This Row],[Camp Name]],CL,3,0),"")</f>
        <v>Open</v>
      </c>
      <c r="AT155" s="264" t="str">
        <f ca="1">IF(Table_NFI[[#This Row],[Pcode]]="","",OFFSET(CampList[Priority],MATCH(Table_NFI[[#This Row],[Pcode]],CampList[CP_Pcode],0)-1,0,1,1))</f>
        <v>P4</v>
      </c>
      <c r="AU155" s="263">
        <f>IFERROR(Table_NFI[[#This Row],[Kitchen Set]]/VLOOKUP(Table_NFI[[#This Row],[Camp Name]],CL,4,0),"")</f>
        <v>0</v>
      </c>
      <c r="AV155" s="390"/>
      <c r="AW155" s="392"/>
      <c r="AX155" s="402"/>
      <c r="AY155" s="402"/>
      <c r="AZ155" s="402"/>
      <c r="BA155" s="402"/>
      <c r="BB155" s="402"/>
      <c r="BC155" s="402"/>
      <c r="BD155" s="402"/>
      <c r="BE155" s="402"/>
      <c r="BF155" s="402"/>
      <c r="BG155" s="402"/>
      <c r="BH155" s="402"/>
      <c r="BI155" s="402"/>
      <c r="BJ155" s="402"/>
      <c r="BK155" s="402"/>
      <c r="BL155" s="402"/>
      <c r="BM155" s="402"/>
      <c r="BN155" s="402"/>
      <c r="BO155" s="402"/>
      <c r="BP155" s="402"/>
      <c r="BQ155" s="402"/>
      <c r="BR155" s="402"/>
      <c r="BS155" s="402"/>
      <c r="BT155" s="402"/>
      <c r="BU155" s="402"/>
      <c r="BV155" s="402"/>
      <c r="BW155" s="402"/>
      <c r="BX155" s="402"/>
      <c r="BY155" s="402"/>
      <c r="BZ155" s="402"/>
      <c r="CA155" s="402"/>
      <c r="CB155" s="402"/>
      <c r="CC155" s="402"/>
      <c r="CD155" s="402"/>
      <c r="CE155" s="402"/>
      <c r="CF155" s="402"/>
      <c r="CG155" s="402"/>
      <c r="CH155" s="402"/>
      <c r="CI155" s="402"/>
      <c r="CJ155" s="402"/>
      <c r="CK155" s="402"/>
      <c r="CL155" s="402"/>
      <c r="CM155" s="402"/>
      <c r="CN155" s="402"/>
      <c r="CO155" s="402"/>
      <c r="CP155" s="402"/>
      <c r="CQ155" s="402"/>
      <c r="CR155" s="402"/>
      <c r="CS155" s="402"/>
      <c r="CT155" s="402"/>
      <c r="CU155" s="402"/>
      <c r="CV155" s="402"/>
      <c r="CW155" s="402"/>
      <c r="CX155" s="402"/>
      <c r="CY155" s="402"/>
      <c r="CZ155" s="402"/>
      <c r="DA155" s="402"/>
      <c r="DB155" s="402"/>
      <c r="DC155" s="402"/>
      <c r="DD155" s="402"/>
      <c r="DE155" s="402"/>
      <c r="DF155" s="402"/>
      <c r="DG155" s="402"/>
      <c r="DH155" s="402"/>
      <c r="DI155" s="402"/>
      <c r="DJ155" s="402"/>
      <c r="DK155" s="402"/>
      <c r="DL155" s="402"/>
      <c r="DM155" s="402"/>
      <c r="DN155" s="402"/>
      <c r="DO155" s="402"/>
      <c r="DP155" s="402"/>
      <c r="DQ155" s="402"/>
    </row>
    <row r="156" spans="1:121" s="94" customFormat="1" ht="14.45" customHeight="1" x14ac:dyDescent="0.25">
      <c r="A156" s="266">
        <f t="shared" si="2"/>
        <v>16.666666666666668</v>
      </c>
      <c r="B156" s="389">
        <v>42356</v>
      </c>
      <c r="C156" s="390" t="s">
        <v>904</v>
      </c>
      <c r="D156" s="390" t="s">
        <v>904</v>
      </c>
      <c r="E156" s="390" t="s">
        <v>380</v>
      </c>
      <c r="F156" s="390" t="s">
        <v>5</v>
      </c>
      <c r="G156" s="390" t="s">
        <v>24</v>
      </c>
      <c r="H156" s="261"/>
      <c r="I156" s="261"/>
      <c r="J156" s="261"/>
      <c r="K156" s="261"/>
      <c r="L156" s="261"/>
      <c r="M156" s="261"/>
      <c r="N156" s="261"/>
      <c r="O156" s="261"/>
      <c r="P156" s="261"/>
      <c r="Q156" s="261"/>
      <c r="R156" s="261"/>
      <c r="S156" s="261"/>
      <c r="T156" s="261"/>
      <c r="U156" s="261"/>
      <c r="V156" s="762"/>
      <c r="W156" s="261">
        <v>5</v>
      </c>
      <c r="X156" s="261"/>
      <c r="Y156" s="264">
        <f>IF(NFI_Expiration=1,IF($A156&lt;VLOOKUP(H$5,NFI,5,0),1,0)*Table_NFI[[#This Row],[Hygiene Kit]],Table_NFI[Hygiene Kit])</f>
        <v>0</v>
      </c>
      <c r="Z156" s="264">
        <f>IF(NFI_Expiration=1,IF($A156&lt;VLOOKUP(I$5,NFI,5,0),1,0)*Table_NFI[[#This Row],[NFI Core Kit]],Table_NFI[NFI Core Kit])</f>
        <v>0</v>
      </c>
      <c r="AA156" s="264">
        <f>IF(NFI_Expiration=1,IF($A156&lt;VLOOKUP(J$5,NFI,5,0),1,0)*Table_NFI[[#This Row],[Sanitary Kit]],Table_NFI[Sanitary Kit])</f>
        <v>0</v>
      </c>
      <c r="AB156" s="264">
        <f>IF(NFI_Expiration=1,IF($A156&lt;VLOOKUP(K$5,NFI,5,0),1,0)*Table_NFI[[#This Row],[Mosquito net]],Table_NFI[Mosquito net])</f>
        <v>0</v>
      </c>
      <c r="AC156" s="264">
        <f>IF(NFI_Expiration=1,IF($A156&lt;VLOOKUP(L$5,NFI,5,0),1,0)*Table_NFI[[#This Row],[Tarpaulin]],Table_NFI[[#This Row],[Tarpaulin]])</f>
        <v>0</v>
      </c>
      <c r="AD156" s="264">
        <f>IF(NFI_Expiration=1,IF($A156&lt;VLOOKUP(M$5,NFI,5,0),1,0)*Table_NFI[[#This Row],[Blanket]],Table_NFI[[#This Row],[Blanket]])</f>
        <v>0</v>
      </c>
      <c r="AE156" s="264">
        <f>IF(NFI_Expiration=1,IF($A156&lt;VLOOKUP(N$5,NFI,5,0),1,0)*Table_NFI[[#This Row],[Kitchen Set]],Table_NFI[Kitchen Set])</f>
        <v>0</v>
      </c>
      <c r="AF156" s="264">
        <f>IF(NFI_Expiration=1,IF($A156&lt;VLOOKUP(O$5,NFI,5,0),1,0)*Table_NFI[[#This Row],[Clothes Kit]],Table_NFI[Clothes Kit])</f>
        <v>0</v>
      </c>
      <c r="AG156" s="264">
        <f>IF(NFI_Expiration=1,IF($A156&lt;VLOOKUP(P$5,NFI,5,0),1,0)*Table_NFI[[#This Row],[Plastic Bucket]],Table_NFI[Plastic Bucket])</f>
        <v>0</v>
      </c>
      <c r="AH156" s="264">
        <f>IF(NFI_Expiration=1,IF($A156&lt;VLOOKUP(Q$5,NFI,5,0),1,0)*Table_NFI[[#This Row],[Plastic Mat]],Table_NFI[Plastic Mat])*IF(Table_NFI[[#This Row],[Distribution Date]]&gt;"2014-04-01",1,2.5)</f>
        <v>0</v>
      </c>
      <c r="AI156" s="264">
        <f>IF(NFI_Expiration=1,IF($A156&lt;VLOOKUP(R$5,NFI,5,0),1,0)*Table_NFI[[#This Row],[Winter Clothes Adult]],Table_NFI[Winter Clothes Adult])</f>
        <v>0</v>
      </c>
      <c r="AJ156" s="264">
        <f>IF(NFI_Expiration=1,IF($A156&lt;VLOOKUP(S$5,NFI,5,0),1,0)*Table_NFI[[#This Row],[Winter Clothes Children]],Table_NFI[Winter Clothes Children])</f>
        <v>0</v>
      </c>
      <c r="AK156" s="264">
        <f>IF(NFI_Expiration=1,IF($A156&lt;VLOOKUP(T$5,NFI,5,0),1,0)*Table_NFI[[#This Row],[Winter Items Other]],Table_NFI[Winter Items Other])</f>
        <v>0</v>
      </c>
      <c r="AL156" s="264">
        <f>IF(NFI_Expiration=1,IF($A156&lt;VLOOKUP(M$5,NFI,5,0),1,0)*Table_NFI[[#This Row],[Winter Blanket]],Table_NFI[[#This Row],[Winter Blanket]])</f>
        <v>0</v>
      </c>
      <c r="AM156" s="264">
        <f>IF(Table_NFI[[#This Row],[Winter Clothes Adult]]+Table_NFI[[#This Row],[Winter Clothes Children]]+Table_NFI[[#This Row],[Winter Items Other]]+Table_NFI[[#This Row],[Winter Blanket]]&gt;0,1,0)</f>
        <v>0</v>
      </c>
      <c r="AN156" s="296">
        <f>IF(NFI_Expiration=1,IF($A156&lt;VLOOKUP(V$5,NFI,5,0),1,0)*Table_NFI[[#This Row],[Jerry Can]],Table_NFI[Jerry Can])</f>
        <v>0</v>
      </c>
      <c r="AO156" s="296">
        <f>IF(NFI_Expiration=1,IF($A156&lt;VLOOKUP(V$5,NFI,5,0),1,0)*Table_NFI[[#This Row],[Shelter Tool kit]],Table_NFI[Shelter Tool kit])</f>
        <v>0</v>
      </c>
      <c r="AP156" s="296">
        <f>IF(NFI_Expiration=1,IF($A156&lt;VLOOKUP(V$5,NFI,5,0),1,0)*Table_NFI[[#This Row],[Tent]],Table_NFI[Tent])</f>
        <v>0</v>
      </c>
      <c r="AQ156" s="396" t="str">
        <f>IFERROR(VLOOKUP(Table_NFI[[#This Row],[Camp Name]],CL,2,0),"")</f>
        <v>MMR001CMP055</v>
      </c>
      <c r="AR156" s="702">
        <f ca="1">IF(Table_NFI[[#This Row],[Pcode]]="","",IF(OFFSET(CampList[Opening Date],MATCH(Table_NFI[[#This Row],[Pcode]],CampList[CP_Pcode],0)-1,0,1,1)&gt;=NFI_Monitor_Date,1,0))</f>
        <v>0</v>
      </c>
      <c r="AS156" s="396" t="str">
        <f>IFERROR(VLOOKUP(Table_NFI[[#This Row],[Camp Name]],CL,3,0),"")</f>
        <v>Open</v>
      </c>
      <c r="AT156" s="264" t="str">
        <f ca="1">IF(Table_NFI[[#This Row],[Pcode]]="","",OFFSET(CampList[Priority],MATCH(Table_NFI[[#This Row],[Pcode]],CampList[CP_Pcode],0)-1,0,1,1))</f>
        <v>P4</v>
      </c>
      <c r="AU156" s="263">
        <f>IFERROR(Table_NFI[[#This Row],[Kitchen Set]]/VLOOKUP(Table_NFI[[#This Row],[Camp Name]],CL,4,0),"")</f>
        <v>0</v>
      </c>
      <c r="AV156" s="390"/>
      <c r="AW156" s="392"/>
      <c r="AX156" s="402"/>
      <c r="AY156" s="402"/>
      <c r="AZ156" s="402"/>
      <c r="BA156" s="402"/>
      <c r="BB156" s="402"/>
      <c r="BC156" s="402"/>
      <c r="BD156" s="402"/>
      <c r="BE156" s="402"/>
      <c r="BF156" s="402"/>
      <c r="BG156" s="402"/>
      <c r="BH156" s="402"/>
      <c r="BI156" s="402"/>
      <c r="BJ156" s="402"/>
      <c r="BK156" s="402"/>
      <c r="BL156" s="402"/>
      <c r="BM156" s="402"/>
      <c r="BN156" s="402"/>
      <c r="BO156" s="402"/>
      <c r="BP156" s="402"/>
      <c r="BQ156" s="402"/>
      <c r="BR156" s="402"/>
      <c r="BS156" s="402"/>
      <c r="BT156" s="402"/>
      <c r="BU156" s="402"/>
      <c r="BV156" s="402"/>
      <c r="BW156" s="402"/>
      <c r="BX156" s="402"/>
      <c r="BY156" s="402"/>
      <c r="BZ156" s="402"/>
      <c r="CA156" s="402"/>
      <c r="CB156" s="402"/>
      <c r="CC156" s="402"/>
      <c r="CD156" s="402"/>
      <c r="CE156" s="402"/>
      <c r="CF156" s="402"/>
      <c r="CG156" s="402"/>
      <c r="CH156" s="402"/>
      <c r="CI156" s="402"/>
      <c r="CJ156" s="402"/>
      <c r="CK156" s="402"/>
      <c r="CL156" s="402"/>
      <c r="CM156" s="402"/>
      <c r="CN156" s="402"/>
      <c r="CO156" s="402"/>
      <c r="CP156" s="402"/>
      <c r="CQ156" s="402"/>
      <c r="CR156" s="402"/>
      <c r="CS156" s="402"/>
      <c r="CT156" s="402"/>
      <c r="CU156" s="402"/>
      <c r="CV156" s="402"/>
      <c r="CW156" s="402"/>
      <c r="CX156" s="402"/>
      <c r="CY156" s="402"/>
      <c r="CZ156" s="402"/>
      <c r="DA156" s="402"/>
      <c r="DB156" s="402"/>
      <c r="DC156" s="402"/>
      <c r="DD156" s="402"/>
      <c r="DE156" s="402"/>
      <c r="DF156" s="402"/>
      <c r="DG156" s="402"/>
      <c r="DH156" s="402"/>
      <c r="DI156" s="402"/>
      <c r="DJ156" s="402"/>
      <c r="DK156" s="402"/>
      <c r="DL156" s="402"/>
      <c r="DM156" s="402"/>
      <c r="DN156" s="402"/>
      <c r="DO156" s="402"/>
      <c r="DP156" s="402"/>
      <c r="DQ156" s="402"/>
    </row>
    <row r="157" spans="1:121" s="94" customFormat="1" ht="14.45" customHeight="1" x14ac:dyDescent="0.25">
      <c r="A157" s="266">
        <f t="shared" si="2"/>
        <v>16.666666666666668</v>
      </c>
      <c r="B157" s="389">
        <v>42356</v>
      </c>
      <c r="C157" s="390" t="s">
        <v>904</v>
      </c>
      <c r="D157" s="391" t="s">
        <v>904</v>
      </c>
      <c r="E157" s="390" t="s">
        <v>380</v>
      </c>
      <c r="F157" s="262" t="s">
        <v>185</v>
      </c>
      <c r="G157" s="262" t="s">
        <v>1415</v>
      </c>
      <c r="H157" s="261"/>
      <c r="I157" s="261"/>
      <c r="J157" s="261"/>
      <c r="K157" s="261"/>
      <c r="L157" s="261"/>
      <c r="M157" s="261"/>
      <c r="N157" s="261"/>
      <c r="O157" s="261"/>
      <c r="P157" s="261"/>
      <c r="Q157" s="261"/>
      <c r="R157" s="261"/>
      <c r="S157" s="261"/>
      <c r="T157" s="261"/>
      <c r="U157" s="261"/>
      <c r="V157" s="762"/>
      <c r="W157" s="261">
        <v>13</v>
      </c>
      <c r="X157" s="261"/>
      <c r="Y157" s="264">
        <f>IF(NFI_Expiration=1,IF($A157&lt;VLOOKUP(H$5,NFI,5,0),1,0)*Table_NFI[[#This Row],[Hygiene Kit]],Table_NFI[Hygiene Kit])</f>
        <v>0</v>
      </c>
      <c r="Z157" s="264">
        <f>IF(NFI_Expiration=1,IF($A157&lt;VLOOKUP(I$5,NFI,5,0),1,0)*Table_NFI[[#This Row],[NFI Core Kit]],Table_NFI[NFI Core Kit])</f>
        <v>0</v>
      </c>
      <c r="AA157" s="264">
        <f>IF(NFI_Expiration=1,IF($A157&lt;VLOOKUP(J$5,NFI,5,0),1,0)*Table_NFI[[#This Row],[Sanitary Kit]],Table_NFI[Sanitary Kit])</f>
        <v>0</v>
      </c>
      <c r="AB157" s="264">
        <f>IF(NFI_Expiration=1,IF($A157&lt;VLOOKUP(K$5,NFI,5,0),1,0)*Table_NFI[[#This Row],[Mosquito net]],Table_NFI[Mosquito net])</f>
        <v>0</v>
      </c>
      <c r="AC157" s="264">
        <f>IF(NFI_Expiration=1,IF($A157&lt;VLOOKUP(L$5,NFI,5,0),1,0)*Table_NFI[[#This Row],[Tarpaulin]],Table_NFI[[#This Row],[Tarpaulin]])</f>
        <v>0</v>
      </c>
      <c r="AD157" s="264">
        <f>IF(NFI_Expiration=1,IF($A157&lt;VLOOKUP(M$5,NFI,5,0),1,0)*Table_NFI[[#This Row],[Blanket]],Table_NFI[[#This Row],[Blanket]])</f>
        <v>0</v>
      </c>
      <c r="AE157" s="264">
        <f>IF(NFI_Expiration=1,IF($A157&lt;VLOOKUP(N$5,NFI,5,0),1,0)*Table_NFI[[#This Row],[Kitchen Set]],Table_NFI[Kitchen Set])</f>
        <v>0</v>
      </c>
      <c r="AF157" s="264">
        <f>IF(NFI_Expiration=1,IF($A157&lt;VLOOKUP(O$5,NFI,5,0),1,0)*Table_NFI[[#This Row],[Clothes Kit]],Table_NFI[Clothes Kit])</f>
        <v>0</v>
      </c>
      <c r="AG157" s="264">
        <f>IF(NFI_Expiration=1,IF($A157&lt;VLOOKUP(P$5,NFI,5,0),1,0)*Table_NFI[[#This Row],[Plastic Bucket]],Table_NFI[Plastic Bucket])</f>
        <v>0</v>
      </c>
      <c r="AH157" s="264">
        <f>IF(NFI_Expiration=1,IF($A157&lt;VLOOKUP(Q$5,NFI,5,0),1,0)*Table_NFI[[#This Row],[Plastic Mat]],Table_NFI[Plastic Mat])*IF(Table_NFI[[#This Row],[Distribution Date]]&gt;"2014-04-01",1,2.5)</f>
        <v>0</v>
      </c>
      <c r="AI157" s="264">
        <f>IF(NFI_Expiration=1,IF($A157&lt;VLOOKUP(R$5,NFI,5,0),1,0)*Table_NFI[[#This Row],[Winter Clothes Adult]],Table_NFI[Winter Clothes Adult])</f>
        <v>0</v>
      </c>
      <c r="AJ157" s="264">
        <f>IF(NFI_Expiration=1,IF($A157&lt;VLOOKUP(S$5,NFI,5,0),1,0)*Table_NFI[[#This Row],[Winter Clothes Children]],Table_NFI[Winter Clothes Children])</f>
        <v>0</v>
      </c>
      <c r="AK157" s="264">
        <f>IF(NFI_Expiration=1,IF($A157&lt;VLOOKUP(T$5,NFI,5,0),1,0)*Table_NFI[[#This Row],[Winter Items Other]],Table_NFI[Winter Items Other])</f>
        <v>0</v>
      </c>
      <c r="AL157" s="264">
        <f>IF(NFI_Expiration=1,IF($A157&lt;VLOOKUP(M$5,NFI,5,0),1,0)*Table_NFI[[#This Row],[Winter Blanket]],Table_NFI[[#This Row],[Winter Blanket]])</f>
        <v>0</v>
      </c>
      <c r="AM157" s="264">
        <f>IF(Table_NFI[[#This Row],[Winter Clothes Adult]]+Table_NFI[[#This Row],[Winter Clothes Children]]+Table_NFI[[#This Row],[Winter Items Other]]+Table_NFI[[#This Row],[Winter Blanket]]&gt;0,1,0)</f>
        <v>0</v>
      </c>
      <c r="AN157" s="296">
        <f>IF(NFI_Expiration=1,IF($A157&lt;VLOOKUP(V$5,NFI,5,0),1,0)*Table_NFI[[#This Row],[Jerry Can]],Table_NFI[Jerry Can])</f>
        <v>0</v>
      </c>
      <c r="AO157" s="296">
        <f>IF(NFI_Expiration=1,IF($A157&lt;VLOOKUP(V$5,NFI,5,0),1,0)*Table_NFI[[#This Row],[Shelter Tool kit]],Table_NFI[Shelter Tool kit])</f>
        <v>0</v>
      </c>
      <c r="AP157" s="296">
        <f>IF(NFI_Expiration=1,IF($A157&lt;VLOOKUP(V$5,NFI,5,0),1,0)*Table_NFI[[#This Row],[Tent]],Table_NFI[Tent])</f>
        <v>0</v>
      </c>
      <c r="AQ157" s="396" t="str">
        <f>IFERROR(VLOOKUP(Table_NFI[[#This Row],[Camp Name]],CL,2,0),"")</f>
        <v/>
      </c>
      <c r="AR157" s="702" t="str">
        <f ca="1">IF(Table_NFI[[#This Row],[Pcode]]="","",IF(OFFSET(CampList[Opening Date],MATCH(Table_NFI[[#This Row],[Pcode]],CampList[CP_Pcode],0)-1,0,1,1)&gt;=NFI_Monitor_Date,1,0))</f>
        <v/>
      </c>
      <c r="AS157" s="559" t="str">
        <f>IFERROR(VLOOKUP(Table_NFI[[#This Row],[Camp Name]],CL,3,0),"")</f>
        <v/>
      </c>
      <c r="AT157" s="264" t="str">
        <f ca="1">IF(Table_NFI[[#This Row],[Pcode]]="","",OFFSET(CampList[Priority],MATCH(Table_NFI[[#This Row],[Pcode]],CampList[CP_Pcode],0)-1,0,1,1))</f>
        <v/>
      </c>
      <c r="AU157" s="263" t="str">
        <f>IFERROR(Table_NFI[[#This Row],[Kitchen Set]]/VLOOKUP(Table_NFI[[#This Row],[Camp Name]],CL,4,0),"")</f>
        <v/>
      </c>
      <c r="AV157" s="390"/>
      <c r="AW157" s="392"/>
      <c r="AX157" s="402"/>
      <c r="AY157" s="402"/>
      <c r="AZ157" s="402"/>
      <c r="BA157" s="402"/>
      <c r="BB157" s="402"/>
      <c r="BC157" s="402"/>
      <c r="BD157" s="402"/>
      <c r="BE157" s="402"/>
      <c r="BF157" s="402"/>
      <c r="BG157" s="402"/>
      <c r="BH157" s="402"/>
      <c r="BI157" s="402"/>
      <c r="BJ157" s="402"/>
      <c r="BK157" s="402"/>
      <c r="BL157" s="402"/>
      <c r="BM157" s="402"/>
      <c r="BN157" s="402"/>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2"/>
      <c r="CN157" s="402"/>
      <c r="CO157" s="402"/>
      <c r="CP157" s="402"/>
      <c r="CQ157" s="402"/>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2"/>
      <c r="DQ157" s="402"/>
    </row>
    <row r="158" spans="1:121" s="759" customFormat="1" ht="15" customHeight="1" x14ac:dyDescent="0.25">
      <c r="A158" s="266">
        <f t="shared" si="2"/>
        <v>16.666666666666668</v>
      </c>
      <c r="B158" s="389">
        <v>42356</v>
      </c>
      <c r="C158" s="390" t="s">
        <v>904</v>
      </c>
      <c r="D158" s="390" t="s">
        <v>904</v>
      </c>
      <c r="E158" s="390" t="s">
        <v>380</v>
      </c>
      <c r="F158" s="390" t="s">
        <v>185</v>
      </c>
      <c r="G158" s="262" t="s">
        <v>217</v>
      </c>
      <c r="H158" s="261"/>
      <c r="I158" s="261"/>
      <c r="J158" s="261"/>
      <c r="K158" s="261"/>
      <c r="L158" s="261"/>
      <c r="M158" s="261"/>
      <c r="N158" s="261"/>
      <c r="O158" s="261"/>
      <c r="P158" s="261"/>
      <c r="Q158" s="261"/>
      <c r="R158" s="261"/>
      <c r="S158" s="261"/>
      <c r="T158" s="261"/>
      <c r="U158" s="261"/>
      <c r="V158" s="762"/>
      <c r="W158" s="261">
        <v>5</v>
      </c>
      <c r="X158" s="261"/>
      <c r="Y158" s="264">
        <f>IF(NFI_Expiration=1,IF($A158&lt;VLOOKUP(H$5,NFI,5,0),1,0)*Table_NFI[[#This Row],[Hygiene Kit]],Table_NFI[Hygiene Kit])</f>
        <v>0</v>
      </c>
      <c r="Z158" s="264">
        <f>IF(NFI_Expiration=1,IF($A158&lt;VLOOKUP(I$5,NFI,5,0),1,0)*Table_NFI[[#This Row],[NFI Core Kit]],Table_NFI[NFI Core Kit])</f>
        <v>0</v>
      </c>
      <c r="AA158" s="264">
        <f>IF(NFI_Expiration=1,IF($A158&lt;VLOOKUP(J$5,NFI,5,0),1,0)*Table_NFI[[#This Row],[Sanitary Kit]],Table_NFI[Sanitary Kit])</f>
        <v>0</v>
      </c>
      <c r="AB158" s="264">
        <f>IF(NFI_Expiration=1,IF($A158&lt;VLOOKUP(K$5,NFI,5,0),1,0)*Table_NFI[[#This Row],[Mosquito net]],Table_NFI[Mosquito net])</f>
        <v>0</v>
      </c>
      <c r="AC158" s="264">
        <f>IF(NFI_Expiration=1,IF($A158&lt;VLOOKUP(L$5,NFI,5,0),1,0)*Table_NFI[[#This Row],[Tarpaulin]],Table_NFI[[#This Row],[Tarpaulin]])</f>
        <v>0</v>
      </c>
      <c r="AD158" s="264">
        <f>IF(NFI_Expiration=1,IF($A158&lt;VLOOKUP(M$5,NFI,5,0),1,0)*Table_NFI[[#This Row],[Blanket]],Table_NFI[[#This Row],[Blanket]])</f>
        <v>0</v>
      </c>
      <c r="AE158" s="264">
        <f>IF(NFI_Expiration=1,IF($A158&lt;VLOOKUP(N$5,NFI,5,0),1,0)*Table_NFI[[#This Row],[Kitchen Set]],Table_NFI[Kitchen Set])</f>
        <v>0</v>
      </c>
      <c r="AF158" s="264">
        <f>IF(NFI_Expiration=1,IF($A158&lt;VLOOKUP(O$5,NFI,5,0),1,0)*Table_NFI[[#This Row],[Clothes Kit]],Table_NFI[Clothes Kit])</f>
        <v>0</v>
      </c>
      <c r="AG158" s="264">
        <f>IF(NFI_Expiration=1,IF($A158&lt;VLOOKUP(P$5,NFI,5,0),1,0)*Table_NFI[[#This Row],[Plastic Bucket]],Table_NFI[Plastic Bucket])</f>
        <v>0</v>
      </c>
      <c r="AH158" s="264">
        <f>IF(NFI_Expiration=1,IF($A158&lt;VLOOKUP(Q$5,NFI,5,0),1,0)*Table_NFI[[#This Row],[Plastic Mat]],Table_NFI[Plastic Mat])*IF(Table_NFI[[#This Row],[Distribution Date]]&gt;"2014-04-01",1,2.5)</f>
        <v>0</v>
      </c>
      <c r="AI158" s="264">
        <f>IF(NFI_Expiration=1,IF($A158&lt;VLOOKUP(R$5,NFI,5,0),1,0)*Table_NFI[[#This Row],[Winter Clothes Adult]],Table_NFI[Winter Clothes Adult])</f>
        <v>0</v>
      </c>
      <c r="AJ158" s="264">
        <f>IF(NFI_Expiration=1,IF($A158&lt;VLOOKUP(S$5,NFI,5,0),1,0)*Table_NFI[[#This Row],[Winter Clothes Children]],Table_NFI[Winter Clothes Children])</f>
        <v>0</v>
      </c>
      <c r="AK158" s="264">
        <f>IF(NFI_Expiration=1,IF($A158&lt;VLOOKUP(T$5,NFI,5,0),1,0)*Table_NFI[[#This Row],[Winter Items Other]],Table_NFI[Winter Items Other])</f>
        <v>0</v>
      </c>
      <c r="AL158" s="264">
        <f>IF(NFI_Expiration=1,IF($A158&lt;VLOOKUP(M$5,NFI,5,0),1,0)*Table_NFI[[#This Row],[Winter Blanket]],Table_NFI[[#This Row],[Winter Blanket]])</f>
        <v>0</v>
      </c>
      <c r="AM158" s="264">
        <f>IF(Table_NFI[[#This Row],[Winter Clothes Adult]]+Table_NFI[[#This Row],[Winter Clothes Children]]+Table_NFI[[#This Row],[Winter Items Other]]+Table_NFI[[#This Row],[Winter Blanket]]&gt;0,1,0)</f>
        <v>0</v>
      </c>
      <c r="AN158" s="296">
        <f>IF(NFI_Expiration=1,IF($A158&lt;VLOOKUP(V$5,NFI,5,0),1,0)*Table_NFI[[#This Row],[Jerry Can]],Table_NFI[Jerry Can])</f>
        <v>0</v>
      </c>
      <c r="AO158" s="296">
        <f>IF(NFI_Expiration=1,IF($A158&lt;VLOOKUP(V$5,NFI,5,0),1,0)*Table_NFI[[#This Row],[Shelter Tool kit]],Table_NFI[Shelter Tool kit])</f>
        <v>0</v>
      </c>
      <c r="AP158" s="296">
        <f>IF(NFI_Expiration=1,IF($A158&lt;VLOOKUP(V$5,NFI,5,0),1,0)*Table_NFI[[#This Row],[Tent]],Table_NFI[Tent])</f>
        <v>0</v>
      </c>
      <c r="AQ158" s="396" t="str">
        <f>IFERROR(VLOOKUP(Table_NFI[[#This Row],[Camp Name]],CL,2,0),"")</f>
        <v>MMR001CMP059</v>
      </c>
      <c r="AR158" s="702">
        <f ca="1">IF(Table_NFI[[#This Row],[Pcode]]="","",IF(OFFSET(CampList[Opening Date],MATCH(Table_NFI[[#This Row],[Pcode]],CampList[CP_Pcode],0)-1,0,1,1)&gt;=NFI_Monitor_Date,1,0))</f>
        <v>0</v>
      </c>
      <c r="AS158" s="396" t="str">
        <f>IFERROR(VLOOKUP(Table_NFI[[#This Row],[Camp Name]],CL,3,0),"")</f>
        <v>Closed</v>
      </c>
      <c r="AT158" s="264" t="str">
        <f ca="1">IF(Table_NFI[[#This Row],[Pcode]]="","",OFFSET(CampList[Priority],MATCH(Table_NFI[[#This Row],[Pcode]],CampList[CP_Pcode],0)-1,0,1,1))</f>
        <v>P4</v>
      </c>
      <c r="AU158" s="263">
        <f>IFERROR(Table_NFI[[#This Row],[Kitchen Set]]/VLOOKUP(Table_NFI[[#This Row],[Camp Name]],CL,4,0),"")</f>
        <v>0</v>
      </c>
      <c r="AV158" s="390"/>
      <c r="AW158" s="392"/>
      <c r="AX158" s="402"/>
      <c r="AY158" s="402"/>
      <c r="AZ158" s="402"/>
      <c r="BA158" s="402"/>
      <c r="BB158" s="402"/>
      <c r="BC158" s="402"/>
      <c r="BD158" s="402"/>
      <c r="BE158" s="402"/>
      <c r="BF158" s="402"/>
      <c r="BG158" s="402"/>
      <c r="BH158" s="402"/>
      <c r="BI158" s="402"/>
      <c r="BJ158" s="402"/>
      <c r="BK158" s="402"/>
      <c r="BL158" s="402"/>
      <c r="BM158" s="402"/>
      <c r="BN158" s="402"/>
      <c r="BO158" s="402"/>
      <c r="BP158" s="402"/>
      <c r="BQ158" s="402"/>
      <c r="BR158" s="402"/>
      <c r="BS158" s="402"/>
      <c r="BT158" s="402"/>
      <c r="BU158" s="402"/>
      <c r="BV158" s="402"/>
      <c r="BW158" s="402"/>
      <c r="BX158" s="402"/>
      <c r="BY158" s="402"/>
      <c r="BZ158" s="402"/>
      <c r="CA158" s="402"/>
      <c r="CB158" s="402"/>
      <c r="CC158" s="402"/>
      <c r="CD158" s="402"/>
      <c r="CE158" s="402"/>
      <c r="CF158" s="402"/>
      <c r="CG158" s="402"/>
      <c r="CH158" s="402"/>
      <c r="CI158" s="402"/>
      <c r="CJ158" s="402"/>
      <c r="CK158" s="402"/>
      <c r="CL158" s="402"/>
      <c r="CM158" s="402"/>
      <c r="CN158" s="402"/>
      <c r="CO158" s="402"/>
      <c r="CP158" s="402"/>
      <c r="CQ158" s="402"/>
      <c r="CR158" s="402"/>
      <c r="CS158" s="402"/>
      <c r="CT158" s="402"/>
      <c r="CU158" s="402"/>
      <c r="CV158" s="402"/>
      <c r="CW158" s="402"/>
      <c r="CX158" s="402"/>
      <c r="CY158" s="402"/>
      <c r="CZ158" s="402"/>
      <c r="DA158" s="402"/>
      <c r="DB158" s="402"/>
      <c r="DC158" s="402"/>
      <c r="DD158" s="402"/>
      <c r="DE158" s="402"/>
      <c r="DF158" s="402"/>
      <c r="DG158" s="402"/>
      <c r="DH158" s="402"/>
      <c r="DI158" s="402"/>
      <c r="DJ158" s="402"/>
      <c r="DK158" s="402"/>
      <c r="DL158" s="402"/>
      <c r="DM158" s="402"/>
      <c r="DN158" s="402"/>
      <c r="DO158" s="402"/>
      <c r="DP158" s="402"/>
      <c r="DQ158" s="402"/>
    </row>
    <row r="159" spans="1:121" s="759" customFormat="1" ht="15" customHeight="1" x14ac:dyDescent="0.25">
      <c r="A159" s="266">
        <f t="shared" si="2"/>
        <v>16.7</v>
      </c>
      <c r="B159" s="389">
        <v>42355</v>
      </c>
      <c r="C159" s="390" t="s">
        <v>904</v>
      </c>
      <c r="D159" s="390" t="s">
        <v>904</v>
      </c>
      <c r="E159" s="390" t="s">
        <v>380</v>
      </c>
      <c r="F159" s="262" t="s">
        <v>5</v>
      </c>
      <c r="G159" s="262" t="s">
        <v>6</v>
      </c>
      <c r="H159" s="261"/>
      <c r="I159" s="261"/>
      <c r="J159" s="261"/>
      <c r="K159" s="261"/>
      <c r="L159" s="261"/>
      <c r="M159" s="261"/>
      <c r="N159" s="261"/>
      <c r="O159" s="261"/>
      <c r="P159" s="261"/>
      <c r="Q159" s="261"/>
      <c r="R159" s="261"/>
      <c r="S159" s="261"/>
      <c r="T159" s="261"/>
      <c r="U159" s="261"/>
      <c r="V159" s="762"/>
      <c r="W159" s="261">
        <v>38</v>
      </c>
      <c r="X159" s="261"/>
      <c r="Y159" s="264">
        <f>IF(NFI_Expiration=1,IF($A159&lt;VLOOKUP(H$5,NFI,5,0),1,0)*Table_NFI[[#This Row],[Hygiene Kit]],Table_NFI[Hygiene Kit])</f>
        <v>0</v>
      </c>
      <c r="Z159" s="264">
        <f>IF(NFI_Expiration=1,IF($A159&lt;VLOOKUP(I$5,NFI,5,0),1,0)*Table_NFI[[#This Row],[NFI Core Kit]],Table_NFI[NFI Core Kit])</f>
        <v>0</v>
      </c>
      <c r="AA159" s="264">
        <f>IF(NFI_Expiration=1,IF($A159&lt;VLOOKUP(J$5,NFI,5,0),1,0)*Table_NFI[[#This Row],[Sanitary Kit]],Table_NFI[Sanitary Kit])</f>
        <v>0</v>
      </c>
      <c r="AB159" s="264">
        <f>IF(NFI_Expiration=1,IF($A159&lt;VLOOKUP(K$5,NFI,5,0),1,0)*Table_NFI[[#This Row],[Mosquito net]],Table_NFI[Mosquito net])</f>
        <v>0</v>
      </c>
      <c r="AC159" s="264">
        <f>IF(NFI_Expiration=1,IF($A159&lt;VLOOKUP(L$5,NFI,5,0),1,0)*Table_NFI[[#This Row],[Tarpaulin]],Table_NFI[[#This Row],[Tarpaulin]])</f>
        <v>0</v>
      </c>
      <c r="AD159" s="264">
        <f>IF(NFI_Expiration=1,IF($A159&lt;VLOOKUP(M$5,NFI,5,0),1,0)*Table_NFI[[#This Row],[Blanket]],Table_NFI[[#This Row],[Blanket]])</f>
        <v>0</v>
      </c>
      <c r="AE159" s="264">
        <f>IF(NFI_Expiration=1,IF($A159&lt;VLOOKUP(N$5,NFI,5,0),1,0)*Table_NFI[[#This Row],[Kitchen Set]],Table_NFI[Kitchen Set])</f>
        <v>0</v>
      </c>
      <c r="AF159" s="264">
        <f>IF(NFI_Expiration=1,IF($A159&lt;VLOOKUP(O$5,NFI,5,0),1,0)*Table_NFI[[#This Row],[Clothes Kit]],Table_NFI[Clothes Kit])</f>
        <v>0</v>
      </c>
      <c r="AG159" s="264">
        <f>IF(NFI_Expiration=1,IF($A159&lt;VLOOKUP(P$5,NFI,5,0),1,0)*Table_NFI[[#This Row],[Plastic Bucket]],Table_NFI[Plastic Bucket])</f>
        <v>0</v>
      </c>
      <c r="AH159" s="264">
        <f>IF(NFI_Expiration=1,IF($A159&lt;VLOOKUP(Q$5,NFI,5,0),1,0)*Table_NFI[[#This Row],[Plastic Mat]],Table_NFI[Plastic Mat])*IF(Table_NFI[[#This Row],[Distribution Date]]&gt;"2014-04-01",1,2.5)</f>
        <v>0</v>
      </c>
      <c r="AI159" s="264">
        <f>IF(NFI_Expiration=1,IF($A159&lt;VLOOKUP(R$5,NFI,5,0),1,0)*Table_NFI[[#This Row],[Winter Clothes Adult]],Table_NFI[Winter Clothes Adult])</f>
        <v>0</v>
      </c>
      <c r="AJ159" s="264">
        <f>IF(NFI_Expiration=1,IF($A159&lt;VLOOKUP(S$5,NFI,5,0),1,0)*Table_NFI[[#This Row],[Winter Clothes Children]],Table_NFI[Winter Clothes Children])</f>
        <v>0</v>
      </c>
      <c r="AK159" s="264">
        <f>IF(NFI_Expiration=1,IF($A159&lt;VLOOKUP(T$5,NFI,5,0),1,0)*Table_NFI[[#This Row],[Winter Items Other]],Table_NFI[Winter Items Other])</f>
        <v>0</v>
      </c>
      <c r="AL159" s="264">
        <f>IF(NFI_Expiration=1,IF($A159&lt;VLOOKUP(M$5,NFI,5,0),1,0)*Table_NFI[[#This Row],[Winter Blanket]],Table_NFI[[#This Row],[Winter Blanket]])</f>
        <v>0</v>
      </c>
      <c r="AM159" s="264">
        <f>IF(Table_NFI[[#This Row],[Winter Clothes Adult]]+Table_NFI[[#This Row],[Winter Clothes Children]]+Table_NFI[[#This Row],[Winter Items Other]]+Table_NFI[[#This Row],[Winter Blanket]]&gt;0,1,0)</f>
        <v>0</v>
      </c>
      <c r="AN159" s="296">
        <f>IF(NFI_Expiration=1,IF($A159&lt;VLOOKUP(V$5,NFI,5,0),1,0)*Table_NFI[[#This Row],[Jerry Can]],Table_NFI[Jerry Can])</f>
        <v>0</v>
      </c>
      <c r="AO159" s="296">
        <f>IF(NFI_Expiration=1,IF($A159&lt;VLOOKUP(V$5,NFI,5,0),1,0)*Table_NFI[[#This Row],[Shelter Tool kit]],Table_NFI[Shelter Tool kit])</f>
        <v>0</v>
      </c>
      <c r="AP159" s="296">
        <f>IF(NFI_Expiration=1,IF($A159&lt;VLOOKUP(V$5,NFI,5,0),1,0)*Table_NFI[[#This Row],[Tent]],Table_NFI[Tent])</f>
        <v>0</v>
      </c>
      <c r="AQ159" s="396" t="str">
        <f>IFERROR(VLOOKUP(Table_NFI[[#This Row],[Camp Name]],CL,2,0),"")</f>
        <v>MMR001CMP050</v>
      </c>
      <c r="AR159" s="702">
        <f ca="1">IF(Table_NFI[[#This Row],[Pcode]]="","",IF(OFFSET(CampList[Opening Date],MATCH(Table_NFI[[#This Row],[Pcode]],CampList[CP_Pcode],0)-1,0,1,1)&gt;=NFI_Monitor_Date,1,0))</f>
        <v>0</v>
      </c>
      <c r="AS159" s="396" t="str">
        <f>IFERROR(VLOOKUP(Table_NFI[[#This Row],[Camp Name]],CL,3,0),"")</f>
        <v>Open</v>
      </c>
      <c r="AT159" s="264" t="str">
        <f ca="1">IF(Table_NFI[[#This Row],[Pcode]]="","",OFFSET(CampList[Priority],MATCH(Table_NFI[[#This Row],[Pcode]],CampList[CP_Pcode],0)-1,0,1,1))</f>
        <v>P4</v>
      </c>
      <c r="AU159" s="263">
        <f>IFERROR(Table_NFI[[#This Row],[Kitchen Set]]/VLOOKUP(Table_NFI[[#This Row],[Camp Name]],CL,4,0),"")</f>
        <v>0</v>
      </c>
      <c r="AV159" s="390"/>
      <c r="AW159" s="392"/>
      <c r="AX159" s="402"/>
      <c r="AY159" s="402"/>
      <c r="AZ159" s="402"/>
      <c r="BA159" s="402"/>
      <c r="BB159" s="402"/>
      <c r="BC159" s="402"/>
      <c r="BD159" s="402"/>
      <c r="BE159" s="402"/>
      <c r="BF159" s="402"/>
      <c r="BG159" s="402"/>
      <c r="BH159" s="402"/>
      <c r="BI159" s="402"/>
      <c r="BJ159" s="402"/>
      <c r="BK159" s="402"/>
      <c r="BL159" s="402"/>
      <c r="BM159" s="402"/>
      <c r="BN159" s="402"/>
      <c r="BO159" s="402"/>
      <c r="BP159" s="402"/>
      <c r="BQ159" s="402"/>
      <c r="BR159" s="402"/>
      <c r="BS159" s="402"/>
      <c r="BT159" s="402"/>
      <c r="BU159" s="402"/>
      <c r="BV159" s="402"/>
      <c r="BW159" s="402"/>
      <c r="BX159" s="402"/>
      <c r="BY159" s="402"/>
      <c r="BZ159" s="402"/>
      <c r="CA159" s="402"/>
      <c r="CB159" s="402"/>
      <c r="CC159" s="402"/>
      <c r="CD159" s="402"/>
      <c r="CE159" s="402"/>
      <c r="CF159" s="402"/>
      <c r="CG159" s="402"/>
      <c r="CH159" s="402"/>
      <c r="CI159" s="402"/>
      <c r="CJ159" s="402"/>
      <c r="CK159" s="402"/>
      <c r="CL159" s="402"/>
      <c r="CM159" s="402"/>
      <c r="CN159" s="402"/>
      <c r="CO159" s="402"/>
      <c r="CP159" s="402"/>
      <c r="CQ159" s="402"/>
      <c r="CR159" s="402"/>
      <c r="CS159" s="402"/>
      <c r="CT159" s="402"/>
      <c r="CU159" s="402"/>
      <c r="CV159" s="402"/>
      <c r="CW159" s="402"/>
      <c r="CX159" s="402"/>
      <c r="CY159" s="402"/>
      <c r="CZ159" s="402"/>
      <c r="DA159" s="402"/>
      <c r="DB159" s="402"/>
      <c r="DC159" s="402"/>
      <c r="DD159" s="402"/>
      <c r="DE159" s="402"/>
      <c r="DF159" s="402"/>
      <c r="DG159" s="402"/>
      <c r="DH159" s="402"/>
      <c r="DI159" s="402"/>
      <c r="DJ159" s="402"/>
      <c r="DK159" s="402"/>
      <c r="DL159" s="402"/>
      <c r="DM159" s="402"/>
      <c r="DN159" s="402"/>
      <c r="DO159" s="402"/>
      <c r="DP159" s="402"/>
      <c r="DQ159" s="402"/>
    </row>
    <row r="160" spans="1:121" s="759" customFormat="1" ht="14.45" customHeight="1" x14ac:dyDescent="0.2">
      <c r="A160" s="266">
        <f t="shared" si="2"/>
        <v>16.7</v>
      </c>
      <c r="B160" s="389">
        <v>42355</v>
      </c>
      <c r="C160" s="390" t="s">
        <v>904</v>
      </c>
      <c r="D160" s="391" t="s">
        <v>904</v>
      </c>
      <c r="E160" s="390" t="s">
        <v>380</v>
      </c>
      <c r="F160" s="262" t="s">
        <v>5</v>
      </c>
      <c r="G160" s="262" t="s">
        <v>22</v>
      </c>
      <c r="H160" s="261"/>
      <c r="I160" s="261"/>
      <c r="J160" s="261"/>
      <c r="K160" s="261"/>
      <c r="L160" s="261"/>
      <c r="M160" s="261"/>
      <c r="N160" s="261"/>
      <c r="O160" s="261"/>
      <c r="P160" s="261"/>
      <c r="Q160" s="261"/>
      <c r="R160" s="261"/>
      <c r="S160" s="261"/>
      <c r="T160" s="261"/>
      <c r="U160" s="261"/>
      <c r="V160" s="762"/>
      <c r="W160" s="764">
        <v>76</v>
      </c>
      <c r="X160" s="261"/>
      <c r="Y160" s="264">
        <f>IF(NFI_Expiration=1,IF($A160&lt;VLOOKUP(H$5,NFI,5,0),1,0)*Table_NFI[[#This Row],[Hygiene Kit]],Table_NFI[Hygiene Kit])</f>
        <v>0</v>
      </c>
      <c r="Z160" s="264">
        <f>IF(NFI_Expiration=1,IF($A160&lt;VLOOKUP(I$5,NFI,5,0),1,0)*Table_NFI[[#This Row],[NFI Core Kit]],Table_NFI[NFI Core Kit])</f>
        <v>0</v>
      </c>
      <c r="AA160" s="264">
        <f>IF(NFI_Expiration=1,IF($A160&lt;VLOOKUP(J$5,NFI,5,0),1,0)*Table_NFI[[#This Row],[Sanitary Kit]],Table_NFI[Sanitary Kit])</f>
        <v>0</v>
      </c>
      <c r="AB160" s="264">
        <f>IF(NFI_Expiration=1,IF($A160&lt;VLOOKUP(K$5,NFI,5,0),1,0)*Table_NFI[[#This Row],[Mosquito net]],Table_NFI[Mosquito net])</f>
        <v>0</v>
      </c>
      <c r="AC160" s="264">
        <f>IF(NFI_Expiration=1,IF($A160&lt;VLOOKUP(L$5,NFI,5,0),1,0)*Table_NFI[[#This Row],[Tarpaulin]],Table_NFI[[#This Row],[Tarpaulin]])</f>
        <v>0</v>
      </c>
      <c r="AD160" s="264">
        <f>IF(NFI_Expiration=1,IF($A160&lt;VLOOKUP(M$5,NFI,5,0),1,0)*Table_NFI[[#This Row],[Blanket]],Table_NFI[[#This Row],[Blanket]])</f>
        <v>0</v>
      </c>
      <c r="AE160" s="264">
        <f>IF(NFI_Expiration=1,IF($A160&lt;VLOOKUP(N$5,NFI,5,0),1,0)*Table_NFI[[#This Row],[Kitchen Set]],Table_NFI[Kitchen Set])</f>
        <v>0</v>
      </c>
      <c r="AF160" s="264">
        <f>IF(NFI_Expiration=1,IF($A160&lt;VLOOKUP(O$5,NFI,5,0),1,0)*Table_NFI[[#This Row],[Clothes Kit]],Table_NFI[Clothes Kit])</f>
        <v>0</v>
      </c>
      <c r="AG160" s="264">
        <f>IF(NFI_Expiration=1,IF($A160&lt;VLOOKUP(P$5,NFI,5,0),1,0)*Table_NFI[[#This Row],[Plastic Bucket]],Table_NFI[Plastic Bucket])</f>
        <v>0</v>
      </c>
      <c r="AH160" s="264">
        <f>IF(NFI_Expiration=1,IF($A160&lt;VLOOKUP(Q$5,NFI,5,0),1,0)*Table_NFI[[#This Row],[Plastic Mat]],Table_NFI[Plastic Mat])*IF(Table_NFI[[#This Row],[Distribution Date]]&gt;"2014-04-01",1,2.5)</f>
        <v>0</v>
      </c>
      <c r="AI160" s="264">
        <f>IF(NFI_Expiration=1,IF($A160&lt;VLOOKUP(R$5,NFI,5,0),1,0)*Table_NFI[[#This Row],[Winter Clothes Adult]],Table_NFI[Winter Clothes Adult])</f>
        <v>0</v>
      </c>
      <c r="AJ160" s="264">
        <f>IF(NFI_Expiration=1,IF($A160&lt;VLOOKUP(S$5,NFI,5,0),1,0)*Table_NFI[[#This Row],[Winter Clothes Children]],Table_NFI[Winter Clothes Children])</f>
        <v>0</v>
      </c>
      <c r="AK160" s="264">
        <f>IF(NFI_Expiration=1,IF($A160&lt;VLOOKUP(T$5,NFI,5,0),1,0)*Table_NFI[[#This Row],[Winter Items Other]],Table_NFI[Winter Items Other])</f>
        <v>0</v>
      </c>
      <c r="AL160" s="264">
        <f>IF(NFI_Expiration=1,IF($A160&lt;VLOOKUP(M$5,NFI,5,0),1,0)*Table_NFI[[#This Row],[Winter Blanket]],Table_NFI[[#This Row],[Winter Blanket]])</f>
        <v>0</v>
      </c>
      <c r="AM160" s="264">
        <f>IF(Table_NFI[[#This Row],[Winter Clothes Adult]]+Table_NFI[[#This Row],[Winter Clothes Children]]+Table_NFI[[#This Row],[Winter Items Other]]+Table_NFI[[#This Row],[Winter Blanket]]&gt;0,1,0)</f>
        <v>0</v>
      </c>
      <c r="AN160" s="296">
        <f>IF(NFI_Expiration=1,IF($A160&lt;VLOOKUP(V$5,NFI,5,0),1,0)*Table_NFI[[#This Row],[Jerry Can]],Table_NFI[Jerry Can])</f>
        <v>0</v>
      </c>
      <c r="AO160" s="296">
        <f>IF(NFI_Expiration=1,IF($A160&lt;VLOOKUP(V$5,NFI,5,0),1,0)*Table_NFI[[#This Row],[Shelter Tool kit]],Table_NFI[Shelter Tool kit])</f>
        <v>0</v>
      </c>
      <c r="AP160" s="296">
        <f>IF(NFI_Expiration=1,IF($A160&lt;VLOOKUP(V$5,NFI,5,0),1,0)*Table_NFI[[#This Row],[Tent]],Table_NFI[Tent])</f>
        <v>0</v>
      </c>
      <c r="AQ160" s="396" t="str">
        <f>IFERROR(VLOOKUP(Table_NFI[[#This Row],[Camp Name]],CL,2,0),"")</f>
        <v>MMR001CMP047</v>
      </c>
      <c r="AR160" s="702">
        <f ca="1">IF(Table_NFI[[#This Row],[Pcode]]="","",IF(OFFSET(CampList[Opening Date],MATCH(Table_NFI[[#This Row],[Pcode]],CampList[CP_Pcode],0)-1,0,1,1)&gt;=NFI_Monitor_Date,1,0))</f>
        <v>0</v>
      </c>
      <c r="AS160" s="396" t="str">
        <f>IFERROR(VLOOKUP(Table_NFI[[#This Row],[Camp Name]],CL,3,0),"")</f>
        <v>Open</v>
      </c>
      <c r="AT160" s="264" t="str">
        <f ca="1">IF(Table_NFI[[#This Row],[Pcode]]="","",OFFSET(CampList[Priority],MATCH(Table_NFI[[#This Row],[Pcode]],CampList[CP_Pcode],0)-1,0,1,1))</f>
        <v>P4</v>
      </c>
      <c r="AU160" s="263">
        <f>IFERROR(Table_NFI[[#This Row],[Kitchen Set]]/VLOOKUP(Table_NFI[[#This Row],[Camp Name]],CL,4,0),"")</f>
        <v>0</v>
      </c>
      <c r="AV160" s="390"/>
      <c r="AW160" s="392"/>
      <c r="AX160" s="402"/>
      <c r="AY160" s="402"/>
      <c r="AZ160" s="402"/>
      <c r="BA160" s="402"/>
      <c r="BB160" s="402"/>
      <c r="BC160" s="402"/>
      <c r="BD160" s="402"/>
      <c r="BE160" s="402"/>
      <c r="BF160" s="402"/>
      <c r="BG160" s="402"/>
      <c r="BH160" s="402"/>
      <c r="BI160" s="402"/>
      <c r="BJ160" s="402"/>
      <c r="BK160" s="402"/>
      <c r="BL160" s="402"/>
      <c r="BM160" s="402"/>
      <c r="BN160" s="402"/>
      <c r="BO160" s="402"/>
      <c r="BP160" s="402"/>
      <c r="BQ160" s="402"/>
      <c r="BR160" s="402"/>
      <c r="BS160" s="402"/>
      <c r="BT160" s="402"/>
      <c r="BU160" s="402"/>
      <c r="BV160" s="402"/>
      <c r="BW160" s="402"/>
      <c r="BX160" s="402"/>
      <c r="BY160" s="402"/>
      <c r="BZ160" s="402"/>
      <c r="CA160" s="402"/>
      <c r="CB160" s="402"/>
      <c r="CC160" s="402"/>
      <c r="CD160" s="402"/>
      <c r="CE160" s="402"/>
      <c r="CF160" s="402"/>
      <c r="CG160" s="402"/>
      <c r="CH160" s="402"/>
      <c r="CI160" s="402"/>
      <c r="CJ160" s="402"/>
      <c r="CK160" s="402"/>
      <c r="CL160" s="402"/>
      <c r="CM160" s="402"/>
      <c r="CN160" s="402"/>
      <c r="CO160" s="402"/>
      <c r="CP160" s="402"/>
      <c r="CQ160" s="402"/>
      <c r="CR160" s="402"/>
      <c r="CS160" s="402"/>
      <c r="CT160" s="402"/>
      <c r="CU160" s="402"/>
      <c r="CV160" s="402"/>
      <c r="CW160" s="402"/>
      <c r="CX160" s="402"/>
      <c r="CY160" s="402"/>
      <c r="CZ160" s="402"/>
      <c r="DA160" s="402"/>
      <c r="DB160" s="402"/>
      <c r="DC160" s="402"/>
      <c r="DD160" s="402"/>
      <c r="DE160" s="402"/>
      <c r="DF160" s="402"/>
      <c r="DG160" s="402"/>
      <c r="DH160" s="402"/>
      <c r="DI160" s="402"/>
      <c r="DJ160" s="402"/>
      <c r="DK160" s="402"/>
      <c r="DL160" s="402"/>
      <c r="DM160" s="402"/>
      <c r="DN160" s="402"/>
      <c r="DO160" s="402"/>
      <c r="DP160" s="402"/>
      <c r="DQ160" s="402"/>
    </row>
    <row r="161" spans="1:121" s="759" customFormat="1" ht="14.45" customHeight="1" x14ac:dyDescent="0.25">
      <c r="A161" s="266">
        <f t="shared" si="2"/>
        <v>16.766666666666666</v>
      </c>
      <c r="B161" s="389">
        <v>42353</v>
      </c>
      <c r="C161" s="390" t="s">
        <v>904</v>
      </c>
      <c r="D161" s="391" t="s">
        <v>904</v>
      </c>
      <c r="E161" s="390" t="s">
        <v>380</v>
      </c>
      <c r="F161" s="262" t="s">
        <v>185</v>
      </c>
      <c r="G161" s="262" t="s">
        <v>186</v>
      </c>
      <c r="H161" s="261"/>
      <c r="I161" s="261"/>
      <c r="J161" s="261"/>
      <c r="K161" s="261"/>
      <c r="L161" s="261"/>
      <c r="M161" s="261"/>
      <c r="N161" s="261"/>
      <c r="O161" s="261"/>
      <c r="P161" s="261"/>
      <c r="Q161" s="261"/>
      <c r="R161" s="261"/>
      <c r="S161" s="261"/>
      <c r="T161" s="261"/>
      <c r="U161" s="261"/>
      <c r="V161" s="762"/>
      <c r="W161" s="261">
        <v>3</v>
      </c>
      <c r="X161" s="261"/>
      <c r="Y161" s="264">
        <f>IF(NFI_Expiration=1,IF($A161&lt;VLOOKUP(H$5,NFI,5,0),1,0)*Table_NFI[[#This Row],[Hygiene Kit]],Table_NFI[Hygiene Kit])</f>
        <v>0</v>
      </c>
      <c r="Z161" s="264">
        <f>IF(NFI_Expiration=1,IF($A161&lt;VLOOKUP(I$5,NFI,5,0),1,0)*Table_NFI[[#This Row],[NFI Core Kit]],Table_NFI[NFI Core Kit])</f>
        <v>0</v>
      </c>
      <c r="AA161" s="264">
        <f>IF(NFI_Expiration=1,IF($A161&lt;VLOOKUP(J$5,NFI,5,0),1,0)*Table_NFI[[#This Row],[Sanitary Kit]],Table_NFI[Sanitary Kit])</f>
        <v>0</v>
      </c>
      <c r="AB161" s="264">
        <f>IF(NFI_Expiration=1,IF($A161&lt;VLOOKUP(K$5,NFI,5,0),1,0)*Table_NFI[[#This Row],[Mosquito net]],Table_NFI[Mosquito net])</f>
        <v>0</v>
      </c>
      <c r="AC161" s="264">
        <f>IF(NFI_Expiration=1,IF($A161&lt;VLOOKUP(L$5,NFI,5,0),1,0)*Table_NFI[[#This Row],[Tarpaulin]],Table_NFI[[#This Row],[Tarpaulin]])</f>
        <v>0</v>
      </c>
      <c r="AD161" s="264">
        <f>IF(NFI_Expiration=1,IF($A161&lt;VLOOKUP(M$5,NFI,5,0),1,0)*Table_NFI[[#This Row],[Blanket]],Table_NFI[[#This Row],[Blanket]])</f>
        <v>0</v>
      </c>
      <c r="AE161" s="264">
        <f>IF(NFI_Expiration=1,IF($A161&lt;VLOOKUP(N$5,NFI,5,0),1,0)*Table_NFI[[#This Row],[Kitchen Set]],Table_NFI[Kitchen Set])</f>
        <v>0</v>
      </c>
      <c r="AF161" s="264">
        <f>IF(NFI_Expiration=1,IF($A161&lt;VLOOKUP(O$5,NFI,5,0),1,0)*Table_NFI[[#This Row],[Clothes Kit]],Table_NFI[Clothes Kit])</f>
        <v>0</v>
      </c>
      <c r="AG161" s="264">
        <f>IF(NFI_Expiration=1,IF($A161&lt;VLOOKUP(P$5,NFI,5,0),1,0)*Table_NFI[[#This Row],[Plastic Bucket]],Table_NFI[Plastic Bucket])</f>
        <v>0</v>
      </c>
      <c r="AH161" s="264">
        <f>IF(NFI_Expiration=1,IF($A161&lt;VLOOKUP(Q$5,NFI,5,0),1,0)*Table_NFI[[#This Row],[Plastic Mat]],Table_NFI[Plastic Mat])*IF(Table_NFI[[#This Row],[Distribution Date]]&gt;"2014-04-01",1,2.5)</f>
        <v>0</v>
      </c>
      <c r="AI161" s="264">
        <f>IF(NFI_Expiration=1,IF($A161&lt;VLOOKUP(R$5,NFI,5,0),1,0)*Table_NFI[[#This Row],[Winter Clothes Adult]],Table_NFI[Winter Clothes Adult])</f>
        <v>0</v>
      </c>
      <c r="AJ161" s="264">
        <f>IF(NFI_Expiration=1,IF($A161&lt;VLOOKUP(S$5,NFI,5,0),1,0)*Table_NFI[[#This Row],[Winter Clothes Children]],Table_NFI[Winter Clothes Children])</f>
        <v>0</v>
      </c>
      <c r="AK161" s="264">
        <f>IF(NFI_Expiration=1,IF($A161&lt;VLOOKUP(T$5,NFI,5,0),1,0)*Table_NFI[[#This Row],[Winter Items Other]],Table_NFI[Winter Items Other])</f>
        <v>0</v>
      </c>
      <c r="AL161" s="264">
        <f>IF(NFI_Expiration=1,IF($A161&lt;VLOOKUP(M$5,NFI,5,0),1,0)*Table_NFI[[#This Row],[Winter Blanket]],Table_NFI[[#This Row],[Winter Blanket]])</f>
        <v>0</v>
      </c>
      <c r="AM161" s="264">
        <f>IF(Table_NFI[[#This Row],[Winter Clothes Adult]]+Table_NFI[[#This Row],[Winter Clothes Children]]+Table_NFI[[#This Row],[Winter Items Other]]+Table_NFI[[#This Row],[Winter Blanket]]&gt;0,1,0)</f>
        <v>0</v>
      </c>
      <c r="AN161" s="296">
        <f>IF(NFI_Expiration=1,IF($A161&lt;VLOOKUP(V$5,NFI,5,0),1,0)*Table_NFI[[#This Row],[Jerry Can]],Table_NFI[Jerry Can])</f>
        <v>0</v>
      </c>
      <c r="AO161" s="296">
        <f>IF(NFI_Expiration=1,IF($A161&lt;VLOOKUP(V$5,NFI,5,0),1,0)*Table_NFI[[#This Row],[Shelter Tool kit]],Table_NFI[Shelter Tool kit])</f>
        <v>0</v>
      </c>
      <c r="AP161" s="296">
        <f>IF(NFI_Expiration=1,IF($A161&lt;VLOOKUP(V$5,NFI,5,0),1,0)*Table_NFI[[#This Row],[Tent]],Table_NFI[Tent])</f>
        <v>0</v>
      </c>
      <c r="AQ161" s="396" t="str">
        <f>IFERROR(VLOOKUP(Table_NFI[[#This Row],[Camp Name]],CL,2,0),"")</f>
        <v>MMR001CMP071</v>
      </c>
      <c r="AR161" s="702">
        <f ca="1">IF(Table_NFI[[#This Row],[Pcode]]="","",IF(OFFSET(CampList[Opening Date],MATCH(Table_NFI[[#This Row],[Pcode]],CampList[CP_Pcode],0)-1,0,1,1)&gt;=NFI_Monitor_Date,1,0))</f>
        <v>0</v>
      </c>
      <c r="AS161" s="396" t="str">
        <f>IFERROR(VLOOKUP(Table_NFI[[#This Row],[Camp Name]],CL,3,0),"")</f>
        <v>Open</v>
      </c>
      <c r="AT161" s="264" t="str">
        <f ca="1">IF(Table_NFI[[#This Row],[Pcode]]="","",OFFSET(CampList[Priority],MATCH(Table_NFI[[#This Row],[Pcode]],CampList[CP_Pcode],0)-1,0,1,1))</f>
        <v>P3</v>
      </c>
      <c r="AU161" s="263">
        <f>IFERROR(Table_NFI[[#This Row],[Kitchen Set]]/VLOOKUP(Table_NFI[[#This Row],[Camp Name]],CL,4,0),"")</f>
        <v>0</v>
      </c>
      <c r="AV161" s="390"/>
      <c r="AW161" s="392"/>
      <c r="AX161" s="402"/>
      <c r="AY161" s="402"/>
      <c r="AZ161" s="402"/>
      <c r="BA161" s="402"/>
      <c r="BB161" s="402"/>
      <c r="BC161" s="402"/>
      <c r="BD161" s="402"/>
      <c r="BE161" s="402"/>
      <c r="BF161" s="402"/>
      <c r="BG161" s="402"/>
      <c r="BH161" s="402"/>
      <c r="BI161" s="402"/>
      <c r="BJ161" s="402"/>
      <c r="BK161" s="402"/>
      <c r="BL161" s="402"/>
      <c r="BM161" s="402"/>
      <c r="BN161" s="402"/>
      <c r="BO161" s="402"/>
      <c r="BP161" s="402"/>
      <c r="BQ161" s="402"/>
      <c r="BR161" s="402"/>
      <c r="BS161" s="402"/>
      <c r="BT161" s="402"/>
      <c r="BU161" s="402"/>
      <c r="BV161" s="402"/>
      <c r="BW161" s="402"/>
      <c r="BX161" s="402"/>
      <c r="BY161" s="402"/>
      <c r="BZ161" s="402"/>
      <c r="CA161" s="402"/>
      <c r="CB161" s="402"/>
      <c r="CC161" s="402"/>
      <c r="CD161" s="402"/>
      <c r="CE161" s="402"/>
      <c r="CF161" s="402"/>
      <c r="CG161" s="402"/>
      <c r="CH161" s="402"/>
      <c r="CI161" s="402"/>
      <c r="CJ161" s="402"/>
      <c r="CK161" s="402"/>
      <c r="CL161" s="402"/>
      <c r="CM161" s="402"/>
      <c r="CN161" s="402"/>
      <c r="CO161" s="402"/>
      <c r="CP161" s="402"/>
      <c r="CQ161" s="402"/>
      <c r="CR161" s="402"/>
      <c r="CS161" s="402"/>
      <c r="CT161" s="402"/>
      <c r="CU161" s="402"/>
      <c r="CV161" s="402"/>
      <c r="CW161" s="402"/>
      <c r="CX161" s="402"/>
      <c r="CY161" s="402"/>
      <c r="CZ161" s="402"/>
      <c r="DA161" s="402"/>
      <c r="DB161" s="402"/>
      <c r="DC161" s="402"/>
      <c r="DD161" s="402"/>
      <c r="DE161" s="402"/>
      <c r="DF161" s="402"/>
      <c r="DG161" s="402"/>
      <c r="DH161" s="402"/>
      <c r="DI161" s="402"/>
      <c r="DJ161" s="402"/>
      <c r="DK161" s="402"/>
      <c r="DL161" s="402"/>
      <c r="DM161" s="402"/>
      <c r="DN161" s="402"/>
      <c r="DO161" s="402"/>
      <c r="DP161" s="402"/>
      <c r="DQ161" s="402"/>
    </row>
    <row r="162" spans="1:121" s="759" customFormat="1" ht="14.45" customHeight="1" x14ac:dyDescent="0.25">
      <c r="A162" s="266">
        <f t="shared" si="2"/>
        <v>16.766666666666666</v>
      </c>
      <c r="B162" s="389">
        <v>42353</v>
      </c>
      <c r="C162" s="390" t="s">
        <v>904</v>
      </c>
      <c r="D162" s="391" t="s">
        <v>904</v>
      </c>
      <c r="E162" s="390" t="s">
        <v>380</v>
      </c>
      <c r="F162" s="262" t="s">
        <v>185</v>
      </c>
      <c r="G162" s="262" t="s">
        <v>186</v>
      </c>
      <c r="H162" s="261"/>
      <c r="I162" s="261"/>
      <c r="J162" s="261"/>
      <c r="K162" s="261"/>
      <c r="L162" s="261"/>
      <c r="M162" s="261"/>
      <c r="N162" s="261"/>
      <c r="O162" s="261"/>
      <c r="P162" s="261"/>
      <c r="Q162" s="261"/>
      <c r="R162" s="261"/>
      <c r="S162" s="261"/>
      <c r="T162" s="261"/>
      <c r="U162" s="261"/>
      <c r="V162" s="762"/>
      <c r="W162" s="261"/>
      <c r="X162" s="261"/>
      <c r="Y162" s="264">
        <f>IF(NFI_Expiration=1,IF($A162&lt;VLOOKUP(H$5,NFI,5,0),1,0)*Table_NFI[[#This Row],[Hygiene Kit]],Table_NFI[Hygiene Kit])</f>
        <v>0</v>
      </c>
      <c r="Z162" s="264">
        <f>IF(NFI_Expiration=1,IF($A162&lt;VLOOKUP(I$5,NFI,5,0),1,0)*Table_NFI[[#This Row],[NFI Core Kit]],Table_NFI[NFI Core Kit])</f>
        <v>0</v>
      </c>
      <c r="AA162" s="264">
        <f>IF(NFI_Expiration=1,IF($A162&lt;VLOOKUP(J$5,NFI,5,0),1,0)*Table_NFI[[#This Row],[Sanitary Kit]],Table_NFI[Sanitary Kit])</f>
        <v>0</v>
      </c>
      <c r="AB162" s="264">
        <f>IF(NFI_Expiration=1,IF($A162&lt;VLOOKUP(K$5,NFI,5,0),1,0)*Table_NFI[[#This Row],[Mosquito net]],Table_NFI[Mosquito net])</f>
        <v>0</v>
      </c>
      <c r="AC162" s="264">
        <f>IF(NFI_Expiration=1,IF($A162&lt;VLOOKUP(L$5,NFI,5,0),1,0)*Table_NFI[[#This Row],[Tarpaulin]],Table_NFI[[#This Row],[Tarpaulin]])</f>
        <v>0</v>
      </c>
      <c r="AD162" s="264">
        <f>IF(NFI_Expiration=1,IF($A162&lt;VLOOKUP(M$5,NFI,5,0),1,0)*Table_NFI[[#This Row],[Blanket]],Table_NFI[[#This Row],[Blanket]])</f>
        <v>0</v>
      </c>
      <c r="AE162" s="264">
        <f>IF(NFI_Expiration=1,IF($A162&lt;VLOOKUP(N$5,NFI,5,0),1,0)*Table_NFI[[#This Row],[Kitchen Set]],Table_NFI[Kitchen Set])</f>
        <v>0</v>
      </c>
      <c r="AF162" s="264">
        <f>IF(NFI_Expiration=1,IF($A162&lt;VLOOKUP(O$5,NFI,5,0),1,0)*Table_NFI[[#This Row],[Clothes Kit]],Table_NFI[Clothes Kit])</f>
        <v>0</v>
      </c>
      <c r="AG162" s="264">
        <f>IF(NFI_Expiration=1,IF($A162&lt;VLOOKUP(P$5,NFI,5,0),1,0)*Table_NFI[[#This Row],[Plastic Bucket]],Table_NFI[Plastic Bucket])</f>
        <v>0</v>
      </c>
      <c r="AH162" s="264">
        <f>IF(NFI_Expiration=1,IF($A162&lt;VLOOKUP(Q$5,NFI,5,0),1,0)*Table_NFI[[#This Row],[Plastic Mat]],Table_NFI[Plastic Mat])*IF(Table_NFI[[#This Row],[Distribution Date]]&gt;"2014-04-01",1,2.5)</f>
        <v>0</v>
      </c>
      <c r="AI162" s="264">
        <f>IF(NFI_Expiration=1,IF($A162&lt;VLOOKUP(R$5,NFI,5,0),1,0)*Table_NFI[[#This Row],[Winter Clothes Adult]],Table_NFI[Winter Clothes Adult])</f>
        <v>0</v>
      </c>
      <c r="AJ162" s="264">
        <f>IF(NFI_Expiration=1,IF($A162&lt;VLOOKUP(S$5,NFI,5,0),1,0)*Table_NFI[[#This Row],[Winter Clothes Children]],Table_NFI[Winter Clothes Children])</f>
        <v>0</v>
      </c>
      <c r="AK162" s="264">
        <f>IF(NFI_Expiration=1,IF($A162&lt;VLOOKUP(T$5,NFI,5,0),1,0)*Table_NFI[[#This Row],[Winter Items Other]],Table_NFI[Winter Items Other])</f>
        <v>0</v>
      </c>
      <c r="AL162" s="264">
        <f>IF(NFI_Expiration=1,IF($A162&lt;VLOOKUP(M$5,NFI,5,0),1,0)*Table_NFI[[#This Row],[Winter Blanket]],Table_NFI[[#This Row],[Winter Blanket]])</f>
        <v>0</v>
      </c>
      <c r="AM162" s="264">
        <f>IF(Table_NFI[[#This Row],[Winter Clothes Adult]]+Table_NFI[[#This Row],[Winter Clothes Children]]+Table_NFI[[#This Row],[Winter Items Other]]+Table_NFI[[#This Row],[Winter Blanket]]&gt;0,1,0)</f>
        <v>0</v>
      </c>
      <c r="AN162" s="296">
        <f>IF(NFI_Expiration=1,IF($A162&lt;VLOOKUP(V$5,NFI,5,0),1,0)*Table_NFI[[#This Row],[Jerry Can]],Table_NFI[Jerry Can])</f>
        <v>0</v>
      </c>
      <c r="AO162" s="296">
        <f>IF(NFI_Expiration=1,IF($A162&lt;VLOOKUP(V$5,NFI,5,0),1,0)*Table_NFI[[#This Row],[Shelter Tool kit]],Table_NFI[Shelter Tool kit])</f>
        <v>0</v>
      </c>
      <c r="AP162" s="296">
        <f>IF(NFI_Expiration=1,IF($A162&lt;VLOOKUP(V$5,NFI,5,0),1,0)*Table_NFI[[#This Row],[Tent]],Table_NFI[Tent])</f>
        <v>0</v>
      </c>
      <c r="AQ162" s="396" t="str">
        <f>IFERROR(VLOOKUP(Table_NFI[[#This Row],[Camp Name]],CL,2,0),"")</f>
        <v>MMR001CMP071</v>
      </c>
      <c r="AR162" s="702">
        <f ca="1">IF(Table_NFI[[#This Row],[Pcode]]="","",IF(OFFSET(CampList[Opening Date],MATCH(Table_NFI[[#This Row],[Pcode]],CampList[CP_Pcode],0)-1,0,1,1)&gt;=NFI_Monitor_Date,1,0))</f>
        <v>0</v>
      </c>
      <c r="AS162" s="396" t="str">
        <f>IFERROR(VLOOKUP(Table_NFI[[#This Row],[Camp Name]],CL,3,0),"")</f>
        <v>Open</v>
      </c>
      <c r="AT162" s="264" t="str">
        <f ca="1">IF(Table_NFI[[#This Row],[Pcode]]="","",OFFSET(CampList[Priority],MATCH(Table_NFI[[#This Row],[Pcode]],CampList[CP_Pcode],0)-1,0,1,1))</f>
        <v>P3</v>
      </c>
      <c r="AU162" s="263">
        <f>IFERROR(Table_NFI[[#This Row],[Kitchen Set]]/VLOOKUP(Table_NFI[[#This Row],[Camp Name]],CL,4,0),"")</f>
        <v>0</v>
      </c>
      <c r="AV162" s="390"/>
      <c r="AW162" s="392"/>
      <c r="AX162" s="402"/>
      <c r="AY162" s="402"/>
      <c r="AZ162" s="402"/>
      <c r="BA162" s="402"/>
      <c r="BB162" s="402"/>
      <c r="BC162" s="402"/>
      <c r="BD162" s="402"/>
      <c r="BE162" s="402"/>
      <c r="BF162" s="402"/>
      <c r="BG162" s="402"/>
      <c r="BH162" s="402"/>
      <c r="BI162" s="402"/>
      <c r="BJ162" s="402"/>
      <c r="BK162" s="402"/>
      <c r="BL162" s="402"/>
      <c r="BM162" s="402"/>
      <c r="BN162" s="402"/>
      <c r="BO162" s="402"/>
      <c r="BP162" s="402"/>
      <c r="BQ162" s="402"/>
      <c r="BR162" s="402"/>
      <c r="BS162" s="402"/>
      <c r="BT162" s="402"/>
      <c r="BU162" s="402"/>
      <c r="BV162" s="402"/>
      <c r="BW162" s="402"/>
      <c r="BX162" s="402"/>
      <c r="BY162" s="402"/>
      <c r="BZ162" s="402"/>
      <c r="CA162" s="402"/>
      <c r="CB162" s="402"/>
      <c r="CC162" s="402"/>
      <c r="CD162" s="402"/>
      <c r="CE162" s="402"/>
      <c r="CF162" s="402"/>
      <c r="CG162" s="402"/>
      <c r="CH162" s="402"/>
      <c r="CI162" s="402"/>
      <c r="CJ162" s="402"/>
      <c r="CK162" s="402"/>
      <c r="CL162" s="402"/>
      <c r="CM162" s="402"/>
      <c r="CN162" s="402"/>
      <c r="CO162" s="402"/>
      <c r="CP162" s="402"/>
      <c r="CQ162" s="402"/>
      <c r="CR162" s="402"/>
      <c r="CS162" s="402"/>
      <c r="CT162" s="402"/>
      <c r="CU162" s="402"/>
      <c r="CV162" s="402"/>
      <c r="CW162" s="402"/>
      <c r="CX162" s="402"/>
      <c r="CY162" s="402"/>
      <c r="CZ162" s="402"/>
      <c r="DA162" s="402"/>
      <c r="DB162" s="402"/>
      <c r="DC162" s="402"/>
      <c r="DD162" s="402"/>
      <c r="DE162" s="402"/>
      <c r="DF162" s="402"/>
      <c r="DG162" s="402"/>
      <c r="DH162" s="402"/>
      <c r="DI162" s="402"/>
      <c r="DJ162" s="402"/>
      <c r="DK162" s="402"/>
      <c r="DL162" s="402"/>
      <c r="DM162" s="402"/>
      <c r="DN162" s="402"/>
      <c r="DO162" s="402"/>
      <c r="DP162" s="402"/>
      <c r="DQ162" s="402"/>
    </row>
    <row r="163" spans="1:121" s="759" customFormat="1" ht="14.45" customHeight="1" x14ac:dyDescent="0.25">
      <c r="A163" s="266">
        <f t="shared" si="2"/>
        <v>16.766666666666666</v>
      </c>
      <c r="B163" s="389">
        <v>42353</v>
      </c>
      <c r="C163" s="390" t="s">
        <v>904</v>
      </c>
      <c r="D163" s="391" t="s">
        <v>904</v>
      </c>
      <c r="E163" s="390" t="s">
        <v>380</v>
      </c>
      <c r="F163" s="262" t="s">
        <v>185</v>
      </c>
      <c r="G163" s="262" t="s">
        <v>223</v>
      </c>
      <c r="H163" s="261"/>
      <c r="I163" s="261"/>
      <c r="J163" s="261"/>
      <c r="K163" s="261"/>
      <c r="L163" s="261"/>
      <c r="M163" s="261"/>
      <c r="N163" s="261"/>
      <c r="O163" s="261"/>
      <c r="P163" s="261"/>
      <c r="Q163" s="261"/>
      <c r="R163" s="261"/>
      <c r="S163" s="261"/>
      <c r="T163" s="261"/>
      <c r="U163" s="261"/>
      <c r="V163" s="762"/>
      <c r="W163" s="261">
        <v>20</v>
      </c>
      <c r="X163" s="261"/>
      <c r="Y163" s="264">
        <f>IF(NFI_Expiration=1,IF($A163&lt;VLOOKUP(H$5,NFI,5,0),1,0)*Table_NFI[[#This Row],[Hygiene Kit]],Table_NFI[Hygiene Kit])</f>
        <v>0</v>
      </c>
      <c r="Z163" s="264">
        <f>IF(NFI_Expiration=1,IF($A163&lt;VLOOKUP(I$5,NFI,5,0),1,0)*Table_NFI[[#This Row],[NFI Core Kit]],Table_NFI[NFI Core Kit])</f>
        <v>0</v>
      </c>
      <c r="AA163" s="264">
        <f>IF(NFI_Expiration=1,IF($A163&lt;VLOOKUP(J$5,NFI,5,0),1,0)*Table_NFI[[#This Row],[Sanitary Kit]],Table_NFI[Sanitary Kit])</f>
        <v>0</v>
      </c>
      <c r="AB163" s="264">
        <f>IF(NFI_Expiration=1,IF($A163&lt;VLOOKUP(K$5,NFI,5,0),1,0)*Table_NFI[[#This Row],[Mosquito net]],Table_NFI[Mosquito net])</f>
        <v>0</v>
      </c>
      <c r="AC163" s="264">
        <f>IF(NFI_Expiration=1,IF($A163&lt;VLOOKUP(L$5,NFI,5,0),1,0)*Table_NFI[[#This Row],[Tarpaulin]],Table_NFI[[#This Row],[Tarpaulin]])</f>
        <v>0</v>
      </c>
      <c r="AD163" s="264">
        <f>IF(NFI_Expiration=1,IF($A163&lt;VLOOKUP(M$5,NFI,5,0),1,0)*Table_NFI[[#This Row],[Blanket]],Table_NFI[[#This Row],[Blanket]])</f>
        <v>0</v>
      </c>
      <c r="AE163" s="264">
        <f>IF(NFI_Expiration=1,IF($A163&lt;VLOOKUP(N$5,NFI,5,0),1,0)*Table_NFI[[#This Row],[Kitchen Set]],Table_NFI[Kitchen Set])</f>
        <v>0</v>
      </c>
      <c r="AF163" s="264">
        <f>IF(NFI_Expiration=1,IF($A163&lt;VLOOKUP(O$5,NFI,5,0),1,0)*Table_NFI[[#This Row],[Clothes Kit]],Table_NFI[Clothes Kit])</f>
        <v>0</v>
      </c>
      <c r="AG163" s="264">
        <f>IF(NFI_Expiration=1,IF($A163&lt;VLOOKUP(P$5,NFI,5,0),1,0)*Table_NFI[[#This Row],[Plastic Bucket]],Table_NFI[Plastic Bucket])</f>
        <v>0</v>
      </c>
      <c r="AH163" s="264">
        <f>IF(NFI_Expiration=1,IF($A163&lt;VLOOKUP(Q$5,NFI,5,0),1,0)*Table_NFI[[#This Row],[Plastic Mat]],Table_NFI[Plastic Mat])*IF(Table_NFI[[#This Row],[Distribution Date]]&gt;"2014-04-01",1,2.5)</f>
        <v>0</v>
      </c>
      <c r="AI163" s="264">
        <f>IF(NFI_Expiration=1,IF($A163&lt;VLOOKUP(R$5,NFI,5,0),1,0)*Table_NFI[[#This Row],[Winter Clothes Adult]],Table_NFI[Winter Clothes Adult])</f>
        <v>0</v>
      </c>
      <c r="AJ163" s="264">
        <f>IF(NFI_Expiration=1,IF($A163&lt;VLOOKUP(S$5,NFI,5,0),1,0)*Table_NFI[[#This Row],[Winter Clothes Children]],Table_NFI[Winter Clothes Children])</f>
        <v>0</v>
      </c>
      <c r="AK163" s="264">
        <f>IF(NFI_Expiration=1,IF($A163&lt;VLOOKUP(T$5,NFI,5,0),1,0)*Table_NFI[[#This Row],[Winter Items Other]],Table_NFI[Winter Items Other])</f>
        <v>0</v>
      </c>
      <c r="AL163" s="264">
        <f>IF(NFI_Expiration=1,IF($A163&lt;VLOOKUP(M$5,NFI,5,0),1,0)*Table_NFI[[#This Row],[Winter Blanket]],Table_NFI[[#This Row],[Winter Blanket]])</f>
        <v>0</v>
      </c>
      <c r="AM163" s="264">
        <f>IF(Table_NFI[[#This Row],[Winter Clothes Adult]]+Table_NFI[[#This Row],[Winter Clothes Children]]+Table_NFI[[#This Row],[Winter Items Other]]+Table_NFI[[#This Row],[Winter Blanket]]&gt;0,1,0)</f>
        <v>0</v>
      </c>
      <c r="AN163" s="296">
        <f>IF(NFI_Expiration=1,IF($A163&lt;VLOOKUP(V$5,NFI,5,0),1,0)*Table_NFI[[#This Row],[Jerry Can]],Table_NFI[Jerry Can])</f>
        <v>0</v>
      </c>
      <c r="AO163" s="296">
        <f>IF(NFI_Expiration=1,IF($A163&lt;VLOOKUP(V$5,NFI,5,0),1,0)*Table_NFI[[#This Row],[Shelter Tool kit]],Table_NFI[Shelter Tool kit])</f>
        <v>0</v>
      </c>
      <c r="AP163" s="296">
        <f>IF(NFI_Expiration=1,IF($A163&lt;VLOOKUP(V$5,NFI,5,0),1,0)*Table_NFI[[#This Row],[Tent]],Table_NFI[Tent])</f>
        <v>0</v>
      </c>
      <c r="AQ163" s="396" t="str">
        <f>IFERROR(VLOOKUP(Table_NFI[[#This Row],[Camp Name]],CL,2,0),"")</f>
        <v>MMR001CMP069</v>
      </c>
      <c r="AR163" s="702">
        <f ca="1">IF(Table_NFI[[#This Row],[Pcode]]="","",IF(OFFSET(CampList[Opening Date],MATCH(Table_NFI[[#This Row],[Pcode]],CampList[CP_Pcode],0)-1,0,1,1)&gt;=NFI_Monitor_Date,1,0))</f>
        <v>0</v>
      </c>
      <c r="AS163" s="396" t="str">
        <f>IFERROR(VLOOKUP(Table_NFI[[#This Row],[Camp Name]],CL,3,0),"")</f>
        <v>Open</v>
      </c>
      <c r="AT163" s="264" t="str">
        <f ca="1">IF(Table_NFI[[#This Row],[Pcode]]="","",OFFSET(CampList[Priority],MATCH(Table_NFI[[#This Row],[Pcode]],CampList[CP_Pcode],0)-1,0,1,1))</f>
        <v>P3</v>
      </c>
      <c r="AU163" s="263">
        <f>IFERROR(Table_NFI[[#This Row],[Kitchen Set]]/VLOOKUP(Table_NFI[[#This Row],[Camp Name]],CL,4,0),"")</f>
        <v>0</v>
      </c>
      <c r="AV163" s="390"/>
      <c r="AW163" s="392"/>
      <c r="AX163" s="402"/>
      <c r="AY163" s="402"/>
      <c r="AZ163" s="402"/>
      <c r="BA163" s="402"/>
      <c r="BB163" s="402"/>
      <c r="BC163" s="402"/>
      <c r="BD163" s="402"/>
      <c r="BE163" s="402"/>
      <c r="BF163" s="402"/>
      <c r="BG163" s="402"/>
      <c r="BH163" s="402"/>
      <c r="BI163" s="402"/>
      <c r="BJ163" s="402"/>
      <c r="BK163" s="402"/>
      <c r="BL163" s="402"/>
      <c r="BM163" s="402"/>
      <c r="BN163" s="402"/>
      <c r="BO163" s="402"/>
      <c r="BP163" s="402"/>
      <c r="BQ163" s="402"/>
      <c r="BR163" s="402"/>
      <c r="BS163" s="402"/>
      <c r="BT163" s="402"/>
      <c r="BU163" s="402"/>
      <c r="BV163" s="402"/>
      <c r="BW163" s="402"/>
      <c r="BX163" s="402"/>
      <c r="BY163" s="402"/>
      <c r="BZ163" s="402"/>
      <c r="CA163" s="402"/>
      <c r="CB163" s="402"/>
      <c r="CC163" s="402"/>
      <c r="CD163" s="402"/>
      <c r="CE163" s="402"/>
      <c r="CF163" s="402"/>
      <c r="CG163" s="402"/>
      <c r="CH163" s="402"/>
      <c r="CI163" s="402"/>
      <c r="CJ163" s="402"/>
      <c r="CK163" s="402"/>
      <c r="CL163" s="402"/>
      <c r="CM163" s="402"/>
      <c r="CN163" s="402"/>
      <c r="CO163" s="402"/>
      <c r="CP163" s="402"/>
      <c r="CQ163" s="402"/>
      <c r="CR163" s="402"/>
      <c r="CS163" s="402"/>
      <c r="CT163" s="402"/>
      <c r="CU163" s="402"/>
      <c r="CV163" s="402"/>
      <c r="CW163" s="402"/>
      <c r="CX163" s="402"/>
      <c r="CY163" s="402"/>
      <c r="CZ163" s="402"/>
      <c r="DA163" s="402"/>
      <c r="DB163" s="402"/>
      <c r="DC163" s="402"/>
      <c r="DD163" s="402"/>
      <c r="DE163" s="402"/>
      <c r="DF163" s="402"/>
      <c r="DG163" s="402"/>
      <c r="DH163" s="402"/>
      <c r="DI163" s="402"/>
      <c r="DJ163" s="402"/>
      <c r="DK163" s="402"/>
      <c r="DL163" s="402"/>
      <c r="DM163" s="402"/>
      <c r="DN163" s="402"/>
      <c r="DO163" s="402"/>
      <c r="DP163" s="402"/>
      <c r="DQ163" s="402"/>
    </row>
    <row r="164" spans="1:121" s="759" customFormat="1" ht="14.45" customHeight="1" x14ac:dyDescent="0.25">
      <c r="A164" s="266">
        <f t="shared" si="2"/>
        <v>16.766666666666666</v>
      </c>
      <c r="B164" s="389">
        <v>42353</v>
      </c>
      <c r="C164" s="390" t="s">
        <v>904</v>
      </c>
      <c r="D164" s="391" t="s">
        <v>904</v>
      </c>
      <c r="E164" s="390" t="s">
        <v>380</v>
      </c>
      <c r="F164" s="262" t="s">
        <v>185</v>
      </c>
      <c r="G164" s="262" t="s">
        <v>190</v>
      </c>
      <c r="H164" s="261"/>
      <c r="I164" s="261"/>
      <c r="J164" s="261"/>
      <c r="K164" s="261"/>
      <c r="L164" s="261"/>
      <c r="M164" s="261"/>
      <c r="N164" s="261"/>
      <c r="O164" s="261"/>
      <c r="P164" s="261"/>
      <c r="Q164" s="261"/>
      <c r="R164" s="261"/>
      <c r="S164" s="261"/>
      <c r="T164" s="261"/>
      <c r="U164" s="261"/>
      <c r="V164" s="762"/>
      <c r="W164" s="261">
        <v>14</v>
      </c>
      <c r="X164" s="261"/>
      <c r="Y164" s="264">
        <f>IF(NFI_Expiration=1,IF($A164&lt;VLOOKUP(H$5,NFI,5,0),1,0)*Table_NFI[[#This Row],[Hygiene Kit]],Table_NFI[Hygiene Kit])</f>
        <v>0</v>
      </c>
      <c r="Z164" s="264">
        <f>IF(NFI_Expiration=1,IF($A164&lt;VLOOKUP(I$5,NFI,5,0),1,0)*Table_NFI[[#This Row],[NFI Core Kit]],Table_NFI[NFI Core Kit])</f>
        <v>0</v>
      </c>
      <c r="AA164" s="264">
        <f>IF(NFI_Expiration=1,IF($A164&lt;VLOOKUP(J$5,NFI,5,0),1,0)*Table_NFI[[#This Row],[Sanitary Kit]],Table_NFI[Sanitary Kit])</f>
        <v>0</v>
      </c>
      <c r="AB164" s="264">
        <f>IF(NFI_Expiration=1,IF($A164&lt;VLOOKUP(K$5,NFI,5,0),1,0)*Table_NFI[[#This Row],[Mosquito net]],Table_NFI[Mosquito net])</f>
        <v>0</v>
      </c>
      <c r="AC164" s="264">
        <f>IF(NFI_Expiration=1,IF($A164&lt;VLOOKUP(L$5,NFI,5,0),1,0)*Table_NFI[[#This Row],[Tarpaulin]],Table_NFI[[#This Row],[Tarpaulin]])</f>
        <v>0</v>
      </c>
      <c r="AD164" s="264">
        <f>IF(NFI_Expiration=1,IF($A164&lt;VLOOKUP(M$5,NFI,5,0),1,0)*Table_NFI[[#This Row],[Blanket]],Table_NFI[[#This Row],[Blanket]])</f>
        <v>0</v>
      </c>
      <c r="AE164" s="264">
        <f>IF(NFI_Expiration=1,IF($A164&lt;VLOOKUP(N$5,NFI,5,0),1,0)*Table_NFI[[#This Row],[Kitchen Set]],Table_NFI[Kitchen Set])</f>
        <v>0</v>
      </c>
      <c r="AF164" s="264">
        <f>IF(NFI_Expiration=1,IF($A164&lt;VLOOKUP(O$5,NFI,5,0),1,0)*Table_NFI[[#This Row],[Clothes Kit]],Table_NFI[Clothes Kit])</f>
        <v>0</v>
      </c>
      <c r="AG164" s="264">
        <f>IF(NFI_Expiration=1,IF($A164&lt;VLOOKUP(P$5,NFI,5,0),1,0)*Table_NFI[[#This Row],[Plastic Bucket]],Table_NFI[Plastic Bucket])</f>
        <v>0</v>
      </c>
      <c r="AH164" s="264">
        <f>IF(NFI_Expiration=1,IF($A164&lt;VLOOKUP(Q$5,NFI,5,0),1,0)*Table_NFI[[#This Row],[Plastic Mat]],Table_NFI[Plastic Mat])*IF(Table_NFI[[#This Row],[Distribution Date]]&gt;"2014-04-01",1,2.5)</f>
        <v>0</v>
      </c>
      <c r="AI164" s="264">
        <f>IF(NFI_Expiration=1,IF($A164&lt;VLOOKUP(R$5,NFI,5,0),1,0)*Table_NFI[[#This Row],[Winter Clothes Adult]],Table_NFI[Winter Clothes Adult])</f>
        <v>0</v>
      </c>
      <c r="AJ164" s="264">
        <f>IF(NFI_Expiration=1,IF($A164&lt;VLOOKUP(S$5,NFI,5,0),1,0)*Table_NFI[[#This Row],[Winter Clothes Children]],Table_NFI[Winter Clothes Children])</f>
        <v>0</v>
      </c>
      <c r="AK164" s="264">
        <f>IF(NFI_Expiration=1,IF($A164&lt;VLOOKUP(T$5,NFI,5,0),1,0)*Table_NFI[[#This Row],[Winter Items Other]],Table_NFI[Winter Items Other])</f>
        <v>0</v>
      </c>
      <c r="AL164" s="264">
        <f>IF(NFI_Expiration=1,IF($A164&lt;VLOOKUP(M$5,NFI,5,0),1,0)*Table_NFI[[#This Row],[Winter Blanket]],Table_NFI[[#This Row],[Winter Blanket]])</f>
        <v>0</v>
      </c>
      <c r="AM164" s="264">
        <f>IF(Table_NFI[[#This Row],[Winter Clothes Adult]]+Table_NFI[[#This Row],[Winter Clothes Children]]+Table_NFI[[#This Row],[Winter Items Other]]+Table_NFI[[#This Row],[Winter Blanket]]&gt;0,1,0)</f>
        <v>0</v>
      </c>
      <c r="AN164" s="296">
        <f>IF(NFI_Expiration=1,IF($A164&lt;VLOOKUP(V$5,NFI,5,0),1,0)*Table_NFI[[#This Row],[Jerry Can]],Table_NFI[Jerry Can])</f>
        <v>0</v>
      </c>
      <c r="AO164" s="296">
        <f>IF(NFI_Expiration=1,IF($A164&lt;VLOOKUP(V$5,NFI,5,0),1,0)*Table_NFI[[#This Row],[Shelter Tool kit]],Table_NFI[Shelter Tool kit])</f>
        <v>0</v>
      </c>
      <c r="AP164" s="296">
        <f>IF(NFI_Expiration=1,IF($A164&lt;VLOOKUP(V$5,NFI,5,0),1,0)*Table_NFI[[#This Row],[Tent]],Table_NFI[Tent])</f>
        <v>0</v>
      </c>
      <c r="AQ164" s="396" t="str">
        <f>IFERROR(VLOOKUP(Table_NFI[[#This Row],[Camp Name]],CL,2,0),"")</f>
        <v>MMR001CMP070</v>
      </c>
      <c r="AR164" s="702">
        <f ca="1">IF(Table_NFI[[#This Row],[Pcode]]="","",IF(OFFSET(CampList[Opening Date],MATCH(Table_NFI[[#This Row],[Pcode]],CampList[CP_Pcode],0)-1,0,1,1)&gt;=NFI_Monitor_Date,1,0))</f>
        <v>0</v>
      </c>
      <c r="AS164" s="396" t="str">
        <f>IFERROR(VLOOKUP(Table_NFI[[#This Row],[Camp Name]],CL,3,0),"")</f>
        <v>Open</v>
      </c>
      <c r="AT164" s="264" t="str">
        <f ca="1">IF(Table_NFI[[#This Row],[Pcode]]="","",OFFSET(CampList[Priority],MATCH(Table_NFI[[#This Row],[Pcode]],CampList[CP_Pcode],0)-1,0,1,1))</f>
        <v>P3</v>
      </c>
      <c r="AU164" s="263">
        <f>IFERROR(Table_NFI[[#This Row],[Kitchen Set]]/VLOOKUP(Table_NFI[[#This Row],[Camp Name]],CL,4,0),"")</f>
        <v>0</v>
      </c>
      <c r="AV164" s="390"/>
      <c r="AW164" s="392"/>
      <c r="AX164" s="402"/>
      <c r="AY164" s="402"/>
      <c r="AZ164" s="402"/>
      <c r="BA164" s="402"/>
      <c r="BB164" s="402"/>
      <c r="BC164" s="402"/>
      <c r="BD164" s="402"/>
      <c r="BE164" s="402"/>
      <c r="BF164" s="402"/>
      <c r="BG164" s="402"/>
      <c r="BH164" s="402"/>
      <c r="BI164" s="402"/>
      <c r="BJ164" s="402"/>
      <c r="BK164" s="402"/>
      <c r="BL164" s="402"/>
      <c r="BM164" s="402"/>
      <c r="BN164" s="402"/>
      <c r="BO164" s="402"/>
      <c r="BP164" s="402"/>
      <c r="BQ164" s="402"/>
      <c r="BR164" s="402"/>
      <c r="BS164" s="402"/>
      <c r="BT164" s="402"/>
      <c r="BU164" s="402"/>
      <c r="BV164" s="402"/>
      <c r="BW164" s="402"/>
      <c r="BX164" s="402"/>
      <c r="BY164" s="402"/>
      <c r="BZ164" s="402"/>
      <c r="CA164" s="402"/>
      <c r="CB164" s="402"/>
      <c r="CC164" s="402"/>
      <c r="CD164" s="402"/>
      <c r="CE164" s="402"/>
      <c r="CF164" s="402"/>
      <c r="CG164" s="402"/>
      <c r="CH164" s="402"/>
      <c r="CI164" s="402"/>
      <c r="CJ164" s="402"/>
      <c r="CK164" s="402"/>
      <c r="CL164" s="402"/>
      <c r="CM164" s="402"/>
      <c r="CN164" s="402"/>
      <c r="CO164" s="402"/>
      <c r="CP164" s="402"/>
      <c r="CQ164" s="402"/>
      <c r="CR164" s="402"/>
      <c r="CS164" s="402"/>
      <c r="CT164" s="402"/>
      <c r="CU164" s="402"/>
      <c r="CV164" s="402"/>
      <c r="CW164" s="402"/>
      <c r="CX164" s="402"/>
      <c r="CY164" s="402"/>
      <c r="CZ164" s="402"/>
      <c r="DA164" s="402"/>
      <c r="DB164" s="402"/>
      <c r="DC164" s="402"/>
      <c r="DD164" s="402"/>
      <c r="DE164" s="402"/>
      <c r="DF164" s="402"/>
      <c r="DG164" s="402"/>
      <c r="DH164" s="402"/>
      <c r="DI164" s="402"/>
      <c r="DJ164" s="402"/>
      <c r="DK164" s="402"/>
      <c r="DL164" s="402"/>
      <c r="DM164" s="402"/>
      <c r="DN164" s="402"/>
      <c r="DO164" s="402"/>
      <c r="DP164" s="402"/>
      <c r="DQ164" s="402"/>
    </row>
    <row r="165" spans="1:121" s="94" customFormat="1" ht="14.45" customHeight="1" x14ac:dyDescent="0.25">
      <c r="A165" s="266">
        <f t="shared" si="2"/>
        <v>16.766666666666666</v>
      </c>
      <c r="B165" s="389">
        <v>42353</v>
      </c>
      <c r="C165" s="394" t="s">
        <v>451</v>
      </c>
      <c r="D165" s="394" t="s">
        <v>459</v>
      </c>
      <c r="E165" s="394" t="s">
        <v>380</v>
      </c>
      <c r="F165" s="394" t="s">
        <v>237</v>
      </c>
      <c r="G165" s="394" t="s">
        <v>261</v>
      </c>
      <c r="H165" s="261"/>
      <c r="I165" s="261"/>
      <c r="J165" s="261"/>
      <c r="K165" s="261">
        <v>7</v>
      </c>
      <c r="L165" s="261">
        <v>7</v>
      </c>
      <c r="M165" s="261"/>
      <c r="N165" s="261">
        <v>7</v>
      </c>
      <c r="O165" s="261"/>
      <c r="P165" s="261">
        <v>7</v>
      </c>
      <c r="Q165" s="261">
        <v>27</v>
      </c>
      <c r="R165" s="261"/>
      <c r="S165" s="261"/>
      <c r="T165" s="261"/>
      <c r="U165" s="261">
        <v>27</v>
      </c>
      <c r="V165" s="762">
        <v>7</v>
      </c>
      <c r="W165" s="261"/>
      <c r="X165" s="261"/>
      <c r="Y165" s="264">
        <f>IF(NFI_Expiration=1,IF($A165&lt;VLOOKUP(H$5,NFI,5,0),1,0)*Table_NFI[[#This Row],[Hygiene Kit]],Table_NFI[Hygiene Kit])</f>
        <v>0</v>
      </c>
      <c r="Z165" s="264">
        <f>IF(NFI_Expiration=1,IF($A165&lt;VLOOKUP(I$5,NFI,5,0),1,0)*Table_NFI[[#This Row],[NFI Core Kit]],Table_NFI[NFI Core Kit])</f>
        <v>0</v>
      </c>
      <c r="AA165" s="264">
        <f>IF(NFI_Expiration=1,IF($A165&lt;VLOOKUP(J$5,NFI,5,0),1,0)*Table_NFI[[#This Row],[Sanitary Kit]],Table_NFI[Sanitary Kit])</f>
        <v>0</v>
      </c>
      <c r="AB165" s="264">
        <f>IF(NFI_Expiration=1,IF($A165&lt;VLOOKUP(K$5,NFI,5,0),1,0)*Table_NFI[[#This Row],[Mosquito net]],Table_NFI[Mosquito net])</f>
        <v>0</v>
      </c>
      <c r="AC165" s="264">
        <f>IF(NFI_Expiration=1,IF($A165&lt;VLOOKUP(L$5,NFI,5,0),1,0)*Table_NFI[[#This Row],[Tarpaulin]],Table_NFI[[#This Row],[Tarpaulin]])</f>
        <v>0</v>
      </c>
      <c r="AD165" s="264">
        <f>IF(NFI_Expiration=1,IF($A165&lt;VLOOKUP(M$5,NFI,5,0),1,0)*Table_NFI[[#This Row],[Blanket]],Table_NFI[[#This Row],[Blanket]])</f>
        <v>0</v>
      </c>
      <c r="AE165" s="264">
        <f>IF(NFI_Expiration=1,IF($A165&lt;VLOOKUP(N$5,NFI,5,0),1,0)*Table_NFI[[#This Row],[Kitchen Set]],Table_NFI[Kitchen Set])</f>
        <v>0</v>
      </c>
      <c r="AF165" s="264">
        <f>IF(NFI_Expiration=1,IF($A165&lt;VLOOKUP(O$5,NFI,5,0),1,0)*Table_NFI[[#This Row],[Clothes Kit]],Table_NFI[Clothes Kit])</f>
        <v>0</v>
      </c>
      <c r="AG165" s="264">
        <f>IF(NFI_Expiration=1,IF($A165&lt;VLOOKUP(P$5,NFI,5,0),1,0)*Table_NFI[[#This Row],[Plastic Bucket]],Table_NFI[Plastic Bucket])</f>
        <v>0</v>
      </c>
      <c r="AH165" s="264">
        <f>IF(NFI_Expiration=1,IF($A165&lt;VLOOKUP(Q$5,NFI,5,0),1,0)*Table_NFI[[#This Row],[Plastic Mat]],Table_NFI[Plastic Mat])*IF(Table_NFI[[#This Row],[Distribution Date]]&gt;"2014-04-01",1,2.5)</f>
        <v>0</v>
      </c>
      <c r="AI165" s="264">
        <f>IF(NFI_Expiration=1,IF($A165&lt;VLOOKUP(R$5,NFI,5,0),1,0)*Table_NFI[[#This Row],[Winter Clothes Adult]],Table_NFI[Winter Clothes Adult])</f>
        <v>0</v>
      </c>
      <c r="AJ165" s="264">
        <f>IF(NFI_Expiration=1,IF($A165&lt;VLOOKUP(S$5,NFI,5,0),1,0)*Table_NFI[[#This Row],[Winter Clothes Children]],Table_NFI[Winter Clothes Children])</f>
        <v>0</v>
      </c>
      <c r="AK165" s="264">
        <f>IF(NFI_Expiration=1,IF($A165&lt;VLOOKUP(T$5,NFI,5,0),1,0)*Table_NFI[[#This Row],[Winter Items Other]],Table_NFI[Winter Items Other])</f>
        <v>0</v>
      </c>
      <c r="AL165" s="264">
        <f>IF(NFI_Expiration=1,IF($A165&lt;VLOOKUP(M$5,NFI,5,0),1,0)*Table_NFI[[#This Row],[Winter Blanket]],Table_NFI[[#This Row],[Winter Blanket]])</f>
        <v>0</v>
      </c>
      <c r="AM165" s="264">
        <f>IF(Table_NFI[[#This Row],[Winter Clothes Adult]]+Table_NFI[[#This Row],[Winter Clothes Children]]+Table_NFI[[#This Row],[Winter Items Other]]+Table_NFI[[#This Row],[Winter Blanket]]&gt;0,1,0)</f>
        <v>1</v>
      </c>
      <c r="AN165" s="296">
        <f>IF(NFI_Expiration=1,IF($A165&lt;VLOOKUP(V$5,NFI,5,0),1,0)*Table_NFI[[#This Row],[Jerry Can]],Table_NFI[Jerry Can])</f>
        <v>0</v>
      </c>
      <c r="AO165" s="296">
        <f>IF(NFI_Expiration=1,IF($A165&lt;VLOOKUP(V$5,NFI,5,0),1,0)*Table_NFI[[#This Row],[Shelter Tool kit]],Table_NFI[Shelter Tool kit])</f>
        <v>0</v>
      </c>
      <c r="AP165" s="296">
        <f>IF(NFI_Expiration=1,IF($A165&lt;VLOOKUP(V$5,NFI,5,0),1,0)*Table_NFI[[#This Row],[Tent]],Table_NFI[Tent])</f>
        <v>0</v>
      </c>
      <c r="AQ165" s="396" t="str">
        <f>IFERROR(VLOOKUP(Table_NFI[[#This Row],[Camp Name]],CL,2,0),"")</f>
        <v>MMR001CMP008</v>
      </c>
      <c r="AR165" s="702">
        <f ca="1">IF(Table_NFI[[#This Row],[Pcode]]="","",IF(OFFSET(CampList[Opening Date],MATCH(Table_NFI[[#This Row],[Pcode]],CampList[CP_Pcode],0)-1,0,1,1)&gt;=NFI_Monitor_Date,1,0))</f>
        <v>0</v>
      </c>
      <c r="AS165" s="396" t="str">
        <f>IFERROR(VLOOKUP(Table_NFI[[#This Row],[Camp Name]],CL,3,0),"")</f>
        <v>Open</v>
      </c>
      <c r="AT165" s="264" t="str">
        <f ca="1">IF(Table_NFI[[#This Row],[Pcode]]="","",OFFSET(CampList[Priority],MATCH(Table_NFI[[#This Row],[Pcode]],CampList[CP_Pcode],0)-1,0,1,1))</f>
        <v>P4</v>
      </c>
      <c r="AU165" s="263">
        <f>IFERROR(Table_NFI[[#This Row],[Kitchen Set]]/VLOOKUP(Table_NFI[[#This Row],[Camp Name]],CL,4,0),"")</f>
        <v>1.7188459177409454E-4</v>
      </c>
      <c r="AV165" s="390" t="s">
        <v>1087</v>
      </c>
      <c r="AW165" s="397"/>
      <c r="AX165" s="402"/>
      <c r="AY165" s="402"/>
      <c r="AZ165" s="402"/>
      <c r="BA165" s="402"/>
      <c r="BB165" s="402"/>
      <c r="BC165" s="402"/>
      <c r="BD165" s="402"/>
      <c r="BE165" s="402"/>
      <c r="BF165" s="402"/>
      <c r="BG165" s="402"/>
      <c r="BH165" s="402"/>
      <c r="BI165" s="402"/>
      <c r="BJ165" s="402"/>
      <c r="BK165" s="402"/>
      <c r="BL165" s="402"/>
      <c r="BM165" s="402"/>
      <c r="BN165" s="402"/>
      <c r="BO165" s="402"/>
      <c r="BP165" s="402"/>
      <c r="BQ165" s="402"/>
      <c r="BR165" s="402"/>
      <c r="BS165" s="402"/>
      <c r="BT165" s="402"/>
      <c r="BU165" s="402"/>
      <c r="BV165" s="402"/>
      <c r="BW165" s="402"/>
      <c r="BX165" s="402"/>
      <c r="BY165" s="402"/>
      <c r="BZ165" s="402"/>
      <c r="CA165" s="402"/>
      <c r="CB165" s="402"/>
      <c r="CC165" s="402"/>
      <c r="CD165" s="402"/>
      <c r="CE165" s="402"/>
      <c r="CF165" s="402"/>
      <c r="CG165" s="402"/>
      <c r="CH165" s="402"/>
      <c r="CI165" s="402"/>
      <c r="CJ165" s="402"/>
      <c r="CK165" s="402"/>
      <c r="CL165" s="402"/>
      <c r="CM165" s="402"/>
      <c r="CN165" s="402"/>
      <c r="CO165" s="402"/>
      <c r="CP165" s="402"/>
      <c r="CQ165" s="402"/>
      <c r="CR165" s="402"/>
      <c r="CS165" s="402"/>
      <c r="CT165" s="402"/>
      <c r="CU165" s="402"/>
      <c r="CV165" s="402"/>
      <c r="CW165" s="402"/>
      <c r="CX165" s="402"/>
      <c r="CY165" s="402"/>
      <c r="CZ165" s="402"/>
      <c r="DA165" s="402"/>
      <c r="DB165" s="402"/>
      <c r="DC165" s="402"/>
      <c r="DD165" s="402"/>
      <c r="DE165" s="402"/>
      <c r="DF165" s="402"/>
      <c r="DG165" s="402"/>
      <c r="DH165" s="402"/>
      <c r="DI165" s="402"/>
      <c r="DJ165" s="402"/>
      <c r="DK165" s="402"/>
      <c r="DL165" s="402"/>
      <c r="DM165" s="402"/>
      <c r="DN165" s="402"/>
      <c r="DO165" s="402"/>
      <c r="DP165" s="402"/>
      <c r="DQ165" s="402"/>
    </row>
    <row r="166" spans="1:121" s="759" customFormat="1" ht="14.45" customHeight="1" x14ac:dyDescent="0.25">
      <c r="A166" s="266">
        <f t="shared" si="2"/>
        <v>16.766666666666666</v>
      </c>
      <c r="B166" s="389">
        <v>42353</v>
      </c>
      <c r="C166" s="390" t="s">
        <v>904</v>
      </c>
      <c r="D166" s="390" t="s">
        <v>904</v>
      </c>
      <c r="E166" s="390" t="s">
        <v>380</v>
      </c>
      <c r="F166" s="262" t="s">
        <v>185</v>
      </c>
      <c r="G166" s="262" t="s">
        <v>229</v>
      </c>
      <c r="H166" s="261"/>
      <c r="I166" s="261"/>
      <c r="J166" s="261"/>
      <c r="K166" s="261"/>
      <c r="L166" s="261"/>
      <c r="M166" s="261"/>
      <c r="N166" s="261"/>
      <c r="O166" s="261"/>
      <c r="P166" s="261"/>
      <c r="Q166" s="261"/>
      <c r="R166" s="261"/>
      <c r="S166" s="261"/>
      <c r="T166" s="261"/>
      <c r="U166" s="261"/>
      <c r="V166" s="762"/>
      <c r="W166" s="261">
        <v>5</v>
      </c>
      <c r="X166" s="261"/>
      <c r="Y166" s="264">
        <f>IF(NFI_Expiration=1,IF($A166&lt;VLOOKUP(H$5,NFI,5,0),1,0)*Table_NFI[[#This Row],[Hygiene Kit]],Table_NFI[Hygiene Kit])</f>
        <v>0</v>
      </c>
      <c r="Z166" s="264">
        <f>IF(NFI_Expiration=1,IF($A166&lt;VLOOKUP(I$5,NFI,5,0),1,0)*Table_NFI[[#This Row],[NFI Core Kit]],Table_NFI[NFI Core Kit])</f>
        <v>0</v>
      </c>
      <c r="AA166" s="264">
        <f>IF(NFI_Expiration=1,IF($A166&lt;VLOOKUP(J$5,NFI,5,0),1,0)*Table_NFI[[#This Row],[Sanitary Kit]],Table_NFI[Sanitary Kit])</f>
        <v>0</v>
      </c>
      <c r="AB166" s="264">
        <f>IF(NFI_Expiration=1,IF($A166&lt;VLOOKUP(K$5,NFI,5,0),1,0)*Table_NFI[[#This Row],[Mosquito net]],Table_NFI[Mosquito net])</f>
        <v>0</v>
      </c>
      <c r="AC166" s="264">
        <f>IF(NFI_Expiration=1,IF($A166&lt;VLOOKUP(L$5,NFI,5,0),1,0)*Table_NFI[[#This Row],[Tarpaulin]],Table_NFI[[#This Row],[Tarpaulin]])</f>
        <v>0</v>
      </c>
      <c r="AD166" s="264">
        <f>IF(NFI_Expiration=1,IF($A166&lt;VLOOKUP(M$5,NFI,5,0),1,0)*Table_NFI[[#This Row],[Blanket]],Table_NFI[[#This Row],[Blanket]])</f>
        <v>0</v>
      </c>
      <c r="AE166" s="264">
        <f>IF(NFI_Expiration=1,IF($A166&lt;VLOOKUP(N$5,NFI,5,0),1,0)*Table_NFI[[#This Row],[Kitchen Set]],Table_NFI[Kitchen Set])</f>
        <v>0</v>
      </c>
      <c r="AF166" s="264">
        <f>IF(NFI_Expiration=1,IF($A166&lt;VLOOKUP(O$5,NFI,5,0),1,0)*Table_NFI[[#This Row],[Clothes Kit]],Table_NFI[Clothes Kit])</f>
        <v>0</v>
      </c>
      <c r="AG166" s="264">
        <f>IF(NFI_Expiration=1,IF($A166&lt;VLOOKUP(P$5,NFI,5,0),1,0)*Table_NFI[[#This Row],[Plastic Bucket]],Table_NFI[Plastic Bucket])</f>
        <v>0</v>
      </c>
      <c r="AH166" s="264">
        <f>IF(NFI_Expiration=1,IF($A166&lt;VLOOKUP(Q$5,NFI,5,0),1,0)*Table_NFI[[#This Row],[Plastic Mat]],Table_NFI[Plastic Mat])*IF(Table_NFI[[#This Row],[Distribution Date]]&gt;"2014-04-01",1,2.5)</f>
        <v>0</v>
      </c>
      <c r="AI166" s="264">
        <f>IF(NFI_Expiration=1,IF($A166&lt;VLOOKUP(R$5,NFI,5,0),1,0)*Table_NFI[[#This Row],[Winter Clothes Adult]],Table_NFI[Winter Clothes Adult])</f>
        <v>0</v>
      </c>
      <c r="AJ166" s="264">
        <f>IF(NFI_Expiration=1,IF($A166&lt;VLOOKUP(S$5,NFI,5,0),1,0)*Table_NFI[[#This Row],[Winter Clothes Children]],Table_NFI[Winter Clothes Children])</f>
        <v>0</v>
      </c>
      <c r="AK166" s="264">
        <f>IF(NFI_Expiration=1,IF($A166&lt;VLOOKUP(T$5,NFI,5,0),1,0)*Table_NFI[[#This Row],[Winter Items Other]],Table_NFI[Winter Items Other])</f>
        <v>0</v>
      </c>
      <c r="AL166" s="264">
        <f>IF(NFI_Expiration=1,IF($A166&lt;VLOOKUP(M$5,NFI,5,0),1,0)*Table_NFI[[#This Row],[Winter Blanket]],Table_NFI[[#This Row],[Winter Blanket]])</f>
        <v>0</v>
      </c>
      <c r="AM166" s="264">
        <f>IF(Table_NFI[[#This Row],[Winter Clothes Adult]]+Table_NFI[[#This Row],[Winter Clothes Children]]+Table_NFI[[#This Row],[Winter Items Other]]+Table_NFI[[#This Row],[Winter Blanket]]&gt;0,1,0)</f>
        <v>0</v>
      </c>
      <c r="AN166" s="296">
        <f>IF(NFI_Expiration=1,IF($A166&lt;VLOOKUP(V$5,NFI,5,0),1,0)*Table_NFI[[#This Row],[Jerry Can]],Table_NFI[Jerry Can])</f>
        <v>0</v>
      </c>
      <c r="AO166" s="296">
        <f>IF(NFI_Expiration=1,IF($A166&lt;VLOOKUP(V$5,NFI,5,0),1,0)*Table_NFI[[#This Row],[Shelter Tool kit]],Table_NFI[Shelter Tool kit])</f>
        <v>0</v>
      </c>
      <c r="AP166" s="296">
        <f>IF(NFI_Expiration=1,IF($A166&lt;VLOOKUP(V$5,NFI,5,0),1,0)*Table_NFI[[#This Row],[Tent]],Table_NFI[Tent])</f>
        <v>0</v>
      </c>
      <c r="AQ166" s="396" t="str">
        <f>IFERROR(VLOOKUP(Table_NFI[[#This Row],[Camp Name]],CL,2,0),"")</f>
        <v>MMR001CMP072</v>
      </c>
      <c r="AR166" s="702">
        <f ca="1">IF(Table_NFI[[#This Row],[Pcode]]="","",IF(OFFSET(CampList[Opening Date],MATCH(Table_NFI[[#This Row],[Pcode]],CampList[CP_Pcode],0)-1,0,1,1)&gt;=NFI_Monitor_Date,1,0))</f>
        <v>0</v>
      </c>
      <c r="AS166" s="396" t="str">
        <f>IFERROR(VLOOKUP(Table_NFI[[#This Row],[Camp Name]],CL,3,0),"")</f>
        <v>Open</v>
      </c>
      <c r="AT166" s="264" t="str">
        <f ca="1">IF(Table_NFI[[#This Row],[Pcode]]="","",OFFSET(CampList[Priority],MATCH(Table_NFI[[#This Row],[Pcode]],CampList[CP_Pcode],0)-1,0,1,1))</f>
        <v>P3</v>
      </c>
      <c r="AU166" s="263">
        <f>IFERROR(Table_NFI[[#This Row],[Kitchen Set]]/VLOOKUP(Table_NFI[[#This Row],[Camp Name]],CL,4,0),"")</f>
        <v>0</v>
      </c>
      <c r="AV166" s="390"/>
      <c r="AW166" s="392"/>
      <c r="AX166" s="402"/>
      <c r="AY166" s="402"/>
      <c r="AZ166" s="402"/>
      <c r="BA166" s="402"/>
      <c r="BB166" s="402"/>
      <c r="BC166" s="402"/>
      <c r="BD166" s="402"/>
      <c r="BE166" s="402"/>
      <c r="BF166" s="402"/>
      <c r="BG166" s="402"/>
      <c r="BH166" s="402"/>
      <c r="BI166" s="402"/>
      <c r="BJ166" s="402"/>
      <c r="BK166" s="402"/>
      <c r="BL166" s="402"/>
      <c r="BM166" s="402"/>
      <c r="BN166" s="402"/>
      <c r="BO166" s="402"/>
      <c r="BP166" s="402"/>
      <c r="BQ166" s="402"/>
      <c r="BR166" s="402"/>
      <c r="BS166" s="402"/>
      <c r="BT166" s="402"/>
      <c r="BU166" s="402"/>
      <c r="BV166" s="402"/>
      <c r="BW166" s="402"/>
      <c r="BX166" s="402"/>
      <c r="BY166" s="402"/>
      <c r="BZ166" s="402"/>
      <c r="CA166" s="402"/>
      <c r="CB166" s="402"/>
      <c r="CC166" s="402"/>
      <c r="CD166" s="402"/>
      <c r="CE166" s="402"/>
      <c r="CF166" s="402"/>
      <c r="CG166" s="402"/>
      <c r="CH166" s="402"/>
      <c r="CI166" s="402"/>
      <c r="CJ166" s="402"/>
      <c r="CK166" s="402"/>
      <c r="CL166" s="402"/>
      <c r="CM166" s="402"/>
      <c r="CN166" s="402"/>
      <c r="CO166" s="402"/>
      <c r="CP166" s="402"/>
      <c r="CQ166" s="402"/>
      <c r="CR166" s="402"/>
      <c r="CS166" s="402"/>
      <c r="CT166" s="402"/>
      <c r="CU166" s="402"/>
      <c r="CV166" s="402"/>
      <c r="CW166" s="402"/>
      <c r="CX166" s="402"/>
      <c r="CY166" s="402"/>
      <c r="CZ166" s="402"/>
      <c r="DA166" s="402"/>
      <c r="DB166" s="402"/>
      <c r="DC166" s="402"/>
      <c r="DD166" s="402"/>
      <c r="DE166" s="402"/>
      <c r="DF166" s="402"/>
      <c r="DG166" s="402"/>
      <c r="DH166" s="402"/>
      <c r="DI166" s="402"/>
      <c r="DJ166" s="402"/>
      <c r="DK166" s="402"/>
      <c r="DL166" s="402"/>
      <c r="DM166" s="402"/>
      <c r="DN166" s="402"/>
      <c r="DO166" s="402"/>
      <c r="DP166" s="402"/>
      <c r="DQ166" s="402"/>
    </row>
    <row r="167" spans="1:121" s="759" customFormat="1" ht="14.45" customHeight="1" x14ac:dyDescent="0.25">
      <c r="A167" s="266">
        <f t="shared" si="2"/>
        <v>16.766666666666666</v>
      </c>
      <c r="B167" s="389">
        <v>42353</v>
      </c>
      <c r="C167" s="390" t="s">
        <v>904</v>
      </c>
      <c r="D167" s="391" t="s">
        <v>904</v>
      </c>
      <c r="E167" s="390" t="s">
        <v>380</v>
      </c>
      <c r="F167" s="262" t="s">
        <v>185</v>
      </c>
      <c r="G167" s="262" t="s">
        <v>225</v>
      </c>
      <c r="H167" s="261"/>
      <c r="I167" s="261"/>
      <c r="J167" s="261"/>
      <c r="K167" s="261"/>
      <c r="L167" s="261"/>
      <c r="M167" s="261"/>
      <c r="N167" s="261"/>
      <c r="O167" s="261"/>
      <c r="P167" s="261"/>
      <c r="Q167" s="261"/>
      <c r="R167" s="261"/>
      <c r="S167" s="261"/>
      <c r="T167" s="261"/>
      <c r="U167" s="261"/>
      <c r="V167" s="762"/>
      <c r="W167" s="261">
        <v>4</v>
      </c>
      <c r="X167" s="261"/>
      <c r="Y167" s="264">
        <f>IF(NFI_Expiration=1,IF($A167&lt;VLOOKUP(H$5,NFI,5,0),1,0)*Table_NFI[[#This Row],[Hygiene Kit]],Table_NFI[Hygiene Kit])</f>
        <v>0</v>
      </c>
      <c r="Z167" s="264">
        <f>IF(NFI_Expiration=1,IF($A167&lt;VLOOKUP(I$5,NFI,5,0),1,0)*Table_NFI[[#This Row],[NFI Core Kit]],Table_NFI[NFI Core Kit])</f>
        <v>0</v>
      </c>
      <c r="AA167" s="264">
        <f>IF(NFI_Expiration=1,IF($A167&lt;VLOOKUP(J$5,NFI,5,0),1,0)*Table_NFI[[#This Row],[Sanitary Kit]],Table_NFI[Sanitary Kit])</f>
        <v>0</v>
      </c>
      <c r="AB167" s="264">
        <f>IF(NFI_Expiration=1,IF($A167&lt;VLOOKUP(K$5,NFI,5,0),1,0)*Table_NFI[[#This Row],[Mosquito net]],Table_NFI[Mosquito net])</f>
        <v>0</v>
      </c>
      <c r="AC167" s="264">
        <f>IF(NFI_Expiration=1,IF($A167&lt;VLOOKUP(L$5,NFI,5,0),1,0)*Table_NFI[[#This Row],[Tarpaulin]],Table_NFI[[#This Row],[Tarpaulin]])</f>
        <v>0</v>
      </c>
      <c r="AD167" s="264">
        <f>IF(NFI_Expiration=1,IF($A167&lt;VLOOKUP(M$5,NFI,5,0),1,0)*Table_NFI[[#This Row],[Blanket]],Table_NFI[[#This Row],[Blanket]])</f>
        <v>0</v>
      </c>
      <c r="AE167" s="264">
        <f>IF(NFI_Expiration=1,IF($A167&lt;VLOOKUP(N$5,NFI,5,0),1,0)*Table_NFI[[#This Row],[Kitchen Set]],Table_NFI[Kitchen Set])</f>
        <v>0</v>
      </c>
      <c r="AF167" s="264">
        <f>IF(NFI_Expiration=1,IF($A167&lt;VLOOKUP(O$5,NFI,5,0),1,0)*Table_NFI[[#This Row],[Clothes Kit]],Table_NFI[Clothes Kit])</f>
        <v>0</v>
      </c>
      <c r="AG167" s="264">
        <f>IF(NFI_Expiration=1,IF($A167&lt;VLOOKUP(P$5,NFI,5,0),1,0)*Table_NFI[[#This Row],[Plastic Bucket]],Table_NFI[Plastic Bucket])</f>
        <v>0</v>
      </c>
      <c r="AH167" s="264">
        <f>IF(NFI_Expiration=1,IF($A167&lt;VLOOKUP(Q$5,NFI,5,0),1,0)*Table_NFI[[#This Row],[Plastic Mat]],Table_NFI[Plastic Mat])*IF(Table_NFI[[#This Row],[Distribution Date]]&gt;"2014-04-01",1,2.5)</f>
        <v>0</v>
      </c>
      <c r="AI167" s="264">
        <f>IF(NFI_Expiration=1,IF($A167&lt;VLOOKUP(R$5,NFI,5,0),1,0)*Table_NFI[[#This Row],[Winter Clothes Adult]],Table_NFI[Winter Clothes Adult])</f>
        <v>0</v>
      </c>
      <c r="AJ167" s="264">
        <f>IF(NFI_Expiration=1,IF($A167&lt;VLOOKUP(S$5,NFI,5,0),1,0)*Table_NFI[[#This Row],[Winter Clothes Children]],Table_NFI[Winter Clothes Children])</f>
        <v>0</v>
      </c>
      <c r="AK167" s="264">
        <f>IF(NFI_Expiration=1,IF($A167&lt;VLOOKUP(T$5,NFI,5,0),1,0)*Table_NFI[[#This Row],[Winter Items Other]],Table_NFI[Winter Items Other])</f>
        <v>0</v>
      </c>
      <c r="AL167" s="264">
        <f>IF(NFI_Expiration=1,IF($A167&lt;VLOOKUP(M$5,NFI,5,0),1,0)*Table_NFI[[#This Row],[Winter Blanket]],Table_NFI[[#This Row],[Winter Blanket]])</f>
        <v>0</v>
      </c>
      <c r="AM167" s="264">
        <f>IF(Table_NFI[[#This Row],[Winter Clothes Adult]]+Table_NFI[[#This Row],[Winter Clothes Children]]+Table_NFI[[#This Row],[Winter Items Other]]+Table_NFI[[#This Row],[Winter Blanket]]&gt;0,1,0)</f>
        <v>0</v>
      </c>
      <c r="AN167" s="296">
        <f>IF(NFI_Expiration=1,IF($A167&lt;VLOOKUP(V$5,NFI,5,0),1,0)*Table_NFI[[#This Row],[Jerry Can]],Table_NFI[Jerry Can])</f>
        <v>0</v>
      </c>
      <c r="AO167" s="296">
        <f>IF(NFI_Expiration=1,IF($A167&lt;VLOOKUP(V$5,NFI,5,0),1,0)*Table_NFI[[#This Row],[Shelter Tool kit]],Table_NFI[Shelter Tool kit])</f>
        <v>0</v>
      </c>
      <c r="AP167" s="296">
        <f>IF(NFI_Expiration=1,IF($A167&lt;VLOOKUP(V$5,NFI,5,0),1,0)*Table_NFI[[#This Row],[Tent]],Table_NFI[Tent])</f>
        <v>0</v>
      </c>
      <c r="AQ167" s="396" t="str">
        <f>IFERROR(VLOOKUP(Table_NFI[[#This Row],[Camp Name]],CL,2,0),"")</f>
        <v>MMR001CMP073</v>
      </c>
      <c r="AR167" s="702">
        <f ca="1">IF(Table_NFI[[#This Row],[Pcode]]="","",IF(OFFSET(CampList[Opening Date],MATCH(Table_NFI[[#This Row],[Pcode]],CampList[CP_Pcode],0)-1,0,1,1)&gt;=NFI_Monitor_Date,1,0))</f>
        <v>0</v>
      </c>
      <c r="AS167" s="396" t="str">
        <f>IFERROR(VLOOKUP(Table_NFI[[#This Row],[Camp Name]],CL,3,0),"")</f>
        <v>Open</v>
      </c>
      <c r="AT167" s="264" t="str">
        <f ca="1">IF(Table_NFI[[#This Row],[Pcode]]="","",OFFSET(CampList[Priority],MATCH(Table_NFI[[#This Row],[Pcode]],CampList[CP_Pcode],0)-1,0,1,1))</f>
        <v>P3</v>
      </c>
      <c r="AU167" s="263">
        <f>IFERROR(Table_NFI[[#This Row],[Kitchen Set]]/VLOOKUP(Table_NFI[[#This Row],[Camp Name]],CL,4,0),"")</f>
        <v>0</v>
      </c>
      <c r="AV167" s="390"/>
      <c r="AW167" s="392"/>
      <c r="AX167" s="402"/>
      <c r="AY167" s="402"/>
      <c r="AZ167" s="402"/>
      <c r="BA167" s="402"/>
      <c r="BB167" s="402"/>
      <c r="BC167" s="402"/>
      <c r="BD167" s="402"/>
      <c r="BE167" s="402"/>
      <c r="BF167" s="402"/>
      <c r="BG167" s="402"/>
      <c r="BH167" s="402"/>
      <c r="BI167" s="402"/>
      <c r="BJ167" s="402"/>
      <c r="BK167" s="402"/>
      <c r="BL167" s="402"/>
      <c r="BM167" s="402"/>
      <c r="BN167" s="402"/>
      <c r="BO167" s="402"/>
      <c r="BP167" s="402"/>
      <c r="BQ167" s="402"/>
      <c r="BR167" s="402"/>
      <c r="BS167" s="402"/>
      <c r="BT167" s="402"/>
      <c r="BU167" s="402"/>
      <c r="BV167" s="402"/>
      <c r="BW167" s="402"/>
      <c r="BX167" s="402"/>
      <c r="BY167" s="402"/>
      <c r="BZ167" s="402"/>
      <c r="CA167" s="402"/>
      <c r="CB167" s="402"/>
      <c r="CC167" s="402"/>
      <c r="CD167" s="402"/>
      <c r="CE167" s="402"/>
      <c r="CF167" s="402"/>
      <c r="CG167" s="402"/>
      <c r="CH167" s="402"/>
      <c r="CI167" s="402"/>
      <c r="CJ167" s="402"/>
      <c r="CK167" s="402"/>
      <c r="CL167" s="402"/>
      <c r="CM167" s="402"/>
      <c r="CN167" s="402"/>
      <c r="CO167" s="402"/>
      <c r="CP167" s="402"/>
      <c r="CQ167" s="402"/>
      <c r="CR167" s="402"/>
      <c r="CS167" s="402"/>
      <c r="CT167" s="402"/>
      <c r="CU167" s="402"/>
      <c r="CV167" s="402"/>
      <c r="CW167" s="402"/>
      <c r="CX167" s="402"/>
      <c r="CY167" s="402"/>
      <c r="CZ167" s="402"/>
      <c r="DA167" s="402"/>
      <c r="DB167" s="402"/>
      <c r="DC167" s="402"/>
      <c r="DD167" s="402"/>
      <c r="DE167" s="402"/>
      <c r="DF167" s="402"/>
      <c r="DG167" s="402"/>
      <c r="DH167" s="402"/>
      <c r="DI167" s="402"/>
      <c r="DJ167" s="402"/>
      <c r="DK167" s="402"/>
      <c r="DL167" s="402"/>
      <c r="DM167" s="402"/>
      <c r="DN167" s="402"/>
      <c r="DO167" s="402"/>
      <c r="DP167" s="402"/>
      <c r="DQ167" s="402"/>
    </row>
    <row r="168" spans="1:121" s="759" customFormat="1" ht="14.45" customHeight="1" x14ac:dyDescent="0.2">
      <c r="A168" s="266">
        <f t="shared" si="2"/>
        <v>16.8</v>
      </c>
      <c r="B168" s="389">
        <v>42352</v>
      </c>
      <c r="C168" s="390" t="s">
        <v>904</v>
      </c>
      <c r="D168" s="391" t="s">
        <v>904</v>
      </c>
      <c r="E168" s="390" t="s">
        <v>380</v>
      </c>
      <c r="F168" s="262" t="s">
        <v>5</v>
      </c>
      <c r="G168" s="262" t="s">
        <v>22</v>
      </c>
      <c r="H168" s="261"/>
      <c r="I168" s="261"/>
      <c r="J168" s="261"/>
      <c r="K168" s="261"/>
      <c r="L168" s="261"/>
      <c r="M168" s="261"/>
      <c r="N168" s="261"/>
      <c r="O168" s="261"/>
      <c r="P168" s="261"/>
      <c r="Q168" s="261"/>
      <c r="R168" s="261"/>
      <c r="S168" s="261"/>
      <c r="T168" s="261"/>
      <c r="U168" s="261"/>
      <c r="V168" s="766">
        <v>2</v>
      </c>
      <c r="W168" s="261"/>
      <c r="X168" s="261"/>
      <c r="Y168" s="264">
        <f>IF(NFI_Expiration=1,IF($A168&lt;VLOOKUP(H$5,NFI,5,0),1,0)*Table_NFI[[#This Row],[Hygiene Kit]],Table_NFI[Hygiene Kit])</f>
        <v>0</v>
      </c>
      <c r="Z168" s="264">
        <f>IF(NFI_Expiration=1,IF($A168&lt;VLOOKUP(I$5,NFI,5,0),1,0)*Table_NFI[[#This Row],[NFI Core Kit]],Table_NFI[NFI Core Kit])</f>
        <v>0</v>
      </c>
      <c r="AA168" s="264">
        <f>IF(NFI_Expiration=1,IF($A168&lt;VLOOKUP(J$5,NFI,5,0),1,0)*Table_NFI[[#This Row],[Sanitary Kit]],Table_NFI[Sanitary Kit])</f>
        <v>0</v>
      </c>
      <c r="AB168" s="264">
        <f>IF(NFI_Expiration=1,IF($A168&lt;VLOOKUP(K$5,NFI,5,0),1,0)*Table_NFI[[#This Row],[Mosquito net]],Table_NFI[Mosquito net])</f>
        <v>0</v>
      </c>
      <c r="AC168" s="264">
        <f>IF(NFI_Expiration=1,IF($A168&lt;VLOOKUP(L$5,NFI,5,0),1,0)*Table_NFI[[#This Row],[Tarpaulin]],Table_NFI[[#This Row],[Tarpaulin]])</f>
        <v>0</v>
      </c>
      <c r="AD168" s="264">
        <f>IF(NFI_Expiration=1,IF($A168&lt;VLOOKUP(M$5,NFI,5,0),1,0)*Table_NFI[[#This Row],[Blanket]],Table_NFI[[#This Row],[Blanket]])</f>
        <v>0</v>
      </c>
      <c r="AE168" s="264">
        <f>IF(NFI_Expiration=1,IF($A168&lt;VLOOKUP(N$5,NFI,5,0),1,0)*Table_NFI[[#This Row],[Kitchen Set]],Table_NFI[Kitchen Set])</f>
        <v>0</v>
      </c>
      <c r="AF168" s="264">
        <f>IF(NFI_Expiration=1,IF($A168&lt;VLOOKUP(O$5,NFI,5,0),1,0)*Table_NFI[[#This Row],[Clothes Kit]],Table_NFI[Clothes Kit])</f>
        <v>0</v>
      </c>
      <c r="AG168" s="264">
        <f>IF(NFI_Expiration=1,IF($A168&lt;VLOOKUP(P$5,NFI,5,0),1,0)*Table_NFI[[#This Row],[Plastic Bucket]],Table_NFI[Plastic Bucket])</f>
        <v>0</v>
      </c>
      <c r="AH168" s="264">
        <f>IF(NFI_Expiration=1,IF($A168&lt;VLOOKUP(Q$5,NFI,5,0),1,0)*Table_NFI[[#This Row],[Plastic Mat]],Table_NFI[Plastic Mat])*IF(Table_NFI[[#This Row],[Distribution Date]]&gt;"2014-04-01",1,2.5)</f>
        <v>0</v>
      </c>
      <c r="AI168" s="264">
        <f>IF(NFI_Expiration=1,IF($A168&lt;VLOOKUP(R$5,NFI,5,0),1,0)*Table_NFI[[#This Row],[Winter Clothes Adult]],Table_NFI[Winter Clothes Adult])</f>
        <v>0</v>
      </c>
      <c r="AJ168" s="264">
        <f>IF(NFI_Expiration=1,IF($A168&lt;VLOOKUP(S$5,NFI,5,0),1,0)*Table_NFI[[#This Row],[Winter Clothes Children]],Table_NFI[Winter Clothes Children])</f>
        <v>0</v>
      </c>
      <c r="AK168" s="264">
        <f>IF(NFI_Expiration=1,IF($A168&lt;VLOOKUP(T$5,NFI,5,0),1,0)*Table_NFI[[#This Row],[Winter Items Other]],Table_NFI[Winter Items Other])</f>
        <v>0</v>
      </c>
      <c r="AL168" s="264">
        <f>IF(NFI_Expiration=1,IF($A168&lt;VLOOKUP(M$5,NFI,5,0),1,0)*Table_NFI[[#This Row],[Winter Blanket]],Table_NFI[[#This Row],[Winter Blanket]])</f>
        <v>0</v>
      </c>
      <c r="AM168" s="264">
        <f>IF(Table_NFI[[#This Row],[Winter Clothes Adult]]+Table_NFI[[#This Row],[Winter Clothes Children]]+Table_NFI[[#This Row],[Winter Items Other]]+Table_NFI[[#This Row],[Winter Blanket]]&gt;0,1,0)</f>
        <v>0</v>
      </c>
      <c r="AN168" s="296">
        <f>IF(NFI_Expiration=1,IF($A168&lt;VLOOKUP(V$5,NFI,5,0),1,0)*Table_NFI[[#This Row],[Jerry Can]],Table_NFI[Jerry Can])</f>
        <v>0</v>
      </c>
      <c r="AO168" s="296">
        <f>IF(NFI_Expiration=1,IF($A168&lt;VLOOKUP(V$5,NFI,5,0),1,0)*Table_NFI[[#This Row],[Shelter Tool kit]],Table_NFI[Shelter Tool kit])</f>
        <v>0</v>
      </c>
      <c r="AP168" s="296">
        <f>IF(NFI_Expiration=1,IF($A168&lt;VLOOKUP(V$5,NFI,5,0),1,0)*Table_NFI[[#This Row],[Tent]],Table_NFI[Tent])</f>
        <v>0</v>
      </c>
      <c r="AQ168" s="396" t="str">
        <f>IFERROR(VLOOKUP(Table_NFI[[#This Row],[Camp Name]],CL,2,0),"")</f>
        <v>MMR001CMP047</v>
      </c>
      <c r="AR168" s="702">
        <f ca="1">IF(Table_NFI[[#This Row],[Pcode]]="","",IF(OFFSET(CampList[Opening Date],MATCH(Table_NFI[[#This Row],[Pcode]],CampList[CP_Pcode],0)-1,0,1,1)&gt;=NFI_Monitor_Date,1,0))</f>
        <v>0</v>
      </c>
      <c r="AS168" s="396" t="str">
        <f>IFERROR(VLOOKUP(Table_NFI[[#This Row],[Camp Name]],CL,3,0),"")</f>
        <v>Open</v>
      </c>
      <c r="AT168" s="264" t="str">
        <f ca="1">IF(Table_NFI[[#This Row],[Pcode]]="","",OFFSET(CampList[Priority],MATCH(Table_NFI[[#This Row],[Pcode]],CampList[CP_Pcode],0)-1,0,1,1))</f>
        <v>P4</v>
      </c>
      <c r="AU168" s="263">
        <f>IFERROR(Table_NFI[[#This Row],[Kitchen Set]]/VLOOKUP(Table_NFI[[#This Row],[Camp Name]],CL,4,0),"")</f>
        <v>0</v>
      </c>
      <c r="AV168" s="390"/>
      <c r="AW168" s="392"/>
      <c r="AX168" s="402"/>
      <c r="AY168" s="402"/>
      <c r="AZ168" s="402"/>
      <c r="BA168" s="402"/>
      <c r="BB168" s="402"/>
      <c r="BC168" s="402"/>
      <c r="BD168" s="402"/>
      <c r="BE168" s="402"/>
      <c r="BF168" s="402"/>
      <c r="BG168" s="402"/>
      <c r="BH168" s="402"/>
      <c r="BI168" s="402"/>
      <c r="BJ168" s="402"/>
      <c r="BK168" s="402"/>
      <c r="BL168" s="402"/>
      <c r="BM168" s="402"/>
      <c r="BN168" s="402"/>
      <c r="BO168" s="402"/>
      <c r="BP168" s="402"/>
      <c r="BQ168" s="402"/>
      <c r="BR168" s="402"/>
      <c r="BS168" s="402"/>
      <c r="BT168" s="402"/>
      <c r="BU168" s="402"/>
      <c r="BV168" s="402"/>
      <c r="BW168" s="402"/>
      <c r="BX168" s="402"/>
      <c r="BY168" s="402"/>
      <c r="BZ168" s="402"/>
      <c r="CA168" s="402"/>
      <c r="CB168" s="402"/>
      <c r="CC168" s="402"/>
      <c r="CD168" s="402"/>
      <c r="CE168" s="402"/>
      <c r="CF168" s="402"/>
      <c r="CG168" s="402"/>
      <c r="CH168" s="402"/>
      <c r="CI168" s="402"/>
      <c r="CJ168" s="402"/>
      <c r="CK168" s="402"/>
      <c r="CL168" s="402"/>
      <c r="CM168" s="402"/>
      <c r="CN168" s="402"/>
      <c r="CO168" s="402"/>
      <c r="CP168" s="402"/>
      <c r="CQ168" s="402"/>
      <c r="CR168" s="402"/>
      <c r="CS168" s="402"/>
      <c r="CT168" s="402"/>
      <c r="CU168" s="402"/>
      <c r="CV168" s="402"/>
      <c r="CW168" s="402"/>
      <c r="CX168" s="402"/>
      <c r="CY168" s="402"/>
      <c r="CZ168" s="402"/>
      <c r="DA168" s="402"/>
      <c r="DB168" s="402"/>
      <c r="DC168" s="402"/>
      <c r="DD168" s="402"/>
      <c r="DE168" s="402"/>
      <c r="DF168" s="402"/>
      <c r="DG168" s="402"/>
      <c r="DH168" s="402"/>
      <c r="DI168" s="402"/>
      <c r="DJ168" s="402"/>
      <c r="DK168" s="402"/>
      <c r="DL168" s="402"/>
      <c r="DM168" s="402"/>
      <c r="DN168" s="402"/>
      <c r="DO168" s="402"/>
      <c r="DP168" s="402"/>
      <c r="DQ168" s="402"/>
    </row>
    <row r="169" spans="1:121" s="759" customFormat="1" ht="15" customHeight="1" x14ac:dyDescent="0.25">
      <c r="A169" s="266">
        <f t="shared" si="2"/>
        <v>16.899999999999999</v>
      </c>
      <c r="B169" s="389">
        <v>42349</v>
      </c>
      <c r="C169" s="394" t="s">
        <v>451</v>
      </c>
      <c r="D169" s="394" t="s">
        <v>504</v>
      </c>
      <c r="E169" s="394" t="s">
        <v>380</v>
      </c>
      <c r="F169" s="394" t="s">
        <v>237</v>
      </c>
      <c r="G169" s="394" t="s">
        <v>249</v>
      </c>
      <c r="H169" s="261"/>
      <c r="I169" s="261"/>
      <c r="J169" s="261"/>
      <c r="K169" s="261"/>
      <c r="L169" s="261"/>
      <c r="M169" s="261"/>
      <c r="N169" s="261"/>
      <c r="O169" s="261"/>
      <c r="P169" s="261"/>
      <c r="Q169" s="261"/>
      <c r="R169" s="261"/>
      <c r="S169" s="261"/>
      <c r="T169" s="261"/>
      <c r="U169" s="261">
        <v>11</v>
      </c>
      <c r="V169" s="762"/>
      <c r="W169" s="261"/>
      <c r="X169" s="261"/>
      <c r="Y169" s="264">
        <f>IF(NFI_Expiration=1,IF($A169&lt;VLOOKUP(H$5,NFI,5,0),1,0)*Table_NFI[[#This Row],[Hygiene Kit]],Table_NFI[Hygiene Kit])</f>
        <v>0</v>
      </c>
      <c r="Z169" s="264">
        <f>IF(NFI_Expiration=1,IF($A169&lt;VLOOKUP(I$5,NFI,5,0),1,0)*Table_NFI[[#This Row],[NFI Core Kit]],Table_NFI[NFI Core Kit])</f>
        <v>0</v>
      </c>
      <c r="AA169" s="264">
        <f>IF(NFI_Expiration=1,IF($A169&lt;VLOOKUP(J$5,NFI,5,0),1,0)*Table_NFI[[#This Row],[Sanitary Kit]],Table_NFI[Sanitary Kit])</f>
        <v>0</v>
      </c>
      <c r="AB169" s="264">
        <f>IF(NFI_Expiration=1,IF($A169&lt;VLOOKUP(K$5,NFI,5,0),1,0)*Table_NFI[[#This Row],[Mosquito net]],Table_NFI[Mosquito net])</f>
        <v>0</v>
      </c>
      <c r="AC169" s="264">
        <f>IF(NFI_Expiration=1,IF($A169&lt;VLOOKUP(L$5,NFI,5,0),1,0)*Table_NFI[[#This Row],[Tarpaulin]],Table_NFI[[#This Row],[Tarpaulin]])</f>
        <v>0</v>
      </c>
      <c r="AD169" s="264">
        <f>IF(NFI_Expiration=1,IF($A169&lt;VLOOKUP(M$5,NFI,5,0),1,0)*Table_NFI[[#This Row],[Blanket]],Table_NFI[[#This Row],[Blanket]])</f>
        <v>0</v>
      </c>
      <c r="AE169" s="264">
        <f>IF(NFI_Expiration=1,IF($A169&lt;VLOOKUP(N$5,NFI,5,0),1,0)*Table_NFI[[#This Row],[Kitchen Set]],Table_NFI[Kitchen Set])</f>
        <v>0</v>
      </c>
      <c r="AF169" s="264">
        <f>IF(NFI_Expiration=1,IF($A169&lt;VLOOKUP(O$5,NFI,5,0),1,0)*Table_NFI[[#This Row],[Clothes Kit]],Table_NFI[Clothes Kit])</f>
        <v>0</v>
      </c>
      <c r="AG169" s="264">
        <f>IF(NFI_Expiration=1,IF($A169&lt;VLOOKUP(P$5,NFI,5,0),1,0)*Table_NFI[[#This Row],[Plastic Bucket]],Table_NFI[Plastic Bucket])</f>
        <v>0</v>
      </c>
      <c r="AH169" s="264">
        <f>IF(NFI_Expiration=1,IF($A169&lt;VLOOKUP(Q$5,NFI,5,0),1,0)*Table_NFI[[#This Row],[Plastic Mat]],Table_NFI[Plastic Mat])*IF(Table_NFI[[#This Row],[Distribution Date]]&gt;"2014-04-01",1,2.5)</f>
        <v>0</v>
      </c>
      <c r="AI169" s="264">
        <f>IF(NFI_Expiration=1,IF($A169&lt;VLOOKUP(R$5,NFI,5,0),1,0)*Table_NFI[[#This Row],[Winter Clothes Adult]],Table_NFI[Winter Clothes Adult])</f>
        <v>0</v>
      </c>
      <c r="AJ169" s="264">
        <f>IF(NFI_Expiration=1,IF($A169&lt;VLOOKUP(S$5,NFI,5,0),1,0)*Table_NFI[[#This Row],[Winter Clothes Children]],Table_NFI[Winter Clothes Children])</f>
        <v>0</v>
      </c>
      <c r="AK169" s="264">
        <f>IF(NFI_Expiration=1,IF($A169&lt;VLOOKUP(T$5,NFI,5,0),1,0)*Table_NFI[[#This Row],[Winter Items Other]],Table_NFI[Winter Items Other])</f>
        <v>0</v>
      </c>
      <c r="AL169" s="264">
        <f>IF(NFI_Expiration=1,IF($A169&lt;VLOOKUP(M$5,NFI,5,0),1,0)*Table_NFI[[#This Row],[Winter Blanket]],Table_NFI[[#This Row],[Winter Blanket]])</f>
        <v>0</v>
      </c>
      <c r="AM169" s="264">
        <f>IF(Table_NFI[[#This Row],[Winter Clothes Adult]]+Table_NFI[[#This Row],[Winter Clothes Children]]+Table_NFI[[#This Row],[Winter Items Other]]+Table_NFI[[#This Row],[Winter Blanket]]&gt;0,1,0)</f>
        <v>1</v>
      </c>
      <c r="AN169" s="296">
        <f>IF(NFI_Expiration=1,IF($A169&lt;VLOOKUP(V$5,NFI,5,0),1,0)*Table_NFI[[#This Row],[Jerry Can]],Table_NFI[Jerry Can])</f>
        <v>0</v>
      </c>
      <c r="AO169" s="296">
        <f>IF(NFI_Expiration=1,IF($A169&lt;VLOOKUP(V$5,NFI,5,0),1,0)*Table_NFI[[#This Row],[Shelter Tool kit]],Table_NFI[Shelter Tool kit])</f>
        <v>0</v>
      </c>
      <c r="AP169" s="296">
        <f>IF(NFI_Expiration=1,IF($A169&lt;VLOOKUP(V$5,NFI,5,0),1,0)*Table_NFI[[#This Row],[Tent]],Table_NFI[Tent])</f>
        <v>0</v>
      </c>
      <c r="AQ169" s="396" t="str">
        <f>IFERROR(VLOOKUP(Table_NFI[[#This Row],[Camp Name]],CL,2,0),"")</f>
        <v>MMR001CMP004</v>
      </c>
      <c r="AR169" s="702">
        <f ca="1">IF(Table_NFI[[#This Row],[Pcode]]="","",IF(OFFSET(CampList[Opening Date],MATCH(Table_NFI[[#This Row],[Pcode]],CampList[CP_Pcode],0)-1,0,1,1)&gt;=NFI_Monitor_Date,1,0))</f>
        <v>0</v>
      </c>
      <c r="AS169" s="396" t="str">
        <f>IFERROR(VLOOKUP(Table_NFI[[#This Row],[Camp Name]],CL,3,0),"")</f>
        <v>Open</v>
      </c>
      <c r="AT169" s="264" t="str">
        <f ca="1">IF(Table_NFI[[#This Row],[Pcode]]="","",OFFSET(CampList[Priority],MATCH(Table_NFI[[#This Row],[Pcode]],CampList[CP_Pcode],0)-1,0,1,1))</f>
        <v>P4</v>
      </c>
      <c r="AU169" s="263">
        <f>IFERROR(Table_NFI[[#This Row],[Kitchen Set]]/VLOOKUP(Table_NFI[[#This Row],[Camp Name]],CL,4,0),"")</f>
        <v>0</v>
      </c>
      <c r="AV169" s="390" t="s">
        <v>1087</v>
      </c>
      <c r="AW169" s="397"/>
      <c r="AX169" s="402"/>
      <c r="AY169" s="402"/>
      <c r="AZ169" s="402"/>
      <c r="BA169" s="402"/>
      <c r="BB169" s="402"/>
      <c r="BC169" s="402"/>
      <c r="BD169" s="402"/>
      <c r="BE169" s="402"/>
      <c r="BF169" s="402"/>
      <c r="BG169" s="402"/>
      <c r="BH169" s="402"/>
      <c r="BI169" s="402"/>
      <c r="BJ169" s="402"/>
      <c r="BK169" s="402"/>
      <c r="BL169" s="402"/>
      <c r="BM169" s="402"/>
      <c r="BN169" s="402"/>
      <c r="BO169" s="402"/>
      <c r="BP169" s="402"/>
      <c r="BQ169" s="402"/>
      <c r="BR169" s="402"/>
      <c r="BS169" s="402"/>
      <c r="BT169" s="402"/>
      <c r="BU169" s="402"/>
      <c r="BV169" s="402"/>
      <c r="BW169" s="402"/>
      <c r="BX169" s="402"/>
      <c r="BY169" s="402"/>
      <c r="BZ169" s="402"/>
      <c r="CA169" s="402"/>
      <c r="CB169" s="402"/>
      <c r="CC169" s="402"/>
      <c r="CD169" s="402"/>
      <c r="CE169" s="402"/>
      <c r="CF169" s="402"/>
      <c r="CG169" s="402"/>
      <c r="CH169" s="402"/>
      <c r="CI169" s="402"/>
      <c r="CJ169" s="402"/>
      <c r="CK169" s="402"/>
      <c r="CL169" s="402"/>
      <c r="CM169" s="402"/>
      <c r="CN169" s="402"/>
      <c r="CO169" s="402"/>
      <c r="CP169" s="402"/>
      <c r="CQ169" s="402"/>
      <c r="CR169" s="402"/>
      <c r="CS169" s="402"/>
      <c r="CT169" s="402"/>
      <c r="CU169" s="402"/>
      <c r="CV169" s="402"/>
      <c r="CW169" s="402"/>
      <c r="CX169" s="402"/>
      <c r="CY169" s="402"/>
      <c r="CZ169" s="402"/>
      <c r="DA169" s="402"/>
      <c r="DB169" s="402"/>
      <c r="DC169" s="402"/>
      <c r="DD169" s="402"/>
      <c r="DE169" s="402"/>
      <c r="DF169" s="402"/>
      <c r="DG169" s="402"/>
      <c r="DH169" s="402"/>
      <c r="DI169" s="402"/>
      <c r="DJ169" s="402"/>
      <c r="DK169" s="402"/>
      <c r="DL169" s="402"/>
      <c r="DM169" s="402"/>
      <c r="DN169" s="402"/>
      <c r="DO169" s="402"/>
      <c r="DP169" s="402"/>
      <c r="DQ169" s="402"/>
    </row>
    <row r="170" spans="1:121" s="759" customFormat="1" ht="15" customHeight="1" x14ac:dyDescent="0.2">
      <c r="A170" s="266">
        <f t="shared" si="2"/>
        <v>17.133333333333333</v>
      </c>
      <c r="B170" s="389">
        <v>42342</v>
      </c>
      <c r="C170" s="390" t="s">
        <v>904</v>
      </c>
      <c r="D170" s="390" t="s">
        <v>904</v>
      </c>
      <c r="E170" s="390" t="s">
        <v>380</v>
      </c>
      <c r="F170" s="390" t="s">
        <v>5</v>
      </c>
      <c r="G170" s="390" t="s">
        <v>366</v>
      </c>
      <c r="H170" s="261"/>
      <c r="I170" s="261"/>
      <c r="J170" s="261"/>
      <c r="K170" s="261"/>
      <c r="L170" s="261"/>
      <c r="M170" s="261"/>
      <c r="N170" s="261"/>
      <c r="O170" s="261"/>
      <c r="P170" s="261"/>
      <c r="Q170" s="261"/>
      <c r="R170" s="261"/>
      <c r="S170" s="261"/>
      <c r="T170" s="261"/>
      <c r="U170" s="261"/>
      <c r="V170" s="766">
        <v>5</v>
      </c>
      <c r="W170" s="261"/>
      <c r="X170" s="261"/>
      <c r="Y170" s="264">
        <f>IF(NFI_Expiration=1,IF($A170&lt;VLOOKUP(H$5,NFI,5,0),1,0)*Table_NFI[[#This Row],[Hygiene Kit]],Table_NFI[Hygiene Kit])</f>
        <v>0</v>
      </c>
      <c r="Z170" s="264">
        <f>IF(NFI_Expiration=1,IF($A170&lt;VLOOKUP(I$5,NFI,5,0),1,0)*Table_NFI[[#This Row],[NFI Core Kit]],Table_NFI[NFI Core Kit])</f>
        <v>0</v>
      </c>
      <c r="AA170" s="264">
        <f>IF(NFI_Expiration=1,IF($A170&lt;VLOOKUP(J$5,NFI,5,0),1,0)*Table_NFI[[#This Row],[Sanitary Kit]],Table_NFI[Sanitary Kit])</f>
        <v>0</v>
      </c>
      <c r="AB170" s="264">
        <f>IF(NFI_Expiration=1,IF($A170&lt;VLOOKUP(K$5,NFI,5,0),1,0)*Table_NFI[[#This Row],[Mosquito net]],Table_NFI[Mosquito net])</f>
        <v>0</v>
      </c>
      <c r="AC170" s="264">
        <f>IF(NFI_Expiration=1,IF($A170&lt;VLOOKUP(L$5,NFI,5,0),1,0)*Table_NFI[[#This Row],[Tarpaulin]],Table_NFI[[#This Row],[Tarpaulin]])</f>
        <v>0</v>
      </c>
      <c r="AD170" s="264">
        <f>IF(NFI_Expiration=1,IF($A170&lt;VLOOKUP(M$5,NFI,5,0),1,0)*Table_NFI[[#This Row],[Blanket]],Table_NFI[[#This Row],[Blanket]])</f>
        <v>0</v>
      </c>
      <c r="AE170" s="264">
        <f>IF(NFI_Expiration=1,IF($A170&lt;VLOOKUP(N$5,NFI,5,0),1,0)*Table_NFI[[#This Row],[Kitchen Set]],Table_NFI[Kitchen Set])</f>
        <v>0</v>
      </c>
      <c r="AF170" s="264">
        <f>IF(NFI_Expiration=1,IF($A170&lt;VLOOKUP(O$5,NFI,5,0),1,0)*Table_NFI[[#This Row],[Clothes Kit]],Table_NFI[Clothes Kit])</f>
        <v>0</v>
      </c>
      <c r="AG170" s="264">
        <f>IF(NFI_Expiration=1,IF($A170&lt;VLOOKUP(P$5,NFI,5,0),1,0)*Table_NFI[[#This Row],[Plastic Bucket]],Table_NFI[Plastic Bucket])</f>
        <v>0</v>
      </c>
      <c r="AH170" s="264">
        <f>IF(NFI_Expiration=1,IF($A170&lt;VLOOKUP(Q$5,NFI,5,0),1,0)*Table_NFI[[#This Row],[Plastic Mat]],Table_NFI[Plastic Mat])*IF(Table_NFI[[#This Row],[Distribution Date]]&gt;"2014-04-01",1,2.5)</f>
        <v>0</v>
      </c>
      <c r="AI170" s="264">
        <f>IF(NFI_Expiration=1,IF($A170&lt;VLOOKUP(R$5,NFI,5,0),1,0)*Table_NFI[[#This Row],[Winter Clothes Adult]],Table_NFI[Winter Clothes Adult])</f>
        <v>0</v>
      </c>
      <c r="AJ170" s="264">
        <f>IF(NFI_Expiration=1,IF($A170&lt;VLOOKUP(S$5,NFI,5,0),1,0)*Table_NFI[[#This Row],[Winter Clothes Children]],Table_NFI[Winter Clothes Children])</f>
        <v>0</v>
      </c>
      <c r="AK170" s="264">
        <f>IF(NFI_Expiration=1,IF($A170&lt;VLOOKUP(T$5,NFI,5,0),1,0)*Table_NFI[[#This Row],[Winter Items Other]],Table_NFI[Winter Items Other])</f>
        <v>0</v>
      </c>
      <c r="AL170" s="264">
        <f>IF(NFI_Expiration=1,IF($A170&lt;VLOOKUP(M$5,NFI,5,0),1,0)*Table_NFI[[#This Row],[Winter Blanket]],Table_NFI[[#This Row],[Winter Blanket]])</f>
        <v>0</v>
      </c>
      <c r="AM170" s="264">
        <f>IF(Table_NFI[[#This Row],[Winter Clothes Adult]]+Table_NFI[[#This Row],[Winter Clothes Children]]+Table_NFI[[#This Row],[Winter Items Other]]+Table_NFI[[#This Row],[Winter Blanket]]&gt;0,1,0)</f>
        <v>0</v>
      </c>
      <c r="AN170" s="296">
        <f>IF(NFI_Expiration=1,IF($A170&lt;VLOOKUP(V$5,NFI,5,0),1,0)*Table_NFI[[#This Row],[Jerry Can]],Table_NFI[Jerry Can])</f>
        <v>0</v>
      </c>
      <c r="AO170" s="296">
        <f>IF(NFI_Expiration=1,IF($A170&lt;VLOOKUP(V$5,NFI,5,0),1,0)*Table_NFI[[#This Row],[Shelter Tool kit]],Table_NFI[Shelter Tool kit])</f>
        <v>0</v>
      </c>
      <c r="AP170" s="296">
        <f>IF(NFI_Expiration=1,IF($A170&lt;VLOOKUP(V$5,NFI,5,0),1,0)*Table_NFI[[#This Row],[Tent]],Table_NFI[Tent])</f>
        <v>0</v>
      </c>
      <c r="AQ170" s="396" t="str">
        <f>IFERROR(VLOOKUP(Table_NFI[[#This Row],[Camp Name]],CL,2,0),"")</f>
        <v>MMR001CMP193</v>
      </c>
      <c r="AR170" s="702">
        <f ca="1">IF(Table_NFI[[#This Row],[Pcode]]="","",IF(OFFSET(CampList[Opening Date],MATCH(Table_NFI[[#This Row],[Pcode]],CampList[CP_Pcode],0)-1,0,1,1)&gt;=NFI_Monitor_Date,1,0))</f>
        <v>0</v>
      </c>
      <c r="AS170" s="396" t="str">
        <f>IFERROR(VLOOKUP(Table_NFI[[#This Row],[Camp Name]],CL,3,0),"")</f>
        <v>Open</v>
      </c>
      <c r="AT170" s="264" t="str">
        <f ca="1">IF(Table_NFI[[#This Row],[Pcode]]="","",OFFSET(CampList[Priority],MATCH(Table_NFI[[#This Row],[Pcode]],CampList[CP_Pcode],0)-1,0,1,1))</f>
        <v>P4</v>
      </c>
      <c r="AU170" s="263">
        <f>IFERROR(Table_NFI[[#This Row],[Kitchen Set]]/VLOOKUP(Table_NFI[[#This Row],[Camp Name]],CL,4,0),"")</f>
        <v>0</v>
      </c>
      <c r="AV170" s="390"/>
      <c r="AW170" s="392"/>
      <c r="AX170" s="402"/>
      <c r="AY170" s="402"/>
      <c r="AZ170" s="402"/>
      <c r="BA170" s="402"/>
      <c r="BB170" s="402"/>
      <c r="BC170" s="402"/>
      <c r="BD170" s="402"/>
      <c r="BE170" s="402"/>
      <c r="BF170" s="402"/>
      <c r="BG170" s="402"/>
      <c r="BH170" s="402"/>
      <c r="BI170" s="402"/>
      <c r="BJ170" s="402"/>
      <c r="BK170" s="402"/>
      <c r="BL170" s="402"/>
      <c r="BM170" s="402"/>
      <c r="BN170" s="402"/>
      <c r="BO170" s="402"/>
      <c r="BP170" s="402"/>
      <c r="BQ170" s="402"/>
      <c r="BR170" s="402"/>
      <c r="BS170" s="402"/>
      <c r="BT170" s="402"/>
      <c r="BU170" s="402"/>
      <c r="BV170" s="402"/>
      <c r="BW170" s="402"/>
      <c r="BX170" s="402"/>
      <c r="BY170" s="402"/>
      <c r="BZ170" s="402"/>
      <c r="CA170" s="402"/>
      <c r="CB170" s="402"/>
      <c r="CC170" s="402"/>
      <c r="CD170" s="402"/>
      <c r="CE170" s="402"/>
      <c r="CF170" s="402"/>
      <c r="CG170" s="402"/>
      <c r="CH170" s="402"/>
      <c r="CI170" s="402"/>
      <c r="CJ170" s="402"/>
      <c r="CK170" s="402"/>
      <c r="CL170" s="402"/>
      <c r="CM170" s="402"/>
      <c r="CN170" s="402"/>
      <c r="CO170" s="402"/>
      <c r="CP170" s="402"/>
      <c r="CQ170" s="402"/>
      <c r="CR170" s="402"/>
      <c r="CS170" s="402"/>
      <c r="CT170" s="402"/>
      <c r="CU170" s="402"/>
      <c r="CV170" s="402"/>
      <c r="CW170" s="402"/>
      <c r="CX170" s="402"/>
      <c r="CY170" s="402"/>
      <c r="CZ170" s="402"/>
      <c r="DA170" s="402"/>
      <c r="DB170" s="402"/>
      <c r="DC170" s="402"/>
      <c r="DD170" s="402"/>
      <c r="DE170" s="402"/>
      <c r="DF170" s="402"/>
      <c r="DG170" s="402"/>
      <c r="DH170" s="402"/>
      <c r="DI170" s="402"/>
      <c r="DJ170" s="402"/>
      <c r="DK170" s="402"/>
      <c r="DL170" s="402"/>
      <c r="DM170" s="402"/>
      <c r="DN170" s="402"/>
      <c r="DO170" s="402"/>
      <c r="DP170" s="402"/>
      <c r="DQ170" s="402"/>
    </row>
    <row r="171" spans="1:121" s="759" customFormat="1" ht="14.45" customHeight="1" x14ac:dyDescent="0.25">
      <c r="A171" s="266">
        <f t="shared" si="2"/>
        <v>17.133333333333333</v>
      </c>
      <c r="B171" s="389">
        <v>42342</v>
      </c>
      <c r="C171" s="390" t="s">
        <v>904</v>
      </c>
      <c r="D171" s="390" t="s">
        <v>904</v>
      </c>
      <c r="E171" s="390" t="s">
        <v>380</v>
      </c>
      <c r="F171" s="262" t="s">
        <v>185</v>
      </c>
      <c r="G171" s="262" t="s">
        <v>1415</v>
      </c>
      <c r="H171" s="261"/>
      <c r="I171" s="261"/>
      <c r="J171" s="261"/>
      <c r="K171" s="261"/>
      <c r="L171" s="261"/>
      <c r="M171" s="261"/>
      <c r="N171" s="261"/>
      <c r="O171" s="261"/>
      <c r="P171" s="261"/>
      <c r="Q171" s="261"/>
      <c r="R171" s="261"/>
      <c r="S171" s="261"/>
      <c r="T171" s="261"/>
      <c r="U171" s="261"/>
      <c r="V171" s="762">
        <v>1</v>
      </c>
      <c r="W171" s="261"/>
      <c r="X171" s="261"/>
      <c r="Y171" s="264">
        <f>IF(NFI_Expiration=1,IF($A171&lt;VLOOKUP(H$5,NFI,5,0),1,0)*Table_NFI[[#This Row],[Hygiene Kit]],Table_NFI[Hygiene Kit])</f>
        <v>0</v>
      </c>
      <c r="Z171" s="264">
        <f>IF(NFI_Expiration=1,IF($A171&lt;VLOOKUP(I$5,NFI,5,0),1,0)*Table_NFI[[#This Row],[NFI Core Kit]],Table_NFI[NFI Core Kit])</f>
        <v>0</v>
      </c>
      <c r="AA171" s="264">
        <f>IF(NFI_Expiration=1,IF($A171&lt;VLOOKUP(J$5,NFI,5,0),1,0)*Table_NFI[[#This Row],[Sanitary Kit]],Table_NFI[Sanitary Kit])</f>
        <v>0</v>
      </c>
      <c r="AB171" s="264">
        <f>IF(NFI_Expiration=1,IF($A171&lt;VLOOKUP(K$5,NFI,5,0),1,0)*Table_NFI[[#This Row],[Mosquito net]],Table_NFI[Mosquito net])</f>
        <v>0</v>
      </c>
      <c r="AC171" s="264">
        <f>IF(NFI_Expiration=1,IF($A171&lt;VLOOKUP(L$5,NFI,5,0),1,0)*Table_NFI[[#This Row],[Tarpaulin]],Table_NFI[[#This Row],[Tarpaulin]])</f>
        <v>0</v>
      </c>
      <c r="AD171" s="264">
        <f>IF(NFI_Expiration=1,IF($A171&lt;VLOOKUP(M$5,NFI,5,0),1,0)*Table_NFI[[#This Row],[Blanket]],Table_NFI[[#This Row],[Blanket]])</f>
        <v>0</v>
      </c>
      <c r="AE171" s="264">
        <f>IF(NFI_Expiration=1,IF($A171&lt;VLOOKUP(N$5,NFI,5,0),1,0)*Table_NFI[[#This Row],[Kitchen Set]],Table_NFI[Kitchen Set])</f>
        <v>0</v>
      </c>
      <c r="AF171" s="264">
        <f>IF(NFI_Expiration=1,IF($A171&lt;VLOOKUP(O$5,NFI,5,0),1,0)*Table_NFI[[#This Row],[Clothes Kit]],Table_NFI[Clothes Kit])</f>
        <v>0</v>
      </c>
      <c r="AG171" s="264">
        <f>IF(NFI_Expiration=1,IF($A171&lt;VLOOKUP(P$5,NFI,5,0),1,0)*Table_NFI[[#This Row],[Plastic Bucket]],Table_NFI[Plastic Bucket])</f>
        <v>0</v>
      </c>
      <c r="AH171" s="264">
        <f>IF(NFI_Expiration=1,IF($A171&lt;VLOOKUP(Q$5,NFI,5,0),1,0)*Table_NFI[[#This Row],[Plastic Mat]],Table_NFI[Plastic Mat])*IF(Table_NFI[[#This Row],[Distribution Date]]&gt;"2014-04-01",1,2.5)</f>
        <v>0</v>
      </c>
      <c r="AI171" s="264">
        <f>IF(NFI_Expiration=1,IF($A171&lt;VLOOKUP(R$5,NFI,5,0),1,0)*Table_NFI[[#This Row],[Winter Clothes Adult]],Table_NFI[Winter Clothes Adult])</f>
        <v>0</v>
      </c>
      <c r="AJ171" s="264">
        <f>IF(NFI_Expiration=1,IF($A171&lt;VLOOKUP(S$5,NFI,5,0),1,0)*Table_NFI[[#This Row],[Winter Clothes Children]],Table_NFI[Winter Clothes Children])</f>
        <v>0</v>
      </c>
      <c r="AK171" s="264">
        <f>IF(NFI_Expiration=1,IF($A171&lt;VLOOKUP(T$5,NFI,5,0),1,0)*Table_NFI[[#This Row],[Winter Items Other]],Table_NFI[Winter Items Other])</f>
        <v>0</v>
      </c>
      <c r="AL171" s="264">
        <f>IF(NFI_Expiration=1,IF($A171&lt;VLOOKUP(M$5,NFI,5,0),1,0)*Table_NFI[[#This Row],[Winter Blanket]],Table_NFI[[#This Row],[Winter Blanket]])</f>
        <v>0</v>
      </c>
      <c r="AM171" s="264">
        <f>IF(Table_NFI[[#This Row],[Winter Clothes Adult]]+Table_NFI[[#This Row],[Winter Clothes Children]]+Table_NFI[[#This Row],[Winter Items Other]]+Table_NFI[[#This Row],[Winter Blanket]]&gt;0,1,0)</f>
        <v>0</v>
      </c>
      <c r="AN171" s="296">
        <f>IF(NFI_Expiration=1,IF($A171&lt;VLOOKUP(V$5,NFI,5,0),1,0)*Table_NFI[[#This Row],[Jerry Can]],Table_NFI[Jerry Can])</f>
        <v>0</v>
      </c>
      <c r="AO171" s="296">
        <f>IF(NFI_Expiration=1,IF($A171&lt;VLOOKUP(V$5,NFI,5,0),1,0)*Table_NFI[[#This Row],[Shelter Tool kit]],Table_NFI[Shelter Tool kit])</f>
        <v>0</v>
      </c>
      <c r="AP171" s="296">
        <f>IF(NFI_Expiration=1,IF($A171&lt;VLOOKUP(V$5,NFI,5,0),1,0)*Table_NFI[[#This Row],[Tent]],Table_NFI[Tent])</f>
        <v>0</v>
      </c>
      <c r="AQ171" s="396" t="str">
        <f>IFERROR(VLOOKUP(Table_NFI[[#This Row],[Camp Name]],CL,2,0),"")</f>
        <v/>
      </c>
      <c r="AR171" s="702" t="str">
        <f ca="1">IF(Table_NFI[[#This Row],[Pcode]]="","",IF(OFFSET(CampList[Opening Date],MATCH(Table_NFI[[#This Row],[Pcode]],CampList[CP_Pcode],0)-1,0,1,1)&gt;=NFI_Monitor_Date,1,0))</f>
        <v/>
      </c>
      <c r="AS171" s="559" t="str">
        <f>IFERROR(VLOOKUP(Table_NFI[[#This Row],[Camp Name]],CL,3,0),"")</f>
        <v/>
      </c>
      <c r="AT171" s="264" t="str">
        <f ca="1">IF(Table_NFI[[#This Row],[Pcode]]="","",OFFSET(CampList[Priority],MATCH(Table_NFI[[#This Row],[Pcode]],CampList[CP_Pcode],0)-1,0,1,1))</f>
        <v/>
      </c>
      <c r="AU171" s="263" t="str">
        <f>IFERROR(Table_NFI[[#This Row],[Kitchen Set]]/VLOOKUP(Table_NFI[[#This Row],[Camp Name]],CL,4,0),"")</f>
        <v/>
      </c>
      <c r="AV171" s="390"/>
      <c r="AW171" s="392"/>
      <c r="AX171" s="402"/>
      <c r="AY171" s="402"/>
      <c r="AZ171" s="402"/>
      <c r="BA171" s="402"/>
      <c r="BB171" s="402"/>
      <c r="BC171" s="402"/>
      <c r="BD171" s="402"/>
      <c r="BE171" s="402"/>
      <c r="BF171" s="402"/>
      <c r="BG171" s="402"/>
      <c r="BH171" s="402"/>
      <c r="BI171" s="402"/>
      <c r="BJ171" s="402"/>
      <c r="BK171" s="402"/>
      <c r="BL171" s="402"/>
      <c r="BM171" s="402"/>
      <c r="BN171" s="402"/>
      <c r="BO171" s="402"/>
      <c r="BP171" s="402"/>
      <c r="BQ171" s="402"/>
      <c r="BR171" s="402"/>
      <c r="BS171" s="402"/>
      <c r="BT171" s="402"/>
      <c r="BU171" s="402"/>
      <c r="BV171" s="402"/>
      <c r="BW171" s="402"/>
      <c r="BX171" s="402"/>
      <c r="BY171" s="402"/>
      <c r="BZ171" s="402"/>
      <c r="CA171" s="402"/>
      <c r="CB171" s="402"/>
      <c r="CC171" s="402"/>
      <c r="CD171" s="402"/>
      <c r="CE171" s="402"/>
      <c r="CF171" s="402"/>
      <c r="CG171" s="402"/>
      <c r="CH171" s="402"/>
      <c r="CI171" s="402"/>
      <c r="CJ171" s="402"/>
      <c r="CK171" s="402"/>
      <c r="CL171" s="402"/>
      <c r="CM171" s="402"/>
      <c r="CN171" s="402"/>
      <c r="CO171" s="402"/>
      <c r="CP171" s="402"/>
      <c r="CQ171" s="402"/>
      <c r="CR171" s="402"/>
      <c r="CS171" s="402"/>
      <c r="CT171" s="402"/>
      <c r="CU171" s="402"/>
      <c r="CV171" s="402"/>
      <c r="CW171" s="402"/>
      <c r="CX171" s="402"/>
      <c r="CY171" s="402"/>
      <c r="CZ171" s="402"/>
      <c r="DA171" s="402"/>
      <c r="DB171" s="402"/>
      <c r="DC171" s="402"/>
      <c r="DD171" s="402"/>
      <c r="DE171" s="402"/>
      <c r="DF171" s="402"/>
      <c r="DG171" s="402"/>
      <c r="DH171" s="402"/>
      <c r="DI171" s="402"/>
      <c r="DJ171" s="402"/>
      <c r="DK171" s="402"/>
      <c r="DL171" s="402"/>
      <c r="DM171" s="402"/>
      <c r="DN171" s="402"/>
      <c r="DO171" s="402"/>
      <c r="DP171" s="402"/>
      <c r="DQ171" s="402"/>
    </row>
    <row r="172" spans="1:121" s="759" customFormat="1" ht="14.45" customHeight="1" x14ac:dyDescent="0.25">
      <c r="A172" s="266">
        <f t="shared" si="2"/>
        <v>17.233333333333334</v>
      </c>
      <c r="B172" s="389">
        <v>42339</v>
      </c>
      <c r="C172" s="390" t="s">
        <v>904</v>
      </c>
      <c r="D172" s="390" t="s">
        <v>904</v>
      </c>
      <c r="E172" s="390" t="s">
        <v>380</v>
      </c>
      <c r="F172" s="262" t="s">
        <v>185</v>
      </c>
      <c r="G172" s="262" t="s">
        <v>1416</v>
      </c>
      <c r="H172" s="261"/>
      <c r="I172" s="261"/>
      <c r="J172" s="261"/>
      <c r="K172" s="261"/>
      <c r="L172" s="261"/>
      <c r="M172" s="261"/>
      <c r="N172" s="261"/>
      <c r="O172" s="261"/>
      <c r="P172" s="261"/>
      <c r="Q172" s="261"/>
      <c r="R172" s="261"/>
      <c r="S172" s="261"/>
      <c r="T172" s="261"/>
      <c r="U172" s="261"/>
      <c r="V172" s="762">
        <v>44</v>
      </c>
      <c r="W172" s="261"/>
      <c r="X172" s="261"/>
      <c r="Y172" s="264">
        <f>IF(NFI_Expiration=1,IF($A172&lt;VLOOKUP(H$5,NFI,5,0),1,0)*Table_NFI[[#This Row],[Hygiene Kit]],Table_NFI[Hygiene Kit])</f>
        <v>0</v>
      </c>
      <c r="Z172" s="264">
        <f>IF(NFI_Expiration=1,IF($A172&lt;VLOOKUP(I$5,NFI,5,0),1,0)*Table_NFI[[#This Row],[NFI Core Kit]],Table_NFI[NFI Core Kit])</f>
        <v>0</v>
      </c>
      <c r="AA172" s="264">
        <f>IF(NFI_Expiration=1,IF($A172&lt;VLOOKUP(J$5,NFI,5,0),1,0)*Table_NFI[[#This Row],[Sanitary Kit]],Table_NFI[Sanitary Kit])</f>
        <v>0</v>
      </c>
      <c r="AB172" s="264">
        <f>IF(NFI_Expiration=1,IF($A172&lt;VLOOKUP(K$5,NFI,5,0),1,0)*Table_NFI[[#This Row],[Mosquito net]],Table_NFI[Mosquito net])</f>
        <v>0</v>
      </c>
      <c r="AC172" s="264">
        <f>IF(NFI_Expiration=1,IF($A172&lt;VLOOKUP(L$5,NFI,5,0),1,0)*Table_NFI[[#This Row],[Tarpaulin]],Table_NFI[[#This Row],[Tarpaulin]])</f>
        <v>0</v>
      </c>
      <c r="AD172" s="264">
        <f>IF(NFI_Expiration=1,IF($A172&lt;VLOOKUP(M$5,NFI,5,0),1,0)*Table_NFI[[#This Row],[Blanket]],Table_NFI[[#This Row],[Blanket]])</f>
        <v>0</v>
      </c>
      <c r="AE172" s="264">
        <f>IF(NFI_Expiration=1,IF($A172&lt;VLOOKUP(N$5,NFI,5,0),1,0)*Table_NFI[[#This Row],[Kitchen Set]],Table_NFI[Kitchen Set])</f>
        <v>0</v>
      </c>
      <c r="AF172" s="264">
        <f>IF(NFI_Expiration=1,IF($A172&lt;VLOOKUP(O$5,NFI,5,0),1,0)*Table_NFI[[#This Row],[Clothes Kit]],Table_NFI[Clothes Kit])</f>
        <v>0</v>
      </c>
      <c r="AG172" s="264">
        <f>IF(NFI_Expiration=1,IF($A172&lt;VLOOKUP(P$5,NFI,5,0),1,0)*Table_NFI[[#This Row],[Plastic Bucket]],Table_NFI[Plastic Bucket])</f>
        <v>0</v>
      </c>
      <c r="AH172" s="264">
        <f>IF(NFI_Expiration=1,IF($A172&lt;VLOOKUP(Q$5,NFI,5,0),1,0)*Table_NFI[[#This Row],[Plastic Mat]],Table_NFI[Plastic Mat])*IF(Table_NFI[[#This Row],[Distribution Date]]&gt;"2014-04-01",1,2.5)</f>
        <v>0</v>
      </c>
      <c r="AI172" s="264">
        <f>IF(NFI_Expiration=1,IF($A172&lt;VLOOKUP(R$5,NFI,5,0),1,0)*Table_NFI[[#This Row],[Winter Clothes Adult]],Table_NFI[Winter Clothes Adult])</f>
        <v>0</v>
      </c>
      <c r="AJ172" s="264">
        <f>IF(NFI_Expiration=1,IF($A172&lt;VLOOKUP(S$5,NFI,5,0),1,0)*Table_NFI[[#This Row],[Winter Clothes Children]],Table_NFI[Winter Clothes Children])</f>
        <v>0</v>
      </c>
      <c r="AK172" s="264">
        <f>IF(NFI_Expiration=1,IF($A172&lt;VLOOKUP(T$5,NFI,5,0),1,0)*Table_NFI[[#This Row],[Winter Items Other]],Table_NFI[Winter Items Other])</f>
        <v>0</v>
      </c>
      <c r="AL172" s="264">
        <f>IF(NFI_Expiration=1,IF($A172&lt;VLOOKUP(M$5,NFI,5,0),1,0)*Table_NFI[[#This Row],[Winter Blanket]],Table_NFI[[#This Row],[Winter Blanket]])</f>
        <v>0</v>
      </c>
      <c r="AM172" s="264">
        <f>IF(Table_NFI[[#This Row],[Winter Clothes Adult]]+Table_NFI[[#This Row],[Winter Clothes Children]]+Table_NFI[[#This Row],[Winter Items Other]]+Table_NFI[[#This Row],[Winter Blanket]]&gt;0,1,0)</f>
        <v>0</v>
      </c>
      <c r="AN172" s="296">
        <f>IF(NFI_Expiration=1,IF($A172&lt;VLOOKUP(V$5,NFI,5,0),1,0)*Table_NFI[[#This Row],[Jerry Can]],Table_NFI[Jerry Can])</f>
        <v>0</v>
      </c>
      <c r="AO172" s="296">
        <f>IF(NFI_Expiration=1,IF($A172&lt;VLOOKUP(V$5,NFI,5,0),1,0)*Table_NFI[[#This Row],[Shelter Tool kit]],Table_NFI[Shelter Tool kit])</f>
        <v>0</v>
      </c>
      <c r="AP172" s="296">
        <f>IF(NFI_Expiration=1,IF($A172&lt;VLOOKUP(V$5,NFI,5,0),1,0)*Table_NFI[[#This Row],[Tent]],Table_NFI[Tent])</f>
        <v>0</v>
      </c>
      <c r="AQ172" s="396" t="str">
        <f>IFERROR(VLOOKUP(Table_NFI[[#This Row],[Camp Name]],CL,2,0),"")</f>
        <v/>
      </c>
      <c r="AR172" s="702" t="str">
        <f ca="1">IF(Table_NFI[[#This Row],[Pcode]]="","",IF(OFFSET(CampList[Opening Date],MATCH(Table_NFI[[#This Row],[Pcode]],CampList[CP_Pcode],0)-1,0,1,1)&gt;=NFI_Monitor_Date,1,0))</f>
        <v/>
      </c>
      <c r="AS172" s="559" t="str">
        <f>IFERROR(VLOOKUP(Table_NFI[[#This Row],[Camp Name]],CL,3,0),"")</f>
        <v/>
      </c>
      <c r="AT172" s="264" t="str">
        <f ca="1">IF(Table_NFI[[#This Row],[Pcode]]="","",OFFSET(CampList[Priority],MATCH(Table_NFI[[#This Row],[Pcode]],CampList[CP_Pcode],0)-1,0,1,1))</f>
        <v/>
      </c>
      <c r="AU172" s="263" t="str">
        <f>IFERROR(Table_NFI[[#This Row],[Kitchen Set]]/VLOOKUP(Table_NFI[[#This Row],[Camp Name]],CL,4,0),"")</f>
        <v/>
      </c>
      <c r="AV172" s="390"/>
      <c r="AW172" s="392"/>
      <c r="AX172" s="402"/>
      <c r="AY172" s="402"/>
      <c r="AZ172" s="402"/>
      <c r="BA172" s="402"/>
      <c r="BB172" s="402"/>
      <c r="BC172" s="402"/>
      <c r="BD172" s="402"/>
      <c r="BE172" s="402"/>
      <c r="BF172" s="402"/>
      <c r="BG172" s="402"/>
      <c r="BH172" s="402"/>
      <c r="BI172" s="402"/>
      <c r="BJ172" s="402"/>
      <c r="BK172" s="402"/>
      <c r="BL172" s="402"/>
      <c r="BM172" s="402"/>
      <c r="BN172" s="402"/>
      <c r="BO172" s="402"/>
      <c r="BP172" s="402"/>
      <c r="BQ172" s="402"/>
      <c r="BR172" s="402"/>
      <c r="BS172" s="402"/>
      <c r="BT172" s="402"/>
      <c r="BU172" s="402"/>
      <c r="BV172" s="402"/>
      <c r="BW172" s="402"/>
      <c r="BX172" s="402"/>
      <c r="BY172" s="402"/>
      <c r="BZ172" s="402"/>
      <c r="CA172" s="402"/>
      <c r="CB172" s="402"/>
      <c r="CC172" s="402"/>
      <c r="CD172" s="402"/>
      <c r="CE172" s="402"/>
      <c r="CF172" s="402"/>
      <c r="CG172" s="402"/>
      <c r="CH172" s="402"/>
      <c r="CI172" s="402"/>
      <c r="CJ172" s="402"/>
      <c r="CK172" s="402"/>
      <c r="CL172" s="402"/>
      <c r="CM172" s="402"/>
      <c r="CN172" s="402"/>
      <c r="CO172" s="402"/>
      <c r="CP172" s="402"/>
      <c r="CQ172" s="402"/>
      <c r="CR172" s="402"/>
      <c r="CS172" s="402"/>
      <c r="CT172" s="402"/>
      <c r="CU172" s="402"/>
      <c r="CV172" s="402"/>
      <c r="CW172" s="402"/>
      <c r="CX172" s="402"/>
      <c r="CY172" s="402"/>
      <c r="CZ172" s="402"/>
      <c r="DA172" s="402"/>
      <c r="DB172" s="402"/>
      <c r="DC172" s="402"/>
      <c r="DD172" s="402"/>
      <c r="DE172" s="402"/>
      <c r="DF172" s="402"/>
      <c r="DG172" s="402"/>
      <c r="DH172" s="402"/>
      <c r="DI172" s="402"/>
      <c r="DJ172" s="402"/>
      <c r="DK172" s="402"/>
      <c r="DL172" s="402"/>
      <c r="DM172" s="402"/>
      <c r="DN172" s="402"/>
      <c r="DO172" s="402"/>
      <c r="DP172" s="402"/>
      <c r="DQ172" s="402"/>
    </row>
    <row r="173" spans="1:121" s="759" customFormat="1" ht="14.45" customHeight="1" x14ac:dyDescent="0.25">
      <c r="A173" s="266">
        <f t="shared" si="2"/>
        <v>17.366666666666667</v>
      </c>
      <c r="B173" s="389">
        <v>42335</v>
      </c>
      <c r="C173" s="390" t="s">
        <v>451</v>
      </c>
      <c r="D173" s="390" t="s">
        <v>459</v>
      </c>
      <c r="E173" s="390" t="s">
        <v>380</v>
      </c>
      <c r="F173" s="390" t="s">
        <v>302</v>
      </c>
      <c r="G173" s="390" t="s">
        <v>306</v>
      </c>
      <c r="H173" s="261"/>
      <c r="I173" s="261"/>
      <c r="J173" s="261"/>
      <c r="K173" s="261"/>
      <c r="L173" s="261">
        <v>9</v>
      </c>
      <c r="M173" s="261">
        <v>23</v>
      </c>
      <c r="N173" s="261">
        <v>10</v>
      </c>
      <c r="O173" s="261"/>
      <c r="P173" s="261">
        <v>8</v>
      </c>
      <c r="Q173" s="261">
        <v>24</v>
      </c>
      <c r="R173" s="261"/>
      <c r="S173" s="261"/>
      <c r="T173" s="261"/>
      <c r="U173" s="261"/>
      <c r="V173" s="762">
        <v>6</v>
      </c>
      <c r="W173" s="261"/>
      <c r="X173" s="261"/>
      <c r="Y173" s="264">
        <f>IF(NFI_Expiration=1,IF($A173&lt;VLOOKUP(H$5,NFI,5,0),1,0)*Table_NFI[[#This Row],[Hygiene Kit]],Table_NFI[Hygiene Kit])</f>
        <v>0</v>
      </c>
      <c r="Z173" s="264">
        <f>IF(NFI_Expiration=1,IF($A173&lt;VLOOKUP(I$5,NFI,5,0),1,0)*Table_NFI[[#This Row],[NFI Core Kit]],Table_NFI[NFI Core Kit])</f>
        <v>0</v>
      </c>
      <c r="AA173" s="264">
        <f>IF(NFI_Expiration=1,IF($A173&lt;VLOOKUP(J$5,NFI,5,0),1,0)*Table_NFI[[#This Row],[Sanitary Kit]],Table_NFI[Sanitary Kit])</f>
        <v>0</v>
      </c>
      <c r="AB173" s="264">
        <f>IF(NFI_Expiration=1,IF($A173&lt;VLOOKUP(K$5,NFI,5,0),1,0)*Table_NFI[[#This Row],[Mosquito net]],Table_NFI[Mosquito net])</f>
        <v>0</v>
      </c>
      <c r="AC173" s="264">
        <f>IF(NFI_Expiration=1,IF($A173&lt;VLOOKUP(L$5,NFI,5,0),1,0)*Table_NFI[[#This Row],[Tarpaulin]],Table_NFI[[#This Row],[Tarpaulin]])</f>
        <v>0</v>
      </c>
      <c r="AD173" s="264">
        <f>IF(NFI_Expiration=1,IF($A173&lt;VLOOKUP(M$5,NFI,5,0),1,0)*Table_NFI[[#This Row],[Blanket]],Table_NFI[[#This Row],[Blanket]])</f>
        <v>0</v>
      </c>
      <c r="AE173" s="264">
        <f>IF(NFI_Expiration=1,IF($A173&lt;VLOOKUP(N$5,NFI,5,0),1,0)*Table_NFI[[#This Row],[Kitchen Set]],Table_NFI[Kitchen Set])</f>
        <v>0</v>
      </c>
      <c r="AF173" s="264">
        <f>IF(NFI_Expiration=1,IF($A173&lt;VLOOKUP(O$5,NFI,5,0),1,0)*Table_NFI[[#This Row],[Clothes Kit]],Table_NFI[Clothes Kit])</f>
        <v>0</v>
      </c>
      <c r="AG173" s="264">
        <f>IF(NFI_Expiration=1,IF($A173&lt;VLOOKUP(P$5,NFI,5,0),1,0)*Table_NFI[[#This Row],[Plastic Bucket]],Table_NFI[Plastic Bucket])</f>
        <v>0</v>
      </c>
      <c r="AH173" s="264">
        <f>IF(NFI_Expiration=1,IF($A173&lt;VLOOKUP(Q$5,NFI,5,0),1,0)*Table_NFI[[#This Row],[Plastic Mat]],Table_NFI[Plastic Mat])*IF(Table_NFI[[#This Row],[Distribution Date]]&gt;"2014-04-01",1,2.5)</f>
        <v>0</v>
      </c>
      <c r="AI173" s="264">
        <f>IF(NFI_Expiration=1,IF($A173&lt;VLOOKUP(R$5,NFI,5,0),1,0)*Table_NFI[[#This Row],[Winter Clothes Adult]],Table_NFI[Winter Clothes Adult])</f>
        <v>0</v>
      </c>
      <c r="AJ173" s="264">
        <f>IF(NFI_Expiration=1,IF($A173&lt;VLOOKUP(S$5,NFI,5,0),1,0)*Table_NFI[[#This Row],[Winter Clothes Children]],Table_NFI[Winter Clothes Children])</f>
        <v>0</v>
      </c>
      <c r="AK173" s="264">
        <f>IF(NFI_Expiration=1,IF($A173&lt;VLOOKUP(T$5,NFI,5,0),1,0)*Table_NFI[[#This Row],[Winter Items Other]],Table_NFI[Winter Items Other])</f>
        <v>0</v>
      </c>
      <c r="AL173" s="264">
        <f>IF(NFI_Expiration=1,IF($A173&lt;VLOOKUP(M$5,NFI,5,0),1,0)*Table_NFI[[#This Row],[Winter Blanket]],Table_NFI[[#This Row],[Winter Blanket]])</f>
        <v>0</v>
      </c>
      <c r="AM173" s="264">
        <f>IF(Table_NFI[[#This Row],[Winter Clothes Adult]]+Table_NFI[[#This Row],[Winter Clothes Children]]+Table_NFI[[#This Row],[Winter Items Other]]+Table_NFI[[#This Row],[Winter Blanket]]&gt;0,1,0)</f>
        <v>0</v>
      </c>
      <c r="AN173" s="296">
        <f>IF(NFI_Expiration=1,IF($A173&lt;VLOOKUP(V$5,NFI,5,0),1,0)*Table_NFI[[#This Row],[Jerry Can]],Table_NFI[Jerry Can])</f>
        <v>0</v>
      </c>
      <c r="AO173" s="296">
        <f>IF(NFI_Expiration=1,IF($A173&lt;VLOOKUP(V$5,NFI,5,0),1,0)*Table_NFI[[#This Row],[Shelter Tool kit]],Table_NFI[Shelter Tool kit])</f>
        <v>0</v>
      </c>
      <c r="AP173" s="296">
        <f>IF(NFI_Expiration=1,IF($A173&lt;VLOOKUP(V$5,NFI,5,0),1,0)*Table_NFI[[#This Row],[Tent]],Table_NFI[Tent])</f>
        <v>0</v>
      </c>
      <c r="AQ173" s="396" t="str">
        <f>IFERROR(VLOOKUP(Table_NFI[[#This Row],[Camp Name]],CL,2,0),"")</f>
        <v>MMR001CMP067</v>
      </c>
      <c r="AR173" s="702">
        <f ca="1">IF(Table_NFI[[#This Row],[Pcode]]="","",IF(OFFSET(CampList[Opening Date],MATCH(Table_NFI[[#This Row],[Pcode]],CampList[CP_Pcode],0)-1,0,1,1)&gt;=NFI_Monitor_Date,1,0))</f>
        <v>0</v>
      </c>
      <c r="AS173" s="396" t="str">
        <f>IFERROR(VLOOKUP(Table_NFI[[#This Row],[Camp Name]],CL,3,0),"")</f>
        <v>Open</v>
      </c>
      <c r="AT173" s="264" t="str">
        <f ca="1">IF(Table_NFI[[#This Row],[Pcode]]="","",OFFSET(CampList[Priority],MATCH(Table_NFI[[#This Row],[Pcode]],CampList[CP_Pcode],0)-1,0,1,1))</f>
        <v>P4</v>
      </c>
      <c r="AU173" s="263">
        <f>IFERROR(Table_NFI[[#This Row],[Kitchen Set]]/VLOOKUP(Table_NFI[[#This Row],[Camp Name]],CL,4,0),"")</f>
        <v>2.4554941682013506E-4</v>
      </c>
      <c r="AV173" s="390" t="s">
        <v>1087</v>
      </c>
      <c r="AW173" s="407"/>
      <c r="AX173" s="402"/>
      <c r="AY173" s="402"/>
      <c r="AZ173" s="402"/>
      <c r="BA173" s="402"/>
      <c r="BB173" s="402"/>
      <c r="BC173" s="402"/>
      <c r="BD173" s="402"/>
      <c r="BE173" s="402"/>
      <c r="BF173" s="402"/>
      <c r="BG173" s="402"/>
      <c r="BH173" s="402"/>
      <c r="BI173" s="402"/>
      <c r="BJ173" s="402"/>
      <c r="BK173" s="402"/>
      <c r="BL173" s="402"/>
      <c r="BM173" s="402"/>
      <c r="BN173" s="402"/>
      <c r="BO173" s="402"/>
      <c r="BP173" s="402"/>
      <c r="BQ173" s="402"/>
      <c r="BR173" s="402"/>
      <c r="BS173" s="402"/>
      <c r="BT173" s="402"/>
      <c r="BU173" s="402"/>
      <c r="BV173" s="402"/>
      <c r="BW173" s="402"/>
      <c r="BX173" s="402"/>
      <c r="BY173" s="402"/>
      <c r="BZ173" s="402"/>
      <c r="CA173" s="402"/>
      <c r="CB173" s="402"/>
      <c r="CC173" s="402"/>
      <c r="CD173" s="402"/>
      <c r="CE173" s="402"/>
      <c r="CF173" s="402"/>
      <c r="CG173" s="402"/>
      <c r="CH173" s="402"/>
      <c r="CI173" s="402"/>
      <c r="CJ173" s="402"/>
      <c r="CK173" s="402"/>
      <c r="CL173" s="402"/>
      <c r="CM173" s="402"/>
      <c r="CN173" s="402"/>
      <c r="CO173" s="402"/>
      <c r="CP173" s="402"/>
      <c r="CQ173" s="402"/>
      <c r="CR173" s="402"/>
      <c r="CS173" s="402"/>
      <c r="CT173" s="402"/>
      <c r="CU173" s="402"/>
      <c r="CV173" s="402"/>
      <c r="CW173" s="402"/>
      <c r="CX173" s="402"/>
      <c r="CY173" s="402"/>
      <c r="CZ173" s="402"/>
      <c r="DA173" s="402"/>
      <c r="DB173" s="402"/>
      <c r="DC173" s="402"/>
      <c r="DD173" s="402"/>
      <c r="DE173" s="402"/>
      <c r="DF173" s="402"/>
      <c r="DG173" s="402"/>
      <c r="DH173" s="402"/>
      <c r="DI173" s="402"/>
      <c r="DJ173" s="402"/>
      <c r="DK173" s="402"/>
      <c r="DL173" s="402"/>
      <c r="DM173" s="402"/>
      <c r="DN173" s="402"/>
      <c r="DO173" s="402"/>
      <c r="DP173" s="402"/>
      <c r="DQ173" s="402"/>
    </row>
    <row r="174" spans="1:121" s="759" customFormat="1" ht="14.45" customHeight="1" x14ac:dyDescent="0.25">
      <c r="A174" s="266">
        <f t="shared" si="2"/>
        <v>17.433333333333334</v>
      </c>
      <c r="B174" s="389">
        <v>42333</v>
      </c>
      <c r="C174" s="390" t="s">
        <v>451</v>
      </c>
      <c r="D174" s="390" t="s">
        <v>459</v>
      </c>
      <c r="E174" s="390" t="s">
        <v>380</v>
      </c>
      <c r="F174" s="390" t="s">
        <v>302</v>
      </c>
      <c r="G174" s="390" t="s">
        <v>306</v>
      </c>
      <c r="H174" s="261"/>
      <c r="I174" s="261"/>
      <c r="J174" s="261"/>
      <c r="K174" s="261"/>
      <c r="L174" s="261">
        <v>4</v>
      </c>
      <c r="M174" s="261">
        <v>16</v>
      </c>
      <c r="N174" s="261">
        <v>4</v>
      </c>
      <c r="O174" s="261"/>
      <c r="P174" s="261">
        <v>4</v>
      </c>
      <c r="Q174" s="261">
        <v>23</v>
      </c>
      <c r="R174" s="261"/>
      <c r="S174" s="261"/>
      <c r="T174" s="261"/>
      <c r="U174" s="261"/>
      <c r="V174" s="762">
        <v>7</v>
      </c>
      <c r="W174" s="261"/>
      <c r="X174" s="261"/>
      <c r="Y174" s="264">
        <f>IF(NFI_Expiration=1,IF($A174&lt;VLOOKUP(H$5,NFI,5,0),1,0)*Table_NFI[[#This Row],[Hygiene Kit]],Table_NFI[Hygiene Kit])</f>
        <v>0</v>
      </c>
      <c r="Z174" s="264">
        <f>IF(NFI_Expiration=1,IF($A174&lt;VLOOKUP(I$5,NFI,5,0),1,0)*Table_NFI[[#This Row],[NFI Core Kit]],Table_NFI[NFI Core Kit])</f>
        <v>0</v>
      </c>
      <c r="AA174" s="264">
        <f>IF(NFI_Expiration=1,IF($A174&lt;VLOOKUP(J$5,NFI,5,0),1,0)*Table_NFI[[#This Row],[Sanitary Kit]],Table_NFI[Sanitary Kit])</f>
        <v>0</v>
      </c>
      <c r="AB174" s="264">
        <f>IF(NFI_Expiration=1,IF($A174&lt;VLOOKUP(K$5,NFI,5,0),1,0)*Table_NFI[[#This Row],[Mosquito net]],Table_NFI[Mosquito net])</f>
        <v>0</v>
      </c>
      <c r="AC174" s="264">
        <f>IF(NFI_Expiration=1,IF($A174&lt;VLOOKUP(L$5,NFI,5,0),1,0)*Table_NFI[[#This Row],[Tarpaulin]],Table_NFI[[#This Row],[Tarpaulin]])</f>
        <v>0</v>
      </c>
      <c r="AD174" s="264">
        <f>IF(NFI_Expiration=1,IF($A174&lt;VLOOKUP(M$5,NFI,5,0),1,0)*Table_NFI[[#This Row],[Blanket]],Table_NFI[[#This Row],[Blanket]])</f>
        <v>0</v>
      </c>
      <c r="AE174" s="264">
        <f>IF(NFI_Expiration=1,IF($A174&lt;VLOOKUP(N$5,NFI,5,0),1,0)*Table_NFI[[#This Row],[Kitchen Set]],Table_NFI[Kitchen Set])</f>
        <v>0</v>
      </c>
      <c r="AF174" s="264">
        <f>IF(NFI_Expiration=1,IF($A174&lt;VLOOKUP(O$5,NFI,5,0),1,0)*Table_NFI[[#This Row],[Clothes Kit]],Table_NFI[Clothes Kit])</f>
        <v>0</v>
      </c>
      <c r="AG174" s="264">
        <f>IF(NFI_Expiration=1,IF($A174&lt;VLOOKUP(P$5,NFI,5,0),1,0)*Table_NFI[[#This Row],[Plastic Bucket]],Table_NFI[Plastic Bucket])</f>
        <v>0</v>
      </c>
      <c r="AH174" s="264">
        <f>IF(NFI_Expiration=1,IF($A174&lt;VLOOKUP(Q$5,NFI,5,0),1,0)*Table_NFI[[#This Row],[Plastic Mat]],Table_NFI[Plastic Mat])*IF(Table_NFI[[#This Row],[Distribution Date]]&gt;"2014-04-01",1,2.5)</f>
        <v>0</v>
      </c>
      <c r="AI174" s="264">
        <f>IF(NFI_Expiration=1,IF($A174&lt;VLOOKUP(R$5,NFI,5,0),1,0)*Table_NFI[[#This Row],[Winter Clothes Adult]],Table_NFI[Winter Clothes Adult])</f>
        <v>0</v>
      </c>
      <c r="AJ174" s="264">
        <f>IF(NFI_Expiration=1,IF($A174&lt;VLOOKUP(S$5,NFI,5,0),1,0)*Table_NFI[[#This Row],[Winter Clothes Children]],Table_NFI[Winter Clothes Children])</f>
        <v>0</v>
      </c>
      <c r="AK174" s="264">
        <f>IF(NFI_Expiration=1,IF($A174&lt;VLOOKUP(T$5,NFI,5,0),1,0)*Table_NFI[[#This Row],[Winter Items Other]],Table_NFI[Winter Items Other])</f>
        <v>0</v>
      </c>
      <c r="AL174" s="264">
        <f>IF(NFI_Expiration=1,IF($A174&lt;VLOOKUP(M$5,NFI,5,0),1,0)*Table_NFI[[#This Row],[Winter Blanket]],Table_NFI[[#This Row],[Winter Blanket]])</f>
        <v>0</v>
      </c>
      <c r="AM174" s="264">
        <f>IF(Table_NFI[[#This Row],[Winter Clothes Adult]]+Table_NFI[[#This Row],[Winter Clothes Children]]+Table_NFI[[#This Row],[Winter Items Other]]+Table_NFI[[#This Row],[Winter Blanket]]&gt;0,1,0)</f>
        <v>0</v>
      </c>
      <c r="AN174" s="296">
        <f>IF(NFI_Expiration=1,IF($A174&lt;VLOOKUP(V$5,NFI,5,0),1,0)*Table_NFI[[#This Row],[Jerry Can]],Table_NFI[Jerry Can])</f>
        <v>0</v>
      </c>
      <c r="AO174" s="296">
        <f>IF(NFI_Expiration=1,IF($A174&lt;VLOOKUP(V$5,NFI,5,0),1,0)*Table_NFI[[#This Row],[Shelter Tool kit]],Table_NFI[Shelter Tool kit])</f>
        <v>0</v>
      </c>
      <c r="AP174" s="296">
        <f>IF(NFI_Expiration=1,IF($A174&lt;VLOOKUP(V$5,NFI,5,0),1,0)*Table_NFI[[#This Row],[Tent]],Table_NFI[Tent])</f>
        <v>0</v>
      </c>
      <c r="AQ174" s="396" t="str">
        <f>IFERROR(VLOOKUP(Table_NFI[[#This Row],[Camp Name]],CL,2,0),"")</f>
        <v>MMR001CMP067</v>
      </c>
      <c r="AR174" s="702">
        <f ca="1">IF(Table_NFI[[#This Row],[Pcode]]="","",IF(OFFSET(CampList[Opening Date],MATCH(Table_NFI[[#This Row],[Pcode]],CampList[CP_Pcode],0)-1,0,1,1)&gt;=NFI_Monitor_Date,1,0))</f>
        <v>0</v>
      </c>
      <c r="AS174" s="396" t="str">
        <f>IFERROR(VLOOKUP(Table_NFI[[#This Row],[Camp Name]],CL,3,0),"")</f>
        <v>Open</v>
      </c>
      <c r="AT174" s="264" t="str">
        <f ca="1">IF(Table_NFI[[#This Row],[Pcode]]="","",OFFSET(CampList[Priority],MATCH(Table_NFI[[#This Row],[Pcode]],CampList[CP_Pcode],0)-1,0,1,1))</f>
        <v>P4</v>
      </c>
      <c r="AU174" s="263">
        <f>IFERROR(Table_NFI[[#This Row],[Kitchen Set]]/VLOOKUP(Table_NFI[[#This Row],[Camp Name]],CL,4,0),"")</f>
        <v>9.8219766728054015E-5</v>
      </c>
      <c r="AV174" s="390" t="s">
        <v>1087</v>
      </c>
      <c r="AW174" s="392"/>
      <c r="AX174" s="402"/>
      <c r="AY174" s="402"/>
      <c r="AZ174" s="402"/>
      <c r="BA174" s="402"/>
      <c r="BB174" s="402"/>
      <c r="BC174" s="402"/>
      <c r="BD174" s="402"/>
      <c r="BE174" s="402"/>
      <c r="BF174" s="402"/>
      <c r="BG174" s="402"/>
      <c r="BH174" s="402"/>
      <c r="BI174" s="402"/>
      <c r="BJ174" s="402"/>
      <c r="BK174" s="402"/>
      <c r="BL174" s="402"/>
      <c r="BM174" s="402"/>
      <c r="BN174" s="402"/>
      <c r="BO174" s="402"/>
      <c r="BP174" s="402"/>
      <c r="BQ174" s="402"/>
      <c r="BR174" s="402"/>
      <c r="BS174" s="402"/>
      <c r="BT174" s="402"/>
      <c r="BU174" s="402"/>
      <c r="BV174" s="402"/>
      <c r="BW174" s="402"/>
      <c r="BX174" s="402"/>
      <c r="BY174" s="402"/>
      <c r="BZ174" s="402"/>
      <c r="CA174" s="402"/>
      <c r="CB174" s="402"/>
      <c r="CC174" s="402"/>
      <c r="CD174" s="402"/>
      <c r="CE174" s="402"/>
      <c r="CF174" s="402"/>
      <c r="CG174" s="402"/>
      <c r="CH174" s="402"/>
      <c r="CI174" s="402"/>
      <c r="CJ174" s="402"/>
      <c r="CK174" s="402"/>
      <c r="CL174" s="402"/>
      <c r="CM174" s="402"/>
      <c r="CN174" s="402"/>
      <c r="CO174" s="402"/>
      <c r="CP174" s="402"/>
      <c r="CQ174" s="402"/>
      <c r="CR174" s="402"/>
      <c r="CS174" s="402"/>
      <c r="CT174" s="402"/>
      <c r="CU174" s="402"/>
      <c r="CV174" s="402"/>
      <c r="CW174" s="402"/>
      <c r="CX174" s="402"/>
      <c r="CY174" s="402"/>
      <c r="CZ174" s="402"/>
      <c r="DA174" s="402"/>
      <c r="DB174" s="402"/>
      <c r="DC174" s="402"/>
      <c r="DD174" s="402"/>
      <c r="DE174" s="402"/>
      <c r="DF174" s="402"/>
      <c r="DG174" s="402"/>
      <c r="DH174" s="402"/>
      <c r="DI174" s="402"/>
      <c r="DJ174" s="402"/>
      <c r="DK174" s="402"/>
      <c r="DL174" s="402"/>
      <c r="DM174" s="402"/>
      <c r="DN174" s="402"/>
      <c r="DO174" s="402"/>
      <c r="DP174" s="402"/>
      <c r="DQ174" s="402"/>
    </row>
    <row r="175" spans="1:121" s="759" customFormat="1" ht="14.45" customHeight="1" x14ac:dyDescent="0.25">
      <c r="A175" s="266">
        <f t="shared" si="2"/>
        <v>17.433333333333334</v>
      </c>
      <c r="B175" s="389">
        <v>42333</v>
      </c>
      <c r="C175" s="390" t="s">
        <v>451</v>
      </c>
      <c r="D175" s="390" t="s">
        <v>459</v>
      </c>
      <c r="E175" s="390" t="s">
        <v>380</v>
      </c>
      <c r="F175" s="390" t="s">
        <v>302</v>
      </c>
      <c r="G175" s="390" t="s">
        <v>308</v>
      </c>
      <c r="H175" s="261"/>
      <c r="I175" s="261"/>
      <c r="J175" s="261"/>
      <c r="K175" s="261"/>
      <c r="L175" s="261">
        <v>4</v>
      </c>
      <c r="M175" s="261">
        <v>12</v>
      </c>
      <c r="N175" s="261">
        <v>3</v>
      </c>
      <c r="O175" s="261"/>
      <c r="P175" s="261">
        <v>4</v>
      </c>
      <c r="Q175" s="261">
        <v>14</v>
      </c>
      <c r="R175" s="261"/>
      <c r="S175" s="261"/>
      <c r="T175" s="261"/>
      <c r="U175" s="261"/>
      <c r="V175" s="762">
        <v>4</v>
      </c>
      <c r="W175" s="261"/>
      <c r="X175" s="261"/>
      <c r="Y175" s="264">
        <f>IF(NFI_Expiration=1,IF($A175&lt;VLOOKUP(H$5,NFI,5,0),1,0)*Table_NFI[[#This Row],[Hygiene Kit]],Table_NFI[Hygiene Kit])</f>
        <v>0</v>
      </c>
      <c r="Z175" s="264">
        <f>IF(NFI_Expiration=1,IF($A175&lt;VLOOKUP(I$5,NFI,5,0),1,0)*Table_NFI[[#This Row],[NFI Core Kit]],Table_NFI[NFI Core Kit])</f>
        <v>0</v>
      </c>
      <c r="AA175" s="264">
        <f>IF(NFI_Expiration=1,IF($A175&lt;VLOOKUP(J$5,NFI,5,0),1,0)*Table_NFI[[#This Row],[Sanitary Kit]],Table_NFI[Sanitary Kit])</f>
        <v>0</v>
      </c>
      <c r="AB175" s="264">
        <f>IF(NFI_Expiration=1,IF($A175&lt;VLOOKUP(K$5,NFI,5,0),1,0)*Table_NFI[[#This Row],[Mosquito net]],Table_NFI[Mosquito net])</f>
        <v>0</v>
      </c>
      <c r="AC175" s="264">
        <f>IF(NFI_Expiration=1,IF($A175&lt;VLOOKUP(L$5,NFI,5,0),1,0)*Table_NFI[[#This Row],[Tarpaulin]],Table_NFI[[#This Row],[Tarpaulin]])</f>
        <v>0</v>
      </c>
      <c r="AD175" s="264">
        <f>IF(NFI_Expiration=1,IF($A175&lt;VLOOKUP(M$5,NFI,5,0),1,0)*Table_NFI[[#This Row],[Blanket]],Table_NFI[[#This Row],[Blanket]])</f>
        <v>0</v>
      </c>
      <c r="AE175" s="264">
        <f>IF(NFI_Expiration=1,IF($A175&lt;VLOOKUP(N$5,NFI,5,0),1,0)*Table_NFI[[#This Row],[Kitchen Set]],Table_NFI[Kitchen Set])</f>
        <v>0</v>
      </c>
      <c r="AF175" s="264">
        <f>IF(NFI_Expiration=1,IF($A175&lt;VLOOKUP(O$5,NFI,5,0),1,0)*Table_NFI[[#This Row],[Clothes Kit]],Table_NFI[Clothes Kit])</f>
        <v>0</v>
      </c>
      <c r="AG175" s="264">
        <f>IF(NFI_Expiration=1,IF($A175&lt;VLOOKUP(P$5,NFI,5,0),1,0)*Table_NFI[[#This Row],[Plastic Bucket]],Table_NFI[Plastic Bucket])</f>
        <v>0</v>
      </c>
      <c r="AH175" s="264">
        <f>IF(NFI_Expiration=1,IF($A175&lt;VLOOKUP(Q$5,NFI,5,0),1,0)*Table_NFI[[#This Row],[Plastic Mat]],Table_NFI[Plastic Mat])*IF(Table_NFI[[#This Row],[Distribution Date]]&gt;"2014-04-01",1,2.5)</f>
        <v>0</v>
      </c>
      <c r="AI175" s="264">
        <f>IF(NFI_Expiration=1,IF($A175&lt;VLOOKUP(R$5,NFI,5,0),1,0)*Table_NFI[[#This Row],[Winter Clothes Adult]],Table_NFI[Winter Clothes Adult])</f>
        <v>0</v>
      </c>
      <c r="AJ175" s="264">
        <f>IF(NFI_Expiration=1,IF($A175&lt;VLOOKUP(S$5,NFI,5,0),1,0)*Table_NFI[[#This Row],[Winter Clothes Children]],Table_NFI[Winter Clothes Children])</f>
        <v>0</v>
      </c>
      <c r="AK175" s="264">
        <f>IF(NFI_Expiration=1,IF($A175&lt;VLOOKUP(T$5,NFI,5,0),1,0)*Table_NFI[[#This Row],[Winter Items Other]],Table_NFI[Winter Items Other])</f>
        <v>0</v>
      </c>
      <c r="AL175" s="264">
        <f>IF(NFI_Expiration=1,IF($A175&lt;VLOOKUP(M$5,NFI,5,0),1,0)*Table_NFI[[#This Row],[Winter Blanket]],Table_NFI[[#This Row],[Winter Blanket]])</f>
        <v>0</v>
      </c>
      <c r="AM175" s="264">
        <f>IF(Table_NFI[[#This Row],[Winter Clothes Adult]]+Table_NFI[[#This Row],[Winter Clothes Children]]+Table_NFI[[#This Row],[Winter Items Other]]+Table_NFI[[#This Row],[Winter Blanket]]&gt;0,1,0)</f>
        <v>0</v>
      </c>
      <c r="AN175" s="296">
        <f>IF(NFI_Expiration=1,IF($A175&lt;VLOOKUP(V$5,NFI,5,0),1,0)*Table_NFI[[#This Row],[Jerry Can]],Table_NFI[Jerry Can])</f>
        <v>0</v>
      </c>
      <c r="AO175" s="296">
        <f>IF(NFI_Expiration=1,IF($A175&lt;VLOOKUP(V$5,NFI,5,0),1,0)*Table_NFI[[#This Row],[Shelter Tool kit]],Table_NFI[Shelter Tool kit])</f>
        <v>0</v>
      </c>
      <c r="AP175" s="296">
        <f>IF(NFI_Expiration=1,IF($A175&lt;VLOOKUP(V$5,NFI,5,0),1,0)*Table_NFI[[#This Row],[Tent]],Table_NFI[Tent])</f>
        <v>0</v>
      </c>
      <c r="AQ175" s="396" t="str">
        <f>IFERROR(VLOOKUP(Table_NFI[[#This Row],[Camp Name]],CL,2,0),"")</f>
        <v>MMR001CMP068</v>
      </c>
      <c r="AR175" s="702">
        <f ca="1">IF(Table_NFI[[#This Row],[Pcode]]="","",IF(OFFSET(CampList[Opening Date],MATCH(Table_NFI[[#This Row],[Pcode]],CampList[CP_Pcode],0)-1,0,1,1)&gt;=NFI_Monitor_Date,1,0))</f>
        <v>0</v>
      </c>
      <c r="AS175" s="396" t="str">
        <f>IFERROR(VLOOKUP(Table_NFI[[#This Row],[Camp Name]],CL,3,0),"")</f>
        <v>Open</v>
      </c>
      <c r="AT175" s="264" t="str">
        <f ca="1">IF(Table_NFI[[#This Row],[Pcode]]="","",OFFSET(CampList[Priority],MATCH(Table_NFI[[#This Row],[Pcode]],CampList[CP_Pcode],0)-1,0,1,1))</f>
        <v>P4</v>
      </c>
      <c r="AU175" s="263">
        <f>IFERROR(Table_NFI[[#This Row],[Kitchen Set]]/VLOOKUP(Table_NFI[[#This Row],[Camp Name]],CL,4,0),"")</f>
        <v>7.3664825046040511E-5</v>
      </c>
      <c r="AV175" s="390" t="s">
        <v>1087</v>
      </c>
      <c r="AW175" s="407"/>
      <c r="AX175" s="402"/>
      <c r="AY175" s="402"/>
      <c r="AZ175" s="402"/>
      <c r="BA175" s="402"/>
      <c r="BB175" s="402"/>
      <c r="BC175" s="402"/>
      <c r="BD175" s="402"/>
      <c r="BE175" s="402"/>
      <c r="BF175" s="402"/>
      <c r="BG175" s="402"/>
      <c r="BH175" s="402"/>
      <c r="BI175" s="402"/>
      <c r="BJ175" s="402"/>
      <c r="BK175" s="402"/>
      <c r="BL175" s="402"/>
      <c r="BM175" s="402"/>
      <c r="BN175" s="402"/>
      <c r="BO175" s="402"/>
      <c r="BP175" s="402"/>
      <c r="BQ175" s="402"/>
      <c r="BR175" s="402"/>
      <c r="BS175" s="402"/>
      <c r="BT175" s="402"/>
      <c r="BU175" s="402"/>
      <c r="BV175" s="402"/>
      <c r="BW175" s="402"/>
      <c r="BX175" s="402"/>
      <c r="BY175" s="402"/>
      <c r="BZ175" s="402"/>
      <c r="CA175" s="402"/>
      <c r="CB175" s="402"/>
      <c r="CC175" s="402"/>
      <c r="CD175" s="402"/>
      <c r="CE175" s="402"/>
      <c r="CF175" s="402"/>
      <c r="CG175" s="402"/>
      <c r="CH175" s="402"/>
      <c r="CI175" s="402"/>
      <c r="CJ175" s="402"/>
      <c r="CK175" s="402"/>
      <c r="CL175" s="402"/>
      <c r="CM175" s="402"/>
      <c r="CN175" s="402"/>
      <c r="CO175" s="402"/>
      <c r="CP175" s="402"/>
      <c r="CQ175" s="402"/>
      <c r="CR175" s="402"/>
      <c r="CS175" s="402"/>
      <c r="CT175" s="402"/>
      <c r="CU175" s="402"/>
      <c r="CV175" s="402"/>
      <c r="CW175" s="402"/>
      <c r="CX175" s="402"/>
      <c r="CY175" s="402"/>
      <c r="CZ175" s="402"/>
      <c r="DA175" s="402"/>
      <c r="DB175" s="402"/>
      <c r="DC175" s="402"/>
      <c r="DD175" s="402"/>
      <c r="DE175" s="402"/>
      <c r="DF175" s="402"/>
      <c r="DG175" s="402"/>
      <c r="DH175" s="402"/>
      <c r="DI175" s="402"/>
      <c r="DJ175" s="402"/>
      <c r="DK175" s="402"/>
      <c r="DL175" s="402"/>
      <c r="DM175" s="402"/>
      <c r="DN175" s="402"/>
      <c r="DO175" s="402"/>
      <c r="DP175" s="402"/>
      <c r="DQ175" s="402"/>
    </row>
    <row r="176" spans="1:121" s="759" customFormat="1" ht="14.45" customHeight="1" x14ac:dyDescent="0.25">
      <c r="A176" s="266">
        <f t="shared" si="2"/>
        <v>17.466666666666665</v>
      </c>
      <c r="B176" s="389">
        <v>42332</v>
      </c>
      <c r="C176" s="390" t="s">
        <v>451</v>
      </c>
      <c r="D176" s="390" t="s">
        <v>505</v>
      </c>
      <c r="E176" s="390" t="s">
        <v>380</v>
      </c>
      <c r="F176" s="390" t="s">
        <v>237</v>
      </c>
      <c r="G176" s="390" t="s">
        <v>273</v>
      </c>
      <c r="H176" s="261"/>
      <c r="I176" s="261"/>
      <c r="J176" s="261"/>
      <c r="K176" s="261"/>
      <c r="L176" s="261"/>
      <c r="M176" s="261"/>
      <c r="N176" s="261"/>
      <c r="O176" s="261"/>
      <c r="P176" s="261"/>
      <c r="Q176" s="261"/>
      <c r="R176" s="261"/>
      <c r="S176" s="261"/>
      <c r="T176" s="261"/>
      <c r="U176" s="261">
        <v>50</v>
      </c>
      <c r="V176" s="762"/>
      <c r="W176" s="261"/>
      <c r="X176" s="261"/>
      <c r="Y176" s="264">
        <f>IF(NFI_Expiration=1,IF($A176&lt;VLOOKUP(H$5,NFI,5,0),1,0)*Table_NFI[[#This Row],[Hygiene Kit]],Table_NFI[Hygiene Kit])</f>
        <v>0</v>
      </c>
      <c r="Z176" s="264">
        <f>IF(NFI_Expiration=1,IF($A176&lt;VLOOKUP(I$5,NFI,5,0),1,0)*Table_NFI[[#This Row],[NFI Core Kit]],Table_NFI[NFI Core Kit])</f>
        <v>0</v>
      </c>
      <c r="AA176" s="264">
        <f>IF(NFI_Expiration=1,IF($A176&lt;VLOOKUP(J$5,NFI,5,0),1,0)*Table_NFI[[#This Row],[Sanitary Kit]],Table_NFI[Sanitary Kit])</f>
        <v>0</v>
      </c>
      <c r="AB176" s="264">
        <f>IF(NFI_Expiration=1,IF($A176&lt;VLOOKUP(K$5,NFI,5,0),1,0)*Table_NFI[[#This Row],[Mosquito net]],Table_NFI[Mosquito net])</f>
        <v>0</v>
      </c>
      <c r="AC176" s="264">
        <f>IF(NFI_Expiration=1,IF($A176&lt;VLOOKUP(L$5,NFI,5,0),1,0)*Table_NFI[[#This Row],[Tarpaulin]],Table_NFI[[#This Row],[Tarpaulin]])</f>
        <v>0</v>
      </c>
      <c r="AD176" s="264">
        <f>IF(NFI_Expiration=1,IF($A176&lt;VLOOKUP(M$5,NFI,5,0),1,0)*Table_NFI[[#This Row],[Blanket]],Table_NFI[[#This Row],[Blanket]])</f>
        <v>0</v>
      </c>
      <c r="AE176" s="264">
        <f>IF(NFI_Expiration=1,IF($A176&lt;VLOOKUP(N$5,NFI,5,0),1,0)*Table_NFI[[#This Row],[Kitchen Set]],Table_NFI[Kitchen Set])</f>
        <v>0</v>
      </c>
      <c r="AF176" s="264">
        <f>IF(NFI_Expiration=1,IF($A176&lt;VLOOKUP(O$5,NFI,5,0),1,0)*Table_NFI[[#This Row],[Clothes Kit]],Table_NFI[Clothes Kit])</f>
        <v>0</v>
      </c>
      <c r="AG176" s="264">
        <f>IF(NFI_Expiration=1,IF($A176&lt;VLOOKUP(P$5,NFI,5,0),1,0)*Table_NFI[[#This Row],[Plastic Bucket]],Table_NFI[Plastic Bucket])</f>
        <v>0</v>
      </c>
      <c r="AH176" s="264">
        <f>IF(NFI_Expiration=1,IF($A176&lt;VLOOKUP(Q$5,NFI,5,0),1,0)*Table_NFI[[#This Row],[Plastic Mat]],Table_NFI[Plastic Mat])*IF(Table_NFI[[#This Row],[Distribution Date]]&gt;"2014-04-01",1,2.5)</f>
        <v>0</v>
      </c>
      <c r="AI176" s="264">
        <f>IF(NFI_Expiration=1,IF($A176&lt;VLOOKUP(R$5,NFI,5,0),1,0)*Table_NFI[[#This Row],[Winter Clothes Adult]],Table_NFI[Winter Clothes Adult])</f>
        <v>0</v>
      </c>
      <c r="AJ176" s="264">
        <f>IF(NFI_Expiration=1,IF($A176&lt;VLOOKUP(S$5,NFI,5,0),1,0)*Table_NFI[[#This Row],[Winter Clothes Children]],Table_NFI[Winter Clothes Children])</f>
        <v>0</v>
      </c>
      <c r="AK176" s="264">
        <f>IF(NFI_Expiration=1,IF($A176&lt;VLOOKUP(T$5,NFI,5,0),1,0)*Table_NFI[[#This Row],[Winter Items Other]],Table_NFI[Winter Items Other])</f>
        <v>0</v>
      </c>
      <c r="AL176" s="264">
        <f>IF(NFI_Expiration=1,IF($A176&lt;VLOOKUP(M$5,NFI,5,0),1,0)*Table_NFI[[#This Row],[Winter Blanket]],Table_NFI[[#This Row],[Winter Blanket]])</f>
        <v>0</v>
      </c>
      <c r="AM176" s="264">
        <f>IF(Table_NFI[[#This Row],[Winter Clothes Adult]]+Table_NFI[[#This Row],[Winter Clothes Children]]+Table_NFI[[#This Row],[Winter Items Other]]+Table_NFI[[#This Row],[Winter Blanket]]&gt;0,1,0)</f>
        <v>1</v>
      </c>
      <c r="AN176" s="296">
        <f>IF(NFI_Expiration=1,IF($A176&lt;VLOOKUP(V$5,NFI,5,0),1,0)*Table_NFI[[#This Row],[Jerry Can]],Table_NFI[Jerry Can])</f>
        <v>0</v>
      </c>
      <c r="AO176" s="296">
        <f>IF(NFI_Expiration=1,IF($A176&lt;VLOOKUP(V$5,NFI,5,0),1,0)*Table_NFI[[#This Row],[Shelter Tool kit]],Table_NFI[Shelter Tool kit])</f>
        <v>0</v>
      </c>
      <c r="AP176" s="296">
        <f>IF(NFI_Expiration=1,IF($A176&lt;VLOOKUP(V$5,NFI,5,0),1,0)*Table_NFI[[#This Row],[Tent]],Table_NFI[Tent])</f>
        <v>0</v>
      </c>
      <c r="AQ176" s="396" t="str">
        <f>IFERROR(VLOOKUP(Table_NFI[[#This Row],[Camp Name]],CL,2,0),"")</f>
        <v>MMR001CMP162</v>
      </c>
      <c r="AR176" s="702">
        <f ca="1">IF(Table_NFI[[#This Row],[Pcode]]="","",IF(OFFSET(CampList[Opening Date],MATCH(Table_NFI[[#This Row],[Pcode]],CampList[CP_Pcode],0)-1,0,1,1)&gt;=NFI_Monitor_Date,1,0))</f>
        <v>0</v>
      </c>
      <c r="AS176" s="396" t="str">
        <f>IFERROR(VLOOKUP(Table_NFI[[#This Row],[Camp Name]],CL,3,0),"")</f>
        <v>Open</v>
      </c>
      <c r="AT176" s="264" t="str">
        <f ca="1">IF(Table_NFI[[#This Row],[Pcode]]="","",OFFSET(CampList[Priority],MATCH(Table_NFI[[#This Row],[Pcode]],CampList[CP_Pcode],0)-1,0,1,1))</f>
        <v>P4</v>
      </c>
      <c r="AU176" s="263">
        <f>IFERROR(Table_NFI[[#This Row],[Kitchen Set]]/VLOOKUP(Table_NFI[[#This Row],[Camp Name]],CL,4,0),"")</f>
        <v>0</v>
      </c>
      <c r="AV176" s="390" t="s">
        <v>1087</v>
      </c>
      <c r="AW176" s="403"/>
      <c r="AX176" s="402"/>
      <c r="AY176" s="402"/>
      <c r="AZ176" s="402"/>
      <c r="BA176" s="402"/>
      <c r="BB176" s="402"/>
      <c r="BC176" s="402"/>
      <c r="BD176" s="402"/>
      <c r="BE176" s="402"/>
      <c r="BF176" s="402"/>
      <c r="BG176" s="402"/>
      <c r="BH176" s="402"/>
      <c r="BI176" s="402"/>
      <c r="BJ176" s="402"/>
      <c r="BK176" s="402"/>
      <c r="BL176" s="402"/>
      <c r="BM176" s="402"/>
      <c r="BN176" s="402"/>
      <c r="BO176" s="402"/>
      <c r="BP176" s="402"/>
      <c r="BQ176" s="402"/>
      <c r="BR176" s="402"/>
      <c r="BS176" s="402"/>
      <c r="BT176" s="402"/>
      <c r="BU176" s="402"/>
      <c r="BV176" s="402"/>
      <c r="BW176" s="402"/>
      <c r="BX176" s="402"/>
      <c r="BY176" s="402"/>
      <c r="BZ176" s="402"/>
      <c r="CA176" s="402"/>
      <c r="CB176" s="402"/>
      <c r="CC176" s="402"/>
      <c r="CD176" s="402"/>
      <c r="CE176" s="402"/>
      <c r="CF176" s="402"/>
      <c r="CG176" s="402"/>
      <c r="CH176" s="402"/>
      <c r="CI176" s="402"/>
      <c r="CJ176" s="402"/>
      <c r="CK176" s="402"/>
      <c r="CL176" s="402"/>
      <c r="CM176" s="402"/>
      <c r="CN176" s="402"/>
      <c r="CO176" s="402"/>
      <c r="CP176" s="402"/>
      <c r="CQ176" s="402"/>
      <c r="CR176" s="402"/>
      <c r="CS176" s="402"/>
      <c r="CT176" s="402"/>
      <c r="CU176" s="402"/>
      <c r="CV176" s="402"/>
      <c r="CW176" s="402"/>
      <c r="CX176" s="402"/>
      <c r="CY176" s="402"/>
      <c r="CZ176" s="402"/>
      <c r="DA176" s="402"/>
      <c r="DB176" s="402"/>
      <c r="DC176" s="402"/>
      <c r="DD176" s="402"/>
      <c r="DE176" s="402"/>
      <c r="DF176" s="402"/>
      <c r="DG176" s="402"/>
      <c r="DH176" s="402"/>
      <c r="DI176" s="402"/>
      <c r="DJ176" s="402"/>
      <c r="DK176" s="402"/>
      <c r="DL176" s="402"/>
      <c r="DM176" s="402"/>
      <c r="DN176" s="402"/>
      <c r="DO176" s="402"/>
      <c r="DP176" s="402"/>
      <c r="DQ176" s="402"/>
    </row>
    <row r="177" spans="1:121" s="759" customFormat="1" ht="14.45" customHeight="1" x14ac:dyDescent="0.25">
      <c r="A177" s="266">
        <f t="shared" si="2"/>
        <v>18.2</v>
      </c>
      <c r="B177" s="389">
        <v>42310</v>
      </c>
      <c r="C177" s="390" t="s">
        <v>451</v>
      </c>
      <c r="D177" s="390" t="s">
        <v>459</v>
      </c>
      <c r="E177" s="390" t="s">
        <v>380</v>
      </c>
      <c r="F177" s="390" t="s">
        <v>151</v>
      </c>
      <c r="G177" s="390" t="s">
        <v>1310</v>
      </c>
      <c r="H177" s="261"/>
      <c r="I177" s="261"/>
      <c r="J177" s="261">
        <v>223</v>
      </c>
      <c r="K177" s="261"/>
      <c r="L177" s="261">
        <v>30</v>
      </c>
      <c r="M177" s="261"/>
      <c r="N177" s="261"/>
      <c r="O177" s="261"/>
      <c r="P177" s="261"/>
      <c r="Q177" s="261">
        <v>337</v>
      </c>
      <c r="R177" s="261"/>
      <c r="S177" s="261"/>
      <c r="T177" s="261"/>
      <c r="U177" s="261"/>
      <c r="V177" s="762"/>
      <c r="W177" s="261"/>
      <c r="X177" s="261"/>
      <c r="Y177" s="264">
        <f>IF(NFI_Expiration=1,IF($A177&lt;VLOOKUP(H$5,NFI,5,0),1,0)*Table_NFI[[#This Row],[Hygiene Kit]],Table_NFI[Hygiene Kit])</f>
        <v>0</v>
      </c>
      <c r="Z177" s="264">
        <f>IF(NFI_Expiration=1,IF($A177&lt;VLOOKUP(I$5,NFI,5,0),1,0)*Table_NFI[[#This Row],[NFI Core Kit]],Table_NFI[NFI Core Kit])</f>
        <v>0</v>
      </c>
      <c r="AA177" s="264">
        <f>IF(NFI_Expiration=1,IF($A177&lt;VLOOKUP(J$5,NFI,5,0),1,0)*Table_NFI[[#This Row],[Sanitary Kit]],Table_NFI[Sanitary Kit])</f>
        <v>0</v>
      </c>
      <c r="AB177" s="264">
        <f>IF(NFI_Expiration=1,IF($A177&lt;VLOOKUP(K$5,NFI,5,0),1,0)*Table_NFI[[#This Row],[Mosquito net]],Table_NFI[Mosquito net])</f>
        <v>0</v>
      </c>
      <c r="AC177" s="264">
        <f>IF(NFI_Expiration=1,IF($A177&lt;VLOOKUP(L$5,NFI,5,0),1,0)*Table_NFI[[#This Row],[Tarpaulin]],Table_NFI[[#This Row],[Tarpaulin]])</f>
        <v>0</v>
      </c>
      <c r="AD177" s="264">
        <f>IF(NFI_Expiration=1,IF($A177&lt;VLOOKUP(M$5,NFI,5,0),1,0)*Table_NFI[[#This Row],[Blanket]],Table_NFI[[#This Row],[Blanket]])</f>
        <v>0</v>
      </c>
      <c r="AE177" s="264">
        <f>IF(NFI_Expiration=1,IF($A177&lt;VLOOKUP(N$5,NFI,5,0),1,0)*Table_NFI[[#This Row],[Kitchen Set]],Table_NFI[Kitchen Set])</f>
        <v>0</v>
      </c>
      <c r="AF177" s="264">
        <f>IF(NFI_Expiration=1,IF($A177&lt;VLOOKUP(O$5,NFI,5,0),1,0)*Table_NFI[[#This Row],[Clothes Kit]],Table_NFI[Clothes Kit])</f>
        <v>0</v>
      </c>
      <c r="AG177" s="264">
        <f>IF(NFI_Expiration=1,IF($A177&lt;VLOOKUP(P$5,NFI,5,0),1,0)*Table_NFI[[#This Row],[Plastic Bucket]],Table_NFI[Plastic Bucket])</f>
        <v>0</v>
      </c>
      <c r="AH177" s="264">
        <f>IF(NFI_Expiration=1,IF($A177&lt;VLOOKUP(Q$5,NFI,5,0),1,0)*Table_NFI[[#This Row],[Plastic Mat]],Table_NFI[Plastic Mat])*IF(Table_NFI[[#This Row],[Distribution Date]]&gt;"2014-04-01",1,2.5)</f>
        <v>0</v>
      </c>
      <c r="AI177" s="264">
        <f>IF(NFI_Expiration=1,IF($A177&lt;VLOOKUP(R$5,NFI,5,0),1,0)*Table_NFI[[#This Row],[Winter Clothes Adult]],Table_NFI[Winter Clothes Adult])</f>
        <v>0</v>
      </c>
      <c r="AJ177" s="264">
        <f>IF(NFI_Expiration=1,IF($A177&lt;VLOOKUP(S$5,NFI,5,0),1,0)*Table_NFI[[#This Row],[Winter Clothes Children]],Table_NFI[Winter Clothes Children])</f>
        <v>0</v>
      </c>
      <c r="AK177" s="264">
        <f>IF(NFI_Expiration=1,IF($A177&lt;VLOOKUP(T$5,NFI,5,0),1,0)*Table_NFI[[#This Row],[Winter Items Other]],Table_NFI[Winter Items Other])</f>
        <v>0</v>
      </c>
      <c r="AL177" s="264">
        <f>IF(NFI_Expiration=1,IF($A177&lt;VLOOKUP(M$5,NFI,5,0),1,0)*Table_NFI[[#This Row],[Winter Blanket]],Table_NFI[[#This Row],[Winter Blanket]])</f>
        <v>0</v>
      </c>
      <c r="AM177" s="264">
        <f>IF(Table_NFI[[#This Row],[Winter Clothes Adult]]+Table_NFI[[#This Row],[Winter Clothes Children]]+Table_NFI[[#This Row],[Winter Items Other]]+Table_NFI[[#This Row],[Winter Blanket]]&gt;0,1,0)</f>
        <v>0</v>
      </c>
      <c r="AN177" s="296">
        <f>IF(NFI_Expiration=1,IF($A177&lt;VLOOKUP(V$5,NFI,5,0),1,0)*Table_NFI[[#This Row],[Jerry Can]],Table_NFI[Jerry Can])</f>
        <v>0</v>
      </c>
      <c r="AO177" s="296">
        <f>IF(NFI_Expiration=1,IF($A177&lt;VLOOKUP(V$5,NFI,5,0),1,0)*Table_NFI[[#This Row],[Shelter Tool kit]],Table_NFI[Shelter Tool kit])</f>
        <v>0</v>
      </c>
      <c r="AP177" s="296">
        <f>IF(NFI_Expiration=1,IF($A177&lt;VLOOKUP(V$5,NFI,5,0),1,0)*Table_NFI[[#This Row],[Tent]],Table_NFI[Tent])</f>
        <v>0</v>
      </c>
      <c r="AQ177" s="396" t="str">
        <f>IFERROR(VLOOKUP(Table_NFI[[#This Row],[Camp Name]],CL,2,0),"")</f>
        <v/>
      </c>
      <c r="AR177" s="702" t="str">
        <f ca="1">IF(Table_NFI[[#This Row],[Pcode]]="","",IF(OFFSET(CampList[Opening Date],MATCH(Table_NFI[[#This Row],[Pcode]],CampList[CP_Pcode],0)-1,0,1,1)&gt;=NFI_Monitor_Date,1,0))</f>
        <v/>
      </c>
      <c r="AS177" s="559" t="str">
        <f>IFERROR(VLOOKUP(Table_NFI[[#This Row],[Camp Name]],CL,3,0),"")</f>
        <v/>
      </c>
      <c r="AT177" s="264" t="str">
        <f ca="1">IF(Table_NFI[[#This Row],[Pcode]]="","",OFFSET(CampList[Priority],MATCH(Table_NFI[[#This Row],[Pcode]],CampList[CP_Pcode],0)-1,0,1,1))</f>
        <v/>
      </c>
      <c r="AU177" s="263" t="str">
        <f>IFERROR(Table_NFI[[#This Row],[Kitchen Set]]/VLOOKUP(Table_NFI[[#This Row],[Camp Name]],CL,4,0),"")</f>
        <v/>
      </c>
      <c r="AV177" s="390" t="s">
        <v>1087</v>
      </c>
      <c r="AW177" s="407"/>
      <c r="AX177" s="402"/>
      <c r="AY177" s="402"/>
      <c r="AZ177" s="402"/>
      <c r="BA177" s="402"/>
      <c r="BB177" s="402"/>
      <c r="BC177" s="402"/>
      <c r="BD177" s="402"/>
      <c r="BE177" s="402"/>
      <c r="BF177" s="402"/>
      <c r="BG177" s="402"/>
      <c r="BH177" s="402"/>
      <c r="BI177" s="402"/>
      <c r="BJ177" s="402"/>
      <c r="BK177" s="402"/>
      <c r="BL177" s="402"/>
      <c r="BM177" s="402"/>
      <c r="BN177" s="402"/>
      <c r="BO177" s="402"/>
      <c r="BP177" s="402"/>
      <c r="BQ177" s="402"/>
      <c r="BR177" s="402"/>
      <c r="BS177" s="402"/>
      <c r="BT177" s="402"/>
      <c r="BU177" s="402"/>
      <c r="BV177" s="402"/>
      <c r="BW177" s="402"/>
      <c r="BX177" s="402"/>
      <c r="BY177" s="402"/>
      <c r="BZ177" s="402"/>
      <c r="CA177" s="402"/>
      <c r="CB177" s="402"/>
      <c r="CC177" s="402"/>
      <c r="CD177" s="402"/>
      <c r="CE177" s="402"/>
      <c r="CF177" s="402"/>
      <c r="CG177" s="402"/>
      <c r="CH177" s="402"/>
      <c r="CI177" s="402"/>
      <c r="CJ177" s="402"/>
      <c r="CK177" s="402"/>
      <c r="CL177" s="402"/>
      <c r="CM177" s="402"/>
      <c r="CN177" s="402"/>
      <c r="CO177" s="402"/>
      <c r="CP177" s="402"/>
      <c r="CQ177" s="402"/>
      <c r="CR177" s="402"/>
      <c r="CS177" s="402"/>
      <c r="CT177" s="402"/>
      <c r="CU177" s="402"/>
      <c r="CV177" s="402"/>
      <c r="CW177" s="402"/>
      <c r="CX177" s="402"/>
      <c r="CY177" s="402"/>
      <c r="CZ177" s="402"/>
      <c r="DA177" s="402"/>
      <c r="DB177" s="402"/>
      <c r="DC177" s="402"/>
      <c r="DD177" s="402"/>
      <c r="DE177" s="402"/>
      <c r="DF177" s="402"/>
      <c r="DG177" s="402"/>
      <c r="DH177" s="402"/>
      <c r="DI177" s="402"/>
      <c r="DJ177" s="402"/>
      <c r="DK177" s="402"/>
      <c r="DL177" s="402"/>
      <c r="DM177" s="402"/>
      <c r="DN177" s="402"/>
      <c r="DO177" s="402"/>
      <c r="DP177" s="402"/>
      <c r="DQ177" s="402"/>
    </row>
    <row r="178" spans="1:121" s="759" customFormat="1" ht="14.45" customHeight="1" x14ac:dyDescent="0.25">
      <c r="A178" s="266">
        <f t="shared" si="2"/>
        <v>19.266666666666666</v>
      </c>
      <c r="B178" s="389">
        <v>42278</v>
      </c>
      <c r="C178" s="390" t="s">
        <v>451</v>
      </c>
      <c r="D178" s="390" t="s">
        <v>459</v>
      </c>
      <c r="E178" s="390" t="s">
        <v>380</v>
      </c>
      <c r="F178" s="390" t="s">
        <v>151</v>
      </c>
      <c r="G178" s="390" t="s">
        <v>1310</v>
      </c>
      <c r="H178" s="261"/>
      <c r="I178" s="261">
        <v>77</v>
      </c>
      <c r="J178" s="261">
        <v>232</v>
      </c>
      <c r="K178" s="261">
        <v>200</v>
      </c>
      <c r="L178" s="261">
        <v>89</v>
      </c>
      <c r="M178" s="261">
        <v>200</v>
      </c>
      <c r="N178" s="261">
        <v>119</v>
      </c>
      <c r="O178" s="261"/>
      <c r="P178" s="261">
        <v>119</v>
      </c>
      <c r="Q178" s="261">
        <v>345</v>
      </c>
      <c r="R178" s="261"/>
      <c r="S178" s="261"/>
      <c r="T178" s="261"/>
      <c r="U178" s="261"/>
      <c r="V178" s="762">
        <v>119</v>
      </c>
      <c r="W178" s="261"/>
      <c r="X178" s="261">
        <v>45</v>
      </c>
      <c r="Y178" s="264">
        <f>IF(NFI_Expiration=1,IF($A178&lt;VLOOKUP(H$5,NFI,5,0),1,0)*Table_NFI[[#This Row],[Hygiene Kit]],Table_NFI[Hygiene Kit])</f>
        <v>0</v>
      </c>
      <c r="Z178" s="264">
        <f>IF(NFI_Expiration=1,IF($A178&lt;VLOOKUP(I$5,NFI,5,0),1,0)*Table_NFI[[#This Row],[NFI Core Kit]],Table_NFI[NFI Core Kit])</f>
        <v>0</v>
      </c>
      <c r="AA178" s="264">
        <f>IF(NFI_Expiration=1,IF($A178&lt;VLOOKUP(J$5,NFI,5,0),1,0)*Table_NFI[[#This Row],[Sanitary Kit]],Table_NFI[Sanitary Kit])</f>
        <v>0</v>
      </c>
      <c r="AB178" s="264">
        <f>IF(NFI_Expiration=1,IF($A178&lt;VLOOKUP(K$5,NFI,5,0),1,0)*Table_NFI[[#This Row],[Mosquito net]],Table_NFI[Mosquito net])</f>
        <v>0</v>
      </c>
      <c r="AC178" s="264">
        <f>IF(NFI_Expiration=1,IF($A178&lt;VLOOKUP(L$5,NFI,5,0),1,0)*Table_NFI[[#This Row],[Tarpaulin]],Table_NFI[[#This Row],[Tarpaulin]])</f>
        <v>0</v>
      </c>
      <c r="AD178" s="264">
        <f>IF(NFI_Expiration=1,IF($A178&lt;VLOOKUP(M$5,NFI,5,0),1,0)*Table_NFI[[#This Row],[Blanket]],Table_NFI[[#This Row],[Blanket]])</f>
        <v>0</v>
      </c>
      <c r="AE178" s="264">
        <f>IF(NFI_Expiration=1,IF($A178&lt;VLOOKUP(N$5,NFI,5,0),1,0)*Table_NFI[[#This Row],[Kitchen Set]],Table_NFI[Kitchen Set])</f>
        <v>0</v>
      </c>
      <c r="AF178" s="264">
        <f>IF(NFI_Expiration=1,IF($A178&lt;VLOOKUP(O$5,NFI,5,0),1,0)*Table_NFI[[#This Row],[Clothes Kit]],Table_NFI[Clothes Kit])</f>
        <v>0</v>
      </c>
      <c r="AG178" s="264">
        <f>IF(NFI_Expiration=1,IF($A178&lt;VLOOKUP(P$5,NFI,5,0),1,0)*Table_NFI[[#This Row],[Plastic Bucket]],Table_NFI[Plastic Bucket])</f>
        <v>0</v>
      </c>
      <c r="AH178" s="264">
        <f>IF(NFI_Expiration=1,IF($A178&lt;VLOOKUP(Q$5,NFI,5,0),1,0)*Table_NFI[[#This Row],[Plastic Mat]],Table_NFI[Plastic Mat])*IF(Table_NFI[[#This Row],[Distribution Date]]&gt;"2014-04-01",1,2.5)</f>
        <v>0</v>
      </c>
      <c r="AI178" s="264">
        <f>IF(NFI_Expiration=1,IF($A178&lt;VLOOKUP(R$5,NFI,5,0),1,0)*Table_NFI[[#This Row],[Winter Clothes Adult]],Table_NFI[Winter Clothes Adult])</f>
        <v>0</v>
      </c>
      <c r="AJ178" s="264">
        <f>IF(NFI_Expiration=1,IF($A178&lt;VLOOKUP(S$5,NFI,5,0),1,0)*Table_NFI[[#This Row],[Winter Clothes Children]],Table_NFI[Winter Clothes Children])</f>
        <v>0</v>
      </c>
      <c r="AK178" s="264">
        <f>IF(NFI_Expiration=1,IF($A178&lt;VLOOKUP(T$5,NFI,5,0),1,0)*Table_NFI[[#This Row],[Winter Items Other]],Table_NFI[Winter Items Other])</f>
        <v>0</v>
      </c>
      <c r="AL178" s="264">
        <f>IF(NFI_Expiration=1,IF($A178&lt;VLOOKUP(M$5,NFI,5,0),1,0)*Table_NFI[[#This Row],[Winter Blanket]],Table_NFI[[#This Row],[Winter Blanket]])</f>
        <v>0</v>
      </c>
      <c r="AM178" s="264">
        <f>IF(Table_NFI[[#This Row],[Winter Clothes Adult]]+Table_NFI[[#This Row],[Winter Clothes Children]]+Table_NFI[[#This Row],[Winter Items Other]]+Table_NFI[[#This Row],[Winter Blanket]]&gt;0,1,0)</f>
        <v>0</v>
      </c>
      <c r="AN178" s="296">
        <f>IF(NFI_Expiration=1,IF($A178&lt;VLOOKUP(V$5,NFI,5,0),1,0)*Table_NFI[[#This Row],[Jerry Can]],Table_NFI[Jerry Can])</f>
        <v>0</v>
      </c>
      <c r="AO178" s="296">
        <f>IF(NFI_Expiration=1,IF($A178&lt;VLOOKUP(V$5,NFI,5,0),1,0)*Table_NFI[[#This Row],[Shelter Tool kit]],Table_NFI[Shelter Tool kit])</f>
        <v>0</v>
      </c>
      <c r="AP178" s="296">
        <f>IF(NFI_Expiration=1,IF($A178&lt;VLOOKUP(V$5,NFI,5,0),1,0)*Table_NFI[[#This Row],[Tent]],Table_NFI[Tent])</f>
        <v>0</v>
      </c>
      <c r="AQ178" s="396" t="str">
        <f>IFERROR(VLOOKUP(Table_NFI[[#This Row],[Camp Name]],CL,2,0),"")</f>
        <v/>
      </c>
      <c r="AR178" s="702" t="str">
        <f ca="1">IF(Table_NFI[[#This Row],[Pcode]]="","",IF(OFFSET(CampList[Opening Date],MATCH(Table_NFI[[#This Row],[Pcode]],CampList[CP_Pcode],0)-1,0,1,1)&gt;=NFI_Monitor_Date,1,0))</f>
        <v/>
      </c>
      <c r="AS178" s="559" t="str">
        <f>IFERROR(VLOOKUP(Table_NFI[[#This Row],[Camp Name]],CL,3,0),"")</f>
        <v/>
      </c>
      <c r="AT178" s="264" t="str">
        <f ca="1">IF(Table_NFI[[#This Row],[Pcode]]="","",OFFSET(CampList[Priority],MATCH(Table_NFI[[#This Row],[Pcode]],CampList[CP_Pcode],0)-1,0,1,1))</f>
        <v/>
      </c>
      <c r="AU178" s="263" t="str">
        <f>IFERROR(Table_NFI[[#This Row],[Kitchen Set]]/VLOOKUP(Table_NFI[[#This Row],[Camp Name]],CL,4,0),"")</f>
        <v/>
      </c>
      <c r="AV178" s="390" t="s">
        <v>1087</v>
      </c>
      <c r="AW178" s="407"/>
      <c r="AX178" s="402"/>
      <c r="AY178" s="402"/>
      <c r="AZ178" s="402"/>
      <c r="BA178" s="402"/>
      <c r="BB178" s="402"/>
      <c r="BC178" s="402"/>
      <c r="BD178" s="402"/>
      <c r="BE178" s="402"/>
      <c r="BF178" s="402"/>
      <c r="BG178" s="402"/>
      <c r="BH178" s="402"/>
      <c r="BI178" s="402"/>
      <c r="BJ178" s="402"/>
      <c r="BK178" s="402"/>
      <c r="BL178" s="402"/>
      <c r="BM178" s="402"/>
      <c r="BN178" s="402"/>
      <c r="BO178" s="402"/>
      <c r="BP178" s="402"/>
      <c r="BQ178" s="402"/>
      <c r="BR178" s="402"/>
      <c r="BS178" s="402"/>
      <c r="BT178" s="402"/>
      <c r="BU178" s="402"/>
      <c r="BV178" s="402"/>
      <c r="BW178" s="402"/>
      <c r="BX178" s="402"/>
      <c r="BY178" s="402"/>
      <c r="BZ178" s="402"/>
      <c r="CA178" s="402"/>
      <c r="CB178" s="402"/>
      <c r="CC178" s="402"/>
      <c r="CD178" s="402"/>
      <c r="CE178" s="402"/>
      <c r="CF178" s="402"/>
      <c r="CG178" s="402"/>
      <c r="CH178" s="402"/>
      <c r="CI178" s="402"/>
      <c r="CJ178" s="402"/>
      <c r="CK178" s="402"/>
      <c r="CL178" s="402"/>
      <c r="CM178" s="402"/>
      <c r="CN178" s="402"/>
      <c r="CO178" s="402"/>
      <c r="CP178" s="402"/>
      <c r="CQ178" s="402"/>
      <c r="CR178" s="402"/>
      <c r="CS178" s="402"/>
      <c r="CT178" s="402"/>
      <c r="CU178" s="402"/>
      <c r="CV178" s="402"/>
      <c r="CW178" s="402"/>
      <c r="CX178" s="402"/>
      <c r="CY178" s="402"/>
      <c r="CZ178" s="402"/>
      <c r="DA178" s="402"/>
      <c r="DB178" s="402"/>
      <c r="DC178" s="402"/>
      <c r="DD178" s="402"/>
      <c r="DE178" s="402"/>
      <c r="DF178" s="402"/>
      <c r="DG178" s="402"/>
      <c r="DH178" s="402"/>
      <c r="DI178" s="402"/>
      <c r="DJ178" s="402"/>
      <c r="DK178" s="402"/>
      <c r="DL178" s="402"/>
      <c r="DM178" s="402"/>
      <c r="DN178" s="402"/>
      <c r="DO178" s="402"/>
      <c r="DP178" s="402"/>
      <c r="DQ178" s="402"/>
    </row>
    <row r="179" spans="1:121" s="759" customFormat="1" ht="14.45" customHeight="1" x14ac:dyDescent="0.25">
      <c r="A179" s="266">
        <f t="shared" si="2"/>
        <v>19.566666666666666</v>
      </c>
      <c r="B179" s="389">
        <v>42269</v>
      </c>
      <c r="C179" s="390" t="s">
        <v>451</v>
      </c>
      <c r="D179" s="390" t="s">
        <v>459</v>
      </c>
      <c r="E179" s="390" t="s">
        <v>380</v>
      </c>
      <c r="F179" s="390" t="s">
        <v>151</v>
      </c>
      <c r="G179" s="390" t="s">
        <v>1310</v>
      </c>
      <c r="H179" s="261"/>
      <c r="I179" s="261"/>
      <c r="J179" s="261">
        <v>145</v>
      </c>
      <c r="K179" s="261">
        <v>132</v>
      </c>
      <c r="L179" s="261">
        <v>66</v>
      </c>
      <c r="M179" s="261">
        <v>132</v>
      </c>
      <c r="N179" s="261">
        <v>66</v>
      </c>
      <c r="O179" s="261"/>
      <c r="P179" s="261">
        <v>66</v>
      </c>
      <c r="Q179" s="261">
        <v>243</v>
      </c>
      <c r="R179" s="261"/>
      <c r="S179" s="261"/>
      <c r="T179" s="261"/>
      <c r="U179" s="261"/>
      <c r="V179" s="762">
        <v>66</v>
      </c>
      <c r="W179" s="261"/>
      <c r="X179" s="261"/>
      <c r="Y179" s="264">
        <f>IF(NFI_Expiration=1,IF($A179&lt;VLOOKUP(H$5,NFI,5,0),1,0)*Table_NFI[[#This Row],[Hygiene Kit]],Table_NFI[Hygiene Kit])</f>
        <v>0</v>
      </c>
      <c r="Z179" s="264">
        <f>IF(NFI_Expiration=1,IF($A179&lt;VLOOKUP(I$5,NFI,5,0),1,0)*Table_NFI[[#This Row],[NFI Core Kit]],Table_NFI[NFI Core Kit])</f>
        <v>0</v>
      </c>
      <c r="AA179" s="264">
        <f>IF(NFI_Expiration=1,IF($A179&lt;VLOOKUP(J$5,NFI,5,0),1,0)*Table_NFI[[#This Row],[Sanitary Kit]],Table_NFI[Sanitary Kit])</f>
        <v>0</v>
      </c>
      <c r="AB179" s="264">
        <f>IF(NFI_Expiration=1,IF($A179&lt;VLOOKUP(K$5,NFI,5,0),1,0)*Table_NFI[[#This Row],[Mosquito net]],Table_NFI[Mosquito net])</f>
        <v>0</v>
      </c>
      <c r="AC179" s="264">
        <f>IF(NFI_Expiration=1,IF($A179&lt;VLOOKUP(L$5,NFI,5,0),1,0)*Table_NFI[[#This Row],[Tarpaulin]],Table_NFI[[#This Row],[Tarpaulin]])</f>
        <v>0</v>
      </c>
      <c r="AD179" s="264">
        <f>IF(NFI_Expiration=1,IF($A179&lt;VLOOKUP(M$5,NFI,5,0),1,0)*Table_NFI[[#This Row],[Blanket]],Table_NFI[[#This Row],[Blanket]])</f>
        <v>0</v>
      </c>
      <c r="AE179" s="264">
        <f>IF(NFI_Expiration=1,IF($A179&lt;VLOOKUP(N$5,NFI,5,0),1,0)*Table_NFI[[#This Row],[Kitchen Set]],Table_NFI[Kitchen Set])</f>
        <v>0</v>
      </c>
      <c r="AF179" s="264">
        <f>IF(NFI_Expiration=1,IF($A179&lt;VLOOKUP(O$5,NFI,5,0),1,0)*Table_NFI[[#This Row],[Clothes Kit]],Table_NFI[Clothes Kit])</f>
        <v>0</v>
      </c>
      <c r="AG179" s="264">
        <f>IF(NFI_Expiration=1,IF($A179&lt;VLOOKUP(P$5,NFI,5,0),1,0)*Table_NFI[[#This Row],[Plastic Bucket]],Table_NFI[Plastic Bucket])</f>
        <v>0</v>
      </c>
      <c r="AH179" s="264">
        <f>IF(NFI_Expiration=1,IF($A179&lt;VLOOKUP(Q$5,NFI,5,0),1,0)*Table_NFI[[#This Row],[Plastic Mat]],Table_NFI[Plastic Mat])*IF(Table_NFI[[#This Row],[Distribution Date]]&gt;"2014-04-01",1,2.5)</f>
        <v>0</v>
      </c>
      <c r="AI179" s="264">
        <f>IF(NFI_Expiration=1,IF($A179&lt;VLOOKUP(R$5,NFI,5,0),1,0)*Table_NFI[[#This Row],[Winter Clothes Adult]],Table_NFI[Winter Clothes Adult])</f>
        <v>0</v>
      </c>
      <c r="AJ179" s="264">
        <f>IF(NFI_Expiration=1,IF($A179&lt;VLOOKUP(S$5,NFI,5,0),1,0)*Table_NFI[[#This Row],[Winter Clothes Children]],Table_NFI[Winter Clothes Children])</f>
        <v>0</v>
      </c>
      <c r="AK179" s="264">
        <f>IF(NFI_Expiration=1,IF($A179&lt;VLOOKUP(T$5,NFI,5,0),1,0)*Table_NFI[[#This Row],[Winter Items Other]],Table_NFI[Winter Items Other])</f>
        <v>0</v>
      </c>
      <c r="AL179" s="264">
        <f>IF(NFI_Expiration=1,IF($A179&lt;VLOOKUP(M$5,NFI,5,0),1,0)*Table_NFI[[#This Row],[Winter Blanket]],Table_NFI[[#This Row],[Winter Blanket]])</f>
        <v>0</v>
      </c>
      <c r="AM179" s="264">
        <f>IF(Table_NFI[[#This Row],[Winter Clothes Adult]]+Table_NFI[[#This Row],[Winter Clothes Children]]+Table_NFI[[#This Row],[Winter Items Other]]+Table_NFI[[#This Row],[Winter Blanket]]&gt;0,1,0)</f>
        <v>0</v>
      </c>
      <c r="AN179" s="296">
        <f>IF(NFI_Expiration=1,IF($A179&lt;VLOOKUP(V$5,NFI,5,0),1,0)*Table_NFI[[#This Row],[Jerry Can]],Table_NFI[Jerry Can])</f>
        <v>0</v>
      </c>
      <c r="AO179" s="296">
        <f>IF(NFI_Expiration=1,IF($A179&lt;VLOOKUP(V$5,NFI,5,0),1,0)*Table_NFI[[#This Row],[Shelter Tool kit]],Table_NFI[Shelter Tool kit])</f>
        <v>0</v>
      </c>
      <c r="AP179" s="296">
        <f>IF(NFI_Expiration=1,IF($A179&lt;VLOOKUP(V$5,NFI,5,0),1,0)*Table_NFI[[#This Row],[Tent]],Table_NFI[Tent])</f>
        <v>0</v>
      </c>
      <c r="AQ179" s="396" t="str">
        <f>IFERROR(VLOOKUP(Table_NFI[[#This Row],[Camp Name]],CL,2,0),"")</f>
        <v/>
      </c>
      <c r="AR179" s="702" t="str">
        <f ca="1">IF(Table_NFI[[#This Row],[Pcode]]="","",IF(OFFSET(CampList[Opening Date],MATCH(Table_NFI[[#This Row],[Pcode]],CampList[CP_Pcode],0)-1,0,1,1)&gt;=NFI_Monitor_Date,1,0))</f>
        <v/>
      </c>
      <c r="AS179" s="559" t="str">
        <f>IFERROR(VLOOKUP(Table_NFI[[#This Row],[Camp Name]],CL,3,0),"")</f>
        <v/>
      </c>
      <c r="AT179" s="264" t="str">
        <f ca="1">IF(Table_NFI[[#This Row],[Pcode]]="","",OFFSET(CampList[Priority],MATCH(Table_NFI[[#This Row],[Pcode]],CampList[CP_Pcode],0)-1,0,1,1))</f>
        <v/>
      </c>
      <c r="AU179" s="263" t="str">
        <f>IFERROR(Table_NFI[[#This Row],[Kitchen Set]]/VLOOKUP(Table_NFI[[#This Row],[Camp Name]],CL,4,0),"")</f>
        <v/>
      </c>
      <c r="AV179" s="390" t="s">
        <v>1087</v>
      </c>
      <c r="AW179" s="407"/>
      <c r="AX179" s="402"/>
      <c r="AY179" s="402"/>
      <c r="AZ179" s="402"/>
      <c r="BA179" s="402"/>
      <c r="BB179" s="402"/>
      <c r="BC179" s="402"/>
      <c r="BD179" s="402"/>
      <c r="BE179" s="402"/>
      <c r="BF179" s="402"/>
      <c r="BG179" s="402"/>
      <c r="BH179" s="402"/>
      <c r="BI179" s="402"/>
      <c r="BJ179" s="402"/>
      <c r="BK179" s="402"/>
      <c r="BL179" s="402"/>
      <c r="BM179" s="402"/>
      <c r="BN179" s="402"/>
      <c r="BO179" s="402"/>
      <c r="BP179" s="402"/>
      <c r="BQ179" s="402"/>
      <c r="BR179" s="402"/>
      <c r="BS179" s="402"/>
      <c r="BT179" s="402"/>
      <c r="BU179" s="402"/>
      <c r="BV179" s="402"/>
      <c r="BW179" s="402"/>
      <c r="BX179" s="402"/>
      <c r="BY179" s="402"/>
      <c r="BZ179" s="402"/>
      <c r="CA179" s="402"/>
      <c r="CB179" s="402"/>
      <c r="CC179" s="402"/>
      <c r="CD179" s="402"/>
      <c r="CE179" s="402"/>
      <c r="CF179" s="402"/>
      <c r="CG179" s="402"/>
      <c r="CH179" s="402"/>
      <c r="CI179" s="402"/>
      <c r="CJ179" s="402"/>
      <c r="CK179" s="402"/>
      <c r="CL179" s="402"/>
      <c r="CM179" s="402"/>
      <c r="CN179" s="402"/>
      <c r="CO179" s="402"/>
      <c r="CP179" s="402"/>
      <c r="CQ179" s="402"/>
      <c r="CR179" s="402"/>
      <c r="CS179" s="402"/>
      <c r="CT179" s="402"/>
      <c r="CU179" s="402"/>
      <c r="CV179" s="402"/>
      <c r="CW179" s="402"/>
      <c r="CX179" s="402"/>
      <c r="CY179" s="402"/>
      <c r="CZ179" s="402"/>
      <c r="DA179" s="402"/>
      <c r="DB179" s="402"/>
      <c r="DC179" s="402"/>
      <c r="DD179" s="402"/>
      <c r="DE179" s="402"/>
      <c r="DF179" s="402"/>
      <c r="DG179" s="402"/>
      <c r="DH179" s="402"/>
      <c r="DI179" s="402"/>
      <c r="DJ179" s="402"/>
      <c r="DK179" s="402"/>
      <c r="DL179" s="402"/>
      <c r="DM179" s="402"/>
      <c r="DN179" s="402"/>
      <c r="DO179" s="402"/>
      <c r="DP179" s="402"/>
      <c r="DQ179" s="402"/>
    </row>
    <row r="180" spans="1:121" s="759" customFormat="1" ht="14.45" customHeight="1" x14ac:dyDescent="0.25">
      <c r="A180" s="266">
        <f t="shared" si="2"/>
        <v>19.600000000000001</v>
      </c>
      <c r="B180" s="389">
        <v>42268</v>
      </c>
      <c r="C180" s="394" t="s">
        <v>451</v>
      </c>
      <c r="D180" s="394" t="s">
        <v>505</v>
      </c>
      <c r="E180" s="394" t="s">
        <v>380</v>
      </c>
      <c r="F180" s="394" t="s">
        <v>310</v>
      </c>
      <c r="G180" s="394" t="s">
        <v>330</v>
      </c>
      <c r="H180" s="261"/>
      <c r="I180" s="261"/>
      <c r="J180" s="261"/>
      <c r="K180" s="261">
        <v>41</v>
      </c>
      <c r="L180" s="261">
        <v>16</v>
      </c>
      <c r="M180" s="261">
        <v>41</v>
      </c>
      <c r="N180" s="261">
        <v>16</v>
      </c>
      <c r="O180" s="261"/>
      <c r="P180" s="261">
        <v>16</v>
      </c>
      <c r="Q180" s="261">
        <v>80</v>
      </c>
      <c r="R180" s="261"/>
      <c r="S180" s="261"/>
      <c r="T180" s="261"/>
      <c r="U180" s="261"/>
      <c r="V180" s="762">
        <v>16</v>
      </c>
      <c r="W180" s="261"/>
      <c r="X180" s="261"/>
      <c r="Y180" s="264">
        <f>IF(NFI_Expiration=1,IF($A180&lt;VLOOKUP(H$5,NFI,5,0),1,0)*Table_NFI[[#This Row],[Hygiene Kit]],Table_NFI[Hygiene Kit])</f>
        <v>0</v>
      </c>
      <c r="Z180" s="264">
        <f>IF(NFI_Expiration=1,IF($A180&lt;VLOOKUP(I$5,NFI,5,0),1,0)*Table_NFI[[#This Row],[NFI Core Kit]],Table_NFI[NFI Core Kit])</f>
        <v>0</v>
      </c>
      <c r="AA180" s="264">
        <f>IF(NFI_Expiration=1,IF($A180&lt;VLOOKUP(J$5,NFI,5,0),1,0)*Table_NFI[[#This Row],[Sanitary Kit]],Table_NFI[Sanitary Kit])</f>
        <v>0</v>
      </c>
      <c r="AB180" s="264">
        <f>IF(NFI_Expiration=1,IF($A180&lt;VLOOKUP(K$5,NFI,5,0),1,0)*Table_NFI[[#This Row],[Mosquito net]],Table_NFI[Mosquito net])</f>
        <v>0</v>
      </c>
      <c r="AC180" s="264">
        <f>IF(NFI_Expiration=1,IF($A180&lt;VLOOKUP(L$5,NFI,5,0),1,0)*Table_NFI[[#This Row],[Tarpaulin]],Table_NFI[[#This Row],[Tarpaulin]])</f>
        <v>0</v>
      </c>
      <c r="AD180" s="264">
        <f>IF(NFI_Expiration=1,IF($A180&lt;VLOOKUP(M$5,NFI,5,0),1,0)*Table_NFI[[#This Row],[Blanket]],Table_NFI[[#This Row],[Blanket]])</f>
        <v>0</v>
      </c>
      <c r="AE180" s="264">
        <f>IF(NFI_Expiration=1,IF($A180&lt;VLOOKUP(N$5,NFI,5,0),1,0)*Table_NFI[[#This Row],[Kitchen Set]],Table_NFI[Kitchen Set])</f>
        <v>0</v>
      </c>
      <c r="AF180" s="264">
        <f>IF(NFI_Expiration=1,IF($A180&lt;VLOOKUP(O$5,NFI,5,0),1,0)*Table_NFI[[#This Row],[Clothes Kit]],Table_NFI[Clothes Kit])</f>
        <v>0</v>
      </c>
      <c r="AG180" s="264">
        <f>IF(NFI_Expiration=1,IF($A180&lt;VLOOKUP(P$5,NFI,5,0),1,0)*Table_NFI[[#This Row],[Plastic Bucket]],Table_NFI[Plastic Bucket])</f>
        <v>0</v>
      </c>
      <c r="AH180" s="264">
        <f>IF(NFI_Expiration=1,IF($A180&lt;VLOOKUP(Q$5,NFI,5,0),1,0)*Table_NFI[[#This Row],[Plastic Mat]],Table_NFI[Plastic Mat])*IF(Table_NFI[[#This Row],[Distribution Date]]&gt;"2014-04-01",1,2.5)</f>
        <v>0</v>
      </c>
      <c r="AI180" s="264">
        <f>IF(NFI_Expiration=1,IF($A180&lt;VLOOKUP(R$5,NFI,5,0),1,0)*Table_NFI[[#This Row],[Winter Clothes Adult]],Table_NFI[Winter Clothes Adult])</f>
        <v>0</v>
      </c>
      <c r="AJ180" s="264">
        <f>IF(NFI_Expiration=1,IF($A180&lt;VLOOKUP(S$5,NFI,5,0),1,0)*Table_NFI[[#This Row],[Winter Clothes Children]],Table_NFI[Winter Clothes Children])</f>
        <v>0</v>
      </c>
      <c r="AK180" s="264">
        <f>IF(NFI_Expiration=1,IF($A180&lt;VLOOKUP(T$5,NFI,5,0),1,0)*Table_NFI[[#This Row],[Winter Items Other]],Table_NFI[Winter Items Other])</f>
        <v>0</v>
      </c>
      <c r="AL180" s="264">
        <f>IF(NFI_Expiration=1,IF($A180&lt;VLOOKUP(M$5,NFI,5,0),1,0)*Table_NFI[[#This Row],[Winter Blanket]],Table_NFI[[#This Row],[Winter Blanket]])</f>
        <v>0</v>
      </c>
      <c r="AM180" s="264">
        <f>IF(Table_NFI[[#This Row],[Winter Clothes Adult]]+Table_NFI[[#This Row],[Winter Clothes Children]]+Table_NFI[[#This Row],[Winter Items Other]]+Table_NFI[[#This Row],[Winter Blanket]]&gt;0,1,0)</f>
        <v>0</v>
      </c>
      <c r="AN180" s="296">
        <f>IF(NFI_Expiration=1,IF($A180&lt;VLOOKUP(V$5,NFI,5,0),1,0)*Table_NFI[[#This Row],[Jerry Can]],Table_NFI[Jerry Can])</f>
        <v>0</v>
      </c>
      <c r="AO180" s="296">
        <f>IF(NFI_Expiration=1,IF($A180&lt;VLOOKUP(V$5,NFI,5,0),1,0)*Table_NFI[[#This Row],[Shelter Tool kit]],Table_NFI[Shelter Tool kit])</f>
        <v>0</v>
      </c>
      <c r="AP180" s="296">
        <f>IF(NFI_Expiration=1,IF($A180&lt;VLOOKUP(V$5,NFI,5,0),1,0)*Table_NFI[[#This Row],[Tent]],Table_NFI[Tent])</f>
        <v>0</v>
      </c>
      <c r="AQ180" s="396" t="str">
        <f>IFERROR(VLOOKUP(Table_NFI[[#This Row],[Camp Name]],CL,2,0),"")</f>
        <v>MMR001CMP029</v>
      </c>
      <c r="AR180" s="702">
        <f ca="1">IF(Table_NFI[[#This Row],[Pcode]]="","",IF(OFFSET(CampList[Opening Date],MATCH(Table_NFI[[#This Row],[Pcode]],CampList[CP_Pcode],0)-1,0,1,1)&gt;=NFI_Monitor_Date,1,0))</f>
        <v>0</v>
      </c>
      <c r="AS180" s="396" t="str">
        <f>IFERROR(VLOOKUP(Table_NFI[[#This Row],[Camp Name]],CL,3,0),"")</f>
        <v>Open</v>
      </c>
      <c r="AT180" s="264" t="str">
        <f ca="1">IF(Table_NFI[[#This Row],[Pcode]]="","",OFFSET(CampList[Priority],MATCH(Table_NFI[[#This Row],[Pcode]],CampList[CP_Pcode],0)-1,0,1,1))</f>
        <v>P4</v>
      </c>
      <c r="AU180" s="263">
        <f>IFERROR(Table_NFI[[#This Row],[Kitchen Set]]/VLOOKUP(Table_NFI[[#This Row],[Camp Name]],CL,4,0),"")</f>
        <v>3.8623086950224499E-4</v>
      </c>
      <c r="AV180" s="390" t="s">
        <v>1087</v>
      </c>
      <c r="AW180" s="397"/>
      <c r="AX180" s="402"/>
      <c r="AY180" s="402"/>
      <c r="AZ180" s="402"/>
      <c r="BA180" s="402"/>
      <c r="BB180" s="402"/>
      <c r="BC180" s="402"/>
      <c r="BD180" s="402"/>
      <c r="BE180" s="402"/>
      <c r="BF180" s="402"/>
      <c r="BG180" s="402"/>
      <c r="BH180" s="402"/>
      <c r="BI180" s="402"/>
      <c r="BJ180" s="402"/>
      <c r="BK180" s="402"/>
      <c r="BL180" s="402"/>
      <c r="BM180" s="402"/>
      <c r="BN180" s="402"/>
      <c r="BO180" s="402"/>
      <c r="BP180" s="402"/>
      <c r="BQ180" s="402"/>
      <c r="BR180" s="402"/>
      <c r="BS180" s="402"/>
      <c r="BT180" s="402"/>
      <c r="BU180" s="402"/>
      <c r="BV180" s="402"/>
      <c r="BW180" s="402"/>
      <c r="BX180" s="402"/>
      <c r="BY180" s="402"/>
      <c r="BZ180" s="402"/>
      <c r="CA180" s="402"/>
      <c r="CB180" s="402"/>
      <c r="CC180" s="402"/>
      <c r="CD180" s="402"/>
      <c r="CE180" s="402"/>
      <c r="CF180" s="402"/>
      <c r="CG180" s="402"/>
      <c r="CH180" s="402"/>
      <c r="CI180" s="402"/>
      <c r="CJ180" s="402"/>
      <c r="CK180" s="402"/>
      <c r="CL180" s="402"/>
      <c r="CM180" s="402"/>
      <c r="CN180" s="402"/>
      <c r="CO180" s="402"/>
      <c r="CP180" s="402"/>
      <c r="CQ180" s="402"/>
      <c r="CR180" s="402"/>
      <c r="CS180" s="402"/>
      <c r="CT180" s="402"/>
      <c r="CU180" s="402"/>
      <c r="CV180" s="402"/>
      <c r="CW180" s="402"/>
      <c r="CX180" s="402"/>
      <c r="CY180" s="402"/>
      <c r="CZ180" s="402"/>
      <c r="DA180" s="402"/>
      <c r="DB180" s="402"/>
      <c r="DC180" s="402"/>
      <c r="DD180" s="402"/>
      <c r="DE180" s="402"/>
      <c r="DF180" s="402"/>
      <c r="DG180" s="402"/>
      <c r="DH180" s="402"/>
      <c r="DI180" s="402"/>
      <c r="DJ180" s="402"/>
      <c r="DK180" s="402"/>
      <c r="DL180" s="402"/>
      <c r="DM180" s="402"/>
      <c r="DN180" s="402"/>
      <c r="DO180" s="402"/>
      <c r="DP180" s="402"/>
      <c r="DQ180" s="402"/>
    </row>
    <row r="181" spans="1:121" s="759" customFormat="1" ht="14.45" customHeight="1" x14ac:dyDescent="0.25">
      <c r="A181" s="266">
        <f t="shared" si="2"/>
        <v>19.600000000000001</v>
      </c>
      <c r="B181" s="389">
        <v>42268</v>
      </c>
      <c r="C181" s="390" t="s">
        <v>451</v>
      </c>
      <c r="D181" s="390" t="s">
        <v>1323</v>
      </c>
      <c r="E181" s="390" t="s">
        <v>380</v>
      </c>
      <c r="F181" s="390" t="s">
        <v>237</v>
      </c>
      <c r="G181" s="262"/>
      <c r="H181" s="261"/>
      <c r="I181" s="261"/>
      <c r="J181" s="261"/>
      <c r="K181" s="261"/>
      <c r="L181" s="261"/>
      <c r="M181" s="261"/>
      <c r="N181" s="261"/>
      <c r="O181" s="261"/>
      <c r="P181" s="261"/>
      <c r="Q181" s="261"/>
      <c r="R181" s="261"/>
      <c r="S181" s="261"/>
      <c r="T181" s="261"/>
      <c r="U181" s="261"/>
      <c r="V181" s="762"/>
      <c r="W181" s="261"/>
      <c r="X181" s="261"/>
      <c r="Y181" s="264">
        <f>IF(NFI_Expiration=1,IF($A181&lt;VLOOKUP(H$5,NFI,5,0),1,0)*Table_NFI[[#This Row],[Hygiene Kit]],Table_NFI[Hygiene Kit])</f>
        <v>0</v>
      </c>
      <c r="Z181" s="264">
        <f>IF(NFI_Expiration=1,IF($A181&lt;VLOOKUP(I$5,NFI,5,0),1,0)*Table_NFI[[#This Row],[NFI Core Kit]],Table_NFI[NFI Core Kit])</f>
        <v>0</v>
      </c>
      <c r="AA181" s="264">
        <f>IF(NFI_Expiration=1,IF($A181&lt;VLOOKUP(J$5,NFI,5,0),1,0)*Table_NFI[[#This Row],[Sanitary Kit]],Table_NFI[Sanitary Kit])</f>
        <v>0</v>
      </c>
      <c r="AB181" s="264">
        <f>IF(NFI_Expiration=1,IF($A181&lt;VLOOKUP(K$5,NFI,5,0),1,0)*Table_NFI[[#This Row],[Mosquito net]],Table_NFI[Mosquito net])</f>
        <v>0</v>
      </c>
      <c r="AC181" s="264">
        <f>IF(NFI_Expiration=1,IF($A181&lt;VLOOKUP(L$5,NFI,5,0),1,0)*Table_NFI[[#This Row],[Tarpaulin]],Table_NFI[[#This Row],[Tarpaulin]])</f>
        <v>0</v>
      </c>
      <c r="AD181" s="264">
        <f>IF(NFI_Expiration=1,IF($A181&lt;VLOOKUP(M$5,NFI,5,0),1,0)*Table_NFI[[#This Row],[Blanket]],Table_NFI[[#This Row],[Blanket]])</f>
        <v>0</v>
      </c>
      <c r="AE181" s="264">
        <f>IF(NFI_Expiration=1,IF($A181&lt;VLOOKUP(N$5,NFI,5,0),1,0)*Table_NFI[[#This Row],[Kitchen Set]],Table_NFI[Kitchen Set])</f>
        <v>0</v>
      </c>
      <c r="AF181" s="264">
        <f>IF(NFI_Expiration=1,IF($A181&lt;VLOOKUP(O$5,NFI,5,0),1,0)*Table_NFI[[#This Row],[Clothes Kit]],Table_NFI[Clothes Kit])</f>
        <v>0</v>
      </c>
      <c r="AG181" s="264">
        <f>IF(NFI_Expiration=1,IF($A181&lt;VLOOKUP(P$5,NFI,5,0),1,0)*Table_NFI[[#This Row],[Plastic Bucket]],Table_NFI[Plastic Bucket])</f>
        <v>0</v>
      </c>
      <c r="AH181" s="264">
        <f>IF(NFI_Expiration=1,IF($A181&lt;VLOOKUP(Q$5,NFI,5,0),1,0)*Table_NFI[[#This Row],[Plastic Mat]],Table_NFI[Plastic Mat])*IF(Table_NFI[[#This Row],[Distribution Date]]&gt;"2014-04-01",1,2.5)</f>
        <v>0</v>
      </c>
      <c r="AI181" s="264">
        <f>IF(NFI_Expiration=1,IF($A181&lt;VLOOKUP(R$5,NFI,5,0),1,0)*Table_NFI[[#This Row],[Winter Clothes Adult]],Table_NFI[Winter Clothes Adult])</f>
        <v>0</v>
      </c>
      <c r="AJ181" s="264">
        <f>IF(NFI_Expiration=1,IF($A181&lt;VLOOKUP(S$5,NFI,5,0),1,0)*Table_NFI[[#This Row],[Winter Clothes Children]],Table_NFI[Winter Clothes Children])</f>
        <v>0</v>
      </c>
      <c r="AK181" s="264">
        <f>IF(NFI_Expiration=1,IF($A181&lt;VLOOKUP(T$5,NFI,5,0),1,0)*Table_NFI[[#This Row],[Winter Items Other]],Table_NFI[Winter Items Other])</f>
        <v>0</v>
      </c>
      <c r="AL181" s="264">
        <f>IF(NFI_Expiration=1,IF($A181&lt;VLOOKUP(M$5,NFI,5,0),1,0)*Table_NFI[[#This Row],[Winter Blanket]],Table_NFI[[#This Row],[Winter Blanket]])</f>
        <v>0</v>
      </c>
      <c r="AM181" s="264">
        <f>IF(Table_NFI[[#This Row],[Winter Clothes Adult]]+Table_NFI[[#This Row],[Winter Clothes Children]]+Table_NFI[[#This Row],[Winter Items Other]]+Table_NFI[[#This Row],[Winter Blanket]]&gt;0,1,0)</f>
        <v>0</v>
      </c>
      <c r="AN181" s="296">
        <f>IF(NFI_Expiration=1,IF($A181&lt;VLOOKUP(V$5,NFI,5,0),1,0)*Table_NFI[[#This Row],[Jerry Can]],Table_NFI[Jerry Can])</f>
        <v>0</v>
      </c>
      <c r="AO181" s="296">
        <f>IF(NFI_Expiration=1,IF($A181&lt;VLOOKUP(V$5,NFI,5,0),1,0)*Table_NFI[[#This Row],[Shelter Tool kit]],Table_NFI[Shelter Tool kit])</f>
        <v>0</v>
      </c>
      <c r="AP181" s="296">
        <f>IF(NFI_Expiration=1,IF($A181&lt;VLOOKUP(V$5,NFI,5,0),1,0)*Table_NFI[[#This Row],[Tent]],Table_NFI[Tent])</f>
        <v>0</v>
      </c>
      <c r="AQ181" s="396" t="str">
        <f>IFERROR(VLOOKUP(Table_NFI[[#This Row],[Camp Name]],CL,2,0),"")</f>
        <v/>
      </c>
      <c r="AR181" s="702" t="str">
        <f ca="1">IF(Table_NFI[[#This Row],[Pcode]]="","",IF(OFFSET(CampList[Opening Date],MATCH(Table_NFI[[#This Row],[Pcode]],CampList[CP_Pcode],0)-1,0,1,1)&gt;=NFI_Monitor_Date,1,0))</f>
        <v/>
      </c>
      <c r="AS181" s="559" t="str">
        <f>IFERROR(VLOOKUP(Table_NFI[[#This Row],[Camp Name]],CL,3,0),"")</f>
        <v/>
      </c>
      <c r="AT181" s="264" t="str">
        <f ca="1">IF(Table_NFI[[#This Row],[Pcode]]="","",OFFSET(CampList[Priority],MATCH(Table_NFI[[#This Row],[Pcode]],CampList[CP_Pcode],0)-1,0,1,1))</f>
        <v/>
      </c>
      <c r="AU181" s="263" t="str">
        <f>IFERROR(Table_NFI[[#This Row],[Kitchen Set]]/VLOOKUP(Table_NFI[[#This Row],[Camp Name]],CL,4,0),"")</f>
        <v/>
      </c>
      <c r="AV181" s="390" t="s">
        <v>1087</v>
      </c>
      <c r="AW181" s="403"/>
      <c r="AX181" s="402"/>
      <c r="AY181" s="402"/>
      <c r="AZ181" s="402"/>
      <c r="BA181" s="402"/>
      <c r="BB181" s="402"/>
      <c r="BC181" s="402"/>
      <c r="BD181" s="402"/>
      <c r="BE181" s="402"/>
      <c r="BF181" s="402"/>
      <c r="BG181" s="402"/>
      <c r="BH181" s="402"/>
      <c r="BI181" s="402"/>
      <c r="BJ181" s="402"/>
      <c r="BK181" s="402"/>
      <c r="BL181" s="402"/>
      <c r="BM181" s="402"/>
      <c r="BN181" s="402"/>
      <c r="BO181" s="402"/>
      <c r="BP181" s="402"/>
      <c r="BQ181" s="402"/>
      <c r="BR181" s="402"/>
      <c r="BS181" s="402"/>
      <c r="BT181" s="402"/>
      <c r="BU181" s="402"/>
      <c r="BV181" s="402"/>
      <c r="BW181" s="402"/>
      <c r="BX181" s="402"/>
      <c r="BY181" s="402"/>
      <c r="BZ181" s="402"/>
      <c r="CA181" s="402"/>
      <c r="CB181" s="402"/>
      <c r="CC181" s="402"/>
      <c r="CD181" s="402"/>
      <c r="CE181" s="402"/>
      <c r="CF181" s="402"/>
      <c r="CG181" s="402"/>
      <c r="CH181" s="402"/>
      <c r="CI181" s="402"/>
      <c r="CJ181" s="402"/>
      <c r="CK181" s="402"/>
      <c r="CL181" s="402"/>
      <c r="CM181" s="402"/>
      <c r="CN181" s="402"/>
      <c r="CO181" s="402"/>
      <c r="CP181" s="402"/>
      <c r="CQ181" s="402"/>
      <c r="CR181" s="402"/>
      <c r="CS181" s="402"/>
      <c r="CT181" s="402"/>
      <c r="CU181" s="402"/>
      <c r="CV181" s="402"/>
      <c r="CW181" s="402"/>
      <c r="CX181" s="402"/>
      <c r="CY181" s="402"/>
      <c r="CZ181" s="402"/>
      <c r="DA181" s="402"/>
      <c r="DB181" s="402"/>
      <c r="DC181" s="402"/>
      <c r="DD181" s="402"/>
      <c r="DE181" s="402"/>
      <c r="DF181" s="402"/>
      <c r="DG181" s="402"/>
      <c r="DH181" s="402"/>
      <c r="DI181" s="402"/>
      <c r="DJ181" s="402"/>
      <c r="DK181" s="402"/>
      <c r="DL181" s="402"/>
      <c r="DM181" s="402"/>
      <c r="DN181" s="402"/>
      <c r="DO181" s="402"/>
      <c r="DP181" s="402"/>
      <c r="DQ181" s="402"/>
    </row>
    <row r="182" spans="1:121" s="759" customFormat="1" ht="14.45" customHeight="1" x14ac:dyDescent="0.25">
      <c r="A182" s="266">
        <f t="shared" si="2"/>
        <v>19.7</v>
      </c>
      <c r="B182" s="389">
        <v>42265</v>
      </c>
      <c r="C182" s="394" t="s">
        <v>451</v>
      </c>
      <c r="D182" s="394" t="s">
        <v>505</v>
      </c>
      <c r="E182" s="394" t="s">
        <v>380</v>
      </c>
      <c r="F182" s="394" t="s">
        <v>237</v>
      </c>
      <c r="G182" s="394" t="s">
        <v>273</v>
      </c>
      <c r="H182" s="261"/>
      <c r="I182" s="261">
        <v>11</v>
      </c>
      <c r="J182" s="261">
        <v>11</v>
      </c>
      <c r="K182" s="261">
        <v>21</v>
      </c>
      <c r="L182" s="261">
        <v>16</v>
      </c>
      <c r="M182" s="261">
        <v>21</v>
      </c>
      <c r="N182" s="261">
        <v>11</v>
      </c>
      <c r="O182" s="261"/>
      <c r="P182" s="261">
        <v>11</v>
      </c>
      <c r="Q182" s="261">
        <v>42</v>
      </c>
      <c r="R182" s="261"/>
      <c r="S182" s="261"/>
      <c r="T182" s="261"/>
      <c r="U182" s="261"/>
      <c r="V182" s="762">
        <v>11</v>
      </c>
      <c r="W182" s="261"/>
      <c r="X182" s="261">
        <v>6</v>
      </c>
      <c r="Y182" s="264">
        <f>IF(NFI_Expiration=1,IF($A182&lt;VLOOKUP(H$5,NFI,5,0),1,0)*Table_NFI[[#This Row],[Hygiene Kit]],Table_NFI[Hygiene Kit])</f>
        <v>0</v>
      </c>
      <c r="Z182" s="264">
        <f>IF(NFI_Expiration=1,IF($A182&lt;VLOOKUP(I$5,NFI,5,0),1,0)*Table_NFI[[#This Row],[NFI Core Kit]],Table_NFI[NFI Core Kit])</f>
        <v>0</v>
      </c>
      <c r="AA182" s="264">
        <f>IF(NFI_Expiration=1,IF($A182&lt;VLOOKUP(J$5,NFI,5,0),1,0)*Table_NFI[[#This Row],[Sanitary Kit]],Table_NFI[Sanitary Kit])</f>
        <v>0</v>
      </c>
      <c r="AB182" s="264">
        <f>IF(NFI_Expiration=1,IF($A182&lt;VLOOKUP(K$5,NFI,5,0),1,0)*Table_NFI[[#This Row],[Mosquito net]],Table_NFI[Mosquito net])</f>
        <v>0</v>
      </c>
      <c r="AC182" s="264">
        <f>IF(NFI_Expiration=1,IF($A182&lt;VLOOKUP(L$5,NFI,5,0),1,0)*Table_NFI[[#This Row],[Tarpaulin]],Table_NFI[[#This Row],[Tarpaulin]])</f>
        <v>0</v>
      </c>
      <c r="AD182" s="264">
        <f>IF(NFI_Expiration=1,IF($A182&lt;VLOOKUP(M$5,NFI,5,0),1,0)*Table_NFI[[#This Row],[Blanket]],Table_NFI[[#This Row],[Blanket]])</f>
        <v>0</v>
      </c>
      <c r="AE182" s="264">
        <f>IF(NFI_Expiration=1,IF($A182&lt;VLOOKUP(N$5,NFI,5,0),1,0)*Table_NFI[[#This Row],[Kitchen Set]],Table_NFI[Kitchen Set])</f>
        <v>0</v>
      </c>
      <c r="AF182" s="264">
        <f>IF(NFI_Expiration=1,IF($A182&lt;VLOOKUP(O$5,NFI,5,0),1,0)*Table_NFI[[#This Row],[Clothes Kit]],Table_NFI[Clothes Kit])</f>
        <v>0</v>
      </c>
      <c r="AG182" s="264">
        <f>IF(NFI_Expiration=1,IF($A182&lt;VLOOKUP(P$5,NFI,5,0),1,0)*Table_NFI[[#This Row],[Plastic Bucket]],Table_NFI[Plastic Bucket])</f>
        <v>0</v>
      </c>
      <c r="AH182" s="264">
        <f>IF(NFI_Expiration=1,IF($A182&lt;VLOOKUP(Q$5,NFI,5,0),1,0)*Table_NFI[[#This Row],[Plastic Mat]],Table_NFI[Plastic Mat])*IF(Table_NFI[[#This Row],[Distribution Date]]&gt;"2014-04-01",1,2.5)</f>
        <v>0</v>
      </c>
      <c r="AI182" s="264">
        <f>IF(NFI_Expiration=1,IF($A182&lt;VLOOKUP(R$5,NFI,5,0),1,0)*Table_NFI[[#This Row],[Winter Clothes Adult]],Table_NFI[Winter Clothes Adult])</f>
        <v>0</v>
      </c>
      <c r="AJ182" s="264">
        <f>IF(NFI_Expiration=1,IF($A182&lt;VLOOKUP(S$5,NFI,5,0),1,0)*Table_NFI[[#This Row],[Winter Clothes Children]],Table_NFI[Winter Clothes Children])</f>
        <v>0</v>
      </c>
      <c r="AK182" s="264">
        <f>IF(NFI_Expiration=1,IF($A182&lt;VLOOKUP(T$5,NFI,5,0),1,0)*Table_NFI[[#This Row],[Winter Items Other]],Table_NFI[Winter Items Other])</f>
        <v>0</v>
      </c>
      <c r="AL182" s="264">
        <f>IF(NFI_Expiration=1,IF($A182&lt;VLOOKUP(M$5,NFI,5,0),1,0)*Table_NFI[[#This Row],[Winter Blanket]],Table_NFI[[#This Row],[Winter Blanket]])</f>
        <v>0</v>
      </c>
      <c r="AM182" s="264">
        <f>IF(Table_NFI[[#This Row],[Winter Clothes Adult]]+Table_NFI[[#This Row],[Winter Clothes Children]]+Table_NFI[[#This Row],[Winter Items Other]]+Table_NFI[[#This Row],[Winter Blanket]]&gt;0,1,0)</f>
        <v>0</v>
      </c>
      <c r="AN182" s="296">
        <f>IF(NFI_Expiration=1,IF($A182&lt;VLOOKUP(V$5,NFI,5,0),1,0)*Table_NFI[[#This Row],[Jerry Can]],Table_NFI[Jerry Can])</f>
        <v>0</v>
      </c>
      <c r="AO182" s="296">
        <f>IF(NFI_Expiration=1,IF($A182&lt;VLOOKUP(V$5,NFI,5,0),1,0)*Table_NFI[[#This Row],[Shelter Tool kit]],Table_NFI[Shelter Tool kit])</f>
        <v>0</v>
      </c>
      <c r="AP182" s="296">
        <f>IF(NFI_Expiration=1,IF($A182&lt;VLOOKUP(V$5,NFI,5,0),1,0)*Table_NFI[[#This Row],[Tent]],Table_NFI[Tent])</f>
        <v>0</v>
      </c>
      <c r="AQ182" s="396" t="str">
        <f>IFERROR(VLOOKUP(Table_NFI[[#This Row],[Camp Name]],CL,2,0),"")</f>
        <v>MMR001CMP162</v>
      </c>
      <c r="AR182" s="702">
        <f ca="1">IF(Table_NFI[[#This Row],[Pcode]]="","",IF(OFFSET(CampList[Opening Date],MATCH(Table_NFI[[#This Row],[Pcode]],CampList[CP_Pcode],0)-1,0,1,1)&gt;=NFI_Monitor_Date,1,0))</f>
        <v>0</v>
      </c>
      <c r="AS182" s="396" t="str">
        <f>IFERROR(VLOOKUP(Table_NFI[[#This Row],[Camp Name]],CL,3,0),"")</f>
        <v>Open</v>
      </c>
      <c r="AT182" s="264" t="str">
        <f ca="1">IF(Table_NFI[[#This Row],[Pcode]]="","",OFFSET(CampList[Priority],MATCH(Table_NFI[[#This Row],[Pcode]],CampList[CP_Pcode],0)-1,0,1,1))</f>
        <v>P4</v>
      </c>
      <c r="AU182" s="263">
        <f>IFERROR(Table_NFI[[#This Row],[Kitchen Set]]/VLOOKUP(Table_NFI[[#This Row],[Camp Name]],CL,4,0),"")</f>
        <v>2.667054601881486E-4</v>
      </c>
      <c r="AV182" s="390" t="s">
        <v>1087</v>
      </c>
      <c r="AW182" s="397"/>
      <c r="AX182" s="402"/>
      <c r="AY182" s="402"/>
      <c r="AZ182" s="402"/>
      <c r="BA182" s="402"/>
      <c r="BB182" s="402"/>
      <c r="BC182" s="402"/>
      <c r="BD182" s="402"/>
      <c r="BE182" s="402"/>
      <c r="BF182" s="402"/>
      <c r="BG182" s="402"/>
      <c r="BH182" s="402"/>
      <c r="BI182" s="402"/>
      <c r="BJ182" s="402"/>
      <c r="BK182" s="402"/>
      <c r="BL182" s="402"/>
      <c r="BM182" s="402"/>
      <c r="BN182" s="402"/>
      <c r="BO182" s="402"/>
      <c r="BP182" s="402"/>
      <c r="BQ182" s="402"/>
      <c r="BR182" s="402"/>
      <c r="BS182" s="402"/>
      <c r="BT182" s="402"/>
      <c r="BU182" s="402"/>
      <c r="BV182" s="402"/>
      <c r="BW182" s="402"/>
      <c r="BX182" s="402"/>
      <c r="BY182" s="402"/>
      <c r="BZ182" s="402"/>
      <c r="CA182" s="402"/>
      <c r="CB182" s="402"/>
      <c r="CC182" s="402"/>
      <c r="CD182" s="402"/>
      <c r="CE182" s="402"/>
      <c r="CF182" s="402"/>
      <c r="CG182" s="402"/>
      <c r="CH182" s="402"/>
      <c r="CI182" s="402"/>
      <c r="CJ182" s="402"/>
      <c r="CK182" s="402"/>
      <c r="CL182" s="402"/>
      <c r="CM182" s="402"/>
      <c r="CN182" s="402"/>
      <c r="CO182" s="402"/>
      <c r="CP182" s="402"/>
      <c r="CQ182" s="402"/>
      <c r="CR182" s="402"/>
      <c r="CS182" s="402"/>
      <c r="CT182" s="402"/>
      <c r="CU182" s="402"/>
      <c r="CV182" s="402"/>
      <c r="CW182" s="402"/>
      <c r="CX182" s="402"/>
      <c r="CY182" s="402"/>
      <c r="CZ182" s="402"/>
      <c r="DA182" s="402"/>
      <c r="DB182" s="402"/>
      <c r="DC182" s="402"/>
      <c r="DD182" s="402"/>
      <c r="DE182" s="402"/>
      <c r="DF182" s="402"/>
      <c r="DG182" s="402"/>
      <c r="DH182" s="402"/>
      <c r="DI182" s="402"/>
      <c r="DJ182" s="402"/>
      <c r="DK182" s="402"/>
      <c r="DL182" s="402"/>
      <c r="DM182" s="402"/>
      <c r="DN182" s="402"/>
      <c r="DO182" s="402"/>
      <c r="DP182" s="402"/>
      <c r="DQ182" s="402"/>
    </row>
    <row r="183" spans="1:121" s="759" customFormat="1" ht="14.45" customHeight="1" x14ac:dyDescent="0.25">
      <c r="A183" s="266">
        <f t="shared" si="2"/>
        <v>20.433333333333334</v>
      </c>
      <c r="B183" s="389">
        <v>42243</v>
      </c>
      <c r="C183" s="394" t="s">
        <v>451</v>
      </c>
      <c r="D183" s="394" t="s">
        <v>459</v>
      </c>
      <c r="E183" s="390" t="s">
        <v>380</v>
      </c>
      <c r="F183" s="390" t="s">
        <v>237</v>
      </c>
      <c r="G183" s="390"/>
      <c r="H183" s="261"/>
      <c r="I183" s="261"/>
      <c r="J183" s="261"/>
      <c r="K183" s="261"/>
      <c r="L183" s="261"/>
      <c r="M183" s="261"/>
      <c r="N183" s="261"/>
      <c r="O183" s="261"/>
      <c r="P183" s="261"/>
      <c r="Q183" s="261"/>
      <c r="R183" s="261"/>
      <c r="S183" s="261"/>
      <c r="T183" s="261"/>
      <c r="U183" s="261"/>
      <c r="V183" s="762"/>
      <c r="W183" s="261">
        <v>10</v>
      </c>
      <c r="X183" s="261"/>
      <c r="Y183" s="264">
        <f>IF(NFI_Expiration=1,IF($A183&lt;VLOOKUP(H$5,NFI,5,0),1,0)*Table_NFI[[#This Row],[Hygiene Kit]],Table_NFI[Hygiene Kit])</f>
        <v>0</v>
      </c>
      <c r="Z183" s="264">
        <f>IF(NFI_Expiration=1,IF($A183&lt;VLOOKUP(I$5,NFI,5,0),1,0)*Table_NFI[[#This Row],[NFI Core Kit]],Table_NFI[NFI Core Kit])</f>
        <v>0</v>
      </c>
      <c r="AA183" s="264">
        <f>IF(NFI_Expiration=1,IF($A183&lt;VLOOKUP(J$5,NFI,5,0),1,0)*Table_NFI[[#This Row],[Sanitary Kit]],Table_NFI[Sanitary Kit])</f>
        <v>0</v>
      </c>
      <c r="AB183" s="264">
        <f>IF(NFI_Expiration=1,IF($A183&lt;VLOOKUP(K$5,NFI,5,0),1,0)*Table_NFI[[#This Row],[Mosquito net]],Table_NFI[Mosquito net])</f>
        <v>0</v>
      </c>
      <c r="AC183" s="264">
        <f>IF(NFI_Expiration=1,IF($A183&lt;VLOOKUP(L$5,NFI,5,0),1,0)*Table_NFI[[#This Row],[Tarpaulin]],Table_NFI[[#This Row],[Tarpaulin]])</f>
        <v>0</v>
      </c>
      <c r="AD183" s="264">
        <f>IF(NFI_Expiration=1,IF($A183&lt;VLOOKUP(M$5,NFI,5,0),1,0)*Table_NFI[[#This Row],[Blanket]],Table_NFI[[#This Row],[Blanket]])</f>
        <v>0</v>
      </c>
      <c r="AE183" s="264">
        <f>IF(NFI_Expiration=1,IF($A183&lt;VLOOKUP(N$5,NFI,5,0),1,0)*Table_NFI[[#This Row],[Kitchen Set]],Table_NFI[Kitchen Set])</f>
        <v>0</v>
      </c>
      <c r="AF183" s="264">
        <f>IF(NFI_Expiration=1,IF($A183&lt;VLOOKUP(O$5,NFI,5,0),1,0)*Table_NFI[[#This Row],[Clothes Kit]],Table_NFI[Clothes Kit])</f>
        <v>0</v>
      </c>
      <c r="AG183" s="264">
        <f>IF(NFI_Expiration=1,IF($A183&lt;VLOOKUP(P$5,NFI,5,0),1,0)*Table_NFI[[#This Row],[Plastic Bucket]],Table_NFI[Plastic Bucket])</f>
        <v>0</v>
      </c>
      <c r="AH183" s="264">
        <f>IF(NFI_Expiration=1,IF($A183&lt;VLOOKUP(Q$5,NFI,5,0),1,0)*Table_NFI[[#This Row],[Plastic Mat]],Table_NFI[Plastic Mat])*IF(Table_NFI[[#This Row],[Distribution Date]]&gt;"2014-04-01",1,2.5)</f>
        <v>0</v>
      </c>
      <c r="AI183" s="264">
        <f>IF(NFI_Expiration=1,IF($A183&lt;VLOOKUP(R$5,NFI,5,0),1,0)*Table_NFI[[#This Row],[Winter Clothes Adult]],Table_NFI[Winter Clothes Adult])</f>
        <v>0</v>
      </c>
      <c r="AJ183" s="264">
        <f>IF(NFI_Expiration=1,IF($A183&lt;VLOOKUP(S$5,NFI,5,0),1,0)*Table_NFI[[#This Row],[Winter Clothes Children]],Table_NFI[Winter Clothes Children])</f>
        <v>0</v>
      </c>
      <c r="AK183" s="264">
        <f>IF(NFI_Expiration=1,IF($A183&lt;VLOOKUP(T$5,NFI,5,0),1,0)*Table_NFI[[#This Row],[Winter Items Other]],Table_NFI[Winter Items Other])</f>
        <v>0</v>
      </c>
      <c r="AL183" s="264">
        <f>IF(NFI_Expiration=1,IF($A183&lt;VLOOKUP(M$5,NFI,5,0),1,0)*Table_NFI[[#This Row],[Winter Blanket]],Table_NFI[[#This Row],[Winter Blanket]])</f>
        <v>0</v>
      </c>
      <c r="AM183" s="264">
        <f>IF(Table_NFI[[#This Row],[Winter Clothes Adult]]+Table_NFI[[#This Row],[Winter Clothes Children]]+Table_NFI[[#This Row],[Winter Items Other]]+Table_NFI[[#This Row],[Winter Blanket]]&gt;0,1,0)</f>
        <v>0</v>
      </c>
      <c r="AN183" s="296">
        <f>IF(NFI_Expiration=1,IF($A183&lt;VLOOKUP(V$5,NFI,5,0),1,0)*Table_NFI[[#This Row],[Jerry Can]],Table_NFI[Jerry Can])</f>
        <v>0</v>
      </c>
      <c r="AO183" s="296">
        <f>IF(NFI_Expiration=1,IF($A183&lt;VLOOKUP(V$5,NFI,5,0),1,0)*Table_NFI[[#This Row],[Shelter Tool kit]],Table_NFI[Shelter Tool kit])</f>
        <v>0</v>
      </c>
      <c r="AP183" s="296">
        <f>IF(NFI_Expiration=1,IF($A183&lt;VLOOKUP(V$5,NFI,5,0),1,0)*Table_NFI[[#This Row],[Tent]],Table_NFI[Tent])</f>
        <v>0</v>
      </c>
      <c r="AQ183" s="396" t="str">
        <f>IFERROR(VLOOKUP(Table_NFI[[#This Row],[Camp Name]],CL,2,0),"")</f>
        <v/>
      </c>
      <c r="AR183" s="702" t="str">
        <f ca="1">IF(Table_NFI[[#This Row],[Pcode]]="","",IF(OFFSET(CampList[Opening Date],MATCH(Table_NFI[[#This Row],[Pcode]],CampList[CP_Pcode],0)-1,0,1,1)&gt;=NFI_Monitor_Date,1,0))</f>
        <v/>
      </c>
      <c r="AS183" s="559" t="str">
        <f>IFERROR(VLOOKUP(Table_NFI[[#This Row],[Camp Name]],CL,3,0),"")</f>
        <v/>
      </c>
      <c r="AT183" s="264" t="str">
        <f ca="1">IF(Table_NFI[[#This Row],[Pcode]]="","",OFFSET(CampList[Priority],MATCH(Table_NFI[[#This Row],[Pcode]],CampList[CP_Pcode],0)-1,0,1,1))</f>
        <v/>
      </c>
      <c r="AU183" s="263" t="str">
        <f>IFERROR(Table_NFI[[#This Row],[Kitchen Set]]/VLOOKUP(Table_NFI[[#This Row],[Camp Name]],CL,4,0),"")</f>
        <v/>
      </c>
      <c r="AV183" s="390" t="s">
        <v>1087</v>
      </c>
      <c r="AW183" s="407"/>
      <c r="AX183" s="402"/>
      <c r="AY183" s="402"/>
      <c r="AZ183" s="402"/>
      <c r="BA183" s="402"/>
      <c r="BB183" s="402"/>
      <c r="BC183" s="402"/>
      <c r="BD183" s="402"/>
      <c r="BE183" s="402"/>
      <c r="BF183" s="402"/>
      <c r="BG183" s="402"/>
      <c r="BH183" s="402"/>
      <c r="BI183" s="402"/>
      <c r="BJ183" s="402"/>
      <c r="BK183" s="402"/>
      <c r="BL183" s="402"/>
      <c r="BM183" s="402"/>
      <c r="BN183" s="402"/>
      <c r="BO183" s="402"/>
      <c r="BP183" s="402"/>
      <c r="BQ183" s="402"/>
      <c r="BR183" s="402"/>
      <c r="BS183" s="402"/>
      <c r="BT183" s="402"/>
      <c r="BU183" s="402"/>
      <c r="BV183" s="402"/>
      <c r="BW183" s="402"/>
      <c r="BX183" s="402"/>
      <c r="BY183" s="402"/>
      <c r="BZ183" s="402"/>
      <c r="CA183" s="402"/>
      <c r="CB183" s="402"/>
      <c r="CC183" s="402"/>
      <c r="CD183" s="402"/>
      <c r="CE183" s="402"/>
      <c r="CF183" s="402"/>
      <c r="CG183" s="402"/>
      <c r="CH183" s="402"/>
      <c r="CI183" s="402"/>
      <c r="CJ183" s="402"/>
      <c r="CK183" s="402"/>
      <c r="CL183" s="402"/>
      <c r="CM183" s="402"/>
      <c r="CN183" s="402"/>
      <c r="CO183" s="402"/>
      <c r="CP183" s="402"/>
      <c r="CQ183" s="402"/>
      <c r="CR183" s="402"/>
      <c r="CS183" s="402"/>
      <c r="CT183" s="402"/>
      <c r="CU183" s="402"/>
      <c r="CV183" s="402"/>
      <c r="CW183" s="402"/>
      <c r="CX183" s="402"/>
      <c r="CY183" s="402"/>
      <c r="CZ183" s="402"/>
      <c r="DA183" s="402"/>
      <c r="DB183" s="402"/>
      <c r="DC183" s="402"/>
      <c r="DD183" s="402"/>
      <c r="DE183" s="402"/>
      <c r="DF183" s="402"/>
      <c r="DG183" s="402"/>
      <c r="DH183" s="402"/>
      <c r="DI183" s="402"/>
      <c r="DJ183" s="402"/>
      <c r="DK183" s="402"/>
      <c r="DL183" s="402"/>
      <c r="DM183" s="402"/>
      <c r="DN183" s="402"/>
      <c r="DO183" s="402"/>
      <c r="DP183" s="402"/>
      <c r="DQ183" s="402"/>
    </row>
    <row r="184" spans="1:121" s="760" customFormat="1" ht="14.45" customHeight="1" x14ac:dyDescent="0.25">
      <c r="A184" s="266">
        <f t="shared" si="2"/>
        <v>20.433333333333334</v>
      </c>
      <c r="B184" s="389">
        <v>42243</v>
      </c>
      <c r="C184" s="394" t="s">
        <v>451</v>
      </c>
      <c r="D184" s="394" t="s">
        <v>1323</v>
      </c>
      <c r="E184" s="394" t="s">
        <v>380</v>
      </c>
      <c r="F184" s="394" t="s">
        <v>237</v>
      </c>
      <c r="G184" s="394"/>
      <c r="H184" s="261"/>
      <c r="I184" s="261"/>
      <c r="J184" s="261"/>
      <c r="K184" s="261"/>
      <c r="L184" s="261"/>
      <c r="M184" s="261"/>
      <c r="N184" s="261"/>
      <c r="O184" s="261"/>
      <c r="P184" s="261"/>
      <c r="Q184" s="261"/>
      <c r="R184" s="261"/>
      <c r="S184" s="261"/>
      <c r="T184" s="261"/>
      <c r="U184" s="261"/>
      <c r="V184" s="762"/>
      <c r="W184" s="261">
        <v>7</v>
      </c>
      <c r="X184" s="261"/>
      <c r="Y184" s="264">
        <f>IF(NFI_Expiration=1,IF($A184&lt;VLOOKUP(H$5,NFI,5,0),1,0)*Table_NFI[[#This Row],[Hygiene Kit]],Table_NFI[Hygiene Kit])</f>
        <v>0</v>
      </c>
      <c r="Z184" s="264">
        <f>IF(NFI_Expiration=1,IF($A184&lt;VLOOKUP(I$5,NFI,5,0),1,0)*Table_NFI[[#This Row],[NFI Core Kit]],Table_NFI[NFI Core Kit])</f>
        <v>0</v>
      </c>
      <c r="AA184" s="264">
        <f>IF(NFI_Expiration=1,IF($A184&lt;VLOOKUP(J$5,NFI,5,0),1,0)*Table_NFI[[#This Row],[Sanitary Kit]],Table_NFI[Sanitary Kit])</f>
        <v>0</v>
      </c>
      <c r="AB184" s="264">
        <f>IF(NFI_Expiration=1,IF($A184&lt;VLOOKUP(K$5,NFI,5,0),1,0)*Table_NFI[[#This Row],[Mosquito net]],Table_NFI[Mosquito net])</f>
        <v>0</v>
      </c>
      <c r="AC184" s="264">
        <f>IF(NFI_Expiration=1,IF($A184&lt;VLOOKUP(L$5,NFI,5,0),1,0)*Table_NFI[[#This Row],[Tarpaulin]],Table_NFI[[#This Row],[Tarpaulin]])</f>
        <v>0</v>
      </c>
      <c r="AD184" s="264">
        <f>IF(NFI_Expiration=1,IF($A184&lt;VLOOKUP(M$5,NFI,5,0),1,0)*Table_NFI[[#This Row],[Blanket]],Table_NFI[[#This Row],[Blanket]])</f>
        <v>0</v>
      </c>
      <c r="AE184" s="264">
        <f>IF(NFI_Expiration=1,IF($A184&lt;VLOOKUP(N$5,NFI,5,0),1,0)*Table_NFI[[#This Row],[Kitchen Set]],Table_NFI[Kitchen Set])</f>
        <v>0</v>
      </c>
      <c r="AF184" s="264">
        <f>IF(NFI_Expiration=1,IF($A184&lt;VLOOKUP(O$5,NFI,5,0),1,0)*Table_NFI[[#This Row],[Clothes Kit]],Table_NFI[Clothes Kit])</f>
        <v>0</v>
      </c>
      <c r="AG184" s="264">
        <f>IF(NFI_Expiration=1,IF($A184&lt;VLOOKUP(P$5,NFI,5,0),1,0)*Table_NFI[[#This Row],[Plastic Bucket]],Table_NFI[Plastic Bucket])</f>
        <v>0</v>
      </c>
      <c r="AH184" s="264">
        <f>IF(NFI_Expiration=1,IF($A184&lt;VLOOKUP(Q$5,NFI,5,0),1,0)*Table_NFI[[#This Row],[Plastic Mat]],Table_NFI[Plastic Mat])*IF(Table_NFI[[#This Row],[Distribution Date]]&gt;"2014-04-01",1,2.5)</f>
        <v>0</v>
      </c>
      <c r="AI184" s="264">
        <f>IF(NFI_Expiration=1,IF($A184&lt;VLOOKUP(R$5,NFI,5,0),1,0)*Table_NFI[[#This Row],[Winter Clothes Adult]],Table_NFI[Winter Clothes Adult])</f>
        <v>0</v>
      </c>
      <c r="AJ184" s="264">
        <f>IF(NFI_Expiration=1,IF($A184&lt;VLOOKUP(S$5,NFI,5,0),1,0)*Table_NFI[[#This Row],[Winter Clothes Children]],Table_NFI[Winter Clothes Children])</f>
        <v>0</v>
      </c>
      <c r="AK184" s="264">
        <f>IF(NFI_Expiration=1,IF($A184&lt;VLOOKUP(T$5,NFI,5,0),1,0)*Table_NFI[[#This Row],[Winter Items Other]],Table_NFI[Winter Items Other])</f>
        <v>0</v>
      </c>
      <c r="AL184" s="264">
        <f>IF(NFI_Expiration=1,IF($A184&lt;VLOOKUP(M$5,NFI,5,0),1,0)*Table_NFI[[#This Row],[Winter Blanket]],Table_NFI[[#This Row],[Winter Blanket]])</f>
        <v>0</v>
      </c>
      <c r="AM184" s="264">
        <f>IF(Table_NFI[[#This Row],[Winter Clothes Adult]]+Table_NFI[[#This Row],[Winter Clothes Children]]+Table_NFI[[#This Row],[Winter Items Other]]+Table_NFI[[#This Row],[Winter Blanket]]&gt;0,1,0)</f>
        <v>0</v>
      </c>
      <c r="AN184" s="296">
        <f>IF(NFI_Expiration=1,IF($A184&lt;VLOOKUP(V$5,NFI,5,0),1,0)*Table_NFI[[#This Row],[Jerry Can]],Table_NFI[Jerry Can])</f>
        <v>0</v>
      </c>
      <c r="AO184" s="296">
        <f>IF(NFI_Expiration=1,IF($A184&lt;VLOOKUP(V$5,NFI,5,0),1,0)*Table_NFI[[#This Row],[Shelter Tool kit]],Table_NFI[Shelter Tool kit])</f>
        <v>0</v>
      </c>
      <c r="AP184" s="296">
        <f>IF(NFI_Expiration=1,IF($A184&lt;VLOOKUP(V$5,NFI,5,0),1,0)*Table_NFI[[#This Row],[Tent]],Table_NFI[Tent])</f>
        <v>0</v>
      </c>
      <c r="AQ184" s="396" t="str">
        <f>IFERROR(VLOOKUP(Table_NFI[[#This Row],[Camp Name]],CL,2,0),"")</f>
        <v/>
      </c>
      <c r="AR184" s="702" t="str">
        <f ca="1">IF(Table_NFI[[#This Row],[Pcode]]="","",IF(OFFSET(CampList[Opening Date],MATCH(Table_NFI[[#This Row],[Pcode]],CampList[CP_Pcode],0)-1,0,1,1)&gt;=NFI_Monitor_Date,1,0))</f>
        <v/>
      </c>
      <c r="AS184" s="559" t="str">
        <f>IFERROR(VLOOKUP(Table_NFI[[#This Row],[Camp Name]],CL,3,0),"")</f>
        <v/>
      </c>
      <c r="AT184" s="264" t="str">
        <f ca="1">IF(Table_NFI[[#This Row],[Pcode]]="","",OFFSET(CampList[Priority],MATCH(Table_NFI[[#This Row],[Pcode]],CampList[CP_Pcode],0)-1,0,1,1))</f>
        <v/>
      </c>
      <c r="AU184" s="263" t="str">
        <f>IFERROR(Table_NFI[[#This Row],[Kitchen Set]]/VLOOKUP(Table_NFI[[#This Row],[Camp Name]],CL,4,0),"")</f>
        <v/>
      </c>
      <c r="AV184" s="390" t="s">
        <v>1087</v>
      </c>
      <c r="AW184" s="397"/>
      <c r="AX184" s="399"/>
      <c r="AY184" s="399"/>
      <c r="AZ184" s="399"/>
      <c r="BA184" s="399"/>
      <c r="BB184" s="399"/>
      <c r="BC184" s="399"/>
      <c r="BD184" s="399"/>
      <c r="BE184" s="399"/>
      <c r="BF184" s="399"/>
      <c r="BG184" s="399"/>
      <c r="BH184" s="399"/>
      <c r="BI184" s="399"/>
      <c r="BJ184" s="399"/>
      <c r="BK184" s="399"/>
      <c r="BL184" s="399"/>
      <c r="BM184" s="399"/>
      <c r="BN184" s="399"/>
      <c r="BO184" s="399"/>
      <c r="BP184" s="399"/>
      <c r="BQ184" s="399"/>
      <c r="BR184" s="399"/>
      <c r="BS184" s="399"/>
      <c r="BT184" s="399"/>
      <c r="BU184" s="399"/>
      <c r="BV184" s="399"/>
      <c r="BW184" s="399"/>
      <c r="BX184" s="399"/>
      <c r="BY184" s="399"/>
      <c r="BZ184" s="399"/>
      <c r="CA184" s="399"/>
      <c r="CB184" s="399"/>
      <c r="CC184" s="399"/>
      <c r="CD184" s="399"/>
      <c r="CE184" s="399"/>
      <c r="CF184" s="399"/>
      <c r="CG184" s="399"/>
      <c r="CH184" s="399"/>
      <c r="CI184" s="399"/>
      <c r="CJ184" s="399"/>
      <c r="CK184" s="399"/>
      <c r="CL184" s="399"/>
      <c r="CM184" s="399"/>
      <c r="CN184" s="399"/>
      <c r="CO184" s="399"/>
      <c r="CP184" s="399"/>
      <c r="CQ184" s="399"/>
      <c r="CR184" s="399"/>
      <c r="CS184" s="399"/>
      <c r="CT184" s="399"/>
      <c r="CU184" s="399"/>
      <c r="CV184" s="399"/>
      <c r="CW184" s="399"/>
      <c r="CX184" s="399"/>
      <c r="CY184" s="399"/>
      <c r="CZ184" s="399"/>
      <c r="DA184" s="399"/>
      <c r="DB184" s="399"/>
      <c r="DC184" s="399"/>
      <c r="DD184" s="399"/>
      <c r="DE184" s="399"/>
      <c r="DF184" s="399"/>
      <c r="DG184" s="399"/>
      <c r="DH184" s="399"/>
      <c r="DI184" s="399"/>
      <c r="DJ184" s="399"/>
      <c r="DK184" s="399"/>
      <c r="DL184" s="399"/>
      <c r="DM184" s="399"/>
      <c r="DN184" s="399"/>
      <c r="DO184" s="399"/>
      <c r="DP184" s="399"/>
      <c r="DQ184" s="399"/>
    </row>
    <row r="185" spans="1:121" s="760" customFormat="1" ht="14.45" customHeight="1" x14ac:dyDescent="0.25">
      <c r="A185" s="266">
        <f t="shared" si="2"/>
        <v>20.433333333333334</v>
      </c>
      <c r="B185" s="389">
        <v>42243</v>
      </c>
      <c r="C185" s="394" t="s">
        <v>451</v>
      </c>
      <c r="D185" s="394" t="s">
        <v>504</v>
      </c>
      <c r="E185" s="394" t="s">
        <v>380</v>
      </c>
      <c r="F185" s="394" t="s">
        <v>237</v>
      </c>
      <c r="G185" s="394"/>
      <c r="H185" s="261"/>
      <c r="I185" s="261"/>
      <c r="J185" s="261"/>
      <c r="K185" s="261"/>
      <c r="L185" s="261"/>
      <c r="M185" s="261"/>
      <c r="N185" s="261"/>
      <c r="O185" s="261"/>
      <c r="P185" s="261"/>
      <c r="Q185" s="261"/>
      <c r="R185" s="261"/>
      <c r="S185" s="261"/>
      <c r="T185" s="261"/>
      <c r="U185" s="261"/>
      <c r="V185" s="762"/>
      <c r="W185" s="261">
        <v>8</v>
      </c>
      <c r="X185" s="261"/>
      <c r="Y185" s="264">
        <f>IF(NFI_Expiration=1,IF($A185&lt;VLOOKUP(H$5,NFI,5,0),1,0)*Table_NFI[[#This Row],[Hygiene Kit]],Table_NFI[Hygiene Kit])</f>
        <v>0</v>
      </c>
      <c r="Z185" s="264">
        <f>IF(NFI_Expiration=1,IF($A185&lt;VLOOKUP(I$5,NFI,5,0),1,0)*Table_NFI[[#This Row],[NFI Core Kit]],Table_NFI[NFI Core Kit])</f>
        <v>0</v>
      </c>
      <c r="AA185" s="264">
        <f>IF(NFI_Expiration=1,IF($A185&lt;VLOOKUP(J$5,NFI,5,0),1,0)*Table_NFI[[#This Row],[Sanitary Kit]],Table_NFI[Sanitary Kit])</f>
        <v>0</v>
      </c>
      <c r="AB185" s="264">
        <f>IF(NFI_Expiration=1,IF($A185&lt;VLOOKUP(K$5,NFI,5,0),1,0)*Table_NFI[[#This Row],[Mosquito net]],Table_NFI[Mosquito net])</f>
        <v>0</v>
      </c>
      <c r="AC185" s="264">
        <f>IF(NFI_Expiration=1,IF($A185&lt;VLOOKUP(L$5,NFI,5,0),1,0)*Table_NFI[[#This Row],[Tarpaulin]],Table_NFI[[#This Row],[Tarpaulin]])</f>
        <v>0</v>
      </c>
      <c r="AD185" s="264">
        <f>IF(NFI_Expiration=1,IF($A185&lt;VLOOKUP(M$5,NFI,5,0),1,0)*Table_NFI[[#This Row],[Blanket]],Table_NFI[[#This Row],[Blanket]])</f>
        <v>0</v>
      </c>
      <c r="AE185" s="264">
        <f>IF(NFI_Expiration=1,IF($A185&lt;VLOOKUP(N$5,NFI,5,0),1,0)*Table_NFI[[#This Row],[Kitchen Set]],Table_NFI[Kitchen Set])</f>
        <v>0</v>
      </c>
      <c r="AF185" s="264">
        <f>IF(NFI_Expiration=1,IF($A185&lt;VLOOKUP(O$5,NFI,5,0),1,0)*Table_NFI[[#This Row],[Clothes Kit]],Table_NFI[Clothes Kit])</f>
        <v>0</v>
      </c>
      <c r="AG185" s="264">
        <f>IF(NFI_Expiration=1,IF($A185&lt;VLOOKUP(P$5,NFI,5,0),1,0)*Table_NFI[[#This Row],[Plastic Bucket]],Table_NFI[Plastic Bucket])</f>
        <v>0</v>
      </c>
      <c r="AH185" s="264">
        <f>IF(NFI_Expiration=1,IF($A185&lt;VLOOKUP(Q$5,NFI,5,0),1,0)*Table_NFI[[#This Row],[Plastic Mat]],Table_NFI[Plastic Mat])*IF(Table_NFI[[#This Row],[Distribution Date]]&gt;"2014-04-01",1,2.5)</f>
        <v>0</v>
      </c>
      <c r="AI185" s="264">
        <f>IF(NFI_Expiration=1,IF($A185&lt;VLOOKUP(R$5,NFI,5,0),1,0)*Table_NFI[[#This Row],[Winter Clothes Adult]],Table_NFI[Winter Clothes Adult])</f>
        <v>0</v>
      </c>
      <c r="AJ185" s="264">
        <f>IF(NFI_Expiration=1,IF($A185&lt;VLOOKUP(S$5,NFI,5,0),1,0)*Table_NFI[[#This Row],[Winter Clothes Children]],Table_NFI[Winter Clothes Children])</f>
        <v>0</v>
      </c>
      <c r="AK185" s="264">
        <f>IF(NFI_Expiration=1,IF($A185&lt;VLOOKUP(T$5,NFI,5,0),1,0)*Table_NFI[[#This Row],[Winter Items Other]],Table_NFI[Winter Items Other])</f>
        <v>0</v>
      </c>
      <c r="AL185" s="264">
        <f>IF(NFI_Expiration=1,IF($A185&lt;VLOOKUP(M$5,NFI,5,0),1,0)*Table_NFI[[#This Row],[Winter Blanket]],Table_NFI[[#This Row],[Winter Blanket]])</f>
        <v>0</v>
      </c>
      <c r="AM185" s="264">
        <f>IF(Table_NFI[[#This Row],[Winter Clothes Adult]]+Table_NFI[[#This Row],[Winter Clothes Children]]+Table_NFI[[#This Row],[Winter Items Other]]+Table_NFI[[#This Row],[Winter Blanket]]&gt;0,1,0)</f>
        <v>0</v>
      </c>
      <c r="AN185" s="296">
        <f>IF(NFI_Expiration=1,IF($A185&lt;VLOOKUP(V$5,NFI,5,0),1,0)*Table_NFI[[#This Row],[Jerry Can]],Table_NFI[Jerry Can])</f>
        <v>0</v>
      </c>
      <c r="AO185" s="296">
        <f>IF(NFI_Expiration=1,IF($A185&lt;VLOOKUP(V$5,NFI,5,0),1,0)*Table_NFI[[#This Row],[Shelter Tool kit]],Table_NFI[Shelter Tool kit])</f>
        <v>0</v>
      </c>
      <c r="AP185" s="296">
        <f>IF(NFI_Expiration=1,IF($A185&lt;VLOOKUP(V$5,NFI,5,0),1,0)*Table_NFI[[#This Row],[Tent]],Table_NFI[Tent])</f>
        <v>0</v>
      </c>
      <c r="AQ185" s="396" t="str">
        <f>IFERROR(VLOOKUP(Table_NFI[[#This Row],[Camp Name]],CL,2,0),"")</f>
        <v/>
      </c>
      <c r="AR185" s="702" t="str">
        <f ca="1">IF(Table_NFI[[#This Row],[Pcode]]="","",IF(OFFSET(CampList[Opening Date],MATCH(Table_NFI[[#This Row],[Pcode]],CampList[CP_Pcode],0)-1,0,1,1)&gt;=NFI_Monitor_Date,1,0))</f>
        <v/>
      </c>
      <c r="AS185" s="559" t="str">
        <f>IFERROR(VLOOKUP(Table_NFI[[#This Row],[Camp Name]],CL,3,0),"")</f>
        <v/>
      </c>
      <c r="AT185" s="264" t="str">
        <f ca="1">IF(Table_NFI[[#This Row],[Pcode]]="","",OFFSET(CampList[Priority],MATCH(Table_NFI[[#This Row],[Pcode]],CampList[CP_Pcode],0)-1,0,1,1))</f>
        <v/>
      </c>
      <c r="AU185" s="263" t="str">
        <f>IFERROR(Table_NFI[[#This Row],[Kitchen Set]]/VLOOKUP(Table_NFI[[#This Row],[Camp Name]],CL,4,0),"")</f>
        <v/>
      </c>
      <c r="AV185" s="390" t="s">
        <v>1087</v>
      </c>
      <c r="AW185" s="397" t="s">
        <v>1305</v>
      </c>
      <c r="AX185" s="399"/>
      <c r="AY185" s="399"/>
      <c r="AZ185" s="399"/>
      <c r="BA185" s="399"/>
      <c r="BB185" s="399"/>
      <c r="BC185" s="399"/>
      <c r="BD185" s="399"/>
      <c r="BE185" s="399"/>
      <c r="BF185" s="399"/>
      <c r="BG185" s="399"/>
      <c r="BH185" s="399"/>
      <c r="BI185" s="399"/>
      <c r="BJ185" s="399"/>
      <c r="BK185" s="399"/>
      <c r="BL185" s="399"/>
      <c r="BM185" s="399"/>
      <c r="BN185" s="399"/>
      <c r="BO185" s="399"/>
      <c r="BP185" s="399"/>
      <c r="BQ185" s="399"/>
      <c r="BR185" s="399"/>
      <c r="BS185" s="399"/>
      <c r="BT185" s="399"/>
      <c r="BU185" s="399"/>
      <c r="BV185" s="399"/>
      <c r="BW185" s="399"/>
      <c r="BX185" s="399"/>
      <c r="BY185" s="399"/>
      <c r="BZ185" s="399"/>
      <c r="CA185" s="399"/>
      <c r="CB185" s="399"/>
      <c r="CC185" s="399"/>
      <c r="CD185" s="399"/>
      <c r="CE185" s="399"/>
      <c r="CF185" s="399"/>
      <c r="CG185" s="399"/>
      <c r="CH185" s="399"/>
      <c r="CI185" s="399"/>
      <c r="CJ185" s="399"/>
      <c r="CK185" s="399"/>
      <c r="CL185" s="399"/>
      <c r="CM185" s="399"/>
      <c r="CN185" s="399"/>
      <c r="CO185" s="399"/>
      <c r="CP185" s="399"/>
      <c r="CQ185" s="399"/>
      <c r="CR185" s="399"/>
      <c r="CS185" s="399"/>
      <c r="CT185" s="399"/>
      <c r="CU185" s="399"/>
      <c r="CV185" s="399"/>
      <c r="CW185" s="399"/>
      <c r="CX185" s="399"/>
      <c r="CY185" s="399"/>
      <c r="CZ185" s="399"/>
      <c r="DA185" s="399"/>
      <c r="DB185" s="399"/>
      <c r="DC185" s="399"/>
      <c r="DD185" s="399"/>
      <c r="DE185" s="399"/>
      <c r="DF185" s="399"/>
      <c r="DG185" s="399"/>
      <c r="DH185" s="399"/>
      <c r="DI185" s="399"/>
      <c r="DJ185" s="399"/>
      <c r="DK185" s="399"/>
      <c r="DL185" s="399"/>
      <c r="DM185" s="399"/>
      <c r="DN185" s="399"/>
      <c r="DO185" s="399"/>
      <c r="DP185" s="399"/>
      <c r="DQ185" s="399"/>
    </row>
    <row r="186" spans="1:121" s="759" customFormat="1" ht="14.45" customHeight="1" x14ac:dyDescent="0.25">
      <c r="A186" s="266">
        <f t="shared" si="2"/>
        <v>20.966666666666665</v>
      </c>
      <c r="B186" s="389">
        <v>42227</v>
      </c>
      <c r="C186" s="390" t="s">
        <v>451</v>
      </c>
      <c r="D186" s="391" t="s">
        <v>459</v>
      </c>
      <c r="E186" s="390" t="s">
        <v>380</v>
      </c>
      <c r="F186" s="262" t="s">
        <v>173</v>
      </c>
      <c r="G186" s="262" t="s">
        <v>174</v>
      </c>
      <c r="H186" s="261"/>
      <c r="I186" s="261"/>
      <c r="J186" s="261"/>
      <c r="K186" s="261">
        <v>14</v>
      </c>
      <c r="L186" s="261">
        <v>14</v>
      </c>
      <c r="M186" s="261"/>
      <c r="N186" s="261"/>
      <c r="O186" s="261"/>
      <c r="P186" s="261"/>
      <c r="Q186" s="261"/>
      <c r="R186" s="261"/>
      <c r="S186" s="261"/>
      <c r="T186" s="261"/>
      <c r="U186" s="261"/>
      <c r="V186" s="762"/>
      <c r="W186" s="261"/>
      <c r="X186" s="261"/>
      <c r="Y186" s="264">
        <f>IF(NFI_Expiration=1,IF($A186&lt;VLOOKUP(H$5,NFI,5,0),1,0)*Table_NFI[[#This Row],[Hygiene Kit]],Table_NFI[Hygiene Kit])</f>
        <v>0</v>
      </c>
      <c r="Z186" s="264">
        <f>IF(NFI_Expiration=1,IF($A186&lt;VLOOKUP(I$5,NFI,5,0),1,0)*Table_NFI[[#This Row],[NFI Core Kit]],Table_NFI[NFI Core Kit])</f>
        <v>0</v>
      </c>
      <c r="AA186" s="264">
        <f>IF(NFI_Expiration=1,IF($A186&lt;VLOOKUP(J$5,NFI,5,0),1,0)*Table_NFI[[#This Row],[Sanitary Kit]],Table_NFI[Sanitary Kit])</f>
        <v>0</v>
      </c>
      <c r="AB186" s="264">
        <f>IF(NFI_Expiration=1,IF($A186&lt;VLOOKUP(K$5,NFI,5,0),1,0)*Table_NFI[[#This Row],[Mosquito net]],Table_NFI[Mosquito net])</f>
        <v>0</v>
      </c>
      <c r="AC186" s="264">
        <f>IF(NFI_Expiration=1,IF($A186&lt;VLOOKUP(L$5,NFI,5,0),1,0)*Table_NFI[[#This Row],[Tarpaulin]],Table_NFI[[#This Row],[Tarpaulin]])</f>
        <v>0</v>
      </c>
      <c r="AD186" s="264">
        <f>IF(NFI_Expiration=1,IF($A186&lt;VLOOKUP(M$5,NFI,5,0),1,0)*Table_NFI[[#This Row],[Blanket]],Table_NFI[[#This Row],[Blanket]])</f>
        <v>0</v>
      </c>
      <c r="AE186" s="264">
        <f>IF(NFI_Expiration=1,IF($A186&lt;VLOOKUP(N$5,NFI,5,0),1,0)*Table_NFI[[#This Row],[Kitchen Set]],Table_NFI[Kitchen Set])</f>
        <v>0</v>
      </c>
      <c r="AF186" s="264">
        <f>IF(NFI_Expiration=1,IF($A186&lt;VLOOKUP(O$5,NFI,5,0),1,0)*Table_NFI[[#This Row],[Clothes Kit]],Table_NFI[Clothes Kit])</f>
        <v>0</v>
      </c>
      <c r="AG186" s="264">
        <f>IF(NFI_Expiration=1,IF($A186&lt;VLOOKUP(P$5,NFI,5,0),1,0)*Table_NFI[[#This Row],[Plastic Bucket]],Table_NFI[Plastic Bucket])</f>
        <v>0</v>
      </c>
      <c r="AH186" s="264">
        <f>IF(NFI_Expiration=1,IF($A186&lt;VLOOKUP(Q$5,NFI,5,0),1,0)*Table_NFI[[#This Row],[Plastic Mat]],Table_NFI[Plastic Mat])*IF(Table_NFI[[#This Row],[Distribution Date]]&gt;"2014-04-01",1,2.5)</f>
        <v>0</v>
      </c>
      <c r="AI186" s="264">
        <f>IF(NFI_Expiration=1,IF($A186&lt;VLOOKUP(R$5,NFI,5,0),1,0)*Table_NFI[[#This Row],[Winter Clothes Adult]],Table_NFI[Winter Clothes Adult])</f>
        <v>0</v>
      </c>
      <c r="AJ186" s="264">
        <f>IF(NFI_Expiration=1,IF($A186&lt;VLOOKUP(S$5,NFI,5,0),1,0)*Table_NFI[[#This Row],[Winter Clothes Children]],Table_NFI[Winter Clothes Children])</f>
        <v>0</v>
      </c>
      <c r="AK186" s="264">
        <f>IF(NFI_Expiration=1,IF($A186&lt;VLOOKUP(T$5,NFI,5,0),1,0)*Table_NFI[[#This Row],[Winter Items Other]],Table_NFI[Winter Items Other])</f>
        <v>0</v>
      </c>
      <c r="AL186" s="264">
        <f>IF(NFI_Expiration=1,IF($A186&lt;VLOOKUP(M$5,NFI,5,0),1,0)*Table_NFI[[#This Row],[Winter Blanket]],Table_NFI[[#This Row],[Winter Blanket]])</f>
        <v>0</v>
      </c>
      <c r="AM186" s="264">
        <f>IF(Table_NFI[[#This Row],[Winter Clothes Adult]]+Table_NFI[[#This Row],[Winter Clothes Children]]+Table_NFI[[#This Row],[Winter Items Other]]+Table_NFI[[#This Row],[Winter Blanket]]&gt;0,1,0)</f>
        <v>0</v>
      </c>
      <c r="AN186" s="296">
        <f>IF(NFI_Expiration=1,IF($A186&lt;VLOOKUP(V$5,NFI,5,0),1,0)*Table_NFI[[#This Row],[Jerry Can]],Table_NFI[Jerry Can])</f>
        <v>0</v>
      </c>
      <c r="AO186" s="296">
        <f>IF(NFI_Expiration=1,IF($A186&lt;VLOOKUP(V$5,NFI,5,0),1,0)*Table_NFI[[#This Row],[Shelter Tool kit]],Table_NFI[Shelter Tool kit])</f>
        <v>0</v>
      </c>
      <c r="AP186" s="296">
        <f>IF(NFI_Expiration=1,IF($A186&lt;VLOOKUP(V$5,NFI,5,0),1,0)*Table_NFI[[#This Row],[Tent]],Table_NFI[Tent])</f>
        <v>0</v>
      </c>
      <c r="AQ186" s="396" t="str">
        <f>IFERROR(VLOOKUP(Table_NFI[[#This Row],[Camp Name]],CL,2,0),"")</f>
        <v>MMR001CMP078</v>
      </c>
      <c r="AR186" s="702">
        <f ca="1">IF(Table_NFI[[#This Row],[Pcode]]="","",IF(OFFSET(CampList[Opening Date],MATCH(Table_NFI[[#This Row],[Pcode]],CampList[CP_Pcode],0)-1,0,1,1)&gt;=NFI_Monitor_Date,1,0))</f>
        <v>0</v>
      </c>
      <c r="AS186" s="396" t="str">
        <f>IFERROR(VLOOKUP(Table_NFI[[#This Row],[Camp Name]],CL,3,0),"")</f>
        <v>Open</v>
      </c>
      <c r="AT186" s="264" t="str">
        <f ca="1">IF(Table_NFI[[#This Row],[Pcode]]="","",OFFSET(CampList[Priority],MATCH(Table_NFI[[#This Row],[Pcode]],CampList[CP_Pcode],0)-1,0,1,1))</f>
        <v>P4</v>
      </c>
      <c r="AU186" s="263">
        <f>IFERROR(Table_NFI[[#This Row],[Kitchen Set]]/VLOOKUP(Table_NFI[[#This Row],[Camp Name]],CL,4,0),"")</f>
        <v>0</v>
      </c>
      <c r="AV186" s="390" t="s">
        <v>1087</v>
      </c>
      <c r="AW186" s="403" t="s">
        <v>1325</v>
      </c>
      <c r="AX186" s="402"/>
      <c r="AY186" s="402"/>
      <c r="AZ186" s="402"/>
      <c r="BA186" s="402"/>
      <c r="BB186" s="402"/>
      <c r="BC186" s="402"/>
      <c r="BD186" s="402"/>
      <c r="BE186" s="402"/>
      <c r="BF186" s="402"/>
      <c r="BG186" s="402"/>
      <c r="BH186" s="402"/>
      <c r="BI186" s="402"/>
      <c r="BJ186" s="402"/>
      <c r="BK186" s="402"/>
      <c r="BL186" s="402"/>
      <c r="BM186" s="402"/>
      <c r="BN186" s="402"/>
      <c r="BO186" s="402"/>
      <c r="BP186" s="402"/>
      <c r="BQ186" s="402"/>
      <c r="BR186" s="402"/>
      <c r="BS186" s="402"/>
      <c r="BT186" s="402"/>
      <c r="BU186" s="402"/>
      <c r="BV186" s="402"/>
      <c r="BW186" s="402"/>
      <c r="BX186" s="402"/>
      <c r="BY186" s="402"/>
      <c r="BZ186" s="402"/>
      <c r="CA186" s="402"/>
      <c r="CB186" s="402"/>
      <c r="CC186" s="402"/>
      <c r="CD186" s="402"/>
      <c r="CE186" s="402"/>
      <c r="CF186" s="402"/>
      <c r="CG186" s="402"/>
      <c r="CH186" s="402"/>
      <c r="CI186" s="402"/>
      <c r="CJ186" s="402"/>
      <c r="CK186" s="402"/>
      <c r="CL186" s="402"/>
      <c r="CM186" s="402"/>
      <c r="CN186" s="402"/>
      <c r="CO186" s="402"/>
      <c r="CP186" s="402"/>
      <c r="CQ186" s="402"/>
      <c r="CR186" s="402"/>
      <c r="CS186" s="402"/>
      <c r="CT186" s="402"/>
      <c r="CU186" s="402"/>
      <c r="CV186" s="402"/>
      <c r="CW186" s="402"/>
      <c r="CX186" s="402"/>
      <c r="CY186" s="402"/>
      <c r="CZ186" s="402"/>
      <c r="DA186" s="402"/>
      <c r="DB186" s="402"/>
      <c r="DC186" s="402"/>
      <c r="DD186" s="402"/>
      <c r="DE186" s="402"/>
      <c r="DF186" s="402"/>
      <c r="DG186" s="402"/>
      <c r="DH186" s="402"/>
      <c r="DI186" s="402"/>
      <c r="DJ186" s="402"/>
      <c r="DK186" s="402"/>
      <c r="DL186" s="402"/>
      <c r="DM186" s="402"/>
      <c r="DN186" s="402"/>
      <c r="DO186" s="402"/>
      <c r="DP186" s="402"/>
      <c r="DQ186" s="402"/>
    </row>
    <row r="187" spans="1:121" s="759" customFormat="1" ht="15" customHeight="1" x14ac:dyDescent="0.25">
      <c r="A187" s="266">
        <f t="shared" si="2"/>
        <v>20.966666666666665</v>
      </c>
      <c r="B187" s="389">
        <v>42227</v>
      </c>
      <c r="C187" s="394" t="s">
        <v>451</v>
      </c>
      <c r="D187" s="394" t="s">
        <v>504</v>
      </c>
      <c r="E187" s="394" t="s">
        <v>380</v>
      </c>
      <c r="F187" s="394" t="s">
        <v>237</v>
      </c>
      <c r="G187" s="394" t="s">
        <v>249</v>
      </c>
      <c r="H187" s="261"/>
      <c r="I187" s="261"/>
      <c r="J187" s="261"/>
      <c r="K187" s="261">
        <v>6</v>
      </c>
      <c r="L187" s="261">
        <v>4</v>
      </c>
      <c r="M187" s="261">
        <v>6</v>
      </c>
      <c r="N187" s="261">
        <v>4</v>
      </c>
      <c r="O187" s="261"/>
      <c r="P187" s="261">
        <v>4</v>
      </c>
      <c r="Q187" s="261">
        <v>10</v>
      </c>
      <c r="R187" s="261"/>
      <c r="S187" s="261"/>
      <c r="T187" s="261"/>
      <c r="U187" s="261"/>
      <c r="V187" s="762">
        <v>4</v>
      </c>
      <c r="W187" s="762"/>
      <c r="X187" s="762"/>
      <c r="Y187" s="264">
        <f>IF(NFI_Expiration=1,IF($A187&lt;VLOOKUP(H$5,NFI,5,0),1,0)*Table_NFI[[#This Row],[Hygiene Kit]],Table_NFI[Hygiene Kit])</f>
        <v>0</v>
      </c>
      <c r="Z187" s="264">
        <f>IF(NFI_Expiration=1,IF($A187&lt;VLOOKUP(I$5,NFI,5,0),1,0)*Table_NFI[[#This Row],[NFI Core Kit]],Table_NFI[NFI Core Kit])</f>
        <v>0</v>
      </c>
      <c r="AA187" s="264">
        <f>IF(NFI_Expiration=1,IF($A187&lt;VLOOKUP(J$5,NFI,5,0),1,0)*Table_NFI[[#This Row],[Sanitary Kit]],Table_NFI[Sanitary Kit])</f>
        <v>0</v>
      </c>
      <c r="AB187" s="264">
        <f>IF(NFI_Expiration=1,IF($A187&lt;VLOOKUP(K$5,NFI,5,0),1,0)*Table_NFI[[#This Row],[Mosquito net]],Table_NFI[Mosquito net])</f>
        <v>0</v>
      </c>
      <c r="AC187" s="264">
        <f>IF(NFI_Expiration=1,IF($A187&lt;VLOOKUP(L$5,NFI,5,0),1,0)*Table_NFI[[#This Row],[Tarpaulin]],Table_NFI[[#This Row],[Tarpaulin]])</f>
        <v>0</v>
      </c>
      <c r="AD187" s="264">
        <f>IF(NFI_Expiration=1,IF($A187&lt;VLOOKUP(M$5,NFI,5,0),1,0)*Table_NFI[[#This Row],[Blanket]],Table_NFI[[#This Row],[Blanket]])</f>
        <v>0</v>
      </c>
      <c r="AE187" s="264">
        <f>IF(NFI_Expiration=1,IF($A187&lt;VLOOKUP(N$5,NFI,5,0),1,0)*Table_NFI[[#This Row],[Kitchen Set]],Table_NFI[Kitchen Set])</f>
        <v>0</v>
      </c>
      <c r="AF187" s="264">
        <f>IF(NFI_Expiration=1,IF($A187&lt;VLOOKUP(O$5,NFI,5,0),1,0)*Table_NFI[[#This Row],[Clothes Kit]],Table_NFI[Clothes Kit])</f>
        <v>0</v>
      </c>
      <c r="AG187" s="264">
        <f>IF(NFI_Expiration=1,IF($A187&lt;VLOOKUP(P$5,NFI,5,0),1,0)*Table_NFI[[#This Row],[Plastic Bucket]],Table_NFI[Plastic Bucket])</f>
        <v>0</v>
      </c>
      <c r="AH187" s="264">
        <f>IF(NFI_Expiration=1,IF($A187&lt;VLOOKUP(Q$5,NFI,5,0),1,0)*Table_NFI[[#This Row],[Plastic Mat]],Table_NFI[Plastic Mat])*IF(Table_NFI[[#This Row],[Distribution Date]]&gt;"2014-04-01",1,2.5)</f>
        <v>0</v>
      </c>
      <c r="AI187" s="264">
        <f>IF(NFI_Expiration=1,IF($A187&lt;VLOOKUP(R$5,NFI,5,0),1,0)*Table_NFI[[#This Row],[Winter Clothes Adult]],Table_NFI[Winter Clothes Adult])</f>
        <v>0</v>
      </c>
      <c r="AJ187" s="264">
        <f>IF(NFI_Expiration=1,IF($A187&lt;VLOOKUP(S$5,NFI,5,0),1,0)*Table_NFI[[#This Row],[Winter Clothes Children]],Table_NFI[Winter Clothes Children])</f>
        <v>0</v>
      </c>
      <c r="AK187" s="264">
        <f>IF(NFI_Expiration=1,IF($A187&lt;VLOOKUP(T$5,NFI,5,0),1,0)*Table_NFI[[#This Row],[Winter Items Other]],Table_NFI[Winter Items Other])</f>
        <v>0</v>
      </c>
      <c r="AL187" s="264">
        <f>IF(NFI_Expiration=1,IF($A187&lt;VLOOKUP(M$5,NFI,5,0),1,0)*Table_NFI[[#This Row],[Winter Blanket]],Table_NFI[[#This Row],[Winter Blanket]])</f>
        <v>0</v>
      </c>
      <c r="AM187" s="264">
        <f>IF(Table_NFI[[#This Row],[Winter Clothes Adult]]+Table_NFI[[#This Row],[Winter Clothes Children]]+Table_NFI[[#This Row],[Winter Items Other]]+Table_NFI[[#This Row],[Winter Blanket]]&gt;0,1,0)</f>
        <v>0</v>
      </c>
      <c r="AN187" s="296">
        <f>IF(NFI_Expiration=1,IF($A187&lt;VLOOKUP(V$5,NFI,5,0),1,0)*Table_NFI[[#This Row],[Jerry Can]],Table_NFI[Jerry Can])</f>
        <v>0</v>
      </c>
      <c r="AO187" s="296">
        <f>IF(NFI_Expiration=1,IF($A187&lt;VLOOKUP(V$5,NFI,5,0),1,0)*Table_NFI[[#This Row],[Shelter Tool kit]],Table_NFI[Shelter Tool kit])</f>
        <v>0</v>
      </c>
      <c r="AP187" s="296">
        <f>IF(NFI_Expiration=1,IF($A187&lt;VLOOKUP(V$5,NFI,5,0),1,0)*Table_NFI[[#This Row],[Tent]],Table_NFI[Tent])</f>
        <v>0</v>
      </c>
      <c r="AQ187" s="396" t="str">
        <f>IFERROR(VLOOKUP(Table_NFI[[#This Row],[Camp Name]],CL,2,0),"")</f>
        <v>MMR001CMP004</v>
      </c>
      <c r="AR187" s="702">
        <f ca="1">IF(Table_NFI[[#This Row],[Pcode]]="","",IF(OFFSET(CampList[Opening Date],MATCH(Table_NFI[[#This Row],[Pcode]],CampList[CP_Pcode],0)-1,0,1,1)&gt;=NFI_Monitor_Date,1,0))</f>
        <v>0</v>
      </c>
      <c r="AS187" s="396" t="str">
        <f>IFERROR(VLOOKUP(Table_NFI[[#This Row],[Camp Name]],CL,3,0),"")</f>
        <v>Open</v>
      </c>
      <c r="AT187" s="264" t="str">
        <f ca="1">IF(Table_NFI[[#This Row],[Pcode]]="","",OFFSET(CampList[Priority],MATCH(Table_NFI[[#This Row],[Pcode]],CampList[CP_Pcode],0)-1,0,1,1))</f>
        <v>P4</v>
      </c>
      <c r="AU187" s="263">
        <f>IFERROR(Table_NFI[[#This Row],[Kitchen Set]]/VLOOKUP(Table_NFI[[#This Row],[Camp Name]],CL,4,0),"")</f>
        <v>9.814505839630975E-5</v>
      </c>
      <c r="AV187" s="390" t="s">
        <v>1087</v>
      </c>
      <c r="AW187" s="397"/>
      <c r="AX187" s="402"/>
      <c r="AY187" s="402"/>
      <c r="AZ187" s="402"/>
      <c r="BA187" s="402"/>
      <c r="BB187" s="402"/>
      <c r="BC187" s="402"/>
      <c r="BD187" s="402"/>
      <c r="BE187" s="402"/>
      <c r="BF187" s="402"/>
      <c r="BG187" s="402"/>
      <c r="BH187" s="402"/>
      <c r="BI187" s="402"/>
      <c r="BJ187" s="402"/>
      <c r="BK187" s="402"/>
      <c r="BL187" s="402"/>
      <c r="BM187" s="402"/>
      <c r="BN187" s="402"/>
      <c r="BO187" s="402"/>
      <c r="BP187" s="402"/>
      <c r="BQ187" s="402"/>
      <c r="BR187" s="402"/>
      <c r="BS187" s="402"/>
      <c r="BT187" s="402"/>
      <c r="BU187" s="402"/>
      <c r="BV187" s="402"/>
      <c r="BW187" s="402"/>
      <c r="BX187" s="402"/>
      <c r="BY187" s="402"/>
      <c r="BZ187" s="402"/>
      <c r="CA187" s="402"/>
      <c r="CB187" s="402"/>
      <c r="CC187" s="402"/>
      <c r="CD187" s="402"/>
      <c r="CE187" s="402"/>
      <c r="CF187" s="402"/>
      <c r="CG187" s="402"/>
      <c r="CH187" s="402"/>
      <c r="CI187" s="402"/>
      <c r="CJ187" s="402"/>
      <c r="CK187" s="402"/>
      <c r="CL187" s="402"/>
      <c r="CM187" s="402"/>
      <c r="CN187" s="402"/>
      <c r="CO187" s="402"/>
      <c r="CP187" s="402"/>
      <c r="CQ187" s="402"/>
      <c r="CR187" s="402"/>
      <c r="CS187" s="402"/>
      <c r="CT187" s="402"/>
      <c r="CU187" s="402"/>
      <c r="CV187" s="402"/>
      <c r="CW187" s="402"/>
      <c r="CX187" s="402"/>
      <c r="CY187" s="402"/>
      <c r="CZ187" s="402"/>
      <c r="DA187" s="402"/>
      <c r="DB187" s="402"/>
      <c r="DC187" s="402"/>
      <c r="DD187" s="402"/>
      <c r="DE187" s="402"/>
      <c r="DF187" s="402"/>
      <c r="DG187" s="402"/>
      <c r="DH187" s="402"/>
      <c r="DI187" s="402"/>
      <c r="DJ187" s="402"/>
      <c r="DK187" s="402"/>
      <c r="DL187" s="402"/>
      <c r="DM187" s="402"/>
      <c r="DN187" s="402"/>
      <c r="DO187" s="402"/>
      <c r="DP187" s="402"/>
      <c r="DQ187" s="402"/>
    </row>
    <row r="188" spans="1:121" s="759" customFormat="1" ht="15" customHeight="1" x14ac:dyDescent="0.25">
      <c r="A188" s="266">
        <f t="shared" si="2"/>
        <v>21.666666666666668</v>
      </c>
      <c r="B188" s="389">
        <v>42206</v>
      </c>
      <c r="C188" s="394" t="s">
        <v>451</v>
      </c>
      <c r="D188" s="394" t="s">
        <v>459</v>
      </c>
      <c r="E188" s="394" t="s">
        <v>380</v>
      </c>
      <c r="F188" s="394" t="s">
        <v>807</v>
      </c>
      <c r="G188" s="394" t="s">
        <v>807</v>
      </c>
      <c r="H188" s="261"/>
      <c r="I188" s="261"/>
      <c r="J188" s="261"/>
      <c r="K188" s="261"/>
      <c r="L188" s="261">
        <v>250</v>
      </c>
      <c r="M188" s="261"/>
      <c r="N188" s="261"/>
      <c r="O188" s="261"/>
      <c r="P188" s="261"/>
      <c r="Q188" s="261"/>
      <c r="R188" s="261"/>
      <c r="S188" s="261"/>
      <c r="T188" s="261"/>
      <c r="U188" s="261"/>
      <c r="V188" s="762"/>
      <c r="W188" s="762"/>
      <c r="X188" s="762"/>
      <c r="Y188" s="264">
        <f>IF(NFI_Expiration=1,IF($A188&lt;VLOOKUP(H$5,NFI,5,0),1,0)*Table_NFI[[#This Row],[Hygiene Kit]],Table_NFI[Hygiene Kit])</f>
        <v>0</v>
      </c>
      <c r="Z188" s="264">
        <f>IF(NFI_Expiration=1,IF($A188&lt;VLOOKUP(I$5,NFI,5,0),1,0)*Table_NFI[[#This Row],[NFI Core Kit]],Table_NFI[NFI Core Kit])</f>
        <v>0</v>
      </c>
      <c r="AA188" s="264">
        <f>IF(NFI_Expiration=1,IF($A188&lt;VLOOKUP(J$5,NFI,5,0),1,0)*Table_NFI[[#This Row],[Sanitary Kit]],Table_NFI[Sanitary Kit])</f>
        <v>0</v>
      </c>
      <c r="AB188" s="264">
        <f>IF(NFI_Expiration=1,IF($A188&lt;VLOOKUP(K$5,NFI,5,0),1,0)*Table_NFI[[#This Row],[Mosquito net]],Table_NFI[Mosquito net])</f>
        <v>0</v>
      </c>
      <c r="AC188" s="264">
        <f>IF(NFI_Expiration=1,IF($A188&lt;VLOOKUP(L$5,NFI,5,0),1,0)*Table_NFI[[#This Row],[Tarpaulin]],Table_NFI[[#This Row],[Tarpaulin]])</f>
        <v>0</v>
      </c>
      <c r="AD188" s="264">
        <f>IF(NFI_Expiration=1,IF($A188&lt;VLOOKUP(M$5,NFI,5,0),1,0)*Table_NFI[[#This Row],[Blanket]],Table_NFI[[#This Row],[Blanket]])</f>
        <v>0</v>
      </c>
      <c r="AE188" s="264">
        <f>IF(NFI_Expiration=1,IF($A188&lt;VLOOKUP(N$5,NFI,5,0),1,0)*Table_NFI[[#This Row],[Kitchen Set]],Table_NFI[Kitchen Set])</f>
        <v>0</v>
      </c>
      <c r="AF188" s="264">
        <f>IF(NFI_Expiration=1,IF($A188&lt;VLOOKUP(O$5,NFI,5,0),1,0)*Table_NFI[[#This Row],[Clothes Kit]],Table_NFI[Clothes Kit])</f>
        <v>0</v>
      </c>
      <c r="AG188" s="264">
        <f>IF(NFI_Expiration=1,IF($A188&lt;VLOOKUP(P$5,NFI,5,0),1,0)*Table_NFI[[#This Row],[Plastic Bucket]],Table_NFI[Plastic Bucket])</f>
        <v>0</v>
      </c>
      <c r="AH188" s="264">
        <f>IF(NFI_Expiration=1,IF($A188&lt;VLOOKUP(Q$5,NFI,5,0),1,0)*Table_NFI[[#This Row],[Plastic Mat]],Table_NFI[Plastic Mat])*IF(Table_NFI[[#This Row],[Distribution Date]]&gt;"2014-04-01",1,2.5)</f>
        <v>0</v>
      </c>
      <c r="AI188" s="264">
        <f>IF(NFI_Expiration=1,IF($A188&lt;VLOOKUP(R$5,NFI,5,0),1,0)*Table_NFI[[#This Row],[Winter Clothes Adult]],Table_NFI[Winter Clothes Adult])</f>
        <v>0</v>
      </c>
      <c r="AJ188" s="264">
        <f>IF(NFI_Expiration=1,IF($A188&lt;VLOOKUP(S$5,NFI,5,0),1,0)*Table_NFI[[#This Row],[Winter Clothes Children]],Table_NFI[Winter Clothes Children])</f>
        <v>0</v>
      </c>
      <c r="AK188" s="264">
        <f>IF(NFI_Expiration=1,IF($A188&lt;VLOOKUP(T$5,NFI,5,0),1,0)*Table_NFI[[#This Row],[Winter Items Other]],Table_NFI[Winter Items Other])</f>
        <v>0</v>
      </c>
      <c r="AL188" s="264">
        <f>IF(NFI_Expiration=1,IF($A188&lt;VLOOKUP(M$5,NFI,5,0),1,0)*Table_NFI[[#This Row],[Winter Blanket]],Table_NFI[[#This Row],[Winter Blanket]])</f>
        <v>0</v>
      </c>
      <c r="AM188" s="264">
        <f>IF(Table_NFI[[#This Row],[Winter Clothes Adult]]+Table_NFI[[#This Row],[Winter Clothes Children]]+Table_NFI[[#This Row],[Winter Items Other]]+Table_NFI[[#This Row],[Winter Blanket]]&gt;0,1,0)</f>
        <v>0</v>
      </c>
      <c r="AN188" s="296">
        <f>IF(NFI_Expiration=1,IF($A188&lt;VLOOKUP(V$5,NFI,5,0),1,0)*Table_NFI[[#This Row],[Jerry Can]],Table_NFI[Jerry Can])</f>
        <v>0</v>
      </c>
      <c r="AO188" s="296">
        <f>IF(NFI_Expiration=1,IF($A188&lt;VLOOKUP(V$5,NFI,5,0),1,0)*Table_NFI[[#This Row],[Shelter Tool kit]],Table_NFI[Shelter Tool kit])</f>
        <v>0</v>
      </c>
      <c r="AP188" s="296">
        <f>IF(NFI_Expiration=1,IF($A188&lt;VLOOKUP(V$5,NFI,5,0),1,0)*Table_NFI[[#This Row],[Tent]],Table_NFI[Tent])</f>
        <v>0</v>
      </c>
      <c r="AQ188" s="396" t="str">
        <f>IFERROR(VLOOKUP(Table_NFI[[#This Row],[Camp Name]],CL,2,0),"")</f>
        <v>MMR001CMP206</v>
      </c>
      <c r="AR188" s="702">
        <f ca="1">IF(Table_NFI[[#This Row],[Pcode]]="","",IF(OFFSET(CampList[Opening Date],MATCH(Table_NFI[[#This Row],[Pcode]],CampList[CP_Pcode],0)-1,0,1,1)&gt;=NFI_Monitor_Date,1,0))</f>
        <v>0</v>
      </c>
      <c r="AS188" s="396" t="str">
        <f>IFERROR(VLOOKUP(Table_NFI[[#This Row],[Camp Name]],CL,3,0),"")</f>
        <v>Open</v>
      </c>
      <c r="AT188" s="264" t="str">
        <f ca="1">IF(Table_NFI[[#This Row],[Pcode]]="","",OFFSET(CampList[Priority],MATCH(Table_NFI[[#This Row],[Pcode]],CampList[CP_Pcode],0)-1,0,1,1))</f>
        <v>P4</v>
      </c>
      <c r="AU188" s="263" t="str">
        <f>IFERROR(Table_NFI[[#This Row],[Kitchen Set]]/VLOOKUP(Table_NFI[[#This Row],[Camp Name]],CL,4,0),"")</f>
        <v/>
      </c>
      <c r="AV188" s="390" t="s">
        <v>1087</v>
      </c>
      <c r="AW188" s="397" t="s">
        <v>1305</v>
      </c>
      <c r="AX188" s="402"/>
      <c r="AY188" s="402"/>
      <c r="AZ188" s="402"/>
      <c r="BA188" s="402"/>
      <c r="BB188" s="402"/>
      <c r="BC188" s="402"/>
      <c r="BD188" s="402"/>
      <c r="BE188" s="402"/>
      <c r="BF188" s="402"/>
      <c r="BG188" s="402"/>
      <c r="BH188" s="402"/>
      <c r="BI188" s="402"/>
      <c r="BJ188" s="402"/>
      <c r="BK188" s="402"/>
      <c r="BL188" s="402"/>
      <c r="BM188" s="402"/>
      <c r="BN188" s="402"/>
      <c r="BO188" s="402"/>
      <c r="BP188" s="402"/>
      <c r="BQ188" s="402"/>
      <c r="BR188" s="402"/>
      <c r="BS188" s="402"/>
      <c r="BT188" s="402"/>
      <c r="BU188" s="402"/>
      <c r="BV188" s="402"/>
      <c r="BW188" s="402"/>
      <c r="BX188" s="402"/>
      <c r="BY188" s="402"/>
      <c r="BZ188" s="402"/>
      <c r="CA188" s="402"/>
      <c r="CB188" s="402"/>
      <c r="CC188" s="402"/>
      <c r="CD188" s="402"/>
      <c r="CE188" s="402"/>
      <c r="CF188" s="402"/>
      <c r="CG188" s="402"/>
      <c r="CH188" s="402"/>
      <c r="CI188" s="402"/>
      <c r="CJ188" s="402"/>
      <c r="CK188" s="402"/>
      <c r="CL188" s="402"/>
      <c r="CM188" s="402"/>
      <c r="CN188" s="402"/>
      <c r="CO188" s="402"/>
      <c r="CP188" s="402"/>
      <c r="CQ188" s="402"/>
      <c r="CR188" s="402"/>
      <c r="CS188" s="402"/>
      <c r="CT188" s="402"/>
      <c r="CU188" s="402"/>
      <c r="CV188" s="402"/>
      <c r="CW188" s="402"/>
      <c r="CX188" s="402"/>
      <c r="CY188" s="402"/>
      <c r="CZ188" s="402"/>
      <c r="DA188" s="402"/>
      <c r="DB188" s="402"/>
      <c r="DC188" s="402"/>
      <c r="DD188" s="402"/>
      <c r="DE188" s="402"/>
      <c r="DF188" s="402"/>
      <c r="DG188" s="402"/>
      <c r="DH188" s="402"/>
      <c r="DI188" s="402"/>
      <c r="DJ188" s="402"/>
      <c r="DK188" s="402"/>
      <c r="DL188" s="402"/>
      <c r="DM188" s="402"/>
      <c r="DN188" s="402"/>
      <c r="DO188" s="402"/>
      <c r="DP188" s="402"/>
      <c r="DQ188" s="402"/>
    </row>
    <row r="189" spans="1:121" s="759" customFormat="1" ht="14.45" customHeight="1" x14ac:dyDescent="0.25">
      <c r="A189" s="266">
        <f t="shared" si="2"/>
        <v>22.366666666666667</v>
      </c>
      <c r="B189" s="389">
        <v>42185</v>
      </c>
      <c r="C189" s="390" t="s">
        <v>904</v>
      </c>
      <c r="D189" s="390" t="s">
        <v>904</v>
      </c>
      <c r="E189" s="390" t="s">
        <v>380</v>
      </c>
      <c r="F189" s="262" t="s">
        <v>5</v>
      </c>
      <c r="G189" s="262" t="s">
        <v>6</v>
      </c>
      <c r="H189" s="261"/>
      <c r="I189" s="261"/>
      <c r="J189" s="261"/>
      <c r="K189" s="261"/>
      <c r="L189" s="261"/>
      <c r="M189" s="261"/>
      <c r="N189" s="261"/>
      <c r="O189" s="261"/>
      <c r="P189" s="261"/>
      <c r="Q189" s="261"/>
      <c r="R189" s="261"/>
      <c r="S189" s="261"/>
      <c r="T189" s="261"/>
      <c r="U189" s="261"/>
      <c r="V189" s="762">
        <v>3</v>
      </c>
      <c r="W189" s="261"/>
      <c r="X189" s="261"/>
      <c r="Y189" s="264">
        <f>IF(NFI_Expiration=1,IF($A189&lt;VLOOKUP(H$5,NFI,5,0),1,0)*Table_NFI[[#This Row],[Hygiene Kit]],Table_NFI[Hygiene Kit])</f>
        <v>0</v>
      </c>
      <c r="Z189" s="264">
        <f>IF(NFI_Expiration=1,IF($A189&lt;VLOOKUP(I$5,NFI,5,0),1,0)*Table_NFI[[#This Row],[NFI Core Kit]],Table_NFI[NFI Core Kit])</f>
        <v>0</v>
      </c>
      <c r="AA189" s="264">
        <f>IF(NFI_Expiration=1,IF($A189&lt;VLOOKUP(J$5,NFI,5,0),1,0)*Table_NFI[[#This Row],[Sanitary Kit]],Table_NFI[Sanitary Kit])</f>
        <v>0</v>
      </c>
      <c r="AB189" s="264">
        <f>IF(NFI_Expiration=1,IF($A189&lt;VLOOKUP(K$5,NFI,5,0),1,0)*Table_NFI[[#This Row],[Mosquito net]],Table_NFI[Mosquito net])</f>
        <v>0</v>
      </c>
      <c r="AC189" s="264">
        <f>IF(NFI_Expiration=1,IF($A189&lt;VLOOKUP(L$5,NFI,5,0),1,0)*Table_NFI[[#This Row],[Tarpaulin]],Table_NFI[[#This Row],[Tarpaulin]])</f>
        <v>0</v>
      </c>
      <c r="AD189" s="264">
        <f>IF(NFI_Expiration=1,IF($A189&lt;VLOOKUP(M$5,NFI,5,0),1,0)*Table_NFI[[#This Row],[Blanket]],Table_NFI[[#This Row],[Blanket]])</f>
        <v>0</v>
      </c>
      <c r="AE189" s="264">
        <f>IF(NFI_Expiration=1,IF($A189&lt;VLOOKUP(N$5,NFI,5,0),1,0)*Table_NFI[[#This Row],[Kitchen Set]],Table_NFI[Kitchen Set])</f>
        <v>0</v>
      </c>
      <c r="AF189" s="264">
        <f>IF(NFI_Expiration=1,IF($A189&lt;VLOOKUP(O$5,NFI,5,0),1,0)*Table_NFI[[#This Row],[Clothes Kit]],Table_NFI[Clothes Kit])</f>
        <v>0</v>
      </c>
      <c r="AG189" s="264">
        <f>IF(NFI_Expiration=1,IF($A189&lt;VLOOKUP(P$5,NFI,5,0),1,0)*Table_NFI[[#This Row],[Plastic Bucket]],Table_NFI[Plastic Bucket])</f>
        <v>0</v>
      </c>
      <c r="AH189" s="264">
        <f>IF(NFI_Expiration=1,IF($A189&lt;VLOOKUP(Q$5,NFI,5,0),1,0)*Table_NFI[[#This Row],[Plastic Mat]],Table_NFI[Plastic Mat])*IF(Table_NFI[[#This Row],[Distribution Date]]&gt;"2014-04-01",1,2.5)</f>
        <v>0</v>
      </c>
      <c r="AI189" s="264">
        <f>IF(NFI_Expiration=1,IF($A189&lt;VLOOKUP(R$5,NFI,5,0),1,0)*Table_NFI[[#This Row],[Winter Clothes Adult]],Table_NFI[Winter Clothes Adult])</f>
        <v>0</v>
      </c>
      <c r="AJ189" s="264">
        <f>IF(NFI_Expiration=1,IF($A189&lt;VLOOKUP(S$5,NFI,5,0),1,0)*Table_NFI[[#This Row],[Winter Clothes Children]],Table_NFI[Winter Clothes Children])</f>
        <v>0</v>
      </c>
      <c r="AK189" s="264">
        <f>IF(NFI_Expiration=1,IF($A189&lt;VLOOKUP(T$5,NFI,5,0),1,0)*Table_NFI[[#This Row],[Winter Items Other]],Table_NFI[Winter Items Other])</f>
        <v>0</v>
      </c>
      <c r="AL189" s="264">
        <f>IF(NFI_Expiration=1,IF($A189&lt;VLOOKUP(M$5,NFI,5,0),1,0)*Table_NFI[[#This Row],[Winter Blanket]],Table_NFI[[#This Row],[Winter Blanket]])</f>
        <v>0</v>
      </c>
      <c r="AM189" s="264">
        <f>IF(Table_NFI[[#This Row],[Winter Clothes Adult]]+Table_NFI[[#This Row],[Winter Clothes Children]]+Table_NFI[[#This Row],[Winter Items Other]]+Table_NFI[[#This Row],[Winter Blanket]]&gt;0,1,0)</f>
        <v>0</v>
      </c>
      <c r="AN189" s="296">
        <f>IF(NFI_Expiration=1,IF($A189&lt;VLOOKUP(V$5,NFI,5,0),1,0)*Table_NFI[[#This Row],[Jerry Can]],Table_NFI[Jerry Can])</f>
        <v>0</v>
      </c>
      <c r="AO189" s="296">
        <f>IF(NFI_Expiration=1,IF($A189&lt;VLOOKUP(V$5,NFI,5,0),1,0)*Table_NFI[[#This Row],[Shelter Tool kit]],Table_NFI[Shelter Tool kit])</f>
        <v>0</v>
      </c>
      <c r="AP189" s="296">
        <f>IF(NFI_Expiration=1,IF($A189&lt;VLOOKUP(V$5,NFI,5,0),1,0)*Table_NFI[[#This Row],[Tent]],Table_NFI[Tent])</f>
        <v>0</v>
      </c>
      <c r="AQ189" s="396" t="str">
        <f>IFERROR(VLOOKUP(Table_NFI[[#This Row],[Camp Name]],CL,2,0),"")</f>
        <v>MMR001CMP050</v>
      </c>
      <c r="AR189" s="702">
        <f ca="1">IF(Table_NFI[[#This Row],[Pcode]]="","",IF(OFFSET(CampList[Opening Date],MATCH(Table_NFI[[#This Row],[Pcode]],CampList[CP_Pcode],0)-1,0,1,1)&gt;=NFI_Monitor_Date,1,0))</f>
        <v>0</v>
      </c>
      <c r="AS189" s="396" t="str">
        <f>IFERROR(VLOOKUP(Table_NFI[[#This Row],[Camp Name]],CL,3,0),"")</f>
        <v>Open</v>
      </c>
      <c r="AT189" s="264" t="str">
        <f ca="1">IF(Table_NFI[[#This Row],[Pcode]]="","",OFFSET(CampList[Priority],MATCH(Table_NFI[[#This Row],[Pcode]],CampList[CP_Pcode],0)-1,0,1,1))</f>
        <v>P4</v>
      </c>
      <c r="AU189" s="263">
        <f>IFERROR(Table_NFI[[#This Row],[Kitchen Set]]/VLOOKUP(Table_NFI[[#This Row],[Camp Name]],CL,4,0),"")</f>
        <v>0</v>
      </c>
      <c r="AV189" s="390"/>
      <c r="AW189" s="392"/>
      <c r="AX189" s="402"/>
      <c r="AY189" s="402"/>
      <c r="AZ189" s="402"/>
      <c r="BA189" s="402"/>
      <c r="BB189" s="402"/>
      <c r="BC189" s="402"/>
      <c r="BD189" s="402"/>
      <c r="BE189" s="402"/>
      <c r="BF189" s="402"/>
      <c r="BG189" s="402"/>
      <c r="BH189" s="402"/>
      <c r="BI189" s="402"/>
      <c r="BJ189" s="402"/>
      <c r="BK189" s="402"/>
      <c r="BL189" s="402"/>
      <c r="BM189" s="402"/>
      <c r="BN189" s="402"/>
      <c r="BO189" s="402"/>
      <c r="BP189" s="402"/>
      <c r="BQ189" s="402"/>
      <c r="BR189" s="402"/>
      <c r="BS189" s="402"/>
      <c r="BT189" s="402"/>
      <c r="BU189" s="402"/>
      <c r="BV189" s="402"/>
      <c r="BW189" s="402"/>
      <c r="BX189" s="402"/>
      <c r="BY189" s="402"/>
      <c r="BZ189" s="402"/>
      <c r="CA189" s="402"/>
      <c r="CB189" s="402"/>
      <c r="CC189" s="402"/>
      <c r="CD189" s="402"/>
      <c r="CE189" s="402"/>
      <c r="CF189" s="402"/>
      <c r="CG189" s="402"/>
      <c r="CH189" s="402"/>
      <c r="CI189" s="402"/>
      <c r="CJ189" s="402"/>
      <c r="CK189" s="402"/>
      <c r="CL189" s="402"/>
      <c r="CM189" s="402"/>
      <c r="CN189" s="402"/>
      <c r="CO189" s="402"/>
      <c r="CP189" s="402"/>
      <c r="CQ189" s="402"/>
      <c r="CR189" s="402"/>
      <c r="CS189" s="402"/>
      <c r="CT189" s="402"/>
      <c r="CU189" s="402"/>
      <c r="CV189" s="402"/>
      <c r="CW189" s="402"/>
      <c r="CX189" s="402"/>
      <c r="CY189" s="402"/>
      <c r="CZ189" s="402"/>
      <c r="DA189" s="402"/>
      <c r="DB189" s="402"/>
      <c r="DC189" s="402"/>
      <c r="DD189" s="402"/>
      <c r="DE189" s="402"/>
      <c r="DF189" s="402"/>
      <c r="DG189" s="402"/>
      <c r="DH189" s="402"/>
      <c r="DI189" s="402"/>
      <c r="DJ189" s="402"/>
      <c r="DK189" s="402"/>
      <c r="DL189" s="402"/>
      <c r="DM189" s="402"/>
      <c r="DN189" s="402"/>
      <c r="DO189" s="402"/>
      <c r="DP189" s="402"/>
      <c r="DQ189" s="402"/>
    </row>
    <row r="190" spans="1:121" s="94" customFormat="1" ht="14.45" customHeight="1" x14ac:dyDescent="0.2">
      <c r="A190" s="266">
        <f t="shared" si="2"/>
        <v>22.366666666666667</v>
      </c>
      <c r="B190" s="389">
        <v>42185</v>
      </c>
      <c r="C190" s="390" t="s">
        <v>904</v>
      </c>
      <c r="D190" s="390" t="s">
        <v>904</v>
      </c>
      <c r="E190" s="390" t="s">
        <v>380</v>
      </c>
      <c r="F190" s="390" t="s">
        <v>5</v>
      </c>
      <c r="G190" s="390" t="s">
        <v>366</v>
      </c>
      <c r="H190" s="261"/>
      <c r="I190" s="261"/>
      <c r="J190" s="261"/>
      <c r="K190" s="261"/>
      <c r="L190" s="261"/>
      <c r="M190" s="261"/>
      <c r="N190" s="261"/>
      <c r="O190" s="261"/>
      <c r="P190" s="261"/>
      <c r="Q190" s="261"/>
      <c r="R190" s="261"/>
      <c r="S190" s="261"/>
      <c r="T190" s="261"/>
      <c r="U190" s="261"/>
      <c r="V190" s="766">
        <v>5</v>
      </c>
      <c r="W190" s="261"/>
      <c r="X190" s="261"/>
      <c r="Y190" s="264">
        <f>IF(NFI_Expiration=1,IF($A190&lt;VLOOKUP(H$5,NFI,5,0),1,0)*Table_NFI[[#This Row],[Hygiene Kit]],Table_NFI[Hygiene Kit])</f>
        <v>0</v>
      </c>
      <c r="Z190" s="264">
        <f>IF(NFI_Expiration=1,IF($A190&lt;VLOOKUP(I$5,NFI,5,0),1,0)*Table_NFI[[#This Row],[NFI Core Kit]],Table_NFI[NFI Core Kit])</f>
        <v>0</v>
      </c>
      <c r="AA190" s="264">
        <f>IF(NFI_Expiration=1,IF($A190&lt;VLOOKUP(J$5,NFI,5,0),1,0)*Table_NFI[[#This Row],[Sanitary Kit]],Table_NFI[Sanitary Kit])</f>
        <v>0</v>
      </c>
      <c r="AB190" s="264">
        <f>IF(NFI_Expiration=1,IF($A190&lt;VLOOKUP(K$5,NFI,5,0),1,0)*Table_NFI[[#This Row],[Mosquito net]],Table_NFI[Mosquito net])</f>
        <v>0</v>
      </c>
      <c r="AC190" s="264">
        <f>IF(NFI_Expiration=1,IF($A190&lt;VLOOKUP(L$5,NFI,5,0),1,0)*Table_NFI[[#This Row],[Tarpaulin]],Table_NFI[[#This Row],[Tarpaulin]])</f>
        <v>0</v>
      </c>
      <c r="AD190" s="264">
        <f>IF(NFI_Expiration=1,IF($A190&lt;VLOOKUP(M$5,NFI,5,0),1,0)*Table_NFI[[#This Row],[Blanket]],Table_NFI[[#This Row],[Blanket]])</f>
        <v>0</v>
      </c>
      <c r="AE190" s="264">
        <f>IF(NFI_Expiration=1,IF($A190&lt;VLOOKUP(N$5,NFI,5,0),1,0)*Table_NFI[[#This Row],[Kitchen Set]],Table_NFI[Kitchen Set])</f>
        <v>0</v>
      </c>
      <c r="AF190" s="264">
        <f>IF(NFI_Expiration=1,IF($A190&lt;VLOOKUP(O$5,NFI,5,0),1,0)*Table_NFI[[#This Row],[Clothes Kit]],Table_NFI[Clothes Kit])</f>
        <v>0</v>
      </c>
      <c r="AG190" s="264">
        <f>IF(NFI_Expiration=1,IF($A190&lt;VLOOKUP(P$5,NFI,5,0),1,0)*Table_NFI[[#This Row],[Plastic Bucket]],Table_NFI[Plastic Bucket])</f>
        <v>0</v>
      </c>
      <c r="AH190" s="264">
        <f>IF(NFI_Expiration=1,IF($A190&lt;VLOOKUP(Q$5,NFI,5,0),1,0)*Table_NFI[[#This Row],[Plastic Mat]],Table_NFI[Plastic Mat])*IF(Table_NFI[[#This Row],[Distribution Date]]&gt;"2014-04-01",1,2.5)</f>
        <v>0</v>
      </c>
      <c r="AI190" s="264">
        <f>IF(NFI_Expiration=1,IF($A190&lt;VLOOKUP(R$5,NFI,5,0),1,0)*Table_NFI[[#This Row],[Winter Clothes Adult]],Table_NFI[Winter Clothes Adult])</f>
        <v>0</v>
      </c>
      <c r="AJ190" s="264">
        <f>IF(NFI_Expiration=1,IF($A190&lt;VLOOKUP(S$5,NFI,5,0),1,0)*Table_NFI[[#This Row],[Winter Clothes Children]],Table_NFI[Winter Clothes Children])</f>
        <v>0</v>
      </c>
      <c r="AK190" s="264">
        <f>IF(NFI_Expiration=1,IF($A190&lt;VLOOKUP(T$5,NFI,5,0),1,0)*Table_NFI[[#This Row],[Winter Items Other]],Table_NFI[Winter Items Other])</f>
        <v>0</v>
      </c>
      <c r="AL190" s="264">
        <f>IF(NFI_Expiration=1,IF($A190&lt;VLOOKUP(M$5,NFI,5,0),1,0)*Table_NFI[[#This Row],[Winter Blanket]],Table_NFI[[#This Row],[Winter Blanket]])</f>
        <v>0</v>
      </c>
      <c r="AM190" s="264">
        <f>IF(Table_NFI[[#This Row],[Winter Clothes Adult]]+Table_NFI[[#This Row],[Winter Clothes Children]]+Table_NFI[[#This Row],[Winter Items Other]]+Table_NFI[[#This Row],[Winter Blanket]]&gt;0,1,0)</f>
        <v>0</v>
      </c>
      <c r="AN190" s="296">
        <f>IF(NFI_Expiration=1,IF($A190&lt;VLOOKUP(V$5,NFI,5,0),1,0)*Table_NFI[[#This Row],[Jerry Can]],Table_NFI[Jerry Can])</f>
        <v>0</v>
      </c>
      <c r="AO190" s="296">
        <f>IF(NFI_Expiration=1,IF($A190&lt;VLOOKUP(V$5,NFI,5,0),1,0)*Table_NFI[[#This Row],[Shelter Tool kit]],Table_NFI[Shelter Tool kit])</f>
        <v>0</v>
      </c>
      <c r="AP190" s="296">
        <f>IF(NFI_Expiration=1,IF($A190&lt;VLOOKUP(V$5,NFI,5,0),1,0)*Table_NFI[[#This Row],[Tent]],Table_NFI[Tent])</f>
        <v>0</v>
      </c>
      <c r="AQ190" s="396" t="str">
        <f>IFERROR(VLOOKUP(Table_NFI[[#This Row],[Camp Name]],CL,2,0),"")</f>
        <v>MMR001CMP193</v>
      </c>
      <c r="AR190" s="702">
        <f ca="1">IF(Table_NFI[[#This Row],[Pcode]]="","",IF(OFFSET(CampList[Opening Date],MATCH(Table_NFI[[#This Row],[Pcode]],CampList[CP_Pcode],0)-1,0,1,1)&gt;=NFI_Monitor_Date,1,0))</f>
        <v>0</v>
      </c>
      <c r="AS190" s="396" t="str">
        <f>IFERROR(VLOOKUP(Table_NFI[[#This Row],[Camp Name]],CL,3,0),"")</f>
        <v>Open</v>
      </c>
      <c r="AT190" s="264" t="str">
        <f ca="1">IF(Table_NFI[[#This Row],[Pcode]]="","",OFFSET(CampList[Priority],MATCH(Table_NFI[[#This Row],[Pcode]],CampList[CP_Pcode],0)-1,0,1,1))</f>
        <v>P4</v>
      </c>
      <c r="AU190" s="263">
        <f>IFERROR(Table_NFI[[#This Row],[Kitchen Set]]/VLOOKUP(Table_NFI[[#This Row],[Camp Name]],CL,4,0),"")</f>
        <v>0</v>
      </c>
      <c r="AV190" s="390"/>
      <c r="AW190" s="392"/>
      <c r="AX190" s="402"/>
      <c r="AY190" s="402"/>
      <c r="AZ190" s="402"/>
      <c r="BA190" s="402"/>
      <c r="BB190" s="402"/>
      <c r="BC190" s="402"/>
      <c r="BD190" s="402"/>
      <c r="BE190" s="402"/>
      <c r="BF190" s="402"/>
      <c r="BG190" s="402"/>
      <c r="BH190" s="402"/>
      <c r="BI190" s="402"/>
      <c r="BJ190" s="402"/>
      <c r="BK190" s="402"/>
      <c r="BL190" s="402"/>
      <c r="BM190" s="402"/>
      <c r="BN190" s="402"/>
      <c r="BO190" s="402"/>
      <c r="BP190" s="402"/>
      <c r="BQ190" s="402"/>
      <c r="BR190" s="402"/>
      <c r="BS190" s="402"/>
      <c r="BT190" s="402"/>
      <c r="BU190" s="402"/>
      <c r="BV190" s="402"/>
      <c r="BW190" s="402"/>
      <c r="BX190" s="402"/>
      <c r="BY190" s="402"/>
      <c r="BZ190" s="402"/>
      <c r="CA190" s="402"/>
      <c r="CB190" s="402"/>
      <c r="CC190" s="402"/>
      <c r="CD190" s="402"/>
      <c r="CE190" s="402"/>
      <c r="CF190" s="402"/>
      <c r="CG190" s="402"/>
      <c r="CH190" s="402"/>
      <c r="CI190" s="402"/>
      <c r="CJ190" s="402"/>
      <c r="CK190" s="402"/>
      <c r="CL190" s="402"/>
      <c r="CM190" s="402"/>
      <c r="CN190" s="402"/>
      <c r="CO190" s="402"/>
      <c r="CP190" s="402"/>
      <c r="CQ190" s="402"/>
      <c r="CR190" s="402"/>
      <c r="CS190" s="402"/>
      <c r="CT190" s="402"/>
      <c r="CU190" s="402"/>
      <c r="CV190" s="402"/>
      <c r="CW190" s="402"/>
      <c r="CX190" s="402"/>
      <c r="CY190" s="402"/>
      <c r="CZ190" s="402"/>
      <c r="DA190" s="402"/>
      <c r="DB190" s="402"/>
      <c r="DC190" s="402"/>
      <c r="DD190" s="402"/>
      <c r="DE190" s="402"/>
      <c r="DF190" s="402"/>
      <c r="DG190" s="402"/>
      <c r="DH190" s="402"/>
      <c r="DI190" s="402"/>
      <c r="DJ190" s="402"/>
      <c r="DK190" s="402"/>
      <c r="DL190" s="402"/>
      <c r="DM190" s="402"/>
      <c r="DN190" s="402"/>
      <c r="DO190" s="402"/>
      <c r="DP190" s="402"/>
      <c r="DQ190" s="402"/>
    </row>
    <row r="191" spans="1:121" s="94" customFormat="1" ht="14.45" customHeight="1" x14ac:dyDescent="0.25">
      <c r="A191" s="266">
        <f t="shared" si="2"/>
        <v>22.366666666666667</v>
      </c>
      <c r="B191" s="389">
        <v>42185</v>
      </c>
      <c r="C191" s="390" t="s">
        <v>904</v>
      </c>
      <c r="D191" s="390" t="s">
        <v>904</v>
      </c>
      <c r="E191" s="390" t="s">
        <v>380</v>
      </c>
      <c r="F191" s="262" t="s">
        <v>185</v>
      </c>
      <c r="G191" s="262" t="s">
        <v>1415</v>
      </c>
      <c r="H191" s="261"/>
      <c r="I191" s="261"/>
      <c r="J191" s="261"/>
      <c r="K191" s="261"/>
      <c r="L191" s="261"/>
      <c r="M191" s="261"/>
      <c r="N191" s="261"/>
      <c r="O191" s="261"/>
      <c r="P191" s="261"/>
      <c r="Q191" s="261"/>
      <c r="R191" s="261"/>
      <c r="S191" s="261"/>
      <c r="T191" s="261"/>
      <c r="U191" s="261"/>
      <c r="V191" s="762">
        <v>2</v>
      </c>
      <c r="W191" s="261"/>
      <c r="X191" s="261"/>
      <c r="Y191" s="264">
        <f>IF(NFI_Expiration=1,IF($A191&lt;VLOOKUP(H$5,NFI,5,0),1,0)*Table_NFI[[#This Row],[Hygiene Kit]],Table_NFI[Hygiene Kit])</f>
        <v>0</v>
      </c>
      <c r="Z191" s="264">
        <f>IF(NFI_Expiration=1,IF($A191&lt;VLOOKUP(I$5,NFI,5,0),1,0)*Table_NFI[[#This Row],[NFI Core Kit]],Table_NFI[NFI Core Kit])</f>
        <v>0</v>
      </c>
      <c r="AA191" s="264">
        <f>IF(NFI_Expiration=1,IF($A191&lt;VLOOKUP(J$5,NFI,5,0),1,0)*Table_NFI[[#This Row],[Sanitary Kit]],Table_NFI[Sanitary Kit])</f>
        <v>0</v>
      </c>
      <c r="AB191" s="264">
        <f>IF(NFI_Expiration=1,IF($A191&lt;VLOOKUP(K$5,NFI,5,0),1,0)*Table_NFI[[#This Row],[Mosquito net]],Table_NFI[Mosquito net])</f>
        <v>0</v>
      </c>
      <c r="AC191" s="264">
        <f>IF(NFI_Expiration=1,IF($A191&lt;VLOOKUP(L$5,NFI,5,0),1,0)*Table_NFI[[#This Row],[Tarpaulin]],Table_NFI[[#This Row],[Tarpaulin]])</f>
        <v>0</v>
      </c>
      <c r="AD191" s="264">
        <f>IF(NFI_Expiration=1,IF($A191&lt;VLOOKUP(M$5,NFI,5,0),1,0)*Table_NFI[[#This Row],[Blanket]],Table_NFI[[#This Row],[Blanket]])</f>
        <v>0</v>
      </c>
      <c r="AE191" s="264">
        <f>IF(NFI_Expiration=1,IF($A191&lt;VLOOKUP(N$5,NFI,5,0),1,0)*Table_NFI[[#This Row],[Kitchen Set]],Table_NFI[Kitchen Set])</f>
        <v>0</v>
      </c>
      <c r="AF191" s="264">
        <f>IF(NFI_Expiration=1,IF($A191&lt;VLOOKUP(O$5,NFI,5,0),1,0)*Table_NFI[[#This Row],[Clothes Kit]],Table_NFI[Clothes Kit])</f>
        <v>0</v>
      </c>
      <c r="AG191" s="264">
        <f>IF(NFI_Expiration=1,IF($A191&lt;VLOOKUP(P$5,NFI,5,0),1,0)*Table_NFI[[#This Row],[Plastic Bucket]],Table_NFI[Plastic Bucket])</f>
        <v>0</v>
      </c>
      <c r="AH191" s="264">
        <f>IF(NFI_Expiration=1,IF($A191&lt;VLOOKUP(Q$5,NFI,5,0),1,0)*Table_NFI[[#This Row],[Plastic Mat]],Table_NFI[Plastic Mat])*IF(Table_NFI[[#This Row],[Distribution Date]]&gt;"2014-04-01",1,2.5)</f>
        <v>0</v>
      </c>
      <c r="AI191" s="264">
        <f>IF(NFI_Expiration=1,IF($A191&lt;VLOOKUP(R$5,NFI,5,0),1,0)*Table_NFI[[#This Row],[Winter Clothes Adult]],Table_NFI[Winter Clothes Adult])</f>
        <v>0</v>
      </c>
      <c r="AJ191" s="264">
        <f>IF(NFI_Expiration=1,IF($A191&lt;VLOOKUP(S$5,NFI,5,0),1,0)*Table_NFI[[#This Row],[Winter Clothes Children]],Table_NFI[Winter Clothes Children])</f>
        <v>0</v>
      </c>
      <c r="AK191" s="264">
        <f>IF(NFI_Expiration=1,IF($A191&lt;VLOOKUP(T$5,NFI,5,0),1,0)*Table_NFI[[#This Row],[Winter Items Other]],Table_NFI[Winter Items Other])</f>
        <v>0</v>
      </c>
      <c r="AL191" s="264">
        <f>IF(NFI_Expiration=1,IF($A191&lt;VLOOKUP(M$5,NFI,5,0),1,0)*Table_NFI[[#This Row],[Winter Blanket]],Table_NFI[[#This Row],[Winter Blanket]])</f>
        <v>0</v>
      </c>
      <c r="AM191" s="264">
        <f>IF(Table_NFI[[#This Row],[Winter Clothes Adult]]+Table_NFI[[#This Row],[Winter Clothes Children]]+Table_NFI[[#This Row],[Winter Items Other]]+Table_NFI[[#This Row],[Winter Blanket]]&gt;0,1,0)</f>
        <v>0</v>
      </c>
      <c r="AN191" s="296">
        <f>IF(NFI_Expiration=1,IF($A191&lt;VLOOKUP(V$5,NFI,5,0),1,0)*Table_NFI[[#This Row],[Jerry Can]],Table_NFI[Jerry Can])</f>
        <v>0</v>
      </c>
      <c r="AO191" s="296">
        <f>IF(NFI_Expiration=1,IF($A191&lt;VLOOKUP(V$5,NFI,5,0),1,0)*Table_NFI[[#This Row],[Shelter Tool kit]],Table_NFI[Shelter Tool kit])</f>
        <v>0</v>
      </c>
      <c r="AP191" s="296">
        <f>IF(NFI_Expiration=1,IF($A191&lt;VLOOKUP(V$5,NFI,5,0),1,0)*Table_NFI[[#This Row],[Tent]],Table_NFI[Tent])</f>
        <v>0</v>
      </c>
      <c r="AQ191" s="396" t="str">
        <f>IFERROR(VLOOKUP(Table_NFI[[#This Row],[Camp Name]],CL,2,0),"")</f>
        <v/>
      </c>
      <c r="AR191" s="702" t="str">
        <f ca="1">IF(Table_NFI[[#This Row],[Pcode]]="","",IF(OFFSET(CampList[Opening Date],MATCH(Table_NFI[[#This Row],[Pcode]],CampList[CP_Pcode],0)-1,0,1,1)&gt;=NFI_Monitor_Date,1,0))</f>
        <v/>
      </c>
      <c r="AS191" s="559" t="str">
        <f>IFERROR(VLOOKUP(Table_NFI[[#This Row],[Camp Name]],CL,3,0),"")</f>
        <v/>
      </c>
      <c r="AT191" s="264" t="str">
        <f ca="1">IF(Table_NFI[[#This Row],[Pcode]]="","",OFFSET(CampList[Priority],MATCH(Table_NFI[[#This Row],[Pcode]],CampList[CP_Pcode],0)-1,0,1,1))</f>
        <v/>
      </c>
      <c r="AU191" s="263" t="str">
        <f>IFERROR(Table_NFI[[#This Row],[Kitchen Set]]/VLOOKUP(Table_NFI[[#This Row],[Camp Name]],CL,4,0),"")</f>
        <v/>
      </c>
      <c r="AV191" s="390"/>
      <c r="AW191" s="392"/>
      <c r="AX191" s="402"/>
      <c r="AY191" s="402"/>
      <c r="AZ191" s="402"/>
      <c r="BA191" s="402"/>
      <c r="BB191" s="402"/>
      <c r="BC191" s="402"/>
      <c r="BD191" s="402"/>
      <c r="BE191" s="402"/>
      <c r="BF191" s="402"/>
      <c r="BG191" s="402"/>
      <c r="BH191" s="402"/>
      <c r="BI191" s="402"/>
      <c r="BJ191" s="402"/>
      <c r="BK191" s="402"/>
      <c r="BL191" s="402"/>
      <c r="BM191" s="402"/>
      <c r="BN191" s="402"/>
      <c r="BO191" s="402"/>
      <c r="BP191" s="402"/>
      <c r="BQ191" s="402"/>
      <c r="BR191" s="402"/>
      <c r="BS191" s="402"/>
      <c r="BT191" s="402"/>
      <c r="BU191" s="402"/>
      <c r="BV191" s="402"/>
      <c r="BW191" s="402"/>
      <c r="BX191" s="402"/>
      <c r="BY191" s="402"/>
      <c r="BZ191" s="402"/>
      <c r="CA191" s="402"/>
      <c r="CB191" s="402"/>
      <c r="CC191" s="402"/>
      <c r="CD191" s="402"/>
      <c r="CE191" s="402"/>
      <c r="CF191" s="402"/>
      <c r="CG191" s="402"/>
      <c r="CH191" s="402"/>
      <c r="CI191" s="402"/>
      <c r="CJ191" s="402"/>
      <c r="CK191" s="402"/>
      <c r="CL191" s="402"/>
      <c r="CM191" s="402"/>
      <c r="CN191" s="402"/>
      <c r="CO191" s="402"/>
      <c r="CP191" s="402"/>
      <c r="CQ191" s="402"/>
      <c r="CR191" s="402"/>
      <c r="CS191" s="402"/>
      <c r="CT191" s="402"/>
      <c r="CU191" s="402"/>
      <c r="CV191" s="402"/>
      <c r="CW191" s="402"/>
      <c r="CX191" s="402"/>
      <c r="CY191" s="402"/>
      <c r="CZ191" s="402"/>
      <c r="DA191" s="402"/>
      <c r="DB191" s="402"/>
      <c r="DC191" s="402"/>
      <c r="DD191" s="402"/>
      <c r="DE191" s="402"/>
      <c r="DF191" s="402"/>
      <c r="DG191" s="402"/>
      <c r="DH191" s="402"/>
      <c r="DI191" s="402"/>
      <c r="DJ191" s="402"/>
      <c r="DK191" s="402"/>
      <c r="DL191" s="402"/>
      <c r="DM191" s="402"/>
      <c r="DN191" s="402"/>
      <c r="DO191" s="402"/>
      <c r="DP191" s="402"/>
      <c r="DQ191" s="402"/>
    </row>
    <row r="192" spans="1:121" s="759" customFormat="1" ht="14.45" customHeight="1" x14ac:dyDescent="0.2">
      <c r="A192" s="266">
        <f t="shared" si="2"/>
        <v>22.366666666666667</v>
      </c>
      <c r="B192" s="389">
        <v>42185</v>
      </c>
      <c r="C192" s="390" t="s">
        <v>904</v>
      </c>
      <c r="D192" s="391" t="s">
        <v>904</v>
      </c>
      <c r="E192" s="390" t="s">
        <v>380</v>
      </c>
      <c r="F192" s="262" t="s">
        <v>310</v>
      </c>
      <c r="G192" s="262" t="s">
        <v>1236</v>
      </c>
      <c r="H192" s="261"/>
      <c r="I192" s="261"/>
      <c r="J192" s="764">
        <v>825</v>
      </c>
      <c r="K192" s="261"/>
      <c r="L192" s="261"/>
      <c r="M192" s="261"/>
      <c r="N192" s="261"/>
      <c r="O192" s="261"/>
      <c r="P192" s="261"/>
      <c r="Q192" s="261"/>
      <c r="R192" s="261"/>
      <c r="S192" s="261"/>
      <c r="T192" s="261"/>
      <c r="U192" s="261"/>
      <c r="V192" s="762"/>
      <c r="W192" s="261"/>
      <c r="X192" s="261"/>
      <c r="Y192" s="264">
        <f>IF(NFI_Expiration=1,IF($A192&lt;VLOOKUP(H$5,NFI,5,0),1,0)*Table_NFI[[#This Row],[Hygiene Kit]],Table_NFI[Hygiene Kit])</f>
        <v>0</v>
      </c>
      <c r="Z192" s="264">
        <f>IF(NFI_Expiration=1,IF($A192&lt;VLOOKUP(I$5,NFI,5,0),1,0)*Table_NFI[[#This Row],[NFI Core Kit]],Table_NFI[NFI Core Kit])</f>
        <v>0</v>
      </c>
      <c r="AA192" s="264">
        <f>IF(NFI_Expiration=1,IF($A192&lt;VLOOKUP(J$5,NFI,5,0),1,0)*Table_NFI[[#This Row],[Sanitary Kit]],Table_NFI[Sanitary Kit])</f>
        <v>0</v>
      </c>
      <c r="AB192" s="264">
        <f>IF(NFI_Expiration=1,IF($A192&lt;VLOOKUP(K$5,NFI,5,0),1,0)*Table_NFI[[#This Row],[Mosquito net]],Table_NFI[Mosquito net])</f>
        <v>0</v>
      </c>
      <c r="AC192" s="264">
        <f>IF(NFI_Expiration=1,IF($A192&lt;VLOOKUP(L$5,NFI,5,0),1,0)*Table_NFI[[#This Row],[Tarpaulin]],Table_NFI[[#This Row],[Tarpaulin]])</f>
        <v>0</v>
      </c>
      <c r="AD192" s="264">
        <f>IF(NFI_Expiration=1,IF($A192&lt;VLOOKUP(M$5,NFI,5,0),1,0)*Table_NFI[[#This Row],[Blanket]],Table_NFI[[#This Row],[Blanket]])</f>
        <v>0</v>
      </c>
      <c r="AE192" s="264">
        <f>IF(NFI_Expiration=1,IF($A192&lt;VLOOKUP(N$5,NFI,5,0),1,0)*Table_NFI[[#This Row],[Kitchen Set]],Table_NFI[Kitchen Set])</f>
        <v>0</v>
      </c>
      <c r="AF192" s="264">
        <f>IF(NFI_Expiration=1,IF($A192&lt;VLOOKUP(O$5,NFI,5,0),1,0)*Table_NFI[[#This Row],[Clothes Kit]],Table_NFI[Clothes Kit])</f>
        <v>0</v>
      </c>
      <c r="AG192" s="264">
        <f>IF(NFI_Expiration=1,IF($A192&lt;VLOOKUP(P$5,NFI,5,0),1,0)*Table_NFI[[#This Row],[Plastic Bucket]],Table_NFI[Plastic Bucket])</f>
        <v>0</v>
      </c>
      <c r="AH192" s="264">
        <f>IF(NFI_Expiration=1,IF($A192&lt;VLOOKUP(Q$5,NFI,5,0),1,0)*Table_NFI[[#This Row],[Plastic Mat]],Table_NFI[Plastic Mat])*IF(Table_NFI[[#This Row],[Distribution Date]]&gt;"2014-04-01",1,2.5)</f>
        <v>0</v>
      </c>
      <c r="AI192" s="264">
        <f>IF(NFI_Expiration=1,IF($A192&lt;VLOOKUP(R$5,NFI,5,0),1,0)*Table_NFI[[#This Row],[Winter Clothes Adult]],Table_NFI[Winter Clothes Adult])</f>
        <v>0</v>
      </c>
      <c r="AJ192" s="264">
        <f>IF(NFI_Expiration=1,IF($A192&lt;VLOOKUP(S$5,NFI,5,0),1,0)*Table_NFI[[#This Row],[Winter Clothes Children]],Table_NFI[Winter Clothes Children])</f>
        <v>0</v>
      </c>
      <c r="AK192" s="264">
        <f>IF(NFI_Expiration=1,IF($A192&lt;VLOOKUP(T$5,NFI,5,0),1,0)*Table_NFI[[#This Row],[Winter Items Other]],Table_NFI[Winter Items Other])</f>
        <v>0</v>
      </c>
      <c r="AL192" s="264">
        <f>IF(NFI_Expiration=1,IF($A192&lt;VLOOKUP(M$5,NFI,5,0),1,0)*Table_NFI[[#This Row],[Winter Blanket]],Table_NFI[[#This Row],[Winter Blanket]])</f>
        <v>0</v>
      </c>
      <c r="AM192" s="264">
        <f>IF(Table_NFI[[#This Row],[Winter Clothes Adult]]+Table_NFI[[#This Row],[Winter Clothes Children]]+Table_NFI[[#This Row],[Winter Items Other]]+Table_NFI[[#This Row],[Winter Blanket]]&gt;0,1,0)</f>
        <v>0</v>
      </c>
      <c r="AN192" s="296">
        <f>IF(NFI_Expiration=1,IF($A192&lt;VLOOKUP(V$5,NFI,5,0),1,0)*Table_NFI[[#This Row],[Jerry Can]],Table_NFI[Jerry Can])</f>
        <v>0</v>
      </c>
      <c r="AO192" s="296">
        <f>IF(NFI_Expiration=1,IF($A192&lt;VLOOKUP(V$5,NFI,5,0),1,0)*Table_NFI[[#This Row],[Shelter Tool kit]],Table_NFI[Shelter Tool kit])</f>
        <v>0</v>
      </c>
      <c r="AP192" s="296">
        <f>IF(NFI_Expiration=1,IF($A192&lt;VLOOKUP(V$5,NFI,5,0),1,0)*Table_NFI[[#This Row],[Tent]],Table_NFI[Tent])</f>
        <v>0</v>
      </c>
      <c r="AQ192" s="396" t="str">
        <f>IFERROR(VLOOKUP(Table_NFI[[#This Row],[Camp Name]],CL,2,0),"")</f>
        <v>MMR001CMP117</v>
      </c>
      <c r="AR192" s="702">
        <f ca="1">IF(Table_NFI[[#This Row],[Pcode]]="","",IF(OFFSET(CampList[Opening Date],MATCH(Table_NFI[[#This Row],[Pcode]],CampList[CP_Pcode],0)-1,0,1,1)&gt;=NFI_Monitor_Date,1,0))</f>
        <v>0</v>
      </c>
      <c r="AS192" s="396" t="str">
        <f>IFERROR(VLOOKUP(Table_NFI[[#This Row],[Camp Name]],CL,3,0),"")</f>
        <v>Closed</v>
      </c>
      <c r="AT192" s="264" t="str">
        <f ca="1">IF(Table_NFI[[#This Row],[Pcode]]="","",OFFSET(CampList[Priority],MATCH(Table_NFI[[#This Row],[Pcode]],CampList[CP_Pcode],0)-1,0,1,1))</f>
        <v>P2</v>
      </c>
      <c r="AU192" s="263">
        <f>IFERROR(Table_NFI[[#This Row],[Kitchen Set]]/VLOOKUP(Table_NFI[[#This Row],[Camp Name]],CL,4,0),"")</f>
        <v>0</v>
      </c>
      <c r="AV192" s="390"/>
      <c r="AW192" s="397"/>
      <c r="AX192" s="402"/>
      <c r="AY192" s="402"/>
      <c r="AZ192" s="402"/>
      <c r="BA192" s="402"/>
      <c r="BB192" s="402"/>
      <c r="BC192" s="402"/>
      <c r="BD192" s="402"/>
      <c r="BE192" s="402"/>
      <c r="BF192" s="402"/>
      <c r="BG192" s="402"/>
      <c r="BH192" s="402"/>
      <c r="BI192" s="402"/>
      <c r="BJ192" s="402"/>
      <c r="BK192" s="402"/>
      <c r="BL192" s="402"/>
      <c r="BM192" s="402"/>
      <c r="BN192" s="402"/>
      <c r="BO192" s="402"/>
      <c r="BP192" s="402"/>
      <c r="BQ192" s="402"/>
      <c r="BR192" s="402"/>
      <c r="BS192" s="402"/>
      <c r="BT192" s="402"/>
      <c r="BU192" s="402"/>
      <c r="BV192" s="402"/>
      <c r="BW192" s="402"/>
      <c r="BX192" s="402"/>
      <c r="BY192" s="402"/>
      <c r="BZ192" s="402"/>
      <c r="CA192" s="402"/>
      <c r="CB192" s="402"/>
      <c r="CC192" s="402"/>
      <c r="CD192" s="402"/>
      <c r="CE192" s="402"/>
      <c r="CF192" s="402"/>
      <c r="CG192" s="402"/>
      <c r="CH192" s="402"/>
      <c r="CI192" s="402"/>
      <c r="CJ192" s="402"/>
      <c r="CK192" s="402"/>
      <c r="CL192" s="402"/>
      <c r="CM192" s="402"/>
      <c r="CN192" s="402"/>
      <c r="CO192" s="402"/>
      <c r="CP192" s="402"/>
      <c r="CQ192" s="402"/>
      <c r="CR192" s="402"/>
      <c r="CS192" s="402"/>
      <c r="CT192" s="402"/>
      <c r="CU192" s="402"/>
      <c r="CV192" s="402"/>
      <c r="CW192" s="402"/>
      <c r="CX192" s="402"/>
      <c r="CY192" s="402"/>
      <c r="CZ192" s="402"/>
      <c r="DA192" s="402"/>
      <c r="DB192" s="402"/>
      <c r="DC192" s="402"/>
      <c r="DD192" s="402"/>
      <c r="DE192" s="402"/>
      <c r="DF192" s="402"/>
      <c r="DG192" s="402"/>
      <c r="DH192" s="402"/>
      <c r="DI192" s="402"/>
      <c r="DJ192" s="402"/>
      <c r="DK192" s="402"/>
      <c r="DL192" s="402"/>
      <c r="DM192" s="402"/>
      <c r="DN192" s="402"/>
      <c r="DO192" s="402"/>
      <c r="DP192" s="402"/>
      <c r="DQ192" s="402"/>
    </row>
    <row r="193" spans="1:121" s="94" customFormat="1" ht="14.45" customHeight="1" x14ac:dyDescent="0.2">
      <c r="A193" s="266">
        <f t="shared" si="2"/>
        <v>22.4</v>
      </c>
      <c r="B193" s="389">
        <v>42184</v>
      </c>
      <c r="C193" s="390" t="s">
        <v>904</v>
      </c>
      <c r="D193" s="390" t="s">
        <v>459</v>
      </c>
      <c r="E193" s="390" t="s">
        <v>380</v>
      </c>
      <c r="F193" s="390" t="s">
        <v>185</v>
      </c>
      <c r="G193" s="262" t="s">
        <v>196</v>
      </c>
      <c r="H193" s="261"/>
      <c r="I193" s="261"/>
      <c r="J193" s="764">
        <v>2350</v>
      </c>
      <c r="K193" s="261"/>
      <c r="L193" s="261"/>
      <c r="M193" s="261"/>
      <c r="N193" s="261"/>
      <c r="O193" s="261"/>
      <c r="P193" s="261"/>
      <c r="Q193" s="261"/>
      <c r="R193" s="261"/>
      <c r="S193" s="261"/>
      <c r="T193" s="261"/>
      <c r="U193" s="261"/>
      <c r="V193" s="762"/>
      <c r="W193" s="261"/>
      <c r="X193" s="261"/>
      <c r="Y193" s="264">
        <f>IF(NFI_Expiration=1,IF($A193&lt;VLOOKUP(H$5,NFI,5,0),1,0)*Table_NFI[[#This Row],[Hygiene Kit]],Table_NFI[Hygiene Kit])</f>
        <v>0</v>
      </c>
      <c r="Z193" s="264">
        <f>IF(NFI_Expiration=1,IF($A193&lt;VLOOKUP(I$5,NFI,5,0),1,0)*Table_NFI[[#This Row],[NFI Core Kit]],Table_NFI[NFI Core Kit])</f>
        <v>0</v>
      </c>
      <c r="AA193" s="264">
        <f>IF(NFI_Expiration=1,IF($A193&lt;VLOOKUP(J$5,NFI,5,0),1,0)*Table_NFI[[#This Row],[Sanitary Kit]],Table_NFI[Sanitary Kit])</f>
        <v>0</v>
      </c>
      <c r="AB193" s="264">
        <f>IF(NFI_Expiration=1,IF($A193&lt;VLOOKUP(K$5,NFI,5,0),1,0)*Table_NFI[[#This Row],[Mosquito net]],Table_NFI[Mosquito net])</f>
        <v>0</v>
      </c>
      <c r="AC193" s="264">
        <f>IF(NFI_Expiration=1,IF($A193&lt;VLOOKUP(L$5,NFI,5,0),1,0)*Table_NFI[[#This Row],[Tarpaulin]],Table_NFI[[#This Row],[Tarpaulin]])</f>
        <v>0</v>
      </c>
      <c r="AD193" s="264">
        <f>IF(NFI_Expiration=1,IF($A193&lt;VLOOKUP(M$5,NFI,5,0),1,0)*Table_NFI[[#This Row],[Blanket]],Table_NFI[[#This Row],[Blanket]])</f>
        <v>0</v>
      </c>
      <c r="AE193" s="264">
        <f>IF(NFI_Expiration=1,IF($A193&lt;VLOOKUP(N$5,NFI,5,0),1,0)*Table_NFI[[#This Row],[Kitchen Set]],Table_NFI[Kitchen Set])</f>
        <v>0</v>
      </c>
      <c r="AF193" s="264">
        <f>IF(NFI_Expiration=1,IF($A193&lt;VLOOKUP(O$5,NFI,5,0),1,0)*Table_NFI[[#This Row],[Clothes Kit]],Table_NFI[Clothes Kit])</f>
        <v>0</v>
      </c>
      <c r="AG193" s="264">
        <f>IF(NFI_Expiration=1,IF($A193&lt;VLOOKUP(P$5,NFI,5,0),1,0)*Table_NFI[[#This Row],[Plastic Bucket]],Table_NFI[Plastic Bucket])</f>
        <v>0</v>
      </c>
      <c r="AH193" s="264">
        <f>IF(NFI_Expiration=1,IF($A193&lt;VLOOKUP(Q$5,NFI,5,0),1,0)*Table_NFI[[#This Row],[Plastic Mat]],Table_NFI[Plastic Mat])*IF(Table_NFI[[#This Row],[Distribution Date]]&gt;"2014-04-01",1,2.5)</f>
        <v>0</v>
      </c>
      <c r="AI193" s="264">
        <f>IF(NFI_Expiration=1,IF($A193&lt;VLOOKUP(R$5,NFI,5,0),1,0)*Table_NFI[[#This Row],[Winter Clothes Adult]],Table_NFI[Winter Clothes Adult])</f>
        <v>0</v>
      </c>
      <c r="AJ193" s="264">
        <f>IF(NFI_Expiration=1,IF($A193&lt;VLOOKUP(S$5,NFI,5,0),1,0)*Table_NFI[[#This Row],[Winter Clothes Children]],Table_NFI[Winter Clothes Children])</f>
        <v>0</v>
      </c>
      <c r="AK193" s="264">
        <f>IF(NFI_Expiration=1,IF($A193&lt;VLOOKUP(T$5,NFI,5,0),1,0)*Table_NFI[[#This Row],[Winter Items Other]],Table_NFI[Winter Items Other])</f>
        <v>0</v>
      </c>
      <c r="AL193" s="264">
        <f>IF(NFI_Expiration=1,IF($A193&lt;VLOOKUP(M$5,NFI,5,0),1,0)*Table_NFI[[#This Row],[Winter Blanket]],Table_NFI[[#This Row],[Winter Blanket]])</f>
        <v>0</v>
      </c>
      <c r="AM193" s="264">
        <f>IF(Table_NFI[[#This Row],[Winter Clothes Adult]]+Table_NFI[[#This Row],[Winter Clothes Children]]+Table_NFI[[#This Row],[Winter Items Other]]+Table_NFI[[#This Row],[Winter Blanket]]&gt;0,1,0)</f>
        <v>0</v>
      </c>
      <c r="AN193" s="296">
        <f>IF(NFI_Expiration=1,IF($A193&lt;VLOOKUP(V$5,NFI,5,0),1,0)*Table_NFI[[#This Row],[Jerry Can]],Table_NFI[Jerry Can])</f>
        <v>0</v>
      </c>
      <c r="AO193" s="296">
        <f>IF(NFI_Expiration=1,IF($A193&lt;VLOOKUP(V$5,NFI,5,0),1,0)*Table_NFI[[#This Row],[Shelter Tool kit]],Table_NFI[Shelter Tool kit])</f>
        <v>0</v>
      </c>
      <c r="AP193" s="296">
        <f>IF(NFI_Expiration=1,IF($A193&lt;VLOOKUP(V$5,NFI,5,0),1,0)*Table_NFI[[#This Row],[Tent]],Table_NFI[Tent])</f>
        <v>0</v>
      </c>
      <c r="AQ193" s="396" t="str">
        <f>IFERROR(VLOOKUP(Table_NFI[[#This Row],[Camp Name]],CL,2,0),"")</f>
        <v>MMR001CMP121</v>
      </c>
      <c r="AR193" s="702">
        <f ca="1">IF(Table_NFI[[#This Row],[Pcode]]="","",IF(OFFSET(CampList[Opening Date],MATCH(Table_NFI[[#This Row],[Pcode]],CampList[CP_Pcode],0)-1,0,1,1)&gt;=NFI_Monitor_Date,1,0))</f>
        <v>0</v>
      </c>
      <c r="AS193" s="396" t="str">
        <f>IFERROR(VLOOKUP(Table_NFI[[#This Row],[Camp Name]],CL,3,0),"")</f>
        <v>Open</v>
      </c>
      <c r="AT193" s="264" t="str">
        <f ca="1">IF(Table_NFI[[#This Row],[Pcode]]="","",OFFSET(CampList[Priority],MATCH(Table_NFI[[#This Row],[Pcode]],CampList[CP_Pcode],0)-1,0,1,1))</f>
        <v>P2</v>
      </c>
      <c r="AU193" s="263">
        <f>IFERROR(Table_NFI[[#This Row],[Kitchen Set]]/VLOOKUP(Table_NFI[[#This Row],[Camp Name]],CL,4,0),"")</f>
        <v>0</v>
      </c>
      <c r="AV193" s="390"/>
      <c r="AW193" s="392"/>
      <c r="AX193" s="402"/>
      <c r="AY193" s="402"/>
      <c r="AZ193" s="402"/>
      <c r="BA193" s="402"/>
      <c r="BB193" s="402"/>
      <c r="BC193" s="402"/>
      <c r="BD193" s="402"/>
      <c r="BE193" s="402"/>
      <c r="BF193" s="402"/>
      <c r="BG193" s="402"/>
      <c r="BH193" s="402"/>
      <c r="BI193" s="402"/>
      <c r="BJ193" s="402"/>
      <c r="BK193" s="402"/>
      <c r="BL193" s="402"/>
      <c r="BM193" s="402"/>
      <c r="BN193" s="402"/>
      <c r="BO193" s="402"/>
      <c r="BP193" s="402"/>
      <c r="BQ193" s="402"/>
      <c r="BR193" s="402"/>
      <c r="BS193" s="402"/>
      <c r="BT193" s="402"/>
      <c r="BU193" s="402"/>
      <c r="BV193" s="402"/>
      <c r="BW193" s="402"/>
      <c r="BX193" s="402"/>
      <c r="BY193" s="402"/>
      <c r="BZ193" s="402"/>
      <c r="CA193" s="402"/>
      <c r="CB193" s="402"/>
      <c r="CC193" s="402"/>
      <c r="CD193" s="402"/>
      <c r="CE193" s="402"/>
      <c r="CF193" s="402"/>
      <c r="CG193" s="402"/>
      <c r="CH193" s="402"/>
      <c r="CI193" s="402"/>
      <c r="CJ193" s="402"/>
      <c r="CK193" s="402"/>
      <c r="CL193" s="402"/>
      <c r="CM193" s="402"/>
      <c r="CN193" s="402"/>
      <c r="CO193" s="402"/>
      <c r="CP193" s="402"/>
      <c r="CQ193" s="402"/>
      <c r="CR193" s="402"/>
      <c r="CS193" s="402"/>
      <c r="CT193" s="402"/>
      <c r="CU193" s="402"/>
      <c r="CV193" s="402"/>
      <c r="CW193" s="402"/>
      <c r="CX193" s="402"/>
      <c r="CY193" s="402"/>
      <c r="CZ193" s="402"/>
      <c r="DA193" s="402"/>
      <c r="DB193" s="402"/>
      <c r="DC193" s="402"/>
      <c r="DD193" s="402"/>
      <c r="DE193" s="402"/>
      <c r="DF193" s="402"/>
      <c r="DG193" s="402"/>
      <c r="DH193" s="402"/>
      <c r="DI193" s="402"/>
      <c r="DJ193" s="402"/>
      <c r="DK193" s="402"/>
      <c r="DL193" s="402"/>
      <c r="DM193" s="402"/>
      <c r="DN193" s="402"/>
      <c r="DO193" s="402"/>
      <c r="DP193" s="402"/>
      <c r="DQ193" s="402"/>
    </row>
    <row r="194" spans="1:121" s="393" customFormat="1" ht="21.75" customHeight="1" x14ac:dyDescent="0.2">
      <c r="A194" s="266">
        <f t="shared" si="2"/>
        <v>23.233333333333334</v>
      </c>
      <c r="B194" s="389">
        <v>42159</v>
      </c>
      <c r="C194" s="390" t="s">
        <v>904</v>
      </c>
      <c r="D194" s="391" t="s">
        <v>904</v>
      </c>
      <c r="E194" s="390" t="s">
        <v>380</v>
      </c>
      <c r="F194" s="262" t="s">
        <v>185</v>
      </c>
      <c r="G194" s="262" t="s">
        <v>186</v>
      </c>
      <c r="H194" s="261"/>
      <c r="I194" s="261"/>
      <c r="J194" s="764">
        <v>54</v>
      </c>
      <c r="K194" s="261"/>
      <c r="L194" s="261"/>
      <c r="M194" s="261"/>
      <c r="N194" s="261"/>
      <c r="O194" s="261"/>
      <c r="P194" s="261"/>
      <c r="Q194" s="261"/>
      <c r="R194" s="261"/>
      <c r="S194" s="261"/>
      <c r="T194" s="261"/>
      <c r="U194" s="261"/>
      <c r="V194" s="762"/>
      <c r="W194" s="261"/>
      <c r="X194" s="261"/>
      <c r="Y194" s="264">
        <f>IF(NFI_Expiration=1,IF($A194&lt;VLOOKUP(H$5,NFI,5,0),1,0)*Table_NFI[[#This Row],[Hygiene Kit]],Table_NFI[Hygiene Kit])</f>
        <v>0</v>
      </c>
      <c r="Z194" s="264">
        <f>IF(NFI_Expiration=1,IF($A194&lt;VLOOKUP(I$5,NFI,5,0),1,0)*Table_NFI[[#This Row],[NFI Core Kit]],Table_NFI[NFI Core Kit])</f>
        <v>0</v>
      </c>
      <c r="AA194" s="264">
        <f>IF(NFI_Expiration=1,IF($A194&lt;VLOOKUP(J$5,NFI,5,0),1,0)*Table_NFI[[#This Row],[Sanitary Kit]],Table_NFI[Sanitary Kit])</f>
        <v>0</v>
      </c>
      <c r="AB194" s="264">
        <f>IF(NFI_Expiration=1,IF($A194&lt;VLOOKUP(K$5,NFI,5,0),1,0)*Table_NFI[[#This Row],[Mosquito net]],Table_NFI[Mosquito net])</f>
        <v>0</v>
      </c>
      <c r="AC194" s="264">
        <f>IF(NFI_Expiration=1,IF($A194&lt;VLOOKUP(L$5,NFI,5,0),1,0)*Table_NFI[[#This Row],[Tarpaulin]],Table_NFI[[#This Row],[Tarpaulin]])</f>
        <v>0</v>
      </c>
      <c r="AD194" s="264">
        <f>IF(NFI_Expiration=1,IF($A194&lt;VLOOKUP(M$5,NFI,5,0),1,0)*Table_NFI[[#This Row],[Blanket]],Table_NFI[[#This Row],[Blanket]])</f>
        <v>0</v>
      </c>
      <c r="AE194" s="264">
        <f>IF(NFI_Expiration=1,IF($A194&lt;VLOOKUP(N$5,NFI,5,0),1,0)*Table_NFI[[#This Row],[Kitchen Set]],Table_NFI[Kitchen Set])</f>
        <v>0</v>
      </c>
      <c r="AF194" s="264">
        <f>IF(NFI_Expiration=1,IF($A194&lt;VLOOKUP(O$5,NFI,5,0),1,0)*Table_NFI[[#This Row],[Clothes Kit]],Table_NFI[Clothes Kit])</f>
        <v>0</v>
      </c>
      <c r="AG194" s="264">
        <f>IF(NFI_Expiration=1,IF($A194&lt;VLOOKUP(P$5,NFI,5,0),1,0)*Table_NFI[[#This Row],[Plastic Bucket]],Table_NFI[Plastic Bucket])</f>
        <v>0</v>
      </c>
      <c r="AH194" s="264">
        <f>IF(NFI_Expiration=1,IF($A194&lt;VLOOKUP(Q$5,NFI,5,0),1,0)*Table_NFI[[#This Row],[Plastic Mat]],Table_NFI[Plastic Mat])*IF(Table_NFI[[#This Row],[Distribution Date]]&gt;"2014-04-01",1,2.5)</f>
        <v>0</v>
      </c>
      <c r="AI194" s="264">
        <f>IF(NFI_Expiration=1,IF($A194&lt;VLOOKUP(R$5,NFI,5,0),1,0)*Table_NFI[[#This Row],[Winter Clothes Adult]],Table_NFI[Winter Clothes Adult])</f>
        <v>0</v>
      </c>
      <c r="AJ194" s="264">
        <f>IF(NFI_Expiration=1,IF($A194&lt;VLOOKUP(S$5,NFI,5,0),1,0)*Table_NFI[[#This Row],[Winter Clothes Children]],Table_NFI[Winter Clothes Children])</f>
        <v>0</v>
      </c>
      <c r="AK194" s="264">
        <f>IF(NFI_Expiration=1,IF($A194&lt;VLOOKUP(T$5,NFI,5,0),1,0)*Table_NFI[[#This Row],[Winter Items Other]],Table_NFI[Winter Items Other])</f>
        <v>0</v>
      </c>
      <c r="AL194" s="264">
        <f>IF(NFI_Expiration=1,IF($A194&lt;VLOOKUP(M$5,NFI,5,0),1,0)*Table_NFI[[#This Row],[Winter Blanket]],Table_NFI[[#This Row],[Winter Blanket]])</f>
        <v>0</v>
      </c>
      <c r="AM194" s="264">
        <f>IF(Table_NFI[[#This Row],[Winter Clothes Adult]]+Table_NFI[[#This Row],[Winter Clothes Children]]+Table_NFI[[#This Row],[Winter Items Other]]+Table_NFI[[#This Row],[Winter Blanket]]&gt;0,1,0)</f>
        <v>0</v>
      </c>
      <c r="AN194" s="296">
        <f>IF(NFI_Expiration=1,IF($A194&lt;VLOOKUP(V$5,NFI,5,0),1,0)*Table_NFI[[#This Row],[Jerry Can]],Table_NFI[Jerry Can])</f>
        <v>0</v>
      </c>
      <c r="AO194" s="296">
        <f>IF(NFI_Expiration=1,IF($A194&lt;VLOOKUP(V$5,NFI,5,0),1,0)*Table_NFI[[#This Row],[Shelter Tool kit]],Table_NFI[Shelter Tool kit])</f>
        <v>0</v>
      </c>
      <c r="AP194" s="296">
        <f>IF(NFI_Expiration=1,IF($A194&lt;VLOOKUP(V$5,NFI,5,0),1,0)*Table_NFI[[#This Row],[Tent]],Table_NFI[Tent])</f>
        <v>0</v>
      </c>
      <c r="AQ194" s="396" t="str">
        <f>IFERROR(VLOOKUP(Table_NFI[[#This Row],[Camp Name]],CL,2,0),"")</f>
        <v>MMR001CMP071</v>
      </c>
      <c r="AR194" s="702">
        <f ca="1">IF(Table_NFI[[#This Row],[Pcode]]="","",IF(OFFSET(CampList[Opening Date],MATCH(Table_NFI[[#This Row],[Pcode]],CampList[CP_Pcode],0)-1,0,1,1)&gt;=NFI_Monitor_Date,1,0))</f>
        <v>0</v>
      </c>
      <c r="AS194" s="396" t="str">
        <f>IFERROR(VLOOKUP(Table_NFI[[#This Row],[Camp Name]],CL,3,0),"")</f>
        <v>Open</v>
      </c>
      <c r="AT194" s="264" t="str">
        <f ca="1">IF(Table_NFI[[#This Row],[Pcode]]="","",OFFSET(CampList[Priority],MATCH(Table_NFI[[#This Row],[Pcode]],CampList[CP_Pcode],0)-1,0,1,1))</f>
        <v>P3</v>
      </c>
      <c r="AU194" s="263">
        <f>IFERROR(Table_NFI[[#This Row],[Kitchen Set]]/VLOOKUP(Table_NFI[[#This Row],[Camp Name]],CL,4,0),"")</f>
        <v>0</v>
      </c>
      <c r="AV194" s="390"/>
      <c r="AW194" s="392"/>
      <c r="AX194" s="399"/>
      <c r="AY194" s="399"/>
      <c r="AZ194" s="399"/>
      <c r="BA194" s="399"/>
      <c r="BB194" s="399"/>
      <c r="BC194" s="399"/>
      <c r="BD194" s="399"/>
      <c r="BE194" s="399"/>
      <c r="BF194" s="399"/>
      <c r="BG194" s="399"/>
      <c r="BH194" s="399"/>
      <c r="BI194" s="399"/>
      <c r="BJ194" s="399"/>
      <c r="BK194" s="399"/>
      <c r="BL194" s="399"/>
      <c r="BM194" s="399"/>
      <c r="BN194" s="399"/>
      <c r="BO194" s="399"/>
      <c r="BP194" s="399"/>
      <c r="BQ194" s="399"/>
      <c r="BR194" s="399"/>
      <c r="BS194" s="399"/>
      <c r="BT194" s="399"/>
      <c r="BU194" s="399"/>
      <c r="BV194" s="399"/>
      <c r="BW194" s="399"/>
      <c r="BX194" s="399"/>
      <c r="BY194" s="399"/>
      <c r="BZ194" s="399"/>
      <c r="CA194" s="399"/>
      <c r="CB194" s="399"/>
      <c r="CC194" s="399"/>
      <c r="CD194" s="399"/>
      <c r="CE194" s="399"/>
      <c r="CF194" s="399"/>
      <c r="CG194" s="399"/>
      <c r="CH194" s="399"/>
      <c r="CI194" s="399"/>
      <c r="CJ194" s="399"/>
      <c r="CK194" s="399"/>
      <c r="CL194" s="399"/>
      <c r="CM194" s="399"/>
      <c r="CN194" s="399"/>
      <c r="CO194" s="399"/>
      <c r="CP194" s="399"/>
      <c r="CQ194" s="399"/>
      <c r="CR194" s="399"/>
      <c r="CS194" s="399"/>
      <c r="CT194" s="399"/>
      <c r="CU194" s="399"/>
      <c r="CV194" s="399"/>
      <c r="CW194" s="399"/>
      <c r="CX194" s="399"/>
      <c r="CY194" s="399"/>
      <c r="CZ194" s="399"/>
      <c r="DA194" s="399"/>
      <c r="DB194" s="399"/>
      <c r="DC194" s="399"/>
      <c r="DD194" s="399"/>
      <c r="DE194" s="399"/>
      <c r="DF194" s="399"/>
      <c r="DG194" s="399"/>
      <c r="DH194" s="399"/>
      <c r="DI194" s="399"/>
      <c r="DJ194" s="399"/>
      <c r="DK194" s="399"/>
      <c r="DL194" s="399"/>
      <c r="DM194" s="399"/>
      <c r="DN194" s="399"/>
      <c r="DO194" s="399"/>
      <c r="DP194" s="399"/>
      <c r="DQ194" s="399"/>
    </row>
    <row r="195" spans="1:121" s="760" customFormat="1" ht="14.45" customHeight="1" x14ac:dyDescent="0.25">
      <c r="A195" s="266">
        <f t="shared" si="2"/>
        <v>23.233333333333334</v>
      </c>
      <c r="B195" s="389">
        <v>42159</v>
      </c>
      <c r="C195" s="390" t="s">
        <v>451</v>
      </c>
      <c r="D195" s="390" t="s">
        <v>459</v>
      </c>
      <c r="E195" s="390" t="s">
        <v>380</v>
      </c>
      <c r="F195" s="390" t="s">
        <v>185</v>
      </c>
      <c r="G195" s="390" t="s">
        <v>190</v>
      </c>
      <c r="H195" s="261"/>
      <c r="I195" s="261"/>
      <c r="J195" s="261"/>
      <c r="K195" s="261"/>
      <c r="L195" s="261">
        <v>88</v>
      </c>
      <c r="M195" s="261">
        <v>27</v>
      </c>
      <c r="N195" s="261">
        <v>9</v>
      </c>
      <c r="O195" s="261"/>
      <c r="P195" s="261">
        <v>9</v>
      </c>
      <c r="Q195" s="261">
        <v>48</v>
      </c>
      <c r="R195" s="261"/>
      <c r="S195" s="261"/>
      <c r="T195" s="261"/>
      <c r="U195" s="261"/>
      <c r="V195" s="762">
        <v>9</v>
      </c>
      <c r="W195" s="261"/>
      <c r="X195" s="261"/>
      <c r="Y195" s="264">
        <f>IF(NFI_Expiration=1,IF($A195&lt;VLOOKUP(H$5,NFI,5,0),1,0)*Table_NFI[[#This Row],[Hygiene Kit]],Table_NFI[Hygiene Kit])</f>
        <v>0</v>
      </c>
      <c r="Z195" s="264">
        <f>IF(NFI_Expiration=1,IF($A195&lt;VLOOKUP(I$5,NFI,5,0),1,0)*Table_NFI[[#This Row],[NFI Core Kit]],Table_NFI[NFI Core Kit])</f>
        <v>0</v>
      </c>
      <c r="AA195" s="264">
        <f>IF(NFI_Expiration=1,IF($A195&lt;VLOOKUP(J$5,NFI,5,0),1,0)*Table_NFI[[#This Row],[Sanitary Kit]],Table_NFI[Sanitary Kit])</f>
        <v>0</v>
      </c>
      <c r="AB195" s="264">
        <f>IF(NFI_Expiration=1,IF($A195&lt;VLOOKUP(K$5,NFI,5,0),1,0)*Table_NFI[[#This Row],[Mosquito net]],Table_NFI[Mosquito net])</f>
        <v>0</v>
      </c>
      <c r="AC195" s="264">
        <f>IF(NFI_Expiration=1,IF($A195&lt;VLOOKUP(L$5,NFI,5,0),1,0)*Table_NFI[[#This Row],[Tarpaulin]],Table_NFI[[#This Row],[Tarpaulin]])</f>
        <v>0</v>
      </c>
      <c r="AD195" s="264">
        <f>IF(NFI_Expiration=1,IF($A195&lt;VLOOKUP(M$5,NFI,5,0),1,0)*Table_NFI[[#This Row],[Blanket]],Table_NFI[[#This Row],[Blanket]])</f>
        <v>0</v>
      </c>
      <c r="AE195" s="264">
        <f>IF(NFI_Expiration=1,IF($A195&lt;VLOOKUP(N$5,NFI,5,0),1,0)*Table_NFI[[#This Row],[Kitchen Set]],Table_NFI[Kitchen Set])</f>
        <v>0</v>
      </c>
      <c r="AF195" s="264">
        <f>IF(NFI_Expiration=1,IF($A195&lt;VLOOKUP(O$5,NFI,5,0),1,0)*Table_NFI[[#This Row],[Clothes Kit]],Table_NFI[Clothes Kit])</f>
        <v>0</v>
      </c>
      <c r="AG195" s="264">
        <f>IF(NFI_Expiration=1,IF($A195&lt;VLOOKUP(P$5,NFI,5,0),1,0)*Table_NFI[[#This Row],[Plastic Bucket]],Table_NFI[Plastic Bucket])</f>
        <v>0</v>
      </c>
      <c r="AH195" s="264">
        <f>IF(NFI_Expiration=1,IF($A195&lt;VLOOKUP(Q$5,NFI,5,0),1,0)*Table_NFI[[#This Row],[Plastic Mat]],Table_NFI[Plastic Mat])*IF(Table_NFI[[#This Row],[Distribution Date]]&gt;"2014-04-01",1,2.5)</f>
        <v>0</v>
      </c>
      <c r="AI195" s="264">
        <f>IF(NFI_Expiration=1,IF($A195&lt;VLOOKUP(R$5,NFI,5,0),1,0)*Table_NFI[[#This Row],[Winter Clothes Adult]],Table_NFI[Winter Clothes Adult])</f>
        <v>0</v>
      </c>
      <c r="AJ195" s="264">
        <f>IF(NFI_Expiration=1,IF($A195&lt;VLOOKUP(S$5,NFI,5,0),1,0)*Table_NFI[[#This Row],[Winter Clothes Children]],Table_NFI[Winter Clothes Children])</f>
        <v>0</v>
      </c>
      <c r="AK195" s="264">
        <f>IF(NFI_Expiration=1,IF($A195&lt;VLOOKUP(T$5,NFI,5,0),1,0)*Table_NFI[[#This Row],[Winter Items Other]],Table_NFI[Winter Items Other])</f>
        <v>0</v>
      </c>
      <c r="AL195" s="264">
        <f>IF(NFI_Expiration=1,IF($A195&lt;VLOOKUP(M$5,NFI,5,0),1,0)*Table_NFI[[#This Row],[Winter Blanket]],Table_NFI[[#This Row],[Winter Blanket]])</f>
        <v>0</v>
      </c>
      <c r="AM195" s="264">
        <f>IF(Table_NFI[[#This Row],[Winter Clothes Adult]]+Table_NFI[[#This Row],[Winter Clothes Children]]+Table_NFI[[#This Row],[Winter Items Other]]+Table_NFI[[#This Row],[Winter Blanket]]&gt;0,1,0)</f>
        <v>0</v>
      </c>
      <c r="AN195" s="296">
        <f>IF(NFI_Expiration=1,IF($A195&lt;VLOOKUP(V$5,NFI,5,0),1,0)*Table_NFI[[#This Row],[Jerry Can]],Table_NFI[Jerry Can])</f>
        <v>0</v>
      </c>
      <c r="AO195" s="296">
        <f>IF(NFI_Expiration=1,IF($A195&lt;VLOOKUP(V$5,NFI,5,0),1,0)*Table_NFI[[#This Row],[Shelter Tool kit]],Table_NFI[Shelter Tool kit])</f>
        <v>0</v>
      </c>
      <c r="AP195" s="296">
        <f>IF(NFI_Expiration=1,IF($A195&lt;VLOOKUP(V$5,NFI,5,0),1,0)*Table_NFI[[#This Row],[Tent]],Table_NFI[Tent])</f>
        <v>0</v>
      </c>
      <c r="AQ195" s="396" t="str">
        <f>IFERROR(VLOOKUP(Table_NFI[[#This Row],[Camp Name]],CL,2,0),"")</f>
        <v>MMR001CMP070</v>
      </c>
      <c r="AR195" s="702">
        <f ca="1">IF(Table_NFI[[#This Row],[Pcode]]="","",IF(OFFSET(CampList[Opening Date],MATCH(Table_NFI[[#This Row],[Pcode]],CampList[CP_Pcode],0)-1,0,1,1)&gt;=NFI_Monitor_Date,1,0))</f>
        <v>0</v>
      </c>
      <c r="AS195" s="396" t="str">
        <f>IFERROR(VLOOKUP(Table_NFI[[#This Row],[Camp Name]],CL,3,0),"")</f>
        <v>Open</v>
      </c>
      <c r="AT195" s="264" t="str">
        <f ca="1">IF(Table_NFI[[#This Row],[Pcode]]="","",OFFSET(CampList[Priority],MATCH(Table_NFI[[#This Row],[Pcode]],CampList[CP_Pcode],0)-1,0,1,1))</f>
        <v>P3</v>
      </c>
      <c r="AU195" s="263">
        <f>IFERROR(Table_NFI[[#This Row],[Kitchen Set]]/VLOOKUP(Table_NFI[[#This Row],[Camp Name]],CL,4,0),"")</f>
        <v>2.1951219512195122E-4</v>
      </c>
      <c r="AV195" s="390" t="s">
        <v>1087</v>
      </c>
      <c r="AW195" s="407"/>
      <c r="AX195" s="399"/>
      <c r="AY195" s="399"/>
      <c r="AZ195" s="399"/>
      <c r="BA195" s="399"/>
      <c r="BB195" s="399"/>
      <c r="BC195" s="399"/>
      <c r="BD195" s="399"/>
      <c r="BE195" s="399"/>
      <c r="BF195" s="399"/>
      <c r="BG195" s="399"/>
      <c r="BH195" s="399"/>
      <c r="BI195" s="399"/>
      <c r="BJ195" s="399"/>
      <c r="BK195" s="399"/>
      <c r="BL195" s="399"/>
      <c r="BM195" s="399"/>
      <c r="BN195" s="399"/>
      <c r="BO195" s="399"/>
      <c r="BP195" s="399"/>
      <c r="BQ195" s="399"/>
      <c r="BR195" s="399"/>
      <c r="BS195" s="399"/>
      <c r="BT195" s="399"/>
      <c r="BU195" s="399"/>
      <c r="BV195" s="399"/>
      <c r="BW195" s="399"/>
      <c r="BX195" s="399"/>
      <c r="BY195" s="399"/>
      <c r="BZ195" s="399"/>
      <c r="CA195" s="399"/>
      <c r="CB195" s="399"/>
      <c r="CC195" s="399"/>
      <c r="CD195" s="399"/>
      <c r="CE195" s="399"/>
      <c r="CF195" s="399"/>
      <c r="CG195" s="399"/>
      <c r="CH195" s="399"/>
      <c r="CI195" s="399"/>
      <c r="CJ195" s="399"/>
      <c r="CK195" s="399"/>
      <c r="CL195" s="399"/>
      <c r="CM195" s="399"/>
      <c r="CN195" s="399"/>
      <c r="CO195" s="399"/>
      <c r="CP195" s="399"/>
      <c r="CQ195" s="399"/>
      <c r="CR195" s="399"/>
      <c r="CS195" s="399"/>
      <c r="CT195" s="399"/>
      <c r="CU195" s="399"/>
      <c r="CV195" s="399"/>
      <c r="CW195" s="399"/>
      <c r="CX195" s="399"/>
      <c r="CY195" s="399"/>
      <c r="CZ195" s="399"/>
      <c r="DA195" s="399"/>
      <c r="DB195" s="399"/>
      <c r="DC195" s="399"/>
      <c r="DD195" s="399"/>
      <c r="DE195" s="399"/>
      <c r="DF195" s="399"/>
      <c r="DG195" s="399"/>
      <c r="DH195" s="399"/>
      <c r="DI195" s="399"/>
      <c r="DJ195" s="399"/>
      <c r="DK195" s="399"/>
      <c r="DL195" s="399"/>
      <c r="DM195" s="399"/>
      <c r="DN195" s="399"/>
      <c r="DO195" s="399"/>
      <c r="DP195" s="399"/>
      <c r="DQ195" s="399"/>
    </row>
    <row r="196" spans="1:121" s="760" customFormat="1" ht="14.45" customHeight="1" x14ac:dyDescent="0.25">
      <c r="A196" s="266">
        <f t="shared" si="2"/>
        <v>23.233333333333334</v>
      </c>
      <c r="B196" s="389">
        <v>42159</v>
      </c>
      <c r="C196" s="390" t="s">
        <v>451</v>
      </c>
      <c r="D196" s="390" t="s">
        <v>459</v>
      </c>
      <c r="E196" s="390" t="s">
        <v>380</v>
      </c>
      <c r="F196" s="390" t="s">
        <v>185</v>
      </c>
      <c r="G196" s="262" t="s">
        <v>209</v>
      </c>
      <c r="H196" s="261"/>
      <c r="I196" s="261"/>
      <c r="J196" s="261"/>
      <c r="K196" s="261"/>
      <c r="L196" s="261">
        <v>80</v>
      </c>
      <c r="M196" s="261"/>
      <c r="N196" s="261"/>
      <c r="O196" s="261"/>
      <c r="P196" s="261"/>
      <c r="Q196" s="261"/>
      <c r="R196" s="261"/>
      <c r="S196" s="261"/>
      <c r="T196" s="261"/>
      <c r="U196" s="261"/>
      <c r="V196" s="762"/>
      <c r="W196" s="261"/>
      <c r="X196" s="261"/>
      <c r="Y196" s="264">
        <f>IF(NFI_Expiration=1,IF($A196&lt;VLOOKUP(H$5,NFI,5,0),1,0)*Table_NFI[[#This Row],[Hygiene Kit]],Table_NFI[Hygiene Kit])</f>
        <v>0</v>
      </c>
      <c r="Z196" s="264">
        <f>IF(NFI_Expiration=1,IF($A196&lt;VLOOKUP(I$5,NFI,5,0),1,0)*Table_NFI[[#This Row],[NFI Core Kit]],Table_NFI[NFI Core Kit])</f>
        <v>0</v>
      </c>
      <c r="AA196" s="264">
        <f>IF(NFI_Expiration=1,IF($A196&lt;VLOOKUP(J$5,NFI,5,0),1,0)*Table_NFI[[#This Row],[Sanitary Kit]],Table_NFI[Sanitary Kit])</f>
        <v>0</v>
      </c>
      <c r="AB196" s="264">
        <f>IF(NFI_Expiration=1,IF($A196&lt;VLOOKUP(K$5,NFI,5,0),1,0)*Table_NFI[[#This Row],[Mosquito net]],Table_NFI[Mosquito net])</f>
        <v>0</v>
      </c>
      <c r="AC196" s="264">
        <f>IF(NFI_Expiration=1,IF($A196&lt;VLOOKUP(L$5,NFI,5,0),1,0)*Table_NFI[[#This Row],[Tarpaulin]],Table_NFI[[#This Row],[Tarpaulin]])</f>
        <v>0</v>
      </c>
      <c r="AD196" s="264">
        <f>IF(NFI_Expiration=1,IF($A196&lt;VLOOKUP(M$5,NFI,5,0),1,0)*Table_NFI[[#This Row],[Blanket]],Table_NFI[[#This Row],[Blanket]])</f>
        <v>0</v>
      </c>
      <c r="AE196" s="264">
        <f>IF(NFI_Expiration=1,IF($A196&lt;VLOOKUP(N$5,NFI,5,0),1,0)*Table_NFI[[#This Row],[Kitchen Set]],Table_NFI[Kitchen Set])</f>
        <v>0</v>
      </c>
      <c r="AF196" s="264">
        <f>IF(NFI_Expiration=1,IF($A196&lt;VLOOKUP(O$5,NFI,5,0),1,0)*Table_NFI[[#This Row],[Clothes Kit]],Table_NFI[Clothes Kit])</f>
        <v>0</v>
      </c>
      <c r="AG196" s="264">
        <f>IF(NFI_Expiration=1,IF($A196&lt;VLOOKUP(P$5,NFI,5,0),1,0)*Table_NFI[[#This Row],[Plastic Bucket]],Table_NFI[Plastic Bucket])</f>
        <v>0</v>
      </c>
      <c r="AH196" s="264">
        <f>IF(NFI_Expiration=1,IF($A196&lt;VLOOKUP(Q$5,NFI,5,0),1,0)*Table_NFI[[#This Row],[Plastic Mat]],Table_NFI[Plastic Mat])*IF(Table_NFI[[#This Row],[Distribution Date]]&gt;"2014-04-01",1,2.5)</f>
        <v>0</v>
      </c>
      <c r="AI196" s="264">
        <f>IF(NFI_Expiration=1,IF($A196&lt;VLOOKUP(R$5,NFI,5,0),1,0)*Table_NFI[[#This Row],[Winter Clothes Adult]],Table_NFI[Winter Clothes Adult])</f>
        <v>0</v>
      </c>
      <c r="AJ196" s="264">
        <f>IF(NFI_Expiration=1,IF($A196&lt;VLOOKUP(S$5,NFI,5,0),1,0)*Table_NFI[[#This Row],[Winter Clothes Children]],Table_NFI[Winter Clothes Children])</f>
        <v>0</v>
      </c>
      <c r="AK196" s="264">
        <f>IF(NFI_Expiration=1,IF($A196&lt;VLOOKUP(T$5,NFI,5,0),1,0)*Table_NFI[[#This Row],[Winter Items Other]],Table_NFI[Winter Items Other])</f>
        <v>0</v>
      </c>
      <c r="AL196" s="264">
        <f>IF(NFI_Expiration=1,IF($A196&lt;VLOOKUP(M$5,NFI,5,0),1,0)*Table_NFI[[#This Row],[Winter Blanket]],Table_NFI[[#This Row],[Winter Blanket]])</f>
        <v>0</v>
      </c>
      <c r="AM196" s="264">
        <f>IF(Table_NFI[[#This Row],[Winter Clothes Adult]]+Table_NFI[[#This Row],[Winter Clothes Children]]+Table_NFI[[#This Row],[Winter Items Other]]+Table_NFI[[#This Row],[Winter Blanket]]&gt;0,1,0)</f>
        <v>0</v>
      </c>
      <c r="AN196" s="296">
        <f>IF(NFI_Expiration=1,IF($A196&lt;VLOOKUP(V$5,NFI,5,0),1,0)*Table_NFI[[#This Row],[Jerry Can]],Table_NFI[Jerry Can])</f>
        <v>0</v>
      </c>
      <c r="AO196" s="296">
        <f>IF(NFI_Expiration=1,IF($A196&lt;VLOOKUP(V$5,NFI,5,0),1,0)*Table_NFI[[#This Row],[Shelter Tool kit]],Table_NFI[Shelter Tool kit])</f>
        <v>0</v>
      </c>
      <c r="AP196" s="296">
        <f>IF(NFI_Expiration=1,IF($A196&lt;VLOOKUP(V$5,NFI,5,0),1,0)*Table_NFI[[#This Row],[Tent]],Table_NFI[Tent])</f>
        <v>0</v>
      </c>
      <c r="AQ196" s="396" t="str">
        <f>IFERROR(VLOOKUP(Table_NFI[[#This Row],[Camp Name]],CL,2,0),"")</f>
        <v>MMR001CMP056</v>
      </c>
      <c r="AR196" s="702">
        <f ca="1">IF(Table_NFI[[#This Row],[Pcode]]="","",IF(OFFSET(CampList[Opening Date],MATCH(Table_NFI[[#This Row],[Pcode]],CampList[CP_Pcode],0)-1,0,1,1)&gt;=NFI_Monitor_Date,1,0))</f>
        <v>0</v>
      </c>
      <c r="AS196" s="396" t="str">
        <f>IFERROR(VLOOKUP(Table_NFI[[#This Row],[Camp Name]],CL,3,0),"")</f>
        <v>Open</v>
      </c>
      <c r="AT196" s="264" t="str">
        <f ca="1">IF(Table_NFI[[#This Row],[Pcode]]="","",OFFSET(CampList[Priority],MATCH(Table_NFI[[#This Row],[Pcode]],CampList[CP_Pcode],0)-1,0,1,1))</f>
        <v>P4</v>
      </c>
      <c r="AU196" s="263">
        <f>IFERROR(Table_NFI[[#This Row],[Kitchen Set]]/VLOOKUP(Table_NFI[[#This Row],[Camp Name]],CL,4,0),"")</f>
        <v>0</v>
      </c>
      <c r="AV196" s="390" t="s">
        <v>1087</v>
      </c>
      <c r="AW196" s="392"/>
      <c r="AX196" s="399"/>
      <c r="AY196" s="399"/>
      <c r="AZ196" s="399"/>
      <c r="BA196" s="399"/>
      <c r="BB196" s="399"/>
      <c r="BC196" s="399"/>
      <c r="BD196" s="399"/>
      <c r="BE196" s="399"/>
      <c r="BF196" s="399"/>
      <c r="BG196" s="399"/>
      <c r="BH196" s="399"/>
      <c r="BI196" s="399"/>
      <c r="BJ196" s="399"/>
      <c r="BK196" s="399"/>
      <c r="BL196" s="399"/>
      <c r="BM196" s="399"/>
      <c r="BN196" s="399"/>
      <c r="BO196" s="399"/>
      <c r="BP196" s="399"/>
      <c r="BQ196" s="399"/>
      <c r="BR196" s="399"/>
      <c r="BS196" s="399"/>
      <c r="BT196" s="399"/>
      <c r="BU196" s="399"/>
      <c r="BV196" s="399"/>
      <c r="BW196" s="399"/>
      <c r="BX196" s="399"/>
      <c r="BY196" s="399"/>
      <c r="BZ196" s="399"/>
      <c r="CA196" s="399"/>
      <c r="CB196" s="399"/>
      <c r="CC196" s="399"/>
      <c r="CD196" s="399"/>
      <c r="CE196" s="399"/>
      <c r="CF196" s="399"/>
      <c r="CG196" s="399"/>
      <c r="CH196" s="399"/>
      <c r="CI196" s="399"/>
      <c r="CJ196" s="399"/>
      <c r="CK196" s="399"/>
      <c r="CL196" s="399"/>
      <c r="CM196" s="399"/>
      <c r="CN196" s="399"/>
      <c r="CO196" s="399"/>
      <c r="CP196" s="399"/>
      <c r="CQ196" s="399"/>
      <c r="CR196" s="399"/>
      <c r="CS196" s="399"/>
      <c r="CT196" s="399"/>
      <c r="CU196" s="399"/>
      <c r="CV196" s="399"/>
      <c r="CW196" s="399"/>
      <c r="CX196" s="399"/>
      <c r="CY196" s="399"/>
      <c r="CZ196" s="399"/>
      <c r="DA196" s="399"/>
      <c r="DB196" s="399"/>
      <c r="DC196" s="399"/>
      <c r="DD196" s="399"/>
      <c r="DE196" s="399"/>
      <c r="DF196" s="399"/>
      <c r="DG196" s="399"/>
      <c r="DH196" s="399"/>
      <c r="DI196" s="399"/>
      <c r="DJ196" s="399"/>
      <c r="DK196" s="399"/>
      <c r="DL196" s="399"/>
      <c r="DM196" s="399"/>
      <c r="DN196" s="399"/>
      <c r="DO196" s="399"/>
      <c r="DP196" s="399"/>
      <c r="DQ196" s="399"/>
    </row>
    <row r="197" spans="1:121" s="760" customFormat="1" ht="14.45" customHeight="1" x14ac:dyDescent="0.2">
      <c r="A197" s="266">
        <f t="shared" si="2"/>
        <v>23.233333333333334</v>
      </c>
      <c r="B197" s="389">
        <v>42159</v>
      </c>
      <c r="C197" s="390" t="s">
        <v>904</v>
      </c>
      <c r="D197" s="390" t="s">
        <v>904</v>
      </c>
      <c r="E197" s="390" t="s">
        <v>380</v>
      </c>
      <c r="F197" s="262" t="s">
        <v>185</v>
      </c>
      <c r="G197" s="262" t="s">
        <v>229</v>
      </c>
      <c r="H197" s="261"/>
      <c r="I197" s="261"/>
      <c r="J197" s="764">
        <v>87</v>
      </c>
      <c r="K197" s="261"/>
      <c r="L197" s="261"/>
      <c r="M197" s="261"/>
      <c r="N197" s="261"/>
      <c r="O197" s="261"/>
      <c r="P197" s="261"/>
      <c r="Q197" s="261"/>
      <c r="R197" s="261"/>
      <c r="S197" s="261"/>
      <c r="T197" s="261"/>
      <c r="U197" s="261"/>
      <c r="V197" s="762"/>
      <c r="W197" s="261"/>
      <c r="X197" s="261"/>
      <c r="Y197" s="264">
        <f>IF(NFI_Expiration=1,IF($A197&lt;VLOOKUP(H$5,NFI,5,0),1,0)*Table_NFI[[#This Row],[Hygiene Kit]],Table_NFI[Hygiene Kit])</f>
        <v>0</v>
      </c>
      <c r="Z197" s="264">
        <f>IF(NFI_Expiration=1,IF($A197&lt;VLOOKUP(I$5,NFI,5,0),1,0)*Table_NFI[[#This Row],[NFI Core Kit]],Table_NFI[NFI Core Kit])</f>
        <v>0</v>
      </c>
      <c r="AA197" s="264">
        <f>IF(NFI_Expiration=1,IF($A197&lt;VLOOKUP(J$5,NFI,5,0),1,0)*Table_NFI[[#This Row],[Sanitary Kit]],Table_NFI[Sanitary Kit])</f>
        <v>0</v>
      </c>
      <c r="AB197" s="264">
        <f>IF(NFI_Expiration=1,IF($A197&lt;VLOOKUP(K$5,NFI,5,0),1,0)*Table_NFI[[#This Row],[Mosquito net]],Table_NFI[Mosquito net])</f>
        <v>0</v>
      </c>
      <c r="AC197" s="264">
        <f>IF(NFI_Expiration=1,IF($A197&lt;VLOOKUP(L$5,NFI,5,0),1,0)*Table_NFI[[#This Row],[Tarpaulin]],Table_NFI[[#This Row],[Tarpaulin]])</f>
        <v>0</v>
      </c>
      <c r="AD197" s="264">
        <f>IF(NFI_Expiration=1,IF($A197&lt;VLOOKUP(M$5,NFI,5,0),1,0)*Table_NFI[[#This Row],[Blanket]],Table_NFI[[#This Row],[Blanket]])</f>
        <v>0</v>
      </c>
      <c r="AE197" s="264">
        <f>IF(NFI_Expiration=1,IF($A197&lt;VLOOKUP(N$5,NFI,5,0),1,0)*Table_NFI[[#This Row],[Kitchen Set]],Table_NFI[Kitchen Set])</f>
        <v>0</v>
      </c>
      <c r="AF197" s="264">
        <f>IF(NFI_Expiration=1,IF($A197&lt;VLOOKUP(O$5,NFI,5,0),1,0)*Table_NFI[[#This Row],[Clothes Kit]],Table_NFI[Clothes Kit])</f>
        <v>0</v>
      </c>
      <c r="AG197" s="264">
        <f>IF(NFI_Expiration=1,IF($A197&lt;VLOOKUP(P$5,NFI,5,0),1,0)*Table_NFI[[#This Row],[Plastic Bucket]],Table_NFI[Plastic Bucket])</f>
        <v>0</v>
      </c>
      <c r="AH197" s="264">
        <f>IF(NFI_Expiration=1,IF($A197&lt;VLOOKUP(Q$5,NFI,5,0),1,0)*Table_NFI[[#This Row],[Plastic Mat]],Table_NFI[Plastic Mat])*IF(Table_NFI[[#This Row],[Distribution Date]]&gt;"2014-04-01",1,2.5)</f>
        <v>0</v>
      </c>
      <c r="AI197" s="264">
        <f>IF(NFI_Expiration=1,IF($A197&lt;VLOOKUP(R$5,NFI,5,0),1,0)*Table_NFI[[#This Row],[Winter Clothes Adult]],Table_NFI[Winter Clothes Adult])</f>
        <v>0</v>
      </c>
      <c r="AJ197" s="264">
        <f>IF(NFI_Expiration=1,IF($A197&lt;VLOOKUP(S$5,NFI,5,0),1,0)*Table_NFI[[#This Row],[Winter Clothes Children]],Table_NFI[Winter Clothes Children])</f>
        <v>0</v>
      </c>
      <c r="AK197" s="264">
        <f>IF(NFI_Expiration=1,IF($A197&lt;VLOOKUP(T$5,NFI,5,0),1,0)*Table_NFI[[#This Row],[Winter Items Other]],Table_NFI[Winter Items Other])</f>
        <v>0</v>
      </c>
      <c r="AL197" s="264">
        <f>IF(NFI_Expiration=1,IF($A197&lt;VLOOKUP(M$5,NFI,5,0),1,0)*Table_NFI[[#This Row],[Winter Blanket]],Table_NFI[[#This Row],[Winter Blanket]])</f>
        <v>0</v>
      </c>
      <c r="AM197" s="264">
        <f>IF(Table_NFI[[#This Row],[Winter Clothes Adult]]+Table_NFI[[#This Row],[Winter Clothes Children]]+Table_NFI[[#This Row],[Winter Items Other]]+Table_NFI[[#This Row],[Winter Blanket]]&gt;0,1,0)</f>
        <v>0</v>
      </c>
      <c r="AN197" s="296">
        <f>IF(NFI_Expiration=1,IF($A197&lt;VLOOKUP(V$5,NFI,5,0),1,0)*Table_NFI[[#This Row],[Jerry Can]],Table_NFI[Jerry Can])</f>
        <v>0</v>
      </c>
      <c r="AO197" s="296">
        <f>IF(NFI_Expiration=1,IF($A197&lt;VLOOKUP(V$5,NFI,5,0),1,0)*Table_NFI[[#This Row],[Shelter Tool kit]],Table_NFI[Shelter Tool kit])</f>
        <v>0</v>
      </c>
      <c r="AP197" s="296">
        <f>IF(NFI_Expiration=1,IF($A197&lt;VLOOKUP(V$5,NFI,5,0),1,0)*Table_NFI[[#This Row],[Tent]],Table_NFI[Tent])</f>
        <v>0</v>
      </c>
      <c r="AQ197" s="396" t="str">
        <f>IFERROR(VLOOKUP(Table_NFI[[#This Row],[Camp Name]],CL,2,0),"")</f>
        <v>MMR001CMP072</v>
      </c>
      <c r="AR197" s="702">
        <f ca="1">IF(Table_NFI[[#This Row],[Pcode]]="","",IF(OFFSET(CampList[Opening Date],MATCH(Table_NFI[[#This Row],[Pcode]],CampList[CP_Pcode],0)-1,0,1,1)&gt;=NFI_Monitor_Date,1,0))</f>
        <v>0</v>
      </c>
      <c r="AS197" s="396" t="str">
        <f>IFERROR(VLOOKUP(Table_NFI[[#This Row],[Camp Name]],CL,3,0),"")</f>
        <v>Open</v>
      </c>
      <c r="AT197" s="264" t="str">
        <f ca="1">IF(Table_NFI[[#This Row],[Pcode]]="","",OFFSET(CampList[Priority],MATCH(Table_NFI[[#This Row],[Pcode]],CampList[CP_Pcode],0)-1,0,1,1))</f>
        <v>P3</v>
      </c>
      <c r="AU197" s="263">
        <f>IFERROR(Table_NFI[[#This Row],[Kitchen Set]]/VLOOKUP(Table_NFI[[#This Row],[Camp Name]],CL,4,0),"")</f>
        <v>0</v>
      </c>
      <c r="AV197" s="390"/>
      <c r="AW197" s="392"/>
      <c r="AX197" s="399"/>
      <c r="AY197" s="399"/>
      <c r="AZ197" s="399"/>
      <c r="BA197" s="399"/>
      <c r="BB197" s="399"/>
      <c r="BC197" s="399"/>
      <c r="BD197" s="399"/>
      <c r="BE197" s="399"/>
      <c r="BF197" s="399"/>
      <c r="BG197" s="399"/>
      <c r="BH197" s="399"/>
      <c r="BI197" s="399"/>
      <c r="BJ197" s="399"/>
      <c r="BK197" s="399"/>
      <c r="BL197" s="399"/>
      <c r="BM197" s="399"/>
      <c r="BN197" s="399"/>
      <c r="BO197" s="399"/>
      <c r="BP197" s="399"/>
      <c r="BQ197" s="399"/>
      <c r="BR197" s="399"/>
      <c r="BS197" s="399"/>
      <c r="BT197" s="399"/>
      <c r="BU197" s="399"/>
      <c r="BV197" s="399"/>
      <c r="BW197" s="399"/>
      <c r="BX197" s="399"/>
      <c r="BY197" s="399"/>
      <c r="BZ197" s="399"/>
      <c r="CA197" s="399"/>
      <c r="CB197" s="399"/>
      <c r="CC197" s="399"/>
      <c r="CD197" s="399"/>
      <c r="CE197" s="399"/>
      <c r="CF197" s="399"/>
      <c r="CG197" s="399"/>
      <c r="CH197" s="399"/>
      <c r="CI197" s="399"/>
      <c r="CJ197" s="399"/>
      <c r="CK197" s="399"/>
      <c r="CL197" s="399"/>
      <c r="CM197" s="399"/>
      <c r="CN197" s="399"/>
      <c r="CO197" s="399"/>
      <c r="CP197" s="399"/>
      <c r="CQ197" s="399"/>
      <c r="CR197" s="399"/>
      <c r="CS197" s="399"/>
      <c r="CT197" s="399"/>
      <c r="CU197" s="399"/>
      <c r="CV197" s="399"/>
      <c r="CW197" s="399"/>
      <c r="CX197" s="399"/>
      <c r="CY197" s="399"/>
      <c r="CZ197" s="399"/>
      <c r="DA197" s="399"/>
      <c r="DB197" s="399"/>
      <c r="DC197" s="399"/>
      <c r="DD197" s="399"/>
      <c r="DE197" s="399"/>
      <c r="DF197" s="399"/>
      <c r="DG197" s="399"/>
      <c r="DH197" s="399"/>
      <c r="DI197" s="399"/>
      <c r="DJ197" s="399"/>
      <c r="DK197" s="399"/>
      <c r="DL197" s="399"/>
      <c r="DM197" s="399"/>
      <c r="DN197" s="399"/>
      <c r="DO197" s="399"/>
      <c r="DP197" s="399"/>
      <c r="DQ197" s="399"/>
    </row>
    <row r="198" spans="1:121" s="760" customFormat="1" ht="14.45" customHeight="1" x14ac:dyDescent="0.25">
      <c r="A198" s="266">
        <f t="shared" ref="A198:A261" si="3">IF(ISBLANK(B198),"",(Report_Date-B198)/30)</f>
        <v>23.233333333333334</v>
      </c>
      <c r="B198" s="389">
        <v>42159</v>
      </c>
      <c r="C198" s="391" t="s">
        <v>451</v>
      </c>
      <c r="D198" s="391" t="s">
        <v>459</v>
      </c>
      <c r="E198" s="390" t="s">
        <v>380</v>
      </c>
      <c r="F198" s="262" t="s">
        <v>5</v>
      </c>
      <c r="G198" s="262" t="s">
        <v>366</v>
      </c>
      <c r="H198" s="261"/>
      <c r="I198" s="261"/>
      <c r="J198" s="261"/>
      <c r="K198" s="261"/>
      <c r="L198" s="261">
        <v>37</v>
      </c>
      <c r="M198" s="261"/>
      <c r="N198" s="261"/>
      <c r="O198" s="261"/>
      <c r="P198" s="261"/>
      <c r="Q198" s="261"/>
      <c r="R198" s="261"/>
      <c r="S198" s="261"/>
      <c r="T198" s="261"/>
      <c r="U198" s="261"/>
      <c r="V198" s="762"/>
      <c r="W198" s="261"/>
      <c r="X198" s="261"/>
      <c r="Y198" s="264">
        <f>IF(NFI_Expiration=1,IF($A198&lt;VLOOKUP(H$5,NFI,5,0),1,0)*Table_NFI[[#This Row],[Hygiene Kit]],Table_NFI[Hygiene Kit])</f>
        <v>0</v>
      </c>
      <c r="Z198" s="264">
        <f>IF(NFI_Expiration=1,IF($A198&lt;VLOOKUP(I$5,NFI,5,0),1,0)*Table_NFI[[#This Row],[NFI Core Kit]],Table_NFI[NFI Core Kit])</f>
        <v>0</v>
      </c>
      <c r="AA198" s="264">
        <f>IF(NFI_Expiration=1,IF($A198&lt;VLOOKUP(J$5,NFI,5,0),1,0)*Table_NFI[[#This Row],[Sanitary Kit]],Table_NFI[Sanitary Kit])</f>
        <v>0</v>
      </c>
      <c r="AB198" s="264">
        <f>IF(NFI_Expiration=1,IF($A198&lt;VLOOKUP(K$5,NFI,5,0),1,0)*Table_NFI[[#This Row],[Mosquito net]],Table_NFI[Mosquito net])</f>
        <v>0</v>
      </c>
      <c r="AC198" s="264">
        <f>IF(NFI_Expiration=1,IF($A198&lt;VLOOKUP(L$5,NFI,5,0),1,0)*Table_NFI[[#This Row],[Tarpaulin]],Table_NFI[[#This Row],[Tarpaulin]])</f>
        <v>0</v>
      </c>
      <c r="AD198" s="264">
        <f>IF(NFI_Expiration=1,IF($A198&lt;VLOOKUP(M$5,NFI,5,0),1,0)*Table_NFI[[#This Row],[Blanket]],Table_NFI[[#This Row],[Blanket]])</f>
        <v>0</v>
      </c>
      <c r="AE198" s="264">
        <f>IF(NFI_Expiration=1,IF($A198&lt;VLOOKUP(N$5,NFI,5,0),1,0)*Table_NFI[[#This Row],[Kitchen Set]],Table_NFI[Kitchen Set])</f>
        <v>0</v>
      </c>
      <c r="AF198" s="264">
        <f>IF(NFI_Expiration=1,IF($A198&lt;VLOOKUP(O$5,NFI,5,0),1,0)*Table_NFI[[#This Row],[Clothes Kit]],Table_NFI[Clothes Kit])</f>
        <v>0</v>
      </c>
      <c r="AG198" s="264">
        <f>IF(NFI_Expiration=1,IF($A198&lt;VLOOKUP(P$5,NFI,5,0),1,0)*Table_NFI[[#This Row],[Plastic Bucket]],Table_NFI[Plastic Bucket])</f>
        <v>0</v>
      </c>
      <c r="AH198" s="264">
        <f>IF(NFI_Expiration=1,IF($A198&lt;VLOOKUP(Q$5,NFI,5,0),1,0)*Table_NFI[[#This Row],[Plastic Mat]],Table_NFI[Plastic Mat])*IF(Table_NFI[[#This Row],[Distribution Date]]&gt;"2014-04-01",1,2.5)</f>
        <v>0</v>
      </c>
      <c r="AI198" s="264">
        <f>IF(NFI_Expiration=1,IF($A198&lt;VLOOKUP(R$5,NFI,5,0),1,0)*Table_NFI[[#This Row],[Winter Clothes Adult]],Table_NFI[Winter Clothes Adult])</f>
        <v>0</v>
      </c>
      <c r="AJ198" s="264">
        <f>IF(NFI_Expiration=1,IF($A198&lt;VLOOKUP(S$5,NFI,5,0),1,0)*Table_NFI[[#This Row],[Winter Clothes Children]],Table_NFI[Winter Clothes Children])</f>
        <v>0</v>
      </c>
      <c r="AK198" s="264">
        <f>IF(NFI_Expiration=1,IF($A198&lt;VLOOKUP(T$5,NFI,5,0),1,0)*Table_NFI[[#This Row],[Winter Items Other]],Table_NFI[Winter Items Other])</f>
        <v>0</v>
      </c>
      <c r="AL198" s="264">
        <f>IF(NFI_Expiration=1,IF($A198&lt;VLOOKUP(M$5,NFI,5,0),1,0)*Table_NFI[[#This Row],[Winter Blanket]],Table_NFI[[#This Row],[Winter Blanket]])</f>
        <v>0</v>
      </c>
      <c r="AM198" s="264">
        <f>IF(Table_NFI[[#This Row],[Winter Clothes Adult]]+Table_NFI[[#This Row],[Winter Clothes Children]]+Table_NFI[[#This Row],[Winter Items Other]]+Table_NFI[[#This Row],[Winter Blanket]]&gt;0,1,0)</f>
        <v>0</v>
      </c>
      <c r="AN198" s="296">
        <f>IF(NFI_Expiration=1,IF($A198&lt;VLOOKUP(V$5,NFI,5,0),1,0)*Table_NFI[[#This Row],[Jerry Can]],Table_NFI[Jerry Can])</f>
        <v>0</v>
      </c>
      <c r="AO198" s="296">
        <f>IF(NFI_Expiration=1,IF($A198&lt;VLOOKUP(V$5,NFI,5,0),1,0)*Table_NFI[[#This Row],[Shelter Tool kit]],Table_NFI[Shelter Tool kit])</f>
        <v>0</v>
      </c>
      <c r="AP198" s="296">
        <f>IF(NFI_Expiration=1,IF($A198&lt;VLOOKUP(V$5,NFI,5,0),1,0)*Table_NFI[[#This Row],[Tent]],Table_NFI[Tent])</f>
        <v>0</v>
      </c>
      <c r="AQ198" s="396" t="str">
        <f>IFERROR(VLOOKUP(Table_NFI[[#This Row],[Camp Name]],CL,2,0),"")</f>
        <v>MMR001CMP193</v>
      </c>
      <c r="AR198" s="702">
        <f ca="1">IF(Table_NFI[[#This Row],[Pcode]]="","",IF(OFFSET(CampList[Opening Date],MATCH(Table_NFI[[#This Row],[Pcode]],CampList[CP_Pcode],0)-1,0,1,1)&gt;=NFI_Monitor_Date,1,0))</f>
        <v>0</v>
      </c>
      <c r="AS198" s="396" t="str">
        <f>IFERROR(VLOOKUP(Table_NFI[[#This Row],[Camp Name]],CL,3,0),"")</f>
        <v>Open</v>
      </c>
      <c r="AT198" s="264" t="str">
        <f ca="1">IF(Table_NFI[[#This Row],[Pcode]]="","",OFFSET(CampList[Priority],MATCH(Table_NFI[[#This Row],[Pcode]],CampList[CP_Pcode],0)-1,0,1,1))</f>
        <v>P4</v>
      </c>
      <c r="AU198" s="263">
        <f>IFERROR(Table_NFI[[#This Row],[Kitchen Set]]/VLOOKUP(Table_NFI[[#This Row],[Camp Name]],CL,4,0),"")</f>
        <v>0</v>
      </c>
      <c r="AV198" s="390" t="s">
        <v>1087</v>
      </c>
      <c r="AW198" s="392"/>
      <c r="AX198" s="399"/>
      <c r="AY198" s="399"/>
      <c r="AZ198" s="399"/>
      <c r="BA198" s="399"/>
      <c r="BB198" s="399"/>
      <c r="BC198" s="399"/>
      <c r="BD198" s="399"/>
      <c r="BE198" s="399"/>
      <c r="BF198" s="399"/>
      <c r="BG198" s="399"/>
      <c r="BH198" s="399"/>
      <c r="BI198" s="399"/>
      <c r="BJ198" s="399"/>
      <c r="BK198" s="399"/>
      <c r="BL198" s="399"/>
      <c r="BM198" s="399"/>
      <c r="BN198" s="399"/>
      <c r="BO198" s="399"/>
      <c r="BP198" s="399"/>
      <c r="BQ198" s="399"/>
      <c r="BR198" s="399"/>
      <c r="BS198" s="399"/>
      <c r="BT198" s="399"/>
      <c r="BU198" s="399"/>
      <c r="BV198" s="399"/>
      <c r="BW198" s="399"/>
      <c r="BX198" s="399"/>
      <c r="BY198" s="399"/>
      <c r="BZ198" s="399"/>
      <c r="CA198" s="399"/>
      <c r="CB198" s="399"/>
      <c r="CC198" s="399"/>
      <c r="CD198" s="399"/>
      <c r="CE198" s="399"/>
      <c r="CF198" s="399"/>
      <c r="CG198" s="399"/>
      <c r="CH198" s="399"/>
      <c r="CI198" s="399"/>
      <c r="CJ198" s="399"/>
      <c r="CK198" s="399"/>
      <c r="CL198" s="399"/>
      <c r="CM198" s="399"/>
      <c r="CN198" s="399"/>
      <c r="CO198" s="399"/>
      <c r="CP198" s="399"/>
      <c r="CQ198" s="399"/>
      <c r="CR198" s="399"/>
      <c r="CS198" s="399"/>
      <c r="CT198" s="399"/>
      <c r="CU198" s="399"/>
      <c r="CV198" s="399"/>
      <c r="CW198" s="399"/>
      <c r="CX198" s="399"/>
      <c r="CY198" s="399"/>
      <c r="CZ198" s="399"/>
      <c r="DA198" s="399"/>
      <c r="DB198" s="399"/>
      <c r="DC198" s="399"/>
      <c r="DD198" s="399"/>
      <c r="DE198" s="399"/>
      <c r="DF198" s="399"/>
      <c r="DG198" s="399"/>
      <c r="DH198" s="399"/>
      <c r="DI198" s="399"/>
      <c r="DJ198" s="399"/>
      <c r="DK198" s="399"/>
      <c r="DL198" s="399"/>
      <c r="DM198" s="399"/>
      <c r="DN198" s="399"/>
      <c r="DO198" s="399"/>
      <c r="DP198" s="399"/>
      <c r="DQ198" s="399"/>
    </row>
    <row r="199" spans="1:121" s="760" customFormat="1" ht="14.45" customHeight="1" x14ac:dyDescent="0.25">
      <c r="A199" s="266">
        <f t="shared" si="3"/>
        <v>23.233333333333334</v>
      </c>
      <c r="B199" s="389">
        <v>42159</v>
      </c>
      <c r="C199" s="390" t="s">
        <v>451</v>
      </c>
      <c r="D199" s="390" t="s">
        <v>459</v>
      </c>
      <c r="E199" s="390" t="s">
        <v>380</v>
      </c>
      <c r="F199" s="390" t="s">
        <v>185</v>
      </c>
      <c r="G199" s="390" t="s">
        <v>225</v>
      </c>
      <c r="H199" s="261"/>
      <c r="I199" s="261"/>
      <c r="J199" s="261"/>
      <c r="K199" s="261">
        <v>18</v>
      </c>
      <c r="L199" s="261">
        <v>35</v>
      </c>
      <c r="M199" s="261"/>
      <c r="N199" s="261"/>
      <c r="O199" s="261"/>
      <c r="P199" s="261"/>
      <c r="Q199" s="261"/>
      <c r="R199" s="261"/>
      <c r="S199" s="261"/>
      <c r="T199" s="261"/>
      <c r="U199" s="261"/>
      <c r="V199" s="762"/>
      <c r="W199" s="261"/>
      <c r="X199" s="261">
        <v>8</v>
      </c>
      <c r="Y199" s="264">
        <f>IF(NFI_Expiration=1,IF($A199&lt;VLOOKUP(H$5,NFI,5,0),1,0)*Table_NFI[[#This Row],[Hygiene Kit]],Table_NFI[Hygiene Kit])</f>
        <v>0</v>
      </c>
      <c r="Z199" s="264">
        <f>IF(NFI_Expiration=1,IF($A199&lt;VLOOKUP(I$5,NFI,5,0),1,0)*Table_NFI[[#This Row],[NFI Core Kit]],Table_NFI[NFI Core Kit])</f>
        <v>0</v>
      </c>
      <c r="AA199" s="264">
        <f>IF(NFI_Expiration=1,IF($A199&lt;VLOOKUP(J$5,NFI,5,0),1,0)*Table_NFI[[#This Row],[Sanitary Kit]],Table_NFI[Sanitary Kit])</f>
        <v>0</v>
      </c>
      <c r="AB199" s="264">
        <f>IF(NFI_Expiration=1,IF($A199&lt;VLOOKUP(K$5,NFI,5,0),1,0)*Table_NFI[[#This Row],[Mosquito net]],Table_NFI[Mosquito net])</f>
        <v>0</v>
      </c>
      <c r="AC199" s="264">
        <f>IF(NFI_Expiration=1,IF($A199&lt;VLOOKUP(L$5,NFI,5,0),1,0)*Table_NFI[[#This Row],[Tarpaulin]],Table_NFI[[#This Row],[Tarpaulin]])</f>
        <v>0</v>
      </c>
      <c r="AD199" s="264">
        <f>IF(NFI_Expiration=1,IF($A199&lt;VLOOKUP(M$5,NFI,5,0),1,0)*Table_NFI[[#This Row],[Blanket]],Table_NFI[[#This Row],[Blanket]])</f>
        <v>0</v>
      </c>
      <c r="AE199" s="264">
        <f>IF(NFI_Expiration=1,IF($A199&lt;VLOOKUP(N$5,NFI,5,0),1,0)*Table_NFI[[#This Row],[Kitchen Set]],Table_NFI[Kitchen Set])</f>
        <v>0</v>
      </c>
      <c r="AF199" s="264">
        <f>IF(NFI_Expiration=1,IF($A199&lt;VLOOKUP(O$5,NFI,5,0),1,0)*Table_NFI[[#This Row],[Clothes Kit]],Table_NFI[Clothes Kit])</f>
        <v>0</v>
      </c>
      <c r="AG199" s="264">
        <f>IF(NFI_Expiration=1,IF($A199&lt;VLOOKUP(P$5,NFI,5,0),1,0)*Table_NFI[[#This Row],[Plastic Bucket]],Table_NFI[Plastic Bucket])</f>
        <v>0</v>
      </c>
      <c r="AH199" s="264">
        <f>IF(NFI_Expiration=1,IF($A199&lt;VLOOKUP(Q$5,NFI,5,0),1,0)*Table_NFI[[#This Row],[Plastic Mat]],Table_NFI[Plastic Mat])*IF(Table_NFI[[#This Row],[Distribution Date]]&gt;"2014-04-01",1,2.5)</f>
        <v>0</v>
      </c>
      <c r="AI199" s="264">
        <f>IF(NFI_Expiration=1,IF($A199&lt;VLOOKUP(R$5,NFI,5,0),1,0)*Table_NFI[[#This Row],[Winter Clothes Adult]],Table_NFI[Winter Clothes Adult])</f>
        <v>0</v>
      </c>
      <c r="AJ199" s="264">
        <f>IF(NFI_Expiration=1,IF($A199&lt;VLOOKUP(S$5,NFI,5,0),1,0)*Table_NFI[[#This Row],[Winter Clothes Children]],Table_NFI[Winter Clothes Children])</f>
        <v>0</v>
      </c>
      <c r="AK199" s="264">
        <f>IF(NFI_Expiration=1,IF($A199&lt;VLOOKUP(T$5,NFI,5,0),1,0)*Table_NFI[[#This Row],[Winter Items Other]],Table_NFI[Winter Items Other])</f>
        <v>0</v>
      </c>
      <c r="AL199" s="264">
        <f>IF(NFI_Expiration=1,IF($A199&lt;VLOOKUP(M$5,NFI,5,0),1,0)*Table_NFI[[#This Row],[Winter Blanket]],Table_NFI[[#This Row],[Winter Blanket]])</f>
        <v>0</v>
      </c>
      <c r="AM199" s="264">
        <f>IF(Table_NFI[[#This Row],[Winter Clothes Adult]]+Table_NFI[[#This Row],[Winter Clothes Children]]+Table_NFI[[#This Row],[Winter Items Other]]+Table_NFI[[#This Row],[Winter Blanket]]&gt;0,1,0)</f>
        <v>0</v>
      </c>
      <c r="AN199" s="296">
        <f>IF(NFI_Expiration=1,IF($A199&lt;VLOOKUP(V$5,NFI,5,0),1,0)*Table_NFI[[#This Row],[Jerry Can]],Table_NFI[Jerry Can])</f>
        <v>0</v>
      </c>
      <c r="AO199" s="296">
        <f>IF(NFI_Expiration=1,IF($A199&lt;VLOOKUP(V$5,NFI,5,0),1,0)*Table_NFI[[#This Row],[Shelter Tool kit]],Table_NFI[Shelter Tool kit])</f>
        <v>0</v>
      </c>
      <c r="AP199" s="296">
        <f>IF(NFI_Expiration=1,IF($A199&lt;VLOOKUP(V$5,NFI,5,0),1,0)*Table_NFI[[#This Row],[Tent]],Table_NFI[Tent])</f>
        <v>0</v>
      </c>
      <c r="AQ199" s="396" t="str">
        <f>IFERROR(VLOOKUP(Table_NFI[[#This Row],[Camp Name]],CL,2,0),"")</f>
        <v>MMR001CMP073</v>
      </c>
      <c r="AR199" s="702">
        <f ca="1">IF(Table_NFI[[#This Row],[Pcode]]="","",IF(OFFSET(CampList[Opening Date],MATCH(Table_NFI[[#This Row],[Pcode]],CampList[CP_Pcode],0)-1,0,1,1)&gt;=NFI_Monitor_Date,1,0))</f>
        <v>0</v>
      </c>
      <c r="AS199" s="396" t="str">
        <f>IFERROR(VLOOKUP(Table_NFI[[#This Row],[Camp Name]],CL,3,0),"")</f>
        <v>Open</v>
      </c>
      <c r="AT199" s="264" t="str">
        <f ca="1">IF(Table_NFI[[#This Row],[Pcode]]="","",OFFSET(CampList[Priority],MATCH(Table_NFI[[#This Row],[Pcode]],CampList[CP_Pcode],0)-1,0,1,1))</f>
        <v>P3</v>
      </c>
      <c r="AU199" s="263">
        <f>IFERROR(Table_NFI[[#This Row],[Kitchen Set]]/VLOOKUP(Table_NFI[[#This Row],[Camp Name]],CL,4,0),"")</f>
        <v>0</v>
      </c>
      <c r="AV199" s="390" t="s">
        <v>1087</v>
      </c>
      <c r="AW199" s="392"/>
      <c r="AX199" s="399"/>
      <c r="AY199" s="399"/>
      <c r="AZ199" s="399"/>
      <c r="BA199" s="399"/>
      <c r="BB199" s="399"/>
      <c r="BC199" s="399"/>
      <c r="BD199" s="399"/>
      <c r="BE199" s="399"/>
      <c r="BF199" s="399"/>
      <c r="BG199" s="399"/>
      <c r="BH199" s="399"/>
      <c r="BI199" s="399"/>
      <c r="BJ199" s="399"/>
      <c r="BK199" s="399"/>
      <c r="BL199" s="399"/>
      <c r="BM199" s="399"/>
      <c r="BN199" s="399"/>
      <c r="BO199" s="399"/>
      <c r="BP199" s="399"/>
      <c r="BQ199" s="399"/>
      <c r="BR199" s="399"/>
      <c r="BS199" s="399"/>
      <c r="BT199" s="399"/>
      <c r="BU199" s="399"/>
      <c r="BV199" s="399"/>
      <c r="BW199" s="399"/>
      <c r="BX199" s="399"/>
      <c r="BY199" s="399"/>
      <c r="BZ199" s="399"/>
      <c r="CA199" s="399"/>
      <c r="CB199" s="399"/>
      <c r="CC199" s="399"/>
      <c r="CD199" s="399"/>
      <c r="CE199" s="399"/>
      <c r="CF199" s="399"/>
      <c r="CG199" s="399"/>
      <c r="CH199" s="399"/>
      <c r="CI199" s="399"/>
      <c r="CJ199" s="399"/>
      <c r="CK199" s="399"/>
      <c r="CL199" s="399"/>
      <c r="CM199" s="399"/>
      <c r="CN199" s="399"/>
      <c r="CO199" s="399"/>
      <c r="CP199" s="399"/>
      <c r="CQ199" s="399"/>
      <c r="CR199" s="399"/>
      <c r="CS199" s="399"/>
      <c r="CT199" s="399"/>
      <c r="CU199" s="399"/>
      <c r="CV199" s="399"/>
      <c r="CW199" s="399"/>
      <c r="CX199" s="399"/>
      <c r="CY199" s="399"/>
      <c r="CZ199" s="399"/>
      <c r="DA199" s="399"/>
      <c r="DB199" s="399"/>
      <c r="DC199" s="399"/>
      <c r="DD199" s="399"/>
      <c r="DE199" s="399"/>
      <c r="DF199" s="399"/>
      <c r="DG199" s="399"/>
      <c r="DH199" s="399"/>
      <c r="DI199" s="399"/>
      <c r="DJ199" s="399"/>
      <c r="DK199" s="399"/>
      <c r="DL199" s="399"/>
      <c r="DM199" s="399"/>
      <c r="DN199" s="399"/>
      <c r="DO199" s="399"/>
      <c r="DP199" s="399"/>
      <c r="DQ199" s="399"/>
    </row>
    <row r="200" spans="1:121" s="760" customFormat="1" ht="14.45" customHeight="1" x14ac:dyDescent="0.2">
      <c r="A200" s="266">
        <f t="shared" si="3"/>
        <v>23.233333333333334</v>
      </c>
      <c r="B200" s="389">
        <v>42159</v>
      </c>
      <c r="C200" s="390" t="s">
        <v>904</v>
      </c>
      <c r="D200" s="391" t="s">
        <v>904</v>
      </c>
      <c r="E200" s="390" t="s">
        <v>380</v>
      </c>
      <c r="F200" s="262" t="s">
        <v>185</v>
      </c>
      <c r="G200" s="262" t="s">
        <v>225</v>
      </c>
      <c r="H200" s="261"/>
      <c r="I200" s="261"/>
      <c r="J200" s="764">
        <v>73</v>
      </c>
      <c r="K200" s="261"/>
      <c r="L200" s="261"/>
      <c r="M200" s="261"/>
      <c r="N200" s="261"/>
      <c r="O200" s="261"/>
      <c r="P200" s="261"/>
      <c r="Q200" s="261"/>
      <c r="R200" s="261"/>
      <c r="S200" s="261"/>
      <c r="T200" s="261"/>
      <c r="U200" s="261"/>
      <c r="V200" s="762"/>
      <c r="W200" s="261"/>
      <c r="X200" s="261"/>
      <c r="Y200" s="264">
        <f>IF(NFI_Expiration=1,IF($A200&lt;VLOOKUP(H$5,NFI,5,0),1,0)*Table_NFI[[#This Row],[Hygiene Kit]],Table_NFI[Hygiene Kit])</f>
        <v>0</v>
      </c>
      <c r="Z200" s="264">
        <f>IF(NFI_Expiration=1,IF($A200&lt;VLOOKUP(I$5,NFI,5,0),1,0)*Table_NFI[[#This Row],[NFI Core Kit]],Table_NFI[NFI Core Kit])</f>
        <v>0</v>
      </c>
      <c r="AA200" s="264">
        <f>IF(NFI_Expiration=1,IF($A200&lt;VLOOKUP(J$5,NFI,5,0),1,0)*Table_NFI[[#This Row],[Sanitary Kit]],Table_NFI[Sanitary Kit])</f>
        <v>0</v>
      </c>
      <c r="AB200" s="264">
        <f>IF(NFI_Expiration=1,IF($A200&lt;VLOOKUP(K$5,NFI,5,0),1,0)*Table_NFI[[#This Row],[Mosquito net]],Table_NFI[Mosquito net])</f>
        <v>0</v>
      </c>
      <c r="AC200" s="264">
        <f>IF(NFI_Expiration=1,IF($A200&lt;VLOOKUP(L$5,NFI,5,0),1,0)*Table_NFI[[#This Row],[Tarpaulin]],Table_NFI[[#This Row],[Tarpaulin]])</f>
        <v>0</v>
      </c>
      <c r="AD200" s="264">
        <f>IF(NFI_Expiration=1,IF($A200&lt;VLOOKUP(M$5,NFI,5,0),1,0)*Table_NFI[[#This Row],[Blanket]],Table_NFI[[#This Row],[Blanket]])</f>
        <v>0</v>
      </c>
      <c r="AE200" s="264">
        <f>IF(NFI_Expiration=1,IF($A200&lt;VLOOKUP(N$5,NFI,5,0),1,0)*Table_NFI[[#This Row],[Kitchen Set]],Table_NFI[Kitchen Set])</f>
        <v>0</v>
      </c>
      <c r="AF200" s="264">
        <f>IF(NFI_Expiration=1,IF($A200&lt;VLOOKUP(O$5,NFI,5,0),1,0)*Table_NFI[[#This Row],[Clothes Kit]],Table_NFI[Clothes Kit])</f>
        <v>0</v>
      </c>
      <c r="AG200" s="264">
        <f>IF(NFI_Expiration=1,IF($A200&lt;VLOOKUP(P$5,NFI,5,0),1,0)*Table_NFI[[#This Row],[Plastic Bucket]],Table_NFI[Plastic Bucket])</f>
        <v>0</v>
      </c>
      <c r="AH200" s="264">
        <f>IF(NFI_Expiration=1,IF($A200&lt;VLOOKUP(Q$5,NFI,5,0),1,0)*Table_NFI[[#This Row],[Plastic Mat]],Table_NFI[Plastic Mat])*IF(Table_NFI[[#This Row],[Distribution Date]]&gt;"2014-04-01",1,2.5)</f>
        <v>0</v>
      </c>
      <c r="AI200" s="264">
        <f>IF(NFI_Expiration=1,IF($A200&lt;VLOOKUP(R$5,NFI,5,0),1,0)*Table_NFI[[#This Row],[Winter Clothes Adult]],Table_NFI[Winter Clothes Adult])</f>
        <v>0</v>
      </c>
      <c r="AJ200" s="264">
        <f>IF(NFI_Expiration=1,IF($A200&lt;VLOOKUP(S$5,NFI,5,0),1,0)*Table_NFI[[#This Row],[Winter Clothes Children]],Table_NFI[Winter Clothes Children])</f>
        <v>0</v>
      </c>
      <c r="AK200" s="264">
        <f>IF(NFI_Expiration=1,IF($A200&lt;VLOOKUP(T$5,NFI,5,0),1,0)*Table_NFI[[#This Row],[Winter Items Other]],Table_NFI[Winter Items Other])</f>
        <v>0</v>
      </c>
      <c r="AL200" s="264">
        <f>IF(NFI_Expiration=1,IF($A200&lt;VLOOKUP(M$5,NFI,5,0),1,0)*Table_NFI[[#This Row],[Winter Blanket]],Table_NFI[[#This Row],[Winter Blanket]])</f>
        <v>0</v>
      </c>
      <c r="AM200" s="264">
        <f>IF(Table_NFI[[#This Row],[Winter Clothes Adult]]+Table_NFI[[#This Row],[Winter Clothes Children]]+Table_NFI[[#This Row],[Winter Items Other]]+Table_NFI[[#This Row],[Winter Blanket]]&gt;0,1,0)</f>
        <v>0</v>
      </c>
      <c r="AN200" s="296">
        <f>IF(NFI_Expiration=1,IF($A200&lt;VLOOKUP(V$5,NFI,5,0),1,0)*Table_NFI[[#This Row],[Jerry Can]],Table_NFI[Jerry Can])</f>
        <v>0</v>
      </c>
      <c r="AO200" s="296">
        <f>IF(NFI_Expiration=1,IF($A200&lt;VLOOKUP(V$5,NFI,5,0),1,0)*Table_NFI[[#This Row],[Shelter Tool kit]],Table_NFI[Shelter Tool kit])</f>
        <v>0</v>
      </c>
      <c r="AP200" s="296">
        <f>IF(NFI_Expiration=1,IF($A200&lt;VLOOKUP(V$5,NFI,5,0),1,0)*Table_NFI[[#This Row],[Tent]],Table_NFI[Tent])</f>
        <v>0</v>
      </c>
      <c r="AQ200" s="396" t="str">
        <f>IFERROR(VLOOKUP(Table_NFI[[#This Row],[Camp Name]],CL,2,0),"")</f>
        <v>MMR001CMP073</v>
      </c>
      <c r="AR200" s="702">
        <f ca="1">IF(Table_NFI[[#This Row],[Pcode]]="","",IF(OFFSET(CampList[Opening Date],MATCH(Table_NFI[[#This Row],[Pcode]],CampList[CP_Pcode],0)-1,0,1,1)&gt;=NFI_Monitor_Date,1,0))</f>
        <v>0</v>
      </c>
      <c r="AS200" s="396" t="str">
        <f>IFERROR(VLOOKUP(Table_NFI[[#This Row],[Camp Name]],CL,3,0),"")</f>
        <v>Open</v>
      </c>
      <c r="AT200" s="264" t="str">
        <f ca="1">IF(Table_NFI[[#This Row],[Pcode]]="","",OFFSET(CampList[Priority],MATCH(Table_NFI[[#This Row],[Pcode]],CampList[CP_Pcode],0)-1,0,1,1))</f>
        <v>P3</v>
      </c>
      <c r="AU200" s="263">
        <f>IFERROR(Table_NFI[[#This Row],[Kitchen Set]]/VLOOKUP(Table_NFI[[#This Row],[Camp Name]],CL,4,0),"")</f>
        <v>0</v>
      </c>
      <c r="AV200" s="390"/>
      <c r="AW200" s="392"/>
      <c r="AX200" s="399"/>
      <c r="AY200" s="399"/>
      <c r="AZ200" s="399"/>
      <c r="BA200" s="399"/>
      <c r="BB200" s="399"/>
      <c r="BC200" s="399"/>
      <c r="BD200" s="399"/>
      <c r="BE200" s="399"/>
      <c r="BF200" s="399"/>
      <c r="BG200" s="399"/>
      <c r="BH200" s="399"/>
      <c r="BI200" s="399"/>
      <c r="BJ200" s="399"/>
      <c r="BK200" s="399"/>
      <c r="BL200" s="399"/>
      <c r="BM200" s="399"/>
      <c r="BN200" s="399"/>
      <c r="BO200" s="399"/>
      <c r="BP200" s="399"/>
      <c r="BQ200" s="399"/>
      <c r="BR200" s="399"/>
      <c r="BS200" s="399"/>
      <c r="BT200" s="399"/>
      <c r="BU200" s="399"/>
      <c r="BV200" s="399"/>
      <c r="BW200" s="399"/>
      <c r="BX200" s="399"/>
      <c r="BY200" s="399"/>
      <c r="BZ200" s="399"/>
      <c r="CA200" s="399"/>
      <c r="CB200" s="399"/>
      <c r="CC200" s="399"/>
      <c r="CD200" s="399"/>
      <c r="CE200" s="399"/>
      <c r="CF200" s="399"/>
      <c r="CG200" s="399"/>
      <c r="CH200" s="399"/>
      <c r="CI200" s="399"/>
      <c r="CJ200" s="399"/>
      <c r="CK200" s="399"/>
      <c r="CL200" s="399"/>
      <c r="CM200" s="399"/>
      <c r="CN200" s="399"/>
      <c r="CO200" s="399"/>
      <c r="CP200" s="399"/>
      <c r="CQ200" s="399"/>
      <c r="CR200" s="399"/>
      <c r="CS200" s="399"/>
      <c r="CT200" s="399"/>
      <c r="CU200" s="399"/>
      <c r="CV200" s="399"/>
      <c r="CW200" s="399"/>
      <c r="CX200" s="399"/>
      <c r="CY200" s="399"/>
      <c r="CZ200" s="399"/>
      <c r="DA200" s="399"/>
      <c r="DB200" s="399"/>
      <c r="DC200" s="399"/>
      <c r="DD200" s="399"/>
      <c r="DE200" s="399"/>
      <c r="DF200" s="399"/>
      <c r="DG200" s="399"/>
      <c r="DH200" s="399"/>
      <c r="DI200" s="399"/>
      <c r="DJ200" s="399"/>
      <c r="DK200" s="399"/>
      <c r="DL200" s="399"/>
      <c r="DM200" s="399"/>
      <c r="DN200" s="399"/>
      <c r="DO200" s="399"/>
      <c r="DP200" s="399"/>
      <c r="DQ200" s="399"/>
    </row>
    <row r="201" spans="1:121" s="760" customFormat="1" ht="15" customHeight="1" x14ac:dyDescent="0.2">
      <c r="A201" s="266">
        <f t="shared" si="3"/>
        <v>23.266666666666666</v>
      </c>
      <c r="B201" s="389">
        <v>42158</v>
      </c>
      <c r="C201" s="390" t="s">
        <v>904</v>
      </c>
      <c r="D201" s="391" t="s">
        <v>904</v>
      </c>
      <c r="E201" s="390" t="s">
        <v>380</v>
      </c>
      <c r="F201" s="262" t="s">
        <v>185</v>
      </c>
      <c r="G201" s="262" t="s">
        <v>186</v>
      </c>
      <c r="H201" s="261"/>
      <c r="I201" s="261"/>
      <c r="J201" s="764"/>
      <c r="K201" s="261"/>
      <c r="L201" s="261"/>
      <c r="M201" s="261"/>
      <c r="N201" s="261"/>
      <c r="O201" s="261"/>
      <c r="P201" s="261"/>
      <c r="Q201" s="261"/>
      <c r="R201" s="261"/>
      <c r="S201" s="261"/>
      <c r="T201" s="261"/>
      <c r="U201" s="261"/>
      <c r="V201" s="762"/>
      <c r="W201" s="261"/>
      <c r="X201" s="261"/>
      <c r="Y201" s="264">
        <f>IF(NFI_Expiration=1,IF($A201&lt;VLOOKUP(H$5,NFI,5,0),1,0)*Table_NFI[[#This Row],[Hygiene Kit]],Table_NFI[Hygiene Kit])</f>
        <v>0</v>
      </c>
      <c r="Z201" s="264">
        <f>IF(NFI_Expiration=1,IF($A201&lt;VLOOKUP(I$5,NFI,5,0),1,0)*Table_NFI[[#This Row],[NFI Core Kit]],Table_NFI[NFI Core Kit])</f>
        <v>0</v>
      </c>
      <c r="AA201" s="264">
        <f>IF(NFI_Expiration=1,IF($A201&lt;VLOOKUP(J$5,NFI,5,0),1,0)*Table_NFI[[#This Row],[Sanitary Kit]],Table_NFI[Sanitary Kit])</f>
        <v>0</v>
      </c>
      <c r="AB201" s="264">
        <f>IF(NFI_Expiration=1,IF($A201&lt;VLOOKUP(K$5,NFI,5,0),1,0)*Table_NFI[[#This Row],[Mosquito net]],Table_NFI[Mosquito net])</f>
        <v>0</v>
      </c>
      <c r="AC201" s="264">
        <f>IF(NFI_Expiration=1,IF($A201&lt;VLOOKUP(L$5,NFI,5,0),1,0)*Table_NFI[[#This Row],[Tarpaulin]],Table_NFI[[#This Row],[Tarpaulin]])</f>
        <v>0</v>
      </c>
      <c r="AD201" s="264">
        <f>IF(NFI_Expiration=1,IF($A201&lt;VLOOKUP(M$5,NFI,5,0),1,0)*Table_NFI[[#This Row],[Blanket]],Table_NFI[[#This Row],[Blanket]])</f>
        <v>0</v>
      </c>
      <c r="AE201" s="264">
        <f>IF(NFI_Expiration=1,IF($A201&lt;VLOOKUP(N$5,NFI,5,0),1,0)*Table_NFI[[#This Row],[Kitchen Set]],Table_NFI[Kitchen Set])</f>
        <v>0</v>
      </c>
      <c r="AF201" s="264">
        <f>IF(NFI_Expiration=1,IF($A201&lt;VLOOKUP(O$5,NFI,5,0),1,0)*Table_NFI[[#This Row],[Clothes Kit]],Table_NFI[Clothes Kit])</f>
        <v>0</v>
      </c>
      <c r="AG201" s="264">
        <f>IF(NFI_Expiration=1,IF($A201&lt;VLOOKUP(P$5,NFI,5,0),1,0)*Table_NFI[[#This Row],[Plastic Bucket]],Table_NFI[Plastic Bucket])</f>
        <v>0</v>
      </c>
      <c r="AH201" s="264">
        <f>IF(NFI_Expiration=1,IF($A201&lt;VLOOKUP(Q$5,NFI,5,0),1,0)*Table_NFI[[#This Row],[Plastic Mat]],Table_NFI[Plastic Mat])*IF(Table_NFI[[#This Row],[Distribution Date]]&gt;"2014-04-01",1,2.5)</f>
        <v>0</v>
      </c>
      <c r="AI201" s="264">
        <f>IF(NFI_Expiration=1,IF($A201&lt;VLOOKUP(R$5,NFI,5,0),1,0)*Table_NFI[[#This Row],[Winter Clothes Adult]],Table_NFI[Winter Clothes Adult])</f>
        <v>0</v>
      </c>
      <c r="AJ201" s="264">
        <f>IF(NFI_Expiration=1,IF($A201&lt;VLOOKUP(S$5,NFI,5,0),1,0)*Table_NFI[[#This Row],[Winter Clothes Children]],Table_NFI[Winter Clothes Children])</f>
        <v>0</v>
      </c>
      <c r="AK201" s="264">
        <f>IF(NFI_Expiration=1,IF($A201&lt;VLOOKUP(T$5,NFI,5,0),1,0)*Table_NFI[[#This Row],[Winter Items Other]],Table_NFI[Winter Items Other])</f>
        <v>0</v>
      </c>
      <c r="AL201" s="264">
        <f>IF(NFI_Expiration=1,IF($A201&lt;VLOOKUP(M$5,NFI,5,0),1,0)*Table_NFI[[#This Row],[Winter Blanket]],Table_NFI[[#This Row],[Winter Blanket]])</f>
        <v>0</v>
      </c>
      <c r="AM201" s="264">
        <f>IF(Table_NFI[[#This Row],[Winter Clothes Adult]]+Table_NFI[[#This Row],[Winter Clothes Children]]+Table_NFI[[#This Row],[Winter Items Other]]+Table_NFI[[#This Row],[Winter Blanket]]&gt;0,1,0)</f>
        <v>0</v>
      </c>
      <c r="AN201" s="296">
        <f>IF(NFI_Expiration=1,IF($A201&lt;VLOOKUP(V$5,NFI,5,0),1,0)*Table_NFI[[#This Row],[Jerry Can]],Table_NFI[Jerry Can])</f>
        <v>0</v>
      </c>
      <c r="AO201" s="296">
        <f>IF(NFI_Expiration=1,IF($A201&lt;VLOOKUP(V$5,NFI,5,0),1,0)*Table_NFI[[#This Row],[Shelter Tool kit]],Table_NFI[Shelter Tool kit])</f>
        <v>0</v>
      </c>
      <c r="AP201" s="296">
        <f>IF(NFI_Expiration=1,IF($A201&lt;VLOOKUP(V$5,NFI,5,0),1,0)*Table_NFI[[#This Row],[Tent]],Table_NFI[Tent])</f>
        <v>0</v>
      </c>
      <c r="AQ201" s="396" t="str">
        <f>IFERROR(VLOOKUP(Table_NFI[[#This Row],[Camp Name]],CL,2,0),"")</f>
        <v>MMR001CMP071</v>
      </c>
      <c r="AR201" s="702">
        <f ca="1">IF(Table_NFI[[#This Row],[Pcode]]="","",IF(OFFSET(CampList[Opening Date],MATCH(Table_NFI[[#This Row],[Pcode]],CampList[CP_Pcode],0)-1,0,1,1)&gt;=NFI_Monitor_Date,1,0))</f>
        <v>0</v>
      </c>
      <c r="AS201" s="396" t="str">
        <f>IFERROR(VLOOKUP(Table_NFI[[#This Row],[Camp Name]],CL,3,0),"")</f>
        <v>Open</v>
      </c>
      <c r="AT201" s="264" t="str">
        <f ca="1">IF(Table_NFI[[#This Row],[Pcode]]="","",OFFSET(CampList[Priority],MATCH(Table_NFI[[#This Row],[Pcode]],CampList[CP_Pcode],0)-1,0,1,1))</f>
        <v>P3</v>
      </c>
      <c r="AU201" s="263">
        <f>IFERROR(Table_NFI[[#This Row],[Kitchen Set]]/VLOOKUP(Table_NFI[[#This Row],[Camp Name]],CL,4,0),"")</f>
        <v>0</v>
      </c>
      <c r="AV201" s="390"/>
      <c r="AW201" s="392"/>
      <c r="AX201" s="399"/>
      <c r="AY201" s="399"/>
      <c r="AZ201" s="399"/>
      <c r="BA201" s="399"/>
      <c r="BB201" s="399"/>
      <c r="BC201" s="399"/>
      <c r="BD201" s="399"/>
      <c r="BE201" s="399"/>
      <c r="BF201" s="399"/>
      <c r="BG201" s="399"/>
      <c r="BH201" s="399"/>
      <c r="BI201" s="399"/>
      <c r="BJ201" s="399"/>
      <c r="BK201" s="399"/>
      <c r="BL201" s="399"/>
      <c r="BM201" s="399"/>
      <c r="BN201" s="399"/>
      <c r="BO201" s="399"/>
      <c r="BP201" s="399"/>
      <c r="BQ201" s="399"/>
      <c r="BR201" s="399"/>
      <c r="BS201" s="399"/>
      <c r="BT201" s="399"/>
      <c r="BU201" s="399"/>
      <c r="BV201" s="399"/>
      <c r="BW201" s="399"/>
      <c r="BX201" s="399"/>
      <c r="BY201" s="399"/>
      <c r="BZ201" s="399"/>
      <c r="CA201" s="399"/>
      <c r="CB201" s="399"/>
      <c r="CC201" s="399"/>
      <c r="CD201" s="399"/>
      <c r="CE201" s="399"/>
      <c r="CF201" s="399"/>
      <c r="CG201" s="399"/>
      <c r="CH201" s="399"/>
      <c r="CI201" s="399"/>
      <c r="CJ201" s="399"/>
      <c r="CK201" s="399"/>
      <c r="CL201" s="399"/>
      <c r="CM201" s="399"/>
      <c r="CN201" s="399"/>
      <c r="CO201" s="399"/>
      <c r="CP201" s="399"/>
      <c r="CQ201" s="399"/>
      <c r="CR201" s="399"/>
      <c r="CS201" s="399"/>
      <c r="CT201" s="399"/>
      <c r="CU201" s="399"/>
      <c r="CV201" s="399"/>
      <c r="CW201" s="399"/>
      <c r="CX201" s="399"/>
      <c r="CY201" s="399"/>
      <c r="CZ201" s="399"/>
      <c r="DA201" s="399"/>
      <c r="DB201" s="399"/>
      <c r="DC201" s="399"/>
      <c r="DD201" s="399"/>
      <c r="DE201" s="399"/>
      <c r="DF201" s="399"/>
      <c r="DG201" s="399"/>
      <c r="DH201" s="399"/>
      <c r="DI201" s="399"/>
      <c r="DJ201" s="399"/>
      <c r="DK201" s="399"/>
      <c r="DL201" s="399"/>
      <c r="DM201" s="399"/>
      <c r="DN201" s="399"/>
      <c r="DO201" s="399"/>
      <c r="DP201" s="399"/>
      <c r="DQ201" s="399"/>
    </row>
    <row r="202" spans="1:121" s="760" customFormat="1" ht="14.45" customHeight="1" x14ac:dyDescent="0.25">
      <c r="A202" s="266">
        <f t="shared" si="3"/>
        <v>23.266666666666666</v>
      </c>
      <c r="B202" s="389">
        <v>42158</v>
      </c>
      <c r="C202" s="390" t="s">
        <v>904</v>
      </c>
      <c r="D202" s="390" t="s">
        <v>904</v>
      </c>
      <c r="E202" s="390" t="s">
        <v>380</v>
      </c>
      <c r="F202" s="390" t="s">
        <v>185</v>
      </c>
      <c r="G202" s="262" t="s">
        <v>223</v>
      </c>
      <c r="H202" s="261"/>
      <c r="I202" s="261"/>
      <c r="J202" s="261">
        <v>115</v>
      </c>
      <c r="K202" s="261"/>
      <c r="L202" s="261"/>
      <c r="M202" s="261"/>
      <c r="N202" s="261"/>
      <c r="O202" s="261"/>
      <c r="P202" s="261"/>
      <c r="Q202" s="261"/>
      <c r="R202" s="261"/>
      <c r="S202" s="261"/>
      <c r="T202" s="261"/>
      <c r="U202" s="261"/>
      <c r="V202" s="762"/>
      <c r="W202" s="261"/>
      <c r="X202" s="261"/>
      <c r="Y202" s="264">
        <f>IF(NFI_Expiration=1,IF($A202&lt;VLOOKUP(H$5,NFI,5,0),1,0)*Table_NFI[[#This Row],[Hygiene Kit]],Table_NFI[Hygiene Kit])</f>
        <v>0</v>
      </c>
      <c r="Z202" s="264">
        <f>IF(NFI_Expiration=1,IF($A202&lt;VLOOKUP(I$5,NFI,5,0),1,0)*Table_NFI[[#This Row],[NFI Core Kit]],Table_NFI[NFI Core Kit])</f>
        <v>0</v>
      </c>
      <c r="AA202" s="264">
        <f>IF(NFI_Expiration=1,IF($A202&lt;VLOOKUP(J$5,NFI,5,0),1,0)*Table_NFI[[#This Row],[Sanitary Kit]],Table_NFI[Sanitary Kit])</f>
        <v>0</v>
      </c>
      <c r="AB202" s="264">
        <f>IF(NFI_Expiration=1,IF($A202&lt;VLOOKUP(K$5,NFI,5,0),1,0)*Table_NFI[[#This Row],[Mosquito net]],Table_NFI[Mosquito net])</f>
        <v>0</v>
      </c>
      <c r="AC202" s="264">
        <f>IF(NFI_Expiration=1,IF($A202&lt;VLOOKUP(L$5,NFI,5,0),1,0)*Table_NFI[[#This Row],[Tarpaulin]],Table_NFI[[#This Row],[Tarpaulin]])</f>
        <v>0</v>
      </c>
      <c r="AD202" s="264">
        <f>IF(NFI_Expiration=1,IF($A202&lt;VLOOKUP(M$5,NFI,5,0),1,0)*Table_NFI[[#This Row],[Blanket]],Table_NFI[[#This Row],[Blanket]])</f>
        <v>0</v>
      </c>
      <c r="AE202" s="264">
        <f>IF(NFI_Expiration=1,IF($A202&lt;VLOOKUP(N$5,NFI,5,0),1,0)*Table_NFI[[#This Row],[Kitchen Set]],Table_NFI[Kitchen Set])</f>
        <v>0</v>
      </c>
      <c r="AF202" s="264">
        <f>IF(NFI_Expiration=1,IF($A202&lt;VLOOKUP(O$5,NFI,5,0),1,0)*Table_NFI[[#This Row],[Clothes Kit]],Table_NFI[Clothes Kit])</f>
        <v>0</v>
      </c>
      <c r="AG202" s="264">
        <f>IF(NFI_Expiration=1,IF($A202&lt;VLOOKUP(P$5,NFI,5,0),1,0)*Table_NFI[[#This Row],[Plastic Bucket]],Table_NFI[Plastic Bucket])</f>
        <v>0</v>
      </c>
      <c r="AH202" s="264">
        <f>IF(NFI_Expiration=1,IF($A202&lt;VLOOKUP(Q$5,NFI,5,0),1,0)*Table_NFI[[#This Row],[Plastic Mat]],Table_NFI[Plastic Mat])*IF(Table_NFI[[#This Row],[Distribution Date]]&gt;"2014-04-01",1,2.5)</f>
        <v>0</v>
      </c>
      <c r="AI202" s="264">
        <f>IF(NFI_Expiration=1,IF($A202&lt;VLOOKUP(R$5,NFI,5,0),1,0)*Table_NFI[[#This Row],[Winter Clothes Adult]],Table_NFI[Winter Clothes Adult])</f>
        <v>0</v>
      </c>
      <c r="AJ202" s="264">
        <f>IF(NFI_Expiration=1,IF($A202&lt;VLOOKUP(S$5,NFI,5,0),1,0)*Table_NFI[[#This Row],[Winter Clothes Children]],Table_NFI[Winter Clothes Children])</f>
        <v>0</v>
      </c>
      <c r="AK202" s="264">
        <f>IF(NFI_Expiration=1,IF($A202&lt;VLOOKUP(T$5,NFI,5,0),1,0)*Table_NFI[[#This Row],[Winter Items Other]],Table_NFI[Winter Items Other])</f>
        <v>0</v>
      </c>
      <c r="AL202" s="264">
        <f>IF(NFI_Expiration=1,IF($A202&lt;VLOOKUP(M$5,NFI,5,0),1,0)*Table_NFI[[#This Row],[Winter Blanket]],Table_NFI[[#This Row],[Winter Blanket]])</f>
        <v>0</v>
      </c>
      <c r="AM202" s="264">
        <f>IF(Table_NFI[[#This Row],[Winter Clothes Adult]]+Table_NFI[[#This Row],[Winter Clothes Children]]+Table_NFI[[#This Row],[Winter Items Other]]+Table_NFI[[#This Row],[Winter Blanket]]&gt;0,1,0)</f>
        <v>0</v>
      </c>
      <c r="AN202" s="296">
        <f>IF(NFI_Expiration=1,IF($A202&lt;VLOOKUP(V$5,NFI,5,0),1,0)*Table_NFI[[#This Row],[Jerry Can]],Table_NFI[Jerry Can])</f>
        <v>0</v>
      </c>
      <c r="AO202" s="296">
        <f>IF(NFI_Expiration=1,IF($A202&lt;VLOOKUP(V$5,NFI,5,0),1,0)*Table_NFI[[#This Row],[Shelter Tool kit]],Table_NFI[Shelter Tool kit])</f>
        <v>0</v>
      </c>
      <c r="AP202" s="296">
        <f>IF(NFI_Expiration=1,IF($A202&lt;VLOOKUP(V$5,NFI,5,0),1,0)*Table_NFI[[#This Row],[Tent]],Table_NFI[Tent])</f>
        <v>0</v>
      </c>
      <c r="AQ202" s="396" t="str">
        <f>IFERROR(VLOOKUP(Table_NFI[[#This Row],[Camp Name]],CL,2,0),"")</f>
        <v>MMR001CMP069</v>
      </c>
      <c r="AR202" s="702">
        <f ca="1">IF(Table_NFI[[#This Row],[Pcode]]="","",IF(OFFSET(CampList[Opening Date],MATCH(Table_NFI[[#This Row],[Pcode]],CampList[CP_Pcode],0)-1,0,1,1)&gt;=NFI_Monitor_Date,1,0))</f>
        <v>0</v>
      </c>
      <c r="AS202" s="396" t="str">
        <f>IFERROR(VLOOKUP(Table_NFI[[#This Row],[Camp Name]],CL,3,0),"")</f>
        <v>Open</v>
      </c>
      <c r="AT202" s="264" t="str">
        <f ca="1">IF(Table_NFI[[#This Row],[Pcode]]="","",OFFSET(CampList[Priority],MATCH(Table_NFI[[#This Row],[Pcode]],CampList[CP_Pcode],0)-1,0,1,1))</f>
        <v>P3</v>
      </c>
      <c r="AU202" s="263">
        <f>IFERROR(Table_NFI[[#This Row],[Kitchen Set]]/VLOOKUP(Table_NFI[[#This Row],[Camp Name]],CL,4,0),"")</f>
        <v>0</v>
      </c>
      <c r="AV202" s="390"/>
      <c r="AW202" s="392"/>
      <c r="AX202" s="399"/>
      <c r="AY202" s="399"/>
      <c r="AZ202" s="399"/>
      <c r="BA202" s="399"/>
      <c r="BB202" s="399"/>
      <c r="BC202" s="399"/>
      <c r="BD202" s="399"/>
      <c r="BE202" s="399"/>
      <c r="BF202" s="399"/>
      <c r="BG202" s="399"/>
      <c r="BH202" s="399"/>
      <c r="BI202" s="399"/>
      <c r="BJ202" s="399"/>
      <c r="BK202" s="399"/>
      <c r="BL202" s="399"/>
      <c r="BM202" s="399"/>
      <c r="BN202" s="399"/>
      <c r="BO202" s="399"/>
      <c r="BP202" s="399"/>
      <c r="BQ202" s="399"/>
      <c r="BR202" s="399"/>
      <c r="BS202" s="399"/>
      <c r="BT202" s="399"/>
      <c r="BU202" s="399"/>
      <c r="BV202" s="399"/>
      <c r="BW202" s="399"/>
      <c r="BX202" s="399"/>
      <c r="BY202" s="399"/>
      <c r="BZ202" s="399"/>
      <c r="CA202" s="399"/>
      <c r="CB202" s="399"/>
      <c r="CC202" s="399"/>
      <c r="CD202" s="399"/>
      <c r="CE202" s="399"/>
      <c r="CF202" s="399"/>
      <c r="CG202" s="399"/>
      <c r="CH202" s="399"/>
      <c r="CI202" s="399"/>
      <c r="CJ202" s="399"/>
      <c r="CK202" s="399"/>
      <c r="CL202" s="399"/>
      <c r="CM202" s="399"/>
      <c r="CN202" s="399"/>
      <c r="CO202" s="399"/>
      <c r="CP202" s="399"/>
      <c r="CQ202" s="399"/>
      <c r="CR202" s="399"/>
      <c r="CS202" s="399"/>
      <c r="CT202" s="399"/>
      <c r="CU202" s="399"/>
      <c r="CV202" s="399"/>
      <c r="CW202" s="399"/>
      <c r="CX202" s="399"/>
      <c r="CY202" s="399"/>
      <c r="CZ202" s="399"/>
      <c r="DA202" s="399"/>
      <c r="DB202" s="399"/>
      <c r="DC202" s="399"/>
      <c r="DD202" s="399"/>
      <c r="DE202" s="399"/>
      <c r="DF202" s="399"/>
      <c r="DG202" s="399"/>
      <c r="DH202" s="399"/>
      <c r="DI202" s="399"/>
      <c r="DJ202" s="399"/>
      <c r="DK202" s="399"/>
      <c r="DL202" s="399"/>
      <c r="DM202" s="399"/>
      <c r="DN202" s="399"/>
      <c r="DO202" s="399"/>
      <c r="DP202" s="399"/>
      <c r="DQ202" s="399"/>
    </row>
    <row r="203" spans="1:121" s="759" customFormat="1" ht="15" customHeight="1" x14ac:dyDescent="0.2">
      <c r="A203" s="266">
        <f t="shared" si="3"/>
        <v>23.266666666666666</v>
      </c>
      <c r="B203" s="389">
        <v>42158</v>
      </c>
      <c r="C203" s="390" t="s">
        <v>904</v>
      </c>
      <c r="D203" s="391" t="s">
        <v>904</v>
      </c>
      <c r="E203" s="390" t="s">
        <v>380</v>
      </c>
      <c r="F203" s="262" t="s">
        <v>185</v>
      </c>
      <c r="G203" s="262" t="s">
        <v>190</v>
      </c>
      <c r="H203" s="261"/>
      <c r="I203" s="261"/>
      <c r="J203" s="764">
        <v>270</v>
      </c>
      <c r="K203" s="261"/>
      <c r="L203" s="261"/>
      <c r="M203" s="261"/>
      <c r="N203" s="261"/>
      <c r="O203" s="261"/>
      <c r="P203" s="261"/>
      <c r="Q203" s="261"/>
      <c r="R203" s="261"/>
      <c r="S203" s="261"/>
      <c r="T203" s="261"/>
      <c r="U203" s="261"/>
      <c r="V203" s="762"/>
      <c r="W203" s="261"/>
      <c r="X203" s="261"/>
      <c r="Y203" s="264">
        <f>IF(NFI_Expiration=1,IF($A203&lt;VLOOKUP(H$5,NFI,5,0),1,0)*Table_NFI[[#This Row],[Hygiene Kit]],Table_NFI[Hygiene Kit])</f>
        <v>0</v>
      </c>
      <c r="Z203" s="264">
        <f>IF(NFI_Expiration=1,IF($A203&lt;VLOOKUP(I$5,NFI,5,0),1,0)*Table_NFI[[#This Row],[NFI Core Kit]],Table_NFI[NFI Core Kit])</f>
        <v>0</v>
      </c>
      <c r="AA203" s="264">
        <f>IF(NFI_Expiration=1,IF($A203&lt;VLOOKUP(J$5,NFI,5,0),1,0)*Table_NFI[[#This Row],[Sanitary Kit]],Table_NFI[Sanitary Kit])</f>
        <v>0</v>
      </c>
      <c r="AB203" s="264">
        <f>IF(NFI_Expiration=1,IF($A203&lt;VLOOKUP(K$5,NFI,5,0),1,0)*Table_NFI[[#This Row],[Mosquito net]],Table_NFI[Mosquito net])</f>
        <v>0</v>
      </c>
      <c r="AC203" s="264">
        <f>IF(NFI_Expiration=1,IF($A203&lt;VLOOKUP(L$5,NFI,5,0),1,0)*Table_NFI[[#This Row],[Tarpaulin]],Table_NFI[[#This Row],[Tarpaulin]])</f>
        <v>0</v>
      </c>
      <c r="AD203" s="264">
        <f>IF(NFI_Expiration=1,IF($A203&lt;VLOOKUP(M$5,NFI,5,0),1,0)*Table_NFI[[#This Row],[Blanket]],Table_NFI[[#This Row],[Blanket]])</f>
        <v>0</v>
      </c>
      <c r="AE203" s="264">
        <f>IF(NFI_Expiration=1,IF($A203&lt;VLOOKUP(N$5,NFI,5,0),1,0)*Table_NFI[[#This Row],[Kitchen Set]],Table_NFI[Kitchen Set])</f>
        <v>0</v>
      </c>
      <c r="AF203" s="264">
        <f>IF(NFI_Expiration=1,IF($A203&lt;VLOOKUP(O$5,NFI,5,0),1,0)*Table_NFI[[#This Row],[Clothes Kit]],Table_NFI[Clothes Kit])</f>
        <v>0</v>
      </c>
      <c r="AG203" s="264">
        <f>IF(NFI_Expiration=1,IF($A203&lt;VLOOKUP(P$5,NFI,5,0),1,0)*Table_NFI[[#This Row],[Plastic Bucket]],Table_NFI[Plastic Bucket])</f>
        <v>0</v>
      </c>
      <c r="AH203" s="264">
        <f>IF(NFI_Expiration=1,IF($A203&lt;VLOOKUP(Q$5,NFI,5,0),1,0)*Table_NFI[[#This Row],[Plastic Mat]],Table_NFI[Plastic Mat])*IF(Table_NFI[[#This Row],[Distribution Date]]&gt;"2014-04-01",1,2.5)</f>
        <v>0</v>
      </c>
      <c r="AI203" s="264">
        <f>IF(NFI_Expiration=1,IF($A203&lt;VLOOKUP(R$5,NFI,5,0),1,0)*Table_NFI[[#This Row],[Winter Clothes Adult]],Table_NFI[Winter Clothes Adult])</f>
        <v>0</v>
      </c>
      <c r="AJ203" s="264">
        <f>IF(NFI_Expiration=1,IF($A203&lt;VLOOKUP(S$5,NFI,5,0),1,0)*Table_NFI[[#This Row],[Winter Clothes Children]],Table_NFI[Winter Clothes Children])</f>
        <v>0</v>
      </c>
      <c r="AK203" s="264">
        <f>IF(NFI_Expiration=1,IF($A203&lt;VLOOKUP(T$5,NFI,5,0),1,0)*Table_NFI[[#This Row],[Winter Items Other]],Table_NFI[Winter Items Other])</f>
        <v>0</v>
      </c>
      <c r="AL203" s="264">
        <f>IF(NFI_Expiration=1,IF($A203&lt;VLOOKUP(M$5,NFI,5,0),1,0)*Table_NFI[[#This Row],[Winter Blanket]],Table_NFI[[#This Row],[Winter Blanket]])</f>
        <v>0</v>
      </c>
      <c r="AM203" s="264">
        <f>IF(Table_NFI[[#This Row],[Winter Clothes Adult]]+Table_NFI[[#This Row],[Winter Clothes Children]]+Table_NFI[[#This Row],[Winter Items Other]]+Table_NFI[[#This Row],[Winter Blanket]]&gt;0,1,0)</f>
        <v>0</v>
      </c>
      <c r="AN203" s="296">
        <f>IF(NFI_Expiration=1,IF($A203&lt;VLOOKUP(V$5,NFI,5,0),1,0)*Table_NFI[[#This Row],[Jerry Can]],Table_NFI[Jerry Can])</f>
        <v>0</v>
      </c>
      <c r="AO203" s="296">
        <f>IF(NFI_Expiration=1,IF($A203&lt;VLOOKUP(V$5,NFI,5,0),1,0)*Table_NFI[[#This Row],[Shelter Tool kit]],Table_NFI[Shelter Tool kit])</f>
        <v>0</v>
      </c>
      <c r="AP203" s="296">
        <f>IF(NFI_Expiration=1,IF($A203&lt;VLOOKUP(V$5,NFI,5,0),1,0)*Table_NFI[[#This Row],[Tent]],Table_NFI[Tent])</f>
        <v>0</v>
      </c>
      <c r="AQ203" s="396" t="str">
        <f>IFERROR(VLOOKUP(Table_NFI[[#This Row],[Camp Name]],CL,2,0),"")</f>
        <v>MMR001CMP070</v>
      </c>
      <c r="AR203" s="702">
        <f ca="1">IF(Table_NFI[[#This Row],[Pcode]]="","",IF(OFFSET(CampList[Opening Date],MATCH(Table_NFI[[#This Row],[Pcode]],CampList[CP_Pcode],0)-1,0,1,1)&gt;=NFI_Monitor_Date,1,0))</f>
        <v>0</v>
      </c>
      <c r="AS203" s="396" t="str">
        <f>IFERROR(VLOOKUP(Table_NFI[[#This Row],[Camp Name]],CL,3,0),"")</f>
        <v>Open</v>
      </c>
      <c r="AT203" s="264" t="str">
        <f ca="1">IF(Table_NFI[[#This Row],[Pcode]]="","",OFFSET(CampList[Priority],MATCH(Table_NFI[[#This Row],[Pcode]],CampList[CP_Pcode],0)-1,0,1,1))</f>
        <v>P3</v>
      </c>
      <c r="AU203" s="263">
        <f>IFERROR(Table_NFI[[#This Row],[Kitchen Set]]/VLOOKUP(Table_NFI[[#This Row],[Camp Name]],CL,4,0),"")</f>
        <v>0</v>
      </c>
      <c r="AV203" s="390"/>
      <c r="AW203" s="392"/>
      <c r="AX203" s="402"/>
      <c r="AY203" s="402"/>
      <c r="AZ203" s="402"/>
      <c r="BA203" s="402"/>
      <c r="BB203" s="402"/>
      <c r="BC203" s="402"/>
      <c r="BD203" s="402"/>
      <c r="BE203" s="402"/>
      <c r="BF203" s="402"/>
      <c r="BG203" s="402"/>
      <c r="BH203" s="402"/>
      <c r="BI203" s="402"/>
      <c r="BJ203" s="402"/>
      <c r="BK203" s="402"/>
      <c r="BL203" s="402"/>
      <c r="BM203" s="402"/>
      <c r="BN203" s="402"/>
      <c r="BO203" s="402"/>
      <c r="BP203" s="402"/>
      <c r="BQ203" s="402"/>
      <c r="BR203" s="402"/>
      <c r="BS203" s="402"/>
      <c r="BT203" s="402"/>
      <c r="BU203" s="402"/>
      <c r="BV203" s="402"/>
      <c r="BW203" s="402"/>
      <c r="BX203" s="402"/>
      <c r="BY203" s="402"/>
      <c r="BZ203" s="402"/>
      <c r="CA203" s="402"/>
      <c r="CB203" s="402"/>
      <c r="CC203" s="402"/>
      <c r="CD203" s="402"/>
      <c r="CE203" s="402"/>
      <c r="CF203" s="402"/>
      <c r="CG203" s="402"/>
      <c r="CH203" s="402"/>
      <c r="CI203" s="402"/>
      <c r="CJ203" s="402"/>
      <c r="CK203" s="402"/>
      <c r="CL203" s="402"/>
      <c r="CM203" s="402"/>
      <c r="CN203" s="402"/>
      <c r="CO203" s="402"/>
      <c r="CP203" s="402"/>
      <c r="CQ203" s="402"/>
      <c r="CR203" s="402"/>
      <c r="CS203" s="402"/>
      <c r="CT203" s="402"/>
      <c r="CU203" s="402"/>
      <c r="CV203" s="402"/>
      <c r="CW203" s="402"/>
      <c r="CX203" s="402"/>
      <c r="CY203" s="402"/>
      <c r="CZ203" s="402"/>
      <c r="DA203" s="402"/>
      <c r="DB203" s="402"/>
      <c r="DC203" s="402"/>
      <c r="DD203" s="402"/>
      <c r="DE203" s="402"/>
      <c r="DF203" s="402"/>
      <c r="DG203" s="402"/>
      <c r="DH203" s="402"/>
      <c r="DI203" s="402"/>
      <c r="DJ203" s="402"/>
      <c r="DK203" s="402"/>
      <c r="DL203" s="402"/>
      <c r="DM203" s="402"/>
      <c r="DN203" s="402"/>
      <c r="DO203" s="402"/>
      <c r="DP203" s="402"/>
      <c r="DQ203" s="402"/>
    </row>
    <row r="204" spans="1:121" s="759" customFormat="1" ht="14.45" customHeight="1" x14ac:dyDescent="0.25">
      <c r="A204" s="266">
        <f t="shared" si="3"/>
        <v>23.266666666666666</v>
      </c>
      <c r="B204" s="389">
        <v>42158</v>
      </c>
      <c r="C204" s="390" t="s">
        <v>451</v>
      </c>
      <c r="D204" s="390" t="s">
        <v>459</v>
      </c>
      <c r="E204" s="390" t="s">
        <v>380</v>
      </c>
      <c r="F204" s="390" t="s">
        <v>151</v>
      </c>
      <c r="G204" s="262" t="s">
        <v>884</v>
      </c>
      <c r="H204" s="261"/>
      <c r="I204" s="261"/>
      <c r="J204" s="261"/>
      <c r="K204" s="261">
        <v>6</v>
      </c>
      <c r="L204" s="261">
        <v>12</v>
      </c>
      <c r="M204" s="261">
        <v>24</v>
      </c>
      <c r="N204" s="261">
        <v>3</v>
      </c>
      <c r="O204" s="261"/>
      <c r="P204" s="261">
        <v>3</v>
      </c>
      <c r="Q204" s="261">
        <v>9</v>
      </c>
      <c r="R204" s="261"/>
      <c r="S204" s="261"/>
      <c r="T204" s="261"/>
      <c r="U204" s="261"/>
      <c r="V204" s="762">
        <v>3</v>
      </c>
      <c r="W204" s="261"/>
      <c r="X204" s="261"/>
      <c r="Y204" s="264">
        <f>IF(NFI_Expiration=1,IF($A204&lt;VLOOKUP(H$5,NFI,5,0),1,0)*Table_NFI[[#This Row],[Hygiene Kit]],Table_NFI[Hygiene Kit])</f>
        <v>0</v>
      </c>
      <c r="Z204" s="264">
        <f>IF(NFI_Expiration=1,IF($A204&lt;VLOOKUP(I$5,NFI,5,0),1,0)*Table_NFI[[#This Row],[NFI Core Kit]],Table_NFI[NFI Core Kit])</f>
        <v>0</v>
      </c>
      <c r="AA204" s="264">
        <f>IF(NFI_Expiration=1,IF($A204&lt;VLOOKUP(J$5,NFI,5,0),1,0)*Table_NFI[[#This Row],[Sanitary Kit]],Table_NFI[Sanitary Kit])</f>
        <v>0</v>
      </c>
      <c r="AB204" s="264">
        <f>IF(NFI_Expiration=1,IF($A204&lt;VLOOKUP(K$5,NFI,5,0),1,0)*Table_NFI[[#This Row],[Mosquito net]],Table_NFI[Mosquito net])</f>
        <v>0</v>
      </c>
      <c r="AC204" s="264">
        <f>IF(NFI_Expiration=1,IF($A204&lt;VLOOKUP(L$5,NFI,5,0),1,0)*Table_NFI[[#This Row],[Tarpaulin]],Table_NFI[[#This Row],[Tarpaulin]])</f>
        <v>0</v>
      </c>
      <c r="AD204" s="264">
        <f>IF(NFI_Expiration=1,IF($A204&lt;VLOOKUP(M$5,NFI,5,0),1,0)*Table_NFI[[#This Row],[Blanket]],Table_NFI[[#This Row],[Blanket]])</f>
        <v>0</v>
      </c>
      <c r="AE204" s="264">
        <f>IF(NFI_Expiration=1,IF($A204&lt;VLOOKUP(N$5,NFI,5,0),1,0)*Table_NFI[[#This Row],[Kitchen Set]],Table_NFI[Kitchen Set])</f>
        <v>0</v>
      </c>
      <c r="AF204" s="264">
        <f>IF(NFI_Expiration=1,IF($A204&lt;VLOOKUP(O$5,NFI,5,0),1,0)*Table_NFI[[#This Row],[Clothes Kit]],Table_NFI[Clothes Kit])</f>
        <v>0</v>
      </c>
      <c r="AG204" s="264">
        <f>IF(NFI_Expiration=1,IF($A204&lt;VLOOKUP(P$5,NFI,5,0),1,0)*Table_NFI[[#This Row],[Plastic Bucket]],Table_NFI[Plastic Bucket])</f>
        <v>0</v>
      </c>
      <c r="AH204" s="264">
        <f>IF(NFI_Expiration=1,IF($A204&lt;VLOOKUP(Q$5,NFI,5,0),1,0)*Table_NFI[[#This Row],[Plastic Mat]],Table_NFI[Plastic Mat])*IF(Table_NFI[[#This Row],[Distribution Date]]&gt;"2014-04-01",1,2.5)</f>
        <v>0</v>
      </c>
      <c r="AI204" s="264">
        <f>IF(NFI_Expiration=1,IF($A204&lt;VLOOKUP(R$5,NFI,5,0),1,0)*Table_NFI[[#This Row],[Winter Clothes Adult]],Table_NFI[Winter Clothes Adult])</f>
        <v>0</v>
      </c>
      <c r="AJ204" s="264">
        <f>IF(NFI_Expiration=1,IF($A204&lt;VLOOKUP(S$5,NFI,5,0),1,0)*Table_NFI[[#This Row],[Winter Clothes Children]],Table_NFI[Winter Clothes Children])</f>
        <v>0</v>
      </c>
      <c r="AK204" s="264">
        <f>IF(NFI_Expiration=1,IF($A204&lt;VLOOKUP(T$5,NFI,5,0),1,0)*Table_NFI[[#This Row],[Winter Items Other]],Table_NFI[Winter Items Other])</f>
        <v>0</v>
      </c>
      <c r="AL204" s="264">
        <f>IF(NFI_Expiration=1,IF($A204&lt;VLOOKUP(M$5,NFI,5,0),1,0)*Table_NFI[[#This Row],[Winter Blanket]],Table_NFI[[#This Row],[Winter Blanket]])</f>
        <v>0</v>
      </c>
      <c r="AM204" s="264">
        <f>IF(Table_NFI[[#This Row],[Winter Clothes Adult]]+Table_NFI[[#This Row],[Winter Clothes Children]]+Table_NFI[[#This Row],[Winter Items Other]]+Table_NFI[[#This Row],[Winter Blanket]]&gt;0,1,0)</f>
        <v>0</v>
      </c>
      <c r="AN204" s="296">
        <f>IF(NFI_Expiration=1,IF($A204&lt;VLOOKUP(V$5,NFI,5,0),1,0)*Table_NFI[[#This Row],[Jerry Can]],Table_NFI[Jerry Can])</f>
        <v>0</v>
      </c>
      <c r="AO204" s="296">
        <f>IF(NFI_Expiration=1,IF($A204&lt;VLOOKUP(V$5,NFI,5,0),1,0)*Table_NFI[[#This Row],[Shelter Tool kit]],Table_NFI[Shelter Tool kit])</f>
        <v>0</v>
      </c>
      <c r="AP204" s="296">
        <f>IF(NFI_Expiration=1,IF($A204&lt;VLOOKUP(V$5,NFI,5,0),1,0)*Table_NFI[[#This Row],[Tent]],Table_NFI[Tent])</f>
        <v>0</v>
      </c>
      <c r="AQ204" s="396" t="str">
        <f>IFERROR(VLOOKUP(Table_NFI[[#This Row],[Camp Name]],CL,2,0),"")</f>
        <v>MMR001CMP218</v>
      </c>
      <c r="AR204" s="702">
        <f ca="1">IF(Table_NFI[[#This Row],[Pcode]]="","",IF(OFFSET(CampList[Opening Date],MATCH(Table_NFI[[#This Row],[Pcode]],CampList[CP_Pcode],0)-1,0,1,1)&gt;=NFI_Monitor_Date,1,0))</f>
        <v>0</v>
      </c>
      <c r="AS204" s="396" t="str">
        <f>IFERROR(VLOOKUP(Table_NFI[[#This Row],[Camp Name]],CL,3,0),"")</f>
        <v>Open</v>
      </c>
      <c r="AT204" s="264" t="str">
        <f ca="1">IF(Table_NFI[[#This Row],[Pcode]]="","",OFFSET(CampList[Priority],MATCH(Table_NFI[[#This Row],[Pcode]],CampList[CP_Pcode],0)-1,0,1,1))</f>
        <v>P4</v>
      </c>
      <c r="AU204" s="263">
        <f>IFERROR(Table_NFI[[#This Row],[Kitchen Set]]/VLOOKUP(Table_NFI[[#This Row],[Camp Name]],CL,4,0),"")</f>
        <v>7.2205641667468946E-5</v>
      </c>
      <c r="AV204" s="390" t="s">
        <v>1087</v>
      </c>
      <c r="AW204" s="392"/>
      <c r="AX204" s="402"/>
      <c r="AY204" s="402"/>
      <c r="AZ204" s="402"/>
      <c r="BA204" s="402"/>
      <c r="BB204" s="402"/>
      <c r="BC204" s="402"/>
      <c r="BD204" s="402"/>
      <c r="BE204" s="402"/>
      <c r="BF204" s="402"/>
      <c r="BG204" s="402"/>
      <c r="BH204" s="402"/>
      <c r="BI204" s="402"/>
      <c r="BJ204" s="402"/>
      <c r="BK204" s="402"/>
      <c r="BL204" s="402"/>
      <c r="BM204" s="402"/>
      <c r="BN204" s="402"/>
      <c r="BO204" s="402"/>
      <c r="BP204" s="402"/>
      <c r="BQ204" s="402"/>
      <c r="BR204" s="402"/>
      <c r="BS204" s="402"/>
      <c r="BT204" s="402"/>
      <c r="BU204" s="402"/>
      <c r="BV204" s="402"/>
      <c r="BW204" s="402"/>
      <c r="BX204" s="402"/>
      <c r="BY204" s="402"/>
      <c r="BZ204" s="402"/>
      <c r="CA204" s="402"/>
      <c r="CB204" s="402"/>
      <c r="CC204" s="402"/>
      <c r="CD204" s="402"/>
      <c r="CE204" s="402"/>
      <c r="CF204" s="402"/>
      <c r="CG204" s="402"/>
      <c r="CH204" s="402"/>
      <c r="CI204" s="402"/>
      <c r="CJ204" s="402"/>
      <c r="CK204" s="402"/>
      <c r="CL204" s="402"/>
      <c r="CM204" s="402"/>
      <c r="CN204" s="402"/>
      <c r="CO204" s="402"/>
      <c r="CP204" s="402"/>
      <c r="CQ204" s="402"/>
      <c r="CR204" s="402"/>
      <c r="CS204" s="402"/>
      <c r="CT204" s="402"/>
      <c r="CU204" s="402"/>
      <c r="CV204" s="402"/>
      <c r="CW204" s="402"/>
      <c r="CX204" s="402"/>
      <c r="CY204" s="402"/>
      <c r="CZ204" s="402"/>
      <c r="DA204" s="402"/>
      <c r="DB204" s="402"/>
      <c r="DC204" s="402"/>
      <c r="DD204" s="402"/>
      <c r="DE204" s="402"/>
      <c r="DF204" s="402"/>
      <c r="DG204" s="402"/>
      <c r="DH204" s="402"/>
      <c r="DI204" s="402"/>
      <c r="DJ204" s="402"/>
      <c r="DK204" s="402"/>
      <c r="DL204" s="402"/>
      <c r="DM204" s="402"/>
      <c r="DN204" s="402"/>
      <c r="DO204" s="402"/>
      <c r="DP204" s="402"/>
      <c r="DQ204" s="402"/>
    </row>
    <row r="205" spans="1:121" s="760" customFormat="1" ht="14.45" customHeight="1" x14ac:dyDescent="0.2">
      <c r="A205" s="266">
        <f t="shared" si="3"/>
        <v>23.3</v>
      </c>
      <c r="B205" s="389">
        <v>42157</v>
      </c>
      <c r="C205" s="390" t="s">
        <v>904</v>
      </c>
      <c r="D205" s="391" t="s">
        <v>904</v>
      </c>
      <c r="E205" s="390" t="s">
        <v>380</v>
      </c>
      <c r="F205" s="262" t="s">
        <v>5</v>
      </c>
      <c r="G205" s="262" t="s">
        <v>22</v>
      </c>
      <c r="H205" s="261"/>
      <c r="I205" s="261"/>
      <c r="J205" s="764">
        <v>1048</v>
      </c>
      <c r="K205" s="261"/>
      <c r="L205" s="261"/>
      <c r="M205" s="261"/>
      <c r="N205" s="261"/>
      <c r="O205" s="261"/>
      <c r="P205" s="261"/>
      <c r="Q205" s="261"/>
      <c r="R205" s="261"/>
      <c r="S205" s="261"/>
      <c r="T205" s="261"/>
      <c r="U205" s="261"/>
      <c r="V205" s="762"/>
      <c r="W205" s="261"/>
      <c r="X205" s="261"/>
      <c r="Y205" s="264">
        <f>IF(NFI_Expiration=1,IF($A205&lt;VLOOKUP(H$5,NFI,5,0),1,0)*Table_NFI[[#This Row],[Hygiene Kit]],Table_NFI[Hygiene Kit])</f>
        <v>0</v>
      </c>
      <c r="Z205" s="264">
        <f>IF(NFI_Expiration=1,IF($A205&lt;VLOOKUP(I$5,NFI,5,0),1,0)*Table_NFI[[#This Row],[NFI Core Kit]],Table_NFI[NFI Core Kit])</f>
        <v>0</v>
      </c>
      <c r="AA205" s="264">
        <f>IF(NFI_Expiration=1,IF($A205&lt;VLOOKUP(J$5,NFI,5,0),1,0)*Table_NFI[[#This Row],[Sanitary Kit]],Table_NFI[Sanitary Kit])</f>
        <v>0</v>
      </c>
      <c r="AB205" s="264">
        <f>IF(NFI_Expiration=1,IF($A205&lt;VLOOKUP(K$5,NFI,5,0),1,0)*Table_NFI[[#This Row],[Mosquito net]],Table_NFI[Mosquito net])</f>
        <v>0</v>
      </c>
      <c r="AC205" s="264">
        <f>IF(NFI_Expiration=1,IF($A205&lt;VLOOKUP(L$5,NFI,5,0),1,0)*Table_NFI[[#This Row],[Tarpaulin]],Table_NFI[[#This Row],[Tarpaulin]])</f>
        <v>0</v>
      </c>
      <c r="AD205" s="264">
        <f>IF(NFI_Expiration=1,IF($A205&lt;VLOOKUP(M$5,NFI,5,0),1,0)*Table_NFI[[#This Row],[Blanket]],Table_NFI[[#This Row],[Blanket]])</f>
        <v>0</v>
      </c>
      <c r="AE205" s="264">
        <f>IF(NFI_Expiration=1,IF($A205&lt;VLOOKUP(N$5,NFI,5,0),1,0)*Table_NFI[[#This Row],[Kitchen Set]],Table_NFI[Kitchen Set])</f>
        <v>0</v>
      </c>
      <c r="AF205" s="264">
        <f>IF(NFI_Expiration=1,IF($A205&lt;VLOOKUP(O$5,NFI,5,0),1,0)*Table_NFI[[#This Row],[Clothes Kit]],Table_NFI[Clothes Kit])</f>
        <v>0</v>
      </c>
      <c r="AG205" s="264">
        <f>IF(NFI_Expiration=1,IF($A205&lt;VLOOKUP(P$5,NFI,5,0),1,0)*Table_NFI[[#This Row],[Plastic Bucket]],Table_NFI[Plastic Bucket])</f>
        <v>0</v>
      </c>
      <c r="AH205" s="264">
        <f>IF(NFI_Expiration=1,IF($A205&lt;VLOOKUP(Q$5,NFI,5,0),1,0)*Table_NFI[[#This Row],[Plastic Mat]],Table_NFI[Plastic Mat])*IF(Table_NFI[[#This Row],[Distribution Date]]&gt;"2014-04-01",1,2.5)</f>
        <v>0</v>
      </c>
      <c r="AI205" s="264">
        <f>IF(NFI_Expiration=1,IF($A205&lt;VLOOKUP(R$5,NFI,5,0),1,0)*Table_NFI[[#This Row],[Winter Clothes Adult]],Table_NFI[Winter Clothes Adult])</f>
        <v>0</v>
      </c>
      <c r="AJ205" s="264">
        <f>IF(NFI_Expiration=1,IF($A205&lt;VLOOKUP(S$5,NFI,5,0),1,0)*Table_NFI[[#This Row],[Winter Clothes Children]],Table_NFI[Winter Clothes Children])</f>
        <v>0</v>
      </c>
      <c r="AK205" s="264">
        <f>IF(NFI_Expiration=1,IF($A205&lt;VLOOKUP(T$5,NFI,5,0),1,0)*Table_NFI[[#This Row],[Winter Items Other]],Table_NFI[Winter Items Other])</f>
        <v>0</v>
      </c>
      <c r="AL205" s="264">
        <f>IF(NFI_Expiration=1,IF($A205&lt;VLOOKUP(M$5,NFI,5,0),1,0)*Table_NFI[[#This Row],[Winter Blanket]],Table_NFI[[#This Row],[Winter Blanket]])</f>
        <v>0</v>
      </c>
      <c r="AM205" s="264">
        <f>IF(Table_NFI[[#This Row],[Winter Clothes Adult]]+Table_NFI[[#This Row],[Winter Clothes Children]]+Table_NFI[[#This Row],[Winter Items Other]]+Table_NFI[[#This Row],[Winter Blanket]]&gt;0,1,0)</f>
        <v>0</v>
      </c>
      <c r="AN205" s="296">
        <f>IF(NFI_Expiration=1,IF($A205&lt;VLOOKUP(V$5,NFI,5,0),1,0)*Table_NFI[[#This Row],[Jerry Can]],Table_NFI[Jerry Can])</f>
        <v>0</v>
      </c>
      <c r="AO205" s="296">
        <f>IF(NFI_Expiration=1,IF($A205&lt;VLOOKUP(V$5,NFI,5,0),1,0)*Table_NFI[[#This Row],[Shelter Tool kit]],Table_NFI[Shelter Tool kit])</f>
        <v>0</v>
      </c>
      <c r="AP205" s="296">
        <f>IF(NFI_Expiration=1,IF($A205&lt;VLOOKUP(V$5,NFI,5,0),1,0)*Table_NFI[[#This Row],[Tent]],Table_NFI[Tent])</f>
        <v>0</v>
      </c>
      <c r="AQ205" s="396" t="str">
        <f>IFERROR(VLOOKUP(Table_NFI[[#This Row],[Camp Name]],CL,2,0),"")</f>
        <v>MMR001CMP047</v>
      </c>
      <c r="AR205" s="702">
        <f ca="1">IF(Table_NFI[[#This Row],[Pcode]]="","",IF(OFFSET(CampList[Opening Date],MATCH(Table_NFI[[#This Row],[Pcode]],CampList[CP_Pcode],0)-1,0,1,1)&gt;=NFI_Monitor_Date,1,0))</f>
        <v>0</v>
      </c>
      <c r="AS205" s="396" t="str">
        <f>IFERROR(VLOOKUP(Table_NFI[[#This Row],[Camp Name]],CL,3,0),"")</f>
        <v>Open</v>
      </c>
      <c r="AT205" s="264" t="str">
        <f ca="1">IF(Table_NFI[[#This Row],[Pcode]]="","",OFFSET(CampList[Priority],MATCH(Table_NFI[[#This Row],[Pcode]],CampList[CP_Pcode],0)-1,0,1,1))</f>
        <v>P4</v>
      </c>
      <c r="AU205" s="263">
        <f>IFERROR(Table_NFI[[#This Row],[Kitchen Set]]/VLOOKUP(Table_NFI[[#This Row],[Camp Name]],CL,4,0),"")</f>
        <v>0</v>
      </c>
      <c r="AV205" s="390"/>
      <c r="AW205" s="392"/>
      <c r="AX205" s="399"/>
      <c r="AY205" s="399"/>
      <c r="AZ205" s="399"/>
      <c r="BA205" s="399"/>
      <c r="BB205" s="399"/>
      <c r="BC205" s="399"/>
      <c r="BD205" s="399"/>
      <c r="BE205" s="399"/>
      <c r="BF205" s="399"/>
      <c r="BG205" s="399"/>
      <c r="BH205" s="399"/>
      <c r="BI205" s="399"/>
      <c r="BJ205" s="399"/>
      <c r="BK205" s="399"/>
      <c r="BL205" s="399"/>
      <c r="BM205" s="399"/>
      <c r="BN205" s="399"/>
      <c r="BO205" s="399"/>
      <c r="BP205" s="399"/>
      <c r="BQ205" s="399"/>
      <c r="BR205" s="399"/>
      <c r="BS205" s="399"/>
      <c r="BT205" s="399"/>
      <c r="BU205" s="399"/>
      <c r="BV205" s="399"/>
      <c r="BW205" s="399"/>
      <c r="BX205" s="399"/>
      <c r="BY205" s="399"/>
      <c r="BZ205" s="399"/>
      <c r="CA205" s="399"/>
      <c r="CB205" s="399"/>
      <c r="CC205" s="399"/>
      <c r="CD205" s="399"/>
      <c r="CE205" s="399"/>
      <c r="CF205" s="399"/>
      <c r="CG205" s="399"/>
      <c r="CH205" s="399"/>
      <c r="CI205" s="399"/>
      <c r="CJ205" s="399"/>
      <c r="CK205" s="399"/>
      <c r="CL205" s="399"/>
      <c r="CM205" s="399"/>
      <c r="CN205" s="399"/>
      <c r="CO205" s="399"/>
      <c r="CP205" s="399"/>
      <c r="CQ205" s="399"/>
      <c r="CR205" s="399"/>
      <c r="CS205" s="399"/>
      <c r="CT205" s="399"/>
      <c r="CU205" s="399"/>
      <c r="CV205" s="399"/>
      <c r="CW205" s="399"/>
      <c r="CX205" s="399"/>
      <c r="CY205" s="399"/>
      <c r="CZ205" s="399"/>
      <c r="DA205" s="399"/>
      <c r="DB205" s="399"/>
      <c r="DC205" s="399"/>
      <c r="DD205" s="399"/>
      <c r="DE205" s="399"/>
      <c r="DF205" s="399"/>
      <c r="DG205" s="399"/>
      <c r="DH205" s="399"/>
      <c r="DI205" s="399"/>
      <c r="DJ205" s="399"/>
      <c r="DK205" s="399"/>
      <c r="DL205" s="399"/>
      <c r="DM205" s="399"/>
      <c r="DN205" s="399"/>
      <c r="DO205" s="399"/>
      <c r="DP205" s="399"/>
      <c r="DQ205" s="399"/>
    </row>
    <row r="206" spans="1:121" s="759" customFormat="1" ht="14.45" customHeight="1" x14ac:dyDescent="0.2">
      <c r="A206" s="266">
        <f t="shared" si="3"/>
        <v>23.366666666666667</v>
      </c>
      <c r="B206" s="389">
        <v>42155</v>
      </c>
      <c r="C206" s="390" t="s">
        <v>904</v>
      </c>
      <c r="D206" s="391" t="s">
        <v>904</v>
      </c>
      <c r="E206" s="390" t="s">
        <v>380</v>
      </c>
      <c r="F206" s="262" t="s">
        <v>185</v>
      </c>
      <c r="G206" s="262" t="s">
        <v>186</v>
      </c>
      <c r="H206" s="261"/>
      <c r="I206" s="261"/>
      <c r="J206" s="261"/>
      <c r="K206" s="261"/>
      <c r="L206" s="261"/>
      <c r="M206" s="261"/>
      <c r="N206" s="261"/>
      <c r="O206" s="261"/>
      <c r="P206" s="261"/>
      <c r="Q206" s="261"/>
      <c r="R206" s="261"/>
      <c r="S206" s="261"/>
      <c r="T206" s="261"/>
      <c r="U206" s="261"/>
      <c r="V206" s="766">
        <v>2</v>
      </c>
      <c r="W206" s="261"/>
      <c r="X206" s="261"/>
      <c r="Y206" s="264">
        <f>IF(NFI_Expiration=1,IF($A206&lt;VLOOKUP(H$5,NFI,5,0),1,0)*Table_NFI[[#This Row],[Hygiene Kit]],Table_NFI[Hygiene Kit])</f>
        <v>0</v>
      </c>
      <c r="Z206" s="264">
        <f>IF(NFI_Expiration=1,IF($A206&lt;VLOOKUP(I$5,NFI,5,0),1,0)*Table_NFI[[#This Row],[NFI Core Kit]],Table_NFI[NFI Core Kit])</f>
        <v>0</v>
      </c>
      <c r="AA206" s="264">
        <f>IF(NFI_Expiration=1,IF($A206&lt;VLOOKUP(J$5,NFI,5,0),1,0)*Table_NFI[[#This Row],[Sanitary Kit]],Table_NFI[Sanitary Kit])</f>
        <v>0</v>
      </c>
      <c r="AB206" s="264">
        <f>IF(NFI_Expiration=1,IF($A206&lt;VLOOKUP(K$5,NFI,5,0),1,0)*Table_NFI[[#This Row],[Mosquito net]],Table_NFI[Mosquito net])</f>
        <v>0</v>
      </c>
      <c r="AC206" s="264">
        <f>IF(NFI_Expiration=1,IF($A206&lt;VLOOKUP(L$5,NFI,5,0),1,0)*Table_NFI[[#This Row],[Tarpaulin]],Table_NFI[[#This Row],[Tarpaulin]])</f>
        <v>0</v>
      </c>
      <c r="AD206" s="264">
        <f>IF(NFI_Expiration=1,IF($A206&lt;VLOOKUP(M$5,NFI,5,0),1,0)*Table_NFI[[#This Row],[Blanket]],Table_NFI[[#This Row],[Blanket]])</f>
        <v>0</v>
      </c>
      <c r="AE206" s="264">
        <f>IF(NFI_Expiration=1,IF($A206&lt;VLOOKUP(N$5,NFI,5,0),1,0)*Table_NFI[[#This Row],[Kitchen Set]],Table_NFI[Kitchen Set])</f>
        <v>0</v>
      </c>
      <c r="AF206" s="264">
        <f>IF(NFI_Expiration=1,IF($A206&lt;VLOOKUP(O$5,NFI,5,0),1,0)*Table_NFI[[#This Row],[Clothes Kit]],Table_NFI[Clothes Kit])</f>
        <v>0</v>
      </c>
      <c r="AG206" s="264">
        <f>IF(NFI_Expiration=1,IF($A206&lt;VLOOKUP(P$5,NFI,5,0),1,0)*Table_NFI[[#This Row],[Plastic Bucket]],Table_NFI[Plastic Bucket])</f>
        <v>0</v>
      </c>
      <c r="AH206" s="264">
        <f>IF(NFI_Expiration=1,IF($A206&lt;VLOOKUP(Q$5,NFI,5,0),1,0)*Table_NFI[[#This Row],[Plastic Mat]],Table_NFI[Plastic Mat])*IF(Table_NFI[[#This Row],[Distribution Date]]&gt;"2014-04-01",1,2.5)</f>
        <v>0</v>
      </c>
      <c r="AI206" s="264">
        <f>IF(NFI_Expiration=1,IF($A206&lt;VLOOKUP(R$5,NFI,5,0),1,0)*Table_NFI[[#This Row],[Winter Clothes Adult]],Table_NFI[Winter Clothes Adult])</f>
        <v>0</v>
      </c>
      <c r="AJ206" s="264">
        <f>IF(NFI_Expiration=1,IF($A206&lt;VLOOKUP(S$5,NFI,5,0),1,0)*Table_NFI[[#This Row],[Winter Clothes Children]],Table_NFI[Winter Clothes Children])</f>
        <v>0</v>
      </c>
      <c r="AK206" s="264">
        <f>IF(NFI_Expiration=1,IF($A206&lt;VLOOKUP(T$5,NFI,5,0),1,0)*Table_NFI[[#This Row],[Winter Items Other]],Table_NFI[Winter Items Other])</f>
        <v>0</v>
      </c>
      <c r="AL206" s="264">
        <f>IF(NFI_Expiration=1,IF($A206&lt;VLOOKUP(M$5,NFI,5,0),1,0)*Table_NFI[[#This Row],[Winter Blanket]],Table_NFI[[#This Row],[Winter Blanket]])</f>
        <v>0</v>
      </c>
      <c r="AM206" s="264">
        <f>IF(Table_NFI[[#This Row],[Winter Clothes Adult]]+Table_NFI[[#This Row],[Winter Clothes Children]]+Table_NFI[[#This Row],[Winter Items Other]]+Table_NFI[[#This Row],[Winter Blanket]]&gt;0,1,0)</f>
        <v>0</v>
      </c>
      <c r="AN206" s="296">
        <f>IF(NFI_Expiration=1,IF($A206&lt;VLOOKUP(V$5,NFI,5,0),1,0)*Table_NFI[[#This Row],[Jerry Can]],Table_NFI[Jerry Can])</f>
        <v>0</v>
      </c>
      <c r="AO206" s="296">
        <f>IF(NFI_Expiration=1,IF($A206&lt;VLOOKUP(V$5,NFI,5,0),1,0)*Table_NFI[[#This Row],[Shelter Tool kit]],Table_NFI[Shelter Tool kit])</f>
        <v>0</v>
      </c>
      <c r="AP206" s="296">
        <f>IF(NFI_Expiration=1,IF($A206&lt;VLOOKUP(V$5,NFI,5,0),1,0)*Table_NFI[[#This Row],[Tent]],Table_NFI[Tent])</f>
        <v>0</v>
      </c>
      <c r="AQ206" s="396" t="str">
        <f>IFERROR(VLOOKUP(Table_NFI[[#This Row],[Camp Name]],CL,2,0),"")</f>
        <v>MMR001CMP071</v>
      </c>
      <c r="AR206" s="702">
        <f ca="1">IF(Table_NFI[[#This Row],[Pcode]]="","",IF(OFFSET(CampList[Opening Date],MATCH(Table_NFI[[#This Row],[Pcode]],CampList[CP_Pcode],0)-1,0,1,1)&gt;=NFI_Monitor_Date,1,0))</f>
        <v>0</v>
      </c>
      <c r="AS206" s="396" t="str">
        <f>IFERROR(VLOOKUP(Table_NFI[[#This Row],[Camp Name]],CL,3,0),"")</f>
        <v>Open</v>
      </c>
      <c r="AT206" s="264" t="str">
        <f ca="1">IF(Table_NFI[[#This Row],[Pcode]]="","",OFFSET(CampList[Priority],MATCH(Table_NFI[[#This Row],[Pcode]],CampList[CP_Pcode],0)-1,0,1,1))</f>
        <v>P3</v>
      </c>
      <c r="AU206" s="263">
        <f>IFERROR(Table_NFI[[#This Row],[Kitchen Set]]/VLOOKUP(Table_NFI[[#This Row],[Camp Name]],CL,4,0),"")</f>
        <v>0</v>
      </c>
      <c r="AV206" s="390"/>
      <c r="AW206" s="392"/>
      <c r="AX206" s="402"/>
      <c r="AY206" s="402"/>
      <c r="AZ206" s="402"/>
      <c r="BA206" s="402"/>
      <c r="BB206" s="402"/>
      <c r="BC206" s="402"/>
      <c r="BD206" s="402"/>
      <c r="BE206" s="402"/>
      <c r="BF206" s="402"/>
      <c r="BG206" s="402"/>
      <c r="BH206" s="402"/>
      <c r="BI206" s="402"/>
      <c r="BJ206" s="402"/>
      <c r="BK206" s="402"/>
      <c r="BL206" s="402"/>
      <c r="BM206" s="402"/>
      <c r="BN206" s="402"/>
      <c r="BO206" s="402"/>
      <c r="BP206" s="402"/>
      <c r="BQ206" s="402"/>
      <c r="BR206" s="402"/>
      <c r="BS206" s="402"/>
      <c r="BT206" s="402"/>
      <c r="BU206" s="402"/>
      <c r="BV206" s="402"/>
      <c r="BW206" s="402"/>
      <c r="BX206" s="402"/>
      <c r="BY206" s="402"/>
      <c r="BZ206" s="402"/>
      <c r="CA206" s="402"/>
      <c r="CB206" s="402"/>
      <c r="CC206" s="402"/>
      <c r="CD206" s="402"/>
      <c r="CE206" s="402"/>
      <c r="CF206" s="402"/>
      <c r="CG206" s="402"/>
      <c r="CH206" s="402"/>
      <c r="CI206" s="402"/>
      <c r="CJ206" s="402"/>
      <c r="CK206" s="402"/>
      <c r="CL206" s="402"/>
      <c r="CM206" s="402"/>
      <c r="CN206" s="402"/>
      <c r="CO206" s="402"/>
      <c r="CP206" s="402"/>
      <c r="CQ206" s="402"/>
      <c r="CR206" s="402"/>
      <c r="CS206" s="402"/>
      <c r="CT206" s="402"/>
      <c r="CU206" s="402"/>
      <c r="CV206" s="402"/>
      <c r="CW206" s="402"/>
      <c r="CX206" s="402"/>
      <c r="CY206" s="402"/>
      <c r="CZ206" s="402"/>
      <c r="DA206" s="402"/>
      <c r="DB206" s="402"/>
      <c r="DC206" s="402"/>
      <c r="DD206" s="402"/>
      <c r="DE206" s="402"/>
      <c r="DF206" s="402"/>
      <c r="DG206" s="402"/>
      <c r="DH206" s="402"/>
      <c r="DI206" s="402"/>
      <c r="DJ206" s="402"/>
      <c r="DK206" s="402"/>
      <c r="DL206" s="402"/>
      <c r="DM206" s="402"/>
      <c r="DN206" s="402"/>
      <c r="DO206" s="402"/>
      <c r="DP206" s="402"/>
      <c r="DQ206" s="402"/>
    </row>
    <row r="207" spans="1:121" s="759" customFormat="1" ht="15" customHeight="1" x14ac:dyDescent="0.2">
      <c r="A207" s="266">
        <f t="shared" si="3"/>
        <v>23.366666666666667</v>
      </c>
      <c r="B207" s="389">
        <v>42155</v>
      </c>
      <c r="C207" s="390" t="s">
        <v>904</v>
      </c>
      <c r="D207" s="391" t="s">
        <v>904</v>
      </c>
      <c r="E207" s="390" t="s">
        <v>380</v>
      </c>
      <c r="F207" s="262" t="s">
        <v>185</v>
      </c>
      <c r="G207" s="262" t="s">
        <v>190</v>
      </c>
      <c r="H207" s="261"/>
      <c r="I207" s="261"/>
      <c r="J207" s="261"/>
      <c r="K207" s="261"/>
      <c r="L207" s="261"/>
      <c r="M207" s="261"/>
      <c r="N207" s="261"/>
      <c r="O207" s="261"/>
      <c r="P207" s="261"/>
      <c r="Q207" s="261"/>
      <c r="R207" s="261"/>
      <c r="S207" s="261"/>
      <c r="T207" s="261"/>
      <c r="U207" s="261"/>
      <c r="V207" s="766">
        <v>4</v>
      </c>
      <c r="W207" s="762"/>
      <c r="X207" s="762"/>
      <c r="Y207" s="264">
        <f>IF(NFI_Expiration=1,IF($A207&lt;VLOOKUP(H$5,NFI,5,0),1,0)*Table_NFI[[#This Row],[Hygiene Kit]],Table_NFI[Hygiene Kit])</f>
        <v>0</v>
      </c>
      <c r="Z207" s="264">
        <f>IF(NFI_Expiration=1,IF($A207&lt;VLOOKUP(I$5,NFI,5,0),1,0)*Table_NFI[[#This Row],[NFI Core Kit]],Table_NFI[NFI Core Kit])</f>
        <v>0</v>
      </c>
      <c r="AA207" s="264">
        <f>IF(NFI_Expiration=1,IF($A207&lt;VLOOKUP(J$5,NFI,5,0),1,0)*Table_NFI[[#This Row],[Sanitary Kit]],Table_NFI[Sanitary Kit])</f>
        <v>0</v>
      </c>
      <c r="AB207" s="264">
        <f>IF(NFI_Expiration=1,IF($A207&lt;VLOOKUP(K$5,NFI,5,0),1,0)*Table_NFI[[#This Row],[Mosquito net]],Table_NFI[Mosquito net])</f>
        <v>0</v>
      </c>
      <c r="AC207" s="264">
        <f>IF(NFI_Expiration=1,IF($A207&lt;VLOOKUP(L$5,NFI,5,0),1,0)*Table_NFI[[#This Row],[Tarpaulin]],Table_NFI[[#This Row],[Tarpaulin]])</f>
        <v>0</v>
      </c>
      <c r="AD207" s="264">
        <f>IF(NFI_Expiration=1,IF($A207&lt;VLOOKUP(M$5,NFI,5,0),1,0)*Table_NFI[[#This Row],[Blanket]],Table_NFI[[#This Row],[Blanket]])</f>
        <v>0</v>
      </c>
      <c r="AE207" s="264">
        <f>IF(NFI_Expiration=1,IF($A207&lt;VLOOKUP(N$5,NFI,5,0),1,0)*Table_NFI[[#This Row],[Kitchen Set]],Table_NFI[Kitchen Set])</f>
        <v>0</v>
      </c>
      <c r="AF207" s="264">
        <f>IF(NFI_Expiration=1,IF($A207&lt;VLOOKUP(O$5,NFI,5,0),1,0)*Table_NFI[[#This Row],[Clothes Kit]],Table_NFI[Clothes Kit])</f>
        <v>0</v>
      </c>
      <c r="AG207" s="264">
        <f>IF(NFI_Expiration=1,IF($A207&lt;VLOOKUP(P$5,NFI,5,0),1,0)*Table_NFI[[#This Row],[Plastic Bucket]],Table_NFI[Plastic Bucket])</f>
        <v>0</v>
      </c>
      <c r="AH207" s="264">
        <f>IF(NFI_Expiration=1,IF($A207&lt;VLOOKUP(Q$5,NFI,5,0),1,0)*Table_NFI[[#This Row],[Plastic Mat]],Table_NFI[Plastic Mat])*IF(Table_NFI[[#This Row],[Distribution Date]]&gt;"2014-04-01",1,2.5)</f>
        <v>0</v>
      </c>
      <c r="AI207" s="264">
        <f>IF(NFI_Expiration=1,IF($A207&lt;VLOOKUP(R$5,NFI,5,0),1,0)*Table_NFI[[#This Row],[Winter Clothes Adult]],Table_NFI[Winter Clothes Adult])</f>
        <v>0</v>
      </c>
      <c r="AJ207" s="264">
        <f>IF(NFI_Expiration=1,IF($A207&lt;VLOOKUP(S$5,NFI,5,0),1,0)*Table_NFI[[#This Row],[Winter Clothes Children]],Table_NFI[Winter Clothes Children])</f>
        <v>0</v>
      </c>
      <c r="AK207" s="264">
        <f>IF(NFI_Expiration=1,IF($A207&lt;VLOOKUP(T$5,NFI,5,0),1,0)*Table_NFI[[#This Row],[Winter Items Other]],Table_NFI[Winter Items Other])</f>
        <v>0</v>
      </c>
      <c r="AL207" s="264">
        <f>IF(NFI_Expiration=1,IF($A207&lt;VLOOKUP(M$5,NFI,5,0),1,0)*Table_NFI[[#This Row],[Winter Blanket]],Table_NFI[[#This Row],[Winter Blanket]])</f>
        <v>0</v>
      </c>
      <c r="AM207" s="264">
        <f>IF(Table_NFI[[#This Row],[Winter Clothes Adult]]+Table_NFI[[#This Row],[Winter Clothes Children]]+Table_NFI[[#This Row],[Winter Items Other]]+Table_NFI[[#This Row],[Winter Blanket]]&gt;0,1,0)</f>
        <v>0</v>
      </c>
      <c r="AN207" s="296">
        <f>IF(NFI_Expiration=1,IF($A207&lt;VLOOKUP(V$5,NFI,5,0),1,0)*Table_NFI[[#This Row],[Jerry Can]],Table_NFI[Jerry Can])</f>
        <v>0</v>
      </c>
      <c r="AO207" s="296">
        <f>IF(NFI_Expiration=1,IF($A207&lt;VLOOKUP(V$5,NFI,5,0),1,0)*Table_NFI[[#This Row],[Shelter Tool kit]],Table_NFI[Shelter Tool kit])</f>
        <v>0</v>
      </c>
      <c r="AP207" s="296">
        <f>IF(NFI_Expiration=1,IF($A207&lt;VLOOKUP(V$5,NFI,5,0),1,0)*Table_NFI[[#This Row],[Tent]],Table_NFI[Tent])</f>
        <v>0</v>
      </c>
      <c r="AQ207" s="396" t="str">
        <f>IFERROR(VLOOKUP(Table_NFI[[#This Row],[Camp Name]],CL,2,0),"")</f>
        <v>MMR001CMP070</v>
      </c>
      <c r="AR207" s="702">
        <f ca="1">IF(Table_NFI[[#This Row],[Pcode]]="","",IF(OFFSET(CampList[Opening Date],MATCH(Table_NFI[[#This Row],[Pcode]],CampList[CP_Pcode],0)-1,0,1,1)&gt;=NFI_Monitor_Date,1,0))</f>
        <v>0</v>
      </c>
      <c r="AS207" s="396" t="str">
        <f>IFERROR(VLOOKUP(Table_NFI[[#This Row],[Camp Name]],CL,3,0),"")</f>
        <v>Open</v>
      </c>
      <c r="AT207" s="264" t="str">
        <f ca="1">IF(Table_NFI[[#This Row],[Pcode]]="","",OFFSET(CampList[Priority],MATCH(Table_NFI[[#This Row],[Pcode]],CampList[CP_Pcode],0)-1,0,1,1))</f>
        <v>P3</v>
      </c>
      <c r="AU207" s="263">
        <f>IFERROR(Table_NFI[[#This Row],[Kitchen Set]]/VLOOKUP(Table_NFI[[#This Row],[Camp Name]],CL,4,0),"")</f>
        <v>0</v>
      </c>
      <c r="AV207" s="390"/>
      <c r="AW207" s="392"/>
      <c r="AX207" s="402"/>
      <c r="AY207" s="402"/>
      <c r="AZ207" s="402"/>
      <c r="BA207" s="402"/>
      <c r="BB207" s="402"/>
      <c r="BC207" s="402"/>
      <c r="BD207" s="402"/>
      <c r="BE207" s="402"/>
      <c r="BF207" s="402"/>
      <c r="BG207" s="402"/>
      <c r="BH207" s="402"/>
      <c r="BI207" s="402"/>
      <c r="BJ207" s="402"/>
      <c r="BK207" s="402"/>
      <c r="BL207" s="402"/>
      <c r="BM207" s="402"/>
      <c r="BN207" s="402"/>
      <c r="BO207" s="402"/>
      <c r="BP207" s="402"/>
      <c r="BQ207" s="402"/>
      <c r="BR207" s="402"/>
      <c r="BS207" s="402"/>
      <c r="BT207" s="402"/>
      <c r="BU207" s="402"/>
      <c r="BV207" s="402"/>
      <c r="BW207" s="402"/>
      <c r="BX207" s="402"/>
      <c r="BY207" s="402"/>
      <c r="BZ207" s="402"/>
      <c r="CA207" s="402"/>
      <c r="CB207" s="402"/>
      <c r="CC207" s="402"/>
      <c r="CD207" s="402"/>
      <c r="CE207" s="402"/>
      <c r="CF207" s="402"/>
      <c r="CG207" s="402"/>
      <c r="CH207" s="402"/>
      <c r="CI207" s="402"/>
      <c r="CJ207" s="402"/>
      <c r="CK207" s="402"/>
      <c r="CL207" s="402"/>
      <c r="CM207" s="402"/>
      <c r="CN207" s="402"/>
      <c r="CO207" s="402"/>
      <c r="CP207" s="402"/>
      <c r="CQ207" s="402"/>
      <c r="CR207" s="402"/>
      <c r="CS207" s="402"/>
      <c r="CT207" s="402"/>
      <c r="CU207" s="402"/>
      <c r="CV207" s="402"/>
      <c r="CW207" s="402"/>
      <c r="CX207" s="402"/>
      <c r="CY207" s="402"/>
      <c r="CZ207" s="402"/>
      <c r="DA207" s="402"/>
      <c r="DB207" s="402"/>
      <c r="DC207" s="402"/>
      <c r="DD207" s="402"/>
      <c r="DE207" s="402"/>
      <c r="DF207" s="402"/>
      <c r="DG207" s="402"/>
      <c r="DH207" s="402"/>
      <c r="DI207" s="402"/>
      <c r="DJ207" s="402"/>
      <c r="DK207" s="402"/>
      <c r="DL207" s="402"/>
      <c r="DM207" s="402"/>
      <c r="DN207" s="402"/>
      <c r="DO207" s="402"/>
      <c r="DP207" s="402"/>
      <c r="DQ207" s="402"/>
    </row>
    <row r="208" spans="1:121" s="759" customFormat="1" ht="15" customHeight="1" x14ac:dyDescent="0.2">
      <c r="A208" s="266">
        <f t="shared" si="3"/>
        <v>23.366666666666667</v>
      </c>
      <c r="B208" s="389">
        <v>42155</v>
      </c>
      <c r="C208" s="390" t="s">
        <v>904</v>
      </c>
      <c r="D208" s="390" t="s">
        <v>904</v>
      </c>
      <c r="E208" s="390" t="s">
        <v>380</v>
      </c>
      <c r="F208" s="390" t="s">
        <v>5</v>
      </c>
      <c r="G208" s="390" t="s">
        <v>366</v>
      </c>
      <c r="H208" s="261"/>
      <c r="I208" s="261"/>
      <c r="J208" s="261"/>
      <c r="K208" s="261"/>
      <c r="L208" s="261"/>
      <c r="M208" s="261"/>
      <c r="N208" s="261"/>
      <c r="O208" s="261"/>
      <c r="P208" s="261"/>
      <c r="Q208" s="261"/>
      <c r="R208" s="261"/>
      <c r="S208" s="261"/>
      <c r="T208" s="261"/>
      <c r="U208" s="261"/>
      <c r="V208" s="766">
        <v>6</v>
      </c>
      <c r="W208" s="762"/>
      <c r="X208" s="762"/>
      <c r="Y208" s="264">
        <f>IF(NFI_Expiration=1,IF($A208&lt;VLOOKUP(H$5,NFI,5,0),1,0)*Table_NFI[[#This Row],[Hygiene Kit]],Table_NFI[Hygiene Kit])</f>
        <v>0</v>
      </c>
      <c r="Z208" s="264">
        <f>IF(NFI_Expiration=1,IF($A208&lt;VLOOKUP(I$5,NFI,5,0),1,0)*Table_NFI[[#This Row],[NFI Core Kit]],Table_NFI[NFI Core Kit])</f>
        <v>0</v>
      </c>
      <c r="AA208" s="264">
        <f>IF(NFI_Expiration=1,IF($A208&lt;VLOOKUP(J$5,NFI,5,0),1,0)*Table_NFI[[#This Row],[Sanitary Kit]],Table_NFI[Sanitary Kit])</f>
        <v>0</v>
      </c>
      <c r="AB208" s="264">
        <f>IF(NFI_Expiration=1,IF($A208&lt;VLOOKUP(K$5,NFI,5,0),1,0)*Table_NFI[[#This Row],[Mosquito net]],Table_NFI[Mosquito net])</f>
        <v>0</v>
      </c>
      <c r="AC208" s="264">
        <f>IF(NFI_Expiration=1,IF($A208&lt;VLOOKUP(L$5,NFI,5,0),1,0)*Table_NFI[[#This Row],[Tarpaulin]],Table_NFI[[#This Row],[Tarpaulin]])</f>
        <v>0</v>
      </c>
      <c r="AD208" s="264">
        <f>IF(NFI_Expiration=1,IF($A208&lt;VLOOKUP(M$5,NFI,5,0),1,0)*Table_NFI[[#This Row],[Blanket]],Table_NFI[[#This Row],[Blanket]])</f>
        <v>0</v>
      </c>
      <c r="AE208" s="264">
        <f>IF(NFI_Expiration=1,IF($A208&lt;VLOOKUP(N$5,NFI,5,0),1,0)*Table_NFI[[#This Row],[Kitchen Set]],Table_NFI[Kitchen Set])</f>
        <v>0</v>
      </c>
      <c r="AF208" s="264">
        <f>IF(NFI_Expiration=1,IF($A208&lt;VLOOKUP(O$5,NFI,5,0),1,0)*Table_NFI[[#This Row],[Clothes Kit]],Table_NFI[Clothes Kit])</f>
        <v>0</v>
      </c>
      <c r="AG208" s="264">
        <f>IF(NFI_Expiration=1,IF($A208&lt;VLOOKUP(P$5,NFI,5,0),1,0)*Table_NFI[[#This Row],[Plastic Bucket]],Table_NFI[Plastic Bucket])</f>
        <v>0</v>
      </c>
      <c r="AH208" s="264">
        <f>IF(NFI_Expiration=1,IF($A208&lt;VLOOKUP(Q$5,NFI,5,0),1,0)*Table_NFI[[#This Row],[Plastic Mat]],Table_NFI[Plastic Mat])*IF(Table_NFI[[#This Row],[Distribution Date]]&gt;"2014-04-01",1,2.5)</f>
        <v>0</v>
      </c>
      <c r="AI208" s="264">
        <f>IF(NFI_Expiration=1,IF($A208&lt;VLOOKUP(R$5,NFI,5,0),1,0)*Table_NFI[[#This Row],[Winter Clothes Adult]],Table_NFI[Winter Clothes Adult])</f>
        <v>0</v>
      </c>
      <c r="AJ208" s="264">
        <f>IF(NFI_Expiration=1,IF($A208&lt;VLOOKUP(S$5,NFI,5,0),1,0)*Table_NFI[[#This Row],[Winter Clothes Children]],Table_NFI[Winter Clothes Children])</f>
        <v>0</v>
      </c>
      <c r="AK208" s="264">
        <f>IF(NFI_Expiration=1,IF($A208&lt;VLOOKUP(T$5,NFI,5,0),1,0)*Table_NFI[[#This Row],[Winter Items Other]],Table_NFI[Winter Items Other])</f>
        <v>0</v>
      </c>
      <c r="AL208" s="264">
        <f>IF(NFI_Expiration=1,IF($A208&lt;VLOOKUP(M$5,NFI,5,0),1,0)*Table_NFI[[#This Row],[Winter Blanket]],Table_NFI[[#This Row],[Winter Blanket]])</f>
        <v>0</v>
      </c>
      <c r="AM208" s="264">
        <f>IF(Table_NFI[[#This Row],[Winter Clothes Adult]]+Table_NFI[[#This Row],[Winter Clothes Children]]+Table_NFI[[#This Row],[Winter Items Other]]+Table_NFI[[#This Row],[Winter Blanket]]&gt;0,1,0)</f>
        <v>0</v>
      </c>
      <c r="AN208" s="296">
        <f>IF(NFI_Expiration=1,IF($A208&lt;VLOOKUP(V$5,NFI,5,0),1,0)*Table_NFI[[#This Row],[Jerry Can]],Table_NFI[Jerry Can])</f>
        <v>0</v>
      </c>
      <c r="AO208" s="296">
        <f>IF(NFI_Expiration=1,IF($A208&lt;VLOOKUP(V$5,NFI,5,0),1,0)*Table_NFI[[#This Row],[Shelter Tool kit]],Table_NFI[Shelter Tool kit])</f>
        <v>0</v>
      </c>
      <c r="AP208" s="296">
        <f>IF(NFI_Expiration=1,IF($A208&lt;VLOOKUP(V$5,NFI,5,0),1,0)*Table_NFI[[#This Row],[Tent]],Table_NFI[Tent])</f>
        <v>0</v>
      </c>
      <c r="AQ208" s="396" t="str">
        <f>IFERROR(VLOOKUP(Table_NFI[[#This Row],[Camp Name]],CL,2,0),"")</f>
        <v>MMR001CMP193</v>
      </c>
      <c r="AR208" s="702">
        <f ca="1">IF(Table_NFI[[#This Row],[Pcode]]="","",IF(OFFSET(CampList[Opening Date],MATCH(Table_NFI[[#This Row],[Pcode]],CampList[CP_Pcode],0)-1,0,1,1)&gt;=NFI_Monitor_Date,1,0))</f>
        <v>0</v>
      </c>
      <c r="AS208" s="396" t="str">
        <f>IFERROR(VLOOKUP(Table_NFI[[#This Row],[Camp Name]],CL,3,0),"")</f>
        <v>Open</v>
      </c>
      <c r="AT208" s="264" t="str">
        <f ca="1">IF(Table_NFI[[#This Row],[Pcode]]="","",OFFSET(CampList[Priority],MATCH(Table_NFI[[#This Row],[Pcode]],CampList[CP_Pcode],0)-1,0,1,1))</f>
        <v>P4</v>
      </c>
      <c r="AU208" s="263">
        <f>IFERROR(Table_NFI[[#This Row],[Kitchen Set]]/VLOOKUP(Table_NFI[[#This Row],[Camp Name]],CL,4,0),"")</f>
        <v>0</v>
      </c>
      <c r="AV208" s="390"/>
      <c r="AW208" s="392"/>
      <c r="AX208" s="402"/>
      <c r="AY208" s="402"/>
      <c r="AZ208" s="402"/>
      <c r="BA208" s="402"/>
      <c r="BB208" s="402"/>
      <c r="BC208" s="402"/>
      <c r="BD208" s="402"/>
      <c r="BE208" s="402"/>
      <c r="BF208" s="402"/>
      <c r="BG208" s="402"/>
      <c r="BH208" s="402"/>
      <c r="BI208" s="402"/>
      <c r="BJ208" s="402"/>
      <c r="BK208" s="402"/>
      <c r="BL208" s="402"/>
      <c r="BM208" s="402"/>
      <c r="BN208" s="402"/>
      <c r="BO208" s="402"/>
      <c r="BP208" s="402"/>
      <c r="BQ208" s="402"/>
      <c r="BR208" s="402"/>
      <c r="BS208" s="402"/>
      <c r="BT208" s="402"/>
      <c r="BU208" s="402"/>
      <c r="BV208" s="402"/>
      <c r="BW208" s="402"/>
      <c r="BX208" s="402"/>
      <c r="BY208" s="402"/>
      <c r="BZ208" s="402"/>
      <c r="CA208" s="402"/>
      <c r="CB208" s="402"/>
      <c r="CC208" s="402"/>
      <c r="CD208" s="402"/>
      <c r="CE208" s="402"/>
      <c r="CF208" s="402"/>
      <c r="CG208" s="402"/>
      <c r="CH208" s="402"/>
      <c r="CI208" s="402"/>
      <c r="CJ208" s="402"/>
      <c r="CK208" s="402"/>
      <c r="CL208" s="402"/>
      <c r="CM208" s="402"/>
      <c r="CN208" s="402"/>
      <c r="CO208" s="402"/>
      <c r="CP208" s="402"/>
      <c r="CQ208" s="402"/>
      <c r="CR208" s="402"/>
      <c r="CS208" s="402"/>
      <c r="CT208" s="402"/>
      <c r="CU208" s="402"/>
      <c r="CV208" s="402"/>
      <c r="CW208" s="402"/>
      <c r="CX208" s="402"/>
      <c r="CY208" s="402"/>
      <c r="CZ208" s="402"/>
      <c r="DA208" s="402"/>
      <c r="DB208" s="402"/>
      <c r="DC208" s="402"/>
      <c r="DD208" s="402"/>
      <c r="DE208" s="402"/>
      <c r="DF208" s="402"/>
      <c r="DG208" s="402"/>
      <c r="DH208" s="402"/>
      <c r="DI208" s="402"/>
      <c r="DJ208" s="402"/>
      <c r="DK208" s="402"/>
      <c r="DL208" s="402"/>
      <c r="DM208" s="402"/>
      <c r="DN208" s="402"/>
      <c r="DO208" s="402"/>
      <c r="DP208" s="402"/>
      <c r="DQ208" s="402"/>
    </row>
    <row r="209" spans="1:121" s="759" customFormat="1" ht="14.45" customHeight="1" x14ac:dyDescent="0.2">
      <c r="A209" s="266">
        <f t="shared" si="3"/>
        <v>23.366666666666667</v>
      </c>
      <c r="B209" s="389">
        <v>42155</v>
      </c>
      <c r="C209" s="390" t="s">
        <v>904</v>
      </c>
      <c r="D209" s="391" t="s">
        <v>904</v>
      </c>
      <c r="E209" s="390" t="s">
        <v>380</v>
      </c>
      <c r="F209" s="262" t="s">
        <v>185</v>
      </c>
      <c r="G209" s="262" t="s">
        <v>225</v>
      </c>
      <c r="H209" s="261"/>
      <c r="I209" s="261"/>
      <c r="J209" s="261"/>
      <c r="K209" s="261"/>
      <c r="L209" s="261"/>
      <c r="M209" s="261"/>
      <c r="N209" s="261"/>
      <c r="O209" s="261"/>
      <c r="P209" s="261"/>
      <c r="Q209" s="261"/>
      <c r="R209" s="261"/>
      <c r="S209" s="261"/>
      <c r="T209" s="261"/>
      <c r="U209" s="261"/>
      <c r="V209" s="766">
        <v>3</v>
      </c>
      <c r="W209" s="261"/>
      <c r="X209" s="261"/>
      <c r="Y209" s="264">
        <f>IF(NFI_Expiration=1,IF($A209&lt;VLOOKUP(H$5,NFI,5,0),1,0)*Table_NFI[[#This Row],[Hygiene Kit]],Table_NFI[Hygiene Kit])</f>
        <v>0</v>
      </c>
      <c r="Z209" s="264">
        <f>IF(NFI_Expiration=1,IF($A209&lt;VLOOKUP(I$5,NFI,5,0),1,0)*Table_NFI[[#This Row],[NFI Core Kit]],Table_NFI[NFI Core Kit])</f>
        <v>0</v>
      </c>
      <c r="AA209" s="264">
        <f>IF(NFI_Expiration=1,IF($A209&lt;VLOOKUP(J$5,NFI,5,0),1,0)*Table_NFI[[#This Row],[Sanitary Kit]],Table_NFI[Sanitary Kit])</f>
        <v>0</v>
      </c>
      <c r="AB209" s="264">
        <f>IF(NFI_Expiration=1,IF($A209&lt;VLOOKUP(K$5,NFI,5,0),1,0)*Table_NFI[[#This Row],[Mosquito net]],Table_NFI[Mosquito net])</f>
        <v>0</v>
      </c>
      <c r="AC209" s="264">
        <f>IF(NFI_Expiration=1,IF($A209&lt;VLOOKUP(L$5,NFI,5,0),1,0)*Table_NFI[[#This Row],[Tarpaulin]],Table_NFI[[#This Row],[Tarpaulin]])</f>
        <v>0</v>
      </c>
      <c r="AD209" s="264">
        <f>IF(NFI_Expiration=1,IF($A209&lt;VLOOKUP(M$5,NFI,5,0),1,0)*Table_NFI[[#This Row],[Blanket]],Table_NFI[[#This Row],[Blanket]])</f>
        <v>0</v>
      </c>
      <c r="AE209" s="264">
        <f>IF(NFI_Expiration=1,IF($A209&lt;VLOOKUP(N$5,NFI,5,0),1,0)*Table_NFI[[#This Row],[Kitchen Set]],Table_NFI[Kitchen Set])</f>
        <v>0</v>
      </c>
      <c r="AF209" s="264">
        <f>IF(NFI_Expiration=1,IF($A209&lt;VLOOKUP(O$5,NFI,5,0),1,0)*Table_NFI[[#This Row],[Clothes Kit]],Table_NFI[Clothes Kit])</f>
        <v>0</v>
      </c>
      <c r="AG209" s="264">
        <f>IF(NFI_Expiration=1,IF($A209&lt;VLOOKUP(P$5,NFI,5,0),1,0)*Table_NFI[[#This Row],[Plastic Bucket]],Table_NFI[Plastic Bucket])</f>
        <v>0</v>
      </c>
      <c r="AH209" s="264">
        <f>IF(NFI_Expiration=1,IF($A209&lt;VLOOKUP(Q$5,NFI,5,0),1,0)*Table_NFI[[#This Row],[Plastic Mat]],Table_NFI[Plastic Mat])*IF(Table_NFI[[#This Row],[Distribution Date]]&gt;"2014-04-01",1,2.5)</f>
        <v>0</v>
      </c>
      <c r="AI209" s="264">
        <f>IF(NFI_Expiration=1,IF($A209&lt;VLOOKUP(R$5,NFI,5,0),1,0)*Table_NFI[[#This Row],[Winter Clothes Adult]],Table_NFI[Winter Clothes Adult])</f>
        <v>0</v>
      </c>
      <c r="AJ209" s="264">
        <f>IF(NFI_Expiration=1,IF($A209&lt;VLOOKUP(S$5,NFI,5,0),1,0)*Table_NFI[[#This Row],[Winter Clothes Children]],Table_NFI[Winter Clothes Children])</f>
        <v>0</v>
      </c>
      <c r="AK209" s="264">
        <f>IF(NFI_Expiration=1,IF($A209&lt;VLOOKUP(T$5,NFI,5,0),1,0)*Table_NFI[[#This Row],[Winter Items Other]],Table_NFI[Winter Items Other])</f>
        <v>0</v>
      </c>
      <c r="AL209" s="264">
        <f>IF(NFI_Expiration=1,IF($A209&lt;VLOOKUP(M$5,NFI,5,0),1,0)*Table_NFI[[#This Row],[Winter Blanket]],Table_NFI[[#This Row],[Winter Blanket]])</f>
        <v>0</v>
      </c>
      <c r="AM209" s="264">
        <f>IF(Table_NFI[[#This Row],[Winter Clothes Adult]]+Table_NFI[[#This Row],[Winter Clothes Children]]+Table_NFI[[#This Row],[Winter Items Other]]+Table_NFI[[#This Row],[Winter Blanket]]&gt;0,1,0)</f>
        <v>0</v>
      </c>
      <c r="AN209" s="296">
        <f>IF(NFI_Expiration=1,IF($A209&lt;VLOOKUP(V$5,NFI,5,0),1,0)*Table_NFI[[#This Row],[Jerry Can]],Table_NFI[Jerry Can])</f>
        <v>0</v>
      </c>
      <c r="AO209" s="296">
        <f>IF(NFI_Expiration=1,IF($A209&lt;VLOOKUP(V$5,NFI,5,0),1,0)*Table_NFI[[#This Row],[Shelter Tool kit]],Table_NFI[Shelter Tool kit])</f>
        <v>0</v>
      </c>
      <c r="AP209" s="296">
        <f>IF(NFI_Expiration=1,IF($A209&lt;VLOOKUP(V$5,NFI,5,0),1,0)*Table_NFI[[#This Row],[Tent]],Table_NFI[Tent])</f>
        <v>0</v>
      </c>
      <c r="AQ209" s="396" t="str">
        <f>IFERROR(VLOOKUP(Table_NFI[[#This Row],[Camp Name]],CL,2,0),"")</f>
        <v>MMR001CMP073</v>
      </c>
      <c r="AR209" s="702">
        <f ca="1">IF(Table_NFI[[#This Row],[Pcode]]="","",IF(OFFSET(CampList[Opening Date],MATCH(Table_NFI[[#This Row],[Pcode]],CampList[CP_Pcode],0)-1,0,1,1)&gt;=NFI_Monitor_Date,1,0))</f>
        <v>0</v>
      </c>
      <c r="AS209" s="396" t="str">
        <f>IFERROR(VLOOKUP(Table_NFI[[#This Row],[Camp Name]],CL,3,0),"")</f>
        <v>Open</v>
      </c>
      <c r="AT209" s="264" t="str">
        <f ca="1">IF(Table_NFI[[#This Row],[Pcode]]="","",OFFSET(CampList[Priority],MATCH(Table_NFI[[#This Row],[Pcode]],CampList[CP_Pcode],0)-1,0,1,1))</f>
        <v>P3</v>
      </c>
      <c r="AU209" s="263">
        <f>IFERROR(Table_NFI[[#This Row],[Kitchen Set]]/VLOOKUP(Table_NFI[[#This Row],[Camp Name]],CL,4,0),"")</f>
        <v>0</v>
      </c>
      <c r="AV209" s="390"/>
      <c r="AW209" s="392"/>
      <c r="AX209" s="402"/>
      <c r="AY209" s="402"/>
      <c r="AZ209" s="402"/>
      <c r="BA209" s="402"/>
      <c r="BB209" s="402"/>
      <c r="BC209" s="402"/>
      <c r="BD209" s="402"/>
      <c r="BE209" s="402"/>
      <c r="BF209" s="402"/>
      <c r="BG209" s="402"/>
      <c r="BH209" s="402"/>
      <c r="BI209" s="402"/>
      <c r="BJ209" s="402"/>
      <c r="BK209" s="402"/>
      <c r="BL209" s="402"/>
      <c r="BM209" s="402"/>
      <c r="BN209" s="402"/>
      <c r="BO209" s="402"/>
      <c r="BP209" s="402"/>
      <c r="BQ209" s="402"/>
      <c r="BR209" s="402"/>
      <c r="BS209" s="402"/>
      <c r="BT209" s="402"/>
      <c r="BU209" s="402"/>
      <c r="BV209" s="402"/>
      <c r="BW209" s="402"/>
      <c r="BX209" s="402"/>
      <c r="BY209" s="402"/>
      <c r="BZ209" s="402"/>
      <c r="CA209" s="402"/>
      <c r="CB209" s="402"/>
      <c r="CC209" s="402"/>
      <c r="CD209" s="402"/>
      <c r="CE209" s="402"/>
      <c r="CF209" s="402"/>
      <c r="CG209" s="402"/>
      <c r="CH209" s="402"/>
      <c r="CI209" s="402"/>
      <c r="CJ209" s="402"/>
      <c r="CK209" s="402"/>
      <c r="CL209" s="402"/>
      <c r="CM209" s="402"/>
      <c r="CN209" s="402"/>
      <c r="CO209" s="402"/>
      <c r="CP209" s="402"/>
      <c r="CQ209" s="402"/>
      <c r="CR209" s="402"/>
      <c r="CS209" s="402"/>
      <c r="CT209" s="402"/>
      <c r="CU209" s="402"/>
      <c r="CV209" s="402"/>
      <c r="CW209" s="402"/>
      <c r="CX209" s="402"/>
      <c r="CY209" s="402"/>
      <c r="CZ209" s="402"/>
      <c r="DA209" s="402"/>
      <c r="DB209" s="402"/>
      <c r="DC209" s="402"/>
      <c r="DD209" s="402"/>
      <c r="DE209" s="402"/>
      <c r="DF209" s="402"/>
      <c r="DG209" s="402"/>
      <c r="DH209" s="402"/>
      <c r="DI209" s="402"/>
      <c r="DJ209" s="402"/>
      <c r="DK209" s="402"/>
      <c r="DL209" s="402"/>
      <c r="DM209" s="402"/>
      <c r="DN209" s="402"/>
      <c r="DO209" s="402"/>
      <c r="DP209" s="402"/>
      <c r="DQ209" s="402"/>
    </row>
    <row r="210" spans="1:121" s="759" customFormat="1" ht="14.45" customHeight="1" x14ac:dyDescent="0.2">
      <c r="A210" s="266">
        <f t="shared" si="3"/>
        <v>23.366666666666667</v>
      </c>
      <c r="B210" s="389">
        <v>42155</v>
      </c>
      <c r="C210" s="390" t="s">
        <v>904</v>
      </c>
      <c r="D210" s="390" t="s">
        <v>904</v>
      </c>
      <c r="E210" s="390" t="s">
        <v>380</v>
      </c>
      <c r="F210" s="390" t="s">
        <v>185</v>
      </c>
      <c r="G210" s="262" t="s">
        <v>217</v>
      </c>
      <c r="H210" s="261"/>
      <c r="I210" s="261"/>
      <c r="J210" s="764">
        <v>34</v>
      </c>
      <c r="K210" s="261"/>
      <c r="L210" s="261"/>
      <c r="M210" s="261"/>
      <c r="N210" s="261"/>
      <c r="O210" s="261"/>
      <c r="P210" s="261"/>
      <c r="Q210" s="261"/>
      <c r="R210" s="261"/>
      <c r="S210" s="261"/>
      <c r="T210" s="261"/>
      <c r="U210" s="261"/>
      <c r="V210" s="762"/>
      <c r="W210" s="261"/>
      <c r="X210" s="261"/>
      <c r="Y210" s="264">
        <f>IF(NFI_Expiration=1,IF($A210&lt;VLOOKUP(H$5,NFI,5,0),1,0)*Table_NFI[[#This Row],[Hygiene Kit]],Table_NFI[Hygiene Kit])</f>
        <v>0</v>
      </c>
      <c r="Z210" s="264">
        <f>IF(NFI_Expiration=1,IF($A210&lt;VLOOKUP(I$5,NFI,5,0),1,0)*Table_NFI[[#This Row],[NFI Core Kit]],Table_NFI[NFI Core Kit])</f>
        <v>0</v>
      </c>
      <c r="AA210" s="264">
        <f>IF(NFI_Expiration=1,IF($A210&lt;VLOOKUP(J$5,NFI,5,0),1,0)*Table_NFI[[#This Row],[Sanitary Kit]],Table_NFI[Sanitary Kit])</f>
        <v>0</v>
      </c>
      <c r="AB210" s="264">
        <f>IF(NFI_Expiration=1,IF($A210&lt;VLOOKUP(K$5,NFI,5,0),1,0)*Table_NFI[[#This Row],[Mosquito net]],Table_NFI[Mosquito net])</f>
        <v>0</v>
      </c>
      <c r="AC210" s="264">
        <f>IF(NFI_Expiration=1,IF($A210&lt;VLOOKUP(L$5,NFI,5,0),1,0)*Table_NFI[[#This Row],[Tarpaulin]],Table_NFI[[#This Row],[Tarpaulin]])</f>
        <v>0</v>
      </c>
      <c r="AD210" s="264">
        <f>IF(NFI_Expiration=1,IF($A210&lt;VLOOKUP(M$5,NFI,5,0),1,0)*Table_NFI[[#This Row],[Blanket]],Table_NFI[[#This Row],[Blanket]])</f>
        <v>0</v>
      </c>
      <c r="AE210" s="264">
        <f>IF(NFI_Expiration=1,IF($A210&lt;VLOOKUP(N$5,NFI,5,0),1,0)*Table_NFI[[#This Row],[Kitchen Set]],Table_NFI[Kitchen Set])</f>
        <v>0</v>
      </c>
      <c r="AF210" s="264">
        <f>IF(NFI_Expiration=1,IF($A210&lt;VLOOKUP(O$5,NFI,5,0),1,0)*Table_NFI[[#This Row],[Clothes Kit]],Table_NFI[Clothes Kit])</f>
        <v>0</v>
      </c>
      <c r="AG210" s="264">
        <f>IF(NFI_Expiration=1,IF($A210&lt;VLOOKUP(P$5,NFI,5,0),1,0)*Table_NFI[[#This Row],[Plastic Bucket]],Table_NFI[Plastic Bucket])</f>
        <v>0</v>
      </c>
      <c r="AH210" s="264">
        <f>IF(NFI_Expiration=1,IF($A210&lt;VLOOKUP(Q$5,NFI,5,0),1,0)*Table_NFI[[#This Row],[Plastic Mat]],Table_NFI[Plastic Mat])*IF(Table_NFI[[#This Row],[Distribution Date]]&gt;"2014-04-01",1,2.5)</f>
        <v>0</v>
      </c>
      <c r="AI210" s="264">
        <f>IF(NFI_Expiration=1,IF($A210&lt;VLOOKUP(R$5,NFI,5,0),1,0)*Table_NFI[[#This Row],[Winter Clothes Adult]],Table_NFI[Winter Clothes Adult])</f>
        <v>0</v>
      </c>
      <c r="AJ210" s="264">
        <f>IF(NFI_Expiration=1,IF($A210&lt;VLOOKUP(S$5,NFI,5,0),1,0)*Table_NFI[[#This Row],[Winter Clothes Children]],Table_NFI[Winter Clothes Children])</f>
        <v>0</v>
      </c>
      <c r="AK210" s="264">
        <f>IF(NFI_Expiration=1,IF($A210&lt;VLOOKUP(T$5,NFI,5,0),1,0)*Table_NFI[[#This Row],[Winter Items Other]],Table_NFI[Winter Items Other])</f>
        <v>0</v>
      </c>
      <c r="AL210" s="264">
        <f>IF(NFI_Expiration=1,IF($A210&lt;VLOOKUP(M$5,NFI,5,0),1,0)*Table_NFI[[#This Row],[Winter Blanket]],Table_NFI[[#This Row],[Winter Blanket]])</f>
        <v>0</v>
      </c>
      <c r="AM210" s="264">
        <f>IF(Table_NFI[[#This Row],[Winter Clothes Adult]]+Table_NFI[[#This Row],[Winter Clothes Children]]+Table_NFI[[#This Row],[Winter Items Other]]+Table_NFI[[#This Row],[Winter Blanket]]&gt;0,1,0)</f>
        <v>0</v>
      </c>
      <c r="AN210" s="296">
        <f>IF(NFI_Expiration=1,IF($A210&lt;VLOOKUP(V$5,NFI,5,0),1,0)*Table_NFI[[#This Row],[Jerry Can]],Table_NFI[Jerry Can])</f>
        <v>0</v>
      </c>
      <c r="AO210" s="296">
        <f>IF(NFI_Expiration=1,IF($A210&lt;VLOOKUP(V$5,NFI,5,0),1,0)*Table_NFI[[#This Row],[Shelter Tool kit]],Table_NFI[Shelter Tool kit])</f>
        <v>0</v>
      </c>
      <c r="AP210" s="296">
        <f>IF(NFI_Expiration=1,IF($A210&lt;VLOOKUP(V$5,NFI,5,0),1,0)*Table_NFI[[#This Row],[Tent]],Table_NFI[Tent])</f>
        <v>0</v>
      </c>
      <c r="AQ210" s="396" t="str">
        <f>IFERROR(VLOOKUP(Table_NFI[[#This Row],[Camp Name]],CL,2,0),"")</f>
        <v>MMR001CMP059</v>
      </c>
      <c r="AR210" s="702">
        <f ca="1">IF(Table_NFI[[#This Row],[Pcode]]="","",IF(OFFSET(CampList[Opening Date],MATCH(Table_NFI[[#This Row],[Pcode]],CampList[CP_Pcode],0)-1,0,1,1)&gt;=NFI_Monitor_Date,1,0))</f>
        <v>0</v>
      </c>
      <c r="AS210" s="396" t="str">
        <f>IFERROR(VLOOKUP(Table_NFI[[#This Row],[Camp Name]],CL,3,0),"")</f>
        <v>Closed</v>
      </c>
      <c r="AT210" s="264" t="str">
        <f ca="1">IF(Table_NFI[[#This Row],[Pcode]]="","",OFFSET(CampList[Priority],MATCH(Table_NFI[[#This Row],[Pcode]],CampList[CP_Pcode],0)-1,0,1,1))</f>
        <v>P4</v>
      </c>
      <c r="AU210" s="263">
        <f>IFERROR(Table_NFI[[#This Row],[Kitchen Set]]/VLOOKUP(Table_NFI[[#This Row],[Camp Name]],CL,4,0),"")</f>
        <v>0</v>
      </c>
      <c r="AV210" s="390"/>
      <c r="AW210" s="392"/>
      <c r="AX210" s="402"/>
      <c r="AY210" s="402"/>
      <c r="AZ210" s="402"/>
      <c r="BA210" s="402"/>
      <c r="BB210" s="402"/>
      <c r="BC210" s="402"/>
      <c r="BD210" s="402"/>
      <c r="BE210" s="402"/>
      <c r="BF210" s="402"/>
      <c r="BG210" s="402"/>
      <c r="BH210" s="402"/>
      <c r="BI210" s="402"/>
      <c r="BJ210" s="402"/>
      <c r="BK210" s="402"/>
      <c r="BL210" s="402"/>
      <c r="BM210" s="402"/>
      <c r="BN210" s="402"/>
      <c r="BO210" s="402"/>
      <c r="BP210" s="402"/>
      <c r="BQ210" s="402"/>
      <c r="BR210" s="402"/>
      <c r="BS210" s="402"/>
      <c r="BT210" s="402"/>
      <c r="BU210" s="402"/>
      <c r="BV210" s="402"/>
      <c r="BW210" s="402"/>
      <c r="BX210" s="402"/>
      <c r="BY210" s="402"/>
      <c r="BZ210" s="402"/>
      <c r="CA210" s="402"/>
      <c r="CB210" s="402"/>
      <c r="CC210" s="402"/>
      <c r="CD210" s="402"/>
      <c r="CE210" s="402"/>
      <c r="CF210" s="402"/>
      <c r="CG210" s="402"/>
      <c r="CH210" s="402"/>
      <c r="CI210" s="402"/>
      <c r="CJ210" s="402"/>
      <c r="CK210" s="402"/>
      <c r="CL210" s="402"/>
      <c r="CM210" s="402"/>
      <c r="CN210" s="402"/>
      <c r="CO210" s="402"/>
      <c r="CP210" s="402"/>
      <c r="CQ210" s="402"/>
      <c r="CR210" s="402"/>
      <c r="CS210" s="402"/>
      <c r="CT210" s="402"/>
      <c r="CU210" s="402"/>
      <c r="CV210" s="402"/>
      <c r="CW210" s="402"/>
      <c r="CX210" s="402"/>
      <c r="CY210" s="402"/>
      <c r="CZ210" s="402"/>
      <c r="DA210" s="402"/>
      <c r="DB210" s="402"/>
      <c r="DC210" s="402"/>
      <c r="DD210" s="402"/>
      <c r="DE210" s="402"/>
      <c r="DF210" s="402"/>
      <c r="DG210" s="402"/>
      <c r="DH210" s="402"/>
      <c r="DI210" s="402"/>
      <c r="DJ210" s="402"/>
      <c r="DK210" s="402"/>
      <c r="DL210" s="402"/>
      <c r="DM210" s="402"/>
      <c r="DN210" s="402"/>
      <c r="DO210" s="402"/>
      <c r="DP210" s="402"/>
      <c r="DQ210" s="402"/>
    </row>
    <row r="211" spans="1:121" s="759" customFormat="1" ht="15" customHeight="1" x14ac:dyDescent="0.2">
      <c r="A211" s="266">
        <f t="shared" si="3"/>
        <v>23.4</v>
      </c>
      <c r="B211" s="389">
        <v>42154</v>
      </c>
      <c r="C211" s="390" t="s">
        <v>904</v>
      </c>
      <c r="D211" s="391" t="s">
        <v>904</v>
      </c>
      <c r="E211" s="390" t="s">
        <v>380</v>
      </c>
      <c r="F211" s="262" t="s">
        <v>5</v>
      </c>
      <c r="G211" s="262" t="s">
        <v>22</v>
      </c>
      <c r="H211" s="261"/>
      <c r="I211" s="261"/>
      <c r="J211" s="261"/>
      <c r="K211" s="261"/>
      <c r="L211" s="261"/>
      <c r="M211" s="261"/>
      <c r="N211" s="261"/>
      <c r="O211" s="261"/>
      <c r="P211" s="261"/>
      <c r="Q211" s="261"/>
      <c r="R211" s="261"/>
      <c r="S211" s="261"/>
      <c r="T211" s="261"/>
      <c r="U211" s="261"/>
      <c r="V211" s="766">
        <v>3</v>
      </c>
      <c r="W211" s="261"/>
      <c r="X211" s="261"/>
      <c r="Y211" s="264">
        <f>IF(NFI_Expiration=1,IF($A211&lt;VLOOKUP(H$5,NFI,5,0),1,0)*Table_NFI[[#This Row],[Hygiene Kit]],Table_NFI[Hygiene Kit])</f>
        <v>0</v>
      </c>
      <c r="Z211" s="264">
        <f>IF(NFI_Expiration=1,IF($A211&lt;VLOOKUP(I$5,NFI,5,0),1,0)*Table_NFI[[#This Row],[NFI Core Kit]],Table_NFI[NFI Core Kit])</f>
        <v>0</v>
      </c>
      <c r="AA211" s="264">
        <f>IF(NFI_Expiration=1,IF($A211&lt;VLOOKUP(J$5,NFI,5,0),1,0)*Table_NFI[[#This Row],[Sanitary Kit]],Table_NFI[Sanitary Kit])</f>
        <v>0</v>
      </c>
      <c r="AB211" s="264">
        <f>IF(NFI_Expiration=1,IF($A211&lt;VLOOKUP(K$5,NFI,5,0),1,0)*Table_NFI[[#This Row],[Mosquito net]],Table_NFI[Mosquito net])</f>
        <v>0</v>
      </c>
      <c r="AC211" s="264">
        <f>IF(NFI_Expiration=1,IF($A211&lt;VLOOKUP(L$5,NFI,5,0),1,0)*Table_NFI[[#This Row],[Tarpaulin]],Table_NFI[[#This Row],[Tarpaulin]])</f>
        <v>0</v>
      </c>
      <c r="AD211" s="264">
        <f>IF(NFI_Expiration=1,IF($A211&lt;VLOOKUP(M$5,NFI,5,0),1,0)*Table_NFI[[#This Row],[Blanket]],Table_NFI[[#This Row],[Blanket]])</f>
        <v>0</v>
      </c>
      <c r="AE211" s="264">
        <f>IF(NFI_Expiration=1,IF($A211&lt;VLOOKUP(N$5,NFI,5,0),1,0)*Table_NFI[[#This Row],[Kitchen Set]],Table_NFI[Kitchen Set])</f>
        <v>0</v>
      </c>
      <c r="AF211" s="264">
        <f>IF(NFI_Expiration=1,IF($A211&lt;VLOOKUP(O$5,NFI,5,0),1,0)*Table_NFI[[#This Row],[Clothes Kit]],Table_NFI[Clothes Kit])</f>
        <v>0</v>
      </c>
      <c r="AG211" s="264">
        <f>IF(NFI_Expiration=1,IF($A211&lt;VLOOKUP(P$5,NFI,5,0),1,0)*Table_NFI[[#This Row],[Plastic Bucket]],Table_NFI[Plastic Bucket])</f>
        <v>0</v>
      </c>
      <c r="AH211" s="264">
        <f>IF(NFI_Expiration=1,IF($A211&lt;VLOOKUP(Q$5,NFI,5,0),1,0)*Table_NFI[[#This Row],[Plastic Mat]],Table_NFI[Plastic Mat])*IF(Table_NFI[[#This Row],[Distribution Date]]&gt;"2014-04-01",1,2.5)</f>
        <v>0</v>
      </c>
      <c r="AI211" s="264">
        <f>IF(NFI_Expiration=1,IF($A211&lt;VLOOKUP(R$5,NFI,5,0),1,0)*Table_NFI[[#This Row],[Winter Clothes Adult]],Table_NFI[Winter Clothes Adult])</f>
        <v>0</v>
      </c>
      <c r="AJ211" s="264">
        <f>IF(NFI_Expiration=1,IF($A211&lt;VLOOKUP(S$5,NFI,5,0),1,0)*Table_NFI[[#This Row],[Winter Clothes Children]],Table_NFI[Winter Clothes Children])</f>
        <v>0</v>
      </c>
      <c r="AK211" s="264">
        <f>IF(NFI_Expiration=1,IF($A211&lt;VLOOKUP(T$5,NFI,5,0),1,0)*Table_NFI[[#This Row],[Winter Items Other]],Table_NFI[Winter Items Other])</f>
        <v>0</v>
      </c>
      <c r="AL211" s="264">
        <f>IF(NFI_Expiration=1,IF($A211&lt;VLOOKUP(M$5,NFI,5,0),1,0)*Table_NFI[[#This Row],[Winter Blanket]],Table_NFI[[#This Row],[Winter Blanket]])</f>
        <v>0</v>
      </c>
      <c r="AM211" s="264">
        <f>IF(Table_NFI[[#This Row],[Winter Clothes Adult]]+Table_NFI[[#This Row],[Winter Clothes Children]]+Table_NFI[[#This Row],[Winter Items Other]]+Table_NFI[[#This Row],[Winter Blanket]]&gt;0,1,0)</f>
        <v>0</v>
      </c>
      <c r="AN211" s="296">
        <f>IF(NFI_Expiration=1,IF($A211&lt;VLOOKUP(V$5,NFI,5,0),1,0)*Table_NFI[[#This Row],[Jerry Can]],Table_NFI[Jerry Can])</f>
        <v>0</v>
      </c>
      <c r="AO211" s="296">
        <f>IF(NFI_Expiration=1,IF($A211&lt;VLOOKUP(V$5,NFI,5,0),1,0)*Table_NFI[[#This Row],[Shelter Tool kit]],Table_NFI[Shelter Tool kit])</f>
        <v>0</v>
      </c>
      <c r="AP211" s="296">
        <f>IF(NFI_Expiration=1,IF($A211&lt;VLOOKUP(V$5,NFI,5,0),1,0)*Table_NFI[[#This Row],[Tent]],Table_NFI[Tent])</f>
        <v>0</v>
      </c>
      <c r="AQ211" s="396" t="str">
        <f>IFERROR(VLOOKUP(Table_NFI[[#This Row],[Camp Name]],CL,2,0),"")</f>
        <v>MMR001CMP047</v>
      </c>
      <c r="AR211" s="702">
        <f ca="1">IF(Table_NFI[[#This Row],[Pcode]]="","",IF(OFFSET(CampList[Opening Date],MATCH(Table_NFI[[#This Row],[Pcode]],CampList[CP_Pcode],0)-1,0,1,1)&gt;=NFI_Monitor_Date,1,0))</f>
        <v>0</v>
      </c>
      <c r="AS211" s="396" t="str">
        <f>IFERROR(VLOOKUP(Table_NFI[[#This Row],[Camp Name]],CL,3,0),"")</f>
        <v>Open</v>
      </c>
      <c r="AT211" s="264" t="str">
        <f ca="1">IF(Table_NFI[[#This Row],[Pcode]]="","",OFFSET(CampList[Priority],MATCH(Table_NFI[[#This Row],[Pcode]],CampList[CP_Pcode],0)-1,0,1,1))</f>
        <v>P4</v>
      </c>
      <c r="AU211" s="263">
        <f>IFERROR(Table_NFI[[#This Row],[Kitchen Set]]/VLOOKUP(Table_NFI[[#This Row],[Camp Name]],CL,4,0),"")</f>
        <v>0</v>
      </c>
      <c r="AV211" s="390"/>
      <c r="AW211" s="392"/>
      <c r="AX211" s="402"/>
      <c r="AY211" s="402"/>
      <c r="AZ211" s="402"/>
      <c r="BA211" s="402"/>
      <c r="BB211" s="402"/>
      <c r="BC211" s="402"/>
      <c r="BD211" s="402"/>
      <c r="BE211" s="402"/>
      <c r="BF211" s="402"/>
      <c r="BG211" s="402"/>
      <c r="BH211" s="402"/>
      <c r="BI211" s="402"/>
      <c r="BJ211" s="402"/>
      <c r="BK211" s="402"/>
      <c r="BL211" s="402"/>
      <c r="BM211" s="402"/>
      <c r="BN211" s="402"/>
      <c r="BO211" s="402"/>
      <c r="BP211" s="402"/>
      <c r="BQ211" s="402"/>
      <c r="BR211" s="402"/>
      <c r="BS211" s="402"/>
      <c r="BT211" s="402"/>
      <c r="BU211" s="402"/>
      <c r="BV211" s="402"/>
      <c r="BW211" s="402"/>
      <c r="BX211" s="402"/>
      <c r="BY211" s="402"/>
      <c r="BZ211" s="402"/>
      <c r="CA211" s="402"/>
      <c r="CB211" s="402"/>
      <c r="CC211" s="402"/>
      <c r="CD211" s="402"/>
      <c r="CE211" s="402"/>
      <c r="CF211" s="402"/>
      <c r="CG211" s="402"/>
      <c r="CH211" s="402"/>
      <c r="CI211" s="402"/>
      <c r="CJ211" s="402"/>
      <c r="CK211" s="402"/>
      <c r="CL211" s="402"/>
      <c r="CM211" s="402"/>
      <c r="CN211" s="402"/>
      <c r="CO211" s="402"/>
      <c r="CP211" s="402"/>
      <c r="CQ211" s="402"/>
      <c r="CR211" s="402"/>
      <c r="CS211" s="402"/>
      <c r="CT211" s="402"/>
      <c r="CU211" s="402"/>
      <c r="CV211" s="402"/>
      <c r="CW211" s="402"/>
      <c r="CX211" s="402"/>
      <c r="CY211" s="402"/>
      <c r="CZ211" s="402"/>
      <c r="DA211" s="402"/>
      <c r="DB211" s="402"/>
      <c r="DC211" s="402"/>
      <c r="DD211" s="402"/>
      <c r="DE211" s="402"/>
      <c r="DF211" s="402"/>
      <c r="DG211" s="402"/>
      <c r="DH211" s="402"/>
      <c r="DI211" s="402"/>
      <c r="DJ211" s="402"/>
      <c r="DK211" s="402"/>
      <c r="DL211" s="402"/>
      <c r="DM211" s="402"/>
      <c r="DN211" s="402"/>
      <c r="DO211" s="402"/>
      <c r="DP211" s="402"/>
      <c r="DQ211" s="402"/>
    </row>
    <row r="212" spans="1:121" s="759" customFormat="1" ht="14.45" customHeight="1" x14ac:dyDescent="0.2">
      <c r="A212" s="266">
        <f t="shared" si="3"/>
        <v>23.433333333333334</v>
      </c>
      <c r="B212" s="389">
        <v>42153</v>
      </c>
      <c r="C212" s="390" t="s">
        <v>904</v>
      </c>
      <c r="D212" s="390" t="s">
        <v>904</v>
      </c>
      <c r="E212" s="390" t="s">
        <v>380</v>
      </c>
      <c r="F212" s="390" t="s">
        <v>5</v>
      </c>
      <c r="G212" s="390" t="s">
        <v>366</v>
      </c>
      <c r="H212" s="261"/>
      <c r="I212" s="261"/>
      <c r="J212" s="764">
        <v>258</v>
      </c>
      <c r="K212" s="261"/>
      <c r="L212" s="261"/>
      <c r="M212" s="261"/>
      <c r="N212" s="261"/>
      <c r="O212" s="261"/>
      <c r="P212" s="261"/>
      <c r="Q212" s="261"/>
      <c r="R212" s="261"/>
      <c r="S212" s="261"/>
      <c r="T212" s="261"/>
      <c r="U212" s="261"/>
      <c r="V212" s="762"/>
      <c r="W212" s="261"/>
      <c r="X212" s="261"/>
      <c r="Y212" s="264">
        <f>IF(NFI_Expiration=1,IF($A212&lt;VLOOKUP(H$5,NFI,5,0),1,0)*Table_NFI[[#This Row],[Hygiene Kit]],Table_NFI[Hygiene Kit])</f>
        <v>0</v>
      </c>
      <c r="Z212" s="264">
        <f>IF(NFI_Expiration=1,IF($A212&lt;VLOOKUP(I$5,NFI,5,0),1,0)*Table_NFI[[#This Row],[NFI Core Kit]],Table_NFI[NFI Core Kit])</f>
        <v>0</v>
      </c>
      <c r="AA212" s="264">
        <f>IF(NFI_Expiration=1,IF($A212&lt;VLOOKUP(J$5,NFI,5,0),1,0)*Table_NFI[[#This Row],[Sanitary Kit]],Table_NFI[Sanitary Kit])</f>
        <v>0</v>
      </c>
      <c r="AB212" s="264">
        <f>IF(NFI_Expiration=1,IF($A212&lt;VLOOKUP(K$5,NFI,5,0),1,0)*Table_NFI[[#This Row],[Mosquito net]],Table_NFI[Mosquito net])</f>
        <v>0</v>
      </c>
      <c r="AC212" s="264">
        <f>IF(NFI_Expiration=1,IF($A212&lt;VLOOKUP(L$5,NFI,5,0),1,0)*Table_NFI[[#This Row],[Tarpaulin]],Table_NFI[[#This Row],[Tarpaulin]])</f>
        <v>0</v>
      </c>
      <c r="AD212" s="264">
        <f>IF(NFI_Expiration=1,IF($A212&lt;VLOOKUP(M$5,NFI,5,0),1,0)*Table_NFI[[#This Row],[Blanket]],Table_NFI[[#This Row],[Blanket]])</f>
        <v>0</v>
      </c>
      <c r="AE212" s="264">
        <f>IF(NFI_Expiration=1,IF($A212&lt;VLOOKUP(N$5,NFI,5,0),1,0)*Table_NFI[[#This Row],[Kitchen Set]],Table_NFI[Kitchen Set])</f>
        <v>0</v>
      </c>
      <c r="AF212" s="264">
        <f>IF(NFI_Expiration=1,IF($A212&lt;VLOOKUP(O$5,NFI,5,0),1,0)*Table_NFI[[#This Row],[Clothes Kit]],Table_NFI[Clothes Kit])</f>
        <v>0</v>
      </c>
      <c r="AG212" s="264">
        <f>IF(NFI_Expiration=1,IF($A212&lt;VLOOKUP(P$5,NFI,5,0),1,0)*Table_NFI[[#This Row],[Plastic Bucket]],Table_NFI[Plastic Bucket])</f>
        <v>0</v>
      </c>
      <c r="AH212" s="264">
        <f>IF(NFI_Expiration=1,IF($A212&lt;VLOOKUP(Q$5,NFI,5,0),1,0)*Table_NFI[[#This Row],[Plastic Mat]],Table_NFI[Plastic Mat])*IF(Table_NFI[[#This Row],[Distribution Date]]&gt;"2014-04-01",1,2.5)</f>
        <v>0</v>
      </c>
      <c r="AI212" s="264">
        <f>IF(NFI_Expiration=1,IF($A212&lt;VLOOKUP(R$5,NFI,5,0),1,0)*Table_NFI[[#This Row],[Winter Clothes Adult]],Table_NFI[Winter Clothes Adult])</f>
        <v>0</v>
      </c>
      <c r="AJ212" s="264">
        <f>IF(NFI_Expiration=1,IF($A212&lt;VLOOKUP(S$5,NFI,5,0),1,0)*Table_NFI[[#This Row],[Winter Clothes Children]],Table_NFI[Winter Clothes Children])</f>
        <v>0</v>
      </c>
      <c r="AK212" s="264">
        <f>IF(NFI_Expiration=1,IF($A212&lt;VLOOKUP(T$5,NFI,5,0),1,0)*Table_NFI[[#This Row],[Winter Items Other]],Table_NFI[Winter Items Other])</f>
        <v>0</v>
      </c>
      <c r="AL212" s="264">
        <f>IF(NFI_Expiration=1,IF($A212&lt;VLOOKUP(M$5,NFI,5,0),1,0)*Table_NFI[[#This Row],[Winter Blanket]],Table_NFI[[#This Row],[Winter Blanket]])</f>
        <v>0</v>
      </c>
      <c r="AM212" s="264">
        <f>IF(Table_NFI[[#This Row],[Winter Clothes Adult]]+Table_NFI[[#This Row],[Winter Clothes Children]]+Table_NFI[[#This Row],[Winter Items Other]]+Table_NFI[[#This Row],[Winter Blanket]]&gt;0,1,0)</f>
        <v>0</v>
      </c>
      <c r="AN212" s="296">
        <f>IF(NFI_Expiration=1,IF($A212&lt;VLOOKUP(V$5,NFI,5,0),1,0)*Table_NFI[[#This Row],[Jerry Can]],Table_NFI[Jerry Can])</f>
        <v>0</v>
      </c>
      <c r="AO212" s="296">
        <f>IF(NFI_Expiration=1,IF($A212&lt;VLOOKUP(V$5,NFI,5,0),1,0)*Table_NFI[[#This Row],[Shelter Tool kit]],Table_NFI[Shelter Tool kit])</f>
        <v>0</v>
      </c>
      <c r="AP212" s="296">
        <f>IF(NFI_Expiration=1,IF($A212&lt;VLOOKUP(V$5,NFI,5,0),1,0)*Table_NFI[[#This Row],[Tent]],Table_NFI[Tent])</f>
        <v>0</v>
      </c>
      <c r="AQ212" s="396" t="str">
        <f>IFERROR(VLOOKUP(Table_NFI[[#This Row],[Camp Name]],CL,2,0),"")</f>
        <v>MMR001CMP193</v>
      </c>
      <c r="AR212" s="702">
        <f ca="1">IF(Table_NFI[[#This Row],[Pcode]]="","",IF(OFFSET(CampList[Opening Date],MATCH(Table_NFI[[#This Row],[Pcode]],CampList[CP_Pcode],0)-1,0,1,1)&gt;=NFI_Monitor_Date,1,0))</f>
        <v>0</v>
      </c>
      <c r="AS212" s="396" t="str">
        <f>IFERROR(VLOOKUP(Table_NFI[[#This Row],[Camp Name]],CL,3,0),"")</f>
        <v>Open</v>
      </c>
      <c r="AT212" s="264" t="str">
        <f ca="1">IF(Table_NFI[[#This Row],[Pcode]]="","",OFFSET(CampList[Priority],MATCH(Table_NFI[[#This Row],[Pcode]],CampList[CP_Pcode],0)-1,0,1,1))</f>
        <v>P4</v>
      </c>
      <c r="AU212" s="263">
        <f>IFERROR(Table_NFI[[#This Row],[Kitchen Set]]/VLOOKUP(Table_NFI[[#This Row],[Camp Name]],CL,4,0),"")</f>
        <v>0</v>
      </c>
      <c r="AV212" s="390"/>
      <c r="AW212" s="392"/>
      <c r="AX212" s="402"/>
      <c r="AY212" s="402"/>
      <c r="AZ212" s="402"/>
      <c r="BA212" s="402"/>
      <c r="BB212" s="402"/>
      <c r="BC212" s="402"/>
      <c r="BD212" s="402"/>
      <c r="BE212" s="402"/>
      <c r="BF212" s="402"/>
      <c r="BG212" s="402"/>
      <c r="BH212" s="402"/>
      <c r="BI212" s="402"/>
      <c r="BJ212" s="402"/>
      <c r="BK212" s="402"/>
      <c r="BL212" s="402"/>
      <c r="BM212" s="402"/>
      <c r="BN212" s="402"/>
      <c r="BO212" s="402"/>
      <c r="BP212" s="402"/>
      <c r="BQ212" s="402"/>
      <c r="BR212" s="402"/>
      <c r="BS212" s="402"/>
      <c r="BT212" s="402"/>
      <c r="BU212" s="402"/>
      <c r="BV212" s="402"/>
      <c r="BW212" s="402"/>
      <c r="BX212" s="402"/>
      <c r="BY212" s="402"/>
      <c r="BZ212" s="402"/>
      <c r="CA212" s="402"/>
      <c r="CB212" s="402"/>
      <c r="CC212" s="402"/>
      <c r="CD212" s="402"/>
      <c r="CE212" s="402"/>
      <c r="CF212" s="402"/>
      <c r="CG212" s="402"/>
      <c r="CH212" s="402"/>
      <c r="CI212" s="402"/>
      <c r="CJ212" s="402"/>
      <c r="CK212" s="402"/>
      <c r="CL212" s="402"/>
      <c r="CM212" s="402"/>
      <c r="CN212" s="402"/>
      <c r="CO212" s="402"/>
      <c r="CP212" s="402"/>
      <c r="CQ212" s="402"/>
      <c r="CR212" s="402"/>
      <c r="CS212" s="402"/>
      <c r="CT212" s="402"/>
      <c r="CU212" s="402"/>
      <c r="CV212" s="402"/>
      <c r="CW212" s="402"/>
      <c r="CX212" s="402"/>
      <c r="CY212" s="402"/>
      <c r="CZ212" s="402"/>
      <c r="DA212" s="402"/>
      <c r="DB212" s="402"/>
      <c r="DC212" s="402"/>
      <c r="DD212" s="402"/>
      <c r="DE212" s="402"/>
      <c r="DF212" s="402"/>
      <c r="DG212" s="402"/>
      <c r="DH212" s="402"/>
      <c r="DI212" s="402"/>
      <c r="DJ212" s="402"/>
      <c r="DK212" s="402"/>
      <c r="DL212" s="402"/>
      <c r="DM212" s="402"/>
      <c r="DN212" s="402"/>
      <c r="DO212" s="402"/>
      <c r="DP212" s="402"/>
      <c r="DQ212" s="402"/>
    </row>
    <row r="213" spans="1:121" s="759" customFormat="1" ht="14.45" customHeight="1" x14ac:dyDescent="0.25">
      <c r="A213" s="266">
        <f t="shared" si="3"/>
        <v>23.433333333333334</v>
      </c>
      <c r="B213" s="389">
        <v>42153</v>
      </c>
      <c r="C213" s="390" t="s">
        <v>904</v>
      </c>
      <c r="D213" s="390" t="s">
        <v>904</v>
      </c>
      <c r="E213" s="390" t="s">
        <v>380</v>
      </c>
      <c r="F213" s="262" t="s">
        <v>185</v>
      </c>
      <c r="G213" s="262" t="s">
        <v>1415</v>
      </c>
      <c r="H213" s="261"/>
      <c r="I213" s="261"/>
      <c r="J213" s="261">
        <v>103</v>
      </c>
      <c r="K213" s="261"/>
      <c r="L213" s="261"/>
      <c r="M213" s="261"/>
      <c r="N213" s="261"/>
      <c r="O213" s="261"/>
      <c r="P213" s="261"/>
      <c r="Q213" s="261"/>
      <c r="R213" s="261"/>
      <c r="S213" s="261"/>
      <c r="T213" s="261"/>
      <c r="U213" s="261"/>
      <c r="V213" s="762"/>
      <c r="W213" s="261"/>
      <c r="X213" s="261"/>
      <c r="Y213" s="264">
        <f>IF(NFI_Expiration=1,IF($A213&lt;VLOOKUP(H$5,NFI,5,0),1,0)*Table_NFI[[#This Row],[Hygiene Kit]],Table_NFI[Hygiene Kit])</f>
        <v>0</v>
      </c>
      <c r="Z213" s="264">
        <f>IF(NFI_Expiration=1,IF($A213&lt;VLOOKUP(I$5,NFI,5,0),1,0)*Table_NFI[[#This Row],[NFI Core Kit]],Table_NFI[NFI Core Kit])</f>
        <v>0</v>
      </c>
      <c r="AA213" s="264">
        <f>IF(NFI_Expiration=1,IF($A213&lt;VLOOKUP(J$5,NFI,5,0),1,0)*Table_NFI[[#This Row],[Sanitary Kit]],Table_NFI[Sanitary Kit])</f>
        <v>0</v>
      </c>
      <c r="AB213" s="264">
        <f>IF(NFI_Expiration=1,IF($A213&lt;VLOOKUP(K$5,NFI,5,0),1,0)*Table_NFI[[#This Row],[Mosquito net]],Table_NFI[Mosquito net])</f>
        <v>0</v>
      </c>
      <c r="AC213" s="264">
        <f>IF(NFI_Expiration=1,IF($A213&lt;VLOOKUP(L$5,NFI,5,0),1,0)*Table_NFI[[#This Row],[Tarpaulin]],Table_NFI[[#This Row],[Tarpaulin]])</f>
        <v>0</v>
      </c>
      <c r="AD213" s="264">
        <f>IF(NFI_Expiration=1,IF($A213&lt;VLOOKUP(M$5,NFI,5,0),1,0)*Table_NFI[[#This Row],[Blanket]],Table_NFI[[#This Row],[Blanket]])</f>
        <v>0</v>
      </c>
      <c r="AE213" s="264">
        <f>IF(NFI_Expiration=1,IF($A213&lt;VLOOKUP(N$5,NFI,5,0),1,0)*Table_NFI[[#This Row],[Kitchen Set]],Table_NFI[Kitchen Set])</f>
        <v>0</v>
      </c>
      <c r="AF213" s="264">
        <f>IF(NFI_Expiration=1,IF($A213&lt;VLOOKUP(O$5,NFI,5,0),1,0)*Table_NFI[[#This Row],[Clothes Kit]],Table_NFI[Clothes Kit])</f>
        <v>0</v>
      </c>
      <c r="AG213" s="264">
        <f>IF(NFI_Expiration=1,IF($A213&lt;VLOOKUP(P$5,NFI,5,0),1,0)*Table_NFI[[#This Row],[Plastic Bucket]],Table_NFI[Plastic Bucket])</f>
        <v>0</v>
      </c>
      <c r="AH213" s="264">
        <f>IF(NFI_Expiration=1,IF($A213&lt;VLOOKUP(Q$5,NFI,5,0),1,0)*Table_NFI[[#This Row],[Plastic Mat]],Table_NFI[Plastic Mat])*IF(Table_NFI[[#This Row],[Distribution Date]]&gt;"2014-04-01",1,2.5)</f>
        <v>0</v>
      </c>
      <c r="AI213" s="264">
        <f>IF(NFI_Expiration=1,IF($A213&lt;VLOOKUP(R$5,NFI,5,0),1,0)*Table_NFI[[#This Row],[Winter Clothes Adult]],Table_NFI[Winter Clothes Adult])</f>
        <v>0</v>
      </c>
      <c r="AJ213" s="264">
        <f>IF(NFI_Expiration=1,IF($A213&lt;VLOOKUP(S$5,NFI,5,0),1,0)*Table_NFI[[#This Row],[Winter Clothes Children]],Table_NFI[Winter Clothes Children])</f>
        <v>0</v>
      </c>
      <c r="AK213" s="264">
        <f>IF(NFI_Expiration=1,IF($A213&lt;VLOOKUP(T$5,NFI,5,0),1,0)*Table_NFI[[#This Row],[Winter Items Other]],Table_NFI[Winter Items Other])</f>
        <v>0</v>
      </c>
      <c r="AL213" s="264">
        <f>IF(NFI_Expiration=1,IF($A213&lt;VLOOKUP(M$5,NFI,5,0),1,0)*Table_NFI[[#This Row],[Winter Blanket]],Table_NFI[[#This Row],[Winter Blanket]])</f>
        <v>0</v>
      </c>
      <c r="AM213" s="264">
        <f>IF(Table_NFI[[#This Row],[Winter Clothes Adult]]+Table_NFI[[#This Row],[Winter Clothes Children]]+Table_NFI[[#This Row],[Winter Items Other]]+Table_NFI[[#This Row],[Winter Blanket]]&gt;0,1,0)</f>
        <v>0</v>
      </c>
      <c r="AN213" s="296">
        <f>IF(NFI_Expiration=1,IF($A213&lt;VLOOKUP(V$5,NFI,5,0),1,0)*Table_NFI[[#This Row],[Jerry Can]],Table_NFI[Jerry Can])</f>
        <v>0</v>
      </c>
      <c r="AO213" s="296">
        <f>IF(NFI_Expiration=1,IF($A213&lt;VLOOKUP(V$5,NFI,5,0),1,0)*Table_NFI[[#This Row],[Shelter Tool kit]],Table_NFI[Shelter Tool kit])</f>
        <v>0</v>
      </c>
      <c r="AP213" s="296">
        <f>IF(NFI_Expiration=1,IF($A213&lt;VLOOKUP(V$5,NFI,5,0),1,0)*Table_NFI[[#This Row],[Tent]],Table_NFI[Tent])</f>
        <v>0</v>
      </c>
      <c r="AQ213" s="396" t="str">
        <f>IFERROR(VLOOKUP(Table_NFI[[#This Row],[Camp Name]],CL,2,0),"")</f>
        <v/>
      </c>
      <c r="AR213" s="702" t="str">
        <f ca="1">IF(Table_NFI[[#This Row],[Pcode]]="","",IF(OFFSET(CampList[Opening Date],MATCH(Table_NFI[[#This Row],[Pcode]],CampList[CP_Pcode],0)-1,0,1,1)&gt;=NFI_Monitor_Date,1,0))</f>
        <v/>
      </c>
      <c r="AS213" s="559" t="str">
        <f>IFERROR(VLOOKUP(Table_NFI[[#This Row],[Camp Name]],CL,3,0),"")</f>
        <v/>
      </c>
      <c r="AT213" s="264" t="str">
        <f ca="1">IF(Table_NFI[[#This Row],[Pcode]]="","",OFFSET(CampList[Priority],MATCH(Table_NFI[[#This Row],[Pcode]],CampList[CP_Pcode],0)-1,0,1,1))</f>
        <v/>
      </c>
      <c r="AU213" s="263" t="str">
        <f>IFERROR(Table_NFI[[#This Row],[Kitchen Set]]/VLOOKUP(Table_NFI[[#This Row],[Camp Name]],CL,4,0),"")</f>
        <v/>
      </c>
      <c r="AV213" s="390"/>
      <c r="AW213" s="392"/>
      <c r="AX213" s="402"/>
      <c r="AY213" s="402"/>
      <c r="AZ213" s="402"/>
      <c r="BA213" s="402"/>
      <c r="BB213" s="402"/>
      <c r="BC213" s="402"/>
      <c r="BD213" s="402"/>
      <c r="BE213" s="402"/>
      <c r="BF213" s="402"/>
      <c r="BG213" s="402"/>
      <c r="BH213" s="402"/>
      <c r="BI213" s="402"/>
      <c r="BJ213" s="402"/>
      <c r="BK213" s="402"/>
      <c r="BL213" s="402"/>
      <c r="BM213" s="402"/>
      <c r="BN213" s="402"/>
      <c r="BO213" s="402"/>
      <c r="BP213" s="402"/>
      <c r="BQ213" s="402"/>
      <c r="BR213" s="402"/>
      <c r="BS213" s="402"/>
      <c r="BT213" s="402"/>
      <c r="BU213" s="402"/>
      <c r="BV213" s="402"/>
      <c r="BW213" s="402"/>
      <c r="BX213" s="402"/>
      <c r="BY213" s="402"/>
      <c r="BZ213" s="402"/>
      <c r="CA213" s="402"/>
      <c r="CB213" s="402"/>
      <c r="CC213" s="402"/>
      <c r="CD213" s="402"/>
      <c r="CE213" s="402"/>
      <c r="CF213" s="402"/>
      <c r="CG213" s="402"/>
      <c r="CH213" s="402"/>
      <c r="CI213" s="402"/>
      <c r="CJ213" s="402"/>
      <c r="CK213" s="402"/>
      <c r="CL213" s="402"/>
      <c r="CM213" s="402"/>
      <c r="CN213" s="402"/>
      <c r="CO213" s="402"/>
      <c r="CP213" s="402"/>
      <c r="CQ213" s="402"/>
      <c r="CR213" s="402"/>
      <c r="CS213" s="402"/>
      <c r="CT213" s="402"/>
      <c r="CU213" s="402"/>
      <c r="CV213" s="402"/>
      <c r="CW213" s="402"/>
      <c r="CX213" s="402"/>
      <c r="CY213" s="402"/>
      <c r="CZ213" s="402"/>
      <c r="DA213" s="402"/>
      <c r="DB213" s="402"/>
      <c r="DC213" s="402"/>
      <c r="DD213" s="402"/>
      <c r="DE213" s="402"/>
      <c r="DF213" s="402"/>
      <c r="DG213" s="402"/>
      <c r="DH213" s="402"/>
      <c r="DI213" s="402"/>
      <c r="DJ213" s="402"/>
      <c r="DK213" s="402"/>
      <c r="DL213" s="402"/>
      <c r="DM213" s="402"/>
      <c r="DN213" s="402"/>
      <c r="DO213" s="402"/>
      <c r="DP213" s="402"/>
      <c r="DQ213" s="402"/>
    </row>
    <row r="214" spans="1:121" s="759" customFormat="1" ht="14.45" customHeight="1" x14ac:dyDescent="0.2">
      <c r="A214" s="266">
        <f t="shared" si="3"/>
        <v>23.466666666666665</v>
      </c>
      <c r="B214" s="389">
        <v>42152</v>
      </c>
      <c r="C214" s="390" t="s">
        <v>904</v>
      </c>
      <c r="D214" s="390" t="s">
        <v>904</v>
      </c>
      <c r="E214" s="390" t="s">
        <v>380</v>
      </c>
      <c r="F214" s="390" t="s">
        <v>5</v>
      </c>
      <c r="G214" s="390" t="s">
        <v>24</v>
      </c>
      <c r="H214" s="261"/>
      <c r="I214" s="261"/>
      <c r="J214" s="764">
        <v>36</v>
      </c>
      <c r="K214" s="261"/>
      <c r="L214" s="261"/>
      <c r="M214" s="261"/>
      <c r="N214" s="261"/>
      <c r="O214" s="261"/>
      <c r="P214" s="261"/>
      <c r="Q214" s="261"/>
      <c r="R214" s="261"/>
      <c r="S214" s="261"/>
      <c r="T214" s="261"/>
      <c r="U214" s="261"/>
      <c r="V214" s="762"/>
      <c r="W214" s="261"/>
      <c r="X214" s="261"/>
      <c r="Y214" s="264">
        <f>IF(NFI_Expiration=1,IF($A214&lt;VLOOKUP(H$5,NFI,5,0),1,0)*Table_NFI[[#This Row],[Hygiene Kit]],Table_NFI[Hygiene Kit])</f>
        <v>0</v>
      </c>
      <c r="Z214" s="264">
        <f>IF(NFI_Expiration=1,IF($A214&lt;VLOOKUP(I$5,NFI,5,0),1,0)*Table_NFI[[#This Row],[NFI Core Kit]],Table_NFI[NFI Core Kit])</f>
        <v>0</v>
      </c>
      <c r="AA214" s="264">
        <f>IF(NFI_Expiration=1,IF($A214&lt;VLOOKUP(J$5,NFI,5,0),1,0)*Table_NFI[[#This Row],[Sanitary Kit]],Table_NFI[Sanitary Kit])</f>
        <v>0</v>
      </c>
      <c r="AB214" s="264">
        <f>IF(NFI_Expiration=1,IF($A214&lt;VLOOKUP(K$5,NFI,5,0),1,0)*Table_NFI[[#This Row],[Mosquito net]],Table_NFI[Mosquito net])</f>
        <v>0</v>
      </c>
      <c r="AC214" s="264">
        <f>IF(NFI_Expiration=1,IF($A214&lt;VLOOKUP(L$5,NFI,5,0),1,0)*Table_NFI[[#This Row],[Tarpaulin]],Table_NFI[[#This Row],[Tarpaulin]])</f>
        <v>0</v>
      </c>
      <c r="AD214" s="264">
        <f>IF(NFI_Expiration=1,IF($A214&lt;VLOOKUP(M$5,NFI,5,0),1,0)*Table_NFI[[#This Row],[Blanket]],Table_NFI[[#This Row],[Blanket]])</f>
        <v>0</v>
      </c>
      <c r="AE214" s="264">
        <f>IF(NFI_Expiration=1,IF($A214&lt;VLOOKUP(N$5,NFI,5,0),1,0)*Table_NFI[[#This Row],[Kitchen Set]],Table_NFI[Kitchen Set])</f>
        <v>0</v>
      </c>
      <c r="AF214" s="264">
        <f>IF(NFI_Expiration=1,IF($A214&lt;VLOOKUP(O$5,NFI,5,0),1,0)*Table_NFI[[#This Row],[Clothes Kit]],Table_NFI[Clothes Kit])</f>
        <v>0</v>
      </c>
      <c r="AG214" s="264">
        <f>IF(NFI_Expiration=1,IF($A214&lt;VLOOKUP(P$5,NFI,5,0),1,0)*Table_NFI[[#This Row],[Plastic Bucket]],Table_NFI[Plastic Bucket])</f>
        <v>0</v>
      </c>
      <c r="AH214" s="264">
        <f>IF(NFI_Expiration=1,IF($A214&lt;VLOOKUP(Q$5,NFI,5,0),1,0)*Table_NFI[[#This Row],[Plastic Mat]],Table_NFI[Plastic Mat])*IF(Table_NFI[[#This Row],[Distribution Date]]&gt;"2014-04-01",1,2.5)</f>
        <v>0</v>
      </c>
      <c r="AI214" s="264">
        <f>IF(NFI_Expiration=1,IF($A214&lt;VLOOKUP(R$5,NFI,5,0),1,0)*Table_NFI[[#This Row],[Winter Clothes Adult]],Table_NFI[Winter Clothes Adult])</f>
        <v>0</v>
      </c>
      <c r="AJ214" s="264">
        <f>IF(NFI_Expiration=1,IF($A214&lt;VLOOKUP(S$5,NFI,5,0),1,0)*Table_NFI[[#This Row],[Winter Clothes Children]],Table_NFI[Winter Clothes Children])</f>
        <v>0</v>
      </c>
      <c r="AK214" s="264">
        <f>IF(NFI_Expiration=1,IF($A214&lt;VLOOKUP(T$5,NFI,5,0),1,0)*Table_NFI[[#This Row],[Winter Items Other]],Table_NFI[Winter Items Other])</f>
        <v>0</v>
      </c>
      <c r="AL214" s="264">
        <f>IF(NFI_Expiration=1,IF($A214&lt;VLOOKUP(M$5,NFI,5,0),1,0)*Table_NFI[[#This Row],[Winter Blanket]],Table_NFI[[#This Row],[Winter Blanket]])</f>
        <v>0</v>
      </c>
      <c r="AM214" s="264">
        <f>IF(Table_NFI[[#This Row],[Winter Clothes Adult]]+Table_NFI[[#This Row],[Winter Clothes Children]]+Table_NFI[[#This Row],[Winter Items Other]]+Table_NFI[[#This Row],[Winter Blanket]]&gt;0,1,0)</f>
        <v>0</v>
      </c>
      <c r="AN214" s="296">
        <f>IF(NFI_Expiration=1,IF($A214&lt;VLOOKUP(V$5,NFI,5,0),1,0)*Table_NFI[[#This Row],[Jerry Can]],Table_NFI[Jerry Can])</f>
        <v>0</v>
      </c>
      <c r="AO214" s="296">
        <f>IF(NFI_Expiration=1,IF($A214&lt;VLOOKUP(V$5,NFI,5,0),1,0)*Table_NFI[[#This Row],[Shelter Tool kit]],Table_NFI[Shelter Tool kit])</f>
        <v>0</v>
      </c>
      <c r="AP214" s="296">
        <f>IF(NFI_Expiration=1,IF($A214&lt;VLOOKUP(V$5,NFI,5,0),1,0)*Table_NFI[[#This Row],[Tent]],Table_NFI[Tent])</f>
        <v>0</v>
      </c>
      <c r="AQ214" s="396" t="str">
        <f>IFERROR(VLOOKUP(Table_NFI[[#This Row],[Camp Name]],CL,2,0),"")</f>
        <v>MMR001CMP055</v>
      </c>
      <c r="AR214" s="702">
        <f ca="1">IF(Table_NFI[[#This Row],[Pcode]]="","",IF(OFFSET(CampList[Opening Date],MATCH(Table_NFI[[#This Row],[Pcode]],CampList[CP_Pcode],0)-1,0,1,1)&gt;=NFI_Monitor_Date,1,0))</f>
        <v>0</v>
      </c>
      <c r="AS214" s="396" t="str">
        <f>IFERROR(VLOOKUP(Table_NFI[[#This Row],[Camp Name]],CL,3,0),"")</f>
        <v>Open</v>
      </c>
      <c r="AT214" s="264" t="str">
        <f ca="1">IF(Table_NFI[[#This Row],[Pcode]]="","",OFFSET(CampList[Priority],MATCH(Table_NFI[[#This Row],[Pcode]],CampList[CP_Pcode],0)-1,0,1,1))</f>
        <v>P4</v>
      </c>
      <c r="AU214" s="263">
        <f>IFERROR(Table_NFI[[#This Row],[Kitchen Set]]/VLOOKUP(Table_NFI[[#This Row],[Camp Name]],CL,4,0),"")</f>
        <v>0</v>
      </c>
      <c r="AV214" s="390"/>
      <c r="AW214" s="392"/>
      <c r="AX214" s="402"/>
      <c r="AY214" s="402"/>
      <c r="AZ214" s="402"/>
      <c r="BA214" s="402"/>
      <c r="BB214" s="402"/>
      <c r="BC214" s="402"/>
      <c r="BD214" s="402"/>
      <c r="BE214" s="402"/>
      <c r="BF214" s="402"/>
      <c r="BG214" s="402"/>
      <c r="BH214" s="402"/>
      <c r="BI214" s="402"/>
      <c r="BJ214" s="402"/>
      <c r="BK214" s="402"/>
      <c r="BL214" s="402"/>
      <c r="BM214" s="402"/>
      <c r="BN214" s="402"/>
      <c r="BO214" s="402"/>
      <c r="BP214" s="402"/>
      <c r="BQ214" s="402"/>
      <c r="BR214" s="402"/>
      <c r="BS214" s="402"/>
      <c r="BT214" s="402"/>
      <c r="BU214" s="402"/>
      <c r="BV214" s="402"/>
      <c r="BW214" s="402"/>
      <c r="BX214" s="402"/>
      <c r="BY214" s="402"/>
      <c r="BZ214" s="402"/>
      <c r="CA214" s="402"/>
      <c r="CB214" s="402"/>
      <c r="CC214" s="402"/>
      <c r="CD214" s="402"/>
      <c r="CE214" s="402"/>
      <c r="CF214" s="402"/>
      <c r="CG214" s="402"/>
      <c r="CH214" s="402"/>
      <c r="CI214" s="402"/>
      <c r="CJ214" s="402"/>
      <c r="CK214" s="402"/>
      <c r="CL214" s="402"/>
      <c r="CM214" s="402"/>
      <c r="CN214" s="402"/>
      <c r="CO214" s="402"/>
      <c r="CP214" s="402"/>
      <c r="CQ214" s="402"/>
      <c r="CR214" s="402"/>
      <c r="CS214" s="402"/>
      <c r="CT214" s="402"/>
      <c r="CU214" s="402"/>
      <c r="CV214" s="402"/>
      <c r="CW214" s="402"/>
      <c r="CX214" s="402"/>
      <c r="CY214" s="402"/>
      <c r="CZ214" s="402"/>
      <c r="DA214" s="402"/>
      <c r="DB214" s="402"/>
      <c r="DC214" s="402"/>
      <c r="DD214" s="402"/>
      <c r="DE214" s="402"/>
      <c r="DF214" s="402"/>
      <c r="DG214" s="402"/>
      <c r="DH214" s="402"/>
      <c r="DI214" s="402"/>
      <c r="DJ214" s="402"/>
      <c r="DK214" s="402"/>
      <c r="DL214" s="402"/>
      <c r="DM214" s="402"/>
      <c r="DN214" s="402"/>
      <c r="DO214" s="402"/>
      <c r="DP214" s="402"/>
      <c r="DQ214" s="402"/>
    </row>
    <row r="215" spans="1:121" s="759" customFormat="1" ht="15" customHeight="1" x14ac:dyDescent="0.25">
      <c r="A215" s="266">
        <f t="shared" si="3"/>
        <v>23.5</v>
      </c>
      <c r="B215" s="389">
        <v>42151</v>
      </c>
      <c r="C215" s="390" t="s">
        <v>904</v>
      </c>
      <c r="D215" s="390" t="s">
        <v>904</v>
      </c>
      <c r="E215" s="390" t="s">
        <v>380</v>
      </c>
      <c r="F215" s="262" t="s">
        <v>5</v>
      </c>
      <c r="G215" s="262" t="s">
        <v>6</v>
      </c>
      <c r="H215" s="261"/>
      <c r="I215" s="261"/>
      <c r="J215" s="261">
        <v>424</v>
      </c>
      <c r="K215" s="261"/>
      <c r="L215" s="261"/>
      <c r="M215" s="261"/>
      <c r="N215" s="261"/>
      <c r="O215" s="261"/>
      <c r="P215" s="261"/>
      <c r="Q215" s="261"/>
      <c r="R215" s="261"/>
      <c r="S215" s="261"/>
      <c r="T215" s="261"/>
      <c r="U215" s="261"/>
      <c r="V215" s="762"/>
      <c r="W215" s="261"/>
      <c r="X215" s="261"/>
      <c r="Y215" s="264">
        <f>IF(NFI_Expiration=1,IF($A215&lt;VLOOKUP(H$5,NFI,5,0),1,0)*Table_NFI[[#This Row],[Hygiene Kit]],Table_NFI[Hygiene Kit])</f>
        <v>0</v>
      </c>
      <c r="Z215" s="264">
        <f>IF(NFI_Expiration=1,IF($A215&lt;VLOOKUP(I$5,NFI,5,0),1,0)*Table_NFI[[#This Row],[NFI Core Kit]],Table_NFI[NFI Core Kit])</f>
        <v>0</v>
      </c>
      <c r="AA215" s="264">
        <f>IF(NFI_Expiration=1,IF($A215&lt;VLOOKUP(J$5,NFI,5,0),1,0)*Table_NFI[[#This Row],[Sanitary Kit]],Table_NFI[Sanitary Kit])</f>
        <v>0</v>
      </c>
      <c r="AB215" s="264">
        <f>IF(NFI_Expiration=1,IF($A215&lt;VLOOKUP(K$5,NFI,5,0),1,0)*Table_NFI[[#This Row],[Mosquito net]],Table_NFI[Mosquito net])</f>
        <v>0</v>
      </c>
      <c r="AC215" s="264">
        <f>IF(NFI_Expiration=1,IF($A215&lt;VLOOKUP(L$5,NFI,5,0),1,0)*Table_NFI[[#This Row],[Tarpaulin]],Table_NFI[[#This Row],[Tarpaulin]])</f>
        <v>0</v>
      </c>
      <c r="AD215" s="264">
        <f>IF(NFI_Expiration=1,IF($A215&lt;VLOOKUP(M$5,NFI,5,0),1,0)*Table_NFI[[#This Row],[Blanket]],Table_NFI[[#This Row],[Blanket]])</f>
        <v>0</v>
      </c>
      <c r="AE215" s="264">
        <f>IF(NFI_Expiration=1,IF($A215&lt;VLOOKUP(N$5,NFI,5,0),1,0)*Table_NFI[[#This Row],[Kitchen Set]],Table_NFI[Kitchen Set])</f>
        <v>0</v>
      </c>
      <c r="AF215" s="264">
        <f>IF(NFI_Expiration=1,IF($A215&lt;VLOOKUP(O$5,NFI,5,0),1,0)*Table_NFI[[#This Row],[Clothes Kit]],Table_NFI[Clothes Kit])</f>
        <v>0</v>
      </c>
      <c r="AG215" s="264">
        <f>IF(NFI_Expiration=1,IF($A215&lt;VLOOKUP(P$5,NFI,5,0),1,0)*Table_NFI[[#This Row],[Plastic Bucket]],Table_NFI[Plastic Bucket])</f>
        <v>0</v>
      </c>
      <c r="AH215" s="264">
        <f>IF(NFI_Expiration=1,IF($A215&lt;VLOOKUP(Q$5,NFI,5,0),1,0)*Table_NFI[[#This Row],[Plastic Mat]],Table_NFI[Plastic Mat])*IF(Table_NFI[[#This Row],[Distribution Date]]&gt;"2014-04-01",1,2.5)</f>
        <v>0</v>
      </c>
      <c r="AI215" s="264">
        <f>IF(NFI_Expiration=1,IF($A215&lt;VLOOKUP(R$5,NFI,5,0),1,0)*Table_NFI[[#This Row],[Winter Clothes Adult]],Table_NFI[Winter Clothes Adult])</f>
        <v>0</v>
      </c>
      <c r="AJ215" s="264">
        <f>IF(NFI_Expiration=1,IF($A215&lt;VLOOKUP(S$5,NFI,5,0),1,0)*Table_NFI[[#This Row],[Winter Clothes Children]],Table_NFI[Winter Clothes Children])</f>
        <v>0</v>
      </c>
      <c r="AK215" s="264">
        <f>IF(NFI_Expiration=1,IF($A215&lt;VLOOKUP(T$5,NFI,5,0),1,0)*Table_NFI[[#This Row],[Winter Items Other]],Table_NFI[Winter Items Other])</f>
        <v>0</v>
      </c>
      <c r="AL215" s="264">
        <f>IF(NFI_Expiration=1,IF($A215&lt;VLOOKUP(M$5,NFI,5,0),1,0)*Table_NFI[[#This Row],[Winter Blanket]],Table_NFI[[#This Row],[Winter Blanket]])</f>
        <v>0</v>
      </c>
      <c r="AM215" s="264">
        <f>IF(Table_NFI[[#This Row],[Winter Clothes Adult]]+Table_NFI[[#This Row],[Winter Clothes Children]]+Table_NFI[[#This Row],[Winter Items Other]]+Table_NFI[[#This Row],[Winter Blanket]]&gt;0,1,0)</f>
        <v>0</v>
      </c>
      <c r="AN215" s="296">
        <f>IF(NFI_Expiration=1,IF($A215&lt;VLOOKUP(V$5,NFI,5,0),1,0)*Table_NFI[[#This Row],[Jerry Can]],Table_NFI[Jerry Can])</f>
        <v>0</v>
      </c>
      <c r="AO215" s="296">
        <f>IF(NFI_Expiration=1,IF($A215&lt;VLOOKUP(V$5,NFI,5,0),1,0)*Table_NFI[[#This Row],[Shelter Tool kit]],Table_NFI[Shelter Tool kit])</f>
        <v>0</v>
      </c>
      <c r="AP215" s="296">
        <f>IF(NFI_Expiration=1,IF($A215&lt;VLOOKUP(V$5,NFI,5,0),1,0)*Table_NFI[[#This Row],[Tent]],Table_NFI[Tent])</f>
        <v>0</v>
      </c>
      <c r="AQ215" s="396" t="str">
        <f>IFERROR(VLOOKUP(Table_NFI[[#This Row],[Camp Name]],CL,2,0),"")</f>
        <v>MMR001CMP050</v>
      </c>
      <c r="AR215" s="702">
        <f ca="1">IF(Table_NFI[[#This Row],[Pcode]]="","",IF(OFFSET(CampList[Opening Date],MATCH(Table_NFI[[#This Row],[Pcode]],CampList[CP_Pcode],0)-1,0,1,1)&gt;=NFI_Monitor_Date,1,0))</f>
        <v>0</v>
      </c>
      <c r="AS215" s="396" t="str">
        <f>IFERROR(VLOOKUP(Table_NFI[[#This Row],[Camp Name]],CL,3,0),"")</f>
        <v>Open</v>
      </c>
      <c r="AT215" s="264" t="str">
        <f ca="1">IF(Table_NFI[[#This Row],[Pcode]]="","",OFFSET(CampList[Priority],MATCH(Table_NFI[[#This Row],[Pcode]],CampList[CP_Pcode],0)-1,0,1,1))</f>
        <v>P4</v>
      </c>
      <c r="AU215" s="263">
        <f>IFERROR(Table_NFI[[#This Row],[Kitchen Set]]/VLOOKUP(Table_NFI[[#This Row],[Camp Name]],CL,4,0),"")</f>
        <v>0</v>
      </c>
      <c r="AV215" s="390"/>
      <c r="AW215" s="392"/>
      <c r="AX215" s="402"/>
      <c r="AY215" s="402"/>
      <c r="AZ215" s="402"/>
      <c r="BA215" s="402"/>
      <c r="BB215" s="402"/>
      <c r="BC215" s="402"/>
      <c r="BD215" s="402"/>
      <c r="BE215" s="402"/>
      <c r="BF215" s="402"/>
      <c r="BG215" s="402"/>
      <c r="BH215" s="402"/>
      <c r="BI215" s="402"/>
      <c r="BJ215" s="402"/>
      <c r="BK215" s="402"/>
      <c r="BL215" s="402"/>
      <c r="BM215" s="402"/>
      <c r="BN215" s="402"/>
      <c r="BO215" s="402"/>
      <c r="BP215" s="402"/>
      <c r="BQ215" s="402"/>
      <c r="BR215" s="402"/>
      <c r="BS215" s="402"/>
      <c r="BT215" s="402"/>
      <c r="BU215" s="402"/>
      <c r="BV215" s="402"/>
      <c r="BW215" s="402"/>
      <c r="BX215" s="402"/>
      <c r="BY215" s="402"/>
      <c r="BZ215" s="402"/>
      <c r="CA215" s="402"/>
      <c r="CB215" s="402"/>
      <c r="CC215" s="402"/>
      <c r="CD215" s="402"/>
      <c r="CE215" s="402"/>
      <c r="CF215" s="402"/>
      <c r="CG215" s="402"/>
      <c r="CH215" s="402"/>
      <c r="CI215" s="402"/>
      <c r="CJ215" s="402"/>
      <c r="CK215" s="402"/>
      <c r="CL215" s="402"/>
      <c r="CM215" s="402"/>
      <c r="CN215" s="402"/>
      <c r="CO215" s="402"/>
      <c r="CP215" s="402"/>
      <c r="CQ215" s="402"/>
      <c r="CR215" s="402"/>
      <c r="CS215" s="402"/>
      <c r="CT215" s="402"/>
      <c r="CU215" s="402"/>
      <c r="CV215" s="402"/>
      <c r="CW215" s="402"/>
      <c r="CX215" s="402"/>
      <c r="CY215" s="402"/>
      <c r="CZ215" s="402"/>
      <c r="DA215" s="402"/>
      <c r="DB215" s="402"/>
      <c r="DC215" s="402"/>
      <c r="DD215" s="402"/>
      <c r="DE215" s="402"/>
      <c r="DF215" s="402"/>
      <c r="DG215" s="402"/>
      <c r="DH215" s="402"/>
      <c r="DI215" s="402"/>
      <c r="DJ215" s="402"/>
      <c r="DK215" s="402"/>
      <c r="DL215" s="402"/>
      <c r="DM215" s="402"/>
      <c r="DN215" s="402"/>
      <c r="DO215" s="402"/>
      <c r="DP215" s="402"/>
      <c r="DQ215" s="402"/>
    </row>
    <row r="216" spans="1:121" s="759" customFormat="1" ht="15" customHeight="1" x14ac:dyDescent="0.25">
      <c r="A216" s="266">
        <f t="shared" si="3"/>
        <v>23.966666666666665</v>
      </c>
      <c r="B216" s="389">
        <v>42137</v>
      </c>
      <c r="C216" s="390" t="s">
        <v>451</v>
      </c>
      <c r="D216" s="390" t="s">
        <v>1084</v>
      </c>
      <c r="E216" s="390" t="s">
        <v>380</v>
      </c>
      <c r="F216" s="390" t="s">
        <v>185</v>
      </c>
      <c r="G216" s="262" t="s">
        <v>202</v>
      </c>
      <c r="H216" s="261"/>
      <c r="I216" s="261"/>
      <c r="J216" s="261"/>
      <c r="K216" s="261"/>
      <c r="L216" s="261"/>
      <c r="M216" s="261">
        <v>28</v>
      </c>
      <c r="N216" s="261"/>
      <c r="O216" s="261"/>
      <c r="P216" s="261"/>
      <c r="Q216" s="261"/>
      <c r="R216" s="261"/>
      <c r="S216" s="261"/>
      <c r="T216" s="261"/>
      <c r="U216" s="261"/>
      <c r="V216" s="762"/>
      <c r="W216" s="261"/>
      <c r="X216" s="261"/>
      <c r="Y216" s="264">
        <f>IF(NFI_Expiration=1,IF($A216&lt;VLOOKUP(H$5,NFI,5,0),1,0)*Table_NFI[[#This Row],[Hygiene Kit]],Table_NFI[Hygiene Kit])</f>
        <v>0</v>
      </c>
      <c r="Z216" s="264">
        <f>IF(NFI_Expiration=1,IF($A216&lt;VLOOKUP(I$5,NFI,5,0),1,0)*Table_NFI[[#This Row],[NFI Core Kit]],Table_NFI[NFI Core Kit])</f>
        <v>0</v>
      </c>
      <c r="AA216" s="264">
        <f>IF(NFI_Expiration=1,IF($A216&lt;VLOOKUP(J$5,NFI,5,0),1,0)*Table_NFI[[#This Row],[Sanitary Kit]],Table_NFI[Sanitary Kit])</f>
        <v>0</v>
      </c>
      <c r="AB216" s="264">
        <f>IF(NFI_Expiration=1,IF($A216&lt;VLOOKUP(K$5,NFI,5,0),1,0)*Table_NFI[[#This Row],[Mosquito net]],Table_NFI[Mosquito net])</f>
        <v>0</v>
      </c>
      <c r="AC216" s="264">
        <f>IF(NFI_Expiration=1,IF($A216&lt;VLOOKUP(L$5,NFI,5,0),1,0)*Table_NFI[[#This Row],[Tarpaulin]],Table_NFI[[#This Row],[Tarpaulin]])</f>
        <v>0</v>
      </c>
      <c r="AD216" s="264">
        <f>IF(NFI_Expiration=1,IF($A216&lt;VLOOKUP(M$5,NFI,5,0),1,0)*Table_NFI[[#This Row],[Blanket]],Table_NFI[[#This Row],[Blanket]])</f>
        <v>0</v>
      </c>
      <c r="AE216" s="264">
        <f>IF(NFI_Expiration=1,IF($A216&lt;VLOOKUP(N$5,NFI,5,0),1,0)*Table_NFI[[#This Row],[Kitchen Set]],Table_NFI[Kitchen Set])</f>
        <v>0</v>
      </c>
      <c r="AF216" s="264">
        <f>IF(NFI_Expiration=1,IF($A216&lt;VLOOKUP(O$5,NFI,5,0),1,0)*Table_NFI[[#This Row],[Clothes Kit]],Table_NFI[Clothes Kit])</f>
        <v>0</v>
      </c>
      <c r="AG216" s="264">
        <f>IF(NFI_Expiration=1,IF($A216&lt;VLOOKUP(P$5,NFI,5,0),1,0)*Table_NFI[[#This Row],[Plastic Bucket]],Table_NFI[Plastic Bucket])</f>
        <v>0</v>
      </c>
      <c r="AH216" s="264">
        <f>IF(NFI_Expiration=1,IF($A216&lt;VLOOKUP(Q$5,NFI,5,0),1,0)*Table_NFI[[#This Row],[Plastic Mat]],Table_NFI[Plastic Mat])*IF(Table_NFI[[#This Row],[Distribution Date]]&gt;"2014-04-01",1,2.5)</f>
        <v>0</v>
      </c>
      <c r="AI216" s="264">
        <f>IF(NFI_Expiration=1,IF($A216&lt;VLOOKUP(R$5,NFI,5,0),1,0)*Table_NFI[[#This Row],[Winter Clothes Adult]],Table_NFI[Winter Clothes Adult])</f>
        <v>0</v>
      </c>
      <c r="AJ216" s="264">
        <f>IF(NFI_Expiration=1,IF($A216&lt;VLOOKUP(S$5,NFI,5,0),1,0)*Table_NFI[[#This Row],[Winter Clothes Children]],Table_NFI[Winter Clothes Children])</f>
        <v>0</v>
      </c>
      <c r="AK216" s="264">
        <f>IF(NFI_Expiration=1,IF($A216&lt;VLOOKUP(T$5,NFI,5,0),1,0)*Table_NFI[[#This Row],[Winter Items Other]],Table_NFI[Winter Items Other])</f>
        <v>0</v>
      </c>
      <c r="AL216" s="264">
        <f>IF(NFI_Expiration=1,IF($A216&lt;VLOOKUP(M$5,NFI,5,0),1,0)*Table_NFI[[#This Row],[Winter Blanket]],Table_NFI[[#This Row],[Winter Blanket]])</f>
        <v>0</v>
      </c>
      <c r="AM216" s="264">
        <f>IF(Table_NFI[[#This Row],[Winter Clothes Adult]]+Table_NFI[[#This Row],[Winter Clothes Children]]+Table_NFI[[#This Row],[Winter Items Other]]+Table_NFI[[#This Row],[Winter Blanket]]&gt;0,1,0)</f>
        <v>0</v>
      </c>
      <c r="AN216" s="296">
        <f>IF(NFI_Expiration=1,IF($A216&lt;VLOOKUP(V$5,NFI,5,0),1,0)*Table_NFI[[#This Row],[Jerry Can]],Table_NFI[Jerry Can])</f>
        <v>0</v>
      </c>
      <c r="AO216" s="296">
        <f>IF(NFI_Expiration=1,IF($A216&lt;VLOOKUP(V$5,NFI,5,0),1,0)*Table_NFI[[#This Row],[Shelter Tool kit]],Table_NFI[Shelter Tool kit])</f>
        <v>0</v>
      </c>
      <c r="AP216" s="296">
        <f>IF(NFI_Expiration=1,IF($A216&lt;VLOOKUP(V$5,NFI,5,0),1,0)*Table_NFI[[#This Row],[Tent]],Table_NFI[Tent])</f>
        <v>0</v>
      </c>
      <c r="AQ216" s="396" t="str">
        <f>IFERROR(VLOOKUP(Table_NFI[[#This Row],[Camp Name]],CL,2,0),"")</f>
        <v>MMR001CMP062</v>
      </c>
      <c r="AR216" s="702">
        <f ca="1">IF(Table_NFI[[#This Row],[Pcode]]="","",IF(OFFSET(CampList[Opening Date],MATCH(Table_NFI[[#This Row],[Pcode]],CampList[CP_Pcode],0)-1,0,1,1)&gt;=NFI_Monitor_Date,1,0))</f>
        <v>0</v>
      </c>
      <c r="AS216" s="396" t="str">
        <f>IFERROR(VLOOKUP(Table_NFI[[#This Row],[Camp Name]],CL,3,0),"")</f>
        <v>Open</v>
      </c>
      <c r="AT216" s="264" t="str">
        <f ca="1">IF(Table_NFI[[#This Row],[Pcode]]="","",OFFSET(CampList[Priority],MATCH(Table_NFI[[#This Row],[Pcode]],CampList[CP_Pcode],0)-1,0,1,1))</f>
        <v>P4</v>
      </c>
      <c r="AU216" s="263">
        <f>IFERROR(Table_NFI[[#This Row],[Kitchen Set]]/VLOOKUP(Table_NFI[[#This Row],[Camp Name]],CL,4,0),"")</f>
        <v>0</v>
      </c>
      <c r="AV216" s="390" t="s">
        <v>1087</v>
      </c>
      <c r="AW216" s="392"/>
      <c r="AX216" s="402"/>
      <c r="AY216" s="402"/>
      <c r="AZ216" s="402"/>
      <c r="BA216" s="402"/>
      <c r="BB216" s="402"/>
      <c r="BC216" s="402"/>
      <c r="BD216" s="402"/>
      <c r="BE216" s="402"/>
      <c r="BF216" s="402"/>
      <c r="BG216" s="402"/>
      <c r="BH216" s="402"/>
      <c r="BI216" s="402"/>
      <c r="BJ216" s="402"/>
      <c r="BK216" s="402"/>
      <c r="BL216" s="402"/>
      <c r="BM216" s="402"/>
      <c r="BN216" s="402"/>
      <c r="BO216" s="402"/>
      <c r="BP216" s="402"/>
      <c r="BQ216" s="402"/>
      <c r="BR216" s="402"/>
      <c r="BS216" s="402"/>
      <c r="BT216" s="402"/>
      <c r="BU216" s="402"/>
      <c r="BV216" s="402"/>
      <c r="BW216" s="402"/>
      <c r="BX216" s="402"/>
      <c r="BY216" s="402"/>
      <c r="BZ216" s="402"/>
      <c r="CA216" s="402"/>
      <c r="CB216" s="402"/>
      <c r="CC216" s="402"/>
      <c r="CD216" s="402"/>
      <c r="CE216" s="402"/>
      <c r="CF216" s="402"/>
      <c r="CG216" s="402"/>
      <c r="CH216" s="402"/>
      <c r="CI216" s="402"/>
      <c r="CJ216" s="402"/>
      <c r="CK216" s="402"/>
      <c r="CL216" s="402"/>
      <c r="CM216" s="402"/>
      <c r="CN216" s="402"/>
      <c r="CO216" s="402"/>
      <c r="CP216" s="402"/>
      <c r="CQ216" s="402"/>
      <c r="CR216" s="402"/>
      <c r="CS216" s="402"/>
      <c r="CT216" s="402"/>
      <c r="CU216" s="402"/>
      <c r="CV216" s="402"/>
      <c r="CW216" s="402"/>
      <c r="CX216" s="402"/>
      <c r="CY216" s="402"/>
      <c r="CZ216" s="402"/>
      <c r="DA216" s="402"/>
      <c r="DB216" s="402"/>
      <c r="DC216" s="402"/>
      <c r="DD216" s="402"/>
      <c r="DE216" s="402"/>
      <c r="DF216" s="402"/>
      <c r="DG216" s="402"/>
      <c r="DH216" s="402"/>
      <c r="DI216" s="402"/>
      <c r="DJ216" s="402"/>
      <c r="DK216" s="402"/>
      <c r="DL216" s="402"/>
      <c r="DM216" s="402"/>
      <c r="DN216" s="402"/>
      <c r="DO216" s="402"/>
      <c r="DP216" s="402"/>
      <c r="DQ216" s="402"/>
    </row>
    <row r="217" spans="1:121" s="759" customFormat="1" ht="15" customHeight="1" x14ac:dyDescent="0.25">
      <c r="A217" s="266">
        <f t="shared" si="3"/>
        <v>24.6</v>
      </c>
      <c r="B217" s="389">
        <v>42118</v>
      </c>
      <c r="C217" s="390" t="s">
        <v>451</v>
      </c>
      <c r="D217" s="390" t="s">
        <v>459</v>
      </c>
      <c r="E217" s="390" t="s">
        <v>380</v>
      </c>
      <c r="F217" s="390" t="s">
        <v>185</v>
      </c>
      <c r="G217" s="390" t="s">
        <v>190</v>
      </c>
      <c r="H217" s="261"/>
      <c r="I217" s="261"/>
      <c r="J217" s="261"/>
      <c r="K217" s="261"/>
      <c r="L217" s="261"/>
      <c r="M217" s="261"/>
      <c r="N217" s="261"/>
      <c r="O217" s="261"/>
      <c r="P217" s="261">
        <v>9</v>
      </c>
      <c r="Q217" s="261"/>
      <c r="R217" s="261"/>
      <c r="S217" s="261"/>
      <c r="T217" s="261"/>
      <c r="U217" s="261"/>
      <c r="V217" s="762"/>
      <c r="W217" s="261"/>
      <c r="X217" s="261"/>
      <c r="Y217" s="264">
        <f>IF(NFI_Expiration=1,IF($A217&lt;VLOOKUP(H$5,NFI,5,0),1,0)*Table_NFI[[#This Row],[Hygiene Kit]],Table_NFI[Hygiene Kit])</f>
        <v>0</v>
      </c>
      <c r="Z217" s="264">
        <f>IF(NFI_Expiration=1,IF($A217&lt;VLOOKUP(I$5,NFI,5,0),1,0)*Table_NFI[[#This Row],[NFI Core Kit]],Table_NFI[NFI Core Kit])</f>
        <v>0</v>
      </c>
      <c r="AA217" s="264">
        <f>IF(NFI_Expiration=1,IF($A217&lt;VLOOKUP(J$5,NFI,5,0),1,0)*Table_NFI[[#This Row],[Sanitary Kit]],Table_NFI[Sanitary Kit])</f>
        <v>0</v>
      </c>
      <c r="AB217" s="264">
        <f>IF(NFI_Expiration=1,IF($A217&lt;VLOOKUP(K$5,NFI,5,0),1,0)*Table_NFI[[#This Row],[Mosquito net]],Table_NFI[Mosquito net])</f>
        <v>0</v>
      </c>
      <c r="AC217" s="264">
        <f>IF(NFI_Expiration=1,IF($A217&lt;VLOOKUP(L$5,NFI,5,0),1,0)*Table_NFI[[#This Row],[Tarpaulin]],Table_NFI[[#This Row],[Tarpaulin]])</f>
        <v>0</v>
      </c>
      <c r="AD217" s="264">
        <f>IF(NFI_Expiration=1,IF($A217&lt;VLOOKUP(M$5,NFI,5,0),1,0)*Table_NFI[[#This Row],[Blanket]],Table_NFI[[#This Row],[Blanket]])</f>
        <v>0</v>
      </c>
      <c r="AE217" s="264">
        <f>IF(NFI_Expiration=1,IF($A217&lt;VLOOKUP(N$5,NFI,5,0),1,0)*Table_NFI[[#This Row],[Kitchen Set]],Table_NFI[Kitchen Set])</f>
        <v>0</v>
      </c>
      <c r="AF217" s="264">
        <f>IF(NFI_Expiration=1,IF($A217&lt;VLOOKUP(O$5,NFI,5,0),1,0)*Table_NFI[[#This Row],[Clothes Kit]],Table_NFI[Clothes Kit])</f>
        <v>0</v>
      </c>
      <c r="AG217" s="264">
        <f>IF(NFI_Expiration=1,IF($A217&lt;VLOOKUP(P$5,NFI,5,0),1,0)*Table_NFI[[#This Row],[Plastic Bucket]],Table_NFI[Plastic Bucket])</f>
        <v>0</v>
      </c>
      <c r="AH217" s="264">
        <f>IF(NFI_Expiration=1,IF($A217&lt;VLOOKUP(Q$5,NFI,5,0),1,0)*Table_NFI[[#This Row],[Plastic Mat]],Table_NFI[Plastic Mat])*IF(Table_NFI[[#This Row],[Distribution Date]]&gt;"2014-04-01",1,2.5)</f>
        <v>0</v>
      </c>
      <c r="AI217" s="264">
        <f>IF(NFI_Expiration=1,IF($A217&lt;VLOOKUP(R$5,NFI,5,0),1,0)*Table_NFI[[#This Row],[Winter Clothes Adult]],Table_NFI[Winter Clothes Adult])</f>
        <v>0</v>
      </c>
      <c r="AJ217" s="264">
        <f>IF(NFI_Expiration=1,IF($A217&lt;VLOOKUP(S$5,NFI,5,0),1,0)*Table_NFI[[#This Row],[Winter Clothes Children]],Table_NFI[Winter Clothes Children])</f>
        <v>0</v>
      </c>
      <c r="AK217" s="264">
        <f>IF(NFI_Expiration=1,IF($A217&lt;VLOOKUP(T$5,NFI,5,0),1,0)*Table_NFI[[#This Row],[Winter Items Other]],Table_NFI[Winter Items Other])</f>
        <v>0</v>
      </c>
      <c r="AL217" s="264">
        <f>IF(NFI_Expiration=1,IF($A217&lt;VLOOKUP(M$5,NFI,5,0),1,0)*Table_NFI[[#This Row],[Winter Blanket]],Table_NFI[[#This Row],[Winter Blanket]])</f>
        <v>0</v>
      </c>
      <c r="AM217" s="264">
        <f>IF(Table_NFI[[#This Row],[Winter Clothes Adult]]+Table_NFI[[#This Row],[Winter Clothes Children]]+Table_NFI[[#This Row],[Winter Items Other]]+Table_NFI[[#This Row],[Winter Blanket]]&gt;0,1,0)</f>
        <v>0</v>
      </c>
      <c r="AN217" s="296">
        <f>IF(NFI_Expiration=1,IF($A217&lt;VLOOKUP(V$5,NFI,5,0),1,0)*Table_NFI[[#This Row],[Jerry Can]],Table_NFI[Jerry Can])</f>
        <v>0</v>
      </c>
      <c r="AO217" s="296">
        <f>IF(NFI_Expiration=1,IF($A217&lt;VLOOKUP(V$5,NFI,5,0),1,0)*Table_NFI[[#This Row],[Shelter Tool kit]],Table_NFI[Shelter Tool kit])</f>
        <v>0</v>
      </c>
      <c r="AP217" s="296">
        <f>IF(NFI_Expiration=1,IF($A217&lt;VLOOKUP(V$5,NFI,5,0),1,0)*Table_NFI[[#This Row],[Tent]],Table_NFI[Tent])</f>
        <v>0</v>
      </c>
      <c r="AQ217" s="396" t="str">
        <f>IFERROR(VLOOKUP(Table_NFI[[#This Row],[Camp Name]],CL,2,0),"")</f>
        <v>MMR001CMP070</v>
      </c>
      <c r="AR217" s="702">
        <f ca="1">IF(Table_NFI[[#This Row],[Pcode]]="","",IF(OFFSET(CampList[Opening Date],MATCH(Table_NFI[[#This Row],[Pcode]],CampList[CP_Pcode],0)-1,0,1,1)&gt;=NFI_Monitor_Date,1,0))</f>
        <v>0</v>
      </c>
      <c r="AS217" s="396" t="str">
        <f>IFERROR(VLOOKUP(Table_NFI[[#This Row],[Camp Name]],CL,3,0),"")</f>
        <v>Open</v>
      </c>
      <c r="AT217" s="264" t="str">
        <f ca="1">IF(Table_NFI[[#This Row],[Pcode]]="","",OFFSET(CampList[Priority],MATCH(Table_NFI[[#This Row],[Pcode]],CampList[CP_Pcode],0)-1,0,1,1))</f>
        <v>P3</v>
      </c>
      <c r="AU217" s="263">
        <f>IFERROR(Table_NFI[[#This Row],[Kitchen Set]]/VLOOKUP(Table_NFI[[#This Row],[Camp Name]],CL,4,0),"")</f>
        <v>0</v>
      </c>
      <c r="AV217" s="390" t="s">
        <v>1087</v>
      </c>
      <c r="AW217" s="407"/>
      <c r="AX217" s="402"/>
      <c r="AY217" s="402"/>
      <c r="AZ217" s="402"/>
      <c r="BA217" s="402"/>
      <c r="BB217" s="402"/>
      <c r="BC217" s="402"/>
      <c r="BD217" s="402"/>
      <c r="BE217" s="402"/>
      <c r="BF217" s="402"/>
      <c r="BG217" s="402"/>
      <c r="BH217" s="402"/>
      <c r="BI217" s="402"/>
      <c r="BJ217" s="402"/>
      <c r="BK217" s="402"/>
      <c r="BL217" s="402"/>
      <c r="BM217" s="402"/>
      <c r="BN217" s="402"/>
      <c r="BO217" s="402"/>
      <c r="BP217" s="402"/>
      <c r="BQ217" s="402"/>
      <c r="BR217" s="402"/>
      <c r="BS217" s="402"/>
      <c r="BT217" s="402"/>
      <c r="BU217" s="402"/>
      <c r="BV217" s="402"/>
      <c r="BW217" s="402"/>
      <c r="BX217" s="402"/>
      <c r="BY217" s="402"/>
      <c r="BZ217" s="402"/>
      <c r="CA217" s="402"/>
      <c r="CB217" s="402"/>
      <c r="CC217" s="402"/>
      <c r="CD217" s="402"/>
      <c r="CE217" s="402"/>
      <c r="CF217" s="402"/>
      <c r="CG217" s="402"/>
      <c r="CH217" s="402"/>
      <c r="CI217" s="402"/>
      <c r="CJ217" s="402"/>
      <c r="CK217" s="402"/>
      <c r="CL217" s="402"/>
      <c r="CM217" s="402"/>
      <c r="CN217" s="402"/>
      <c r="CO217" s="402"/>
      <c r="CP217" s="402"/>
      <c r="CQ217" s="402"/>
      <c r="CR217" s="402"/>
      <c r="CS217" s="402"/>
      <c r="CT217" s="402"/>
      <c r="CU217" s="402"/>
      <c r="CV217" s="402"/>
      <c r="CW217" s="402"/>
      <c r="CX217" s="402"/>
      <c r="CY217" s="402"/>
      <c r="CZ217" s="402"/>
      <c r="DA217" s="402"/>
      <c r="DB217" s="402"/>
      <c r="DC217" s="402"/>
      <c r="DD217" s="402"/>
      <c r="DE217" s="402"/>
      <c r="DF217" s="402"/>
      <c r="DG217" s="402"/>
      <c r="DH217" s="402"/>
      <c r="DI217" s="402"/>
      <c r="DJ217" s="402"/>
      <c r="DK217" s="402"/>
      <c r="DL217" s="402"/>
      <c r="DM217" s="402"/>
      <c r="DN217" s="402"/>
      <c r="DO217" s="402"/>
      <c r="DP217" s="402"/>
      <c r="DQ217" s="402"/>
    </row>
    <row r="218" spans="1:121" s="759" customFormat="1" ht="14.45" customHeight="1" x14ac:dyDescent="0.25">
      <c r="A218" s="266">
        <f t="shared" si="3"/>
        <v>24.6</v>
      </c>
      <c r="B218" s="389">
        <v>42118</v>
      </c>
      <c r="C218" s="390" t="s">
        <v>451</v>
      </c>
      <c r="D218" s="390" t="s">
        <v>1313</v>
      </c>
      <c r="E218" s="390" t="s">
        <v>380</v>
      </c>
      <c r="F218" s="390" t="s">
        <v>185</v>
      </c>
      <c r="G218" s="390" t="s">
        <v>225</v>
      </c>
      <c r="H218" s="261"/>
      <c r="I218" s="261"/>
      <c r="J218" s="261"/>
      <c r="K218" s="261">
        <v>36</v>
      </c>
      <c r="L218" s="261">
        <v>18</v>
      </c>
      <c r="M218" s="261">
        <v>90</v>
      </c>
      <c r="N218" s="261">
        <v>18</v>
      </c>
      <c r="O218" s="261"/>
      <c r="P218" s="261"/>
      <c r="Q218" s="261">
        <v>90</v>
      </c>
      <c r="R218" s="261"/>
      <c r="S218" s="261"/>
      <c r="T218" s="261"/>
      <c r="U218" s="261"/>
      <c r="V218" s="762">
        <v>18</v>
      </c>
      <c r="W218" s="261"/>
      <c r="X218" s="261"/>
      <c r="Y218" s="264">
        <f>IF(NFI_Expiration=1,IF($A218&lt;VLOOKUP(H$5,NFI,5,0),1,0)*Table_NFI[[#This Row],[Hygiene Kit]],Table_NFI[Hygiene Kit])</f>
        <v>0</v>
      </c>
      <c r="Z218" s="264">
        <f>IF(NFI_Expiration=1,IF($A218&lt;VLOOKUP(I$5,NFI,5,0),1,0)*Table_NFI[[#This Row],[NFI Core Kit]],Table_NFI[NFI Core Kit])</f>
        <v>0</v>
      </c>
      <c r="AA218" s="264">
        <f>IF(NFI_Expiration=1,IF($A218&lt;VLOOKUP(J$5,NFI,5,0),1,0)*Table_NFI[[#This Row],[Sanitary Kit]],Table_NFI[Sanitary Kit])</f>
        <v>0</v>
      </c>
      <c r="AB218" s="264">
        <f>IF(NFI_Expiration=1,IF($A218&lt;VLOOKUP(K$5,NFI,5,0),1,0)*Table_NFI[[#This Row],[Mosquito net]],Table_NFI[Mosquito net])</f>
        <v>0</v>
      </c>
      <c r="AC218" s="264">
        <f>IF(NFI_Expiration=1,IF($A218&lt;VLOOKUP(L$5,NFI,5,0),1,0)*Table_NFI[[#This Row],[Tarpaulin]],Table_NFI[[#This Row],[Tarpaulin]])</f>
        <v>0</v>
      </c>
      <c r="AD218" s="264">
        <f>IF(NFI_Expiration=1,IF($A218&lt;VLOOKUP(M$5,NFI,5,0),1,0)*Table_NFI[[#This Row],[Blanket]],Table_NFI[[#This Row],[Blanket]])</f>
        <v>0</v>
      </c>
      <c r="AE218" s="264">
        <f>IF(NFI_Expiration=1,IF($A218&lt;VLOOKUP(N$5,NFI,5,0),1,0)*Table_NFI[[#This Row],[Kitchen Set]],Table_NFI[Kitchen Set])</f>
        <v>0</v>
      </c>
      <c r="AF218" s="264">
        <f>IF(NFI_Expiration=1,IF($A218&lt;VLOOKUP(O$5,NFI,5,0),1,0)*Table_NFI[[#This Row],[Clothes Kit]],Table_NFI[Clothes Kit])</f>
        <v>0</v>
      </c>
      <c r="AG218" s="264">
        <f>IF(NFI_Expiration=1,IF($A218&lt;VLOOKUP(P$5,NFI,5,0),1,0)*Table_NFI[[#This Row],[Plastic Bucket]],Table_NFI[Plastic Bucket])</f>
        <v>0</v>
      </c>
      <c r="AH218" s="264">
        <f>IF(NFI_Expiration=1,IF($A218&lt;VLOOKUP(Q$5,NFI,5,0),1,0)*Table_NFI[[#This Row],[Plastic Mat]],Table_NFI[Plastic Mat])*IF(Table_NFI[[#This Row],[Distribution Date]]&gt;"2014-04-01",1,2.5)</f>
        <v>0</v>
      </c>
      <c r="AI218" s="264">
        <f>IF(NFI_Expiration=1,IF($A218&lt;VLOOKUP(R$5,NFI,5,0),1,0)*Table_NFI[[#This Row],[Winter Clothes Adult]],Table_NFI[Winter Clothes Adult])</f>
        <v>0</v>
      </c>
      <c r="AJ218" s="264">
        <f>IF(NFI_Expiration=1,IF($A218&lt;VLOOKUP(S$5,NFI,5,0),1,0)*Table_NFI[[#This Row],[Winter Clothes Children]],Table_NFI[Winter Clothes Children])</f>
        <v>0</v>
      </c>
      <c r="AK218" s="264">
        <f>IF(NFI_Expiration=1,IF($A218&lt;VLOOKUP(T$5,NFI,5,0),1,0)*Table_NFI[[#This Row],[Winter Items Other]],Table_NFI[Winter Items Other])</f>
        <v>0</v>
      </c>
      <c r="AL218" s="264">
        <f>IF(NFI_Expiration=1,IF($A218&lt;VLOOKUP(M$5,NFI,5,0),1,0)*Table_NFI[[#This Row],[Winter Blanket]],Table_NFI[[#This Row],[Winter Blanket]])</f>
        <v>0</v>
      </c>
      <c r="AM218" s="264">
        <f>IF(Table_NFI[[#This Row],[Winter Clothes Adult]]+Table_NFI[[#This Row],[Winter Clothes Children]]+Table_NFI[[#This Row],[Winter Items Other]]+Table_NFI[[#This Row],[Winter Blanket]]&gt;0,1,0)</f>
        <v>0</v>
      </c>
      <c r="AN218" s="296">
        <f>IF(NFI_Expiration=1,IF($A218&lt;VLOOKUP(V$5,NFI,5,0),1,0)*Table_NFI[[#This Row],[Jerry Can]],Table_NFI[Jerry Can])</f>
        <v>0</v>
      </c>
      <c r="AO218" s="296">
        <f>IF(NFI_Expiration=1,IF($A218&lt;VLOOKUP(V$5,NFI,5,0),1,0)*Table_NFI[[#This Row],[Shelter Tool kit]],Table_NFI[Shelter Tool kit])</f>
        <v>0</v>
      </c>
      <c r="AP218" s="296">
        <f>IF(NFI_Expiration=1,IF($A218&lt;VLOOKUP(V$5,NFI,5,0),1,0)*Table_NFI[[#This Row],[Tent]],Table_NFI[Tent])</f>
        <v>0</v>
      </c>
      <c r="AQ218" s="396" t="str">
        <f>IFERROR(VLOOKUP(Table_NFI[[#This Row],[Camp Name]],CL,2,0),"")</f>
        <v>MMR001CMP073</v>
      </c>
      <c r="AR218" s="702">
        <f ca="1">IF(Table_NFI[[#This Row],[Pcode]]="","",IF(OFFSET(CampList[Opening Date],MATCH(Table_NFI[[#This Row],[Pcode]],CampList[CP_Pcode],0)-1,0,1,1)&gt;=NFI_Monitor_Date,1,0))</f>
        <v>0</v>
      </c>
      <c r="AS218" s="396" t="str">
        <f>IFERROR(VLOOKUP(Table_NFI[[#This Row],[Camp Name]],CL,3,0),"")</f>
        <v>Open</v>
      </c>
      <c r="AT218" s="264" t="str">
        <f ca="1">IF(Table_NFI[[#This Row],[Pcode]]="","",OFFSET(CampList[Priority],MATCH(Table_NFI[[#This Row],[Pcode]],CampList[CP_Pcode],0)-1,0,1,1))</f>
        <v>P3</v>
      </c>
      <c r="AU218" s="263">
        <f>IFERROR(Table_NFI[[#This Row],[Kitchen Set]]/VLOOKUP(Table_NFI[[#This Row],[Camp Name]],CL,4,0),"")</f>
        <v>4.3772190068576433E-4</v>
      </c>
      <c r="AV218" s="390" t="s">
        <v>1087</v>
      </c>
      <c r="AW218" s="392"/>
      <c r="AX218" s="402"/>
      <c r="AY218" s="402"/>
      <c r="AZ218" s="402"/>
      <c r="BA218" s="402"/>
      <c r="BB218" s="402"/>
      <c r="BC218" s="402"/>
      <c r="BD218" s="402"/>
      <c r="BE218" s="402"/>
      <c r="BF218" s="402"/>
      <c r="BG218" s="402"/>
      <c r="BH218" s="402"/>
      <c r="BI218" s="402"/>
      <c r="BJ218" s="402"/>
      <c r="BK218" s="402"/>
      <c r="BL218" s="402"/>
      <c r="BM218" s="402"/>
      <c r="BN218" s="402"/>
      <c r="BO218" s="402"/>
      <c r="BP218" s="402"/>
      <c r="BQ218" s="402"/>
      <c r="BR218" s="402"/>
      <c r="BS218" s="402"/>
      <c r="BT218" s="402"/>
      <c r="BU218" s="402"/>
      <c r="BV218" s="402"/>
      <c r="BW218" s="402"/>
      <c r="BX218" s="402"/>
      <c r="BY218" s="402"/>
      <c r="BZ218" s="402"/>
      <c r="CA218" s="402"/>
      <c r="CB218" s="402"/>
      <c r="CC218" s="402"/>
      <c r="CD218" s="402"/>
      <c r="CE218" s="402"/>
      <c r="CF218" s="402"/>
      <c r="CG218" s="402"/>
      <c r="CH218" s="402"/>
      <c r="CI218" s="402"/>
      <c r="CJ218" s="402"/>
      <c r="CK218" s="402"/>
      <c r="CL218" s="402"/>
      <c r="CM218" s="402"/>
      <c r="CN218" s="402"/>
      <c r="CO218" s="402"/>
      <c r="CP218" s="402"/>
      <c r="CQ218" s="402"/>
      <c r="CR218" s="402"/>
      <c r="CS218" s="402"/>
      <c r="CT218" s="402"/>
      <c r="CU218" s="402"/>
      <c r="CV218" s="402"/>
      <c r="CW218" s="402"/>
      <c r="CX218" s="402"/>
      <c r="CY218" s="402"/>
      <c r="CZ218" s="402"/>
      <c r="DA218" s="402"/>
      <c r="DB218" s="402"/>
      <c r="DC218" s="402"/>
      <c r="DD218" s="402"/>
      <c r="DE218" s="402"/>
      <c r="DF218" s="402"/>
      <c r="DG218" s="402"/>
      <c r="DH218" s="402"/>
      <c r="DI218" s="402"/>
      <c r="DJ218" s="402"/>
      <c r="DK218" s="402"/>
      <c r="DL218" s="402"/>
      <c r="DM218" s="402"/>
      <c r="DN218" s="402"/>
      <c r="DO218" s="402"/>
      <c r="DP218" s="402"/>
      <c r="DQ218" s="402"/>
    </row>
    <row r="219" spans="1:121" s="759" customFormat="1" ht="14.45" customHeight="1" x14ac:dyDescent="0.25">
      <c r="A219" s="266">
        <f t="shared" si="3"/>
        <v>24.866666666666667</v>
      </c>
      <c r="B219" s="389">
        <v>42110</v>
      </c>
      <c r="C219" s="390" t="s">
        <v>451</v>
      </c>
      <c r="D219" s="390" t="s">
        <v>1250</v>
      </c>
      <c r="E219" s="390" t="s">
        <v>552</v>
      </c>
      <c r="F219" s="390" t="s">
        <v>146</v>
      </c>
      <c r="G219" s="390" t="s">
        <v>370</v>
      </c>
      <c r="H219" s="261"/>
      <c r="I219" s="261"/>
      <c r="J219" s="261"/>
      <c r="K219" s="261"/>
      <c r="L219" s="261"/>
      <c r="M219" s="261"/>
      <c r="N219" s="261"/>
      <c r="O219" s="261"/>
      <c r="P219" s="261"/>
      <c r="Q219" s="261">
        <v>69</v>
      </c>
      <c r="R219" s="261"/>
      <c r="S219" s="261"/>
      <c r="T219" s="261"/>
      <c r="U219" s="261"/>
      <c r="V219" s="762"/>
      <c r="W219" s="261"/>
      <c r="X219" s="261"/>
      <c r="Y219" s="264">
        <f>IF(NFI_Expiration=1,IF($A219&lt;VLOOKUP(H$5,NFI,5,0),1,0)*Table_NFI[[#This Row],[Hygiene Kit]],Table_NFI[Hygiene Kit])</f>
        <v>0</v>
      </c>
      <c r="Z219" s="264">
        <f>IF(NFI_Expiration=1,IF($A219&lt;VLOOKUP(I$5,NFI,5,0),1,0)*Table_NFI[[#This Row],[NFI Core Kit]],Table_NFI[NFI Core Kit])</f>
        <v>0</v>
      </c>
      <c r="AA219" s="264">
        <f>IF(NFI_Expiration=1,IF($A219&lt;VLOOKUP(J$5,NFI,5,0),1,0)*Table_NFI[[#This Row],[Sanitary Kit]],Table_NFI[Sanitary Kit])</f>
        <v>0</v>
      </c>
      <c r="AB219" s="264">
        <f>IF(NFI_Expiration=1,IF($A219&lt;VLOOKUP(K$5,NFI,5,0),1,0)*Table_NFI[[#This Row],[Mosquito net]],Table_NFI[Mosquito net])</f>
        <v>0</v>
      </c>
      <c r="AC219" s="264">
        <f>IF(NFI_Expiration=1,IF($A219&lt;VLOOKUP(L$5,NFI,5,0),1,0)*Table_NFI[[#This Row],[Tarpaulin]],Table_NFI[[#This Row],[Tarpaulin]])</f>
        <v>0</v>
      </c>
      <c r="AD219" s="264">
        <f>IF(NFI_Expiration=1,IF($A219&lt;VLOOKUP(M$5,NFI,5,0),1,0)*Table_NFI[[#This Row],[Blanket]],Table_NFI[[#This Row],[Blanket]])</f>
        <v>0</v>
      </c>
      <c r="AE219" s="264">
        <f>IF(NFI_Expiration=1,IF($A219&lt;VLOOKUP(N$5,NFI,5,0),1,0)*Table_NFI[[#This Row],[Kitchen Set]],Table_NFI[Kitchen Set])</f>
        <v>0</v>
      </c>
      <c r="AF219" s="264">
        <f>IF(NFI_Expiration=1,IF($A219&lt;VLOOKUP(O$5,NFI,5,0),1,0)*Table_NFI[[#This Row],[Clothes Kit]],Table_NFI[Clothes Kit])</f>
        <v>0</v>
      </c>
      <c r="AG219" s="264">
        <f>IF(NFI_Expiration=1,IF($A219&lt;VLOOKUP(P$5,NFI,5,0),1,0)*Table_NFI[[#This Row],[Plastic Bucket]],Table_NFI[Plastic Bucket])</f>
        <v>0</v>
      </c>
      <c r="AH219" s="264">
        <f>IF(NFI_Expiration=1,IF($A219&lt;VLOOKUP(Q$5,NFI,5,0),1,0)*Table_NFI[[#This Row],[Plastic Mat]],Table_NFI[Plastic Mat])*IF(Table_NFI[[#This Row],[Distribution Date]]&gt;"2014-04-01",1,2.5)</f>
        <v>0</v>
      </c>
      <c r="AI219" s="264">
        <f>IF(NFI_Expiration=1,IF($A219&lt;VLOOKUP(R$5,NFI,5,0),1,0)*Table_NFI[[#This Row],[Winter Clothes Adult]],Table_NFI[Winter Clothes Adult])</f>
        <v>0</v>
      </c>
      <c r="AJ219" s="264">
        <f>IF(NFI_Expiration=1,IF($A219&lt;VLOOKUP(S$5,NFI,5,0),1,0)*Table_NFI[[#This Row],[Winter Clothes Children]],Table_NFI[Winter Clothes Children])</f>
        <v>0</v>
      </c>
      <c r="AK219" s="264">
        <f>IF(NFI_Expiration=1,IF($A219&lt;VLOOKUP(T$5,NFI,5,0),1,0)*Table_NFI[[#This Row],[Winter Items Other]],Table_NFI[Winter Items Other])</f>
        <v>0</v>
      </c>
      <c r="AL219" s="264">
        <f>IF(NFI_Expiration=1,IF($A219&lt;VLOOKUP(M$5,NFI,5,0),1,0)*Table_NFI[[#This Row],[Winter Blanket]],Table_NFI[[#This Row],[Winter Blanket]])</f>
        <v>0</v>
      </c>
      <c r="AM219" s="264">
        <f>IF(Table_NFI[[#This Row],[Winter Clothes Adult]]+Table_NFI[[#This Row],[Winter Clothes Children]]+Table_NFI[[#This Row],[Winter Items Other]]+Table_NFI[[#This Row],[Winter Blanket]]&gt;0,1,0)</f>
        <v>0</v>
      </c>
      <c r="AN219" s="296">
        <f>IF(NFI_Expiration=1,IF($A219&lt;VLOOKUP(V$5,NFI,5,0),1,0)*Table_NFI[[#This Row],[Jerry Can]],Table_NFI[Jerry Can])</f>
        <v>0</v>
      </c>
      <c r="AO219" s="296">
        <f>IF(NFI_Expiration=1,IF($A219&lt;VLOOKUP(V$5,NFI,5,0),1,0)*Table_NFI[[#This Row],[Shelter Tool kit]],Table_NFI[Shelter Tool kit])</f>
        <v>0</v>
      </c>
      <c r="AP219" s="296">
        <f>IF(NFI_Expiration=1,IF($A219&lt;VLOOKUP(V$5,NFI,5,0),1,0)*Table_NFI[[#This Row],[Tent]],Table_NFI[Tent])</f>
        <v>0</v>
      </c>
      <c r="AQ219" s="396" t="str">
        <f>IFERROR(VLOOKUP(Table_NFI[[#This Row],[Camp Name]],CL,2,0),"")</f>
        <v>MMR015CMP017</v>
      </c>
      <c r="AR219" s="702">
        <f ca="1">IF(Table_NFI[[#This Row],[Pcode]]="","",IF(OFFSET(CampList[Opening Date],MATCH(Table_NFI[[#This Row],[Pcode]],CampList[CP_Pcode],0)-1,0,1,1)&gt;=NFI_Monitor_Date,1,0))</f>
        <v>0</v>
      </c>
      <c r="AS219" s="396" t="str">
        <f>IFERROR(VLOOKUP(Table_NFI[[#This Row],[Camp Name]],CL,3,0),"")</f>
        <v>Open</v>
      </c>
      <c r="AT219" s="264" t="str">
        <f ca="1">IF(Table_NFI[[#This Row],[Pcode]]="","",OFFSET(CampList[Priority],MATCH(Table_NFI[[#This Row],[Pcode]],CampList[CP_Pcode],0)-1,0,1,1))</f>
        <v>P3</v>
      </c>
      <c r="AU219" s="263">
        <f>IFERROR(Table_NFI[[#This Row],[Kitchen Set]]/VLOOKUP(Table_NFI[[#This Row],[Camp Name]],CL,4,0),"")</f>
        <v>0</v>
      </c>
      <c r="AV219" s="390" t="s">
        <v>1087</v>
      </c>
      <c r="AW219" s="392"/>
      <c r="AX219" s="402"/>
      <c r="AY219" s="402"/>
      <c r="AZ219" s="402"/>
      <c r="BA219" s="402"/>
      <c r="BB219" s="402"/>
      <c r="BC219" s="402"/>
      <c r="BD219" s="402"/>
      <c r="BE219" s="402"/>
      <c r="BF219" s="402"/>
      <c r="BG219" s="402"/>
      <c r="BH219" s="402"/>
      <c r="BI219" s="402"/>
      <c r="BJ219" s="402"/>
      <c r="BK219" s="402"/>
      <c r="BL219" s="402"/>
      <c r="BM219" s="402"/>
      <c r="BN219" s="402"/>
      <c r="BO219" s="402"/>
      <c r="BP219" s="402"/>
      <c r="BQ219" s="402"/>
      <c r="BR219" s="402"/>
      <c r="BS219" s="402"/>
      <c r="BT219" s="402"/>
      <c r="BU219" s="402"/>
      <c r="BV219" s="402"/>
      <c r="BW219" s="402"/>
      <c r="BX219" s="402"/>
      <c r="BY219" s="402"/>
      <c r="BZ219" s="402"/>
      <c r="CA219" s="402"/>
      <c r="CB219" s="402"/>
      <c r="CC219" s="402"/>
      <c r="CD219" s="402"/>
      <c r="CE219" s="402"/>
      <c r="CF219" s="402"/>
      <c r="CG219" s="402"/>
      <c r="CH219" s="402"/>
      <c r="CI219" s="402"/>
      <c r="CJ219" s="402"/>
      <c r="CK219" s="402"/>
      <c r="CL219" s="402"/>
      <c r="CM219" s="402"/>
      <c r="CN219" s="402"/>
      <c r="CO219" s="402"/>
      <c r="CP219" s="402"/>
      <c r="CQ219" s="402"/>
      <c r="CR219" s="402"/>
      <c r="CS219" s="402"/>
      <c r="CT219" s="402"/>
      <c r="CU219" s="402"/>
      <c r="CV219" s="402"/>
      <c r="CW219" s="402"/>
      <c r="CX219" s="402"/>
      <c r="CY219" s="402"/>
      <c r="CZ219" s="402"/>
      <c r="DA219" s="402"/>
      <c r="DB219" s="402"/>
      <c r="DC219" s="402"/>
      <c r="DD219" s="402"/>
      <c r="DE219" s="402"/>
      <c r="DF219" s="402"/>
      <c r="DG219" s="402"/>
      <c r="DH219" s="402"/>
      <c r="DI219" s="402"/>
      <c r="DJ219" s="402"/>
      <c r="DK219" s="402"/>
      <c r="DL219" s="402"/>
      <c r="DM219" s="402"/>
      <c r="DN219" s="402"/>
      <c r="DO219" s="402"/>
      <c r="DP219" s="402"/>
      <c r="DQ219" s="402"/>
    </row>
    <row r="220" spans="1:121" s="760" customFormat="1" ht="14.45" customHeight="1" x14ac:dyDescent="0.25">
      <c r="A220" s="266">
        <f t="shared" si="3"/>
        <v>25.133333333333333</v>
      </c>
      <c r="B220" s="389">
        <v>42102</v>
      </c>
      <c r="C220" s="390" t="s">
        <v>904</v>
      </c>
      <c r="D220" s="390" t="s">
        <v>904</v>
      </c>
      <c r="E220" s="390" t="s">
        <v>380</v>
      </c>
      <c r="F220" s="262" t="s">
        <v>5</v>
      </c>
      <c r="G220" s="262" t="s">
        <v>6</v>
      </c>
      <c r="H220" s="261"/>
      <c r="I220" s="261"/>
      <c r="J220" s="261"/>
      <c r="K220" s="261"/>
      <c r="L220" s="261"/>
      <c r="M220" s="261"/>
      <c r="N220" s="261"/>
      <c r="O220" s="261"/>
      <c r="P220" s="261"/>
      <c r="Q220" s="261"/>
      <c r="R220" s="261"/>
      <c r="S220" s="261"/>
      <c r="T220" s="261"/>
      <c r="U220" s="261"/>
      <c r="V220" s="762"/>
      <c r="W220" s="261">
        <v>7</v>
      </c>
      <c r="X220" s="261"/>
      <c r="Y220" s="264">
        <f>IF(NFI_Expiration=1,IF($A220&lt;VLOOKUP(H$5,NFI,5,0),1,0)*Table_NFI[[#This Row],[Hygiene Kit]],Table_NFI[Hygiene Kit])</f>
        <v>0</v>
      </c>
      <c r="Z220" s="264">
        <f>IF(NFI_Expiration=1,IF($A220&lt;VLOOKUP(I$5,NFI,5,0),1,0)*Table_NFI[[#This Row],[NFI Core Kit]],Table_NFI[NFI Core Kit])</f>
        <v>0</v>
      </c>
      <c r="AA220" s="264">
        <f>IF(NFI_Expiration=1,IF($A220&lt;VLOOKUP(J$5,NFI,5,0),1,0)*Table_NFI[[#This Row],[Sanitary Kit]],Table_NFI[Sanitary Kit])</f>
        <v>0</v>
      </c>
      <c r="AB220" s="264">
        <f>IF(NFI_Expiration=1,IF($A220&lt;VLOOKUP(K$5,NFI,5,0),1,0)*Table_NFI[[#This Row],[Mosquito net]],Table_NFI[Mosquito net])</f>
        <v>0</v>
      </c>
      <c r="AC220" s="264">
        <f>IF(NFI_Expiration=1,IF($A220&lt;VLOOKUP(L$5,NFI,5,0),1,0)*Table_NFI[[#This Row],[Tarpaulin]],Table_NFI[[#This Row],[Tarpaulin]])</f>
        <v>0</v>
      </c>
      <c r="AD220" s="264">
        <f>IF(NFI_Expiration=1,IF($A220&lt;VLOOKUP(M$5,NFI,5,0),1,0)*Table_NFI[[#This Row],[Blanket]],Table_NFI[[#This Row],[Blanket]])</f>
        <v>0</v>
      </c>
      <c r="AE220" s="264">
        <f>IF(NFI_Expiration=1,IF($A220&lt;VLOOKUP(N$5,NFI,5,0),1,0)*Table_NFI[[#This Row],[Kitchen Set]],Table_NFI[Kitchen Set])</f>
        <v>0</v>
      </c>
      <c r="AF220" s="264">
        <f>IF(NFI_Expiration=1,IF($A220&lt;VLOOKUP(O$5,NFI,5,0),1,0)*Table_NFI[[#This Row],[Clothes Kit]],Table_NFI[Clothes Kit])</f>
        <v>0</v>
      </c>
      <c r="AG220" s="264">
        <f>IF(NFI_Expiration=1,IF($A220&lt;VLOOKUP(P$5,NFI,5,0),1,0)*Table_NFI[[#This Row],[Plastic Bucket]],Table_NFI[Plastic Bucket])</f>
        <v>0</v>
      </c>
      <c r="AH220" s="264">
        <f>IF(NFI_Expiration=1,IF($A220&lt;VLOOKUP(Q$5,NFI,5,0),1,0)*Table_NFI[[#This Row],[Plastic Mat]],Table_NFI[Plastic Mat])*IF(Table_NFI[[#This Row],[Distribution Date]]&gt;"2014-04-01",1,2.5)</f>
        <v>0</v>
      </c>
      <c r="AI220" s="264">
        <f>IF(NFI_Expiration=1,IF($A220&lt;VLOOKUP(R$5,NFI,5,0),1,0)*Table_NFI[[#This Row],[Winter Clothes Adult]],Table_NFI[Winter Clothes Adult])</f>
        <v>0</v>
      </c>
      <c r="AJ220" s="264">
        <f>IF(NFI_Expiration=1,IF($A220&lt;VLOOKUP(S$5,NFI,5,0),1,0)*Table_NFI[[#This Row],[Winter Clothes Children]],Table_NFI[Winter Clothes Children])</f>
        <v>0</v>
      </c>
      <c r="AK220" s="264">
        <f>IF(NFI_Expiration=1,IF($A220&lt;VLOOKUP(T$5,NFI,5,0),1,0)*Table_NFI[[#This Row],[Winter Items Other]],Table_NFI[Winter Items Other])</f>
        <v>0</v>
      </c>
      <c r="AL220" s="264">
        <f>IF(NFI_Expiration=1,IF($A220&lt;VLOOKUP(M$5,NFI,5,0),1,0)*Table_NFI[[#This Row],[Winter Blanket]],Table_NFI[[#This Row],[Winter Blanket]])</f>
        <v>0</v>
      </c>
      <c r="AM220" s="264">
        <f>IF(Table_NFI[[#This Row],[Winter Clothes Adult]]+Table_NFI[[#This Row],[Winter Clothes Children]]+Table_NFI[[#This Row],[Winter Items Other]]+Table_NFI[[#This Row],[Winter Blanket]]&gt;0,1,0)</f>
        <v>0</v>
      </c>
      <c r="AN220" s="296">
        <f>IF(NFI_Expiration=1,IF($A220&lt;VLOOKUP(V$5,NFI,5,0),1,0)*Table_NFI[[#This Row],[Jerry Can]],Table_NFI[Jerry Can])</f>
        <v>0</v>
      </c>
      <c r="AO220" s="296">
        <f>IF(NFI_Expiration=1,IF($A220&lt;VLOOKUP(V$5,NFI,5,0),1,0)*Table_NFI[[#This Row],[Shelter Tool kit]],Table_NFI[Shelter Tool kit])</f>
        <v>0</v>
      </c>
      <c r="AP220" s="296">
        <f>IF(NFI_Expiration=1,IF($A220&lt;VLOOKUP(V$5,NFI,5,0),1,0)*Table_NFI[[#This Row],[Tent]],Table_NFI[Tent])</f>
        <v>0</v>
      </c>
      <c r="AQ220" s="396" t="str">
        <f>IFERROR(VLOOKUP(Table_NFI[[#This Row],[Camp Name]],CL,2,0),"")</f>
        <v>MMR001CMP050</v>
      </c>
      <c r="AR220" s="702">
        <f ca="1">IF(Table_NFI[[#This Row],[Pcode]]="","",IF(OFFSET(CampList[Opening Date],MATCH(Table_NFI[[#This Row],[Pcode]],CampList[CP_Pcode],0)-1,0,1,1)&gt;=NFI_Monitor_Date,1,0))</f>
        <v>0</v>
      </c>
      <c r="AS220" s="396" t="str">
        <f>IFERROR(VLOOKUP(Table_NFI[[#This Row],[Camp Name]],CL,3,0),"")</f>
        <v>Open</v>
      </c>
      <c r="AT220" s="264" t="str">
        <f ca="1">IF(Table_NFI[[#This Row],[Pcode]]="","",OFFSET(CampList[Priority],MATCH(Table_NFI[[#This Row],[Pcode]],CampList[CP_Pcode],0)-1,0,1,1))</f>
        <v>P4</v>
      </c>
      <c r="AU220" s="263">
        <f>IFERROR(Table_NFI[[#This Row],[Kitchen Set]]/VLOOKUP(Table_NFI[[#This Row],[Camp Name]],CL,4,0),"")</f>
        <v>0</v>
      </c>
      <c r="AV220" s="390"/>
      <c r="AW220" s="392"/>
      <c r="AX220" s="399"/>
      <c r="AY220" s="399"/>
      <c r="AZ220" s="399"/>
      <c r="BA220" s="399"/>
      <c r="BB220" s="399"/>
      <c r="BC220" s="399"/>
      <c r="BD220" s="399"/>
      <c r="BE220" s="399"/>
      <c r="BF220" s="399"/>
      <c r="BG220" s="399"/>
      <c r="BH220" s="399"/>
      <c r="BI220" s="399"/>
      <c r="BJ220" s="399"/>
      <c r="BK220" s="399"/>
      <c r="BL220" s="399"/>
      <c r="BM220" s="399"/>
      <c r="BN220" s="399"/>
      <c r="BO220" s="399"/>
      <c r="BP220" s="399"/>
      <c r="BQ220" s="399"/>
      <c r="BR220" s="399"/>
      <c r="BS220" s="399"/>
      <c r="BT220" s="399"/>
      <c r="BU220" s="399"/>
      <c r="BV220" s="399"/>
      <c r="BW220" s="399"/>
      <c r="BX220" s="399"/>
      <c r="BY220" s="399"/>
      <c r="BZ220" s="399"/>
      <c r="CA220" s="399"/>
      <c r="CB220" s="399"/>
      <c r="CC220" s="399"/>
      <c r="CD220" s="399"/>
      <c r="CE220" s="399"/>
      <c r="CF220" s="399"/>
      <c r="CG220" s="399"/>
      <c r="CH220" s="399"/>
      <c r="CI220" s="399"/>
      <c r="CJ220" s="399"/>
      <c r="CK220" s="399"/>
      <c r="CL220" s="399"/>
      <c r="CM220" s="399"/>
      <c r="CN220" s="399"/>
      <c r="CO220" s="399"/>
      <c r="CP220" s="399"/>
      <c r="CQ220" s="399"/>
      <c r="CR220" s="399"/>
      <c r="CS220" s="399"/>
      <c r="CT220" s="399"/>
      <c r="CU220" s="399"/>
      <c r="CV220" s="399"/>
      <c r="CW220" s="399"/>
      <c r="CX220" s="399"/>
      <c r="CY220" s="399"/>
      <c r="CZ220" s="399"/>
      <c r="DA220" s="399"/>
      <c r="DB220" s="399"/>
      <c r="DC220" s="399"/>
      <c r="DD220" s="399"/>
      <c r="DE220" s="399"/>
      <c r="DF220" s="399"/>
      <c r="DG220" s="399"/>
      <c r="DH220" s="399"/>
      <c r="DI220" s="399"/>
      <c r="DJ220" s="399"/>
      <c r="DK220" s="399"/>
      <c r="DL220" s="399"/>
      <c r="DM220" s="399"/>
      <c r="DN220" s="399"/>
      <c r="DO220" s="399"/>
      <c r="DP220" s="399"/>
      <c r="DQ220" s="399"/>
    </row>
    <row r="221" spans="1:121" s="760" customFormat="1" ht="14.45" customHeight="1" x14ac:dyDescent="0.25">
      <c r="A221" s="266">
        <f t="shared" si="3"/>
        <v>25.133333333333333</v>
      </c>
      <c r="B221" s="389">
        <v>42102</v>
      </c>
      <c r="C221" s="390" t="s">
        <v>451</v>
      </c>
      <c r="D221" s="390" t="s">
        <v>459</v>
      </c>
      <c r="E221" s="390" t="s">
        <v>380</v>
      </c>
      <c r="F221" s="390" t="s">
        <v>151</v>
      </c>
      <c r="G221" s="390" t="s">
        <v>884</v>
      </c>
      <c r="H221" s="261"/>
      <c r="I221" s="261"/>
      <c r="J221" s="261"/>
      <c r="K221" s="261">
        <v>8</v>
      </c>
      <c r="L221" s="261">
        <v>4</v>
      </c>
      <c r="M221" s="261"/>
      <c r="N221" s="261">
        <v>4</v>
      </c>
      <c r="O221" s="261"/>
      <c r="P221" s="261">
        <v>4</v>
      </c>
      <c r="Q221" s="261"/>
      <c r="R221" s="261"/>
      <c r="S221" s="261"/>
      <c r="T221" s="261"/>
      <c r="U221" s="261"/>
      <c r="V221" s="762"/>
      <c r="W221" s="261"/>
      <c r="X221" s="261"/>
      <c r="Y221" s="264">
        <f>IF(NFI_Expiration=1,IF($A221&lt;VLOOKUP(H$5,NFI,5,0),1,0)*Table_NFI[[#This Row],[Hygiene Kit]],Table_NFI[Hygiene Kit])</f>
        <v>0</v>
      </c>
      <c r="Z221" s="264">
        <f>IF(NFI_Expiration=1,IF($A221&lt;VLOOKUP(I$5,NFI,5,0),1,0)*Table_NFI[[#This Row],[NFI Core Kit]],Table_NFI[NFI Core Kit])</f>
        <v>0</v>
      </c>
      <c r="AA221" s="264">
        <f>IF(NFI_Expiration=1,IF($A221&lt;VLOOKUP(J$5,NFI,5,0),1,0)*Table_NFI[[#This Row],[Sanitary Kit]],Table_NFI[Sanitary Kit])</f>
        <v>0</v>
      </c>
      <c r="AB221" s="264">
        <f>IF(NFI_Expiration=1,IF($A221&lt;VLOOKUP(K$5,NFI,5,0),1,0)*Table_NFI[[#This Row],[Mosquito net]],Table_NFI[Mosquito net])</f>
        <v>0</v>
      </c>
      <c r="AC221" s="264">
        <f>IF(NFI_Expiration=1,IF($A221&lt;VLOOKUP(L$5,NFI,5,0),1,0)*Table_NFI[[#This Row],[Tarpaulin]],Table_NFI[[#This Row],[Tarpaulin]])</f>
        <v>0</v>
      </c>
      <c r="AD221" s="264">
        <f>IF(NFI_Expiration=1,IF($A221&lt;VLOOKUP(M$5,NFI,5,0),1,0)*Table_NFI[[#This Row],[Blanket]],Table_NFI[[#This Row],[Blanket]])</f>
        <v>0</v>
      </c>
      <c r="AE221" s="264">
        <f>IF(NFI_Expiration=1,IF($A221&lt;VLOOKUP(N$5,NFI,5,0),1,0)*Table_NFI[[#This Row],[Kitchen Set]],Table_NFI[Kitchen Set])</f>
        <v>0</v>
      </c>
      <c r="AF221" s="264">
        <f>IF(NFI_Expiration=1,IF($A221&lt;VLOOKUP(O$5,NFI,5,0),1,0)*Table_NFI[[#This Row],[Clothes Kit]],Table_NFI[Clothes Kit])</f>
        <v>0</v>
      </c>
      <c r="AG221" s="264">
        <f>IF(NFI_Expiration=1,IF($A221&lt;VLOOKUP(P$5,NFI,5,0),1,0)*Table_NFI[[#This Row],[Plastic Bucket]],Table_NFI[Plastic Bucket])</f>
        <v>0</v>
      </c>
      <c r="AH221" s="264">
        <f>IF(NFI_Expiration=1,IF($A221&lt;VLOOKUP(Q$5,NFI,5,0),1,0)*Table_NFI[[#This Row],[Plastic Mat]],Table_NFI[Plastic Mat])*IF(Table_NFI[[#This Row],[Distribution Date]]&gt;"2014-04-01",1,2.5)</f>
        <v>0</v>
      </c>
      <c r="AI221" s="264">
        <f>IF(NFI_Expiration=1,IF($A221&lt;VLOOKUP(R$5,NFI,5,0),1,0)*Table_NFI[[#This Row],[Winter Clothes Adult]],Table_NFI[Winter Clothes Adult])</f>
        <v>0</v>
      </c>
      <c r="AJ221" s="264">
        <f>IF(NFI_Expiration=1,IF($A221&lt;VLOOKUP(S$5,NFI,5,0),1,0)*Table_NFI[[#This Row],[Winter Clothes Children]],Table_NFI[Winter Clothes Children])</f>
        <v>0</v>
      </c>
      <c r="AK221" s="264">
        <f>IF(NFI_Expiration=1,IF($A221&lt;VLOOKUP(T$5,NFI,5,0),1,0)*Table_NFI[[#This Row],[Winter Items Other]],Table_NFI[Winter Items Other])</f>
        <v>0</v>
      </c>
      <c r="AL221" s="264">
        <f>IF(NFI_Expiration=1,IF($A221&lt;VLOOKUP(M$5,NFI,5,0),1,0)*Table_NFI[[#This Row],[Winter Blanket]],Table_NFI[[#This Row],[Winter Blanket]])</f>
        <v>0</v>
      </c>
      <c r="AM221" s="264">
        <f>IF(Table_NFI[[#This Row],[Winter Clothes Adult]]+Table_NFI[[#This Row],[Winter Clothes Children]]+Table_NFI[[#This Row],[Winter Items Other]]+Table_NFI[[#This Row],[Winter Blanket]]&gt;0,1,0)</f>
        <v>0</v>
      </c>
      <c r="AN221" s="296">
        <f>IF(NFI_Expiration=1,IF($A221&lt;VLOOKUP(V$5,NFI,5,0),1,0)*Table_NFI[[#This Row],[Jerry Can]],Table_NFI[Jerry Can])</f>
        <v>0</v>
      </c>
      <c r="AO221" s="296">
        <f>IF(NFI_Expiration=1,IF($A221&lt;VLOOKUP(V$5,NFI,5,0),1,0)*Table_NFI[[#This Row],[Shelter Tool kit]],Table_NFI[Shelter Tool kit])</f>
        <v>0</v>
      </c>
      <c r="AP221" s="296">
        <f>IF(NFI_Expiration=1,IF($A221&lt;VLOOKUP(V$5,NFI,5,0),1,0)*Table_NFI[[#This Row],[Tent]],Table_NFI[Tent])</f>
        <v>0</v>
      </c>
      <c r="AQ221" s="396" t="str">
        <f>IFERROR(VLOOKUP(Table_NFI[[#This Row],[Camp Name]],CL,2,0),"")</f>
        <v>MMR001CMP218</v>
      </c>
      <c r="AR221" s="702">
        <f ca="1">IF(Table_NFI[[#This Row],[Pcode]]="","",IF(OFFSET(CampList[Opening Date],MATCH(Table_NFI[[#This Row],[Pcode]],CampList[CP_Pcode],0)-1,0,1,1)&gt;=NFI_Monitor_Date,1,0))</f>
        <v>0</v>
      </c>
      <c r="AS221" s="396" t="str">
        <f>IFERROR(VLOOKUP(Table_NFI[[#This Row],[Camp Name]],CL,3,0),"")</f>
        <v>Open</v>
      </c>
      <c r="AT221" s="264" t="str">
        <f ca="1">IF(Table_NFI[[#This Row],[Pcode]]="","",OFFSET(CampList[Priority],MATCH(Table_NFI[[#This Row],[Pcode]],CampList[CP_Pcode],0)-1,0,1,1))</f>
        <v>P4</v>
      </c>
      <c r="AU221" s="263">
        <f>IFERROR(Table_NFI[[#This Row],[Kitchen Set]]/VLOOKUP(Table_NFI[[#This Row],[Camp Name]],CL,4,0),"")</f>
        <v>9.6274188889958599E-5</v>
      </c>
      <c r="AV221" s="390" t="s">
        <v>1087</v>
      </c>
      <c r="AW221" s="407"/>
      <c r="AX221" s="399"/>
      <c r="AY221" s="399"/>
      <c r="AZ221" s="399"/>
      <c r="BA221" s="399"/>
      <c r="BB221" s="399"/>
      <c r="BC221" s="399"/>
      <c r="BD221" s="399"/>
      <c r="BE221" s="399"/>
      <c r="BF221" s="399"/>
      <c r="BG221" s="399"/>
      <c r="BH221" s="399"/>
      <c r="BI221" s="399"/>
      <c r="BJ221" s="399"/>
      <c r="BK221" s="399"/>
      <c r="BL221" s="399"/>
      <c r="BM221" s="399"/>
      <c r="BN221" s="399"/>
      <c r="BO221" s="399"/>
      <c r="BP221" s="399"/>
      <c r="BQ221" s="399"/>
      <c r="BR221" s="399"/>
      <c r="BS221" s="399"/>
      <c r="BT221" s="399"/>
      <c r="BU221" s="399"/>
      <c r="BV221" s="399"/>
      <c r="BW221" s="399"/>
      <c r="BX221" s="399"/>
      <c r="BY221" s="399"/>
      <c r="BZ221" s="399"/>
      <c r="CA221" s="399"/>
      <c r="CB221" s="399"/>
      <c r="CC221" s="399"/>
      <c r="CD221" s="399"/>
      <c r="CE221" s="399"/>
      <c r="CF221" s="399"/>
      <c r="CG221" s="399"/>
      <c r="CH221" s="399"/>
      <c r="CI221" s="399"/>
      <c r="CJ221" s="399"/>
      <c r="CK221" s="399"/>
      <c r="CL221" s="399"/>
      <c r="CM221" s="399"/>
      <c r="CN221" s="399"/>
      <c r="CO221" s="399"/>
      <c r="CP221" s="399"/>
      <c r="CQ221" s="399"/>
      <c r="CR221" s="399"/>
      <c r="CS221" s="399"/>
      <c r="CT221" s="399"/>
      <c r="CU221" s="399"/>
      <c r="CV221" s="399"/>
      <c r="CW221" s="399"/>
      <c r="CX221" s="399"/>
      <c r="CY221" s="399"/>
      <c r="CZ221" s="399"/>
      <c r="DA221" s="399"/>
      <c r="DB221" s="399"/>
      <c r="DC221" s="399"/>
      <c r="DD221" s="399"/>
      <c r="DE221" s="399"/>
      <c r="DF221" s="399"/>
      <c r="DG221" s="399"/>
      <c r="DH221" s="399"/>
      <c r="DI221" s="399"/>
      <c r="DJ221" s="399"/>
      <c r="DK221" s="399"/>
      <c r="DL221" s="399"/>
      <c r="DM221" s="399"/>
      <c r="DN221" s="399"/>
      <c r="DO221" s="399"/>
      <c r="DP221" s="399"/>
      <c r="DQ221" s="399"/>
    </row>
    <row r="222" spans="1:121" s="760" customFormat="1" ht="14.45" customHeight="1" x14ac:dyDescent="0.25">
      <c r="A222" s="266">
        <f t="shared" si="3"/>
        <v>25.133333333333333</v>
      </c>
      <c r="B222" s="389">
        <v>42102</v>
      </c>
      <c r="C222" s="390" t="s">
        <v>904</v>
      </c>
      <c r="D222" s="390" t="s">
        <v>904</v>
      </c>
      <c r="E222" s="390" t="s">
        <v>380</v>
      </c>
      <c r="F222" s="390" t="s">
        <v>5</v>
      </c>
      <c r="G222" s="390" t="s">
        <v>24</v>
      </c>
      <c r="H222" s="261"/>
      <c r="I222" s="261"/>
      <c r="J222" s="261"/>
      <c r="K222" s="261"/>
      <c r="L222" s="261"/>
      <c r="M222" s="261"/>
      <c r="N222" s="261"/>
      <c r="O222" s="261"/>
      <c r="P222" s="261"/>
      <c r="Q222" s="261"/>
      <c r="R222" s="261"/>
      <c r="S222" s="261"/>
      <c r="T222" s="261"/>
      <c r="U222" s="261"/>
      <c r="V222" s="762"/>
      <c r="W222" s="261">
        <v>2</v>
      </c>
      <c r="X222" s="261"/>
      <c r="Y222" s="264">
        <f>IF(NFI_Expiration=1,IF($A222&lt;VLOOKUP(H$5,NFI,5,0),1,0)*Table_NFI[[#This Row],[Hygiene Kit]],Table_NFI[Hygiene Kit])</f>
        <v>0</v>
      </c>
      <c r="Z222" s="264">
        <f>IF(NFI_Expiration=1,IF($A222&lt;VLOOKUP(I$5,NFI,5,0),1,0)*Table_NFI[[#This Row],[NFI Core Kit]],Table_NFI[NFI Core Kit])</f>
        <v>0</v>
      </c>
      <c r="AA222" s="264">
        <f>IF(NFI_Expiration=1,IF($A222&lt;VLOOKUP(J$5,NFI,5,0),1,0)*Table_NFI[[#This Row],[Sanitary Kit]],Table_NFI[Sanitary Kit])</f>
        <v>0</v>
      </c>
      <c r="AB222" s="264">
        <f>IF(NFI_Expiration=1,IF($A222&lt;VLOOKUP(K$5,NFI,5,0),1,0)*Table_NFI[[#This Row],[Mosquito net]],Table_NFI[Mosquito net])</f>
        <v>0</v>
      </c>
      <c r="AC222" s="264">
        <f>IF(NFI_Expiration=1,IF($A222&lt;VLOOKUP(L$5,NFI,5,0),1,0)*Table_NFI[[#This Row],[Tarpaulin]],Table_NFI[[#This Row],[Tarpaulin]])</f>
        <v>0</v>
      </c>
      <c r="AD222" s="264">
        <f>IF(NFI_Expiration=1,IF($A222&lt;VLOOKUP(M$5,NFI,5,0),1,0)*Table_NFI[[#This Row],[Blanket]],Table_NFI[[#This Row],[Blanket]])</f>
        <v>0</v>
      </c>
      <c r="AE222" s="264">
        <f>IF(NFI_Expiration=1,IF($A222&lt;VLOOKUP(N$5,NFI,5,0),1,0)*Table_NFI[[#This Row],[Kitchen Set]],Table_NFI[Kitchen Set])</f>
        <v>0</v>
      </c>
      <c r="AF222" s="264">
        <f>IF(NFI_Expiration=1,IF($A222&lt;VLOOKUP(O$5,NFI,5,0),1,0)*Table_NFI[[#This Row],[Clothes Kit]],Table_NFI[Clothes Kit])</f>
        <v>0</v>
      </c>
      <c r="AG222" s="264">
        <f>IF(NFI_Expiration=1,IF($A222&lt;VLOOKUP(P$5,NFI,5,0),1,0)*Table_NFI[[#This Row],[Plastic Bucket]],Table_NFI[Plastic Bucket])</f>
        <v>0</v>
      </c>
      <c r="AH222" s="264">
        <f>IF(NFI_Expiration=1,IF($A222&lt;VLOOKUP(Q$5,NFI,5,0),1,0)*Table_NFI[[#This Row],[Plastic Mat]],Table_NFI[Plastic Mat])*IF(Table_NFI[[#This Row],[Distribution Date]]&gt;"2014-04-01",1,2.5)</f>
        <v>0</v>
      </c>
      <c r="AI222" s="264">
        <f>IF(NFI_Expiration=1,IF($A222&lt;VLOOKUP(R$5,NFI,5,0),1,0)*Table_NFI[[#This Row],[Winter Clothes Adult]],Table_NFI[Winter Clothes Adult])</f>
        <v>0</v>
      </c>
      <c r="AJ222" s="264">
        <f>IF(NFI_Expiration=1,IF($A222&lt;VLOOKUP(S$5,NFI,5,0),1,0)*Table_NFI[[#This Row],[Winter Clothes Children]],Table_NFI[Winter Clothes Children])</f>
        <v>0</v>
      </c>
      <c r="AK222" s="264">
        <f>IF(NFI_Expiration=1,IF($A222&lt;VLOOKUP(T$5,NFI,5,0),1,0)*Table_NFI[[#This Row],[Winter Items Other]],Table_NFI[Winter Items Other])</f>
        <v>0</v>
      </c>
      <c r="AL222" s="264">
        <f>IF(NFI_Expiration=1,IF($A222&lt;VLOOKUP(M$5,NFI,5,0),1,0)*Table_NFI[[#This Row],[Winter Blanket]],Table_NFI[[#This Row],[Winter Blanket]])</f>
        <v>0</v>
      </c>
      <c r="AM222" s="264">
        <f>IF(Table_NFI[[#This Row],[Winter Clothes Adult]]+Table_NFI[[#This Row],[Winter Clothes Children]]+Table_NFI[[#This Row],[Winter Items Other]]+Table_NFI[[#This Row],[Winter Blanket]]&gt;0,1,0)</f>
        <v>0</v>
      </c>
      <c r="AN222" s="296">
        <f>IF(NFI_Expiration=1,IF($A222&lt;VLOOKUP(V$5,NFI,5,0),1,0)*Table_NFI[[#This Row],[Jerry Can]],Table_NFI[Jerry Can])</f>
        <v>0</v>
      </c>
      <c r="AO222" s="296">
        <f>IF(NFI_Expiration=1,IF($A222&lt;VLOOKUP(V$5,NFI,5,0),1,0)*Table_NFI[[#This Row],[Shelter Tool kit]],Table_NFI[Shelter Tool kit])</f>
        <v>0</v>
      </c>
      <c r="AP222" s="296">
        <f>IF(NFI_Expiration=1,IF($A222&lt;VLOOKUP(V$5,NFI,5,0),1,0)*Table_NFI[[#This Row],[Tent]],Table_NFI[Tent])</f>
        <v>0</v>
      </c>
      <c r="AQ222" s="396" t="str">
        <f>IFERROR(VLOOKUP(Table_NFI[[#This Row],[Camp Name]],CL,2,0),"")</f>
        <v>MMR001CMP055</v>
      </c>
      <c r="AR222" s="702">
        <f ca="1">IF(Table_NFI[[#This Row],[Pcode]]="","",IF(OFFSET(CampList[Opening Date],MATCH(Table_NFI[[#This Row],[Pcode]],CampList[CP_Pcode],0)-1,0,1,1)&gt;=NFI_Monitor_Date,1,0))</f>
        <v>0</v>
      </c>
      <c r="AS222" s="396" t="str">
        <f>IFERROR(VLOOKUP(Table_NFI[[#This Row],[Camp Name]],CL,3,0),"")</f>
        <v>Open</v>
      </c>
      <c r="AT222" s="264" t="str">
        <f ca="1">IF(Table_NFI[[#This Row],[Pcode]]="","",OFFSET(CampList[Priority],MATCH(Table_NFI[[#This Row],[Pcode]],CampList[CP_Pcode],0)-1,0,1,1))</f>
        <v>P4</v>
      </c>
      <c r="AU222" s="263">
        <f>IFERROR(Table_NFI[[#This Row],[Kitchen Set]]/VLOOKUP(Table_NFI[[#This Row],[Camp Name]],CL,4,0),"")</f>
        <v>0</v>
      </c>
      <c r="AV222" s="390"/>
      <c r="AW222" s="392"/>
      <c r="AX222" s="399"/>
      <c r="AY222" s="399"/>
      <c r="AZ222" s="399"/>
      <c r="BA222" s="399"/>
      <c r="BB222" s="399"/>
      <c r="BC222" s="399"/>
      <c r="BD222" s="399"/>
      <c r="BE222" s="399"/>
      <c r="BF222" s="399"/>
      <c r="BG222" s="399"/>
      <c r="BH222" s="399"/>
      <c r="BI222" s="399"/>
      <c r="BJ222" s="399"/>
      <c r="BK222" s="399"/>
      <c r="BL222" s="399"/>
      <c r="BM222" s="399"/>
      <c r="BN222" s="399"/>
      <c r="BO222" s="399"/>
      <c r="BP222" s="399"/>
      <c r="BQ222" s="399"/>
      <c r="BR222" s="399"/>
      <c r="BS222" s="399"/>
      <c r="BT222" s="399"/>
      <c r="BU222" s="399"/>
      <c r="BV222" s="399"/>
      <c r="BW222" s="399"/>
      <c r="BX222" s="399"/>
      <c r="BY222" s="399"/>
      <c r="BZ222" s="399"/>
      <c r="CA222" s="399"/>
      <c r="CB222" s="399"/>
      <c r="CC222" s="399"/>
      <c r="CD222" s="399"/>
      <c r="CE222" s="399"/>
      <c r="CF222" s="399"/>
      <c r="CG222" s="399"/>
      <c r="CH222" s="399"/>
      <c r="CI222" s="399"/>
      <c r="CJ222" s="399"/>
      <c r="CK222" s="399"/>
      <c r="CL222" s="399"/>
      <c r="CM222" s="399"/>
      <c r="CN222" s="399"/>
      <c r="CO222" s="399"/>
      <c r="CP222" s="399"/>
      <c r="CQ222" s="399"/>
      <c r="CR222" s="399"/>
      <c r="CS222" s="399"/>
      <c r="CT222" s="399"/>
      <c r="CU222" s="399"/>
      <c r="CV222" s="399"/>
      <c r="CW222" s="399"/>
      <c r="CX222" s="399"/>
      <c r="CY222" s="399"/>
      <c r="CZ222" s="399"/>
      <c r="DA222" s="399"/>
      <c r="DB222" s="399"/>
      <c r="DC222" s="399"/>
      <c r="DD222" s="399"/>
      <c r="DE222" s="399"/>
      <c r="DF222" s="399"/>
      <c r="DG222" s="399"/>
      <c r="DH222" s="399"/>
      <c r="DI222" s="399"/>
      <c r="DJ222" s="399"/>
      <c r="DK222" s="399"/>
      <c r="DL222" s="399"/>
      <c r="DM222" s="399"/>
      <c r="DN222" s="399"/>
      <c r="DO222" s="399"/>
      <c r="DP222" s="399"/>
      <c r="DQ222" s="399"/>
    </row>
    <row r="223" spans="1:121" s="760" customFormat="1" ht="14.45" customHeight="1" x14ac:dyDescent="0.25">
      <c r="A223" s="266">
        <f t="shared" si="3"/>
        <v>25.3</v>
      </c>
      <c r="B223" s="389">
        <v>42097</v>
      </c>
      <c r="C223" s="390" t="s">
        <v>451</v>
      </c>
      <c r="D223" s="390" t="s">
        <v>1314</v>
      </c>
      <c r="E223" s="390" t="s">
        <v>380</v>
      </c>
      <c r="F223" s="390" t="s">
        <v>5</v>
      </c>
      <c r="G223" s="390" t="s">
        <v>8</v>
      </c>
      <c r="H223" s="261"/>
      <c r="I223" s="261"/>
      <c r="J223" s="261"/>
      <c r="K223" s="261"/>
      <c r="L223" s="261">
        <v>3</v>
      </c>
      <c r="M223" s="261">
        <v>53</v>
      </c>
      <c r="N223" s="261"/>
      <c r="O223" s="261"/>
      <c r="P223" s="261">
        <v>3</v>
      </c>
      <c r="Q223" s="261">
        <v>11</v>
      </c>
      <c r="R223" s="261"/>
      <c r="S223" s="261"/>
      <c r="T223" s="261"/>
      <c r="U223" s="261"/>
      <c r="V223" s="762">
        <v>3</v>
      </c>
      <c r="W223" s="261"/>
      <c r="X223" s="261"/>
      <c r="Y223" s="264">
        <f>IF(NFI_Expiration=1,IF($A223&lt;VLOOKUP(H$5,NFI,5,0),1,0)*Table_NFI[[#This Row],[Hygiene Kit]],Table_NFI[Hygiene Kit])</f>
        <v>0</v>
      </c>
      <c r="Z223" s="264">
        <f>IF(NFI_Expiration=1,IF($A223&lt;VLOOKUP(I$5,NFI,5,0),1,0)*Table_NFI[[#This Row],[NFI Core Kit]],Table_NFI[NFI Core Kit])</f>
        <v>0</v>
      </c>
      <c r="AA223" s="264">
        <f>IF(NFI_Expiration=1,IF($A223&lt;VLOOKUP(J$5,NFI,5,0),1,0)*Table_NFI[[#This Row],[Sanitary Kit]],Table_NFI[Sanitary Kit])</f>
        <v>0</v>
      </c>
      <c r="AB223" s="264">
        <f>IF(NFI_Expiration=1,IF($A223&lt;VLOOKUP(K$5,NFI,5,0),1,0)*Table_NFI[[#This Row],[Mosquito net]],Table_NFI[Mosquito net])</f>
        <v>0</v>
      </c>
      <c r="AC223" s="264">
        <f>IF(NFI_Expiration=1,IF($A223&lt;VLOOKUP(L$5,NFI,5,0),1,0)*Table_NFI[[#This Row],[Tarpaulin]],Table_NFI[[#This Row],[Tarpaulin]])</f>
        <v>0</v>
      </c>
      <c r="AD223" s="264">
        <f>IF(NFI_Expiration=1,IF($A223&lt;VLOOKUP(M$5,NFI,5,0),1,0)*Table_NFI[[#This Row],[Blanket]],Table_NFI[[#This Row],[Blanket]])</f>
        <v>0</v>
      </c>
      <c r="AE223" s="264">
        <f>IF(NFI_Expiration=1,IF($A223&lt;VLOOKUP(N$5,NFI,5,0),1,0)*Table_NFI[[#This Row],[Kitchen Set]],Table_NFI[Kitchen Set])</f>
        <v>0</v>
      </c>
      <c r="AF223" s="264">
        <f>IF(NFI_Expiration=1,IF($A223&lt;VLOOKUP(O$5,NFI,5,0),1,0)*Table_NFI[[#This Row],[Clothes Kit]],Table_NFI[Clothes Kit])</f>
        <v>0</v>
      </c>
      <c r="AG223" s="264">
        <f>IF(NFI_Expiration=1,IF($A223&lt;VLOOKUP(P$5,NFI,5,0),1,0)*Table_NFI[[#This Row],[Plastic Bucket]],Table_NFI[Plastic Bucket])</f>
        <v>0</v>
      </c>
      <c r="AH223" s="264">
        <f>IF(NFI_Expiration=1,IF($A223&lt;VLOOKUP(Q$5,NFI,5,0),1,0)*Table_NFI[[#This Row],[Plastic Mat]],Table_NFI[Plastic Mat])*IF(Table_NFI[[#This Row],[Distribution Date]]&gt;"2014-04-01",1,2.5)</f>
        <v>0</v>
      </c>
      <c r="AI223" s="264">
        <f>IF(NFI_Expiration=1,IF($A223&lt;VLOOKUP(R$5,NFI,5,0),1,0)*Table_NFI[[#This Row],[Winter Clothes Adult]],Table_NFI[Winter Clothes Adult])</f>
        <v>0</v>
      </c>
      <c r="AJ223" s="264">
        <f>IF(NFI_Expiration=1,IF($A223&lt;VLOOKUP(S$5,NFI,5,0),1,0)*Table_NFI[[#This Row],[Winter Clothes Children]],Table_NFI[Winter Clothes Children])</f>
        <v>0</v>
      </c>
      <c r="AK223" s="264">
        <f>IF(NFI_Expiration=1,IF($A223&lt;VLOOKUP(T$5,NFI,5,0),1,0)*Table_NFI[[#This Row],[Winter Items Other]],Table_NFI[Winter Items Other])</f>
        <v>0</v>
      </c>
      <c r="AL223" s="264">
        <f>IF(NFI_Expiration=1,IF($A223&lt;VLOOKUP(M$5,NFI,5,0),1,0)*Table_NFI[[#This Row],[Winter Blanket]],Table_NFI[[#This Row],[Winter Blanket]])</f>
        <v>0</v>
      </c>
      <c r="AM223" s="264">
        <f>IF(Table_NFI[[#This Row],[Winter Clothes Adult]]+Table_NFI[[#This Row],[Winter Clothes Children]]+Table_NFI[[#This Row],[Winter Items Other]]+Table_NFI[[#This Row],[Winter Blanket]]&gt;0,1,0)</f>
        <v>0</v>
      </c>
      <c r="AN223" s="296">
        <f>IF(NFI_Expiration=1,IF($A223&lt;VLOOKUP(V$5,NFI,5,0),1,0)*Table_NFI[[#This Row],[Jerry Can]],Table_NFI[Jerry Can])</f>
        <v>0</v>
      </c>
      <c r="AO223" s="296">
        <f>IF(NFI_Expiration=1,IF($A223&lt;VLOOKUP(V$5,NFI,5,0),1,0)*Table_NFI[[#This Row],[Shelter Tool kit]],Table_NFI[Shelter Tool kit])</f>
        <v>0</v>
      </c>
      <c r="AP223" s="296">
        <f>IF(NFI_Expiration=1,IF($A223&lt;VLOOKUP(V$5,NFI,5,0),1,0)*Table_NFI[[#This Row],[Tent]],Table_NFI[Tent])</f>
        <v>0</v>
      </c>
      <c r="AQ223" s="396" t="str">
        <f>IFERROR(VLOOKUP(Table_NFI[[#This Row],[Camp Name]],CL,2,0),"")</f>
        <v>MMR001CMP051</v>
      </c>
      <c r="AR223" s="702">
        <f ca="1">IF(Table_NFI[[#This Row],[Pcode]]="","",IF(OFFSET(CampList[Opening Date],MATCH(Table_NFI[[#This Row],[Pcode]],CampList[CP_Pcode],0)-1,0,1,1)&gt;=NFI_Monitor_Date,1,0))</f>
        <v>0</v>
      </c>
      <c r="AS223" s="396" t="str">
        <f>IFERROR(VLOOKUP(Table_NFI[[#This Row],[Camp Name]],CL,3,0),"")</f>
        <v>Open</v>
      </c>
      <c r="AT223" s="264" t="str">
        <f ca="1">IF(Table_NFI[[#This Row],[Pcode]]="","",OFFSET(CampList[Priority],MATCH(Table_NFI[[#This Row],[Pcode]],CampList[CP_Pcode],0)-1,0,1,1))</f>
        <v>P4</v>
      </c>
      <c r="AU223" s="263">
        <f>IFERROR(Table_NFI[[#This Row],[Kitchen Set]]/VLOOKUP(Table_NFI[[#This Row],[Camp Name]],CL,4,0),"")</f>
        <v>0</v>
      </c>
      <c r="AV223" s="390" t="s">
        <v>1087</v>
      </c>
      <c r="AW223" s="392"/>
      <c r="AX223" s="399"/>
      <c r="AY223" s="399"/>
      <c r="AZ223" s="399"/>
      <c r="BA223" s="399"/>
      <c r="BB223" s="399"/>
      <c r="BC223" s="399"/>
      <c r="BD223" s="399"/>
      <c r="BE223" s="399"/>
      <c r="BF223" s="399"/>
      <c r="BG223" s="399"/>
      <c r="BH223" s="399"/>
      <c r="BI223" s="399"/>
      <c r="BJ223" s="399"/>
      <c r="BK223" s="399"/>
      <c r="BL223" s="399"/>
      <c r="BM223" s="399"/>
      <c r="BN223" s="399"/>
      <c r="BO223" s="399"/>
      <c r="BP223" s="399"/>
      <c r="BQ223" s="399"/>
      <c r="BR223" s="399"/>
      <c r="BS223" s="399"/>
      <c r="BT223" s="399"/>
      <c r="BU223" s="399"/>
      <c r="BV223" s="399"/>
      <c r="BW223" s="399"/>
      <c r="BX223" s="399"/>
      <c r="BY223" s="399"/>
      <c r="BZ223" s="399"/>
      <c r="CA223" s="399"/>
      <c r="CB223" s="399"/>
      <c r="CC223" s="399"/>
      <c r="CD223" s="399"/>
      <c r="CE223" s="399"/>
      <c r="CF223" s="399"/>
      <c r="CG223" s="399"/>
      <c r="CH223" s="399"/>
      <c r="CI223" s="399"/>
      <c r="CJ223" s="399"/>
      <c r="CK223" s="399"/>
      <c r="CL223" s="399"/>
      <c r="CM223" s="399"/>
      <c r="CN223" s="399"/>
      <c r="CO223" s="399"/>
      <c r="CP223" s="399"/>
      <c r="CQ223" s="399"/>
      <c r="CR223" s="399"/>
      <c r="CS223" s="399"/>
      <c r="CT223" s="399"/>
      <c r="CU223" s="399"/>
      <c r="CV223" s="399"/>
      <c r="CW223" s="399"/>
      <c r="CX223" s="399"/>
      <c r="CY223" s="399"/>
      <c r="CZ223" s="399"/>
      <c r="DA223" s="399"/>
      <c r="DB223" s="399"/>
      <c r="DC223" s="399"/>
      <c r="DD223" s="399"/>
      <c r="DE223" s="399"/>
      <c r="DF223" s="399"/>
      <c r="DG223" s="399"/>
      <c r="DH223" s="399"/>
      <c r="DI223" s="399"/>
      <c r="DJ223" s="399"/>
      <c r="DK223" s="399"/>
      <c r="DL223" s="399"/>
      <c r="DM223" s="399"/>
      <c r="DN223" s="399"/>
      <c r="DO223" s="399"/>
      <c r="DP223" s="399"/>
      <c r="DQ223" s="399"/>
    </row>
    <row r="224" spans="1:121" s="760" customFormat="1" ht="14.45" customHeight="1" x14ac:dyDescent="0.25">
      <c r="A224" s="266">
        <f t="shared" si="3"/>
        <v>25.3</v>
      </c>
      <c r="B224" s="389">
        <v>42097</v>
      </c>
      <c r="C224" s="390" t="s">
        <v>451</v>
      </c>
      <c r="D224" s="390" t="s">
        <v>451</v>
      </c>
      <c r="E224" s="390" t="s">
        <v>380</v>
      </c>
      <c r="F224" s="390" t="s">
        <v>185</v>
      </c>
      <c r="G224" s="390" t="s">
        <v>215</v>
      </c>
      <c r="H224" s="261"/>
      <c r="I224" s="261"/>
      <c r="J224" s="261"/>
      <c r="K224" s="261"/>
      <c r="L224" s="261"/>
      <c r="M224" s="261"/>
      <c r="N224" s="261"/>
      <c r="O224" s="261"/>
      <c r="P224" s="261"/>
      <c r="Q224" s="261"/>
      <c r="R224" s="261"/>
      <c r="S224" s="261"/>
      <c r="T224" s="261"/>
      <c r="U224" s="261"/>
      <c r="V224" s="762">
        <v>405</v>
      </c>
      <c r="W224" s="261"/>
      <c r="X224" s="261"/>
      <c r="Y224" s="264">
        <f>IF(NFI_Expiration=1,IF($A224&lt;VLOOKUP(H$5,NFI,5,0),1,0)*Table_NFI[[#This Row],[Hygiene Kit]],Table_NFI[Hygiene Kit])</f>
        <v>0</v>
      </c>
      <c r="Z224" s="264">
        <f>IF(NFI_Expiration=1,IF($A224&lt;VLOOKUP(I$5,NFI,5,0),1,0)*Table_NFI[[#This Row],[NFI Core Kit]],Table_NFI[NFI Core Kit])</f>
        <v>0</v>
      </c>
      <c r="AA224" s="264">
        <f>IF(NFI_Expiration=1,IF($A224&lt;VLOOKUP(J$5,NFI,5,0),1,0)*Table_NFI[[#This Row],[Sanitary Kit]],Table_NFI[Sanitary Kit])</f>
        <v>0</v>
      </c>
      <c r="AB224" s="264">
        <f>IF(NFI_Expiration=1,IF($A224&lt;VLOOKUP(K$5,NFI,5,0),1,0)*Table_NFI[[#This Row],[Mosquito net]],Table_NFI[Mosquito net])</f>
        <v>0</v>
      </c>
      <c r="AC224" s="264">
        <f>IF(NFI_Expiration=1,IF($A224&lt;VLOOKUP(L$5,NFI,5,0),1,0)*Table_NFI[[#This Row],[Tarpaulin]],Table_NFI[[#This Row],[Tarpaulin]])</f>
        <v>0</v>
      </c>
      <c r="AD224" s="264">
        <f>IF(NFI_Expiration=1,IF($A224&lt;VLOOKUP(M$5,NFI,5,0),1,0)*Table_NFI[[#This Row],[Blanket]],Table_NFI[[#This Row],[Blanket]])</f>
        <v>0</v>
      </c>
      <c r="AE224" s="264">
        <f>IF(NFI_Expiration=1,IF($A224&lt;VLOOKUP(N$5,NFI,5,0),1,0)*Table_NFI[[#This Row],[Kitchen Set]],Table_NFI[Kitchen Set])</f>
        <v>0</v>
      </c>
      <c r="AF224" s="264">
        <f>IF(NFI_Expiration=1,IF($A224&lt;VLOOKUP(O$5,NFI,5,0),1,0)*Table_NFI[[#This Row],[Clothes Kit]],Table_NFI[Clothes Kit])</f>
        <v>0</v>
      </c>
      <c r="AG224" s="264">
        <f>IF(NFI_Expiration=1,IF($A224&lt;VLOOKUP(P$5,NFI,5,0),1,0)*Table_NFI[[#This Row],[Plastic Bucket]],Table_NFI[Plastic Bucket])</f>
        <v>0</v>
      </c>
      <c r="AH224" s="264">
        <f>IF(NFI_Expiration=1,IF($A224&lt;VLOOKUP(Q$5,NFI,5,0),1,0)*Table_NFI[[#This Row],[Plastic Mat]],Table_NFI[Plastic Mat])*IF(Table_NFI[[#This Row],[Distribution Date]]&gt;"2014-04-01",1,2.5)</f>
        <v>0</v>
      </c>
      <c r="AI224" s="264">
        <f>IF(NFI_Expiration=1,IF($A224&lt;VLOOKUP(R$5,NFI,5,0),1,0)*Table_NFI[[#This Row],[Winter Clothes Adult]],Table_NFI[Winter Clothes Adult])</f>
        <v>0</v>
      </c>
      <c r="AJ224" s="264">
        <f>IF(NFI_Expiration=1,IF($A224&lt;VLOOKUP(S$5,NFI,5,0),1,0)*Table_NFI[[#This Row],[Winter Clothes Children]],Table_NFI[Winter Clothes Children])</f>
        <v>0</v>
      </c>
      <c r="AK224" s="264">
        <f>IF(NFI_Expiration=1,IF($A224&lt;VLOOKUP(T$5,NFI,5,0),1,0)*Table_NFI[[#This Row],[Winter Items Other]],Table_NFI[Winter Items Other])</f>
        <v>0</v>
      </c>
      <c r="AL224" s="264">
        <f>IF(NFI_Expiration=1,IF($A224&lt;VLOOKUP(M$5,NFI,5,0),1,0)*Table_NFI[[#This Row],[Winter Blanket]],Table_NFI[[#This Row],[Winter Blanket]])</f>
        <v>0</v>
      </c>
      <c r="AM224" s="264">
        <f>IF(Table_NFI[[#This Row],[Winter Clothes Adult]]+Table_NFI[[#This Row],[Winter Clothes Children]]+Table_NFI[[#This Row],[Winter Items Other]]+Table_NFI[[#This Row],[Winter Blanket]]&gt;0,1,0)</f>
        <v>0</v>
      </c>
      <c r="AN224" s="296">
        <f>IF(NFI_Expiration=1,IF($A224&lt;VLOOKUP(V$5,NFI,5,0),1,0)*Table_NFI[[#This Row],[Jerry Can]],Table_NFI[Jerry Can])</f>
        <v>0</v>
      </c>
      <c r="AO224" s="296">
        <f>IF(NFI_Expiration=1,IF($A224&lt;VLOOKUP(V$5,NFI,5,0),1,0)*Table_NFI[[#This Row],[Shelter Tool kit]],Table_NFI[Shelter Tool kit])</f>
        <v>0</v>
      </c>
      <c r="AP224" s="296">
        <f>IF(NFI_Expiration=1,IF($A224&lt;VLOOKUP(V$5,NFI,5,0),1,0)*Table_NFI[[#This Row],[Tent]],Table_NFI[Tent])</f>
        <v>0</v>
      </c>
      <c r="AQ224" s="396" t="str">
        <f>IFERROR(VLOOKUP(Table_NFI[[#This Row],[Camp Name]],CL,2,0),"")</f>
        <v>MMR001CMP131</v>
      </c>
      <c r="AR224" s="702">
        <f ca="1">IF(Table_NFI[[#This Row],[Pcode]]="","",IF(OFFSET(CampList[Opening Date],MATCH(Table_NFI[[#This Row],[Pcode]],CampList[CP_Pcode],0)-1,0,1,1)&gt;=NFI_Monitor_Date,1,0))</f>
        <v>0</v>
      </c>
      <c r="AS224" s="396" t="str">
        <f>IFERROR(VLOOKUP(Table_NFI[[#This Row],[Camp Name]],CL,3,0),"")</f>
        <v>Open</v>
      </c>
      <c r="AT224" s="264" t="str">
        <f ca="1">IF(Table_NFI[[#This Row],[Pcode]]="","",OFFSET(CampList[Priority],MATCH(Table_NFI[[#This Row],[Pcode]],CampList[CP_Pcode],0)-1,0,1,1))</f>
        <v>P1</v>
      </c>
      <c r="AU224" s="263">
        <f>IFERROR(Table_NFI[[#This Row],[Kitchen Set]]/VLOOKUP(Table_NFI[[#This Row],[Camp Name]],CL,4,0),"")</f>
        <v>0</v>
      </c>
      <c r="AV224" s="390" t="s">
        <v>1087</v>
      </c>
      <c r="AW224" s="392"/>
      <c r="AX224" s="399"/>
      <c r="AY224" s="399"/>
      <c r="AZ224" s="399"/>
      <c r="BA224" s="399"/>
      <c r="BB224" s="399"/>
      <c r="BC224" s="399"/>
      <c r="BD224" s="399"/>
      <c r="BE224" s="399"/>
      <c r="BF224" s="399"/>
      <c r="BG224" s="399"/>
      <c r="BH224" s="399"/>
      <c r="BI224" s="399"/>
      <c r="BJ224" s="399"/>
      <c r="BK224" s="399"/>
      <c r="BL224" s="399"/>
      <c r="BM224" s="399"/>
      <c r="BN224" s="399"/>
      <c r="BO224" s="399"/>
      <c r="BP224" s="399"/>
      <c r="BQ224" s="399"/>
      <c r="BR224" s="399"/>
      <c r="BS224" s="399"/>
      <c r="BT224" s="399"/>
      <c r="BU224" s="399"/>
      <c r="BV224" s="399"/>
      <c r="BW224" s="399"/>
      <c r="BX224" s="399"/>
      <c r="BY224" s="399"/>
      <c r="BZ224" s="399"/>
      <c r="CA224" s="399"/>
      <c r="CB224" s="399"/>
      <c r="CC224" s="399"/>
      <c r="CD224" s="399"/>
      <c r="CE224" s="399"/>
      <c r="CF224" s="399"/>
      <c r="CG224" s="399"/>
      <c r="CH224" s="399"/>
      <c r="CI224" s="399"/>
      <c r="CJ224" s="399"/>
      <c r="CK224" s="399"/>
      <c r="CL224" s="399"/>
      <c r="CM224" s="399"/>
      <c r="CN224" s="399"/>
      <c r="CO224" s="399"/>
      <c r="CP224" s="399"/>
      <c r="CQ224" s="399"/>
      <c r="CR224" s="399"/>
      <c r="CS224" s="399"/>
      <c r="CT224" s="399"/>
      <c r="CU224" s="399"/>
      <c r="CV224" s="399"/>
      <c r="CW224" s="399"/>
      <c r="CX224" s="399"/>
      <c r="CY224" s="399"/>
      <c r="CZ224" s="399"/>
      <c r="DA224" s="399"/>
      <c r="DB224" s="399"/>
      <c r="DC224" s="399"/>
      <c r="DD224" s="399"/>
      <c r="DE224" s="399"/>
      <c r="DF224" s="399"/>
      <c r="DG224" s="399"/>
      <c r="DH224" s="399"/>
      <c r="DI224" s="399"/>
      <c r="DJ224" s="399"/>
      <c r="DK224" s="399"/>
      <c r="DL224" s="399"/>
      <c r="DM224" s="399"/>
      <c r="DN224" s="399"/>
      <c r="DO224" s="399"/>
      <c r="DP224" s="399"/>
      <c r="DQ224" s="399"/>
    </row>
    <row r="225" spans="1:121" s="393" customFormat="1" ht="14.45" customHeight="1" x14ac:dyDescent="0.25">
      <c r="A225" s="266">
        <f t="shared" si="3"/>
        <v>25.3</v>
      </c>
      <c r="B225" s="389">
        <v>42097</v>
      </c>
      <c r="C225" s="390" t="s">
        <v>451</v>
      </c>
      <c r="D225" s="390" t="s">
        <v>1314</v>
      </c>
      <c r="E225" s="390" t="s">
        <v>380</v>
      </c>
      <c r="F225" s="390" t="s">
        <v>5</v>
      </c>
      <c r="G225" s="390" t="s">
        <v>1315</v>
      </c>
      <c r="H225" s="261"/>
      <c r="I225" s="261"/>
      <c r="J225" s="261"/>
      <c r="K225" s="261"/>
      <c r="L225" s="261"/>
      <c r="M225" s="261">
        <v>15</v>
      </c>
      <c r="N225" s="261"/>
      <c r="O225" s="261"/>
      <c r="P225" s="261">
        <v>26</v>
      </c>
      <c r="Q225" s="261">
        <v>720</v>
      </c>
      <c r="R225" s="261"/>
      <c r="S225" s="261"/>
      <c r="T225" s="261"/>
      <c r="U225" s="261"/>
      <c r="V225" s="762">
        <v>26</v>
      </c>
      <c r="W225" s="261"/>
      <c r="X225" s="261"/>
      <c r="Y225" s="264">
        <f>IF(NFI_Expiration=1,IF($A225&lt;VLOOKUP(H$5,NFI,5,0),1,0)*Table_NFI[[#This Row],[Hygiene Kit]],Table_NFI[Hygiene Kit])</f>
        <v>0</v>
      </c>
      <c r="Z225" s="264">
        <f>IF(NFI_Expiration=1,IF($A225&lt;VLOOKUP(I$5,NFI,5,0),1,0)*Table_NFI[[#This Row],[NFI Core Kit]],Table_NFI[NFI Core Kit])</f>
        <v>0</v>
      </c>
      <c r="AA225" s="264">
        <f>IF(NFI_Expiration=1,IF($A225&lt;VLOOKUP(J$5,NFI,5,0),1,0)*Table_NFI[[#This Row],[Sanitary Kit]],Table_NFI[Sanitary Kit])</f>
        <v>0</v>
      </c>
      <c r="AB225" s="264">
        <f>IF(NFI_Expiration=1,IF($A225&lt;VLOOKUP(K$5,NFI,5,0),1,0)*Table_NFI[[#This Row],[Mosquito net]],Table_NFI[Mosquito net])</f>
        <v>0</v>
      </c>
      <c r="AC225" s="264">
        <f>IF(NFI_Expiration=1,IF($A225&lt;VLOOKUP(L$5,NFI,5,0),1,0)*Table_NFI[[#This Row],[Tarpaulin]],Table_NFI[[#This Row],[Tarpaulin]])</f>
        <v>0</v>
      </c>
      <c r="AD225" s="264">
        <f>IF(NFI_Expiration=1,IF($A225&lt;VLOOKUP(M$5,NFI,5,0),1,0)*Table_NFI[[#This Row],[Blanket]],Table_NFI[[#This Row],[Blanket]])</f>
        <v>0</v>
      </c>
      <c r="AE225" s="264">
        <f>IF(NFI_Expiration=1,IF($A225&lt;VLOOKUP(N$5,NFI,5,0),1,0)*Table_NFI[[#This Row],[Kitchen Set]],Table_NFI[Kitchen Set])</f>
        <v>0</v>
      </c>
      <c r="AF225" s="264">
        <f>IF(NFI_Expiration=1,IF($A225&lt;VLOOKUP(O$5,NFI,5,0),1,0)*Table_NFI[[#This Row],[Clothes Kit]],Table_NFI[Clothes Kit])</f>
        <v>0</v>
      </c>
      <c r="AG225" s="264">
        <f>IF(NFI_Expiration=1,IF($A225&lt;VLOOKUP(P$5,NFI,5,0),1,0)*Table_NFI[[#This Row],[Plastic Bucket]],Table_NFI[Plastic Bucket])</f>
        <v>0</v>
      </c>
      <c r="AH225" s="264">
        <f>IF(NFI_Expiration=1,IF($A225&lt;VLOOKUP(Q$5,NFI,5,0),1,0)*Table_NFI[[#This Row],[Plastic Mat]],Table_NFI[Plastic Mat])*IF(Table_NFI[[#This Row],[Distribution Date]]&gt;"2014-04-01",1,2.5)</f>
        <v>0</v>
      </c>
      <c r="AI225" s="264">
        <f>IF(NFI_Expiration=1,IF($A225&lt;VLOOKUP(R$5,NFI,5,0),1,0)*Table_NFI[[#This Row],[Winter Clothes Adult]],Table_NFI[Winter Clothes Adult])</f>
        <v>0</v>
      </c>
      <c r="AJ225" s="264">
        <f>IF(NFI_Expiration=1,IF($A225&lt;VLOOKUP(S$5,NFI,5,0),1,0)*Table_NFI[[#This Row],[Winter Clothes Children]],Table_NFI[Winter Clothes Children])</f>
        <v>0</v>
      </c>
      <c r="AK225" s="264">
        <f>IF(NFI_Expiration=1,IF($A225&lt;VLOOKUP(T$5,NFI,5,0),1,0)*Table_NFI[[#This Row],[Winter Items Other]],Table_NFI[Winter Items Other])</f>
        <v>0</v>
      </c>
      <c r="AL225" s="264">
        <f>IF(NFI_Expiration=1,IF($A225&lt;VLOOKUP(M$5,NFI,5,0),1,0)*Table_NFI[[#This Row],[Winter Blanket]],Table_NFI[[#This Row],[Winter Blanket]])</f>
        <v>0</v>
      </c>
      <c r="AM225" s="264">
        <f>IF(Table_NFI[[#This Row],[Winter Clothes Adult]]+Table_NFI[[#This Row],[Winter Clothes Children]]+Table_NFI[[#This Row],[Winter Items Other]]+Table_NFI[[#This Row],[Winter Blanket]]&gt;0,1,0)</f>
        <v>0</v>
      </c>
      <c r="AN225" s="296">
        <f>IF(NFI_Expiration=1,IF($A225&lt;VLOOKUP(V$5,NFI,5,0),1,0)*Table_NFI[[#This Row],[Jerry Can]],Table_NFI[Jerry Can])</f>
        <v>0</v>
      </c>
      <c r="AO225" s="296">
        <f>IF(NFI_Expiration=1,IF($A225&lt;VLOOKUP(V$5,NFI,5,0),1,0)*Table_NFI[[#This Row],[Shelter Tool kit]],Table_NFI[Shelter Tool kit])</f>
        <v>0</v>
      </c>
      <c r="AP225" s="296">
        <f>IF(NFI_Expiration=1,IF($A225&lt;VLOOKUP(V$5,NFI,5,0),1,0)*Table_NFI[[#This Row],[Tent]],Table_NFI[Tent])</f>
        <v>0</v>
      </c>
      <c r="AQ225" s="396" t="str">
        <f>IFERROR(VLOOKUP(Table_NFI[[#This Row],[Camp Name]],CL,2,0),"")</f>
        <v/>
      </c>
      <c r="AR225" s="702" t="str">
        <f ca="1">IF(Table_NFI[[#This Row],[Pcode]]="","",IF(OFFSET(CampList[Opening Date],MATCH(Table_NFI[[#This Row],[Pcode]],CampList[CP_Pcode],0)-1,0,1,1)&gt;=NFI_Monitor_Date,1,0))</f>
        <v/>
      </c>
      <c r="AS225" s="559" t="str">
        <f>IFERROR(VLOOKUP(Table_NFI[[#This Row],[Camp Name]],CL,3,0),"")</f>
        <v/>
      </c>
      <c r="AT225" s="264" t="str">
        <f ca="1">IF(Table_NFI[[#This Row],[Pcode]]="","",OFFSET(CampList[Priority],MATCH(Table_NFI[[#This Row],[Pcode]],CampList[CP_Pcode],0)-1,0,1,1))</f>
        <v/>
      </c>
      <c r="AU225" s="263" t="str">
        <f>IFERROR(Table_NFI[[#This Row],[Kitchen Set]]/VLOOKUP(Table_NFI[[#This Row],[Camp Name]],CL,4,0),"")</f>
        <v/>
      </c>
      <c r="AV225" s="390" t="s">
        <v>1087</v>
      </c>
      <c r="AW225" s="392"/>
      <c r="AX225" s="399"/>
      <c r="AY225" s="399"/>
      <c r="AZ225" s="399"/>
      <c r="BA225" s="399"/>
      <c r="BB225" s="399"/>
      <c r="BC225" s="399"/>
      <c r="BD225" s="399"/>
      <c r="BE225" s="399"/>
      <c r="BF225" s="399"/>
      <c r="BG225" s="399"/>
      <c r="BH225" s="399"/>
      <c r="BI225" s="399"/>
      <c r="BJ225" s="399"/>
      <c r="BK225" s="399"/>
      <c r="BL225" s="399"/>
      <c r="BM225" s="399"/>
      <c r="BN225" s="399"/>
      <c r="BO225" s="399"/>
      <c r="BP225" s="399"/>
      <c r="BQ225" s="399"/>
      <c r="BR225" s="399"/>
      <c r="BS225" s="399"/>
      <c r="BT225" s="399"/>
      <c r="BU225" s="399"/>
      <c r="BV225" s="399"/>
      <c r="BW225" s="399"/>
      <c r="BX225" s="399"/>
      <c r="BY225" s="399"/>
      <c r="BZ225" s="399"/>
      <c r="CA225" s="399"/>
      <c r="CB225" s="399"/>
      <c r="CC225" s="399"/>
      <c r="CD225" s="399"/>
      <c r="CE225" s="399"/>
      <c r="CF225" s="399"/>
      <c r="CG225" s="399"/>
      <c r="CH225" s="399"/>
      <c r="CI225" s="399"/>
      <c r="CJ225" s="399"/>
      <c r="CK225" s="399"/>
      <c r="CL225" s="399"/>
      <c r="CM225" s="399"/>
      <c r="CN225" s="399"/>
      <c r="CO225" s="399"/>
      <c r="CP225" s="399"/>
      <c r="CQ225" s="399"/>
      <c r="CR225" s="399"/>
      <c r="CS225" s="399"/>
      <c r="CT225" s="399"/>
      <c r="CU225" s="399"/>
      <c r="CV225" s="399"/>
      <c r="CW225" s="399"/>
      <c r="CX225" s="399"/>
      <c r="CY225" s="399"/>
      <c r="CZ225" s="399"/>
      <c r="DA225" s="399"/>
      <c r="DB225" s="399"/>
      <c r="DC225" s="399"/>
      <c r="DD225" s="399"/>
      <c r="DE225" s="399"/>
      <c r="DF225" s="399"/>
      <c r="DG225" s="399"/>
      <c r="DH225" s="399"/>
      <c r="DI225" s="399"/>
      <c r="DJ225" s="399"/>
      <c r="DK225" s="399"/>
      <c r="DL225" s="399"/>
      <c r="DM225" s="399"/>
      <c r="DN225" s="399"/>
      <c r="DO225" s="399"/>
      <c r="DP225" s="399"/>
      <c r="DQ225" s="399"/>
    </row>
    <row r="226" spans="1:121" s="759" customFormat="1" ht="14.45" customHeight="1" x14ac:dyDescent="0.25">
      <c r="A226" s="266">
        <f t="shared" si="3"/>
        <v>25.3</v>
      </c>
      <c r="B226" s="389">
        <v>42097</v>
      </c>
      <c r="C226" s="390" t="s">
        <v>451</v>
      </c>
      <c r="D226" s="390" t="s">
        <v>504</v>
      </c>
      <c r="E226" s="390" t="s">
        <v>380</v>
      </c>
      <c r="F226" s="390" t="s">
        <v>185</v>
      </c>
      <c r="G226" s="390" t="s">
        <v>207</v>
      </c>
      <c r="H226" s="261"/>
      <c r="I226" s="261"/>
      <c r="J226" s="261"/>
      <c r="K226" s="261"/>
      <c r="L226" s="261"/>
      <c r="M226" s="261"/>
      <c r="N226" s="261"/>
      <c r="O226" s="261"/>
      <c r="P226" s="261"/>
      <c r="Q226" s="261"/>
      <c r="R226" s="261"/>
      <c r="S226" s="261"/>
      <c r="T226" s="261"/>
      <c r="U226" s="261"/>
      <c r="V226" s="762"/>
      <c r="W226" s="261"/>
      <c r="X226" s="261"/>
      <c r="Y226" s="264">
        <f>IF(NFI_Expiration=1,IF($A226&lt;VLOOKUP(H$5,NFI,5,0),1,0)*Table_NFI[[#This Row],[Hygiene Kit]],Table_NFI[Hygiene Kit])</f>
        <v>0</v>
      </c>
      <c r="Z226" s="264">
        <f>IF(NFI_Expiration=1,IF($A226&lt;VLOOKUP(I$5,NFI,5,0),1,0)*Table_NFI[[#This Row],[NFI Core Kit]],Table_NFI[NFI Core Kit])</f>
        <v>0</v>
      </c>
      <c r="AA226" s="264">
        <f>IF(NFI_Expiration=1,IF($A226&lt;VLOOKUP(J$5,NFI,5,0),1,0)*Table_NFI[[#This Row],[Sanitary Kit]],Table_NFI[Sanitary Kit])</f>
        <v>0</v>
      </c>
      <c r="AB226" s="264">
        <f>IF(NFI_Expiration=1,IF($A226&lt;VLOOKUP(K$5,NFI,5,0),1,0)*Table_NFI[[#This Row],[Mosquito net]],Table_NFI[Mosquito net])</f>
        <v>0</v>
      </c>
      <c r="AC226" s="264">
        <f>IF(NFI_Expiration=1,IF($A226&lt;VLOOKUP(L$5,NFI,5,0),1,0)*Table_NFI[[#This Row],[Tarpaulin]],Table_NFI[[#This Row],[Tarpaulin]])</f>
        <v>0</v>
      </c>
      <c r="AD226" s="264">
        <f>IF(NFI_Expiration=1,IF($A226&lt;VLOOKUP(M$5,NFI,5,0),1,0)*Table_NFI[[#This Row],[Blanket]],Table_NFI[[#This Row],[Blanket]])</f>
        <v>0</v>
      </c>
      <c r="AE226" s="264">
        <f>IF(NFI_Expiration=1,IF($A226&lt;VLOOKUP(N$5,NFI,5,0),1,0)*Table_NFI[[#This Row],[Kitchen Set]],Table_NFI[Kitchen Set])</f>
        <v>0</v>
      </c>
      <c r="AF226" s="264">
        <f>IF(NFI_Expiration=1,IF($A226&lt;VLOOKUP(O$5,NFI,5,0),1,0)*Table_NFI[[#This Row],[Clothes Kit]],Table_NFI[Clothes Kit])</f>
        <v>0</v>
      </c>
      <c r="AG226" s="264">
        <f>IF(NFI_Expiration=1,IF($A226&lt;VLOOKUP(P$5,NFI,5,0),1,0)*Table_NFI[[#This Row],[Plastic Bucket]],Table_NFI[Plastic Bucket])</f>
        <v>0</v>
      </c>
      <c r="AH226" s="264">
        <f>IF(NFI_Expiration=1,IF($A226&lt;VLOOKUP(Q$5,NFI,5,0),1,0)*Table_NFI[[#This Row],[Plastic Mat]],Table_NFI[Plastic Mat])*IF(Table_NFI[[#This Row],[Distribution Date]]&gt;"2014-04-01",1,2.5)</f>
        <v>0</v>
      </c>
      <c r="AI226" s="264">
        <f>IF(NFI_Expiration=1,IF($A226&lt;VLOOKUP(R$5,NFI,5,0),1,0)*Table_NFI[[#This Row],[Winter Clothes Adult]],Table_NFI[Winter Clothes Adult])</f>
        <v>0</v>
      </c>
      <c r="AJ226" s="264">
        <f>IF(NFI_Expiration=1,IF($A226&lt;VLOOKUP(S$5,NFI,5,0),1,0)*Table_NFI[[#This Row],[Winter Clothes Children]],Table_NFI[Winter Clothes Children])</f>
        <v>0</v>
      </c>
      <c r="AK226" s="264">
        <f>IF(NFI_Expiration=1,IF($A226&lt;VLOOKUP(T$5,NFI,5,0),1,0)*Table_NFI[[#This Row],[Winter Items Other]],Table_NFI[Winter Items Other])</f>
        <v>0</v>
      </c>
      <c r="AL226" s="264">
        <f>IF(NFI_Expiration=1,IF($A226&lt;VLOOKUP(M$5,NFI,5,0),1,0)*Table_NFI[[#This Row],[Winter Blanket]],Table_NFI[[#This Row],[Winter Blanket]])</f>
        <v>0</v>
      </c>
      <c r="AM226" s="264">
        <f>IF(Table_NFI[[#This Row],[Winter Clothes Adult]]+Table_NFI[[#This Row],[Winter Clothes Children]]+Table_NFI[[#This Row],[Winter Items Other]]+Table_NFI[[#This Row],[Winter Blanket]]&gt;0,1,0)</f>
        <v>0</v>
      </c>
      <c r="AN226" s="296">
        <f>IF(NFI_Expiration=1,IF($A226&lt;VLOOKUP(V$5,NFI,5,0),1,0)*Table_NFI[[#This Row],[Jerry Can]],Table_NFI[Jerry Can])</f>
        <v>0</v>
      </c>
      <c r="AO226" s="296">
        <f>IF(NFI_Expiration=1,IF($A226&lt;VLOOKUP(V$5,NFI,5,0),1,0)*Table_NFI[[#This Row],[Shelter Tool kit]],Table_NFI[Shelter Tool kit])</f>
        <v>0</v>
      </c>
      <c r="AP226" s="296">
        <f>IF(NFI_Expiration=1,IF($A226&lt;VLOOKUP(V$5,NFI,5,0),1,0)*Table_NFI[[#This Row],[Tent]],Table_NFI[Tent])</f>
        <v>0</v>
      </c>
      <c r="AQ226" s="396" t="str">
        <f>IFERROR(VLOOKUP(Table_NFI[[#This Row],[Camp Name]],CL,2,0),"")</f>
        <v>MMR001CMP058</v>
      </c>
      <c r="AR226" s="702">
        <f ca="1">IF(Table_NFI[[#This Row],[Pcode]]="","",IF(OFFSET(CampList[Opening Date],MATCH(Table_NFI[[#This Row],[Pcode]],CampList[CP_Pcode],0)-1,0,1,1)&gt;=NFI_Monitor_Date,1,0))</f>
        <v>0</v>
      </c>
      <c r="AS226" s="396" t="str">
        <f>IFERROR(VLOOKUP(Table_NFI[[#This Row],[Camp Name]],CL,3,0),"")</f>
        <v>Closed</v>
      </c>
      <c r="AT226" s="264" t="str">
        <f ca="1">IF(Table_NFI[[#This Row],[Pcode]]="","",OFFSET(CampList[Priority],MATCH(Table_NFI[[#This Row],[Pcode]],CampList[CP_Pcode],0)-1,0,1,1))</f>
        <v>P4</v>
      </c>
      <c r="AU226" s="263">
        <f>IFERROR(Table_NFI[[#This Row],[Kitchen Set]]/VLOOKUP(Table_NFI[[#This Row],[Camp Name]],CL,4,0),"")</f>
        <v>0</v>
      </c>
      <c r="AV226" s="390" t="s">
        <v>1087</v>
      </c>
      <c r="AW226" s="392"/>
      <c r="AX226" s="402"/>
      <c r="AY226" s="402"/>
      <c r="AZ226" s="402"/>
      <c r="BA226" s="402"/>
      <c r="BB226" s="402"/>
      <c r="BC226" s="402"/>
      <c r="BD226" s="402"/>
      <c r="BE226" s="402"/>
      <c r="BF226" s="402"/>
      <c r="BG226" s="402"/>
      <c r="BH226" s="402"/>
      <c r="BI226" s="402"/>
      <c r="BJ226" s="402"/>
      <c r="BK226" s="402"/>
      <c r="BL226" s="402"/>
      <c r="BM226" s="402"/>
      <c r="BN226" s="402"/>
      <c r="BO226" s="402"/>
      <c r="BP226" s="402"/>
      <c r="BQ226" s="402"/>
      <c r="BR226" s="402"/>
      <c r="BS226" s="402"/>
      <c r="BT226" s="402"/>
      <c r="BU226" s="402"/>
      <c r="BV226" s="402"/>
      <c r="BW226" s="402"/>
      <c r="BX226" s="402"/>
      <c r="BY226" s="402"/>
      <c r="BZ226" s="402"/>
      <c r="CA226" s="402"/>
      <c r="CB226" s="402"/>
      <c r="CC226" s="402"/>
      <c r="CD226" s="402"/>
      <c r="CE226" s="402"/>
      <c r="CF226" s="402"/>
      <c r="CG226" s="402"/>
      <c r="CH226" s="402"/>
      <c r="CI226" s="402"/>
      <c r="CJ226" s="402"/>
      <c r="CK226" s="402"/>
      <c r="CL226" s="402"/>
      <c r="CM226" s="402"/>
      <c r="CN226" s="402"/>
      <c r="CO226" s="402"/>
      <c r="CP226" s="402"/>
      <c r="CQ226" s="402"/>
      <c r="CR226" s="402"/>
      <c r="CS226" s="402"/>
      <c r="CT226" s="402"/>
      <c r="CU226" s="402"/>
      <c r="CV226" s="402"/>
      <c r="CW226" s="402"/>
      <c r="CX226" s="402"/>
      <c r="CY226" s="402"/>
      <c r="CZ226" s="402"/>
      <c r="DA226" s="402"/>
      <c r="DB226" s="402"/>
      <c r="DC226" s="402"/>
      <c r="DD226" s="402"/>
      <c r="DE226" s="402"/>
      <c r="DF226" s="402"/>
      <c r="DG226" s="402"/>
      <c r="DH226" s="402"/>
      <c r="DI226" s="402"/>
      <c r="DJ226" s="402"/>
      <c r="DK226" s="402"/>
      <c r="DL226" s="402"/>
      <c r="DM226" s="402"/>
      <c r="DN226" s="402"/>
      <c r="DO226" s="402"/>
      <c r="DP226" s="402"/>
      <c r="DQ226" s="402"/>
    </row>
    <row r="227" spans="1:121" s="760" customFormat="1" ht="14.45" customHeight="1" x14ac:dyDescent="0.25">
      <c r="A227" s="266">
        <f t="shared" si="3"/>
        <v>25.3</v>
      </c>
      <c r="B227" s="389">
        <v>42097</v>
      </c>
      <c r="C227" s="390" t="s">
        <v>451</v>
      </c>
      <c r="D227" s="390" t="s">
        <v>504</v>
      </c>
      <c r="E227" s="390" t="s">
        <v>380</v>
      </c>
      <c r="F227" s="390" t="s">
        <v>185</v>
      </c>
      <c r="G227" s="390" t="s">
        <v>217</v>
      </c>
      <c r="H227" s="261"/>
      <c r="I227" s="261"/>
      <c r="J227" s="261"/>
      <c r="K227" s="261">
        <v>105</v>
      </c>
      <c r="L227" s="261">
        <v>26</v>
      </c>
      <c r="M227" s="261">
        <v>308</v>
      </c>
      <c r="N227" s="261">
        <v>29</v>
      </c>
      <c r="O227" s="261"/>
      <c r="P227" s="261"/>
      <c r="Q227" s="261">
        <v>69</v>
      </c>
      <c r="R227" s="261"/>
      <c r="S227" s="261"/>
      <c r="T227" s="261"/>
      <c r="U227" s="261"/>
      <c r="V227" s="762"/>
      <c r="W227" s="261"/>
      <c r="X227" s="261"/>
      <c r="Y227" s="264">
        <f>IF(NFI_Expiration=1,IF($A227&lt;VLOOKUP(H$5,NFI,5,0),1,0)*Table_NFI[[#This Row],[Hygiene Kit]],Table_NFI[Hygiene Kit])</f>
        <v>0</v>
      </c>
      <c r="Z227" s="264">
        <f>IF(NFI_Expiration=1,IF($A227&lt;VLOOKUP(I$5,NFI,5,0),1,0)*Table_NFI[[#This Row],[NFI Core Kit]],Table_NFI[NFI Core Kit])</f>
        <v>0</v>
      </c>
      <c r="AA227" s="264">
        <f>IF(NFI_Expiration=1,IF($A227&lt;VLOOKUP(J$5,NFI,5,0),1,0)*Table_NFI[[#This Row],[Sanitary Kit]],Table_NFI[Sanitary Kit])</f>
        <v>0</v>
      </c>
      <c r="AB227" s="264">
        <f>IF(NFI_Expiration=1,IF($A227&lt;VLOOKUP(K$5,NFI,5,0),1,0)*Table_NFI[[#This Row],[Mosquito net]],Table_NFI[Mosquito net])</f>
        <v>0</v>
      </c>
      <c r="AC227" s="264">
        <f>IF(NFI_Expiration=1,IF($A227&lt;VLOOKUP(L$5,NFI,5,0),1,0)*Table_NFI[[#This Row],[Tarpaulin]],Table_NFI[[#This Row],[Tarpaulin]])</f>
        <v>0</v>
      </c>
      <c r="AD227" s="264">
        <f>IF(NFI_Expiration=1,IF($A227&lt;VLOOKUP(M$5,NFI,5,0),1,0)*Table_NFI[[#This Row],[Blanket]],Table_NFI[[#This Row],[Blanket]])</f>
        <v>0</v>
      </c>
      <c r="AE227" s="264">
        <f>IF(NFI_Expiration=1,IF($A227&lt;VLOOKUP(N$5,NFI,5,0),1,0)*Table_NFI[[#This Row],[Kitchen Set]],Table_NFI[Kitchen Set])</f>
        <v>0</v>
      </c>
      <c r="AF227" s="264">
        <f>IF(NFI_Expiration=1,IF($A227&lt;VLOOKUP(O$5,NFI,5,0),1,0)*Table_NFI[[#This Row],[Clothes Kit]],Table_NFI[Clothes Kit])</f>
        <v>0</v>
      </c>
      <c r="AG227" s="264">
        <f>IF(NFI_Expiration=1,IF($A227&lt;VLOOKUP(P$5,NFI,5,0),1,0)*Table_NFI[[#This Row],[Plastic Bucket]],Table_NFI[Plastic Bucket])</f>
        <v>0</v>
      </c>
      <c r="AH227" s="264">
        <f>IF(NFI_Expiration=1,IF($A227&lt;VLOOKUP(Q$5,NFI,5,0),1,0)*Table_NFI[[#This Row],[Plastic Mat]],Table_NFI[Plastic Mat])*IF(Table_NFI[[#This Row],[Distribution Date]]&gt;"2014-04-01",1,2.5)</f>
        <v>0</v>
      </c>
      <c r="AI227" s="264">
        <f>IF(NFI_Expiration=1,IF($A227&lt;VLOOKUP(R$5,NFI,5,0),1,0)*Table_NFI[[#This Row],[Winter Clothes Adult]],Table_NFI[Winter Clothes Adult])</f>
        <v>0</v>
      </c>
      <c r="AJ227" s="264">
        <f>IF(NFI_Expiration=1,IF($A227&lt;VLOOKUP(S$5,NFI,5,0),1,0)*Table_NFI[[#This Row],[Winter Clothes Children]],Table_NFI[Winter Clothes Children])</f>
        <v>0</v>
      </c>
      <c r="AK227" s="264">
        <f>IF(NFI_Expiration=1,IF($A227&lt;VLOOKUP(T$5,NFI,5,0),1,0)*Table_NFI[[#This Row],[Winter Items Other]],Table_NFI[Winter Items Other])</f>
        <v>0</v>
      </c>
      <c r="AL227" s="264">
        <f>IF(NFI_Expiration=1,IF($A227&lt;VLOOKUP(M$5,NFI,5,0),1,0)*Table_NFI[[#This Row],[Winter Blanket]],Table_NFI[[#This Row],[Winter Blanket]])</f>
        <v>0</v>
      </c>
      <c r="AM227" s="264">
        <f>IF(Table_NFI[[#This Row],[Winter Clothes Adult]]+Table_NFI[[#This Row],[Winter Clothes Children]]+Table_NFI[[#This Row],[Winter Items Other]]+Table_NFI[[#This Row],[Winter Blanket]]&gt;0,1,0)</f>
        <v>0</v>
      </c>
      <c r="AN227" s="296">
        <f>IF(NFI_Expiration=1,IF($A227&lt;VLOOKUP(V$5,NFI,5,0),1,0)*Table_NFI[[#This Row],[Jerry Can]],Table_NFI[Jerry Can])</f>
        <v>0</v>
      </c>
      <c r="AO227" s="296">
        <f>IF(NFI_Expiration=1,IF($A227&lt;VLOOKUP(V$5,NFI,5,0),1,0)*Table_NFI[[#This Row],[Shelter Tool kit]],Table_NFI[Shelter Tool kit])</f>
        <v>0</v>
      </c>
      <c r="AP227" s="296">
        <f>IF(NFI_Expiration=1,IF($A227&lt;VLOOKUP(V$5,NFI,5,0),1,0)*Table_NFI[[#This Row],[Tent]],Table_NFI[Tent])</f>
        <v>0</v>
      </c>
      <c r="AQ227" s="396" t="str">
        <f>IFERROR(VLOOKUP(Table_NFI[[#This Row],[Camp Name]],CL,2,0),"")</f>
        <v>MMR001CMP059</v>
      </c>
      <c r="AR227" s="702">
        <f ca="1">IF(Table_NFI[[#This Row],[Pcode]]="","",IF(OFFSET(CampList[Opening Date],MATCH(Table_NFI[[#This Row],[Pcode]],CampList[CP_Pcode],0)-1,0,1,1)&gt;=NFI_Monitor_Date,1,0))</f>
        <v>0</v>
      </c>
      <c r="AS227" s="396" t="str">
        <f>IFERROR(VLOOKUP(Table_NFI[[#This Row],[Camp Name]],CL,3,0),"")</f>
        <v>Closed</v>
      </c>
      <c r="AT227" s="264" t="str">
        <f ca="1">IF(Table_NFI[[#This Row],[Pcode]]="","",OFFSET(CampList[Priority],MATCH(Table_NFI[[#This Row],[Pcode]],CampList[CP_Pcode],0)-1,0,1,1))</f>
        <v>P4</v>
      </c>
      <c r="AU227" s="263">
        <f>IFERROR(Table_NFI[[#This Row],[Kitchen Set]]/VLOOKUP(Table_NFI[[#This Row],[Camp Name]],CL,4,0),"")</f>
        <v>7.1048827694343043E-4</v>
      </c>
      <c r="AV227" s="390" t="s">
        <v>1087</v>
      </c>
      <c r="AW227" s="392"/>
      <c r="AX227" s="399"/>
      <c r="AY227" s="399"/>
      <c r="AZ227" s="399"/>
      <c r="BA227" s="399"/>
      <c r="BB227" s="399"/>
      <c r="BC227" s="399"/>
      <c r="BD227" s="399"/>
      <c r="BE227" s="399"/>
      <c r="BF227" s="399"/>
      <c r="BG227" s="399"/>
      <c r="BH227" s="399"/>
      <c r="BI227" s="399"/>
      <c r="BJ227" s="399"/>
      <c r="BK227" s="399"/>
      <c r="BL227" s="399"/>
      <c r="BM227" s="399"/>
      <c r="BN227" s="399"/>
      <c r="BO227" s="399"/>
      <c r="BP227" s="399"/>
      <c r="BQ227" s="399"/>
      <c r="BR227" s="399"/>
      <c r="BS227" s="399"/>
      <c r="BT227" s="399"/>
      <c r="BU227" s="399"/>
      <c r="BV227" s="399"/>
      <c r="BW227" s="399"/>
      <c r="BX227" s="399"/>
      <c r="BY227" s="399"/>
      <c r="BZ227" s="399"/>
      <c r="CA227" s="399"/>
      <c r="CB227" s="399"/>
      <c r="CC227" s="399"/>
      <c r="CD227" s="399"/>
      <c r="CE227" s="399"/>
      <c r="CF227" s="399"/>
      <c r="CG227" s="399"/>
      <c r="CH227" s="399"/>
      <c r="CI227" s="399"/>
      <c r="CJ227" s="399"/>
      <c r="CK227" s="399"/>
      <c r="CL227" s="399"/>
      <c r="CM227" s="399"/>
      <c r="CN227" s="399"/>
      <c r="CO227" s="399"/>
      <c r="CP227" s="399"/>
      <c r="CQ227" s="399"/>
      <c r="CR227" s="399"/>
      <c r="CS227" s="399"/>
      <c r="CT227" s="399"/>
      <c r="CU227" s="399"/>
      <c r="CV227" s="399"/>
      <c r="CW227" s="399"/>
      <c r="CX227" s="399"/>
      <c r="CY227" s="399"/>
      <c r="CZ227" s="399"/>
      <c r="DA227" s="399"/>
      <c r="DB227" s="399"/>
      <c r="DC227" s="399"/>
      <c r="DD227" s="399"/>
      <c r="DE227" s="399"/>
      <c r="DF227" s="399"/>
      <c r="DG227" s="399"/>
      <c r="DH227" s="399"/>
      <c r="DI227" s="399"/>
      <c r="DJ227" s="399"/>
      <c r="DK227" s="399"/>
      <c r="DL227" s="399"/>
      <c r="DM227" s="399"/>
      <c r="DN227" s="399"/>
      <c r="DO227" s="399"/>
      <c r="DP227" s="399"/>
      <c r="DQ227" s="399"/>
    </row>
    <row r="228" spans="1:121" s="760" customFormat="1" ht="14.45" customHeight="1" x14ac:dyDescent="0.25">
      <c r="A228" s="266">
        <f t="shared" si="3"/>
        <v>25.5</v>
      </c>
      <c r="B228" s="389">
        <v>42091</v>
      </c>
      <c r="C228" s="390" t="s">
        <v>451</v>
      </c>
      <c r="D228" s="390" t="s">
        <v>1084</v>
      </c>
      <c r="E228" s="390" t="s">
        <v>380</v>
      </c>
      <c r="F228" s="390" t="s">
        <v>151</v>
      </c>
      <c r="G228" s="390" t="s">
        <v>1032</v>
      </c>
      <c r="H228" s="261"/>
      <c r="I228" s="261"/>
      <c r="J228" s="261"/>
      <c r="K228" s="261"/>
      <c r="L228" s="261"/>
      <c r="M228" s="261">
        <v>704</v>
      </c>
      <c r="N228" s="261"/>
      <c r="O228" s="261"/>
      <c r="P228" s="261">
        <v>9</v>
      </c>
      <c r="Q228" s="261"/>
      <c r="R228" s="261"/>
      <c r="S228" s="261"/>
      <c r="T228" s="261"/>
      <c r="U228" s="261"/>
      <c r="V228" s="762"/>
      <c r="W228" s="261"/>
      <c r="X228" s="261"/>
      <c r="Y228" s="264">
        <f>IF(NFI_Expiration=1,IF($A228&lt;VLOOKUP(H$5,NFI,5,0),1,0)*Table_NFI[[#This Row],[Hygiene Kit]],Table_NFI[Hygiene Kit])</f>
        <v>0</v>
      </c>
      <c r="Z228" s="264">
        <f>IF(NFI_Expiration=1,IF($A228&lt;VLOOKUP(I$5,NFI,5,0),1,0)*Table_NFI[[#This Row],[NFI Core Kit]],Table_NFI[NFI Core Kit])</f>
        <v>0</v>
      </c>
      <c r="AA228" s="264">
        <f>IF(NFI_Expiration=1,IF($A228&lt;VLOOKUP(J$5,NFI,5,0),1,0)*Table_NFI[[#This Row],[Sanitary Kit]],Table_NFI[Sanitary Kit])</f>
        <v>0</v>
      </c>
      <c r="AB228" s="264">
        <f>IF(NFI_Expiration=1,IF($A228&lt;VLOOKUP(K$5,NFI,5,0),1,0)*Table_NFI[[#This Row],[Mosquito net]],Table_NFI[Mosquito net])</f>
        <v>0</v>
      </c>
      <c r="AC228" s="264">
        <f>IF(NFI_Expiration=1,IF($A228&lt;VLOOKUP(L$5,NFI,5,0),1,0)*Table_NFI[[#This Row],[Tarpaulin]],Table_NFI[[#This Row],[Tarpaulin]])</f>
        <v>0</v>
      </c>
      <c r="AD228" s="264">
        <f>IF(NFI_Expiration=1,IF($A228&lt;VLOOKUP(M$5,NFI,5,0),1,0)*Table_NFI[[#This Row],[Blanket]],Table_NFI[[#This Row],[Blanket]])</f>
        <v>0</v>
      </c>
      <c r="AE228" s="264">
        <f>IF(NFI_Expiration=1,IF($A228&lt;VLOOKUP(N$5,NFI,5,0),1,0)*Table_NFI[[#This Row],[Kitchen Set]],Table_NFI[Kitchen Set])</f>
        <v>0</v>
      </c>
      <c r="AF228" s="264">
        <f>IF(NFI_Expiration=1,IF($A228&lt;VLOOKUP(O$5,NFI,5,0),1,0)*Table_NFI[[#This Row],[Clothes Kit]],Table_NFI[Clothes Kit])</f>
        <v>0</v>
      </c>
      <c r="AG228" s="264">
        <f>IF(NFI_Expiration=1,IF($A228&lt;VLOOKUP(P$5,NFI,5,0),1,0)*Table_NFI[[#This Row],[Plastic Bucket]],Table_NFI[Plastic Bucket])</f>
        <v>0</v>
      </c>
      <c r="AH228" s="264">
        <f>IF(NFI_Expiration=1,IF($A228&lt;VLOOKUP(Q$5,NFI,5,0),1,0)*Table_NFI[[#This Row],[Plastic Mat]],Table_NFI[Plastic Mat])*IF(Table_NFI[[#This Row],[Distribution Date]]&gt;"2014-04-01",1,2.5)</f>
        <v>0</v>
      </c>
      <c r="AI228" s="264">
        <f>IF(NFI_Expiration=1,IF($A228&lt;VLOOKUP(R$5,NFI,5,0),1,0)*Table_NFI[[#This Row],[Winter Clothes Adult]],Table_NFI[Winter Clothes Adult])</f>
        <v>0</v>
      </c>
      <c r="AJ228" s="264">
        <f>IF(NFI_Expiration=1,IF($A228&lt;VLOOKUP(S$5,NFI,5,0),1,0)*Table_NFI[[#This Row],[Winter Clothes Children]],Table_NFI[Winter Clothes Children])</f>
        <v>0</v>
      </c>
      <c r="AK228" s="264">
        <f>IF(NFI_Expiration=1,IF($A228&lt;VLOOKUP(T$5,NFI,5,0),1,0)*Table_NFI[[#This Row],[Winter Items Other]],Table_NFI[Winter Items Other])</f>
        <v>0</v>
      </c>
      <c r="AL228" s="264">
        <f>IF(NFI_Expiration=1,IF($A228&lt;VLOOKUP(M$5,NFI,5,0),1,0)*Table_NFI[[#This Row],[Winter Blanket]],Table_NFI[[#This Row],[Winter Blanket]])</f>
        <v>0</v>
      </c>
      <c r="AM228" s="264">
        <f>IF(Table_NFI[[#This Row],[Winter Clothes Adult]]+Table_NFI[[#This Row],[Winter Clothes Children]]+Table_NFI[[#This Row],[Winter Items Other]]+Table_NFI[[#This Row],[Winter Blanket]]&gt;0,1,0)</f>
        <v>0</v>
      </c>
      <c r="AN228" s="296">
        <f>IF(NFI_Expiration=1,IF($A228&lt;VLOOKUP(V$5,NFI,5,0),1,0)*Table_NFI[[#This Row],[Jerry Can]],Table_NFI[Jerry Can])</f>
        <v>0</v>
      </c>
      <c r="AO228" s="296">
        <f>IF(NFI_Expiration=1,IF($A228&lt;VLOOKUP(V$5,NFI,5,0),1,0)*Table_NFI[[#This Row],[Shelter Tool kit]],Table_NFI[Shelter Tool kit])</f>
        <v>0</v>
      </c>
      <c r="AP228" s="296">
        <f>IF(NFI_Expiration=1,IF($A228&lt;VLOOKUP(V$5,NFI,5,0),1,0)*Table_NFI[[#This Row],[Tent]],Table_NFI[Tent])</f>
        <v>0</v>
      </c>
      <c r="AQ228" s="396" t="str">
        <f>IFERROR(VLOOKUP(Table_NFI[[#This Row],[Camp Name]],CL,2,0),"")</f>
        <v>MMR001CMP226</v>
      </c>
      <c r="AR228" s="702">
        <f ca="1">IF(Table_NFI[[#This Row],[Pcode]]="","",IF(OFFSET(CampList[Opening Date],MATCH(Table_NFI[[#This Row],[Pcode]],CampList[CP_Pcode],0)-1,0,1,1)&gt;=NFI_Monitor_Date,1,0))</f>
        <v>0</v>
      </c>
      <c r="AS228" s="559" t="str">
        <f>IFERROR(VLOOKUP(Table_NFI[[#This Row],[Camp Name]],CL,3,0),"")</f>
        <v>Closed</v>
      </c>
      <c r="AT228" s="264" t="str">
        <f ca="1">IF(Table_NFI[[#This Row],[Pcode]]="","",OFFSET(CampList[Priority],MATCH(Table_NFI[[#This Row],[Pcode]],CampList[CP_Pcode],0)-1,0,1,1))</f>
        <v>P2</v>
      </c>
      <c r="AU228" s="263">
        <f>IFERROR(Table_NFI[[#This Row],[Kitchen Set]]/VLOOKUP(Table_NFI[[#This Row],[Camp Name]],CL,4,0),"")</f>
        <v>0</v>
      </c>
      <c r="AV228" s="390" t="s">
        <v>1087</v>
      </c>
      <c r="AW228" s="392"/>
      <c r="AX228" s="399"/>
      <c r="AY228" s="399"/>
      <c r="AZ228" s="399"/>
      <c r="BA228" s="399"/>
      <c r="BB228" s="399"/>
      <c r="BC228" s="399"/>
      <c r="BD228" s="399"/>
      <c r="BE228" s="399"/>
      <c r="BF228" s="399"/>
      <c r="BG228" s="399"/>
      <c r="BH228" s="399"/>
      <c r="BI228" s="399"/>
      <c r="BJ228" s="399"/>
      <c r="BK228" s="399"/>
      <c r="BL228" s="399"/>
      <c r="BM228" s="399"/>
      <c r="BN228" s="399"/>
      <c r="BO228" s="399"/>
      <c r="BP228" s="399"/>
      <c r="BQ228" s="399"/>
      <c r="BR228" s="399"/>
      <c r="BS228" s="399"/>
      <c r="BT228" s="399"/>
      <c r="BU228" s="399"/>
      <c r="BV228" s="399"/>
      <c r="BW228" s="399"/>
      <c r="BX228" s="399"/>
      <c r="BY228" s="399"/>
      <c r="BZ228" s="399"/>
      <c r="CA228" s="399"/>
      <c r="CB228" s="399"/>
      <c r="CC228" s="399"/>
      <c r="CD228" s="399"/>
      <c r="CE228" s="399"/>
      <c r="CF228" s="399"/>
      <c r="CG228" s="399"/>
      <c r="CH228" s="399"/>
      <c r="CI228" s="399"/>
      <c r="CJ228" s="399"/>
      <c r="CK228" s="399"/>
      <c r="CL228" s="399"/>
      <c r="CM228" s="399"/>
      <c r="CN228" s="399"/>
      <c r="CO228" s="399"/>
      <c r="CP228" s="399"/>
      <c r="CQ228" s="399"/>
      <c r="CR228" s="399"/>
      <c r="CS228" s="399"/>
      <c r="CT228" s="399"/>
      <c r="CU228" s="399"/>
      <c r="CV228" s="399"/>
      <c r="CW228" s="399"/>
      <c r="CX228" s="399"/>
      <c r="CY228" s="399"/>
      <c r="CZ228" s="399"/>
      <c r="DA228" s="399"/>
      <c r="DB228" s="399"/>
      <c r="DC228" s="399"/>
      <c r="DD228" s="399"/>
      <c r="DE228" s="399"/>
      <c r="DF228" s="399"/>
      <c r="DG228" s="399"/>
      <c r="DH228" s="399"/>
      <c r="DI228" s="399"/>
      <c r="DJ228" s="399"/>
      <c r="DK228" s="399"/>
      <c r="DL228" s="399"/>
      <c r="DM228" s="399"/>
      <c r="DN228" s="399"/>
      <c r="DO228" s="399"/>
      <c r="DP228" s="399"/>
      <c r="DQ228" s="399"/>
    </row>
    <row r="229" spans="1:121" s="393" customFormat="1" ht="14.45" customHeight="1" x14ac:dyDescent="0.25">
      <c r="A229" s="266">
        <f t="shared" si="3"/>
        <v>25.533333333333335</v>
      </c>
      <c r="B229" s="389">
        <v>42090</v>
      </c>
      <c r="C229" s="390" t="s">
        <v>451</v>
      </c>
      <c r="D229" s="390" t="s">
        <v>1084</v>
      </c>
      <c r="E229" s="390" t="s">
        <v>380</v>
      </c>
      <c r="F229" s="390" t="s">
        <v>151</v>
      </c>
      <c r="G229" s="390" t="s">
        <v>198</v>
      </c>
      <c r="H229" s="261"/>
      <c r="I229" s="261"/>
      <c r="J229" s="261"/>
      <c r="K229" s="261"/>
      <c r="L229" s="261"/>
      <c r="M229" s="261">
        <v>357</v>
      </c>
      <c r="N229" s="261"/>
      <c r="O229" s="261"/>
      <c r="P229" s="261"/>
      <c r="Q229" s="261"/>
      <c r="R229" s="261"/>
      <c r="S229" s="261"/>
      <c r="T229" s="261"/>
      <c r="U229" s="261"/>
      <c r="V229" s="762"/>
      <c r="W229" s="261"/>
      <c r="X229" s="261"/>
      <c r="Y229" s="264">
        <f>IF(NFI_Expiration=1,IF($A229&lt;VLOOKUP(H$5,NFI,5,0),1,0)*Table_NFI[[#This Row],[Hygiene Kit]],Table_NFI[Hygiene Kit])</f>
        <v>0</v>
      </c>
      <c r="Z229" s="264">
        <f>IF(NFI_Expiration=1,IF($A229&lt;VLOOKUP(I$5,NFI,5,0),1,0)*Table_NFI[[#This Row],[NFI Core Kit]],Table_NFI[NFI Core Kit])</f>
        <v>0</v>
      </c>
      <c r="AA229" s="264">
        <f>IF(NFI_Expiration=1,IF($A229&lt;VLOOKUP(J$5,NFI,5,0),1,0)*Table_NFI[[#This Row],[Sanitary Kit]],Table_NFI[Sanitary Kit])</f>
        <v>0</v>
      </c>
      <c r="AB229" s="264">
        <f>IF(NFI_Expiration=1,IF($A229&lt;VLOOKUP(K$5,NFI,5,0),1,0)*Table_NFI[[#This Row],[Mosquito net]],Table_NFI[Mosquito net])</f>
        <v>0</v>
      </c>
      <c r="AC229" s="264">
        <f>IF(NFI_Expiration=1,IF($A229&lt;VLOOKUP(L$5,NFI,5,0),1,0)*Table_NFI[[#This Row],[Tarpaulin]],Table_NFI[[#This Row],[Tarpaulin]])</f>
        <v>0</v>
      </c>
      <c r="AD229" s="264">
        <f>IF(NFI_Expiration=1,IF($A229&lt;VLOOKUP(M$5,NFI,5,0),1,0)*Table_NFI[[#This Row],[Blanket]],Table_NFI[[#This Row],[Blanket]])</f>
        <v>0</v>
      </c>
      <c r="AE229" s="264">
        <f>IF(NFI_Expiration=1,IF($A229&lt;VLOOKUP(N$5,NFI,5,0),1,0)*Table_NFI[[#This Row],[Kitchen Set]],Table_NFI[Kitchen Set])</f>
        <v>0</v>
      </c>
      <c r="AF229" s="264">
        <f>IF(NFI_Expiration=1,IF($A229&lt;VLOOKUP(O$5,NFI,5,0),1,0)*Table_NFI[[#This Row],[Clothes Kit]],Table_NFI[Clothes Kit])</f>
        <v>0</v>
      </c>
      <c r="AG229" s="264">
        <f>IF(NFI_Expiration=1,IF($A229&lt;VLOOKUP(P$5,NFI,5,0),1,0)*Table_NFI[[#This Row],[Plastic Bucket]],Table_NFI[Plastic Bucket])</f>
        <v>0</v>
      </c>
      <c r="AH229" s="264">
        <f>IF(NFI_Expiration=1,IF($A229&lt;VLOOKUP(Q$5,NFI,5,0),1,0)*Table_NFI[[#This Row],[Plastic Mat]],Table_NFI[Plastic Mat])*IF(Table_NFI[[#This Row],[Distribution Date]]&gt;"2014-04-01",1,2.5)</f>
        <v>0</v>
      </c>
      <c r="AI229" s="264">
        <f>IF(NFI_Expiration=1,IF($A229&lt;VLOOKUP(R$5,NFI,5,0),1,0)*Table_NFI[[#This Row],[Winter Clothes Adult]],Table_NFI[Winter Clothes Adult])</f>
        <v>0</v>
      </c>
      <c r="AJ229" s="264">
        <f>IF(NFI_Expiration=1,IF($A229&lt;VLOOKUP(S$5,NFI,5,0),1,0)*Table_NFI[[#This Row],[Winter Clothes Children]],Table_NFI[Winter Clothes Children])</f>
        <v>0</v>
      </c>
      <c r="AK229" s="264">
        <f>IF(NFI_Expiration=1,IF($A229&lt;VLOOKUP(T$5,NFI,5,0),1,0)*Table_NFI[[#This Row],[Winter Items Other]],Table_NFI[Winter Items Other])</f>
        <v>0</v>
      </c>
      <c r="AL229" s="264">
        <f>IF(NFI_Expiration=1,IF($A229&lt;VLOOKUP(M$5,NFI,5,0),1,0)*Table_NFI[[#This Row],[Winter Blanket]],Table_NFI[[#This Row],[Winter Blanket]])</f>
        <v>0</v>
      </c>
      <c r="AM229" s="264">
        <f>IF(Table_NFI[[#This Row],[Winter Clothes Adult]]+Table_NFI[[#This Row],[Winter Clothes Children]]+Table_NFI[[#This Row],[Winter Items Other]]+Table_NFI[[#This Row],[Winter Blanket]]&gt;0,1,0)</f>
        <v>0</v>
      </c>
      <c r="AN229" s="296">
        <f>IF(NFI_Expiration=1,IF($A229&lt;VLOOKUP(V$5,NFI,5,0),1,0)*Table_NFI[[#This Row],[Jerry Can]],Table_NFI[Jerry Can])</f>
        <v>0</v>
      </c>
      <c r="AO229" s="296">
        <f>IF(NFI_Expiration=1,IF($A229&lt;VLOOKUP(V$5,NFI,5,0),1,0)*Table_NFI[[#This Row],[Shelter Tool kit]],Table_NFI[Shelter Tool kit])</f>
        <v>0</v>
      </c>
      <c r="AP229" s="296">
        <f>IF(NFI_Expiration=1,IF($A229&lt;VLOOKUP(V$5,NFI,5,0),1,0)*Table_NFI[[#This Row],[Tent]],Table_NFI[Tent])</f>
        <v>0</v>
      </c>
      <c r="AQ229" s="396" t="str">
        <f>IFERROR(VLOOKUP(Table_NFI[[#This Row],[Camp Name]],CL,2,0),"")</f>
        <v>MMR001CMP128</v>
      </c>
      <c r="AR229" s="702">
        <f ca="1">IF(Table_NFI[[#This Row],[Pcode]]="","",IF(OFFSET(CampList[Opening Date],MATCH(Table_NFI[[#This Row],[Pcode]],CampList[CP_Pcode],0)-1,0,1,1)&gt;=NFI_Monitor_Date,1,0))</f>
        <v>0</v>
      </c>
      <c r="AS229" s="396" t="str">
        <f>IFERROR(VLOOKUP(Table_NFI[[#This Row],[Camp Name]],CL,3,0),"")</f>
        <v>Open</v>
      </c>
      <c r="AT229" s="264" t="str">
        <f ca="1">IF(Table_NFI[[#This Row],[Pcode]]="","",OFFSET(CampList[Priority],MATCH(Table_NFI[[#This Row],[Pcode]],CampList[CP_Pcode],0)-1,0,1,1))</f>
        <v>P2</v>
      </c>
      <c r="AU229" s="263">
        <f>IFERROR(Table_NFI[[#This Row],[Kitchen Set]]/VLOOKUP(Table_NFI[[#This Row],[Camp Name]],CL,4,0),"")</f>
        <v>0</v>
      </c>
      <c r="AV229" s="390" t="s">
        <v>1087</v>
      </c>
      <c r="AW229" s="392"/>
      <c r="AX229" s="399"/>
      <c r="AY229" s="399"/>
      <c r="AZ229" s="399"/>
      <c r="BA229" s="399"/>
      <c r="BB229" s="399"/>
      <c r="BC229" s="399"/>
      <c r="BD229" s="399"/>
      <c r="BE229" s="399"/>
      <c r="BF229" s="399"/>
      <c r="BG229" s="399"/>
      <c r="BH229" s="399"/>
      <c r="BI229" s="399"/>
      <c r="BJ229" s="399"/>
      <c r="BK229" s="399"/>
      <c r="BL229" s="399"/>
      <c r="BM229" s="399"/>
      <c r="BN229" s="399"/>
      <c r="BO229" s="399"/>
      <c r="BP229" s="399"/>
      <c r="BQ229" s="399"/>
      <c r="BR229" s="399"/>
      <c r="BS229" s="399"/>
      <c r="BT229" s="399"/>
      <c r="BU229" s="399"/>
      <c r="BV229" s="399"/>
      <c r="BW229" s="399"/>
      <c r="BX229" s="399"/>
      <c r="BY229" s="399"/>
      <c r="BZ229" s="399"/>
      <c r="CA229" s="399"/>
      <c r="CB229" s="399"/>
      <c r="CC229" s="399"/>
      <c r="CD229" s="399"/>
      <c r="CE229" s="399"/>
      <c r="CF229" s="399"/>
      <c r="CG229" s="399"/>
      <c r="CH229" s="399"/>
      <c r="CI229" s="399"/>
      <c r="CJ229" s="399"/>
      <c r="CK229" s="399"/>
      <c r="CL229" s="399"/>
      <c r="CM229" s="399"/>
      <c r="CN229" s="399"/>
      <c r="CO229" s="399"/>
      <c r="CP229" s="399"/>
      <c r="CQ229" s="399"/>
      <c r="CR229" s="399"/>
      <c r="CS229" s="399"/>
      <c r="CT229" s="399"/>
      <c r="CU229" s="399"/>
      <c r="CV229" s="399"/>
      <c r="CW229" s="399"/>
      <c r="CX229" s="399"/>
      <c r="CY229" s="399"/>
      <c r="CZ229" s="399"/>
      <c r="DA229" s="399"/>
      <c r="DB229" s="399"/>
      <c r="DC229" s="399"/>
      <c r="DD229" s="399"/>
      <c r="DE229" s="399"/>
      <c r="DF229" s="399"/>
      <c r="DG229" s="399"/>
      <c r="DH229" s="399"/>
      <c r="DI229" s="399"/>
      <c r="DJ229" s="399"/>
      <c r="DK229" s="399"/>
      <c r="DL229" s="399"/>
      <c r="DM229" s="399"/>
      <c r="DN229" s="399"/>
      <c r="DO229" s="399"/>
      <c r="DP229" s="399"/>
      <c r="DQ229" s="399"/>
    </row>
    <row r="230" spans="1:121" s="760" customFormat="1" ht="14.45" customHeight="1" x14ac:dyDescent="0.25">
      <c r="A230" s="266">
        <f t="shared" si="3"/>
        <v>25.6</v>
      </c>
      <c r="B230" s="389">
        <v>42088</v>
      </c>
      <c r="C230" s="390" t="s">
        <v>451</v>
      </c>
      <c r="D230" s="390" t="s">
        <v>1084</v>
      </c>
      <c r="E230" s="390" t="s">
        <v>380</v>
      </c>
      <c r="F230" s="390" t="s">
        <v>151</v>
      </c>
      <c r="G230" s="390" t="s">
        <v>188</v>
      </c>
      <c r="H230" s="261"/>
      <c r="I230" s="261"/>
      <c r="J230" s="261"/>
      <c r="K230" s="261"/>
      <c r="L230" s="261"/>
      <c r="M230" s="261">
        <v>829</v>
      </c>
      <c r="N230" s="261"/>
      <c r="O230" s="261"/>
      <c r="P230" s="261"/>
      <c r="Q230" s="261"/>
      <c r="R230" s="261"/>
      <c r="S230" s="261"/>
      <c r="T230" s="261"/>
      <c r="U230" s="261"/>
      <c r="V230" s="762"/>
      <c r="W230" s="261"/>
      <c r="X230" s="261"/>
      <c r="Y230" s="264">
        <f>IF(NFI_Expiration=1,IF($A230&lt;VLOOKUP(H$5,NFI,5,0),1,0)*Table_NFI[[#This Row],[Hygiene Kit]],Table_NFI[Hygiene Kit])</f>
        <v>0</v>
      </c>
      <c r="Z230" s="264">
        <f>IF(NFI_Expiration=1,IF($A230&lt;VLOOKUP(I$5,NFI,5,0),1,0)*Table_NFI[[#This Row],[NFI Core Kit]],Table_NFI[NFI Core Kit])</f>
        <v>0</v>
      </c>
      <c r="AA230" s="264">
        <f>IF(NFI_Expiration=1,IF($A230&lt;VLOOKUP(J$5,NFI,5,0),1,0)*Table_NFI[[#This Row],[Sanitary Kit]],Table_NFI[Sanitary Kit])</f>
        <v>0</v>
      </c>
      <c r="AB230" s="264">
        <f>IF(NFI_Expiration=1,IF($A230&lt;VLOOKUP(K$5,NFI,5,0),1,0)*Table_NFI[[#This Row],[Mosquito net]],Table_NFI[Mosquito net])</f>
        <v>0</v>
      </c>
      <c r="AC230" s="264">
        <f>IF(NFI_Expiration=1,IF($A230&lt;VLOOKUP(L$5,NFI,5,0),1,0)*Table_NFI[[#This Row],[Tarpaulin]],Table_NFI[[#This Row],[Tarpaulin]])</f>
        <v>0</v>
      </c>
      <c r="AD230" s="264">
        <f>IF(NFI_Expiration=1,IF($A230&lt;VLOOKUP(M$5,NFI,5,0),1,0)*Table_NFI[[#This Row],[Blanket]],Table_NFI[[#This Row],[Blanket]])</f>
        <v>0</v>
      </c>
      <c r="AE230" s="264">
        <f>IF(NFI_Expiration=1,IF($A230&lt;VLOOKUP(N$5,NFI,5,0),1,0)*Table_NFI[[#This Row],[Kitchen Set]],Table_NFI[Kitchen Set])</f>
        <v>0</v>
      </c>
      <c r="AF230" s="264">
        <f>IF(NFI_Expiration=1,IF($A230&lt;VLOOKUP(O$5,NFI,5,0),1,0)*Table_NFI[[#This Row],[Clothes Kit]],Table_NFI[Clothes Kit])</f>
        <v>0</v>
      </c>
      <c r="AG230" s="264">
        <f>IF(NFI_Expiration=1,IF($A230&lt;VLOOKUP(P$5,NFI,5,0),1,0)*Table_NFI[[#This Row],[Plastic Bucket]],Table_NFI[Plastic Bucket])</f>
        <v>0</v>
      </c>
      <c r="AH230" s="264">
        <f>IF(NFI_Expiration=1,IF($A230&lt;VLOOKUP(Q$5,NFI,5,0),1,0)*Table_NFI[[#This Row],[Plastic Mat]],Table_NFI[Plastic Mat])*IF(Table_NFI[[#This Row],[Distribution Date]]&gt;"2014-04-01",1,2.5)</f>
        <v>0</v>
      </c>
      <c r="AI230" s="264">
        <f>IF(NFI_Expiration=1,IF($A230&lt;VLOOKUP(R$5,NFI,5,0),1,0)*Table_NFI[[#This Row],[Winter Clothes Adult]],Table_NFI[Winter Clothes Adult])</f>
        <v>0</v>
      </c>
      <c r="AJ230" s="264">
        <f>IF(NFI_Expiration=1,IF($A230&lt;VLOOKUP(S$5,NFI,5,0),1,0)*Table_NFI[[#This Row],[Winter Clothes Children]],Table_NFI[Winter Clothes Children])</f>
        <v>0</v>
      </c>
      <c r="AK230" s="264">
        <f>IF(NFI_Expiration=1,IF($A230&lt;VLOOKUP(T$5,NFI,5,0),1,0)*Table_NFI[[#This Row],[Winter Items Other]],Table_NFI[Winter Items Other])</f>
        <v>0</v>
      </c>
      <c r="AL230" s="264">
        <f>IF(NFI_Expiration=1,IF($A230&lt;VLOOKUP(M$5,NFI,5,0),1,0)*Table_NFI[[#This Row],[Winter Blanket]],Table_NFI[[#This Row],[Winter Blanket]])</f>
        <v>0</v>
      </c>
      <c r="AM230" s="264">
        <f>IF(Table_NFI[[#This Row],[Winter Clothes Adult]]+Table_NFI[[#This Row],[Winter Clothes Children]]+Table_NFI[[#This Row],[Winter Items Other]]+Table_NFI[[#This Row],[Winter Blanket]]&gt;0,1,0)</f>
        <v>0</v>
      </c>
      <c r="AN230" s="296">
        <f>IF(NFI_Expiration=1,IF($A230&lt;VLOOKUP(V$5,NFI,5,0),1,0)*Table_NFI[[#This Row],[Jerry Can]],Table_NFI[Jerry Can])</f>
        <v>0</v>
      </c>
      <c r="AO230" s="296">
        <f>IF(NFI_Expiration=1,IF($A230&lt;VLOOKUP(V$5,NFI,5,0),1,0)*Table_NFI[[#This Row],[Shelter Tool kit]],Table_NFI[Shelter Tool kit])</f>
        <v>0</v>
      </c>
      <c r="AP230" s="296">
        <f>IF(NFI_Expiration=1,IF($A230&lt;VLOOKUP(V$5,NFI,5,0),1,0)*Table_NFI[[#This Row],[Tent]],Table_NFI[Tent])</f>
        <v>0</v>
      </c>
      <c r="AQ230" s="396" t="str">
        <f>IFERROR(VLOOKUP(Table_NFI[[#This Row],[Camp Name]],CL,2,0),"")</f>
        <v>MMR001CMP129</v>
      </c>
      <c r="AR230" s="702">
        <f ca="1">IF(Table_NFI[[#This Row],[Pcode]]="","",IF(OFFSET(CampList[Opening Date],MATCH(Table_NFI[[#This Row],[Pcode]],CampList[CP_Pcode],0)-1,0,1,1)&gt;=NFI_Monitor_Date,1,0))</f>
        <v>0</v>
      </c>
      <c r="AS230" s="396" t="str">
        <f>IFERROR(VLOOKUP(Table_NFI[[#This Row],[Camp Name]],CL,3,0),"")</f>
        <v>Open</v>
      </c>
      <c r="AT230" s="264" t="str">
        <f ca="1">IF(Table_NFI[[#This Row],[Pcode]]="","",OFFSET(CampList[Priority],MATCH(Table_NFI[[#This Row],[Pcode]],CampList[CP_Pcode],0)-1,0,1,1))</f>
        <v>P2</v>
      </c>
      <c r="AU230" s="263">
        <f>IFERROR(Table_NFI[[#This Row],[Kitchen Set]]/VLOOKUP(Table_NFI[[#This Row],[Camp Name]],CL,4,0),"")</f>
        <v>0</v>
      </c>
      <c r="AV230" s="390" t="s">
        <v>1087</v>
      </c>
      <c r="AW230" s="392"/>
      <c r="AX230" s="399"/>
      <c r="AY230" s="399"/>
      <c r="AZ230" s="399"/>
      <c r="BA230" s="399"/>
      <c r="BB230" s="399"/>
      <c r="BC230" s="399"/>
      <c r="BD230" s="399"/>
      <c r="BE230" s="399"/>
      <c r="BF230" s="399"/>
      <c r="BG230" s="399"/>
      <c r="BH230" s="399"/>
      <c r="BI230" s="399"/>
      <c r="BJ230" s="399"/>
      <c r="BK230" s="399"/>
      <c r="BL230" s="399"/>
      <c r="BM230" s="399"/>
      <c r="BN230" s="399"/>
      <c r="BO230" s="399"/>
      <c r="BP230" s="399"/>
      <c r="BQ230" s="399"/>
      <c r="BR230" s="399"/>
      <c r="BS230" s="399"/>
      <c r="BT230" s="399"/>
      <c r="BU230" s="399"/>
      <c r="BV230" s="399"/>
      <c r="BW230" s="399"/>
      <c r="BX230" s="399"/>
      <c r="BY230" s="399"/>
      <c r="BZ230" s="399"/>
      <c r="CA230" s="399"/>
      <c r="CB230" s="399"/>
      <c r="CC230" s="399"/>
      <c r="CD230" s="399"/>
      <c r="CE230" s="399"/>
      <c r="CF230" s="399"/>
      <c r="CG230" s="399"/>
      <c r="CH230" s="399"/>
      <c r="CI230" s="399"/>
      <c r="CJ230" s="399"/>
      <c r="CK230" s="399"/>
      <c r="CL230" s="399"/>
      <c r="CM230" s="399"/>
      <c r="CN230" s="399"/>
      <c r="CO230" s="399"/>
      <c r="CP230" s="399"/>
      <c r="CQ230" s="399"/>
      <c r="CR230" s="399"/>
      <c r="CS230" s="399"/>
      <c r="CT230" s="399"/>
      <c r="CU230" s="399"/>
      <c r="CV230" s="399"/>
      <c r="CW230" s="399"/>
      <c r="CX230" s="399"/>
      <c r="CY230" s="399"/>
      <c r="CZ230" s="399"/>
      <c r="DA230" s="399"/>
      <c r="DB230" s="399"/>
      <c r="DC230" s="399"/>
      <c r="DD230" s="399"/>
      <c r="DE230" s="399"/>
      <c r="DF230" s="399"/>
      <c r="DG230" s="399"/>
      <c r="DH230" s="399"/>
      <c r="DI230" s="399"/>
      <c r="DJ230" s="399"/>
      <c r="DK230" s="399"/>
      <c r="DL230" s="399"/>
      <c r="DM230" s="399"/>
      <c r="DN230" s="399"/>
      <c r="DO230" s="399"/>
      <c r="DP230" s="399"/>
      <c r="DQ230" s="399"/>
    </row>
    <row r="231" spans="1:121" s="760" customFormat="1" ht="14.45" customHeight="1" x14ac:dyDescent="0.25">
      <c r="A231" s="266">
        <f t="shared" si="3"/>
        <v>25.6</v>
      </c>
      <c r="B231" s="389">
        <v>42088</v>
      </c>
      <c r="C231" s="390" t="s">
        <v>904</v>
      </c>
      <c r="D231" s="391" t="s">
        <v>904</v>
      </c>
      <c r="E231" s="390" t="s">
        <v>380</v>
      </c>
      <c r="F231" s="262" t="s">
        <v>185</v>
      </c>
      <c r="G231" s="262" t="s">
        <v>1415</v>
      </c>
      <c r="H231" s="261"/>
      <c r="I231" s="261"/>
      <c r="J231" s="261"/>
      <c r="K231" s="261"/>
      <c r="L231" s="261"/>
      <c r="M231" s="261"/>
      <c r="N231" s="261"/>
      <c r="O231" s="261"/>
      <c r="P231" s="261"/>
      <c r="Q231" s="261"/>
      <c r="R231" s="261"/>
      <c r="S231" s="261"/>
      <c r="T231" s="261"/>
      <c r="U231" s="261"/>
      <c r="V231" s="762"/>
      <c r="W231" s="261">
        <v>3</v>
      </c>
      <c r="X231" s="261"/>
      <c r="Y231" s="264">
        <f>IF(NFI_Expiration=1,IF($A231&lt;VLOOKUP(H$5,NFI,5,0),1,0)*Table_NFI[[#This Row],[Hygiene Kit]],Table_NFI[Hygiene Kit])</f>
        <v>0</v>
      </c>
      <c r="Z231" s="264">
        <f>IF(NFI_Expiration=1,IF($A231&lt;VLOOKUP(I$5,NFI,5,0),1,0)*Table_NFI[[#This Row],[NFI Core Kit]],Table_NFI[NFI Core Kit])</f>
        <v>0</v>
      </c>
      <c r="AA231" s="264">
        <f>IF(NFI_Expiration=1,IF($A231&lt;VLOOKUP(J$5,NFI,5,0),1,0)*Table_NFI[[#This Row],[Sanitary Kit]],Table_NFI[Sanitary Kit])</f>
        <v>0</v>
      </c>
      <c r="AB231" s="264">
        <f>IF(NFI_Expiration=1,IF($A231&lt;VLOOKUP(K$5,NFI,5,0),1,0)*Table_NFI[[#This Row],[Mosquito net]],Table_NFI[Mosquito net])</f>
        <v>0</v>
      </c>
      <c r="AC231" s="264">
        <f>IF(NFI_Expiration=1,IF($A231&lt;VLOOKUP(L$5,NFI,5,0),1,0)*Table_NFI[[#This Row],[Tarpaulin]],Table_NFI[[#This Row],[Tarpaulin]])</f>
        <v>0</v>
      </c>
      <c r="AD231" s="264">
        <f>IF(NFI_Expiration=1,IF($A231&lt;VLOOKUP(M$5,NFI,5,0),1,0)*Table_NFI[[#This Row],[Blanket]],Table_NFI[[#This Row],[Blanket]])</f>
        <v>0</v>
      </c>
      <c r="AE231" s="264">
        <f>IF(NFI_Expiration=1,IF($A231&lt;VLOOKUP(N$5,NFI,5,0),1,0)*Table_NFI[[#This Row],[Kitchen Set]],Table_NFI[Kitchen Set])</f>
        <v>0</v>
      </c>
      <c r="AF231" s="264">
        <f>IF(NFI_Expiration=1,IF($A231&lt;VLOOKUP(O$5,NFI,5,0),1,0)*Table_NFI[[#This Row],[Clothes Kit]],Table_NFI[Clothes Kit])</f>
        <v>0</v>
      </c>
      <c r="AG231" s="264">
        <f>IF(NFI_Expiration=1,IF($A231&lt;VLOOKUP(P$5,NFI,5,0),1,0)*Table_NFI[[#This Row],[Plastic Bucket]],Table_NFI[Plastic Bucket])</f>
        <v>0</v>
      </c>
      <c r="AH231" s="264">
        <f>IF(NFI_Expiration=1,IF($A231&lt;VLOOKUP(Q$5,NFI,5,0),1,0)*Table_NFI[[#This Row],[Plastic Mat]],Table_NFI[Plastic Mat])*IF(Table_NFI[[#This Row],[Distribution Date]]&gt;"2014-04-01",1,2.5)</f>
        <v>0</v>
      </c>
      <c r="AI231" s="264">
        <f>IF(NFI_Expiration=1,IF($A231&lt;VLOOKUP(R$5,NFI,5,0),1,0)*Table_NFI[[#This Row],[Winter Clothes Adult]],Table_NFI[Winter Clothes Adult])</f>
        <v>0</v>
      </c>
      <c r="AJ231" s="264">
        <f>IF(NFI_Expiration=1,IF($A231&lt;VLOOKUP(S$5,NFI,5,0),1,0)*Table_NFI[[#This Row],[Winter Clothes Children]],Table_NFI[Winter Clothes Children])</f>
        <v>0</v>
      </c>
      <c r="AK231" s="264">
        <f>IF(NFI_Expiration=1,IF($A231&lt;VLOOKUP(T$5,NFI,5,0),1,0)*Table_NFI[[#This Row],[Winter Items Other]],Table_NFI[Winter Items Other])</f>
        <v>0</v>
      </c>
      <c r="AL231" s="264">
        <f>IF(NFI_Expiration=1,IF($A231&lt;VLOOKUP(M$5,NFI,5,0),1,0)*Table_NFI[[#This Row],[Winter Blanket]],Table_NFI[[#This Row],[Winter Blanket]])</f>
        <v>0</v>
      </c>
      <c r="AM231" s="264">
        <f>IF(Table_NFI[[#This Row],[Winter Clothes Adult]]+Table_NFI[[#This Row],[Winter Clothes Children]]+Table_NFI[[#This Row],[Winter Items Other]]+Table_NFI[[#This Row],[Winter Blanket]]&gt;0,1,0)</f>
        <v>0</v>
      </c>
      <c r="AN231" s="296">
        <f>IF(NFI_Expiration=1,IF($A231&lt;VLOOKUP(V$5,NFI,5,0),1,0)*Table_NFI[[#This Row],[Jerry Can]],Table_NFI[Jerry Can])</f>
        <v>0</v>
      </c>
      <c r="AO231" s="296">
        <f>IF(NFI_Expiration=1,IF($A231&lt;VLOOKUP(V$5,NFI,5,0),1,0)*Table_NFI[[#This Row],[Shelter Tool kit]],Table_NFI[Shelter Tool kit])</f>
        <v>0</v>
      </c>
      <c r="AP231" s="296">
        <f>IF(NFI_Expiration=1,IF($A231&lt;VLOOKUP(V$5,NFI,5,0),1,0)*Table_NFI[[#This Row],[Tent]],Table_NFI[Tent])</f>
        <v>0</v>
      </c>
      <c r="AQ231" s="396" t="str">
        <f>IFERROR(VLOOKUP(Table_NFI[[#This Row],[Camp Name]],CL,2,0),"")</f>
        <v/>
      </c>
      <c r="AR231" s="702" t="str">
        <f ca="1">IF(Table_NFI[[#This Row],[Pcode]]="","",IF(OFFSET(CampList[Opening Date],MATCH(Table_NFI[[#This Row],[Pcode]],CampList[CP_Pcode],0)-1,0,1,1)&gt;=NFI_Monitor_Date,1,0))</f>
        <v/>
      </c>
      <c r="AS231" s="559" t="str">
        <f>IFERROR(VLOOKUP(Table_NFI[[#This Row],[Camp Name]],CL,3,0),"")</f>
        <v/>
      </c>
      <c r="AT231" s="264" t="str">
        <f ca="1">IF(Table_NFI[[#This Row],[Pcode]]="","",OFFSET(CampList[Priority],MATCH(Table_NFI[[#This Row],[Pcode]],CampList[CP_Pcode],0)-1,0,1,1))</f>
        <v/>
      </c>
      <c r="AU231" s="263" t="str">
        <f>IFERROR(Table_NFI[[#This Row],[Kitchen Set]]/VLOOKUP(Table_NFI[[#This Row],[Camp Name]],CL,4,0),"")</f>
        <v/>
      </c>
      <c r="AV231" s="390"/>
      <c r="AW231" s="392"/>
      <c r="AX231" s="399"/>
      <c r="AY231" s="399"/>
      <c r="AZ231" s="399"/>
      <c r="BA231" s="399"/>
      <c r="BB231" s="399"/>
      <c r="BC231" s="399"/>
      <c r="BD231" s="399"/>
      <c r="BE231" s="399"/>
      <c r="BF231" s="399"/>
      <c r="BG231" s="399"/>
      <c r="BH231" s="399"/>
      <c r="BI231" s="399"/>
      <c r="BJ231" s="399"/>
      <c r="BK231" s="399"/>
      <c r="BL231" s="399"/>
      <c r="BM231" s="399"/>
      <c r="BN231" s="399"/>
      <c r="BO231" s="399"/>
      <c r="BP231" s="399"/>
      <c r="BQ231" s="399"/>
      <c r="BR231" s="399"/>
      <c r="BS231" s="399"/>
      <c r="BT231" s="399"/>
      <c r="BU231" s="399"/>
      <c r="BV231" s="399"/>
      <c r="BW231" s="399"/>
      <c r="BX231" s="399"/>
      <c r="BY231" s="399"/>
      <c r="BZ231" s="399"/>
      <c r="CA231" s="399"/>
      <c r="CB231" s="399"/>
      <c r="CC231" s="399"/>
      <c r="CD231" s="399"/>
      <c r="CE231" s="399"/>
      <c r="CF231" s="399"/>
      <c r="CG231" s="399"/>
      <c r="CH231" s="399"/>
      <c r="CI231" s="399"/>
      <c r="CJ231" s="399"/>
      <c r="CK231" s="399"/>
      <c r="CL231" s="399"/>
      <c r="CM231" s="399"/>
      <c r="CN231" s="399"/>
      <c r="CO231" s="399"/>
      <c r="CP231" s="399"/>
      <c r="CQ231" s="399"/>
      <c r="CR231" s="399"/>
      <c r="CS231" s="399"/>
      <c r="CT231" s="399"/>
      <c r="CU231" s="399"/>
      <c r="CV231" s="399"/>
      <c r="CW231" s="399"/>
      <c r="CX231" s="399"/>
      <c r="CY231" s="399"/>
      <c r="CZ231" s="399"/>
      <c r="DA231" s="399"/>
      <c r="DB231" s="399"/>
      <c r="DC231" s="399"/>
      <c r="DD231" s="399"/>
      <c r="DE231" s="399"/>
      <c r="DF231" s="399"/>
      <c r="DG231" s="399"/>
      <c r="DH231" s="399"/>
      <c r="DI231" s="399"/>
      <c r="DJ231" s="399"/>
      <c r="DK231" s="399"/>
      <c r="DL231" s="399"/>
      <c r="DM231" s="399"/>
      <c r="DN231" s="399"/>
      <c r="DO231" s="399"/>
      <c r="DP231" s="399"/>
      <c r="DQ231" s="399"/>
    </row>
    <row r="232" spans="1:121" s="393" customFormat="1" ht="14.45" customHeight="1" x14ac:dyDescent="0.25">
      <c r="A232" s="266">
        <f t="shared" si="3"/>
        <v>25.6</v>
      </c>
      <c r="B232" s="389">
        <v>42088</v>
      </c>
      <c r="C232" s="390" t="s">
        <v>451</v>
      </c>
      <c r="D232" s="390" t="s">
        <v>451</v>
      </c>
      <c r="E232" s="390" t="s">
        <v>380</v>
      </c>
      <c r="F232" s="390" t="s">
        <v>151</v>
      </c>
      <c r="G232" s="390" t="s">
        <v>1311</v>
      </c>
      <c r="H232" s="261"/>
      <c r="I232" s="261"/>
      <c r="J232" s="261"/>
      <c r="K232" s="261">
        <v>1621</v>
      </c>
      <c r="L232" s="261"/>
      <c r="M232" s="261"/>
      <c r="N232" s="261"/>
      <c r="O232" s="261"/>
      <c r="P232" s="261"/>
      <c r="Q232" s="261"/>
      <c r="R232" s="261"/>
      <c r="S232" s="261"/>
      <c r="T232" s="261"/>
      <c r="U232" s="261"/>
      <c r="V232" s="762"/>
      <c r="W232" s="261"/>
      <c r="X232" s="261"/>
      <c r="Y232" s="264">
        <f>IF(NFI_Expiration=1,IF($A232&lt;VLOOKUP(H$5,NFI,5,0),1,0)*Table_NFI[[#This Row],[Hygiene Kit]],Table_NFI[Hygiene Kit])</f>
        <v>0</v>
      </c>
      <c r="Z232" s="264">
        <f>IF(NFI_Expiration=1,IF($A232&lt;VLOOKUP(I$5,NFI,5,0),1,0)*Table_NFI[[#This Row],[NFI Core Kit]],Table_NFI[NFI Core Kit])</f>
        <v>0</v>
      </c>
      <c r="AA232" s="264">
        <f>IF(NFI_Expiration=1,IF($A232&lt;VLOOKUP(J$5,NFI,5,0),1,0)*Table_NFI[[#This Row],[Sanitary Kit]],Table_NFI[Sanitary Kit])</f>
        <v>0</v>
      </c>
      <c r="AB232" s="264">
        <f>IF(NFI_Expiration=1,IF($A232&lt;VLOOKUP(K$5,NFI,5,0),1,0)*Table_NFI[[#This Row],[Mosquito net]],Table_NFI[Mosquito net])</f>
        <v>0</v>
      </c>
      <c r="AC232" s="264">
        <f>IF(NFI_Expiration=1,IF($A232&lt;VLOOKUP(L$5,NFI,5,0),1,0)*Table_NFI[[#This Row],[Tarpaulin]],Table_NFI[[#This Row],[Tarpaulin]])</f>
        <v>0</v>
      </c>
      <c r="AD232" s="264">
        <f>IF(NFI_Expiration=1,IF($A232&lt;VLOOKUP(M$5,NFI,5,0),1,0)*Table_NFI[[#This Row],[Blanket]],Table_NFI[[#This Row],[Blanket]])</f>
        <v>0</v>
      </c>
      <c r="AE232" s="264">
        <f>IF(NFI_Expiration=1,IF($A232&lt;VLOOKUP(N$5,NFI,5,0),1,0)*Table_NFI[[#This Row],[Kitchen Set]],Table_NFI[Kitchen Set])</f>
        <v>0</v>
      </c>
      <c r="AF232" s="264">
        <f>IF(NFI_Expiration=1,IF($A232&lt;VLOOKUP(O$5,NFI,5,0),1,0)*Table_NFI[[#This Row],[Clothes Kit]],Table_NFI[Clothes Kit])</f>
        <v>0</v>
      </c>
      <c r="AG232" s="264">
        <f>IF(NFI_Expiration=1,IF($A232&lt;VLOOKUP(P$5,NFI,5,0),1,0)*Table_NFI[[#This Row],[Plastic Bucket]],Table_NFI[Plastic Bucket])</f>
        <v>0</v>
      </c>
      <c r="AH232" s="264">
        <f>IF(NFI_Expiration=1,IF($A232&lt;VLOOKUP(Q$5,NFI,5,0),1,0)*Table_NFI[[#This Row],[Plastic Mat]],Table_NFI[Plastic Mat])*IF(Table_NFI[[#This Row],[Distribution Date]]&gt;"2014-04-01",1,2.5)</f>
        <v>0</v>
      </c>
      <c r="AI232" s="264">
        <f>IF(NFI_Expiration=1,IF($A232&lt;VLOOKUP(R$5,NFI,5,0),1,0)*Table_NFI[[#This Row],[Winter Clothes Adult]],Table_NFI[Winter Clothes Adult])</f>
        <v>0</v>
      </c>
      <c r="AJ232" s="264">
        <f>IF(NFI_Expiration=1,IF($A232&lt;VLOOKUP(S$5,NFI,5,0),1,0)*Table_NFI[[#This Row],[Winter Clothes Children]],Table_NFI[Winter Clothes Children])</f>
        <v>0</v>
      </c>
      <c r="AK232" s="264">
        <f>IF(NFI_Expiration=1,IF($A232&lt;VLOOKUP(T$5,NFI,5,0),1,0)*Table_NFI[[#This Row],[Winter Items Other]],Table_NFI[Winter Items Other])</f>
        <v>0</v>
      </c>
      <c r="AL232" s="264">
        <f>IF(NFI_Expiration=1,IF($A232&lt;VLOOKUP(M$5,NFI,5,0),1,0)*Table_NFI[[#This Row],[Winter Blanket]],Table_NFI[[#This Row],[Winter Blanket]])</f>
        <v>0</v>
      </c>
      <c r="AM232" s="264">
        <f>IF(Table_NFI[[#This Row],[Winter Clothes Adult]]+Table_NFI[[#This Row],[Winter Clothes Children]]+Table_NFI[[#This Row],[Winter Items Other]]+Table_NFI[[#This Row],[Winter Blanket]]&gt;0,1,0)</f>
        <v>0</v>
      </c>
      <c r="AN232" s="296">
        <f>IF(NFI_Expiration=1,IF($A232&lt;VLOOKUP(V$5,NFI,5,0),1,0)*Table_NFI[[#This Row],[Jerry Can]],Table_NFI[Jerry Can])</f>
        <v>0</v>
      </c>
      <c r="AO232" s="296">
        <f>IF(NFI_Expiration=1,IF($A232&lt;VLOOKUP(V$5,NFI,5,0),1,0)*Table_NFI[[#This Row],[Shelter Tool kit]],Table_NFI[Shelter Tool kit])</f>
        <v>0</v>
      </c>
      <c r="AP232" s="296">
        <f>IF(NFI_Expiration=1,IF($A232&lt;VLOOKUP(V$5,NFI,5,0),1,0)*Table_NFI[[#This Row],[Tent]],Table_NFI[Tent])</f>
        <v>0</v>
      </c>
      <c r="AQ232" s="396" t="str">
        <f>IFERROR(VLOOKUP(Table_NFI[[#This Row],[Camp Name]],CL,2,0),"")</f>
        <v/>
      </c>
      <c r="AR232" s="702" t="str">
        <f ca="1">IF(Table_NFI[[#This Row],[Pcode]]="","",IF(OFFSET(CampList[Opening Date],MATCH(Table_NFI[[#This Row],[Pcode]],CampList[CP_Pcode],0)-1,0,1,1)&gt;=NFI_Monitor_Date,1,0))</f>
        <v/>
      </c>
      <c r="AS232" s="559" t="str">
        <f>IFERROR(VLOOKUP(Table_NFI[[#This Row],[Camp Name]],CL,3,0),"")</f>
        <v/>
      </c>
      <c r="AT232" s="264" t="str">
        <f ca="1">IF(Table_NFI[[#This Row],[Pcode]]="","",OFFSET(CampList[Priority],MATCH(Table_NFI[[#This Row],[Pcode]],CampList[CP_Pcode],0)-1,0,1,1))</f>
        <v/>
      </c>
      <c r="AU232" s="263" t="str">
        <f>IFERROR(Table_NFI[[#This Row],[Kitchen Set]]/VLOOKUP(Table_NFI[[#This Row],[Camp Name]],CL,4,0),"")</f>
        <v/>
      </c>
      <c r="AV232" s="390" t="s">
        <v>1087</v>
      </c>
      <c r="AW232" s="407"/>
      <c r="AX232" s="399"/>
      <c r="AY232" s="399"/>
      <c r="AZ232" s="399"/>
      <c r="BA232" s="399"/>
      <c r="BB232" s="399"/>
      <c r="BC232" s="399"/>
      <c r="BD232" s="399"/>
      <c r="BE232" s="399"/>
      <c r="BF232" s="399"/>
      <c r="BG232" s="399"/>
      <c r="BH232" s="399"/>
      <c r="BI232" s="399"/>
      <c r="BJ232" s="399"/>
      <c r="BK232" s="399"/>
      <c r="BL232" s="399"/>
      <c r="BM232" s="399"/>
      <c r="BN232" s="399"/>
      <c r="BO232" s="399"/>
      <c r="BP232" s="399"/>
      <c r="BQ232" s="399"/>
      <c r="BR232" s="399"/>
      <c r="BS232" s="399"/>
      <c r="BT232" s="399"/>
      <c r="BU232" s="399"/>
      <c r="BV232" s="399"/>
      <c r="BW232" s="399"/>
      <c r="BX232" s="399"/>
      <c r="BY232" s="399"/>
      <c r="BZ232" s="399"/>
      <c r="CA232" s="399"/>
      <c r="CB232" s="399"/>
      <c r="CC232" s="399"/>
      <c r="CD232" s="399"/>
      <c r="CE232" s="399"/>
      <c r="CF232" s="399"/>
      <c r="CG232" s="399"/>
      <c r="CH232" s="399"/>
      <c r="CI232" s="399"/>
      <c r="CJ232" s="399"/>
      <c r="CK232" s="399"/>
      <c r="CL232" s="399"/>
      <c r="CM232" s="399"/>
      <c r="CN232" s="399"/>
      <c r="CO232" s="399"/>
      <c r="CP232" s="399"/>
      <c r="CQ232" s="399"/>
      <c r="CR232" s="399"/>
      <c r="CS232" s="399"/>
      <c r="CT232" s="399"/>
      <c r="CU232" s="399"/>
      <c r="CV232" s="399"/>
      <c r="CW232" s="399"/>
      <c r="CX232" s="399"/>
      <c r="CY232" s="399"/>
      <c r="CZ232" s="399"/>
      <c r="DA232" s="399"/>
      <c r="DB232" s="399"/>
      <c r="DC232" s="399"/>
      <c r="DD232" s="399"/>
      <c r="DE232" s="399"/>
      <c r="DF232" s="399"/>
      <c r="DG232" s="399"/>
      <c r="DH232" s="399"/>
      <c r="DI232" s="399"/>
      <c r="DJ232" s="399"/>
      <c r="DK232" s="399"/>
      <c r="DL232" s="399"/>
      <c r="DM232" s="399"/>
      <c r="DN232" s="399"/>
      <c r="DO232" s="399"/>
      <c r="DP232" s="399"/>
      <c r="DQ232" s="399"/>
    </row>
    <row r="233" spans="1:121" s="393" customFormat="1" ht="14.45" customHeight="1" x14ac:dyDescent="0.25">
      <c r="A233" s="266">
        <f t="shared" si="3"/>
        <v>25.6</v>
      </c>
      <c r="B233" s="389">
        <v>42088</v>
      </c>
      <c r="C233" s="390" t="s">
        <v>451</v>
      </c>
      <c r="D233" s="390" t="s">
        <v>451</v>
      </c>
      <c r="E233" s="390" t="s">
        <v>380</v>
      </c>
      <c r="F233" s="390" t="s">
        <v>5</v>
      </c>
      <c r="G233" s="262" t="s">
        <v>1312</v>
      </c>
      <c r="H233" s="261"/>
      <c r="I233" s="261"/>
      <c r="J233" s="261"/>
      <c r="K233" s="261"/>
      <c r="L233" s="261"/>
      <c r="M233" s="261"/>
      <c r="N233" s="261"/>
      <c r="O233" s="261"/>
      <c r="P233" s="261"/>
      <c r="Q233" s="261"/>
      <c r="R233" s="261">
        <v>2086</v>
      </c>
      <c r="S233" s="261">
        <v>3036</v>
      </c>
      <c r="T233" s="261"/>
      <c r="U233" s="261"/>
      <c r="V233" s="762"/>
      <c r="W233" s="261"/>
      <c r="X233" s="261"/>
      <c r="Y233" s="264">
        <f>IF(NFI_Expiration=1,IF($A233&lt;VLOOKUP(H$5,NFI,5,0),1,0)*Table_NFI[[#This Row],[Hygiene Kit]],Table_NFI[Hygiene Kit])</f>
        <v>0</v>
      </c>
      <c r="Z233" s="264">
        <f>IF(NFI_Expiration=1,IF($A233&lt;VLOOKUP(I$5,NFI,5,0),1,0)*Table_NFI[[#This Row],[NFI Core Kit]],Table_NFI[NFI Core Kit])</f>
        <v>0</v>
      </c>
      <c r="AA233" s="264">
        <f>IF(NFI_Expiration=1,IF($A233&lt;VLOOKUP(J$5,NFI,5,0),1,0)*Table_NFI[[#This Row],[Sanitary Kit]],Table_NFI[Sanitary Kit])</f>
        <v>0</v>
      </c>
      <c r="AB233" s="264">
        <f>IF(NFI_Expiration=1,IF($A233&lt;VLOOKUP(K$5,NFI,5,0),1,0)*Table_NFI[[#This Row],[Mosquito net]],Table_NFI[Mosquito net])</f>
        <v>0</v>
      </c>
      <c r="AC233" s="264">
        <f>IF(NFI_Expiration=1,IF($A233&lt;VLOOKUP(L$5,NFI,5,0),1,0)*Table_NFI[[#This Row],[Tarpaulin]],Table_NFI[[#This Row],[Tarpaulin]])</f>
        <v>0</v>
      </c>
      <c r="AD233" s="264">
        <f>IF(NFI_Expiration=1,IF($A233&lt;VLOOKUP(M$5,NFI,5,0),1,0)*Table_NFI[[#This Row],[Blanket]],Table_NFI[[#This Row],[Blanket]])</f>
        <v>0</v>
      </c>
      <c r="AE233" s="264">
        <f>IF(NFI_Expiration=1,IF($A233&lt;VLOOKUP(N$5,NFI,5,0),1,0)*Table_NFI[[#This Row],[Kitchen Set]],Table_NFI[Kitchen Set])</f>
        <v>0</v>
      </c>
      <c r="AF233" s="264">
        <f>IF(NFI_Expiration=1,IF($A233&lt;VLOOKUP(O$5,NFI,5,0),1,0)*Table_NFI[[#This Row],[Clothes Kit]],Table_NFI[Clothes Kit])</f>
        <v>0</v>
      </c>
      <c r="AG233" s="264">
        <f>IF(NFI_Expiration=1,IF($A233&lt;VLOOKUP(P$5,NFI,5,0),1,0)*Table_NFI[[#This Row],[Plastic Bucket]],Table_NFI[Plastic Bucket])</f>
        <v>0</v>
      </c>
      <c r="AH233" s="264">
        <f>IF(NFI_Expiration=1,IF($A233&lt;VLOOKUP(Q$5,NFI,5,0),1,0)*Table_NFI[[#This Row],[Plastic Mat]],Table_NFI[Plastic Mat])*IF(Table_NFI[[#This Row],[Distribution Date]]&gt;"2014-04-01",1,2.5)</f>
        <v>0</v>
      </c>
      <c r="AI233" s="264">
        <f>IF(NFI_Expiration=1,IF($A233&lt;VLOOKUP(R$5,NFI,5,0),1,0)*Table_NFI[[#This Row],[Winter Clothes Adult]],Table_NFI[Winter Clothes Adult])</f>
        <v>0</v>
      </c>
      <c r="AJ233" s="264">
        <f>IF(NFI_Expiration=1,IF($A233&lt;VLOOKUP(S$5,NFI,5,0),1,0)*Table_NFI[[#This Row],[Winter Clothes Children]],Table_NFI[Winter Clothes Children])</f>
        <v>0</v>
      </c>
      <c r="AK233" s="264">
        <f>IF(NFI_Expiration=1,IF($A233&lt;VLOOKUP(T$5,NFI,5,0),1,0)*Table_NFI[[#This Row],[Winter Items Other]],Table_NFI[Winter Items Other])</f>
        <v>0</v>
      </c>
      <c r="AL233" s="264">
        <f>IF(NFI_Expiration=1,IF($A233&lt;VLOOKUP(M$5,NFI,5,0),1,0)*Table_NFI[[#This Row],[Winter Blanket]],Table_NFI[[#This Row],[Winter Blanket]])</f>
        <v>0</v>
      </c>
      <c r="AM233" s="264">
        <f>IF(Table_NFI[[#This Row],[Winter Clothes Adult]]+Table_NFI[[#This Row],[Winter Clothes Children]]+Table_NFI[[#This Row],[Winter Items Other]]+Table_NFI[[#This Row],[Winter Blanket]]&gt;0,1,0)</f>
        <v>1</v>
      </c>
      <c r="AN233" s="296">
        <f>IF(NFI_Expiration=1,IF($A233&lt;VLOOKUP(V$5,NFI,5,0),1,0)*Table_NFI[[#This Row],[Jerry Can]],Table_NFI[Jerry Can])</f>
        <v>0</v>
      </c>
      <c r="AO233" s="296">
        <f>IF(NFI_Expiration=1,IF($A233&lt;VLOOKUP(V$5,NFI,5,0),1,0)*Table_NFI[[#This Row],[Shelter Tool kit]],Table_NFI[Shelter Tool kit])</f>
        <v>0</v>
      </c>
      <c r="AP233" s="296">
        <f>IF(NFI_Expiration=1,IF($A233&lt;VLOOKUP(V$5,NFI,5,0),1,0)*Table_NFI[[#This Row],[Tent]],Table_NFI[Tent])</f>
        <v>0</v>
      </c>
      <c r="AQ233" s="396" t="str">
        <f>IFERROR(VLOOKUP(Table_NFI[[#This Row],[Camp Name]],CL,2,0),"")</f>
        <v/>
      </c>
      <c r="AR233" s="702" t="str">
        <f ca="1">IF(Table_NFI[[#This Row],[Pcode]]="","",IF(OFFSET(CampList[Opening Date],MATCH(Table_NFI[[#This Row],[Pcode]],CampList[CP_Pcode],0)-1,0,1,1)&gt;=NFI_Monitor_Date,1,0))</f>
        <v/>
      </c>
      <c r="AS233" s="559" t="str">
        <f>IFERROR(VLOOKUP(Table_NFI[[#This Row],[Camp Name]],CL,3,0),"")</f>
        <v/>
      </c>
      <c r="AT233" s="264" t="str">
        <f ca="1">IF(Table_NFI[[#This Row],[Pcode]]="","",OFFSET(CampList[Priority],MATCH(Table_NFI[[#This Row],[Pcode]],CampList[CP_Pcode],0)-1,0,1,1))</f>
        <v/>
      </c>
      <c r="AU233" s="263" t="str">
        <f>IFERROR(Table_NFI[[#This Row],[Kitchen Set]]/VLOOKUP(Table_NFI[[#This Row],[Camp Name]],CL,4,0),"")</f>
        <v/>
      </c>
      <c r="AV233" s="390" t="s">
        <v>1087</v>
      </c>
      <c r="AW233" s="392"/>
      <c r="AX233" s="399"/>
      <c r="AY233" s="399"/>
      <c r="AZ233" s="399"/>
      <c r="BA233" s="399"/>
      <c r="BB233" s="399"/>
      <c r="BC233" s="399"/>
      <c r="BD233" s="399"/>
      <c r="BE233" s="399"/>
      <c r="BF233" s="399"/>
      <c r="BG233" s="399"/>
      <c r="BH233" s="399"/>
      <c r="BI233" s="399"/>
      <c r="BJ233" s="399"/>
      <c r="BK233" s="399"/>
      <c r="BL233" s="399"/>
      <c r="BM233" s="399"/>
      <c r="BN233" s="399"/>
      <c r="BO233" s="399"/>
      <c r="BP233" s="399"/>
      <c r="BQ233" s="399"/>
      <c r="BR233" s="399"/>
      <c r="BS233" s="399"/>
      <c r="BT233" s="399"/>
      <c r="BU233" s="399"/>
      <c r="BV233" s="399"/>
      <c r="BW233" s="399"/>
      <c r="BX233" s="399"/>
      <c r="BY233" s="399"/>
      <c r="BZ233" s="399"/>
      <c r="CA233" s="399"/>
      <c r="CB233" s="399"/>
      <c r="CC233" s="399"/>
      <c r="CD233" s="399"/>
      <c r="CE233" s="399"/>
      <c r="CF233" s="399"/>
      <c r="CG233" s="399"/>
      <c r="CH233" s="399"/>
      <c r="CI233" s="399"/>
      <c r="CJ233" s="399"/>
      <c r="CK233" s="399"/>
      <c r="CL233" s="399"/>
      <c r="CM233" s="399"/>
      <c r="CN233" s="399"/>
      <c r="CO233" s="399"/>
      <c r="CP233" s="399"/>
      <c r="CQ233" s="399"/>
      <c r="CR233" s="399"/>
      <c r="CS233" s="399"/>
      <c r="CT233" s="399"/>
      <c r="CU233" s="399"/>
      <c r="CV233" s="399"/>
      <c r="CW233" s="399"/>
      <c r="CX233" s="399"/>
      <c r="CY233" s="399"/>
      <c r="CZ233" s="399"/>
      <c r="DA233" s="399"/>
      <c r="DB233" s="399"/>
      <c r="DC233" s="399"/>
      <c r="DD233" s="399"/>
      <c r="DE233" s="399"/>
      <c r="DF233" s="399"/>
      <c r="DG233" s="399"/>
      <c r="DH233" s="399"/>
      <c r="DI233" s="399"/>
      <c r="DJ233" s="399"/>
      <c r="DK233" s="399"/>
      <c r="DL233" s="399"/>
      <c r="DM233" s="399"/>
      <c r="DN233" s="399"/>
      <c r="DO233" s="399"/>
      <c r="DP233" s="399"/>
      <c r="DQ233" s="399"/>
    </row>
    <row r="234" spans="1:121" s="393" customFormat="1" ht="14.45" customHeight="1" x14ac:dyDescent="0.25">
      <c r="A234" s="266">
        <f t="shared" si="3"/>
        <v>25.6</v>
      </c>
      <c r="B234" s="389">
        <v>42088</v>
      </c>
      <c r="C234" s="390" t="s">
        <v>904</v>
      </c>
      <c r="D234" s="390" t="s">
        <v>904</v>
      </c>
      <c r="E234" s="390" t="s">
        <v>380</v>
      </c>
      <c r="F234" s="390" t="s">
        <v>185</v>
      </c>
      <c r="G234" s="262" t="s">
        <v>217</v>
      </c>
      <c r="H234" s="261"/>
      <c r="I234" s="261"/>
      <c r="J234" s="261"/>
      <c r="K234" s="261"/>
      <c r="L234" s="261"/>
      <c r="M234" s="261"/>
      <c r="N234" s="261"/>
      <c r="O234" s="261"/>
      <c r="P234" s="261"/>
      <c r="Q234" s="261"/>
      <c r="R234" s="261"/>
      <c r="S234" s="261"/>
      <c r="T234" s="261"/>
      <c r="U234" s="261"/>
      <c r="V234" s="762"/>
      <c r="W234" s="261">
        <v>1</v>
      </c>
      <c r="X234" s="261"/>
      <c r="Y234" s="264">
        <f>IF(NFI_Expiration=1,IF($A234&lt;VLOOKUP(H$5,NFI,5,0),1,0)*Table_NFI[[#This Row],[Hygiene Kit]],Table_NFI[Hygiene Kit])</f>
        <v>0</v>
      </c>
      <c r="Z234" s="264">
        <f>IF(NFI_Expiration=1,IF($A234&lt;VLOOKUP(I$5,NFI,5,0),1,0)*Table_NFI[[#This Row],[NFI Core Kit]],Table_NFI[NFI Core Kit])</f>
        <v>0</v>
      </c>
      <c r="AA234" s="264">
        <f>IF(NFI_Expiration=1,IF($A234&lt;VLOOKUP(J$5,NFI,5,0),1,0)*Table_NFI[[#This Row],[Sanitary Kit]],Table_NFI[Sanitary Kit])</f>
        <v>0</v>
      </c>
      <c r="AB234" s="264">
        <f>IF(NFI_Expiration=1,IF($A234&lt;VLOOKUP(K$5,NFI,5,0),1,0)*Table_NFI[[#This Row],[Mosquito net]],Table_NFI[Mosquito net])</f>
        <v>0</v>
      </c>
      <c r="AC234" s="264">
        <f>IF(NFI_Expiration=1,IF($A234&lt;VLOOKUP(L$5,NFI,5,0),1,0)*Table_NFI[[#This Row],[Tarpaulin]],Table_NFI[[#This Row],[Tarpaulin]])</f>
        <v>0</v>
      </c>
      <c r="AD234" s="264">
        <f>IF(NFI_Expiration=1,IF($A234&lt;VLOOKUP(M$5,NFI,5,0),1,0)*Table_NFI[[#This Row],[Blanket]],Table_NFI[[#This Row],[Blanket]])</f>
        <v>0</v>
      </c>
      <c r="AE234" s="264">
        <f>IF(NFI_Expiration=1,IF($A234&lt;VLOOKUP(N$5,NFI,5,0),1,0)*Table_NFI[[#This Row],[Kitchen Set]],Table_NFI[Kitchen Set])</f>
        <v>0</v>
      </c>
      <c r="AF234" s="264">
        <f>IF(NFI_Expiration=1,IF($A234&lt;VLOOKUP(O$5,NFI,5,0),1,0)*Table_NFI[[#This Row],[Clothes Kit]],Table_NFI[Clothes Kit])</f>
        <v>0</v>
      </c>
      <c r="AG234" s="264">
        <f>IF(NFI_Expiration=1,IF($A234&lt;VLOOKUP(P$5,NFI,5,0),1,0)*Table_NFI[[#This Row],[Plastic Bucket]],Table_NFI[Plastic Bucket])</f>
        <v>0</v>
      </c>
      <c r="AH234" s="264">
        <f>IF(NFI_Expiration=1,IF($A234&lt;VLOOKUP(Q$5,NFI,5,0),1,0)*Table_NFI[[#This Row],[Plastic Mat]],Table_NFI[Plastic Mat])*IF(Table_NFI[[#This Row],[Distribution Date]]&gt;"2014-04-01",1,2.5)</f>
        <v>0</v>
      </c>
      <c r="AI234" s="264">
        <f>IF(NFI_Expiration=1,IF($A234&lt;VLOOKUP(R$5,NFI,5,0),1,0)*Table_NFI[[#This Row],[Winter Clothes Adult]],Table_NFI[Winter Clothes Adult])</f>
        <v>0</v>
      </c>
      <c r="AJ234" s="264">
        <f>IF(NFI_Expiration=1,IF($A234&lt;VLOOKUP(S$5,NFI,5,0),1,0)*Table_NFI[[#This Row],[Winter Clothes Children]],Table_NFI[Winter Clothes Children])</f>
        <v>0</v>
      </c>
      <c r="AK234" s="264">
        <f>IF(NFI_Expiration=1,IF($A234&lt;VLOOKUP(T$5,NFI,5,0),1,0)*Table_NFI[[#This Row],[Winter Items Other]],Table_NFI[Winter Items Other])</f>
        <v>0</v>
      </c>
      <c r="AL234" s="264">
        <f>IF(NFI_Expiration=1,IF($A234&lt;VLOOKUP(M$5,NFI,5,0),1,0)*Table_NFI[[#This Row],[Winter Blanket]],Table_NFI[[#This Row],[Winter Blanket]])</f>
        <v>0</v>
      </c>
      <c r="AM234" s="264">
        <f>IF(Table_NFI[[#This Row],[Winter Clothes Adult]]+Table_NFI[[#This Row],[Winter Clothes Children]]+Table_NFI[[#This Row],[Winter Items Other]]+Table_NFI[[#This Row],[Winter Blanket]]&gt;0,1,0)</f>
        <v>0</v>
      </c>
      <c r="AN234" s="296">
        <f>IF(NFI_Expiration=1,IF($A234&lt;VLOOKUP(V$5,NFI,5,0),1,0)*Table_NFI[[#This Row],[Jerry Can]],Table_NFI[Jerry Can])</f>
        <v>0</v>
      </c>
      <c r="AO234" s="296">
        <f>IF(NFI_Expiration=1,IF($A234&lt;VLOOKUP(V$5,NFI,5,0),1,0)*Table_NFI[[#This Row],[Shelter Tool kit]],Table_NFI[Shelter Tool kit])</f>
        <v>0</v>
      </c>
      <c r="AP234" s="296">
        <f>IF(NFI_Expiration=1,IF($A234&lt;VLOOKUP(V$5,NFI,5,0),1,0)*Table_NFI[[#This Row],[Tent]],Table_NFI[Tent])</f>
        <v>0</v>
      </c>
      <c r="AQ234" s="396" t="str">
        <f>IFERROR(VLOOKUP(Table_NFI[[#This Row],[Camp Name]],CL,2,0),"")</f>
        <v>MMR001CMP059</v>
      </c>
      <c r="AR234" s="702">
        <f ca="1">IF(Table_NFI[[#This Row],[Pcode]]="","",IF(OFFSET(CampList[Opening Date],MATCH(Table_NFI[[#This Row],[Pcode]],CampList[CP_Pcode],0)-1,0,1,1)&gt;=NFI_Monitor_Date,1,0))</f>
        <v>0</v>
      </c>
      <c r="AS234" s="396" t="str">
        <f>IFERROR(VLOOKUP(Table_NFI[[#This Row],[Camp Name]],CL,3,0),"")</f>
        <v>Closed</v>
      </c>
      <c r="AT234" s="264" t="str">
        <f ca="1">IF(Table_NFI[[#This Row],[Pcode]]="","",OFFSET(CampList[Priority],MATCH(Table_NFI[[#This Row],[Pcode]],CampList[CP_Pcode],0)-1,0,1,1))</f>
        <v>P4</v>
      </c>
      <c r="AU234" s="263">
        <f>IFERROR(Table_NFI[[#This Row],[Kitchen Set]]/VLOOKUP(Table_NFI[[#This Row],[Camp Name]],CL,4,0),"")</f>
        <v>0</v>
      </c>
      <c r="AV234" s="390"/>
      <c r="AW234" s="392"/>
      <c r="AX234" s="399"/>
      <c r="AY234" s="399"/>
      <c r="AZ234" s="399"/>
      <c r="BA234" s="399"/>
      <c r="BB234" s="399"/>
      <c r="BC234" s="399"/>
      <c r="BD234" s="399"/>
      <c r="BE234" s="399"/>
      <c r="BF234" s="399"/>
      <c r="BG234" s="399"/>
      <c r="BH234" s="399"/>
      <c r="BI234" s="399"/>
      <c r="BJ234" s="399"/>
      <c r="BK234" s="399"/>
      <c r="BL234" s="399"/>
      <c r="BM234" s="399"/>
      <c r="BN234" s="399"/>
      <c r="BO234" s="399"/>
      <c r="BP234" s="399"/>
      <c r="BQ234" s="399"/>
      <c r="BR234" s="399"/>
      <c r="BS234" s="399"/>
      <c r="BT234" s="399"/>
      <c r="BU234" s="399"/>
      <c r="BV234" s="399"/>
      <c r="BW234" s="399"/>
      <c r="BX234" s="399"/>
      <c r="BY234" s="399"/>
      <c r="BZ234" s="399"/>
      <c r="CA234" s="399"/>
      <c r="CB234" s="399"/>
      <c r="CC234" s="399"/>
      <c r="CD234" s="399"/>
      <c r="CE234" s="399"/>
      <c r="CF234" s="399"/>
      <c r="CG234" s="399"/>
      <c r="CH234" s="399"/>
      <c r="CI234" s="399"/>
      <c r="CJ234" s="399"/>
      <c r="CK234" s="399"/>
      <c r="CL234" s="399"/>
      <c r="CM234" s="399"/>
      <c r="CN234" s="399"/>
      <c r="CO234" s="399"/>
      <c r="CP234" s="399"/>
      <c r="CQ234" s="399"/>
      <c r="CR234" s="399"/>
      <c r="CS234" s="399"/>
      <c r="CT234" s="399"/>
      <c r="CU234" s="399"/>
      <c r="CV234" s="399"/>
      <c r="CW234" s="399"/>
      <c r="CX234" s="399"/>
      <c r="CY234" s="399"/>
      <c r="CZ234" s="399"/>
      <c r="DA234" s="399"/>
      <c r="DB234" s="399"/>
      <c r="DC234" s="399"/>
      <c r="DD234" s="399"/>
      <c r="DE234" s="399"/>
      <c r="DF234" s="399"/>
      <c r="DG234" s="399"/>
      <c r="DH234" s="399"/>
      <c r="DI234" s="399"/>
      <c r="DJ234" s="399"/>
      <c r="DK234" s="399"/>
      <c r="DL234" s="399"/>
      <c r="DM234" s="399"/>
      <c r="DN234" s="399"/>
      <c r="DO234" s="399"/>
      <c r="DP234" s="399"/>
      <c r="DQ234" s="399"/>
    </row>
    <row r="235" spans="1:121" s="393" customFormat="1" ht="14.45" customHeight="1" x14ac:dyDescent="0.25">
      <c r="A235" s="266">
        <f t="shared" si="3"/>
        <v>25.9</v>
      </c>
      <c r="B235" s="389">
        <v>42079</v>
      </c>
      <c r="C235" s="390" t="s">
        <v>451</v>
      </c>
      <c r="D235" s="390" t="s">
        <v>451</v>
      </c>
      <c r="E235" s="390" t="s">
        <v>380</v>
      </c>
      <c r="F235" s="390" t="s">
        <v>5</v>
      </c>
      <c r="G235" s="390" t="s">
        <v>1312</v>
      </c>
      <c r="H235" s="261"/>
      <c r="I235" s="261"/>
      <c r="J235" s="261"/>
      <c r="K235" s="261"/>
      <c r="L235" s="261"/>
      <c r="M235" s="261"/>
      <c r="N235" s="261"/>
      <c r="O235" s="261"/>
      <c r="P235" s="261"/>
      <c r="Q235" s="261"/>
      <c r="R235" s="261">
        <v>2460</v>
      </c>
      <c r="S235" s="261">
        <v>3600</v>
      </c>
      <c r="T235" s="261"/>
      <c r="U235" s="261"/>
      <c r="V235" s="762"/>
      <c r="W235" s="261"/>
      <c r="X235" s="261"/>
      <c r="Y235" s="264">
        <f>IF(NFI_Expiration=1,IF($A235&lt;VLOOKUP(H$5,NFI,5,0),1,0)*Table_NFI[[#This Row],[Hygiene Kit]],Table_NFI[Hygiene Kit])</f>
        <v>0</v>
      </c>
      <c r="Z235" s="264">
        <f>IF(NFI_Expiration=1,IF($A235&lt;VLOOKUP(I$5,NFI,5,0),1,0)*Table_NFI[[#This Row],[NFI Core Kit]],Table_NFI[NFI Core Kit])</f>
        <v>0</v>
      </c>
      <c r="AA235" s="264">
        <f>IF(NFI_Expiration=1,IF($A235&lt;VLOOKUP(J$5,NFI,5,0),1,0)*Table_NFI[[#This Row],[Sanitary Kit]],Table_NFI[Sanitary Kit])</f>
        <v>0</v>
      </c>
      <c r="AB235" s="264">
        <f>IF(NFI_Expiration=1,IF($A235&lt;VLOOKUP(K$5,NFI,5,0),1,0)*Table_NFI[[#This Row],[Mosquito net]],Table_NFI[Mosquito net])</f>
        <v>0</v>
      </c>
      <c r="AC235" s="264">
        <f>IF(NFI_Expiration=1,IF($A235&lt;VLOOKUP(L$5,NFI,5,0),1,0)*Table_NFI[[#This Row],[Tarpaulin]],Table_NFI[[#This Row],[Tarpaulin]])</f>
        <v>0</v>
      </c>
      <c r="AD235" s="264">
        <f>IF(NFI_Expiration=1,IF($A235&lt;VLOOKUP(M$5,NFI,5,0),1,0)*Table_NFI[[#This Row],[Blanket]],Table_NFI[[#This Row],[Blanket]])</f>
        <v>0</v>
      </c>
      <c r="AE235" s="264">
        <f>IF(NFI_Expiration=1,IF($A235&lt;VLOOKUP(N$5,NFI,5,0),1,0)*Table_NFI[[#This Row],[Kitchen Set]],Table_NFI[Kitchen Set])</f>
        <v>0</v>
      </c>
      <c r="AF235" s="264">
        <f>IF(NFI_Expiration=1,IF($A235&lt;VLOOKUP(O$5,NFI,5,0),1,0)*Table_NFI[[#This Row],[Clothes Kit]],Table_NFI[Clothes Kit])</f>
        <v>0</v>
      </c>
      <c r="AG235" s="264">
        <f>IF(NFI_Expiration=1,IF($A235&lt;VLOOKUP(P$5,NFI,5,0),1,0)*Table_NFI[[#This Row],[Plastic Bucket]],Table_NFI[Plastic Bucket])</f>
        <v>0</v>
      </c>
      <c r="AH235" s="264">
        <f>IF(NFI_Expiration=1,IF($A235&lt;VLOOKUP(Q$5,NFI,5,0),1,0)*Table_NFI[[#This Row],[Plastic Mat]],Table_NFI[Plastic Mat])*IF(Table_NFI[[#This Row],[Distribution Date]]&gt;"2014-04-01",1,2.5)</f>
        <v>0</v>
      </c>
      <c r="AI235" s="264">
        <f>IF(NFI_Expiration=1,IF($A235&lt;VLOOKUP(R$5,NFI,5,0),1,0)*Table_NFI[[#This Row],[Winter Clothes Adult]],Table_NFI[Winter Clothes Adult])</f>
        <v>0</v>
      </c>
      <c r="AJ235" s="264">
        <f>IF(NFI_Expiration=1,IF($A235&lt;VLOOKUP(S$5,NFI,5,0),1,0)*Table_NFI[[#This Row],[Winter Clothes Children]],Table_NFI[Winter Clothes Children])</f>
        <v>0</v>
      </c>
      <c r="AK235" s="264">
        <f>IF(NFI_Expiration=1,IF($A235&lt;VLOOKUP(T$5,NFI,5,0),1,0)*Table_NFI[[#This Row],[Winter Items Other]],Table_NFI[Winter Items Other])</f>
        <v>0</v>
      </c>
      <c r="AL235" s="264">
        <f>IF(NFI_Expiration=1,IF($A235&lt;VLOOKUP(M$5,NFI,5,0),1,0)*Table_NFI[[#This Row],[Winter Blanket]],Table_NFI[[#This Row],[Winter Blanket]])</f>
        <v>0</v>
      </c>
      <c r="AM235" s="264">
        <f>IF(Table_NFI[[#This Row],[Winter Clothes Adult]]+Table_NFI[[#This Row],[Winter Clothes Children]]+Table_NFI[[#This Row],[Winter Items Other]]+Table_NFI[[#This Row],[Winter Blanket]]&gt;0,1,0)</f>
        <v>1</v>
      </c>
      <c r="AN235" s="296">
        <f>IF(NFI_Expiration=1,IF($A235&lt;VLOOKUP(V$5,NFI,5,0),1,0)*Table_NFI[[#This Row],[Jerry Can]],Table_NFI[Jerry Can])</f>
        <v>0</v>
      </c>
      <c r="AO235" s="296">
        <f>IF(NFI_Expiration=1,IF($A235&lt;VLOOKUP(V$5,NFI,5,0),1,0)*Table_NFI[[#This Row],[Shelter Tool kit]],Table_NFI[Shelter Tool kit])</f>
        <v>0</v>
      </c>
      <c r="AP235" s="296">
        <f>IF(NFI_Expiration=1,IF($A235&lt;VLOOKUP(V$5,NFI,5,0),1,0)*Table_NFI[[#This Row],[Tent]],Table_NFI[Tent])</f>
        <v>0</v>
      </c>
      <c r="AQ235" s="396" t="str">
        <f>IFERROR(VLOOKUP(Table_NFI[[#This Row],[Camp Name]],CL,2,0),"")</f>
        <v/>
      </c>
      <c r="AR235" s="702" t="str">
        <f ca="1">IF(Table_NFI[[#This Row],[Pcode]]="","",IF(OFFSET(CampList[Opening Date],MATCH(Table_NFI[[#This Row],[Pcode]],CampList[CP_Pcode],0)-1,0,1,1)&gt;=NFI_Monitor_Date,1,0))</f>
        <v/>
      </c>
      <c r="AS235" s="559" t="str">
        <f>IFERROR(VLOOKUP(Table_NFI[[#This Row],[Camp Name]],CL,3,0),"")</f>
        <v/>
      </c>
      <c r="AT235" s="264" t="str">
        <f ca="1">IF(Table_NFI[[#This Row],[Pcode]]="","",OFFSET(CampList[Priority],MATCH(Table_NFI[[#This Row],[Pcode]],CampList[CP_Pcode],0)-1,0,1,1))</f>
        <v/>
      </c>
      <c r="AU235" s="263" t="str">
        <f>IFERROR(Table_NFI[[#This Row],[Kitchen Set]]/VLOOKUP(Table_NFI[[#This Row],[Camp Name]],CL,4,0),"")</f>
        <v/>
      </c>
      <c r="AV235" s="390" t="s">
        <v>1087</v>
      </c>
      <c r="AW235" s="392"/>
      <c r="AX235" s="399"/>
      <c r="AY235" s="399"/>
      <c r="AZ235" s="399"/>
      <c r="BA235" s="399"/>
      <c r="BB235" s="399"/>
      <c r="BC235" s="399"/>
      <c r="BD235" s="399"/>
      <c r="BE235" s="399"/>
      <c r="BF235" s="399"/>
      <c r="BG235" s="399"/>
      <c r="BH235" s="399"/>
      <c r="BI235" s="399"/>
      <c r="BJ235" s="399"/>
      <c r="BK235" s="399"/>
      <c r="BL235" s="399"/>
      <c r="BM235" s="399"/>
      <c r="BN235" s="399"/>
      <c r="BO235" s="399"/>
      <c r="BP235" s="399"/>
      <c r="BQ235" s="399"/>
      <c r="BR235" s="399"/>
      <c r="BS235" s="399"/>
      <c r="BT235" s="399"/>
      <c r="BU235" s="399"/>
      <c r="BV235" s="399"/>
      <c r="BW235" s="399"/>
      <c r="BX235" s="399"/>
      <c r="BY235" s="399"/>
      <c r="BZ235" s="399"/>
      <c r="CA235" s="399"/>
      <c r="CB235" s="399"/>
      <c r="CC235" s="399"/>
      <c r="CD235" s="399"/>
      <c r="CE235" s="399"/>
      <c r="CF235" s="399"/>
      <c r="CG235" s="399"/>
      <c r="CH235" s="399"/>
      <c r="CI235" s="399"/>
      <c r="CJ235" s="399"/>
      <c r="CK235" s="399"/>
      <c r="CL235" s="399"/>
      <c r="CM235" s="399"/>
      <c r="CN235" s="399"/>
      <c r="CO235" s="399"/>
      <c r="CP235" s="399"/>
      <c r="CQ235" s="399"/>
      <c r="CR235" s="399"/>
      <c r="CS235" s="399"/>
      <c r="CT235" s="399"/>
      <c r="CU235" s="399"/>
      <c r="CV235" s="399"/>
      <c r="CW235" s="399"/>
      <c r="CX235" s="399"/>
      <c r="CY235" s="399"/>
      <c r="CZ235" s="399"/>
      <c r="DA235" s="399"/>
      <c r="DB235" s="399"/>
      <c r="DC235" s="399"/>
      <c r="DD235" s="399"/>
      <c r="DE235" s="399"/>
      <c r="DF235" s="399"/>
      <c r="DG235" s="399"/>
      <c r="DH235" s="399"/>
      <c r="DI235" s="399"/>
      <c r="DJ235" s="399"/>
      <c r="DK235" s="399"/>
      <c r="DL235" s="399"/>
      <c r="DM235" s="399"/>
      <c r="DN235" s="399"/>
      <c r="DO235" s="399"/>
      <c r="DP235" s="399"/>
      <c r="DQ235" s="399"/>
    </row>
    <row r="236" spans="1:121" s="760" customFormat="1" ht="14.45" customHeight="1" x14ac:dyDescent="0.25">
      <c r="A236" s="266">
        <f t="shared" si="3"/>
        <v>26</v>
      </c>
      <c r="B236" s="389">
        <v>42076</v>
      </c>
      <c r="C236" s="394" t="s">
        <v>451</v>
      </c>
      <c r="D236" s="394" t="s">
        <v>505</v>
      </c>
      <c r="E236" s="394" t="s">
        <v>380</v>
      </c>
      <c r="F236" s="394" t="s">
        <v>310</v>
      </c>
      <c r="G236" s="394" t="s">
        <v>330</v>
      </c>
      <c r="H236" s="261"/>
      <c r="I236" s="261"/>
      <c r="J236" s="261"/>
      <c r="K236" s="261"/>
      <c r="L236" s="261">
        <v>1</v>
      </c>
      <c r="M236" s="261"/>
      <c r="N236" s="261"/>
      <c r="O236" s="261"/>
      <c r="P236" s="261"/>
      <c r="Q236" s="261"/>
      <c r="R236" s="261"/>
      <c r="S236" s="261"/>
      <c r="T236" s="261"/>
      <c r="U236" s="261"/>
      <c r="V236" s="762"/>
      <c r="W236" s="261"/>
      <c r="X236" s="261"/>
      <c r="Y236" s="264">
        <f>IF(NFI_Expiration=1,IF($A236&lt;VLOOKUP(H$5,NFI,5,0),1,0)*Table_NFI[[#This Row],[Hygiene Kit]],Table_NFI[Hygiene Kit])</f>
        <v>0</v>
      </c>
      <c r="Z236" s="264">
        <f>IF(NFI_Expiration=1,IF($A236&lt;VLOOKUP(I$5,NFI,5,0),1,0)*Table_NFI[[#This Row],[NFI Core Kit]],Table_NFI[NFI Core Kit])</f>
        <v>0</v>
      </c>
      <c r="AA236" s="264">
        <f>IF(NFI_Expiration=1,IF($A236&lt;VLOOKUP(J$5,NFI,5,0),1,0)*Table_NFI[[#This Row],[Sanitary Kit]],Table_NFI[Sanitary Kit])</f>
        <v>0</v>
      </c>
      <c r="AB236" s="264">
        <f>IF(NFI_Expiration=1,IF($A236&lt;VLOOKUP(K$5,NFI,5,0),1,0)*Table_NFI[[#This Row],[Mosquito net]],Table_NFI[Mosquito net])</f>
        <v>0</v>
      </c>
      <c r="AC236" s="264">
        <f>IF(NFI_Expiration=1,IF($A236&lt;VLOOKUP(L$5,NFI,5,0),1,0)*Table_NFI[[#This Row],[Tarpaulin]],Table_NFI[[#This Row],[Tarpaulin]])</f>
        <v>0</v>
      </c>
      <c r="AD236" s="264">
        <f>IF(NFI_Expiration=1,IF($A236&lt;VLOOKUP(M$5,NFI,5,0),1,0)*Table_NFI[[#This Row],[Blanket]],Table_NFI[[#This Row],[Blanket]])</f>
        <v>0</v>
      </c>
      <c r="AE236" s="264">
        <f>IF(NFI_Expiration=1,IF($A236&lt;VLOOKUP(N$5,NFI,5,0),1,0)*Table_NFI[[#This Row],[Kitchen Set]],Table_NFI[Kitchen Set])</f>
        <v>0</v>
      </c>
      <c r="AF236" s="264">
        <f>IF(NFI_Expiration=1,IF($A236&lt;VLOOKUP(O$5,NFI,5,0),1,0)*Table_NFI[[#This Row],[Clothes Kit]],Table_NFI[Clothes Kit])</f>
        <v>0</v>
      </c>
      <c r="AG236" s="264">
        <f>IF(NFI_Expiration=1,IF($A236&lt;VLOOKUP(P$5,NFI,5,0),1,0)*Table_NFI[[#This Row],[Plastic Bucket]],Table_NFI[Plastic Bucket])</f>
        <v>0</v>
      </c>
      <c r="AH236" s="264">
        <f>IF(NFI_Expiration=1,IF($A236&lt;VLOOKUP(Q$5,NFI,5,0),1,0)*Table_NFI[[#This Row],[Plastic Mat]],Table_NFI[Plastic Mat])*IF(Table_NFI[[#This Row],[Distribution Date]]&gt;"2014-04-01",1,2.5)</f>
        <v>0</v>
      </c>
      <c r="AI236" s="264">
        <f>IF(NFI_Expiration=1,IF($A236&lt;VLOOKUP(R$5,NFI,5,0),1,0)*Table_NFI[[#This Row],[Winter Clothes Adult]],Table_NFI[Winter Clothes Adult])</f>
        <v>0</v>
      </c>
      <c r="AJ236" s="264">
        <f>IF(NFI_Expiration=1,IF($A236&lt;VLOOKUP(S$5,NFI,5,0),1,0)*Table_NFI[[#This Row],[Winter Clothes Children]],Table_NFI[Winter Clothes Children])</f>
        <v>0</v>
      </c>
      <c r="AK236" s="264">
        <f>IF(NFI_Expiration=1,IF($A236&lt;VLOOKUP(T$5,NFI,5,0),1,0)*Table_NFI[[#This Row],[Winter Items Other]],Table_NFI[Winter Items Other])</f>
        <v>0</v>
      </c>
      <c r="AL236" s="264">
        <f>IF(NFI_Expiration=1,IF($A236&lt;VLOOKUP(M$5,NFI,5,0),1,0)*Table_NFI[[#This Row],[Winter Blanket]],Table_NFI[[#This Row],[Winter Blanket]])</f>
        <v>0</v>
      </c>
      <c r="AM236" s="264">
        <f>IF(Table_NFI[[#This Row],[Winter Clothes Adult]]+Table_NFI[[#This Row],[Winter Clothes Children]]+Table_NFI[[#This Row],[Winter Items Other]]+Table_NFI[[#This Row],[Winter Blanket]]&gt;0,1,0)</f>
        <v>0</v>
      </c>
      <c r="AN236" s="296">
        <f>IF(NFI_Expiration=1,IF($A236&lt;VLOOKUP(V$5,NFI,5,0),1,0)*Table_NFI[[#This Row],[Jerry Can]],Table_NFI[Jerry Can])</f>
        <v>0</v>
      </c>
      <c r="AO236" s="296">
        <f>IF(NFI_Expiration=1,IF($A236&lt;VLOOKUP(V$5,NFI,5,0),1,0)*Table_NFI[[#This Row],[Shelter Tool kit]],Table_NFI[Shelter Tool kit])</f>
        <v>0</v>
      </c>
      <c r="AP236" s="296">
        <f>IF(NFI_Expiration=1,IF($A236&lt;VLOOKUP(V$5,NFI,5,0),1,0)*Table_NFI[[#This Row],[Tent]],Table_NFI[Tent])</f>
        <v>0</v>
      </c>
      <c r="AQ236" s="396" t="str">
        <f>IFERROR(VLOOKUP(Table_NFI[[#This Row],[Camp Name]],CL,2,0),"")</f>
        <v>MMR001CMP029</v>
      </c>
      <c r="AR236" s="702">
        <f ca="1">IF(Table_NFI[[#This Row],[Pcode]]="","",IF(OFFSET(CampList[Opening Date],MATCH(Table_NFI[[#This Row],[Pcode]],CampList[CP_Pcode],0)-1,0,1,1)&gt;=NFI_Monitor_Date,1,0))</f>
        <v>0</v>
      </c>
      <c r="AS236" s="396" t="str">
        <f>IFERROR(VLOOKUP(Table_NFI[[#This Row],[Camp Name]],CL,3,0),"")</f>
        <v>Open</v>
      </c>
      <c r="AT236" s="264" t="str">
        <f ca="1">IF(Table_NFI[[#This Row],[Pcode]]="","",OFFSET(CampList[Priority],MATCH(Table_NFI[[#This Row],[Pcode]],CampList[CP_Pcode],0)-1,0,1,1))</f>
        <v>P4</v>
      </c>
      <c r="AU236" s="263">
        <f>IFERROR(Table_NFI[[#This Row],[Kitchen Set]]/VLOOKUP(Table_NFI[[#This Row],[Camp Name]],CL,4,0),"")</f>
        <v>0</v>
      </c>
      <c r="AV236" s="390" t="s">
        <v>1087</v>
      </c>
      <c r="AW236" s="397"/>
      <c r="AX236" s="399"/>
      <c r="AY236" s="399"/>
      <c r="AZ236" s="399"/>
      <c r="BA236" s="399"/>
      <c r="BB236" s="399"/>
      <c r="BC236" s="399"/>
      <c r="BD236" s="399"/>
      <c r="BE236" s="399"/>
      <c r="BF236" s="399"/>
      <c r="BG236" s="399"/>
      <c r="BH236" s="399"/>
      <c r="BI236" s="399"/>
      <c r="BJ236" s="399"/>
      <c r="BK236" s="399"/>
      <c r="BL236" s="399"/>
      <c r="BM236" s="399"/>
      <c r="BN236" s="399"/>
      <c r="BO236" s="399"/>
      <c r="BP236" s="399"/>
      <c r="BQ236" s="399"/>
      <c r="BR236" s="399"/>
      <c r="BS236" s="399"/>
      <c r="BT236" s="399"/>
      <c r="BU236" s="399"/>
      <c r="BV236" s="399"/>
      <c r="BW236" s="399"/>
      <c r="BX236" s="399"/>
      <c r="BY236" s="399"/>
      <c r="BZ236" s="399"/>
      <c r="CA236" s="399"/>
      <c r="CB236" s="399"/>
      <c r="CC236" s="399"/>
      <c r="CD236" s="399"/>
      <c r="CE236" s="399"/>
      <c r="CF236" s="399"/>
      <c r="CG236" s="399"/>
      <c r="CH236" s="399"/>
      <c r="CI236" s="399"/>
      <c r="CJ236" s="399"/>
      <c r="CK236" s="399"/>
      <c r="CL236" s="399"/>
      <c r="CM236" s="399"/>
      <c r="CN236" s="399"/>
      <c r="CO236" s="399"/>
      <c r="CP236" s="399"/>
      <c r="CQ236" s="399"/>
      <c r="CR236" s="399"/>
      <c r="CS236" s="399"/>
      <c r="CT236" s="399"/>
      <c r="CU236" s="399"/>
      <c r="CV236" s="399"/>
      <c r="CW236" s="399"/>
      <c r="CX236" s="399"/>
      <c r="CY236" s="399"/>
      <c r="CZ236" s="399"/>
      <c r="DA236" s="399"/>
      <c r="DB236" s="399"/>
      <c r="DC236" s="399"/>
      <c r="DD236" s="399"/>
      <c r="DE236" s="399"/>
      <c r="DF236" s="399"/>
      <c r="DG236" s="399"/>
      <c r="DH236" s="399"/>
      <c r="DI236" s="399"/>
      <c r="DJ236" s="399"/>
      <c r="DK236" s="399"/>
      <c r="DL236" s="399"/>
      <c r="DM236" s="399"/>
      <c r="DN236" s="399"/>
      <c r="DO236" s="399"/>
      <c r="DP236" s="399"/>
      <c r="DQ236" s="399"/>
    </row>
    <row r="237" spans="1:121" s="393" customFormat="1" ht="14.45" customHeight="1" x14ac:dyDescent="0.25">
      <c r="A237" s="266">
        <f t="shared" si="3"/>
        <v>26.033333333333335</v>
      </c>
      <c r="B237" s="389">
        <v>42075</v>
      </c>
      <c r="C237" s="390" t="s">
        <v>904</v>
      </c>
      <c r="D237" s="391" t="s">
        <v>904</v>
      </c>
      <c r="E237" s="390" t="s">
        <v>380</v>
      </c>
      <c r="F237" s="262" t="s">
        <v>185</v>
      </c>
      <c r="G237" s="262" t="s">
        <v>186</v>
      </c>
      <c r="H237" s="261"/>
      <c r="I237" s="261"/>
      <c r="J237" s="261"/>
      <c r="K237" s="261"/>
      <c r="L237" s="261"/>
      <c r="M237" s="261"/>
      <c r="N237" s="261"/>
      <c r="O237" s="261"/>
      <c r="P237" s="261"/>
      <c r="Q237" s="261"/>
      <c r="R237" s="261"/>
      <c r="S237" s="261"/>
      <c r="T237" s="261"/>
      <c r="U237" s="261"/>
      <c r="V237" s="762"/>
      <c r="W237" s="261">
        <v>1</v>
      </c>
      <c r="X237" s="261"/>
      <c r="Y237" s="264">
        <f>IF(NFI_Expiration=1,IF($A237&lt;VLOOKUP(H$5,NFI,5,0),1,0)*Table_NFI[[#This Row],[Hygiene Kit]],Table_NFI[Hygiene Kit])</f>
        <v>0</v>
      </c>
      <c r="Z237" s="264">
        <f>IF(NFI_Expiration=1,IF($A237&lt;VLOOKUP(I$5,NFI,5,0),1,0)*Table_NFI[[#This Row],[NFI Core Kit]],Table_NFI[NFI Core Kit])</f>
        <v>0</v>
      </c>
      <c r="AA237" s="264">
        <f>IF(NFI_Expiration=1,IF($A237&lt;VLOOKUP(J$5,NFI,5,0),1,0)*Table_NFI[[#This Row],[Sanitary Kit]],Table_NFI[Sanitary Kit])</f>
        <v>0</v>
      </c>
      <c r="AB237" s="264">
        <f>IF(NFI_Expiration=1,IF($A237&lt;VLOOKUP(K$5,NFI,5,0),1,0)*Table_NFI[[#This Row],[Mosquito net]],Table_NFI[Mosquito net])</f>
        <v>0</v>
      </c>
      <c r="AC237" s="264">
        <f>IF(NFI_Expiration=1,IF($A237&lt;VLOOKUP(L$5,NFI,5,0),1,0)*Table_NFI[[#This Row],[Tarpaulin]],Table_NFI[[#This Row],[Tarpaulin]])</f>
        <v>0</v>
      </c>
      <c r="AD237" s="264">
        <f>IF(NFI_Expiration=1,IF($A237&lt;VLOOKUP(M$5,NFI,5,0),1,0)*Table_NFI[[#This Row],[Blanket]],Table_NFI[[#This Row],[Blanket]])</f>
        <v>0</v>
      </c>
      <c r="AE237" s="264">
        <f>IF(NFI_Expiration=1,IF($A237&lt;VLOOKUP(N$5,NFI,5,0),1,0)*Table_NFI[[#This Row],[Kitchen Set]],Table_NFI[Kitchen Set])</f>
        <v>0</v>
      </c>
      <c r="AF237" s="264">
        <f>IF(NFI_Expiration=1,IF($A237&lt;VLOOKUP(O$5,NFI,5,0),1,0)*Table_NFI[[#This Row],[Clothes Kit]],Table_NFI[Clothes Kit])</f>
        <v>0</v>
      </c>
      <c r="AG237" s="264">
        <f>IF(NFI_Expiration=1,IF($A237&lt;VLOOKUP(P$5,NFI,5,0),1,0)*Table_NFI[[#This Row],[Plastic Bucket]],Table_NFI[Plastic Bucket])</f>
        <v>0</v>
      </c>
      <c r="AH237" s="264">
        <f>IF(NFI_Expiration=1,IF($A237&lt;VLOOKUP(Q$5,NFI,5,0),1,0)*Table_NFI[[#This Row],[Plastic Mat]],Table_NFI[Plastic Mat])*IF(Table_NFI[[#This Row],[Distribution Date]]&gt;"2014-04-01",1,2.5)</f>
        <v>0</v>
      </c>
      <c r="AI237" s="264">
        <f>IF(NFI_Expiration=1,IF($A237&lt;VLOOKUP(R$5,NFI,5,0),1,0)*Table_NFI[[#This Row],[Winter Clothes Adult]],Table_NFI[Winter Clothes Adult])</f>
        <v>0</v>
      </c>
      <c r="AJ237" s="264">
        <f>IF(NFI_Expiration=1,IF($A237&lt;VLOOKUP(S$5,NFI,5,0),1,0)*Table_NFI[[#This Row],[Winter Clothes Children]],Table_NFI[Winter Clothes Children])</f>
        <v>0</v>
      </c>
      <c r="AK237" s="264">
        <f>IF(NFI_Expiration=1,IF($A237&lt;VLOOKUP(T$5,NFI,5,0),1,0)*Table_NFI[[#This Row],[Winter Items Other]],Table_NFI[Winter Items Other])</f>
        <v>0</v>
      </c>
      <c r="AL237" s="264">
        <f>IF(NFI_Expiration=1,IF($A237&lt;VLOOKUP(M$5,NFI,5,0),1,0)*Table_NFI[[#This Row],[Winter Blanket]],Table_NFI[[#This Row],[Winter Blanket]])</f>
        <v>0</v>
      </c>
      <c r="AM237" s="264">
        <f>IF(Table_NFI[[#This Row],[Winter Clothes Adult]]+Table_NFI[[#This Row],[Winter Clothes Children]]+Table_NFI[[#This Row],[Winter Items Other]]+Table_NFI[[#This Row],[Winter Blanket]]&gt;0,1,0)</f>
        <v>0</v>
      </c>
      <c r="AN237" s="296">
        <f>IF(NFI_Expiration=1,IF($A237&lt;VLOOKUP(V$5,NFI,5,0),1,0)*Table_NFI[[#This Row],[Jerry Can]],Table_NFI[Jerry Can])</f>
        <v>0</v>
      </c>
      <c r="AO237" s="296">
        <f>IF(NFI_Expiration=1,IF($A237&lt;VLOOKUP(V$5,NFI,5,0),1,0)*Table_NFI[[#This Row],[Shelter Tool kit]],Table_NFI[Shelter Tool kit])</f>
        <v>0</v>
      </c>
      <c r="AP237" s="296">
        <f>IF(NFI_Expiration=1,IF($A237&lt;VLOOKUP(V$5,NFI,5,0),1,0)*Table_NFI[[#This Row],[Tent]],Table_NFI[Tent])</f>
        <v>0</v>
      </c>
      <c r="AQ237" s="396" t="str">
        <f>IFERROR(VLOOKUP(Table_NFI[[#This Row],[Camp Name]],CL,2,0),"")</f>
        <v>MMR001CMP071</v>
      </c>
      <c r="AR237" s="702">
        <f ca="1">IF(Table_NFI[[#This Row],[Pcode]]="","",IF(OFFSET(CampList[Opening Date],MATCH(Table_NFI[[#This Row],[Pcode]],CampList[CP_Pcode],0)-1,0,1,1)&gt;=NFI_Monitor_Date,1,0))</f>
        <v>0</v>
      </c>
      <c r="AS237" s="396" t="str">
        <f>IFERROR(VLOOKUP(Table_NFI[[#This Row],[Camp Name]],CL,3,0),"")</f>
        <v>Open</v>
      </c>
      <c r="AT237" s="264" t="str">
        <f ca="1">IF(Table_NFI[[#This Row],[Pcode]]="","",OFFSET(CampList[Priority],MATCH(Table_NFI[[#This Row],[Pcode]],CampList[CP_Pcode],0)-1,0,1,1))</f>
        <v>P3</v>
      </c>
      <c r="AU237" s="263">
        <f>IFERROR(Table_NFI[[#This Row],[Kitchen Set]]/VLOOKUP(Table_NFI[[#This Row],[Camp Name]],CL,4,0),"")</f>
        <v>0</v>
      </c>
      <c r="AV237" s="390"/>
      <c r="AW237" s="392"/>
      <c r="AX237" s="399"/>
      <c r="AY237" s="399"/>
      <c r="AZ237" s="399"/>
      <c r="BA237" s="399"/>
      <c r="BB237" s="399"/>
      <c r="BC237" s="399"/>
      <c r="BD237" s="399"/>
      <c r="BE237" s="399"/>
      <c r="BF237" s="399"/>
      <c r="BG237" s="399"/>
      <c r="BH237" s="399"/>
      <c r="BI237" s="399"/>
      <c r="BJ237" s="399"/>
      <c r="BK237" s="399"/>
      <c r="BL237" s="399"/>
      <c r="BM237" s="399"/>
      <c r="BN237" s="399"/>
      <c r="BO237" s="399"/>
      <c r="BP237" s="399"/>
      <c r="BQ237" s="399"/>
      <c r="BR237" s="399"/>
      <c r="BS237" s="399"/>
      <c r="BT237" s="399"/>
      <c r="BU237" s="399"/>
      <c r="BV237" s="399"/>
      <c r="BW237" s="399"/>
      <c r="BX237" s="399"/>
      <c r="BY237" s="399"/>
      <c r="BZ237" s="399"/>
      <c r="CA237" s="399"/>
      <c r="CB237" s="399"/>
      <c r="CC237" s="399"/>
      <c r="CD237" s="399"/>
      <c r="CE237" s="399"/>
      <c r="CF237" s="399"/>
      <c r="CG237" s="399"/>
      <c r="CH237" s="399"/>
      <c r="CI237" s="399"/>
      <c r="CJ237" s="399"/>
      <c r="CK237" s="399"/>
      <c r="CL237" s="399"/>
      <c r="CM237" s="399"/>
      <c r="CN237" s="399"/>
      <c r="CO237" s="399"/>
      <c r="CP237" s="399"/>
      <c r="CQ237" s="399"/>
      <c r="CR237" s="399"/>
      <c r="CS237" s="399"/>
      <c r="CT237" s="399"/>
      <c r="CU237" s="399"/>
      <c r="CV237" s="399"/>
      <c r="CW237" s="399"/>
      <c r="CX237" s="399"/>
      <c r="CY237" s="399"/>
      <c r="CZ237" s="399"/>
      <c r="DA237" s="399"/>
      <c r="DB237" s="399"/>
      <c r="DC237" s="399"/>
      <c r="DD237" s="399"/>
      <c r="DE237" s="399"/>
      <c r="DF237" s="399"/>
      <c r="DG237" s="399"/>
      <c r="DH237" s="399"/>
      <c r="DI237" s="399"/>
      <c r="DJ237" s="399"/>
      <c r="DK237" s="399"/>
      <c r="DL237" s="399"/>
      <c r="DM237" s="399"/>
      <c r="DN237" s="399"/>
      <c r="DO237" s="399"/>
      <c r="DP237" s="399"/>
      <c r="DQ237" s="399"/>
    </row>
    <row r="238" spans="1:121" s="760" customFormat="1" ht="14.45" customHeight="1" x14ac:dyDescent="0.25">
      <c r="A238" s="266">
        <f t="shared" si="3"/>
        <v>26.033333333333335</v>
      </c>
      <c r="B238" s="389">
        <v>42075</v>
      </c>
      <c r="C238" s="390" t="s">
        <v>904</v>
      </c>
      <c r="D238" s="391" t="s">
        <v>904</v>
      </c>
      <c r="E238" s="390" t="s">
        <v>380</v>
      </c>
      <c r="F238" s="262" t="s">
        <v>185</v>
      </c>
      <c r="G238" s="262" t="s">
        <v>186</v>
      </c>
      <c r="H238" s="261"/>
      <c r="I238" s="261"/>
      <c r="J238" s="261"/>
      <c r="K238" s="261"/>
      <c r="L238" s="261"/>
      <c r="M238" s="261"/>
      <c r="N238" s="261"/>
      <c r="O238" s="261"/>
      <c r="P238" s="261"/>
      <c r="Q238" s="261"/>
      <c r="R238" s="261"/>
      <c r="S238" s="261"/>
      <c r="T238" s="261"/>
      <c r="U238" s="261"/>
      <c r="V238" s="762"/>
      <c r="W238" s="261"/>
      <c r="X238" s="261"/>
      <c r="Y238" s="264">
        <f>IF(NFI_Expiration=1,IF($A238&lt;VLOOKUP(H$5,NFI,5,0),1,0)*Table_NFI[[#This Row],[Hygiene Kit]],Table_NFI[Hygiene Kit])</f>
        <v>0</v>
      </c>
      <c r="Z238" s="264">
        <f>IF(NFI_Expiration=1,IF($A238&lt;VLOOKUP(I$5,NFI,5,0),1,0)*Table_NFI[[#This Row],[NFI Core Kit]],Table_NFI[NFI Core Kit])</f>
        <v>0</v>
      </c>
      <c r="AA238" s="264">
        <f>IF(NFI_Expiration=1,IF($A238&lt;VLOOKUP(J$5,NFI,5,0),1,0)*Table_NFI[[#This Row],[Sanitary Kit]],Table_NFI[Sanitary Kit])</f>
        <v>0</v>
      </c>
      <c r="AB238" s="264">
        <f>IF(NFI_Expiration=1,IF($A238&lt;VLOOKUP(K$5,NFI,5,0),1,0)*Table_NFI[[#This Row],[Mosquito net]],Table_NFI[Mosquito net])</f>
        <v>0</v>
      </c>
      <c r="AC238" s="264">
        <f>IF(NFI_Expiration=1,IF($A238&lt;VLOOKUP(L$5,NFI,5,0),1,0)*Table_NFI[[#This Row],[Tarpaulin]],Table_NFI[[#This Row],[Tarpaulin]])</f>
        <v>0</v>
      </c>
      <c r="AD238" s="264">
        <f>IF(NFI_Expiration=1,IF($A238&lt;VLOOKUP(M$5,NFI,5,0),1,0)*Table_NFI[[#This Row],[Blanket]],Table_NFI[[#This Row],[Blanket]])</f>
        <v>0</v>
      </c>
      <c r="AE238" s="264">
        <f>IF(NFI_Expiration=1,IF($A238&lt;VLOOKUP(N$5,NFI,5,0),1,0)*Table_NFI[[#This Row],[Kitchen Set]],Table_NFI[Kitchen Set])</f>
        <v>0</v>
      </c>
      <c r="AF238" s="264">
        <f>IF(NFI_Expiration=1,IF($A238&lt;VLOOKUP(O$5,NFI,5,0),1,0)*Table_NFI[[#This Row],[Clothes Kit]],Table_NFI[Clothes Kit])</f>
        <v>0</v>
      </c>
      <c r="AG238" s="264">
        <f>IF(NFI_Expiration=1,IF($A238&lt;VLOOKUP(P$5,NFI,5,0),1,0)*Table_NFI[[#This Row],[Plastic Bucket]],Table_NFI[Plastic Bucket])</f>
        <v>0</v>
      </c>
      <c r="AH238" s="264">
        <f>IF(NFI_Expiration=1,IF($A238&lt;VLOOKUP(Q$5,NFI,5,0),1,0)*Table_NFI[[#This Row],[Plastic Mat]],Table_NFI[Plastic Mat])*IF(Table_NFI[[#This Row],[Distribution Date]]&gt;"2014-04-01",1,2.5)</f>
        <v>0</v>
      </c>
      <c r="AI238" s="264">
        <f>IF(NFI_Expiration=1,IF($A238&lt;VLOOKUP(R$5,NFI,5,0),1,0)*Table_NFI[[#This Row],[Winter Clothes Adult]],Table_NFI[Winter Clothes Adult])</f>
        <v>0</v>
      </c>
      <c r="AJ238" s="264">
        <f>IF(NFI_Expiration=1,IF($A238&lt;VLOOKUP(S$5,NFI,5,0),1,0)*Table_NFI[[#This Row],[Winter Clothes Children]],Table_NFI[Winter Clothes Children])</f>
        <v>0</v>
      </c>
      <c r="AK238" s="264">
        <f>IF(NFI_Expiration=1,IF($A238&lt;VLOOKUP(T$5,NFI,5,0),1,0)*Table_NFI[[#This Row],[Winter Items Other]],Table_NFI[Winter Items Other])</f>
        <v>0</v>
      </c>
      <c r="AL238" s="264">
        <f>IF(NFI_Expiration=1,IF($A238&lt;VLOOKUP(M$5,NFI,5,0),1,0)*Table_NFI[[#This Row],[Winter Blanket]],Table_NFI[[#This Row],[Winter Blanket]])</f>
        <v>0</v>
      </c>
      <c r="AM238" s="264">
        <f>IF(Table_NFI[[#This Row],[Winter Clothes Adult]]+Table_NFI[[#This Row],[Winter Clothes Children]]+Table_NFI[[#This Row],[Winter Items Other]]+Table_NFI[[#This Row],[Winter Blanket]]&gt;0,1,0)</f>
        <v>0</v>
      </c>
      <c r="AN238" s="296">
        <f>IF(NFI_Expiration=1,IF($A238&lt;VLOOKUP(V$5,NFI,5,0),1,0)*Table_NFI[[#This Row],[Jerry Can]],Table_NFI[Jerry Can])</f>
        <v>0</v>
      </c>
      <c r="AO238" s="296">
        <f>IF(NFI_Expiration=1,IF($A238&lt;VLOOKUP(V$5,NFI,5,0),1,0)*Table_NFI[[#This Row],[Shelter Tool kit]],Table_NFI[Shelter Tool kit])</f>
        <v>0</v>
      </c>
      <c r="AP238" s="296">
        <f>IF(NFI_Expiration=1,IF($A238&lt;VLOOKUP(V$5,NFI,5,0),1,0)*Table_NFI[[#This Row],[Tent]],Table_NFI[Tent])</f>
        <v>0</v>
      </c>
      <c r="AQ238" s="396" t="str">
        <f>IFERROR(VLOOKUP(Table_NFI[[#This Row],[Camp Name]],CL,2,0),"")</f>
        <v>MMR001CMP071</v>
      </c>
      <c r="AR238" s="702">
        <f ca="1">IF(Table_NFI[[#This Row],[Pcode]]="","",IF(OFFSET(CampList[Opening Date],MATCH(Table_NFI[[#This Row],[Pcode]],CampList[CP_Pcode],0)-1,0,1,1)&gt;=NFI_Monitor_Date,1,0))</f>
        <v>0</v>
      </c>
      <c r="AS238" s="396" t="str">
        <f>IFERROR(VLOOKUP(Table_NFI[[#This Row],[Camp Name]],CL,3,0),"")</f>
        <v>Open</v>
      </c>
      <c r="AT238" s="264" t="str">
        <f ca="1">IF(Table_NFI[[#This Row],[Pcode]]="","",OFFSET(CampList[Priority],MATCH(Table_NFI[[#This Row],[Pcode]],CampList[CP_Pcode],0)-1,0,1,1))</f>
        <v>P3</v>
      </c>
      <c r="AU238" s="263">
        <f>IFERROR(Table_NFI[[#This Row],[Kitchen Set]]/VLOOKUP(Table_NFI[[#This Row],[Camp Name]],CL,4,0),"")</f>
        <v>0</v>
      </c>
      <c r="AV238" s="390"/>
      <c r="AW238" s="392"/>
      <c r="AX238" s="399"/>
      <c r="AY238" s="399"/>
      <c r="AZ238" s="399"/>
      <c r="BA238" s="399"/>
      <c r="BB238" s="399"/>
      <c r="BC238" s="399"/>
      <c r="BD238" s="399"/>
      <c r="BE238" s="399"/>
      <c r="BF238" s="399"/>
      <c r="BG238" s="399"/>
      <c r="BH238" s="399"/>
      <c r="BI238" s="399"/>
      <c r="BJ238" s="399"/>
      <c r="BK238" s="399"/>
      <c r="BL238" s="399"/>
      <c r="BM238" s="399"/>
      <c r="BN238" s="399"/>
      <c r="BO238" s="399"/>
      <c r="BP238" s="399"/>
      <c r="BQ238" s="399"/>
      <c r="BR238" s="399"/>
      <c r="BS238" s="399"/>
      <c r="BT238" s="399"/>
      <c r="BU238" s="399"/>
      <c r="BV238" s="399"/>
      <c r="BW238" s="399"/>
      <c r="BX238" s="399"/>
      <c r="BY238" s="399"/>
      <c r="BZ238" s="399"/>
      <c r="CA238" s="399"/>
      <c r="CB238" s="399"/>
      <c r="CC238" s="399"/>
      <c r="CD238" s="399"/>
      <c r="CE238" s="399"/>
      <c r="CF238" s="399"/>
      <c r="CG238" s="399"/>
      <c r="CH238" s="399"/>
      <c r="CI238" s="399"/>
      <c r="CJ238" s="399"/>
      <c r="CK238" s="399"/>
      <c r="CL238" s="399"/>
      <c r="CM238" s="399"/>
      <c r="CN238" s="399"/>
      <c r="CO238" s="399"/>
      <c r="CP238" s="399"/>
      <c r="CQ238" s="399"/>
      <c r="CR238" s="399"/>
      <c r="CS238" s="399"/>
      <c r="CT238" s="399"/>
      <c r="CU238" s="399"/>
      <c r="CV238" s="399"/>
      <c r="CW238" s="399"/>
      <c r="CX238" s="399"/>
      <c r="CY238" s="399"/>
      <c r="CZ238" s="399"/>
      <c r="DA238" s="399"/>
      <c r="DB238" s="399"/>
      <c r="DC238" s="399"/>
      <c r="DD238" s="399"/>
      <c r="DE238" s="399"/>
      <c r="DF238" s="399"/>
      <c r="DG238" s="399"/>
      <c r="DH238" s="399"/>
      <c r="DI238" s="399"/>
      <c r="DJ238" s="399"/>
      <c r="DK238" s="399"/>
      <c r="DL238" s="399"/>
      <c r="DM238" s="399"/>
      <c r="DN238" s="399"/>
      <c r="DO238" s="399"/>
      <c r="DP238" s="399"/>
      <c r="DQ238" s="399"/>
    </row>
    <row r="239" spans="1:121" s="760" customFormat="1" ht="14.45" customHeight="1" x14ac:dyDescent="0.25">
      <c r="A239" s="266">
        <f t="shared" si="3"/>
        <v>26.033333333333335</v>
      </c>
      <c r="B239" s="389">
        <v>42075</v>
      </c>
      <c r="C239" s="390" t="s">
        <v>904</v>
      </c>
      <c r="D239" s="391" t="s">
        <v>904</v>
      </c>
      <c r="E239" s="390" t="s">
        <v>380</v>
      </c>
      <c r="F239" s="262" t="s">
        <v>185</v>
      </c>
      <c r="G239" s="262" t="s">
        <v>223</v>
      </c>
      <c r="H239" s="261"/>
      <c r="I239" s="261"/>
      <c r="J239" s="261"/>
      <c r="K239" s="261"/>
      <c r="L239" s="261"/>
      <c r="M239" s="261"/>
      <c r="N239" s="261"/>
      <c r="O239" s="261"/>
      <c r="P239" s="261"/>
      <c r="Q239" s="261"/>
      <c r="R239" s="261"/>
      <c r="S239" s="261"/>
      <c r="T239" s="261"/>
      <c r="U239" s="261"/>
      <c r="V239" s="762"/>
      <c r="W239" s="261">
        <v>2</v>
      </c>
      <c r="X239" s="261"/>
      <c r="Y239" s="264">
        <f>IF(NFI_Expiration=1,IF($A239&lt;VLOOKUP(H$5,NFI,5,0),1,0)*Table_NFI[[#This Row],[Hygiene Kit]],Table_NFI[Hygiene Kit])</f>
        <v>0</v>
      </c>
      <c r="Z239" s="264">
        <f>IF(NFI_Expiration=1,IF($A239&lt;VLOOKUP(I$5,NFI,5,0),1,0)*Table_NFI[[#This Row],[NFI Core Kit]],Table_NFI[NFI Core Kit])</f>
        <v>0</v>
      </c>
      <c r="AA239" s="264">
        <f>IF(NFI_Expiration=1,IF($A239&lt;VLOOKUP(J$5,NFI,5,0),1,0)*Table_NFI[[#This Row],[Sanitary Kit]],Table_NFI[Sanitary Kit])</f>
        <v>0</v>
      </c>
      <c r="AB239" s="264">
        <f>IF(NFI_Expiration=1,IF($A239&lt;VLOOKUP(K$5,NFI,5,0),1,0)*Table_NFI[[#This Row],[Mosquito net]],Table_NFI[Mosquito net])</f>
        <v>0</v>
      </c>
      <c r="AC239" s="264">
        <f>IF(NFI_Expiration=1,IF($A239&lt;VLOOKUP(L$5,NFI,5,0),1,0)*Table_NFI[[#This Row],[Tarpaulin]],Table_NFI[[#This Row],[Tarpaulin]])</f>
        <v>0</v>
      </c>
      <c r="AD239" s="264">
        <f>IF(NFI_Expiration=1,IF($A239&lt;VLOOKUP(M$5,NFI,5,0),1,0)*Table_NFI[[#This Row],[Blanket]],Table_NFI[[#This Row],[Blanket]])</f>
        <v>0</v>
      </c>
      <c r="AE239" s="264">
        <f>IF(NFI_Expiration=1,IF($A239&lt;VLOOKUP(N$5,NFI,5,0),1,0)*Table_NFI[[#This Row],[Kitchen Set]],Table_NFI[Kitchen Set])</f>
        <v>0</v>
      </c>
      <c r="AF239" s="264">
        <f>IF(NFI_Expiration=1,IF($A239&lt;VLOOKUP(O$5,NFI,5,0),1,0)*Table_NFI[[#This Row],[Clothes Kit]],Table_NFI[Clothes Kit])</f>
        <v>0</v>
      </c>
      <c r="AG239" s="264">
        <f>IF(NFI_Expiration=1,IF($A239&lt;VLOOKUP(P$5,NFI,5,0),1,0)*Table_NFI[[#This Row],[Plastic Bucket]],Table_NFI[Plastic Bucket])</f>
        <v>0</v>
      </c>
      <c r="AH239" s="264">
        <f>IF(NFI_Expiration=1,IF($A239&lt;VLOOKUP(Q$5,NFI,5,0),1,0)*Table_NFI[[#This Row],[Plastic Mat]],Table_NFI[Plastic Mat])*IF(Table_NFI[[#This Row],[Distribution Date]]&gt;"2014-04-01",1,2.5)</f>
        <v>0</v>
      </c>
      <c r="AI239" s="264">
        <f>IF(NFI_Expiration=1,IF($A239&lt;VLOOKUP(R$5,NFI,5,0),1,0)*Table_NFI[[#This Row],[Winter Clothes Adult]],Table_NFI[Winter Clothes Adult])</f>
        <v>0</v>
      </c>
      <c r="AJ239" s="264">
        <f>IF(NFI_Expiration=1,IF($A239&lt;VLOOKUP(S$5,NFI,5,0),1,0)*Table_NFI[[#This Row],[Winter Clothes Children]],Table_NFI[Winter Clothes Children])</f>
        <v>0</v>
      </c>
      <c r="AK239" s="264">
        <f>IF(NFI_Expiration=1,IF($A239&lt;VLOOKUP(T$5,NFI,5,0),1,0)*Table_NFI[[#This Row],[Winter Items Other]],Table_NFI[Winter Items Other])</f>
        <v>0</v>
      </c>
      <c r="AL239" s="264">
        <f>IF(NFI_Expiration=1,IF($A239&lt;VLOOKUP(M$5,NFI,5,0),1,0)*Table_NFI[[#This Row],[Winter Blanket]],Table_NFI[[#This Row],[Winter Blanket]])</f>
        <v>0</v>
      </c>
      <c r="AM239" s="264">
        <f>IF(Table_NFI[[#This Row],[Winter Clothes Adult]]+Table_NFI[[#This Row],[Winter Clothes Children]]+Table_NFI[[#This Row],[Winter Items Other]]+Table_NFI[[#This Row],[Winter Blanket]]&gt;0,1,0)</f>
        <v>0</v>
      </c>
      <c r="AN239" s="296">
        <f>IF(NFI_Expiration=1,IF($A239&lt;VLOOKUP(V$5,NFI,5,0),1,0)*Table_NFI[[#This Row],[Jerry Can]],Table_NFI[Jerry Can])</f>
        <v>0</v>
      </c>
      <c r="AO239" s="296">
        <f>IF(NFI_Expiration=1,IF($A239&lt;VLOOKUP(V$5,NFI,5,0),1,0)*Table_NFI[[#This Row],[Shelter Tool kit]],Table_NFI[Shelter Tool kit])</f>
        <v>0</v>
      </c>
      <c r="AP239" s="296">
        <f>IF(NFI_Expiration=1,IF($A239&lt;VLOOKUP(V$5,NFI,5,0),1,0)*Table_NFI[[#This Row],[Tent]],Table_NFI[Tent])</f>
        <v>0</v>
      </c>
      <c r="AQ239" s="396" t="str">
        <f>IFERROR(VLOOKUP(Table_NFI[[#This Row],[Camp Name]],CL,2,0),"")</f>
        <v>MMR001CMP069</v>
      </c>
      <c r="AR239" s="702">
        <f ca="1">IF(Table_NFI[[#This Row],[Pcode]]="","",IF(OFFSET(CampList[Opening Date],MATCH(Table_NFI[[#This Row],[Pcode]],CampList[CP_Pcode],0)-1,0,1,1)&gt;=NFI_Monitor_Date,1,0))</f>
        <v>0</v>
      </c>
      <c r="AS239" s="396" t="str">
        <f>IFERROR(VLOOKUP(Table_NFI[[#This Row],[Camp Name]],CL,3,0),"")</f>
        <v>Open</v>
      </c>
      <c r="AT239" s="264" t="str">
        <f ca="1">IF(Table_NFI[[#This Row],[Pcode]]="","",OFFSET(CampList[Priority],MATCH(Table_NFI[[#This Row],[Pcode]],CampList[CP_Pcode],0)-1,0,1,1))</f>
        <v>P3</v>
      </c>
      <c r="AU239" s="263">
        <f>IFERROR(Table_NFI[[#This Row],[Kitchen Set]]/VLOOKUP(Table_NFI[[#This Row],[Camp Name]],CL,4,0),"")</f>
        <v>0</v>
      </c>
      <c r="AV239" s="390"/>
      <c r="AW239" s="392"/>
      <c r="AX239" s="399"/>
      <c r="AY239" s="399"/>
      <c r="AZ239" s="399"/>
      <c r="BA239" s="399"/>
      <c r="BB239" s="399"/>
      <c r="BC239" s="399"/>
      <c r="BD239" s="399"/>
      <c r="BE239" s="399"/>
      <c r="BF239" s="399"/>
      <c r="BG239" s="399"/>
      <c r="BH239" s="399"/>
      <c r="BI239" s="399"/>
      <c r="BJ239" s="399"/>
      <c r="BK239" s="399"/>
      <c r="BL239" s="399"/>
      <c r="BM239" s="399"/>
      <c r="BN239" s="399"/>
      <c r="BO239" s="399"/>
      <c r="BP239" s="399"/>
      <c r="BQ239" s="399"/>
      <c r="BR239" s="399"/>
      <c r="BS239" s="399"/>
      <c r="BT239" s="399"/>
      <c r="BU239" s="399"/>
      <c r="BV239" s="399"/>
      <c r="BW239" s="399"/>
      <c r="BX239" s="399"/>
      <c r="BY239" s="399"/>
      <c r="BZ239" s="399"/>
      <c r="CA239" s="399"/>
      <c r="CB239" s="399"/>
      <c r="CC239" s="399"/>
      <c r="CD239" s="399"/>
      <c r="CE239" s="399"/>
      <c r="CF239" s="399"/>
      <c r="CG239" s="399"/>
      <c r="CH239" s="399"/>
      <c r="CI239" s="399"/>
      <c r="CJ239" s="399"/>
      <c r="CK239" s="399"/>
      <c r="CL239" s="399"/>
      <c r="CM239" s="399"/>
      <c r="CN239" s="399"/>
      <c r="CO239" s="399"/>
      <c r="CP239" s="399"/>
      <c r="CQ239" s="399"/>
      <c r="CR239" s="399"/>
      <c r="CS239" s="399"/>
      <c r="CT239" s="399"/>
      <c r="CU239" s="399"/>
      <c r="CV239" s="399"/>
      <c r="CW239" s="399"/>
      <c r="CX239" s="399"/>
      <c r="CY239" s="399"/>
      <c r="CZ239" s="399"/>
      <c r="DA239" s="399"/>
      <c r="DB239" s="399"/>
      <c r="DC239" s="399"/>
      <c r="DD239" s="399"/>
      <c r="DE239" s="399"/>
      <c r="DF239" s="399"/>
      <c r="DG239" s="399"/>
      <c r="DH239" s="399"/>
      <c r="DI239" s="399"/>
      <c r="DJ239" s="399"/>
      <c r="DK239" s="399"/>
      <c r="DL239" s="399"/>
      <c r="DM239" s="399"/>
      <c r="DN239" s="399"/>
      <c r="DO239" s="399"/>
      <c r="DP239" s="399"/>
      <c r="DQ239" s="399"/>
    </row>
    <row r="240" spans="1:121" s="760" customFormat="1" ht="14.45" customHeight="1" x14ac:dyDescent="0.25">
      <c r="A240" s="266">
        <f t="shared" si="3"/>
        <v>26.033333333333335</v>
      </c>
      <c r="B240" s="389">
        <v>42075</v>
      </c>
      <c r="C240" s="390" t="s">
        <v>904</v>
      </c>
      <c r="D240" s="391" t="s">
        <v>904</v>
      </c>
      <c r="E240" s="390" t="s">
        <v>380</v>
      </c>
      <c r="F240" s="262" t="s">
        <v>185</v>
      </c>
      <c r="G240" s="262" t="s">
        <v>190</v>
      </c>
      <c r="H240" s="261"/>
      <c r="I240" s="261"/>
      <c r="J240" s="261"/>
      <c r="K240" s="261"/>
      <c r="L240" s="261"/>
      <c r="M240" s="261"/>
      <c r="N240" s="261"/>
      <c r="O240" s="261"/>
      <c r="P240" s="261"/>
      <c r="Q240" s="261"/>
      <c r="R240" s="261"/>
      <c r="S240" s="261"/>
      <c r="T240" s="261"/>
      <c r="U240" s="261"/>
      <c r="V240" s="762"/>
      <c r="W240" s="261">
        <v>5</v>
      </c>
      <c r="X240" s="261"/>
      <c r="Y240" s="264">
        <f>IF(NFI_Expiration=1,IF($A240&lt;VLOOKUP(H$5,NFI,5,0),1,0)*Table_NFI[[#This Row],[Hygiene Kit]],Table_NFI[Hygiene Kit])</f>
        <v>0</v>
      </c>
      <c r="Z240" s="264">
        <f>IF(NFI_Expiration=1,IF($A240&lt;VLOOKUP(I$5,NFI,5,0),1,0)*Table_NFI[[#This Row],[NFI Core Kit]],Table_NFI[NFI Core Kit])</f>
        <v>0</v>
      </c>
      <c r="AA240" s="264">
        <f>IF(NFI_Expiration=1,IF($A240&lt;VLOOKUP(J$5,NFI,5,0),1,0)*Table_NFI[[#This Row],[Sanitary Kit]],Table_NFI[Sanitary Kit])</f>
        <v>0</v>
      </c>
      <c r="AB240" s="264">
        <f>IF(NFI_Expiration=1,IF($A240&lt;VLOOKUP(K$5,NFI,5,0),1,0)*Table_NFI[[#This Row],[Mosquito net]],Table_NFI[Mosquito net])</f>
        <v>0</v>
      </c>
      <c r="AC240" s="264">
        <f>IF(NFI_Expiration=1,IF($A240&lt;VLOOKUP(L$5,NFI,5,0),1,0)*Table_NFI[[#This Row],[Tarpaulin]],Table_NFI[[#This Row],[Tarpaulin]])</f>
        <v>0</v>
      </c>
      <c r="AD240" s="264">
        <f>IF(NFI_Expiration=1,IF($A240&lt;VLOOKUP(M$5,NFI,5,0),1,0)*Table_NFI[[#This Row],[Blanket]],Table_NFI[[#This Row],[Blanket]])</f>
        <v>0</v>
      </c>
      <c r="AE240" s="264">
        <f>IF(NFI_Expiration=1,IF($A240&lt;VLOOKUP(N$5,NFI,5,0),1,0)*Table_NFI[[#This Row],[Kitchen Set]],Table_NFI[Kitchen Set])</f>
        <v>0</v>
      </c>
      <c r="AF240" s="264">
        <f>IF(NFI_Expiration=1,IF($A240&lt;VLOOKUP(O$5,NFI,5,0),1,0)*Table_NFI[[#This Row],[Clothes Kit]],Table_NFI[Clothes Kit])</f>
        <v>0</v>
      </c>
      <c r="AG240" s="264">
        <f>IF(NFI_Expiration=1,IF($A240&lt;VLOOKUP(P$5,NFI,5,0),1,0)*Table_NFI[[#This Row],[Plastic Bucket]],Table_NFI[Plastic Bucket])</f>
        <v>0</v>
      </c>
      <c r="AH240" s="264">
        <f>IF(NFI_Expiration=1,IF($A240&lt;VLOOKUP(Q$5,NFI,5,0),1,0)*Table_NFI[[#This Row],[Plastic Mat]],Table_NFI[Plastic Mat])*IF(Table_NFI[[#This Row],[Distribution Date]]&gt;"2014-04-01",1,2.5)</f>
        <v>0</v>
      </c>
      <c r="AI240" s="264">
        <f>IF(NFI_Expiration=1,IF($A240&lt;VLOOKUP(R$5,NFI,5,0),1,0)*Table_NFI[[#This Row],[Winter Clothes Adult]],Table_NFI[Winter Clothes Adult])</f>
        <v>0</v>
      </c>
      <c r="AJ240" s="264">
        <f>IF(NFI_Expiration=1,IF($A240&lt;VLOOKUP(S$5,NFI,5,0),1,0)*Table_NFI[[#This Row],[Winter Clothes Children]],Table_NFI[Winter Clothes Children])</f>
        <v>0</v>
      </c>
      <c r="AK240" s="264">
        <f>IF(NFI_Expiration=1,IF($A240&lt;VLOOKUP(T$5,NFI,5,0),1,0)*Table_NFI[[#This Row],[Winter Items Other]],Table_NFI[Winter Items Other])</f>
        <v>0</v>
      </c>
      <c r="AL240" s="264">
        <f>IF(NFI_Expiration=1,IF($A240&lt;VLOOKUP(M$5,NFI,5,0),1,0)*Table_NFI[[#This Row],[Winter Blanket]],Table_NFI[[#This Row],[Winter Blanket]])</f>
        <v>0</v>
      </c>
      <c r="AM240" s="264">
        <f>IF(Table_NFI[[#This Row],[Winter Clothes Adult]]+Table_NFI[[#This Row],[Winter Clothes Children]]+Table_NFI[[#This Row],[Winter Items Other]]+Table_NFI[[#This Row],[Winter Blanket]]&gt;0,1,0)</f>
        <v>0</v>
      </c>
      <c r="AN240" s="296">
        <f>IF(NFI_Expiration=1,IF($A240&lt;VLOOKUP(V$5,NFI,5,0),1,0)*Table_NFI[[#This Row],[Jerry Can]],Table_NFI[Jerry Can])</f>
        <v>0</v>
      </c>
      <c r="AO240" s="296">
        <f>IF(NFI_Expiration=1,IF($A240&lt;VLOOKUP(V$5,NFI,5,0),1,0)*Table_NFI[[#This Row],[Shelter Tool kit]],Table_NFI[Shelter Tool kit])</f>
        <v>0</v>
      </c>
      <c r="AP240" s="296">
        <f>IF(NFI_Expiration=1,IF($A240&lt;VLOOKUP(V$5,NFI,5,0),1,0)*Table_NFI[[#This Row],[Tent]],Table_NFI[Tent])</f>
        <v>0</v>
      </c>
      <c r="AQ240" s="396" t="str">
        <f>IFERROR(VLOOKUP(Table_NFI[[#This Row],[Camp Name]],CL,2,0),"")</f>
        <v>MMR001CMP070</v>
      </c>
      <c r="AR240" s="702">
        <f ca="1">IF(Table_NFI[[#This Row],[Pcode]]="","",IF(OFFSET(CampList[Opening Date],MATCH(Table_NFI[[#This Row],[Pcode]],CampList[CP_Pcode],0)-1,0,1,1)&gt;=NFI_Monitor_Date,1,0))</f>
        <v>0</v>
      </c>
      <c r="AS240" s="396" t="str">
        <f>IFERROR(VLOOKUP(Table_NFI[[#This Row],[Camp Name]],CL,3,0),"")</f>
        <v>Open</v>
      </c>
      <c r="AT240" s="264" t="str">
        <f ca="1">IF(Table_NFI[[#This Row],[Pcode]]="","",OFFSET(CampList[Priority],MATCH(Table_NFI[[#This Row],[Pcode]],CampList[CP_Pcode],0)-1,0,1,1))</f>
        <v>P3</v>
      </c>
      <c r="AU240" s="263">
        <f>IFERROR(Table_NFI[[#This Row],[Kitchen Set]]/VLOOKUP(Table_NFI[[#This Row],[Camp Name]],CL,4,0),"")</f>
        <v>0</v>
      </c>
      <c r="AV240" s="390"/>
      <c r="AW240" s="392"/>
      <c r="AX240" s="399"/>
      <c r="AY240" s="399"/>
      <c r="AZ240" s="399"/>
      <c r="BA240" s="399"/>
      <c r="BB240" s="399"/>
      <c r="BC240" s="399"/>
      <c r="BD240" s="399"/>
      <c r="BE240" s="399"/>
      <c r="BF240" s="399"/>
      <c r="BG240" s="399"/>
      <c r="BH240" s="399"/>
      <c r="BI240" s="399"/>
      <c r="BJ240" s="399"/>
      <c r="BK240" s="399"/>
      <c r="BL240" s="399"/>
      <c r="BM240" s="399"/>
      <c r="BN240" s="399"/>
      <c r="BO240" s="399"/>
      <c r="BP240" s="399"/>
      <c r="BQ240" s="399"/>
      <c r="BR240" s="399"/>
      <c r="BS240" s="399"/>
      <c r="BT240" s="399"/>
      <c r="BU240" s="399"/>
      <c r="BV240" s="399"/>
      <c r="BW240" s="399"/>
      <c r="BX240" s="399"/>
      <c r="BY240" s="399"/>
      <c r="BZ240" s="399"/>
      <c r="CA240" s="399"/>
      <c r="CB240" s="399"/>
      <c r="CC240" s="399"/>
      <c r="CD240" s="399"/>
      <c r="CE240" s="399"/>
      <c r="CF240" s="399"/>
      <c r="CG240" s="399"/>
      <c r="CH240" s="399"/>
      <c r="CI240" s="399"/>
      <c r="CJ240" s="399"/>
      <c r="CK240" s="399"/>
      <c r="CL240" s="399"/>
      <c r="CM240" s="399"/>
      <c r="CN240" s="399"/>
      <c r="CO240" s="399"/>
      <c r="CP240" s="399"/>
      <c r="CQ240" s="399"/>
      <c r="CR240" s="399"/>
      <c r="CS240" s="399"/>
      <c r="CT240" s="399"/>
      <c r="CU240" s="399"/>
      <c r="CV240" s="399"/>
      <c r="CW240" s="399"/>
      <c r="CX240" s="399"/>
      <c r="CY240" s="399"/>
      <c r="CZ240" s="399"/>
      <c r="DA240" s="399"/>
      <c r="DB240" s="399"/>
      <c r="DC240" s="399"/>
      <c r="DD240" s="399"/>
      <c r="DE240" s="399"/>
      <c r="DF240" s="399"/>
      <c r="DG240" s="399"/>
      <c r="DH240" s="399"/>
      <c r="DI240" s="399"/>
      <c r="DJ240" s="399"/>
      <c r="DK240" s="399"/>
      <c r="DL240" s="399"/>
      <c r="DM240" s="399"/>
      <c r="DN240" s="399"/>
      <c r="DO240" s="399"/>
      <c r="DP240" s="399"/>
      <c r="DQ240" s="399"/>
    </row>
    <row r="241" spans="1:121" s="760" customFormat="1" ht="14.45" customHeight="1" x14ac:dyDescent="0.25">
      <c r="A241" s="266">
        <f t="shared" si="3"/>
        <v>26.033333333333335</v>
      </c>
      <c r="B241" s="389">
        <v>42075</v>
      </c>
      <c r="C241" s="390" t="s">
        <v>904</v>
      </c>
      <c r="D241" s="390" t="s">
        <v>904</v>
      </c>
      <c r="E241" s="390" t="s">
        <v>380</v>
      </c>
      <c r="F241" s="390" t="s">
        <v>5</v>
      </c>
      <c r="G241" s="390" t="s">
        <v>366</v>
      </c>
      <c r="H241" s="261"/>
      <c r="I241" s="261"/>
      <c r="J241" s="261"/>
      <c r="K241" s="261"/>
      <c r="L241" s="261"/>
      <c r="M241" s="261"/>
      <c r="N241" s="261"/>
      <c r="O241" s="261"/>
      <c r="P241" s="261"/>
      <c r="Q241" s="261"/>
      <c r="R241" s="261"/>
      <c r="S241" s="261"/>
      <c r="T241" s="261"/>
      <c r="U241" s="261"/>
      <c r="V241" s="762"/>
      <c r="W241" s="261">
        <v>7</v>
      </c>
      <c r="X241" s="261"/>
      <c r="Y241" s="264">
        <f>IF(NFI_Expiration=1,IF($A241&lt;VLOOKUP(H$5,NFI,5,0),1,0)*Table_NFI[[#This Row],[Hygiene Kit]],Table_NFI[Hygiene Kit])</f>
        <v>0</v>
      </c>
      <c r="Z241" s="264">
        <f>IF(NFI_Expiration=1,IF($A241&lt;VLOOKUP(I$5,NFI,5,0),1,0)*Table_NFI[[#This Row],[NFI Core Kit]],Table_NFI[NFI Core Kit])</f>
        <v>0</v>
      </c>
      <c r="AA241" s="264">
        <f>IF(NFI_Expiration=1,IF($A241&lt;VLOOKUP(J$5,NFI,5,0),1,0)*Table_NFI[[#This Row],[Sanitary Kit]],Table_NFI[Sanitary Kit])</f>
        <v>0</v>
      </c>
      <c r="AB241" s="264">
        <f>IF(NFI_Expiration=1,IF($A241&lt;VLOOKUP(K$5,NFI,5,0),1,0)*Table_NFI[[#This Row],[Mosquito net]],Table_NFI[Mosquito net])</f>
        <v>0</v>
      </c>
      <c r="AC241" s="264">
        <f>IF(NFI_Expiration=1,IF($A241&lt;VLOOKUP(L$5,NFI,5,0),1,0)*Table_NFI[[#This Row],[Tarpaulin]],Table_NFI[[#This Row],[Tarpaulin]])</f>
        <v>0</v>
      </c>
      <c r="AD241" s="264">
        <f>IF(NFI_Expiration=1,IF($A241&lt;VLOOKUP(M$5,NFI,5,0),1,0)*Table_NFI[[#This Row],[Blanket]],Table_NFI[[#This Row],[Blanket]])</f>
        <v>0</v>
      </c>
      <c r="AE241" s="264">
        <f>IF(NFI_Expiration=1,IF($A241&lt;VLOOKUP(N$5,NFI,5,0),1,0)*Table_NFI[[#This Row],[Kitchen Set]],Table_NFI[Kitchen Set])</f>
        <v>0</v>
      </c>
      <c r="AF241" s="264">
        <f>IF(NFI_Expiration=1,IF($A241&lt;VLOOKUP(O$5,NFI,5,0),1,0)*Table_NFI[[#This Row],[Clothes Kit]],Table_NFI[Clothes Kit])</f>
        <v>0</v>
      </c>
      <c r="AG241" s="264">
        <f>IF(NFI_Expiration=1,IF($A241&lt;VLOOKUP(P$5,NFI,5,0),1,0)*Table_NFI[[#This Row],[Plastic Bucket]],Table_NFI[Plastic Bucket])</f>
        <v>0</v>
      </c>
      <c r="AH241" s="264">
        <f>IF(NFI_Expiration=1,IF($A241&lt;VLOOKUP(Q$5,NFI,5,0),1,0)*Table_NFI[[#This Row],[Plastic Mat]],Table_NFI[Plastic Mat])*IF(Table_NFI[[#This Row],[Distribution Date]]&gt;"2014-04-01",1,2.5)</f>
        <v>0</v>
      </c>
      <c r="AI241" s="264">
        <f>IF(NFI_Expiration=1,IF($A241&lt;VLOOKUP(R$5,NFI,5,0),1,0)*Table_NFI[[#This Row],[Winter Clothes Adult]],Table_NFI[Winter Clothes Adult])</f>
        <v>0</v>
      </c>
      <c r="AJ241" s="264">
        <f>IF(NFI_Expiration=1,IF($A241&lt;VLOOKUP(S$5,NFI,5,0),1,0)*Table_NFI[[#This Row],[Winter Clothes Children]],Table_NFI[Winter Clothes Children])</f>
        <v>0</v>
      </c>
      <c r="AK241" s="264">
        <f>IF(NFI_Expiration=1,IF($A241&lt;VLOOKUP(T$5,NFI,5,0),1,0)*Table_NFI[[#This Row],[Winter Items Other]],Table_NFI[Winter Items Other])</f>
        <v>0</v>
      </c>
      <c r="AL241" s="264">
        <f>IF(NFI_Expiration=1,IF($A241&lt;VLOOKUP(M$5,NFI,5,0),1,0)*Table_NFI[[#This Row],[Winter Blanket]],Table_NFI[[#This Row],[Winter Blanket]])</f>
        <v>0</v>
      </c>
      <c r="AM241" s="264">
        <f>IF(Table_NFI[[#This Row],[Winter Clothes Adult]]+Table_NFI[[#This Row],[Winter Clothes Children]]+Table_NFI[[#This Row],[Winter Items Other]]+Table_NFI[[#This Row],[Winter Blanket]]&gt;0,1,0)</f>
        <v>0</v>
      </c>
      <c r="AN241" s="296">
        <f>IF(NFI_Expiration=1,IF($A241&lt;VLOOKUP(V$5,NFI,5,0),1,0)*Table_NFI[[#This Row],[Jerry Can]],Table_NFI[Jerry Can])</f>
        <v>0</v>
      </c>
      <c r="AO241" s="296">
        <f>IF(NFI_Expiration=1,IF($A241&lt;VLOOKUP(V$5,NFI,5,0),1,0)*Table_NFI[[#This Row],[Shelter Tool kit]],Table_NFI[Shelter Tool kit])</f>
        <v>0</v>
      </c>
      <c r="AP241" s="296">
        <f>IF(NFI_Expiration=1,IF($A241&lt;VLOOKUP(V$5,NFI,5,0),1,0)*Table_NFI[[#This Row],[Tent]],Table_NFI[Tent])</f>
        <v>0</v>
      </c>
      <c r="AQ241" s="396" t="str">
        <f>IFERROR(VLOOKUP(Table_NFI[[#This Row],[Camp Name]],CL,2,0),"")</f>
        <v>MMR001CMP193</v>
      </c>
      <c r="AR241" s="702">
        <f ca="1">IF(Table_NFI[[#This Row],[Pcode]]="","",IF(OFFSET(CampList[Opening Date],MATCH(Table_NFI[[#This Row],[Pcode]],CampList[CP_Pcode],0)-1,0,1,1)&gt;=NFI_Monitor_Date,1,0))</f>
        <v>0</v>
      </c>
      <c r="AS241" s="396" t="str">
        <f>IFERROR(VLOOKUP(Table_NFI[[#This Row],[Camp Name]],CL,3,0),"")</f>
        <v>Open</v>
      </c>
      <c r="AT241" s="264" t="str">
        <f ca="1">IF(Table_NFI[[#This Row],[Pcode]]="","",OFFSET(CampList[Priority],MATCH(Table_NFI[[#This Row],[Pcode]],CampList[CP_Pcode],0)-1,0,1,1))</f>
        <v>P4</v>
      </c>
      <c r="AU241" s="263">
        <f>IFERROR(Table_NFI[[#This Row],[Kitchen Set]]/VLOOKUP(Table_NFI[[#This Row],[Camp Name]],CL,4,0),"")</f>
        <v>0</v>
      </c>
      <c r="AV241" s="390"/>
      <c r="AW241" s="392"/>
      <c r="AX241" s="399"/>
      <c r="AY241" s="399"/>
      <c r="AZ241" s="399"/>
      <c r="BA241" s="399"/>
      <c r="BB241" s="399"/>
      <c r="BC241" s="399"/>
      <c r="BD241" s="399"/>
      <c r="BE241" s="399"/>
      <c r="BF241" s="399"/>
      <c r="BG241" s="399"/>
      <c r="BH241" s="399"/>
      <c r="BI241" s="399"/>
      <c r="BJ241" s="399"/>
      <c r="BK241" s="399"/>
      <c r="BL241" s="399"/>
      <c r="BM241" s="399"/>
      <c r="BN241" s="399"/>
      <c r="BO241" s="399"/>
      <c r="BP241" s="399"/>
      <c r="BQ241" s="399"/>
      <c r="BR241" s="399"/>
      <c r="BS241" s="399"/>
      <c r="BT241" s="399"/>
      <c r="BU241" s="399"/>
      <c r="BV241" s="399"/>
      <c r="BW241" s="399"/>
      <c r="BX241" s="399"/>
      <c r="BY241" s="399"/>
      <c r="BZ241" s="399"/>
      <c r="CA241" s="399"/>
      <c r="CB241" s="399"/>
      <c r="CC241" s="399"/>
      <c r="CD241" s="399"/>
      <c r="CE241" s="399"/>
      <c r="CF241" s="399"/>
      <c r="CG241" s="399"/>
      <c r="CH241" s="399"/>
      <c r="CI241" s="399"/>
      <c r="CJ241" s="399"/>
      <c r="CK241" s="399"/>
      <c r="CL241" s="399"/>
      <c r="CM241" s="399"/>
      <c r="CN241" s="399"/>
      <c r="CO241" s="399"/>
      <c r="CP241" s="399"/>
      <c r="CQ241" s="399"/>
      <c r="CR241" s="399"/>
      <c r="CS241" s="399"/>
      <c r="CT241" s="399"/>
      <c r="CU241" s="399"/>
      <c r="CV241" s="399"/>
      <c r="CW241" s="399"/>
      <c r="CX241" s="399"/>
      <c r="CY241" s="399"/>
      <c r="CZ241" s="399"/>
      <c r="DA241" s="399"/>
      <c r="DB241" s="399"/>
      <c r="DC241" s="399"/>
      <c r="DD241" s="399"/>
      <c r="DE241" s="399"/>
      <c r="DF241" s="399"/>
      <c r="DG241" s="399"/>
      <c r="DH241" s="399"/>
      <c r="DI241" s="399"/>
      <c r="DJ241" s="399"/>
      <c r="DK241" s="399"/>
      <c r="DL241" s="399"/>
      <c r="DM241" s="399"/>
      <c r="DN241" s="399"/>
      <c r="DO241" s="399"/>
      <c r="DP241" s="399"/>
      <c r="DQ241" s="399"/>
    </row>
    <row r="242" spans="1:121" s="393" customFormat="1" ht="15" customHeight="1" x14ac:dyDescent="0.2">
      <c r="A242" s="266">
        <f t="shared" si="3"/>
        <v>26.033333333333335</v>
      </c>
      <c r="B242" s="389">
        <v>42075</v>
      </c>
      <c r="C242" s="390" t="s">
        <v>904</v>
      </c>
      <c r="D242" s="391" t="s">
        <v>904</v>
      </c>
      <c r="E242" s="390" t="s">
        <v>380</v>
      </c>
      <c r="F242" s="262" t="s">
        <v>5</v>
      </c>
      <c r="G242" s="262" t="s">
        <v>22</v>
      </c>
      <c r="H242" s="261"/>
      <c r="I242" s="261"/>
      <c r="J242" s="261"/>
      <c r="K242" s="261"/>
      <c r="L242" s="261"/>
      <c r="M242" s="261"/>
      <c r="N242" s="261"/>
      <c r="O242" s="261"/>
      <c r="P242" s="261"/>
      <c r="Q242" s="261"/>
      <c r="R242" s="261"/>
      <c r="S242" s="261"/>
      <c r="T242" s="261"/>
      <c r="U242" s="261"/>
      <c r="V242" s="762"/>
      <c r="W242" s="769">
        <v>11</v>
      </c>
      <c r="X242" s="762"/>
      <c r="Y242" s="264">
        <f>IF(NFI_Expiration=1,IF($A242&lt;VLOOKUP(H$5,NFI,5,0),1,0)*Table_NFI[[#This Row],[Hygiene Kit]],Table_NFI[Hygiene Kit])</f>
        <v>0</v>
      </c>
      <c r="Z242" s="264">
        <f>IF(NFI_Expiration=1,IF($A242&lt;VLOOKUP(I$5,NFI,5,0),1,0)*Table_NFI[[#This Row],[NFI Core Kit]],Table_NFI[NFI Core Kit])</f>
        <v>0</v>
      </c>
      <c r="AA242" s="264">
        <f>IF(NFI_Expiration=1,IF($A242&lt;VLOOKUP(J$5,NFI,5,0),1,0)*Table_NFI[[#This Row],[Sanitary Kit]],Table_NFI[Sanitary Kit])</f>
        <v>0</v>
      </c>
      <c r="AB242" s="264">
        <f>IF(NFI_Expiration=1,IF($A242&lt;VLOOKUP(K$5,NFI,5,0),1,0)*Table_NFI[[#This Row],[Mosquito net]],Table_NFI[Mosquito net])</f>
        <v>0</v>
      </c>
      <c r="AC242" s="264">
        <f>IF(NFI_Expiration=1,IF($A242&lt;VLOOKUP(L$5,NFI,5,0),1,0)*Table_NFI[[#This Row],[Tarpaulin]],Table_NFI[[#This Row],[Tarpaulin]])</f>
        <v>0</v>
      </c>
      <c r="AD242" s="264">
        <f>IF(NFI_Expiration=1,IF($A242&lt;VLOOKUP(M$5,NFI,5,0),1,0)*Table_NFI[[#This Row],[Blanket]],Table_NFI[[#This Row],[Blanket]])</f>
        <v>0</v>
      </c>
      <c r="AE242" s="264">
        <f>IF(NFI_Expiration=1,IF($A242&lt;VLOOKUP(N$5,NFI,5,0),1,0)*Table_NFI[[#This Row],[Kitchen Set]],Table_NFI[Kitchen Set])</f>
        <v>0</v>
      </c>
      <c r="AF242" s="264">
        <f>IF(NFI_Expiration=1,IF($A242&lt;VLOOKUP(O$5,NFI,5,0),1,0)*Table_NFI[[#This Row],[Clothes Kit]],Table_NFI[Clothes Kit])</f>
        <v>0</v>
      </c>
      <c r="AG242" s="264">
        <f>IF(NFI_Expiration=1,IF($A242&lt;VLOOKUP(P$5,NFI,5,0),1,0)*Table_NFI[[#This Row],[Plastic Bucket]],Table_NFI[Plastic Bucket])</f>
        <v>0</v>
      </c>
      <c r="AH242" s="264">
        <f>IF(NFI_Expiration=1,IF($A242&lt;VLOOKUP(Q$5,NFI,5,0),1,0)*Table_NFI[[#This Row],[Plastic Mat]],Table_NFI[Plastic Mat])*IF(Table_NFI[[#This Row],[Distribution Date]]&gt;"2014-04-01",1,2.5)</f>
        <v>0</v>
      </c>
      <c r="AI242" s="264">
        <f>IF(NFI_Expiration=1,IF($A242&lt;VLOOKUP(R$5,NFI,5,0),1,0)*Table_NFI[[#This Row],[Winter Clothes Adult]],Table_NFI[Winter Clothes Adult])</f>
        <v>0</v>
      </c>
      <c r="AJ242" s="264">
        <f>IF(NFI_Expiration=1,IF($A242&lt;VLOOKUP(S$5,NFI,5,0),1,0)*Table_NFI[[#This Row],[Winter Clothes Children]],Table_NFI[Winter Clothes Children])</f>
        <v>0</v>
      </c>
      <c r="AK242" s="264">
        <f>IF(NFI_Expiration=1,IF($A242&lt;VLOOKUP(T$5,NFI,5,0),1,0)*Table_NFI[[#This Row],[Winter Items Other]],Table_NFI[Winter Items Other])</f>
        <v>0</v>
      </c>
      <c r="AL242" s="264">
        <f>IF(NFI_Expiration=1,IF($A242&lt;VLOOKUP(M$5,NFI,5,0),1,0)*Table_NFI[[#This Row],[Winter Blanket]],Table_NFI[[#This Row],[Winter Blanket]])</f>
        <v>0</v>
      </c>
      <c r="AM242" s="264">
        <f>IF(Table_NFI[[#This Row],[Winter Clothes Adult]]+Table_NFI[[#This Row],[Winter Clothes Children]]+Table_NFI[[#This Row],[Winter Items Other]]+Table_NFI[[#This Row],[Winter Blanket]]&gt;0,1,0)</f>
        <v>0</v>
      </c>
      <c r="AN242" s="296">
        <f>IF(NFI_Expiration=1,IF($A242&lt;VLOOKUP(V$5,NFI,5,0),1,0)*Table_NFI[[#This Row],[Jerry Can]],Table_NFI[Jerry Can])</f>
        <v>0</v>
      </c>
      <c r="AO242" s="296">
        <f>IF(NFI_Expiration=1,IF($A242&lt;VLOOKUP(V$5,NFI,5,0),1,0)*Table_NFI[[#This Row],[Shelter Tool kit]],Table_NFI[Shelter Tool kit])</f>
        <v>0</v>
      </c>
      <c r="AP242" s="296">
        <f>IF(NFI_Expiration=1,IF($A242&lt;VLOOKUP(V$5,NFI,5,0),1,0)*Table_NFI[[#This Row],[Tent]],Table_NFI[Tent])</f>
        <v>0</v>
      </c>
      <c r="AQ242" s="396" t="str">
        <f>IFERROR(VLOOKUP(Table_NFI[[#This Row],[Camp Name]],CL,2,0),"")</f>
        <v>MMR001CMP047</v>
      </c>
      <c r="AR242" s="702">
        <f ca="1">IF(Table_NFI[[#This Row],[Pcode]]="","",IF(OFFSET(CampList[Opening Date],MATCH(Table_NFI[[#This Row],[Pcode]],CampList[CP_Pcode],0)-1,0,1,1)&gt;=NFI_Monitor_Date,1,0))</f>
        <v>0</v>
      </c>
      <c r="AS242" s="396" t="str">
        <f>IFERROR(VLOOKUP(Table_NFI[[#This Row],[Camp Name]],CL,3,0),"")</f>
        <v>Open</v>
      </c>
      <c r="AT242" s="264" t="str">
        <f ca="1">IF(Table_NFI[[#This Row],[Pcode]]="","",OFFSET(CampList[Priority],MATCH(Table_NFI[[#This Row],[Pcode]],CampList[CP_Pcode],0)-1,0,1,1))</f>
        <v>P4</v>
      </c>
      <c r="AU242" s="263">
        <f>IFERROR(Table_NFI[[#This Row],[Kitchen Set]]/VLOOKUP(Table_NFI[[#This Row],[Camp Name]],CL,4,0),"")</f>
        <v>0</v>
      </c>
      <c r="AV242" s="390"/>
      <c r="AW242" s="392"/>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399"/>
      <c r="CO242" s="399"/>
      <c r="CP242" s="399"/>
      <c r="CQ242" s="399"/>
      <c r="CR242" s="399"/>
      <c r="CS242" s="399"/>
      <c r="CT242" s="399"/>
      <c r="CU242" s="399"/>
      <c r="CV242" s="399"/>
      <c r="CW242" s="399"/>
      <c r="CX242" s="399"/>
      <c r="CY242" s="399"/>
      <c r="CZ242" s="399"/>
      <c r="DA242" s="399"/>
      <c r="DB242" s="399"/>
      <c r="DC242" s="399"/>
      <c r="DD242" s="399"/>
      <c r="DE242" s="399"/>
      <c r="DF242" s="399"/>
      <c r="DG242" s="399"/>
      <c r="DH242" s="399"/>
      <c r="DI242" s="399"/>
      <c r="DJ242" s="399"/>
      <c r="DK242" s="399"/>
      <c r="DL242" s="399"/>
      <c r="DM242" s="399"/>
      <c r="DN242" s="399"/>
      <c r="DO242" s="399"/>
      <c r="DP242" s="399"/>
      <c r="DQ242" s="399"/>
    </row>
    <row r="243" spans="1:121" s="760" customFormat="1" ht="15" customHeight="1" x14ac:dyDescent="0.25">
      <c r="A243" s="266">
        <f t="shared" si="3"/>
        <v>26.033333333333335</v>
      </c>
      <c r="B243" s="389">
        <v>42075</v>
      </c>
      <c r="C243" s="390" t="s">
        <v>904</v>
      </c>
      <c r="D243" s="391" t="s">
        <v>904</v>
      </c>
      <c r="E243" s="390" t="s">
        <v>380</v>
      </c>
      <c r="F243" s="262" t="s">
        <v>185</v>
      </c>
      <c r="G243" s="262" t="s">
        <v>225</v>
      </c>
      <c r="H243" s="261"/>
      <c r="I243" s="261"/>
      <c r="J243" s="261"/>
      <c r="K243" s="261"/>
      <c r="L243" s="261"/>
      <c r="M243" s="261"/>
      <c r="N243" s="261"/>
      <c r="O243" s="261"/>
      <c r="P243" s="261"/>
      <c r="Q243" s="261"/>
      <c r="R243" s="261"/>
      <c r="S243" s="261"/>
      <c r="T243" s="261"/>
      <c r="U243" s="261"/>
      <c r="V243" s="762"/>
      <c r="W243" s="762">
        <v>4</v>
      </c>
      <c r="X243" s="762"/>
      <c r="Y243" s="264">
        <f>IF(NFI_Expiration=1,IF($A243&lt;VLOOKUP(H$5,NFI,5,0),1,0)*Table_NFI[[#This Row],[Hygiene Kit]],Table_NFI[Hygiene Kit])</f>
        <v>0</v>
      </c>
      <c r="Z243" s="264">
        <f>IF(NFI_Expiration=1,IF($A243&lt;VLOOKUP(I$5,NFI,5,0),1,0)*Table_NFI[[#This Row],[NFI Core Kit]],Table_NFI[NFI Core Kit])</f>
        <v>0</v>
      </c>
      <c r="AA243" s="264">
        <f>IF(NFI_Expiration=1,IF($A243&lt;VLOOKUP(J$5,NFI,5,0),1,0)*Table_NFI[[#This Row],[Sanitary Kit]],Table_NFI[Sanitary Kit])</f>
        <v>0</v>
      </c>
      <c r="AB243" s="264">
        <f>IF(NFI_Expiration=1,IF($A243&lt;VLOOKUP(K$5,NFI,5,0),1,0)*Table_NFI[[#This Row],[Mosquito net]],Table_NFI[Mosquito net])</f>
        <v>0</v>
      </c>
      <c r="AC243" s="264">
        <f>IF(NFI_Expiration=1,IF($A243&lt;VLOOKUP(L$5,NFI,5,0),1,0)*Table_NFI[[#This Row],[Tarpaulin]],Table_NFI[[#This Row],[Tarpaulin]])</f>
        <v>0</v>
      </c>
      <c r="AD243" s="264">
        <f>IF(NFI_Expiration=1,IF($A243&lt;VLOOKUP(M$5,NFI,5,0),1,0)*Table_NFI[[#This Row],[Blanket]],Table_NFI[[#This Row],[Blanket]])</f>
        <v>0</v>
      </c>
      <c r="AE243" s="264">
        <f>IF(NFI_Expiration=1,IF($A243&lt;VLOOKUP(N$5,NFI,5,0),1,0)*Table_NFI[[#This Row],[Kitchen Set]],Table_NFI[Kitchen Set])</f>
        <v>0</v>
      </c>
      <c r="AF243" s="264">
        <f>IF(NFI_Expiration=1,IF($A243&lt;VLOOKUP(O$5,NFI,5,0),1,0)*Table_NFI[[#This Row],[Clothes Kit]],Table_NFI[Clothes Kit])</f>
        <v>0</v>
      </c>
      <c r="AG243" s="264">
        <f>IF(NFI_Expiration=1,IF($A243&lt;VLOOKUP(P$5,NFI,5,0),1,0)*Table_NFI[[#This Row],[Plastic Bucket]],Table_NFI[Plastic Bucket])</f>
        <v>0</v>
      </c>
      <c r="AH243" s="264">
        <f>IF(NFI_Expiration=1,IF($A243&lt;VLOOKUP(Q$5,NFI,5,0),1,0)*Table_NFI[[#This Row],[Plastic Mat]],Table_NFI[Plastic Mat])*IF(Table_NFI[[#This Row],[Distribution Date]]&gt;"2014-04-01",1,2.5)</f>
        <v>0</v>
      </c>
      <c r="AI243" s="264">
        <f>IF(NFI_Expiration=1,IF($A243&lt;VLOOKUP(R$5,NFI,5,0),1,0)*Table_NFI[[#This Row],[Winter Clothes Adult]],Table_NFI[Winter Clothes Adult])</f>
        <v>0</v>
      </c>
      <c r="AJ243" s="264">
        <f>IF(NFI_Expiration=1,IF($A243&lt;VLOOKUP(S$5,NFI,5,0),1,0)*Table_NFI[[#This Row],[Winter Clothes Children]],Table_NFI[Winter Clothes Children])</f>
        <v>0</v>
      </c>
      <c r="AK243" s="264">
        <f>IF(NFI_Expiration=1,IF($A243&lt;VLOOKUP(T$5,NFI,5,0),1,0)*Table_NFI[[#This Row],[Winter Items Other]],Table_NFI[Winter Items Other])</f>
        <v>0</v>
      </c>
      <c r="AL243" s="264">
        <f>IF(NFI_Expiration=1,IF($A243&lt;VLOOKUP(M$5,NFI,5,0),1,0)*Table_NFI[[#This Row],[Winter Blanket]],Table_NFI[[#This Row],[Winter Blanket]])</f>
        <v>0</v>
      </c>
      <c r="AM243" s="264">
        <f>IF(Table_NFI[[#This Row],[Winter Clothes Adult]]+Table_NFI[[#This Row],[Winter Clothes Children]]+Table_NFI[[#This Row],[Winter Items Other]]+Table_NFI[[#This Row],[Winter Blanket]]&gt;0,1,0)</f>
        <v>0</v>
      </c>
      <c r="AN243" s="296">
        <f>IF(NFI_Expiration=1,IF($A243&lt;VLOOKUP(V$5,NFI,5,0),1,0)*Table_NFI[[#This Row],[Jerry Can]],Table_NFI[Jerry Can])</f>
        <v>0</v>
      </c>
      <c r="AO243" s="296">
        <f>IF(NFI_Expiration=1,IF($A243&lt;VLOOKUP(V$5,NFI,5,0),1,0)*Table_NFI[[#This Row],[Shelter Tool kit]],Table_NFI[Shelter Tool kit])</f>
        <v>0</v>
      </c>
      <c r="AP243" s="296">
        <f>IF(NFI_Expiration=1,IF($A243&lt;VLOOKUP(V$5,NFI,5,0),1,0)*Table_NFI[[#This Row],[Tent]],Table_NFI[Tent])</f>
        <v>0</v>
      </c>
      <c r="AQ243" s="396" t="str">
        <f>IFERROR(VLOOKUP(Table_NFI[[#This Row],[Camp Name]],CL,2,0),"")</f>
        <v>MMR001CMP073</v>
      </c>
      <c r="AR243" s="702">
        <f ca="1">IF(Table_NFI[[#This Row],[Pcode]]="","",IF(OFFSET(CampList[Opening Date],MATCH(Table_NFI[[#This Row],[Pcode]],CampList[CP_Pcode],0)-1,0,1,1)&gt;=NFI_Monitor_Date,1,0))</f>
        <v>0</v>
      </c>
      <c r="AS243" s="396" t="str">
        <f>IFERROR(VLOOKUP(Table_NFI[[#This Row],[Camp Name]],CL,3,0),"")</f>
        <v>Open</v>
      </c>
      <c r="AT243" s="264" t="str">
        <f ca="1">IF(Table_NFI[[#This Row],[Pcode]]="","",OFFSET(CampList[Priority],MATCH(Table_NFI[[#This Row],[Pcode]],CampList[CP_Pcode],0)-1,0,1,1))</f>
        <v>P3</v>
      </c>
      <c r="AU243" s="263">
        <f>IFERROR(Table_NFI[[#This Row],[Kitchen Set]]/VLOOKUP(Table_NFI[[#This Row],[Camp Name]],CL,4,0),"")</f>
        <v>0</v>
      </c>
      <c r="AV243" s="390"/>
      <c r="AW243" s="392"/>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399"/>
      <c r="CO243" s="399"/>
      <c r="CP243" s="399"/>
      <c r="CQ243" s="399"/>
      <c r="CR243" s="399"/>
      <c r="CS243" s="399"/>
      <c r="CT243" s="399"/>
      <c r="CU243" s="399"/>
      <c r="CV243" s="399"/>
      <c r="CW243" s="399"/>
      <c r="CX243" s="399"/>
      <c r="CY243" s="399"/>
      <c r="CZ243" s="399"/>
      <c r="DA243" s="399"/>
      <c r="DB243" s="399"/>
      <c r="DC243" s="399"/>
      <c r="DD243" s="399"/>
      <c r="DE243" s="399"/>
      <c r="DF243" s="399"/>
      <c r="DG243" s="399"/>
      <c r="DH243" s="399"/>
      <c r="DI243" s="399"/>
      <c r="DJ243" s="399"/>
      <c r="DK243" s="399"/>
      <c r="DL243" s="399"/>
      <c r="DM243" s="399"/>
      <c r="DN243" s="399"/>
      <c r="DO243" s="399"/>
      <c r="DP243" s="399"/>
      <c r="DQ243" s="399"/>
    </row>
    <row r="244" spans="1:121" s="393" customFormat="1" ht="15" customHeight="1" x14ac:dyDescent="0.25">
      <c r="A244" s="266">
        <f t="shared" si="3"/>
        <v>26.1</v>
      </c>
      <c r="B244" s="389">
        <v>42073</v>
      </c>
      <c r="C244" s="390" t="s">
        <v>904</v>
      </c>
      <c r="D244" s="390" t="s">
        <v>904</v>
      </c>
      <c r="E244" s="390" t="s">
        <v>380</v>
      </c>
      <c r="F244" s="262" t="s">
        <v>185</v>
      </c>
      <c r="G244" s="262" t="s">
        <v>229</v>
      </c>
      <c r="H244" s="261"/>
      <c r="I244" s="261"/>
      <c r="J244" s="261"/>
      <c r="K244" s="261"/>
      <c r="L244" s="261"/>
      <c r="M244" s="261"/>
      <c r="N244" s="261"/>
      <c r="O244" s="261"/>
      <c r="P244" s="261"/>
      <c r="Q244" s="261"/>
      <c r="R244" s="261"/>
      <c r="S244" s="261"/>
      <c r="T244" s="261"/>
      <c r="U244" s="261"/>
      <c r="V244" s="762"/>
      <c r="W244" s="762">
        <v>2</v>
      </c>
      <c r="X244" s="762"/>
      <c r="Y244" s="264">
        <f>IF(NFI_Expiration=1,IF($A244&lt;VLOOKUP(H$5,NFI,5,0),1,0)*Table_NFI[[#This Row],[Hygiene Kit]],Table_NFI[Hygiene Kit])</f>
        <v>0</v>
      </c>
      <c r="Z244" s="264">
        <f>IF(NFI_Expiration=1,IF($A244&lt;VLOOKUP(I$5,NFI,5,0),1,0)*Table_NFI[[#This Row],[NFI Core Kit]],Table_NFI[NFI Core Kit])</f>
        <v>0</v>
      </c>
      <c r="AA244" s="264">
        <f>IF(NFI_Expiration=1,IF($A244&lt;VLOOKUP(J$5,NFI,5,0),1,0)*Table_NFI[[#This Row],[Sanitary Kit]],Table_NFI[Sanitary Kit])</f>
        <v>0</v>
      </c>
      <c r="AB244" s="264">
        <f>IF(NFI_Expiration=1,IF($A244&lt;VLOOKUP(K$5,NFI,5,0),1,0)*Table_NFI[[#This Row],[Mosquito net]],Table_NFI[Mosquito net])</f>
        <v>0</v>
      </c>
      <c r="AC244" s="264">
        <f>IF(NFI_Expiration=1,IF($A244&lt;VLOOKUP(L$5,NFI,5,0),1,0)*Table_NFI[[#This Row],[Tarpaulin]],Table_NFI[[#This Row],[Tarpaulin]])</f>
        <v>0</v>
      </c>
      <c r="AD244" s="264">
        <f>IF(NFI_Expiration=1,IF($A244&lt;VLOOKUP(M$5,NFI,5,0),1,0)*Table_NFI[[#This Row],[Blanket]],Table_NFI[[#This Row],[Blanket]])</f>
        <v>0</v>
      </c>
      <c r="AE244" s="264">
        <f>IF(NFI_Expiration=1,IF($A244&lt;VLOOKUP(N$5,NFI,5,0),1,0)*Table_NFI[[#This Row],[Kitchen Set]],Table_NFI[Kitchen Set])</f>
        <v>0</v>
      </c>
      <c r="AF244" s="264">
        <f>IF(NFI_Expiration=1,IF($A244&lt;VLOOKUP(O$5,NFI,5,0),1,0)*Table_NFI[[#This Row],[Clothes Kit]],Table_NFI[Clothes Kit])</f>
        <v>0</v>
      </c>
      <c r="AG244" s="264">
        <f>IF(NFI_Expiration=1,IF($A244&lt;VLOOKUP(P$5,NFI,5,0),1,0)*Table_NFI[[#This Row],[Plastic Bucket]],Table_NFI[Plastic Bucket])</f>
        <v>0</v>
      </c>
      <c r="AH244" s="264">
        <f>IF(NFI_Expiration=1,IF($A244&lt;VLOOKUP(Q$5,NFI,5,0),1,0)*Table_NFI[[#This Row],[Plastic Mat]],Table_NFI[Plastic Mat])*IF(Table_NFI[[#This Row],[Distribution Date]]&gt;"2014-04-01",1,2.5)</f>
        <v>0</v>
      </c>
      <c r="AI244" s="264">
        <f>IF(NFI_Expiration=1,IF($A244&lt;VLOOKUP(R$5,NFI,5,0),1,0)*Table_NFI[[#This Row],[Winter Clothes Adult]],Table_NFI[Winter Clothes Adult])</f>
        <v>0</v>
      </c>
      <c r="AJ244" s="264">
        <f>IF(NFI_Expiration=1,IF($A244&lt;VLOOKUP(S$5,NFI,5,0),1,0)*Table_NFI[[#This Row],[Winter Clothes Children]],Table_NFI[Winter Clothes Children])</f>
        <v>0</v>
      </c>
      <c r="AK244" s="264">
        <f>IF(NFI_Expiration=1,IF($A244&lt;VLOOKUP(T$5,NFI,5,0),1,0)*Table_NFI[[#This Row],[Winter Items Other]],Table_NFI[Winter Items Other])</f>
        <v>0</v>
      </c>
      <c r="AL244" s="264">
        <f>IF(NFI_Expiration=1,IF($A244&lt;VLOOKUP(M$5,NFI,5,0),1,0)*Table_NFI[[#This Row],[Winter Blanket]],Table_NFI[[#This Row],[Winter Blanket]])</f>
        <v>0</v>
      </c>
      <c r="AM244" s="264">
        <f>IF(Table_NFI[[#This Row],[Winter Clothes Adult]]+Table_NFI[[#This Row],[Winter Clothes Children]]+Table_NFI[[#This Row],[Winter Items Other]]+Table_NFI[[#This Row],[Winter Blanket]]&gt;0,1,0)</f>
        <v>0</v>
      </c>
      <c r="AN244" s="296">
        <f>IF(NFI_Expiration=1,IF($A244&lt;VLOOKUP(V$5,NFI,5,0),1,0)*Table_NFI[[#This Row],[Jerry Can]],Table_NFI[Jerry Can])</f>
        <v>0</v>
      </c>
      <c r="AO244" s="296">
        <f>IF(NFI_Expiration=1,IF($A244&lt;VLOOKUP(V$5,NFI,5,0),1,0)*Table_NFI[[#This Row],[Shelter Tool kit]],Table_NFI[Shelter Tool kit])</f>
        <v>0</v>
      </c>
      <c r="AP244" s="296">
        <f>IF(NFI_Expiration=1,IF($A244&lt;VLOOKUP(V$5,NFI,5,0),1,0)*Table_NFI[[#This Row],[Tent]],Table_NFI[Tent])</f>
        <v>0</v>
      </c>
      <c r="AQ244" s="396" t="str">
        <f>IFERROR(VLOOKUP(Table_NFI[[#This Row],[Camp Name]],CL,2,0),"")</f>
        <v>MMR001CMP072</v>
      </c>
      <c r="AR244" s="702">
        <f ca="1">IF(Table_NFI[[#This Row],[Pcode]]="","",IF(OFFSET(CampList[Opening Date],MATCH(Table_NFI[[#This Row],[Pcode]],CampList[CP_Pcode],0)-1,0,1,1)&gt;=NFI_Monitor_Date,1,0))</f>
        <v>0</v>
      </c>
      <c r="AS244" s="396" t="str">
        <f>IFERROR(VLOOKUP(Table_NFI[[#This Row],[Camp Name]],CL,3,0),"")</f>
        <v>Open</v>
      </c>
      <c r="AT244" s="264" t="str">
        <f ca="1">IF(Table_NFI[[#This Row],[Pcode]]="","",OFFSET(CampList[Priority],MATCH(Table_NFI[[#This Row],[Pcode]],CampList[CP_Pcode],0)-1,0,1,1))</f>
        <v>P3</v>
      </c>
      <c r="AU244" s="263">
        <f>IFERROR(Table_NFI[[#This Row],[Kitchen Set]]/VLOOKUP(Table_NFI[[#This Row],[Camp Name]],CL,4,0),"")</f>
        <v>0</v>
      </c>
      <c r="AV244" s="390"/>
      <c r="AW244" s="392"/>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399"/>
      <c r="CO244" s="399"/>
      <c r="CP244" s="399"/>
      <c r="CQ244" s="399"/>
      <c r="CR244" s="399"/>
      <c r="CS244" s="399"/>
      <c r="CT244" s="399"/>
      <c r="CU244" s="399"/>
      <c r="CV244" s="399"/>
      <c r="CW244" s="399"/>
      <c r="CX244" s="399"/>
      <c r="CY244" s="399"/>
      <c r="CZ244" s="399"/>
      <c r="DA244" s="399"/>
      <c r="DB244" s="399"/>
      <c r="DC244" s="399"/>
      <c r="DD244" s="399"/>
      <c r="DE244" s="399"/>
      <c r="DF244" s="399"/>
      <c r="DG244" s="399"/>
      <c r="DH244" s="399"/>
      <c r="DI244" s="399"/>
      <c r="DJ244" s="399"/>
      <c r="DK244" s="399"/>
      <c r="DL244" s="399"/>
      <c r="DM244" s="399"/>
      <c r="DN244" s="399"/>
      <c r="DO244" s="399"/>
      <c r="DP244" s="399"/>
      <c r="DQ244" s="399"/>
    </row>
    <row r="245" spans="1:121" s="760" customFormat="1" ht="15" customHeight="1" x14ac:dyDescent="0.25">
      <c r="A245" s="266">
        <f t="shared" si="3"/>
        <v>26.266666666666666</v>
      </c>
      <c r="B245" s="389">
        <v>42068</v>
      </c>
      <c r="C245" s="390" t="s">
        <v>451</v>
      </c>
      <c r="D245" s="390" t="s">
        <v>1250</v>
      </c>
      <c r="E245" s="390" t="s">
        <v>552</v>
      </c>
      <c r="F245" s="390" t="s">
        <v>778</v>
      </c>
      <c r="G245" s="390" t="s">
        <v>1262</v>
      </c>
      <c r="H245" s="261"/>
      <c r="I245" s="261">
        <v>43</v>
      </c>
      <c r="J245" s="261">
        <v>43</v>
      </c>
      <c r="K245" s="261">
        <v>85</v>
      </c>
      <c r="L245" s="261">
        <v>43</v>
      </c>
      <c r="M245" s="261">
        <v>95</v>
      </c>
      <c r="N245" s="261">
        <v>43</v>
      </c>
      <c r="O245" s="261">
        <v>43</v>
      </c>
      <c r="P245" s="261">
        <v>43</v>
      </c>
      <c r="Q245" s="261">
        <v>95</v>
      </c>
      <c r="R245" s="261"/>
      <c r="S245" s="261"/>
      <c r="T245" s="261"/>
      <c r="U245" s="261"/>
      <c r="V245" s="762">
        <v>43</v>
      </c>
      <c r="W245" s="261"/>
      <c r="X245" s="261"/>
      <c r="Y245" s="264">
        <f>IF(NFI_Expiration=1,IF($A245&lt;VLOOKUP(H$5,NFI,5,0),1,0)*Table_NFI[[#This Row],[Hygiene Kit]],Table_NFI[Hygiene Kit])</f>
        <v>0</v>
      </c>
      <c r="Z245" s="264">
        <f>IF(NFI_Expiration=1,IF($A245&lt;VLOOKUP(I$5,NFI,5,0),1,0)*Table_NFI[[#This Row],[NFI Core Kit]],Table_NFI[NFI Core Kit])</f>
        <v>0</v>
      </c>
      <c r="AA245" s="264">
        <f>IF(NFI_Expiration=1,IF($A245&lt;VLOOKUP(J$5,NFI,5,0),1,0)*Table_NFI[[#This Row],[Sanitary Kit]],Table_NFI[Sanitary Kit])</f>
        <v>0</v>
      </c>
      <c r="AB245" s="264">
        <f>IF(NFI_Expiration=1,IF($A245&lt;VLOOKUP(K$5,NFI,5,0),1,0)*Table_NFI[[#This Row],[Mosquito net]],Table_NFI[Mosquito net])</f>
        <v>0</v>
      </c>
      <c r="AC245" s="264">
        <f>IF(NFI_Expiration=1,IF($A245&lt;VLOOKUP(L$5,NFI,5,0),1,0)*Table_NFI[[#This Row],[Tarpaulin]],Table_NFI[[#This Row],[Tarpaulin]])</f>
        <v>0</v>
      </c>
      <c r="AD245" s="264">
        <f>IF(NFI_Expiration=1,IF($A245&lt;VLOOKUP(M$5,NFI,5,0),1,0)*Table_NFI[[#This Row],[Blanket]],Table_NFI[[#This Row],[Blanket]])</f>
        <v>0</v>
      </c>
      <c r="AE245" s="264">
        <f>IF(NFI_Expiration=1,IF($A245&lt;VLOOKUP(N$5,NFI,5,0),1,0)*Table_NFI[[#This Row],[Kitchen Set]],Table_NFI[Kitchen Set])</f>
        <v>0</v>
      </c>
      <c r="AF245" s="264">
        <f>IF(NFI_Expiration=1,IF($A245&lt;VLOOKUP(O$5,NFI,5,0),1,0)*Table_NFI[[#This Row],[Clothes Kit]],Table_NFI[Clothes Kit])</f>
        <v>0</v>
      </c>
      <c r="AG245" s="264">
        <f>IF(NFI_Expiration=1,IF($A245&lt;VLOOKUP(P$5,NFI,5,0),1,0)*Table_NFI[[#This Row],[Plastic Bucket]],Table_NFI[Plastic Bucket])</f>
        <v>0</v>
      </c>
      <c r="AH245" s="264">
        <f>IF(NFI_Expiration=1,IF($A245&lt;VLOOKUP(Q$5,NFI,5,0),1,0)*Table_NFI[[#This Row],[Plastic Mat]],Table_NFI[Plastic Mat])*IF(Table_NFI[[#This Row],[Distribution Date]]&gt;"2014-04-01",1,2.5)</f>
        <v>0</v>
      </c>
      <c r="AI245" s="264">
        <f>IF(NFI_Expiration=1,IF($A245&lt;VLOOKUP(R$5,NFI,5,0),1,0)*Table_NFI[[#This Row],[Winter Clothes Adult]],Table_NFI[Winter Clothes Adult])</f>
        <v>0</v>
      </c>
      <c r="AJ245" s="264">
        <f>IF(NFI_Expiration=1,IF($A245&lt;VLOOKUP(S$5,NFI,5,0),1,0)*Table_NFI[[#This Row],[Winter Clothes Children]],Table_NFI[Winter Clothes Children])</f>
        <v>0</v>
      </c>
      <c r="AK245" s="264">
        <f>IF(NFI_Expiration=1,IF($A245&lt;VLOOKUP(T$5,NFI,5,0),1,0)*Table_NFI[[#This Row],[Winter Items Other]],Table_NFI[Winter Items Other])</f>
        <v>0</v>
      </c>
      <c r="AL245" s="264">
        <f>IF(NFI_Expiration=1,IF($A245&lt;VLOOKUP(M$5,NFI,5,0),1,0)*Table_NFI[[#This Row],[Winter Blanket]],Table_NFI[[#This Row],[Winter Blanket]])</f>
        <v>0</v>
      </c>
      <c r="AM245" s="264">
        <f>IF(Table_NFI[[#This Row],[Winter Clothes Adult]]+Table_NFI[[#This Row],[Winter Clothes Children]]+Table_NFI[[#This Row],[Winter Items Other]]+Table_NFI[[#This Row],[Winter Blanket]]&gt;0,1,0)</f>
        <v>0</v>
      </c>
      <c r="AN245" s="296">
        <f>IF(NFI_Expiration=1,IF($A245&lt;VLOOKUP(V$5,NFI,5,0),1,0)*Table_NFI[[#This Row],[Jerry Can]],Table_NFI[Jerry Can])</f>
        <v>0</v>
      </c>
      <c r="AO245" s="296">
        <f>IF(NFI_Expiration=1,IF($A245&lt;VLOOKUP(V$5,NFI,5,0),1,0)*Table_NFI[[#This Row],[Shelter Tool kit]],Table_NFI[Shelter Tool kit])</f>
        <v>0</v>
      </c>
      <c r="AP245" s="296">
        <f>IF(NFI_Expiration=1,IF($A245&lt;VLOOKUP(V$5,NFI,5,0),1,0)*Table_NFI[[#This Row],[Tent]],Table_NFI[Tent])</f>
        <v>0</v>
      </c>
      <c r="AQ245" s="396" t="str">
        <f>IFERROR(VLOOKUP(Table_NFI[[#This Row],[Camp Name]],CL,2,0),"")</f>
        <v>MMR015CMP218</v>
      </c>
      <c r="AR245" s="702">
        <f ca="1">IF(Table_NFI[[#This Row],[Pcode]]="","",IF(OFFSET(CampList[Opening Date],MATCH(Table_NFI[[#This Row],[Pcode]],CampList[CP_Pcode],0)-1,0,1,1)&gt;=NFI_Monitor_Date,1,0))</f>
        <v>1</v>
      </c>
      <c r="AS245" s="396" t="str">
        <f>IFERROR(VLOOKUP(Table_NFI[[#This Row],[Camp Name]],CL,3,0),"")</f>
        <v>Open</v>
      </c>
      <c r="AT245" s="264">
        <f ca="1">IF(Table_NFI[[#This Row],[Pcode]]="","",OFFSET(CampList[Priority],MATCH(Table_NFI[[#This Row],[Pcode]],CampList[CP_Pcode],0)-1,0,1,1))</f>
        <v>0</v>
      </c>
      <c r="AU245" s="263">
        <f>IFERROR(Table_NFI[[#This Row],[Kitchen Set]]/VLOOKUP(Table_NFI[[#This Row],[Camp Name]],CL,4,0),"")</f>
        <v>1.0229327243315254E-3</v>
      </c>
      <c r="AV245" s="390" t="s">
        <v>1087</v>
      </c>
      <c r="AW245" s="407"/>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399"/>
      <c r="CO245" s="399"/>
      <c r="CP245" s="399"/>
      <c r="CQ245" s="399"/>
      <c r="CR245" s="399"/>
      <c r="CS245" s="399"/>
      <c r="CT245" s="399"/>
      <c r="CU245" s="399"/>
      <c r="CV245" s="399"/>
      <c r="CW245" s="399"/>
      <c r="CX245" s="399"/>
      <c r="CY245" s="399"/>
      <c r="CZ245" s="399"/>
      <c r="DA245" s="399"/>
      <c r="DB245" s="399"/>
      <c r="DC245" s="399"/>
      <c r="DD245" s="399"/>
      <c r="DE245" s="399"/>
      <c r="DF245" s="399"/>
      <c r="DG245" s="399"/>
      <c r="DH245" s="399"/>
      <c r="DI245" s="399"/>
      <c r="DJ245" s="399"/>
      <c r="DK245" s="399"/>
      <c r="DL245" s="399"/>
      <c r="DM245" s="399"/>
      <c r="DN245" s="399"/>
      <c r="DO245" s="399"/>
      <c r="DP245" s="399"/>
      <c r="DQ245" s="399"/>
    </row>
    <row r="246" spans="1:121" s="760" customFormat="1" ht="15" customHeight="1" x14ac:dyDescent="0.25">
      <c r="A246" s="266">
        <f t="shared" si="3"/>
        <v>26.5</v>
      </c>
      <c r="B246" s="389">
        <v>42061</v>
      </c>
      <c r="C246" s="390" t="s">
        <v>904</v>
      </c>
      <c r="D246" s="390" t="s">
        <v>904</v>
      </c>
      <c r="E246" s="390" t="s">
        <v>380</v>
      </c>
      <c r="F246" s="262" t="s">
        <v>5</v>
      </c>
      <c r="G246" s="262" t="s">
        <v>6</v>
      </c>
      <c r="H246" s="261"/>
      <c r="I246" s="261"/>
      <c r="J246" s="261"/>
      <c r="K246" s="261"/>
      <c r="L246" s="261"/>
      <c r="M246" s="261"/>
      <c r="N246" s="261"/>
      <c r="O246" s="261"/>
      <c r="P246" s="261"/>
      <c r="Q246" s="261"/>
      <c r="R246" s="261"/>
      <c r="S246" s="261"/>
      <c r="T246" s="261"/>
      <c r="U246" s="261"/>
      <c r="V246" s="762"/>
      <c r="W246" s="261">
        <v>37</v>
      </c>
      <c r="X246" s="261"/>
      <c r="Y246" s="264">
        <f>IF(NFI_Expiration=1,IF($A246&lt;VLOOKUP(H$5,NFI,5,0),1,0)*Table_NFI[[#This Row],[Hygiene Kit]],Table_NFI[Hygiene Kit])</f>
        <v>0</v>
      </c>
      <c r="Z246" s="264">
        <f>IF(NFI_Expiration=1,IF($A246&lt;VLOOKUP(I$5,NFI,5,0),1,0)*Table_NFI[[#This Row],[NFI Core Kit]],Table_NFI[NFI Core Kit])</f>
        <v>0</v>
      </c>
      <c r="AA246" s="264">
        <f>IF(NFI_Expiration=1,IF($A246&lt;VLOOKUP(J$5,NFI,5,0),1,0)*Table_NFI[[#This Row],[Sanitary Kit]],Table_NFI[Sanitary Kit])</f>
        <v>0</v>
      </c>
      <c r="AB246" s="264">
        <f>IF(NFI_Expiration=1,IF($A246&lt;VLOOKUP(K$5,NFI,5,0),1,0)*Table_NFI[[#This Row],[Mosquito net]],Table_NFI[Mosquito net])</f>
        <v>0</v>
      </c>
      <c r="AC246" s="264">
        <f>IF(NFI_Expiration=1,IF($A246&lt;VLOOKUP(L$5,NFI,5,0),1,0)*Table_NFI[[#This Row],[Tarpaulin]],Table_NFI[[#This Row],[Tarpaulin]])</f>
        <v>0</v>
      </c>
      <c r="AD246" s="264">
        <f>IF(NFI_Expiration=1,IF($A246&lt;VLOOKUP(M$5,NFI,5,0),1,0)*Table_NFI[[#This Row],[Blanket]],Table_NFI[[#This Row],[Blanket]])</f>
        <v>0</v>
      </c>
      <c r="AE246" s="264">
        <f>IF(NFI_Expiration=1,IF($A246&lt;VLOOKUP(N$5,NFI,5,0),1,0)*Table_NFI[[#This Row],[Kitchen Set]],Table_NFI[Kitchen Set])</f>
        <v>0</v>
      </c>
      <c r="AF246" s="264">
        <f>IF(NFI_Expiration=1,IF($A246&lt;VLOOKUP(O$5,NFI,5,0),1,0)*Table_NFI[[#This Row],[Clothes Kit]],Table_NFI[Clothes Kit])</f>
        <v>0</v>
      </c>
      <c r="AG246" s="264">
        <f>IF(NFI_Expiration=1,IF($A246&lt;VLOOKUP(P$5,NFI,5,0),1,0)*Table_NFI[[#This Row],[Plastic Bucket]],Table_NFI[Plastic Bucket])</f>
        <v>0</v>
      </c>
      <c r="AH246" s="264">
        <f>IF(NFI_Expiration=1,IF($A246&lt;VLOOKUP(Q$5,NFI,5,0),1,0)*Table_NFI[[#This Row],[Plastic Mat]],Table_NFI[Plastic Mat])*IF(Table_NFI[[#This Row],[Distribution Date]]&gt;"2014-04-01",1,2.5)</f>
        <v>0</v>
      </c>
      <c r="AI246" s="264">
        <f>IF(NFI_Expiration=1,IF($A246&lt;VLOOKUP(R$5,NFI,5,0),1,0)*Table_NFI[[#This Row],[Winter Clothes Adult]],Table_NFI[Winter Clothes Adult])</f>
        <v>0</v>
      </c>
      <c r="AJ246" s="264">
        <f>IF(NFI_Expiration=1,IF($A246&lt;VLOOKUP(S$5,NFI,5,0),1,0)*Table_NFI[[#This Row],[Winter Clothes Children]],Table_NFI[Winter Clothes Children])</f>
        <v>0</v>
      </c>
      <c r="AK246" s="264">
        <f>IF(NFI_Expiration=1,IF($A246&lt;VLOOKUP(T$5,NFI,5,0),1,0)*Table_NFI[[#This Row],[Winter Items Other]],Table_NFI[Winter Items Other])</f>
        <v>0</v>
      </c>
      <c r="AL246" s="264">
        <f>IF(NFI_Expiration=1,IF($A246&lt;VLOOKUP(M$5,NFI,5,0),1,0)*Table_NFI[[#This Row],[Winter Blanket]],Table_NFI[[#This Row],[Winter Blanket]])</f>
        <v>0</v>
      </c>
      <c r="AM246" s="264">
        <f>IF(Table_NFI[[#This Row],[Winter Clothes Adult]]+Table_NFI[[#This Row],[Winter Clothes Children]]+Table_NFI[[#This Row],[Winter Items Other]]+Table_NFI[[#This Row],[Winter Blanket]]&gt;0,1,0)</f>
        <v>0</v>
      </c>
      <c r="AN246" s="296">
        <f>IF(NFI_Expiration=1,IF($A246&lt;VLOOKUP(V$5,NFI,5,0),1,0)*Table_NFI[[#This Row],[Jerry Can]],Table_NFI[Jerry Can])</f>
        <v>0</v>
      </c>
      <c r="AO246" s="296">
        <f>IF(NFI_Expiration=1,IF($A246&lt;VLOOKUP(V$5,NFI,5,0),1,0)*Table_NFI[[#This Row],[Shelter Tool kit]],Table_NFI[Shelter Tool kit])</f>
        <v>0</v>
      </c>
      <c r="AP246" s="296">
        <f>IF(NFI_Expiration=1,IF($A246&lt;VLOOKUP(V$5,NFI,5,0),1,0)*Table_NFI[[#This Row],[Tent]],Table_NFI[Tent])</f>
        <v>0</v>
      </c>
      <c r="AQ246" s="396" t="str">
        <f>IFERROR(VLOOKUP(Table_NFI[[#This Row],[Camp Name]],CL,2,0),"")</f>
        <v>MMR001CMP050</v>
      </c>
      <c r="AR246" s="702">
        <f ca="1">IF(Table_NFI[[#This Row],[Pcode]]="","",IF(OFFSET(CampList[Opening Date],MATCH(Table_NFI[[#This Row],[Pcode]],CampList[CP_Pcode],0)-1,0,1,1)&gt;=NFI_Monitor_Date,1,0))</f>
        <v>0</v>
      </c>
      <c r="AS246" s="396" t="str">
        <f>IFERROR(VLOOKUP(Table_NFI[[#This Row],[Camp Name]],CL,3,0),"")</f>
        <v>Open</v>
      </c>
      <c r="AT246" s="264" t="str">
        <f ca="1">IF(Table_NFI[[#This Row],[Pcode]]="","",OFFSET(CampList[Priority],MATCH(Table_NFI[[#This Row],[Pcode]],CampList[CP_Pcode],0)-1,0,1,1))</f>
        <v>P4</v>
      </c>
      <c r="AU246" s="263">
        <f>IFERROR(Table_NFI[[#This Row],[Kitchen Set]]/VLOOKUP(Table_NFI[[#This Row],[Camp Name]],CL,4,0),"")</f>
        <v>0</v>
      </c>
      <c r="AV246" s="390"/>
      <c r="AW246" s="392"/>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399"/>
      <c r="CO246" s="399"/>
      <c r="CP246" s="399"/>
      <c r="CQ246" s="399"/>
      <c r="CR246" s="399"/>
      <c r="CS246" s="399"/>
      <c r="CT246" s="399"/>
      <c r="CU246" s="399"/>
      <c r="CV246" s="399"/>
      <c r="CW246" s="399"/>
      <c r="CX246" s="399"/>
      <c r="CY246" s="399"/>
      <c r="CZ246" s="399"/>
      <c r="DA246" s="399"/>
      <c r="DB246" s="399"/>
      <c r="DC246" s="399"/>
      <c r="DD246" s="399"/>
      <c r="DE246" s="399"/>
      <c r="DF246" s="399"/>
      <c r="DG246" s="399"/>
      <c r="DH246" s="399"/>
      <c r="DI246" s="399"/>
      <c r="DJ246" s="399"/>
      <c r="DK246" s="399"/>
      <c r="DL246" s="399"/>
      <c r="DM246" s="399"/>
      <c r="DN246" s="399"/>
      <c r="DO246" s="399"/>
      <c r="DP246" s="399"/>
      <c r="DQ246" s="399"/>
    </row>
    <row r="247" spans="1:121" s="760" customFormat="1" ht="15" customHeight="1" x14ac:dyDescent="0.2">
      <c r="A247" s="266">
        <f t="shared" si="3"/>
        <v>26.533333333333335</v>
      </c>
      <c r="B247" s="389">
        <v>42060</v>
      </c>
      <c r="C247" s="390" t="s">
        <v>904</v>
      </c>
      <c r="D247" s="391" t="s">
        <v>904</v>
      </c>
      <c r="E247" s="390" t="s">
        <v>380</v>
      </c>
      <c r="F247" s="262" t="s">
        <v>5</v>
      </c>
      <c r="G247" s="262" t="s">
        <v>22</v>
      </c>
      <c r="H247" s="261"/>
      <c r="I247" s="261"/>
      <c r="J247" s="261"/>
      <c r="K247" s="261"/>
      <c r="L247" s="261"/>
      <c r="M247" s="261"/>
      <c r="N247" s="261"/>
      <c r="O247" s="261"/>
      <c r="P247" s="261"/>
      <c r="Q247" s="261"/>
      <c r="R247" s="261"/>
      <c r="S247" s="261"/>
      <c r="T247" s="261"/>
      <c r="U247" s="261"/>
      <c r="V247" s="762"/>
      <c r="W247" s="769">
        <v>76</v>
      </c>
      <c r="X247" s="762"/>
      <c r="Y247" s="264">
        <f>IF(NFI_Expiration=1,IF($A247&lt;VLOOKUP(H$5,NFI,5,0),1,0)*Table_NFI[[#This Row],[Hygiene Kit]],Table_NFI[Hygiene Kit])</f>
        <v>0</v>
      </c>
      <c r="Z247" s="264">
        <f>IF(NFI_Expiration=1,IF($A247&lt;VLOOKUP(I$5,NFI,5,0),1,0)*Table_NFI[[#This Row],[NFI Core Kit]],Table_NFI[NFI Core Kit])</f>
        <v>0</v>
      </c>
      <c r="AA247" s="264">
        <f>IF(NFI_Expiration=1,IF($A247&lt;VLOOKUP(J$5,NFI,5,0),1,0)*Table_NFI[[#This Row],[Sanitary Kit]],Table_NFI[Sanitary Kit])</f>
        <v>0</v>
      </c>
      <c r="AB247" s="264">
        <f>IF(NFI_Expiration=1,IF($A247&lt;VLOOKUP(K$5,NFI,5,0),1,0)*Table_NFI[[#This Row],[Mosquito net]],Table_NFI[Mosquito net])</f>
        <v>0</v>
      </c>
      <c r="AC247" s="264">
        <f>IF(NFI_Expiration=1,IF($A247&lt;VLOOKUP(L$5,NFI,5,0),1,0)*Table_NFI[[#This Row],[Tarpaulin]],Table_NFI[[#This Row],[Tarpaulin]])</f>
        <v>0</v>
      </c>
      <c r="AD247" s="264">
        <f>IF(NFI_Expiration=1,IF($A247&lt;VLOOKUP(M$5,NFI,5,0),1,0)*Table_NFI[[#This Row],[Blanket]],Table_NFI[[#This Row],[Blanket]])</f>
        <v>0</v>
      </c>
      <c r="AE247" s="264">
        <f>IF(NFI_Expiration=1,IF($A247&lt;VLOOKUP(N$5,NFI,5,0),1,0)*Table_NFI[[#This Row],[Kitchen Set]],Table_NFI[Kitchen Set])</f>
        <v>0</v>
      </c>
      <c r="AF247" s="264">
        <f>IF(NFI_Expiration=1,IF($A247&lt;VLOOKUP(O$5,NFI,5,0),1,0)*Table_NFI[[#This Row],[Clothes Kit]],Table_NFI[Clothes Kit])</f>
        <v>0</v>
      </c>
      <c r="AG247" s="264">
        <f>IF(NFI_Expiration=1,IF($A247&lt;VLOOKUP(P$5,NFI,5,0),1,0)*Table_NFI[[#This Row],[Plastic Bucket]],Table_NFI[Plastic Bucket])</f>
        <v>0</v>
      </c>
      <c r="AH247" s="264">
        <f>IF(NFI_Expiration=1,IF($A247&lt;VLOOKUP(Q$5,NFI,5,0),1,0)*Table_NFI[[#This Row],[Plastic Mat]],Table_NFI[Plastic Mat])*IF(Table_NFI[[#This Row],[Distribution Date]]&gt;"2014-04-01",1,2.5)</f>
        <v>0</v>
      </c>
      <c r="AI247" s="264">
        <f>IF(NFI_Expiration=1,IF($A247&lt;VLOOKUP(R$5,NFI,5,0),1,0)*Table_NFI[[#This Row],[Winter Clothes Adult]],Table_NFI[Winter Clothes Adult])</f>
        <v>0</v>
      </c>
      <c r="AJ247" s="264">
        <f>IF(NFI_Expiration=1,IF($A247&lt;VLOOKUP(S$5,NFI,5,0),1,0)*Table_NFI[[#This Row],[Winter Clothes Children]],Table_NFI[Winter Clothes Children])</f>
        <v>0</v>
      </c>
      <c r="AK247" s="264">
        <f>IF(NFI_Expiration=1,IF($A247&lt;VLOOKUP(T$5,NFI,5,0),1,0)*Table_NFI[[#This Row],[Winter Items Other]],Table_NFI[Winter Items Other])</f>
        <v>0</v>
      </c>
      <c r="AL247" s="264">
        <f>IF(NFI_Expiration=1,IF($A247&lt;VLOOKUP(M$5,NFI,5,0),1,0)*Table_NFI[[#This Row],[Winter Blanket]],Table_NFI[[#This Row],[Winter Blanket]])</f>
        <v>0</v>
      </c>
      <c r="AM247" s="264">
        <f>IF(Table_NFI[[#This Row],[Winter Clothes Adult]]+Table_NFI[[#This Row],[Winter Clothes Children]]+Table_NFI[[#This Row],[Winter Items Other]]+Table_NFI[[#This Row],[Winter Blanket]]&gt;0,1,0)</f>
        <v>0</v>
      </c>
      <c r="AN247" s="296">
        <f>IF(NFI_Expiration=1,IF($A247&lt;VLOOKUP(V$5,NFI,5,0),1,0)*Table_NFI[[#This Row],[Jerry Can]],Table_NFI[Jerry Can])</f>
        <v>0</v>
      </c>
      <c r="AO247" s="296">
        <f>IF(NFI_Expiration=1,IF($A247&lt;VLOOKUP(V$5,NFI,5,0),1,0)*Table_NFI[[#This Row],[Shelter Tool kit]],Table_NFI[Shelter Tool kit])</f>
        <v>0</v>
      </c>
      <c r="AP247" s="296">
        <f>IF(NFI_Expiration=1,IF($A247&lt;VLOOKUP(V$5,NFI,5,0),1,0)*Table_NFI[[#This Row],[Tent]],Table_NFI[Tent])</f>
        <v>0</v>
      </c>
      <c r="AQ247" s="396" t="str">
        <f>IFERROR(VLOOKUP(Table_NFI[[#This Row],[Camp Name]],CL,2,0),"")</f>
        <v>MMR001CMP047</v>
      </c>
      <c r="AR247" s="702">
        <f ca="1">IF(Table_NFI[[#This Row],[Pcode]]="","",IF(OFFSET(CampList[Opening Date],MATCH(Table_NFI[[#This Row],[Pcode]],CampList[CP_Pcode],0)-1,0,1,1)&gt;=NFI_Monitor_Date,1,0))</f>
        <v>0</v>
      </c>
      <c r="AS247" s="396" t="str">
        <f>IFERROR(VLOOKUP(Table_NFI[[#This Row],[Camp Name]],CL,3,0),"")</f>
        <v>Open</v>
      </c>
      <c r="AT247" s="264" t="str">
        <f ca="1">IF(Table_NFI[[#This Row],[Pcode]]="","",OFFSET(CampList[Priority],MATCH(Table_NFI[[#This Row],[Pcode]],CampList[CP_Pcode],0)-1,0,1,1))</f>
        <v>P4</v>
      </c>
      <c r="AU247" s="263">
        <f>IFERROR(Table_NFI[[#This Row],[Kitchen Set]]/VLOOKUP(Table_NFI[[#This Row],[Camp Name]],CL,4,0),"")</f>
        <v>0</v>
      </c>
      <c r="AV247" s="390"/>
      <c r="AW247" s="392"/>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399"/>
      <c r="CO247" s="399"/>
      <c r="CP247" s="399"/>
      <c r="CQ247" s="399"/>
      <c r="CR247" s="399"/>
      <c r="CS247" s="399"/>
      <c r="CT247" s="399"/>
      <c r="CU247" s="399"/>
      <c r="CV247" s="399"/>
      <c r="CW247" s="399"/>
      <c r="CX247" s="399"/>
      <c r="CY247" s="399"/>
      <c r="CZ247" s="399"/>
      <c r="DA247" s="399"/>
      <c r="DB247" s="399"/>
      <c r="DC247" s="399"/>
      <c r="DD247" s="399"/>
      <c r="DE247" s="399"/>
      <c r="DF247" s="399"/>
      <c r="DG247" s="399"/>
      <c r="DH247" s="399"/>
      <c r="DI247" s="399"/>
      <c r="DJ247" s="399"/>
      <c r="DK247" s="399"/>
      <c r="DL247" s="399"/>
      <c r="DM247" s="399"/>
      <c r="DN247" s="399"/>
      <c r="DO247" s="399"/>
      <c r="DP247" s="399"/>
      <c r="DQ247" s="399"/>
    </row>
    <row r="248" spans="1:121" s="760" customFormat="1" ht="14.45" customHeight="1" x14ac:dyDescent="0.25">
      <c r="A248" s="266">
        <f t="shared" si="3"/>
        <v>26.666666666666668</v>
      </c>
      <c r="B248" s="389">
        <v>42056</v>
      </c>
      <c r="C248" s="394" t="s">
        <v>451</v>
      </c>
      <c r="D248" s="394" t="s">
        <v>1250</v>
      </c>
      <c r="E248" s="394" t="s">
        <v>552</v>
      </c>
      <c r="F248" s="394" t="s">
        <v>146</v>
      </c>
      <c r="G248" s="394" t="s">
        <v>373</v>
      </c>
      <c r="H248" s="261"/>
      <c r="I248" s="261">
        <v>54</v>
      </c>
      <c r="J248" s="261">
        <v>36</v>
      </c>
      <c r="K248" s="261">
        <v>108</v>
      </c>
      <c r="L248" s="261">
        <v>54</v>
      </c>
      <c r="M248" s="261">
        <v>108</v>
      </c>
      <c r="N248" s="261">
        <v>54</v>
      </c>
      <c r="O248" s="261">
        <v>54</v>
      </c>
      <c r="P248" s="261">
        <v>54</v>
      </c>
      <c r="Q248" s="261">
        <v>108</v>
      </c>
      <c r="R248" s="261"/>
      <c r="S248" s="261"/>
      <c r="T248" s="261"/>
      <c r="U248" s="261"/>
      <c r="V248" s="762">
        <v>54</v>
      </c>
      <c r="W248" s="261"/>
      <c r="X248" s="261"/>
      <c r="Y248" s="264">
        <f>IF(NFI_Expiration=1,IF($A248&lt;VLOOKUP(H$5,NFI,5,0),1,0)*Table_NFI[[#This Row],[Hygiene Kit]],Table_NFI[Hygiene Kit])</f>
        <v>0</v>
      </c>
      <c r="Z248" s="264">
        <f>IF(NFI_Expiration=1,IF($A248&lt;VLOOKUP(I$5,NFI,5,0),1,0)*Table_NFI[[#This Row],[NFI Core Kit]],Table_NFI[NFI Core Kit])</f>
        <v>0</v>
      </c>
      <c r="AA248" s="264">
        <f>IF(NFI_Expiration=1,IF($A248&lt;VLOOKUP(J$5,NFI,5,0),1,0)*Table_NFI[[#This Row],[Sanitary Kit]],Table_NFI[Sanitary Kit])</f>
        <v>0</v>
      </c>
      <c r="AB248" s="264">
        <f>IF(NFI_Expiration=1,IF($A248&lt;VLOOKUP(K$5,NFI,5,0),1,0)*Table_NFI[[#This Row],[Mosquito net]],Table_NFI[Mosquito net])</f>
        <v>0</v>
      </c>
      <c r="AC248" s="264">
        <f>IF(NFI_Expiration=1,IF($A248&lt;VLOOKUP(L$5,NFI,5,0),1,0)*Table_NFI[[#This Row],[Tarpaulin]],Table_NFI[[#This Row],[Tarpaulin]])</f>
        <v>0</v>
      </c>
      <c r="AD248" s="264">
        <f>IF(NFI_Expiration=1,IF($A248&lt;VLOOKUP(M$5,NFI,5,0),1,0)*Table_NFI[[#This Row],[Blanket]],Table_NFI[[#This Row],[Blanket]])</f>
        <v>0</v>
      </c>
      <c r="AE248" s="264">
        <f>IF(NFI_Expiration=1,IF($A248&lt;VLOOKUP(N$5,NFI,5,0),1,0)*Table_NFI[[#This Row],[Kitchen Set]],Table_NFI[Kitchen Set])</f>
        <v>0</v>
      </c>
      <c r="AF248" s="264">
        <f>IF(NFI_Expiration=1,IF($A248&lt;VLOOKUP(O$5,NFI,5,0),1,0)*Table_NFI[[#This Row],[Clothes Kit]],Table_NFI[Clothes Kit])</f>
        <v>0</v>
      </c>
      <c r="AG248" s="264">
        <f>IF(NFI_Expiration=1,IF($A248&lt;VLOOKUP(P$5,NFI,5,0),1,0)*Table_NFI[[#This Row],[Plastic Bucket]],Table_NFI[Plastic Bucket])</f>
        <v>0</v>
      </c>
      <c r="AH248" s="264">
        <f>IF(NFI_Expiration=1,IF($A248&lt;VLOOKUP(Q$5,NFI,5,0),1,0)*Table_NFI[[#This Row],[Plastic Mat]],Table_NFI[Plastic Mat])*IF(Table_NFI[[#This Row],[Distribution Date]]&gt;"2014-04-01",1,2.5)</f>
        <v>0</v>
      </c>
      <c r="AI248" s="264">
        <f>IF(NFI_Expiration=1,IF($A248&lt;VLOOKUP(R$5,NFI,5,0),1,0)*Table_NFI[[#This Row],[Winter Clothes Adult]],Table_NFI[Winter Clothes Adult])</f>
        <v>0</v>
      </c>
      <c r="AJ248" s="264">
        <f>IF(NFI_Expiration=1,IF($A248&lt;VLOOKUP(S$5,NFI,5,0),1,0)*Table_NFI[[#This Row],[Winter Clothes Children]],Table_NFI[Winter Clothes Children])</f>
        <v>0</v>
      </c>
      <c r="AK248" s="264">
        <f>IF(NFI_Expiration=1,IF($A248&lt;VLOOKUP(T$5,NFI,5,0),1,0)*Table_NFI[[#This Row],[Winter Items Other]],Table_NFI[Winter Items Other])</f>
        <v>0</v>
      </c>
      <c r="AL248" s="264">
        <f>IF(NFI_Expiration=1,IF($A248&lt;VLOOKUP(M$5,NFI,5,0),1,0)*Table_NFI[[#This Row],[Winter Blanket]],Table_NFI[[#This Row],[Winter Blanket]])</f>
        <v>0</v>
      </c>
      <c r="AM248" s="264">
        <f>IF(Table_NFI[[#This Row],[Winter Clothes Adult]]+Table_NFI[[#This Row],[Winter Clothes Children]]+Table_NFI[[#This Row],[Winter Items Other]]+Table_NFI[[#This Row],[Winter Blanket]]&gt;0,1,0)</f>
        <v>0</v>
      </c>
      <c r="AN248" s="296">
        <f>IF(NFI_Expiration=1,IF($A248&lt;VLOOKUP(V$5,NFI,5,0),1,0)*Table_NFI[[#This Row],[Jerry Can]],Table_NFI[Jerry Can])</f>
        <v>0</v>
      </c>
      <c r="AO248" s="296">
        <f>IF(NFI_Expiration=1,IF($A248&lt;VLOOKUP(V$5,NFI,5,0),1,0)*Table_NFI[[#This Row],[Shelter Tool kit]],Table_NFI[Shelter Tool kit])</f>
        <v>0</v>
      </c>
      <c r="AP248" s="296">
        <f>IF(NFI_Expiration=1,IF($A248&lt;VLOOKUP(V$5,NFI,5,0),1,0)*Table_NFI[[#This Row],[Tent]],Table_NFI[Tent])</f>
        <v>0</v>
      </c>
      <c r="AQ248" s="396" t="str">
        <f>IFERROR(VLOOKUP(Table_NFI[[#This Row],[Camp Name]],CL,2,0),"")</f>
        <v>MMR015CMP020</v>
      </c>
      <c r="AR248" s="702">
        <f ca="1">IF(Table_NFI[[#This Row],[Pcode]]="","",IF(OFFSET(CampList[Opening Date],MATCH(Table_NFI[[#This Row],[Pcode]],CampList[CP_Pcode],0)-1,0,1,1)&gt;=NFI_Monitor_Date,1,0))</f>
        <v>0</v>
      </c>
      <c r="AS248" s="396" t="str">
        <f>IFERROR(VLOOKUP(Table_NFI[[#This Row],[Camp Name]],CL,3,0),"")</f>
        <v>Open</v>
      </c>
      <c r="AT248" s="264" t="str">
        <f ca="1">IF(Table_NFI[[#This Row],[Pcode]]="","",OFFSET(CampList[Priority],MATCH(Table_NFI[[#This Row],[Pcode]],CampList[CP_Pcode],0)-1,0,1,1))</f>
        <v>P3</v>
      </c>
      <c r="AU248" s="263">
        <f>IFERROR(Table_NFI[[#This Row],[Kitchen Set]]/VLOOKUP(Table_NFI[[#This Row],[Camp Name]],CL,4,0),"")</f>
        <v>1.3092813500145475E-3</v>
      </c>
      <c r="AV248" s="390" t="s">
        <v>1087</v>
      </c>
      <c r="AW248" s="397"/>
      <c r="AX248" s="399"/>
      <c r="AY248" s="399"/>
      <c r="AZ248" s="399"/>
      <c r="BA248" s="399"/>
      <c r="BB248" s="399"/>
      <c r="BC248" s="399"/>
      <c r="BD248" s="399"/>
      <c r="BE248" s="399"/>
      <c r="BF248" s="399"/>
      <c r="BG248" s="399"/>
      <c r="BH248" s="399"/>
      <c r="BI248" s="399"/>
      <c r="BJ248" s="399"/>
      <c r="BK248" s="399"/>
      <c r="BL248" s="399"/>
      <c r="BM248" s="399"/>
      <c r="BN248" s="399"/>
      <c r="BO248" s="399"/>
      <c r="BP248" s="399"/>
      <c r="BQ248" s="399"/>
      <c r="BR248" s="399"/>
      <c r="BS248" s="399"/>
      <c r="BT248" s="399"/>
      <c r="BU248" s="399"/>
      <c r="BV248" s="399"/>
      <c r="BW248" s="399"/>
      <c r="BX248" s="399"/>
      <c r="BY248" s="399"/>
      <c r="BZ248" s="399"/>
      <c r="CA248" s="399"/>
      <c r="CB248" s="399"/>
      <c r="CC248" s="399"/>
      <c r="CD248" s="399"/>
      <c r="CE248" s="399"/>
      <c r="CF248" s="399"/>
      <c r="CG248" s="399"/>
      <c r="CH248" s="399"/>
      <c r="CI248" s="399"/>
      <c r="CJ248" s="399"/>
      <c r="CK248" s="399"/>
      <c r="CL248" s="399"/>
      <c r="CM248" s="399"/>
      <c r="CN248" s="399"/>
      <c r="CO248" s="399"/>
      <c r="CP248" s="399"/>
      <c r="CQ248" s="399"/>
      <c r="CR248" s="399"/>
      <c r="CS248" s="399"/>
      <c r="CT248" s="399"/>
      <c r="CU248" s="399"/>
      <c r="CV248" s="399"/>
      <c r="CW248" s="399"/>
      <c r="CX248" s="399"/>
      <c r="CY248" s="399"/>
      <c r="CZ248" s="399"/>
      <c r="DA248" s="399"/>
      <c r="DB248" s="399"/>
      <c r="DC248" s="399"/>
      <c r="DD248" s="399"/>
      <c r="DE248" s="399"/>
      <c r="DF248" s="399"/>
      <c r="DG248" s="399"/>
      <c r="DH248" s="399"/>
      <c r="DI248" s="399"/>
      <c r="DJ248" s="399"/>
      <c r="DK248" s="399"/>
      <c r="DL248" s="399"/>
      <c r="DM248" s="399"/>
      <c r="DN248" s="399"/>
      <c r="DO248" s="399"/>
      <c r="DP248" s="399"/>
      <c r="DQ248" s="399"/>
    </row>
    <row r="249" spans="1:121" s="760" customFormat="1" ht="15" customHeight="1" x14ac:dyDescent="0.25">
      <c r="A249" s="266">
        <f t="shared" si="3"/>
        <v>26.666666666666668</v>
      </c>
      <c r="B249" s="389">
        <v>42056</v>
      </c>
      <c r="C249" s="390" t="s">
        <v>451</v>
      </c>
      <c r="D249" s="390" t="s">
        <v>451</v>
      </c>
      <c r="E249" s="390" t="s">
        <v>552</v>
      </c>
      <c r="F249" s="390" t="s">
        <v>146</v>
      </c>
      <c r="G249" s="390" t="s">
        <v>1316</v>
      </c>
      <c r="H249" s="261"/>
      <c r="I249" s="261"/>
      <c r="J249" s="261"/>
      <c r="K249" s="261">
        <v>161</v>
      </c>
      <c r="L249" s="261">
        <v>76</v>
      </c>
      <c r="M249" s="261"/>
      <c r="N249" s="261">
        <v>76</v>
      </c>
      <c r="O249" s="261"/>
      <c r="P249" s="261">
        <v>76</v>
      </c>
      <c r="Q249" s="261"/>
      <c r="R249" s="261"/>
      <c r="S249" s="261"/>
      <c r="T249" s="261"/>
      <c r="U249" s="261"/>
      <c r="V249" s="762">
        <v>76</v>
      </c>
      <c r="W249" s="261"/>
      <c r="X249" s="261"/>
      <c r="Y249" s="264">
        <f>IF(NFI_Expiration=1,IF($A249&lt;VLOOKUP(H$5,NFI,5,0),1,0)*Table_NFI[[#This Row],[Hygiene Kit]],Table_NFI[Hygiene Kit])</f>
        <v>0</v>
      </c>
      <c r="Z249" s="264">
        <f>IF(NFI_Expiration=1,IF($A249&lt;VLOOKUP(I$5,NFI,5,0),1,0)*Table_NFI[[#This Row],[NFI Core Kit]],Table_NFI[NFI Core Kit])</f>
        <v>0</v>
      </c>
      <c r="AA249" s="264">
        <f>IF(NFI_Expiration=1,IF($A249&lt;VLOOKUP(J$5,NFI,5,0),1,0)*Table_NFI[[#This Row],[Sanitary Kit]],Table_NFI[Sanitary Kit])</f>
        <v>0</v>
      </c>
      <c r="AB249" s="264">
        <f>IF(NFI_Expiration=1,IF($A249&lt;VLOOKUP(K$5,NFI,5,0),1,0)*Table_NFI[[#This Row],[Mosquito net]],Table_NFI[Mosquito net])</f>
        <v>0</v>
      </c>
      <c r="AC249" s="264">
        <f>IF(NFI_Expiration=1,IF($A249&lt;VLOOKUP(L$5,NFI,5,0),1,0)*Table_NFI[[#This Row],[Tarpaulin]],Table_NFI[[#This Row],[Tarpaulin]])</f>
        <v>0</v>
      </c>
      <c r="AD249" s="264">
        <f>IF(NFI_Expiration=1,IF($A249&lt;VLOOKUP(M$5,NFI,5,0),1,0)*Table_NFI[[#This Row],[Blanket]],Table_NFI[[#This Row],[Blanket]])</f>
        <v>0</v>
      </c>
      <c r="AE249" s="264">
        <f>IF(NFI_Expiration=1,IF($A249&lt;VLOOKUP(N$5,NFI,5,0),1,0)*Table_NFI[[#This Row],[Kitchen Set]],Table_NFI[Kitchen Set])</f>
        <v>0</v>
      </c>
      <c r="AF249" s="264">
        <f>IF(NFI_Expiration=1,IF($A249&lt;VLOOKUP(O$5,NFI,5,0),1,0)*Table_NFI[[#This Row],[Clothes Kit]],Table_NFI[Clothes Kit])</f>
        <v>0</v>
      </c>
      <c r="AG249" s="264">
        <f>IF(NFI_Expiration=1,IF($A249&lt;VLOOKUP(P$5,NFI,5,0),1,0)*Table_NFI[[#This Row],[Plastic Bucket]],Table_NFI[Plastic Bucket])</f>
        <v>0</v>
      </c>
      <c r="AH249" s="264">
        <f>IF(NFI_Expiration=1,IF($A249&lt;VLOOKUP(Q$5,NFI,5,0),1,0)*Table_NFI[[#This Row],[Plastic Mat]],Table_NFI[Plastic Mat])*IF(Table_NFI[[#This Row],[Distribution Date]]&gt;"2014-04-01",1,2.5)</f>
        <v>0</v>
      </c>
      <c r="AI249" s="264">
        <f>IF(NFI_Expiration=1,IF($A249&lt;VLOOKUP(R$5,NFI,5,0),1,0)*Table_NFI[[#This Row],[Winter Clothes Adult]],Table_NFI[Winter Clothes Adult])</f>
        <v>0</v>
      </c>
      <c r="AJ249" s="264">
        <f>IF(NFI_Expiration=1,IF($A249&lt;VLOOKUP(S$5,NFI,5,0),1,0)*Table_NFI[[#This Row],[Winter Clothes Children]],Table_NFI[Winter Clothes Children])</f>
        <v>0</v>
      </c>
      <c r="AK249" s="264">
        <f>IF(NFI_Expiration=1,IF($A249&lt;VLOOKUP(T$5,NFI,5,0),1,0)*Table_NFI[[#This Row],[Winter Items Other]],Table_NFI[Winter Items Other])</f>
        <v>0</v>
      </c>
      <c r="AL249" s="264">
        <f>IF(NFI_Expiration=1,IF($A249&lt;VLOOKUP(M$5,NFI,5,0),1,0)*Table_NFI[[#This Row],[Winter Blanket]],Table_NFI[[#This Row],[Winter Blanket]])</f>
        <v>0</v>
      </c>
      <c r="AM249" s="264">
        <f>IF(Table_NFI[[#This Row],[Winter Clothes Adult]]+Table_NFI[[#This Row],[Winter Clothes Children]]+Table_NFI[[#This Row],[Winter Items Other]]+Table_NFI[[#This Row],[Winter Blanket]]&gt;0,1,0)</f>
        <v>0</v>
      </c>
      <c r="AN249" s="296">
        <f>IF(NFI_Expiration=1,IF($A249&lt;VLOOKUP(V$5,NFI,5,0),1,0)*Table_NFI[[#This Row],[Jerry Can]],Table_NFI[Jerry Can])</f>
        <v>0</v>
      </c>
      <c r="AO249" s="296">
        <f>IF(NFI_Expiration=1,IF($A249&lt;VLOOKUP(V$5,NFI,5,0),1,0)*Table_NFI[[#This Row],[Shelter Tool kit]],Table_NFI[Shelter Tool kit])</f>
        <v>0</v>
      </c>
      <c r="AP249" s="296">
        <f>IF(NFI_Expiration=1,IF($A249&lt;VLOOKUP(V$5,NFI,5,0),1,0)*Table_NFI[[#This Row],[Tent]],Table_NFI[Tent])</f>
        <v>0</v>
      </c>
      <c r="AQ249" s="396" t="str">
        <f>IFERROR(VLOOKUP(Table_NFI[[#This Row],[Camp Name]],CL,2,0),"")</f>
        <v/>
      </c>
      <c r="AR249" s="702" t="str">
        <f ca="1">IF(Table_NFI[[#This Row],[Pcode]]="","",IF(OFFSET(CampList[Opening Date],MATCH(Table_NFI[[#This Row],[Pcode]],CampList[CP_Pcode],0)-1,0,1,1)&gt;=NFI_Monitor_Date,1,0))</f>
        <v/>
      </c>
      <c r="AS249" s="559" t="str">
        <f>IFERROR(VLOOKUP(Table_NFI[[#This Row],[Camp Name]],CL,3,0),"")</f>
        <v/>
      </c>
      <c r="AT249" s="264" t="str">
        <f ca="1">IF(Table_NFI[[#This Row],[Pcode]]="","",OFFSET(CampList[Priority],MATCH(Table_NFI[[#This Row],[Pcode]],CampList[CP_Pcode],0)-1,0,1,1))</f>
        <v/>
      </c>
      <c r="AU249" s="263" t="str">
        <f>IFERROR(Table_NFI[[#This Row],[Kitchen Set]]/VLOOKUP(Table_NFI[[#This Row],[Camp Name]],CL,4,0),"")</f>
        <v/>
      </c>
      <c r="AV249" s="390" t="s">
        <v>1087</v>
      </c>
      <c r="AW249" s="392"/>
      <c r="AX249" s="399"/>
      <c r="AY249" s="399"/>
      <c r="AZ249" s="399"/>
      <c r="BA249" s="399"/>
      <c r="BB249" s="399"/>
      <c r="BC249" s="399"/>
      <c r="BD249" s="399"/>
      <c r="BE249" s="399"/>
      <c r="BF249" s="399"/>
      <c r="BG249" s="399"/>
      <c r="BH249" s="399"/>
      <c r="BI249" s="399"/>
      <c r="BJ249" s="399"/>
      <c r="BK249" s="399"/>
      <c r="BL249" s="399"/>
      <c r="BM249" s="399"/>
      <c r="BN249" s="399"/>
      <c r="BO249" s="399"/>
      <c r="BP249" s="399"/>
      <c r="BQ249" s="399"/>
      <c r="BR249" s="399"/>
      <c r="BS249" s="399"/>
      <c r="BT249" s="399"/>
      <c r="BU249" s="399"/>
      <c r="BV249" s="399"/>
      <c r="BW249" s="399"/>
      <c r="BX249" s="399"/>
      <c r="BY249" s="399"/>
      <c r="BZ249" s="399"/>
      <c r="CA249" s="399"/>
      <c r="CB249" s="399"/>
      <c r="CC249" s="399"/>
      <c r="CD249" s="399"/>
      <c r="CE249" s="399"/>
      <c r="CF249" s="399"/>
      <c r="CG249" s="399"/>
      <c r="CH249" s="399"/>
      <c r="CI249" s="399"/>
      <c r="CJ249" s="399"/>
      <c r="CK249" s="399"/>
      <c r="CL249" s="399"/>
      <c r="CM249" s="399"/>
      <c r="CN249" s="399"/>
      <c r="CO249" s="399"/>
      <c r="CP249" s="399"/>
      <c r="CQ249" s="399"/>
      <c r="CR249" s="399"/>
      <c r="CS249" s="399"/>
      <c r="CT249" s="399"/>
      <c r="CU249" s="399"/>
      <c r="CV249" s="399"/>
      <c r="CW249" s="399"/>
      <c r="CX249" s="399"/>
      <c r="CY249" s="399"/>
      <c r="CZ249" s="399"/>
      <c r="DA249" s="399"/>
      <c r="DB249" s="399"/>
      <c r="DC249" s="399"/>
      <c r="DD249" s="399"/>
      <c r="DE249" s="399"/>
      <c r="DF249" s="399"/>
      <c r="DG249" s="399"/>
      <c r="DH249" s="399"/>
      <c r="DI249" s="399"/>
      <c r="DJ249" s="399"/>
      <c r="DK249" s="399"/>
      <c r="DL249" s="399"/>
      <c r="DM249" s="399"/>
      <c r="DN249" s="399"/>
      <c r="DO249" s="399"/>
      <c r="DP249" s="399"/>
      <c r="DQ249" s="399"/>
    </row>
    <row r="250" spans="1:121" s="393" customFormat="1" ht="14.45" customHeight="1" x14ac:dyDescent="0.25">
      <c r="A250" s="266">
        <f t="shared" si="3"/>
        <v>26.833333333333332</v>
      </c>
      <c r="B250" s="389">
        <v>42051</v>
      </c>
      <c r="C250" s="394" t="s">
        <v>451</v>
      </c>
      <c r="D250" s="394" t="s">
        <v>505</v>
      </c>
      <c r="E250" s="394" t="s">
        <v>380</v>
      </c>
      <c r="F250" s="394" t="s">
        <v>310</v>
      </c>
      <c r="G250" s="394" t="s">
        <v>194</v>
      </c>
      <c r="H250" s="261"/>
      <c r="I250" s="261"/>
      <c r="J250" s="261"/>
      <c r="K250" s="261"/>
      <c r="L250" s="261"/>
      <c r="M250" s="261"/>
      <c r="N250" s="261"/>
      <c r="O250" s="261"/>
      <c r="P250" s="261"/>
      <c r="Q250" s="261"/>
      <c r="R250" s="261">
        <v>865</v>
      </c>
      <c r="S250" s="261">
        <v>924</v>
      </c>
      <c r="T250" s="261"/>
      <c r="U250" s="261">
        <v>918</v>
      </c>
      <c r="V250" s="762"/>
      <c r="W250" s="261"/>
      <c r="X250" s="261"/>
      <c r="Y250" s="264">
        <f>IF(NFI_Expiration=1,IF($A250&lt;VLOOKUP(H$5,NFI,5,0),1,0)*Table_NFI[[#This Row],[Hygiene Kit]],Table_NFI[Hygiene Kit])</f>
        <v>0</v>
      </c>
      <c r="Z250" s="264">
        <f>IF(NFI_Expiration=1,IF($A250&lt;VLOOKUP(I$5,NFI,5,0),1,0)*Table_NFI[[#This Row],[NFI Core Kit]],Table_NFI[NFI Core Kit])</f>
        <v>0</v>
      </c>
      <c r="AA250" s="264">
        <f>IF(NFI_Expiration=1,IF($A250&lt;VLOOKUP(J$5,NFI,5,0),1,0)*Table_NFI[[#This Row],[Sanitary Kit]],Table_NFI[Sanitary Kit])</f>
        <v>0</v>
      </c>
      <c r="AB250" s="264">
        <f>IF(NFI_Expiration=1,IF($A250&lt;VLOOKUP(K$5,NFI,5,0),1,0)*Table_NFI[[#This Row],[Mosquito net]],Table_NFI[Mosquito net])</f>
        <v>0</v>
      </c>
      <c r="AC250" s="264">
        <f>IF(NFI_Expiration=1,IF($A250&lt;VLOOKUP(L$5,NFI,5,0),1,0)*Table_NFI[[#This Row],[Tarpaulin]],Table_NFI[[#This Row],[Tarpaulin]])</f>
        <v>0</v>
      </c>
      <c r="AD250" s="264">
        <f>IF(NFI_Expiration=1,IF($A250&lt;VLOOKUP(M$5,NFI,5,0),1,0)*Table_NFI[[#This Row],[Blanket]],Table_NFI[[#This Row],[Blanket]])</f>
        <v>0</v>
      </c>
      <c r="AE250" s="264">
        <f>IF(NFI_Expiration=1,IF($A250&lt;VLOOKUP(N$5,NFI,5,0),1,0)*Table_NFI[[#This Row],[Kitchen Set]],Table_NFI[Kitchen Set])</f>
        <v>0</v>
      </c>
      <c r="AF250" s="264">
        <f>IF(NFI_Expiration=1,IF($A250&lt;VLOOKUP(O$5,NFI,5,0),1,0)*Table_NFI[[#This Row],[Clothes Kit]],Table_NFI[Clothes Kit])</f>
        <v>0</v>
      </c>
      <c r="AG250" s="264">
        <f>IF(NFI_Expiration=1,IF($A250&lt;VLOOKUP(P$5,NFI,5,0),1,0)*Table_NFI[[#This Row],[Plastic Bucket]],Table_NFI[Plastic Bucket])</f>
        <v>0</v>
      </c>
      <c r="AH250" s="264">
        <f>IF(NFI_Expiration=1,IF($A250&lt;VLOOKUP(Q$5,NFI,5,0),1,0)*Table_NFI[[#This Row],[Plastic Mat]],Table_NFI[Plastic Mat])*IF(Table_NFI[[#This Row],[Distribution Date]]&gt;"2014-04-01",1,2.5)</f>
        <v>0</v>
      </c>
      <c r="AI250" s="264">
        <f>IF(NFI_Expiration=1,IF($A250&lt;VLOOKUP(R$5,NFI,5,0),1,0)*Table_NFI[[#This Row],[Winter Clothes Adult]],Table_NFI[Winter Clothes Adult])</f>
        <v>0</v>
      </c>
      <c r="AJ250" s="264">
        <f>IF(NFI_Expiration=1,IF($A250&lt;VLOOKUP(S$5,NFI,5,0),1,0)*Table_NFI[[#This Row],[Winter Clothes Children]],Table_NFI[Winter Clothes Children])</f>
        <v>0</v>
      </c>
      <c r="AK250" s="264">
        <f>IF(NFI_Expiration=1,IF($A250&lt;VLOOKUP(T$5,NFI,5,0),1,0)*Table_NFI[[#This Row],[Winter Items Other]],Table_NFI[Winter Items Other])</f>
        <v>0</v>
      </c>
      <c r="AL250" s="264">
        <f>IF(NFI_Expiration=1,IF($A250&lt;VLOOKUP(M$5,NFI,5,0),1,0)*Table_NFI[[#This Row],[Winter Blanket]],Table_NFI[[#This Row],[Winter Blanket]])</f>
        <v>0</v>
      </c>
      <c r="AM250" s="264">
        <f>IF(Table_NFI[[#This Row],[Winter Clothes Adult]]+Table_NFI[[#This Row],[Winter Clothes Children]]+Table_NFI[[#This Row],[Winter Items Other]]+Table_NFI[[#This Row],[Winter Blanket]]&gt;0,1,0)</f>
        <v>1</v>
      </c>
      <c r="AN250" s="296">
        <f>IF(NFI_Expiration=1,IF($A250&lt;VLOOKUP(V$5,NFI,5,0),1,0)*Table_NFI[[#This Row],[Jerry Can]],Table_NFI[Jerry Can])</f>
        <v>0</v>
      </c>
      <c r="AO250" s="296">
        <f>IF(NFI_Expiration=1,IF($A250&lt;VLOOKUP(V$5,NFI,5,0),1,0)*Table_NFI[[#This Row],[Shelter Tool kit]],Table_NFI[Shelter Tool kit])</f>
        <v>0</v>
      </c>
      <c r="AP250" s="296">
        <f>IF(NFI_Expiration=1,IF($A250&lt;VLOOKUP(V$5,NFI,5,0),1,0)*Table_NFI[[#This Row],[Tent]],Table_NFI[Tent])</f>
        <v>0</v>
      </c>
      <c r="AQ250" s="396" t="str">
        <f>IFERROR(VLOOKUP(Table_NFI[[#This Row],[Camp Name]],CL,2,0),"")</f>
        <v>MMR001CMP122</v>
      </c>
      <c r="AR250" s="702">
        <f ca="1">IF(Table_NFI[[#This Row],[Pcode]]="","",IF(OFFSET(CampList[Opening Date],MATCH(Table_NFI[[#This Row],[Pcode]],CampList[CP_Pcode],0)-1,0,1,1)&gt;=NFI_Monitor_Date,1,0))</f>
        <v>0</v>
      </c>
      <c r="AS250" s="396" t="str">
        <f>IFERROR(VLOOKUP(Table_NFI[[#This Row],[Camp Name]],CL,3,0),"")</f>
        <v>Open</v>
      </c>
      <c r="AT250" s="264" t="str">
        <f ca="1">IF(Table_NFI[[#This Row],[Pcode]]="","",OFFSET(CampList[Priority],MATCH(Table_NFI[[#This Row],[Pcode]],CampList[CP_Pcode],0)-1,0,1,1))</f>
        <v>P2</v>
      </c>
      <c r="AU250" s="263">
        <f>IFERROR(Table_NFI[[#This Row],[Kitchen Set]]/VLOOKUP(Table_NFI[[#This Row],[Camp Name]],CL,4,0),"")</f>
        <v>0</v>
      </c>
      <c r="AV250" s="390" t="s">
        <v>1087</v>
      </c>
      <c r="AW250" s="397"/>
      <c r="AX250" s="399"/>
      <c r="AY250" s="399"/>
      <c r="AZ250" s="399"/>
      <c r="BA250" s="399"/>
      <c r="BB250" s="399"/>
      <c r="BC250" s="399"/>
      <c r="BD250" s="399"/>
      <c r="BE250" s="399"/>
      <c r="BF250" s="399"/>
      <c r="BG250" s="399"/>
      <c r="BH250" s="399"/>
      <c r="BI250" s="399"/>
      <c r="BJ250" s="399"/>
      <c r="BK250" s="399"/>
      <c r="BL250" s="399"/>
      <c r="BM250" s="399"/>
      <c r="BN250" s="399"/>
      <c r="BO250" s="399"/>
      <c r="BP250" s="399"/>
      <c r="BQ250" s="399"/>
      <c r="BR250" s="399"/>
      <c r="BS250" s="399"/>
      <c r="BT250" s="399"/>
      <c r="BU250" s="399"/>
      <c r="BV250" s="399"/>
      <c r="BW250" s="399"/>
      <c r="BX250" s="399"/>
      <c r="BY250" s="399"/>
      <c r="BZ250" s="399"/>
      <c r="CA250" s="399"/>
      <c r="CB250" s="399"/>
      <c r="CC250" s="399"/>
      <c r="CD250" s="399"/>
      <c r="CE250" s="399"/>
      <c r="CF250" s="399"/>
      <c r="CG250" s="399"/>
      <c r="CH250" s="399"/>
      <c r="CI250" s="399"/>
      <c r="CJ250" s="399"/>
      <c r="CK250" s="399"/>
      <c r="CL250" s="399"/>
      <c r="CM250" s="399"/>
      <c r="CN250" s="399"/>
      <c r="CO250" s="399"/>
      <c r="CP250" s="399"/>
      <c r="CQ250" s="399"/>
      <c r="CR250" s="399"/>
      <c r="CS250" s="399"/>
      <c r="CT250" s="399"/>
      <c r="CU250" s="399"/>
      <c r="CV250" s="399"/>
      <c r="CW250" s="399"/>
      <c r="CX250" s="399"/>
      <c r="CY250" s="399"/>
      <c r="CZ250" s="399"/>
      <c r="DA250" s="399"/>
      <c r="DB250" s="399"/>
      <c r="DC250" s="399"/>
      <c r="DD250" s="399"/>
      <c r="DE250" s="399"/>
      <c r="DF250" s="399"/>
      <c r="DG250" s="399"/>
      <c r="DH250" s="399"/>
      <c r="DI250" s="399"/>
      <c r="DJ250" s="399"/>
      <c r="DK250" s="399"/>
      <c r="DL250" s="399"/>
      <c r="DM250" s="399"/>
      <c r="DN250" s="399"/>
      <c r="DO250" s="399"/>
      <c r="DP250" s="399"/>
      <c r="DQ250" s="399"/>
    </row>
    <row r="251" spans="1:121" s="760" customFormat="1" ht="14.45" customHeight="1" x14ac:dyDescent="0.25">
      <c r="A251" s="266">
        <f t="shared" si="3"/>
        <v>26.833333333333332</v>
      </c>
      <c r="B251" s="389">
        <v>42051</v>
      </c>
      <c r="C251" s="394" t="s">
        <v>451</v>
      </c>
      <c r="D251" s="394" t="s">
        <v>505</v>
      </c>
      <c r="E251" s="394" t="s">
        <v>380</v>
      </c>
      <c r="F251" s="394" t="s">
        <v>310</v>
      </c>
      <c r="G251" s="394" t="s">
        <v>196</v>
      </c>
      <c r="H251" s="261"/>
      <c r="I251" s="261"/>
      <c r="J251" s="261"/>
      <c r="K251" s="261"/>
      <c r="L251" s="261"/>
      <c r="M251" s="261"/>
      <c r="N251" s="261"/>
      <c r="O251" s="261"/>
      <c r="P251" s="261"/>
      <c r="Q251" s="261"/>
      <c r="R251" s="261">
        <v>2676</v>
      </c>
      <c r="S251" s="261">
        <v>2672</v>
      </c>
      <c r="T251" s="261"/>
      <c r="U251" s="261">
        <v>3186</v>
      </c>
      <c r="V251" s="762"/>
      <c r="W251" s="261"/>
      <c r="X251" s="261"/>
      <c r="Y251" s="264">
        <f>IF(NFI_Expiration=1,IF($A251&lt;VLOOKUP(H$5,NFI,5,0),1,0)*Table_NFI[[#This Row],[Hygiene Kit]],Table_NFI[Hygiene Kit])</f>
        <v>0</v>
      </c>
      <c r="Z251" s="264">
        <f>IF(NFI_Expiration=1,IF($A251&lt;VLOOKUP(I$5,NFI,5,0),1,0)*Table_NFI[[#This Row],[NFI Core Kit]],Table_NFI[NFI Core Kit])</f>
        <v>0</v>
      </c>
      <c r="AA251" s="264">
        <f>IF(NFI_Expiration=1,IF($A251&lt;VLOOKUP(J$5,NFI,5,0),1,0)*Table_NFI[[#This Row],[Sanitary Kit]],Table_NFI[Sanitary Kit])</f>
        <v>0</v>
      </c>
      <c r="AB251" s="264">
        <f>IF(NFI_Expiration=1,IF($A251&lt;VLOOKUP(K$5,NFI,5,0),1,0)*Table_NFI[[#This Row],[Mosquito net]],Table_NFI[Mosquito net])</f>
        <v>0</v>
      </c>
      <c r="AC251" s="264">
        <f>IF(NFI_Expiration=1,IF($A251&lt;VLOOKUP(L$5,NFI,5,0),1,0)*Table_NFI[[#This Row],[Tarpaulin]],Table_NFI[[#This Row],[Tarpaulin]])</f>
        <v>0</v>
      </c>
      <c r="AD251" s="264">
        <f>IF(NFI_Expiration=1,IF($A251&lt;VLOOKUP(M$5,NFI,5,0),1,0)*Table_NFI[[#This Row],[Blanket]],Table_NFI[[#This Row],[Blanket]])</f>
        <v>0</v>
      </c>
      <c r="AE251" s="264">
        <f>IF(NFI_Expiration=1,IF($A251&lt;VLOOKUP(N$5,NFI,5,0),1,0)*Table_NFI[[#This Row],[Kitchen Set]],Table_NFI[Kitchen Set])</f>
        <v>0</v>
      </c>
      <c r="AF251" s="264">
        <f>IF(NFI_Expiration=1,IF($A251&lt;VLOOKUP(O$5,NFI,5,0),1,0)*Table_NFI[[#This Row],[Clothes Kit]],Table_NFI[Clothes Kit])</f>
        <v>0</v>
      </c>
      <c r="AG251" s="264">
        <f>IF(NFI_Expiration=1,IF($A251&lt;VLOOKUP(P$5,NFI,5,0),1,0)*Table_NFI[[#This Row],[Plastic Bucket]],Table_NFI[Plastic Bucket])</f>
        <v>0</v>
      </c>
      <c r="AH251" s="264">
        <f>IF(NFI_Expiration=1,IF($A251&lt;VLOOKUP(Q$5,NFI,5,0),1,0)*Table_NFI[[#This Row],[Plastic Mat]],Table_NFI[Plastic Mat])*IF(Table_NFI[[#This Row],[Distribution Date]]&gt;"2014-04-01",1,2.5)</f>
        <v>0</v>
      </c>
      <c r="AI251" s="264">
        <f>IF(NFI_Expiration=1,IF($A251&lt;VLOOKUP(R$5,NFI,5,0),1,0)*Table_NFI[[#This Row],[Winter Clothes Adult]],Table_NFI[Winter Clothes Adult])</f>
        <v>0</v>
      </c>
      <c r="AJ251" s="264">
        <f>IF(NFI_Expiration=1,IF($A251&lt;VLOOKUP(S$5,NFI,5,0),1,0)*Table_NFI[[#This Row],[Winter Clothes Children]],Table_NFI[Winter Clothes Children])</f>
        <v>0</v>
      </c>
      <c r="AK251" s="264">
        <f>IF(NFI_Expiration=1,IF($A251&lt;VLOOKUP(T$5,NFI,5,0),1,0)*Table_NFI[[#This Row],[Winter Items Other]],Table_NFI[Winter Items Other])</f>
        <v>0</v>
      </c>
      <c r="AL251" s="264">
        <f>IF(NFI_Expiration=1,IF($A251&lt;VLOOKUP(M$5,NFI,5,0),1,0)*Table_NFI[[#This Row],[Winter Blanket]],Table_NFI[[#This Row],[Winter Blanket]])</f>
        <v>0</v>
      </c>
      <c r="AM251" s="264">
        <f>IF(Table_NFI[[#This Row],[Winter Clothes Adult]]+Table_NFI[[#This Row],[Winter Clothes Children]]+Table_NFI[[#This Row],[Winter Items Other]]+Table_NFI[[#This Row],[Winter Blanket]]&gt;0,1,0)</f>
        <v>1</v>
      </c>
      <c r="AN251" s="296">
        <f>IF(NFI_Expiration=1,IF($A251&lt;VLOOKUP(V$5,NFI,5,0),1,0)*Table_NFI[[#This Row],[Jerry Can]],Table_NFI[Jerry Can])</f>
        <v>0</v>
      </c>
      <c r="AO251" s="296">
        <f>IF(NFI_Expiration=1,IF($A251&lt;VLOOKUP(V$5,NFI,5,0),1,0)*Table_NFI[[#This Row],[Shelter Tool kit]],Table_NFI[Shelter Tool kit])</f>
        <v>0</v>
      </c>
      <c r="AP251" s="296">
        <f>IF(NFI_Expiration=1,IF($A251&lt;VLOOKUP(V$5,NFI,5,0),1,0)*Table_NFI[[#This Row],[Tent]],Table_NFI[Tent])</f>
        <v>0</v>
      </c>
      <c r="AQ251" s="396" t="str">
        <f>IFERROR(VLOOKUP(Table_NFI[[#This Row],[Camp Name]],CL,2,0),"")</f>
        <v>MMR001CMP121</v>
      </c>
      <c r="AR251" s="702">
        <f ca="1">IF(Table_NFI[[#This Row],[Pcode]]="","",IF(OFFSET(CampList[Opening Date],MATCH(Table_NFI[[#This Row],[Pcode]],CampList[CP_Pcode],0)-1,0,1,1)&gt;=NFI_Monitor_Date,1,0))</f>
        <v>0</v>
      </c>
      <c r="AS251" s="396" t="str">
        <f>IFERROR(VLOOKUP(Table_NFI[[#This Row],[Camp Name]],CL,3,0),"")</f>
        <v>Open</v>
      </c>
      <c r="AT251" s="264" t="str">
        <f ca="1">IF(Table_NFI[[#This Row],[Pcode]]="","",OFFSET(CampList[Priority],MATCH(Table_NFI[[#This Row],[Pcode]],CampList[CP_Pcode],0)-1,0,1,1))</f>
        <v>P2</v>
      </c>
      <c r="AU251" s="263">
        <f>IFERROR(Table_NFI[[#This Row],[Kitchen Set]]/VLOOKUP(Table_NFI[[#This Row],[Camp Name]],CL,4,0),"")</f>
        <v>0</v>
      </c>
      <c r="AV251" s="390" t="s">
        <v>1087</v>
      </c>
      <c r="AW251" s="397"/>
      <c r="AX251" s="399"/>
      <c r="AY251" s="399"/>
      <c r="AZ251" s="399"/>
      <c r="BA251" s="399"/>
      <c r="BB251" s="399"/>
      <c r="BC251" s="399"/>
      <c r="BD251" s="399"/>
      <c r="BE251" s="399"/>
      <c r="BF251" s="399"/>
      <c r="BG251" s="399"/>
      <c r="BH251" s="399"/>
      <c r="BI251" s="399"/>
      <c r="BJ251" s="399"/>
      <c r="BK251" s="399"/>
      <c r="BL251" s="399"/>
      <c r="BM251" s="399"/>
      <c r="BN251" s="399"/>
      <c r="BO251" s="399"/>
      <c r="BP251" s="399"/>
      <c r="BQ251" s="399"/>
      <c r="BR251" s="399"/>
      <c r="BS251" s="399"/>
      <c r="BT251" s="399"/>
      <c r="BU251" s="399"/>
      <c r="BV251" s="399"/>
      <c r="BW251" s="399"/>
      <c r="BX251" s="399"/>
      <c r="BY251" s="399"/>
      <c r="BZ251" s="399"/>
      <c r="CA251" s="399"/>
      <c r="CB251" s="399"/>
      <c r="CC251" s="399"/>
      <c r="CD251" s="399"/>
      <c r="CE251" s="399"/>
      <c r="CF251" s="399"/>
      <c r="CG251" s="399"/>
      <c r="CH251" s="399"/>
      <c r="CI251" s="399"/>
      <c r="CJ251" s="399"/>
      <c r="CK251" s="399"/>
      <c r="CL251" s="399"/>
      <c r="CM251" s="399"/>
      <c r="CN251" s="399"/>
      <c r="CO251" s="399"/>
      <c r="CP251" s="399"/>
      <c r="CQ251" s="399"/>
      <c r="CR251" s="399"/>
      <c r="CS251" s="399"/>
      <c r="CT251" s="399"/>
      <c r="CU251" s="399"/>
      <c r="CV251" s="399"/>
      <c r="CW251" s="399"/>
      <c r="CX251" s="399"/>
      <c r="CY251" s="399"/>
      <c r="CZ251" s="399"/>
      <c r="DA251" s="399"/>
      <c r="DB251" s="399"/>
      <c r="DC251" s="399"/>
      <c r="DD251" s="399"/>
      <c r="DE251" s="399"/>
      <c r="DF251" s="399"/>
      <c r="DG251" s="399"/>
      <c r="DH251" s="399"/>
      <c r="DI251" s="399"/>
      <c r="DJ251" s="399"/>
      <c r="DK251" s="399"/>
      <c r="DL251" s="399"/>
      <c r="DM251" s="399"/>
      <c r="DN251" s="399"/>
      <c r="DO251" s="399"/>
      <c r="DP251" s="399"/>
      <c r="DQ251" s="399"/>
    </row>
    <row r="252" spans="1:121" s="760" customFormat="1" ht="14.45" customHeight="1" x14ac:dyDescent="0.25">
      <c r="A252" s="266">
        <f t="shared" si="3"/>
        <v>26.833333333333332</v>
      </c>
      <c r="B252" s="389">
        <v>42051</v>
      </c>
      <c r="C252" s="394" t="s">
        <v>451</v>
      </c>
      <c r="D252" s="394" t="s">
        <v>505</v>
      </c>
      <c r="E252" s="394" t="s">
        <v>380</v>
      </c>
      <c r="F252" s="394" t="s">
        <v>310</v>
      </c>
      <c r="G252" s="394" t="s">
        <v>353</v>
      </c>
      <c r="H252" s="261"/>
      <c r="I252" s="261"/>
      <c r="J252" s="261"/>
      <c r="K252" s="261"/>
      <c r="L252" s="261"/>
      <c r="M252" s="261"/>
      <c r="N252" s="261"/>
      <c r="O252" s="261"/>
      <c r="P252" s="261"/>
      <c r="Q252" s="261"/>
      <c r="R252" s="261">
        <v>1620</v>
      </c>
      <c r="S252" s="261">
        <v>2207</v>
      </c>
      <c r="T252" s="261"/>
      <c r="U252" s="261">
        <v>1760</v>
      </c>
      <c r="V252" s="762"/>
      <c r="W252" s="261"/>
      <c r="X252" s="261"/>
      <c r="Y252" s="264">
        <f>IF(NFI_Expiration=1,IF($A252&lt;VLOOKUP(H$5,NFI,5,0),1,0)*Table_NFI[[#This Row],[Hygiene Kit]],Table_NFI[Hygiene Kit])</f>
        <v>0</v>
      </c>
      <c r="Z252" s="264">
        <f>IF(NFI_Expiration=1,IF($A252&lt;VLOOKUP(I$5,NFI,5,0),1,0)*Table_NFI[[#This Row],[NFI Core Kit]],Table_NFI[NFI Core Kit])</f>
        <v>0</v>
      </c>
      <c r="AA252" s="264">
        <f>IF(NFI_Expiration=1,IF($A252&lt;VLOOKUP(J$5,NFI,5,0),1,0)*Table_NFI[[#This Row],[Sanitary Kit]],Table_NFI[Sanitary Kit])</f>
        <v>0</v>
      </c>
      <c r="AB252" s="264">
        <f>IF(NFI_Expiration=1,IF($A252&lt;VLOOKUP(K$5,NFI,5,0),1,0)*Table_NFI[[#This Row],[Mosquito net]],Table_NFI[Mosquito net])</f>
        <v>0</v>
      </c>
      <c r="AC252" s="264">
        <f>IF(NFI_Expiration=1,IF($A252&lt;VLOOKUP(L$5,NFI,5,0),1,0)*Table_NFI[[#This Row],[Tarpaulin]],Table_NFI[[#This Row],[Tarpaulin]])</f>
        <v>0</v>
      </c>
      <c r="AD252" s="264">
        <f>IF(NFI_Expiration=1,IF($A252&lt;VLOOKUP(M$5,NFI,5,0),1,0)*Table_NFI[[#This Row],[Blanket]],Table_NFI[[#This Row],[Blanket]])</f>
        <v>0</v>
      </c>
      <c r="AE252" s="264">
        <f>IF(NFI_Expiration=1,IF($A252&lt;VLOOKUP(N$5,NFI,5,0),1,0)*Table_NFI[[#This Row],[Kitchen Set]],Table_NFI[Kitchen Set])</f>
        <v>0</v>
      </c>
      <c r="AF252" s="264">
        <f>IF(NFI_Expiration=1,IF($A252&lt;VLOOKUP(O$5,NFI,5,0),1,0)*Table_NFI[[#This Row],[Clothes Kit]],Table_NFI[Clothes Kit])</f>
        <v>0</v>
      </c>
      <c r="AG252" s="264">
        <f>IF(NFI_Expiration=1,IF($A252&lt;VLOOKUP(P$5,NFI,5,0),1,0)*Table_NFI[[#This Row],[Plastic Bucket]],Table_NFI[Plastic Bucket])</f>
        <v>0</v>
      </c>
      <c r="AH252" s="264">
        <f>IF(NFI_Expiration=1,IF($A252&lt;VLOOKUP(Q$5,NFI,5,0),1,0)*Table_NFI[[#This Row],[Plastic Mat]],Table_NFI[Plastic Mat])*IF(Table_NFI[[#This Row],[Distribution Date]]&gt;"2014-04-01",1,2.5)</f>
        <v>0</v>
      </c>
      <c r="AI252" s="264">
        <f>IF(NFI_Expiration=1,IF($A252&lt;VLOOKUP(R$5,NFI,5,0),1,0)*Table_NFI[[#This Row],[Winter Clothes Adult]],Table_NFI[Winter Clothes Adult])</f>
        <v>0</v>
      </c>
      <c r="AJ252" s="264">
        <f>IF(NFI_Expiration=1,IF($A252&lt;VLOOKUP(S$5,NFI,5,0),1,0)*Table_NFI[[#This Row],[Winter Clothes Children]],Table_NFI[Winter Clothes Children])</f>
        <v>0</v>
      </c>
      <c r="AK252" s="264">
        <f>IF(NFI_Expiration=1,IF($A252&lt;VLOOKUP(T$5,NFI,5,0),1,0)*Table_NFI[[#This Row],[Winter Items Other]],Table_NFI[Winter Items Other])</f>
        <v>0</v>
      </c>
      <c r="AL252" s="264">
        <f>IF(NFI_Expiration=1,IF($A252&lt;VLOOKUP(M$5,NFI,5,0),1,0)*Table_NFI[[#This Row],[Winter Blanket]],Table_NFI[[#This Row],[Winter Blanket]])</f>
        <v>0</v>
      </c>
      <c r="AM252" s="264">
        <f>IF(Table_NFI[[#This Row],[Winter Clothes Adult]]+Table_NFI[[#This Row],[Winter Clothes Children]]+Table_NFI[[#This Row],[Winter Items Other]]+Table_NFI[[#This Row],[Winter Blanket]]&gt;0,1,0)</f>
        <v>1</v>
      </c>
      <c r="AN252" s="296">
        <f>IF(NFI_Expiration=1,IF($A252&lt;VLOOKUP(V$5,NFI,5,0),1,0)*Table_NFI[[#This Row],[Jerry Can]],Table_NFI[Jerry Can])</f>
        <v>0</v>
      </c>
      <c r="AO252" s="296">
        <f>IF(NFI_Expiration=1,IF($A252&lt;VLOOKUP(V$5,NFI,5,0),1,0)*Table_NFI[[#This Row],[Shelter Tool kit]],Table_NFI[Shelter Tool kit])</f>
        <v>0</v>
      </c>
      <c r="AP252" s="296">
        <f>IF(NFI_Expiration=1,IF($A252&lt;VLOOKUP(V$5,NFI,5,0),1,0)*Table_NFI[[#This Row],[Tent]],Table_NFI[Tent])</f>
        <v>0</v>
      </c>
      <c r="AQ252" s="396" t="str">
        <f>IFERROR(VLOOKUP(Table_NFI[[#This Row],[Camp Name]],CL,2,0),"")</f>
        <v>MMR001CMP116</v>
      </c>
      <c r="AR252" s="702">
        <f ca="1">IF(Table_NFI[[#This Row],[Pcode]]="","",IF(OFFSET(CampList[Opening Date],MATCH(Table_NFI[[#This Row],[Pcode]],CampList[CP_Pcode],0)-1,0,1,1)&gt;=NFI_Monitor_Date,1,0))</f>
        <v>0</v>
      </c>
      <c r="AS252" s="396" t="str">
        <f>IFERROR(VLOOKUP(Table_NFI[[#This Row],[Camp Name]],CL,3,0),"")</f>
        <v>Open</v>
      </c>
      <c r="AT252" s="264" t="str">
        <f ca="1">IF(Table_NFI[[#This Row],[Pcode]]="","",OFFSET(CampList[Priority],MATCH(Table_NFI[[#This Row],[Pcode]],CampList[CP_Pcode],0)-1,0,1,1))</f>
        <v>P4</v>
      </c>
      <c r="AU252" s="263">
        <f>IFERROR(Table_NFI[[#This Row],[Kitchen Set]]/VLOOKUP(Table_NFI[[#This Row],[Camp Name]],CL,4,0),"")</f>
        <v>0</v>
      </c>
      <c r="AV252" s="390" t="s">
        <v>1087</v>
      </c>
      <c r="AW252" s="397"/>
      <c r="AX252" s="399"/>
      <c r="AY252" s="399"/>
      <c r="AZ252" s="399"/>
      <c r="BA252" s="399"/>
      <c r="BB252" s="399"/>
      <c r="BC252" s="399"/>
      <c r="BD252" s="399"/>
      <c r="BE252" s="399"/>
      <c r="BF252" s="399"/>
      <c r="BG252" s="399"/>
      <c r="BH252" s="399"/>
      <c r="BI252" s="399"/>
      <c r="BJ252" s="399"/>
      <c r="BK252" s="399"/>
      <c r="BL252" s="399"/>
      <c r="BM252" s="399"/>
      <c r="BN252" s="399"/>
      <c r="BO252" s="399"/>
      <c r="BP252" s="399"/>
      <c r="BQ252" s="399"/>
      <c r="BR252" s="399"/>
      <c r="BS252" s="399"/>
      <c r="BT252" s="399"/>
      <c r="BU252" s="399"/>
      <c r="BV252" s="399"/>
      <c r="BW252" s="399"/>
      <c r="BX252" s="399"/>
      <c r="BY252" s="399"/>
      <c r="BZ252" s="399"/>
      <c r="CA252" s="399"/>
      <c r="CB252" s="399"/>
      <c r="CC252" s="399"/>
      <c r="CD252" s="399"/>
      <c r="CE252" s="399"/>
      <c r="CF252" s="399"/>
      <c r="CG252" s="399"/>
      <c r="CH252" s="399"/>
      <c r="CI252" s="399"/>
      <c r="CJ252" s="399"/>
      <c r="CK252" s="399"/>
      <c r="CL252" s="399"/>
      <c r="CM252" s="399"/>
      <c r="CN252" s="399"/>
      <c r="CO252" s="399"/>
      <c r="CP252" s="399"/>
      <c r="CQ252" s="399"/>
      <c r="CR252" s="399"/>
      <c r="CS252" s="399"/>
      <c r="CT252" s="399"/>
      <c r="CU252" s="399"/>
      <c r="CV252" s="399"/>
      <c r="CW252" s="399"/>
      <c r="CX252" s="399"/>
      <c r="CY252" s="399"/>
      <c r="CZ252" s="399"/>
      <c r="DA252" s="399"/>
      <c r="DB252" s="399"/>
      <c r="DC252" s="399"/>
      <c r="DD252" s="399"/>
      <c r="DE252" s="399"/>
      <c r="DF252" s="399"/>
      <c r="DG252" s="399"/>
      <c r="DH252" s="399"/>
      <c r="DI252" s="399"/>
      <c r="DJ252" s="399"/>
      <c r="DK252" s="399"/>
      <c r="DL252" s="399"/>
      <c r="DM252" s="399"/>
      <c r="DN252" s="399"/>
      <c r="DO252" s="399"/>
      <c r="DP252" s="399"/>
      <c r="DQ252" s="399"/>
    </row>
    <row r="253" spans="1:121" s="760" customFormat="1" ht="14.45" customHeight="1" x14ac:dyDescent="0.25">
      <c r="A253" s="266">
        <f t="shared" si="3"/>
        <v>26.833333333333332</v>
      </c>
      <c r="B253" s="389">
        <v>42051</v>
      </c>
      <c r="C253" s="394" t="s">
        <v>451</v>
      </c>
      <c r="D253" s="394" t="s">
        <v>505</v>
      </c>
      <c r="E253" s="394" t="s">
        <v>380</v>
      </c>
      <c r="F253" s="394" t="s">
        <v>310</v>
      </c>
      <c r="G253" s="394" t="s">
        <v>1236</v>
      </c>
      <c r="H253" s="261"/>
      <c r="I253" s="261"/>
      <c r="J253" s="261"/>
      <c r="K253" s="261"/>
      <c r="L253" s="261"/>
      <c r="M253" s="261"/>
      <c r="N253" s="261"/>
      <c r="O253" s="261"/>
      <c r="P253" s="261"/>
      <c r="Q253" s="261"/>
      <c r="R253" s="261">
        <v>1119</v>
      </c>
      <c r="S253" s="261">
        <v>1455</v>
      </c>
      <c r="T253" s="261"/>
      <c r="U253" s="261">
        <v>1080</v>
      </c>
      <c r="V253" s="762"/>
      <c r="W253" s="261"/>
      <c r="X253" s="261"/>
      <c r="Y253" s="264">
        <f>IF(NFI_Expiration=1,IF($A253&lt;VLOOKUP(H$5,NFI,5,0),1,0)*Table_NFI[[#This Row],[Hygiene Kit]],Table_NFI[Hygiene Kit])</f>
        <v>0</v>
      </c>
      <c r="Z253" s="264">
        <f>IF(NFI_Expiration=1,IF($A253&lt;VLOOKUP(I$5,NFI,5,0),1,0)*Table_NFI[[#This Row],[NFI Core Kit]],Table_NFI[NFI Core Kit])</f>
        <v>0</v>
      </c>
      <c r="AA253" s="264">
        <f>IF(NFI_Expiration=1,IF($A253&lt;VLOOKUP(J$5,NFI,5,0),1,0)*Table_NFI[[#This Row],[Sanitary Kit]],Table_NFI[Sanitary Kit])</f>
        <v>0</v>
      </c>
      <c r="AB253" s="264">
        <f>IF(NFI_Expiration=1,IF($A253&lt;VLOOKUP(K$5,NFI,5,0),1,0)*Table_NFI[[#This Row],[Mosquito net]],Table_NFI[Mosquito net])</f>
        <v>0</v>
      </c>
      <c r="AC253" s="264">
        <f>IF(NFI_Expiration=1,IF($A253&lt;VLOOKUP(L$5,NFI,5,0),1,0)*Table_NFI[[#This Row],[Tarpaulin]],Table_NFI[[#This Row],[Tarpaulin]])</f>
        <v>0</v>
      </c>
      <c r="AD253" s="264">
        <f>IF(NFI_Expiration=1,IF($A253&lt;VLOOKUP(M$5,NFI,5,0),1,0)*Table_NFI[[#This Row],[Blanket]],Table_NFI[[#This Row],[Blanket]])</f>
        <v>0</v>
      </c>
      <c r="AE253" s="264">
        <f>IF(NFI_Expiration=1,IF($A253&lt;VLOOKUP(N$5,NFI,5,0),1,0)*Table_NFI[[#This Row],[Kitchen Set]],Table_NFI[Kitchen Set])</f>
        <v>0</v>
      </c>
      <c r="AF253" s="264">
        <f>IF(NFI_Expiration=1,IF($A253&lt;VLOOKUP(O$5,NFI,5,0),1,0)*Table_NFI[[#This Row],[Clothes Kit]],Table_NFI[Clothes Kit])</f>
        <v>0</v>
      </c>
      <c r="AG253" s="264">
        <f>IF(NFI_Expiration=1,IF($A253&lt;VLOOKUP(P$5,NFI,5,0),1,0)*Table_NFI[[#This Row],[Plastic Bucket]],Table_NFI[Plastic Bucket])</f>
        <v>0</v>
      </c>
      <c r="AH253" s="264">
        <f>IF(NFI_Expiration=1,IF($A253&lt;VLOOKUP(Q$5,NFI,5,0),1,0)*Table_NFI[[#This Row],[Plastic Mat]],Table_NFI[Plastic Mat])*IF(Table_NFI[[#This Row],[Distribution Date]]&gt;"2014-04-01",1,2.5)</f>
        <v>0</v>
      </c>
      <c r="AI253" s="264">
        <f>IF(NFI_Expiration=1,IF($A253&lt;VLOOKUP(R$5,NFI,5,0),1,0)*Table_NFI[[#This Row],[Winter Clothes Adult]],Table_NFI[Winter Clothes Adult])</f>
        <v>0</v>
      </c>
      <c r="AJ253" s="264">
        <f>IF(NFI_Expiration=1,IF($A253&lt;VLOOKUP(S$5,NFI,5,0),1,0)*Table_NFI[[#This Row],[Winter Clothes Children]],Table_NFI[Winter Clothes Children])</f>
        <v>0</v>
      </c>
      <c r="AK253" s="264">
        <f>IF(NFI_Expiration=1,IF($A253&lt;VLOOKUP(T$5,NFI,5,0),1,0)*Table_NFI[[#This Row],[Winter Items Other]],Table_NFI[Winter Items Other])</f>
        <v>0</v>
      </c>
      <c r="AL253" s="264">
        <f>IF(NFI_Expiration=1,IF($A253&lt;VLOOKUP(M$5,NFI,5,0),1,0)*Table_NFI[[#This Row],[Winter Blanket]],Table_NFI[[#This Row],[Winter Blanket]])</f>
        <v>0</v>
      </c>
      <c r="AM253" s="264">
        <f>IF(Table_NFI[[#This Row],[Winter Clothes Adult]]+Table_NFI[[#This Row],[Winter Clothes Children]]+Table_NFI[[#This Row],[Winter Items Other]]+Table_NFI[[#This Row],[Winter Blanket]]&gt;0,1,0)</f>
        <v>1</v>
      </c>
      <c r="AN253" s="296">
        <f>IF(NFI_Expiration=1,IF($A253&lt;VLOOKUP(V$5,NFI,5,0),1,0)*Table_NFI[[#This Row],[Jerry Can]],Table_NFI[Jerry Can])</f>
        <v>0</v>
      </c>
      <c r="AO253" s="296">
        <f>IF(NFI_Expiration=1,IF($A253&lt;VLOOKUP(V$5,NFI,5,0),1,0)*Table_NFI[[#This Row],[Shelter Tool kit]],Table_NFI[Shelter Tool kit])</f>
        <v>0</v>
      </c>
      <c r="AP253" s="296">
        <f>IF(NFI_Expiration=1,IF($A253&lt;VLOOKUP(V$5,NFI,5,0),1,0)*Table_NFI[[#This Row],[Tent]],Table_NFI[Tent])</f>
        <v>0</v>
      </c>
      <c r="AQ253" s="396" t="str">
        <f>IFERROR(VLOOKUP(Table_NFI[[#This Row],[Camp Name]],CL,2,0),"")</f>
        <v>MMR001CMP117</v>
      </c>
      <c r="AR253" s="702">
        <f ca="1">IF(Table_NFI[[#This Row],[Pcode]]="","",IF(OFFSET(CampList[Opening Date],MATCH(Table_NFI[[#This Row],[Pcode]],CampList[CP_Pcode],0)-1,0,1,1)&gt;=NFI_Monitor_Date,1,0))</f>
        <v>0</v>
      </c>
      <c r="AS253" s="396" t="str">
        <f>IFERROR(VLOOKUP(Table_NFI[[#This Row],[Camp Name]],CL,3,0),"")</f>
        <v>Closed</v>
      </c>
      <c r="AT253" s="264" t="str">
        <f ca="1">IF(Table_NFI[[#This Row],[Pcode]]="","",OFFSET(CampList[Priority],MATCH(Table_NFI[[#This Row],[Pcode]],CampList[CP_Pcode],0)-1,0,1,1))</f>
        <v>P2</v>
      </c>
      <c r="AU253" s="263">
        <f>IFERROR(Table_NFI[[#This Row],[Kitchen Set]]/VLOOKUP(Table_NFI[[#This Row],[Camp Name]],CL,4,0),"")</f>
        <v>0</v>
      </c>
      <c r="AV253" s="390" t="s">
        <v>1087</v>
      </c>
      <c r="AW253" s="397"/>
      <c r="AX253" s="399"/>
      <c r="AY253" s="399"/>
      <c r="AZ253" s="399"/>
      <c r="BA253" s="399"/>
      <c r="BB253" s="399"/>
      <c r="BC253" s="399"/>
      <c r="BD253" s="399"/>
      <c r="BE253" s="399"/>
      <c r="BF253" s="399"/>
      <c r="BG253" s="399"/>
      <c r="BH253" s="399"/>
      <c r="BI253" s="399"/>
      <c r="BJ253" s="399"/>
      <c r="BK253" s="399"/>
      <c r="BL253" s="399"/>
      <c r="BM253" s="399"/>
      <c r="BN253" s="399"/>
      <c r="BO253" s="399"/>
      <c r="BP253" s="399"/>
      <c r="BQ253" s="399"/>
      <c r="BR253" s="399"/>
      <c r="BS253" s="399"/>
      <c r="BT253" s="399"/>
      <c r="BU253" s="399"/>
      <c r="BV253" s="399"/>
      <c r="BW253" s="399"/>
      <c r="BX253" s="399"/>
      <c r="BY253" s="399"/>
      <c r="BZ253" s="399"/>
      <c r="CA253" s="399"/>
      <c r="CB253" s="399"/>
      <c r="CC253" s="399"/>
      <c r="CD253" s="399"/>
      <c r="CE253" s="399"/>
      <c r="CF253" s="399"/>
      <c r="CG253" s="399"/>
      <c r="CH253" s="399"/>
      <c r="CI253" s="399"/>
      <c r="CJ253" s="399"/>
      <c r="CK253" s="399"/>
      <c r="CL253" s="399"/>
      <c r="CM253" s="399"/>
      <c r="CN253" s="399"/>
      <c r="CO253" s="399"/>
      <c r="CP253" s="399"/>
      <c r="CQ253" s="399"/>
      <c r="CR253" s="399"/>
      <c r="CS253" s="399"/>
      <c r="CT253" s="399"/>
      <c r="CU253" s="399"/>
      <c r="CV253" s="399"/>
      <c r="CW253" s="399"/>
      <c r="CX253" s="399"/>
      <c r="CY253" s="399"/>
      <c r="CZ253" s="399"/>
      <c r="DA253" s="399"/>
      <c r="DB253" s="399"/>
      <c r="DC253" s="399"/>
      <c r="DD253" s="399"/>
      <c r="DE253" s="399"/>
      <c r="DF253" s="399"/>
      <c r="DG253" s="399"/>
      <c r="DH253" s="399"/>
      <c r="DI253" s="399"/>
      <c r="DJ253" s="399"/>
      <c r="DK253" s="399"/>
      <c r="DL253" s="399"/>
      <c r="DM253" s="399"/>
      <c r="DN253" s="399"/>
      <c r="DO253" s="399"/>
      <c r="DP253" s="399"/>
      <c r="DQ253" s="399"/>
    </row>
    <row r="254" spans="1:121" s="760" customFormat="1" ht="14.45" customHeight="1" x14ac:dyDescent="0.25">
      <c r="A254" s="266">
        <f t="shared" si="3"/>
        <v>26.933333333333334</v>
      </c>
      <c r="B254" s="389">
        <v>42048</v>
      </c>
      <c r="C254" s="394" t="s">
        <v>451</v>
      </c>
      <c r="D254" s="394" t="s">
        <v>505</v>
      </c>
      <c r="E254" s="394" t="s">
        <v>380</v>
      </c>
      <c r="F254" s="394" t="s">
        <v>237</v>
      </c>
      <c r="G254" s="394" t="s">
        <v>273</v>
      </c>
      <c r="H254" s="261"/>
      <c r="I254" s="261"/>
      <c r="J254" s="261"/>
      <c r="K254" s="261"/>
      <c r="L254" s="261"/>
      <c r="M254" s="261">
        <v>18</v>
      </c>
      <c r="N254" s="261">
        <v>9</v>
      </c>
      <c r="O254" s="261"/>
      <c r="P254" s="261">
        <v>29</v>
      </c>
      <c r="Q254" s="261">
        <v>145</v>
      </c>
      <c r="R254" s="261"/>
      <c r="S254" s="261"/>
      <c r="T254" s="261"/>
      <c r="U254" s="261"/>
      <c r="V254" s="762"/>
      <c r="W254" s="261"/>
      <c r="X254" s="261"/>
      <c r="Y254" s="264">
        <f>IF(NFI_Expiration=1,IF($A254&lt;VLOOKUP(H$5,NFI,5,0),1,0)*Table_NFI[[#This Row],[Hygiene Kit]],Table_NFI[Hygiene Kit])</f>
        <v>0</v>
      </c>
      <c r="Z254" s="264">
        <f>IF(NFI_Expiration=1,IF($A254&lt;VLOOKUP(I$5,NFI,5,0),1,0)*Table_NFI[[#This Row],[NFI Core Kit]],Table_NFI[NFI Core Kit])</f>
        <v>0</v>
      </c>
      <c r="AA254" s="264">
        <f>IF(NFI_Expiration=1,IF($A254&lt;VLOOKUP(J$5,NFI,5,0),1,0)*Table_NFI[[#This Row],[Sanitary Kit]],Table_NFI[Sanitary Kit])</f>
        <v>0</v>
      </c>
      <c r="AB254" s="264">
        <f>IF(NFI_Expiration=1,IF($A254&lt;VLOOKUP(K$5,NFI,5,0),1,0)*Table_NFI[[#This Row],[Mosquito net]],Table_NFI[Mosquito net])</f>
        <v>0</v>
      </c>
      <c r="AC254" s="264">
        <f>IF(NFI_Expiration=1,IF($A254&lt;VLOOKUP(L$5,NFI,5,0),1,0)*Table_NFI[[#This Row],[Tarpaulin]],Table_NFI[[#This Row],[Tarpaulin]])</f>
        <v>0</v>
      </c>
      <c r="AD254" s="264">
        <f>IF(NFI_Expiration=1,IF($A254&lt;VLOOKUP(M$5,NFI,5,0),1,0)*Table_NFI[[#This Row],[Blanket]],Table_NFI[[#This Row],[Blanket]])</f>
        <v>0</v>
      </c>
      <c r="AE254" s="264">
        <f>IF(NFI_Expiration=1,IF($A254&lt;VLOOKUP(N$5,NFI,5,0),1,0)*Table_NFI[[#This Row],[Kitchen Set]],Table_NFI[Kitchen Set])</f>
        <v>0</v>
      </c>
      <c r="AF254" s="264">
        <f>IF(NFI_Expiration=1,IF($A254&lt;VLOOKUP(O$5,NFI,5,0),1,0)*Table_NFI[[#This Row],[Clothes Kit]],Table_NFI[Clothes Kit])</f>
        <v>0</v>
      </c>
      <c r="AG254" s="264">
        <f>IF(NFI_Expiration=1,IF($A254&lt;VLOOKUP(P$5,NFI,5,0),1,0)*Table_NFI[[#This Row],[Plastic Bucket]],Table_NFI[Plastic Bucket])</f>
        <v>0</v>
      </c>
      <c r="AH254" s="264">
        <f>IF(NFI_Expiration=1,IF($A254&lt;VLOOKUP(Q$5,NFI,5,0),1,0)*Table_NFI[[#This Row],[Plastic Mat]],Table_NFI[Plastic Mat])*IF(Table_NFI[[#This Row],[Distribution Date]]&gt;"2014-04-01",1,2.5)</f>
        <v>0</v>
      </c>
      <c r="AI254" s="264">
        <f>IF(NFI_Expiration=1,IF($A254&lt;VLOOKUP(R$5,NFI,5,0),1,0)*Table_NFI[[#This Row],[Winter Clothes Adult]],Table_NFI[Winter Clothes Adult])</f>
        <v>0</v>
      </c>
      <c r="AJ254" s="264">
        <f>IF(NFI_Expiration=1,IF($A254&lt;VLOOKUP(S$5,NFI,5,0),1,0)*Table_NFI[[#This Row],[Winter Clothes Children]],Table_NFI[Winter Clothes Children])</f>
        <v>0</v>
      </c>
      <c r="AK254" s="264">
        <f>IF(NFI_Expiration=1,IF($A254&lt;VLOOKUP(T$5,NFI,5,0),1,0)*Table_NFI[[#This Row],[Winter Items Other]],Table_NFI[Winter Items Other])</f>
        <v>0</v>
      </c>
      <c r="AL254" s="264">
        <f>IF(NFI_Expiration=1,IF($A254&lt;VLOOKUP(M$5,NFI,5,0),1,0)*Table_NFI[[#This Row],[Winter Blanket]],Table_NFI[[#This Row],[Winter Blanket]])</f>
        <v>0</v>
      </c>
      <c r="AM254" s="264">
        <f>IF(Table_NFI[[#This Row],[Winter Clothes Adult]]+Table_NFI[[#This Row],[Winter Clothes Children]]+Table_NFI[[#This Row],[Winter Items Other]]+Table_NFI[[#This Row],[Winter Blanket]]&gt;0,1,0)</f>
        <v>0</v>
      </c>
      <c r="AN254" s="296">
        <f>IF(NFI_Expiration=1,IF($A254&lt;VLOOKUP(V$5,NFI,5,0),1,0)*Table_NFI[[#This Row],[Jerry Can]],Table_NFI[Jerry Can])</f>
        <v>0</v>
      </c>
      <c r="AO254" s="296">
        <f>IF(NFI_Expiration=1,IF($A254&lt;VLOOKUP(V$5,NFI,5,0),1,0)*Table_NFI[[#This Row],[Shelter Tool kit]],Table_NFI[Shelter Tool kit])</f>
        <v>0</v>
      </c>
      <c r="AP254" s="296">
        <f>IF(NFI_Expiration=1,IF($A254&lt;VLOOKUP(V$5,NFI,5,0),1,0)*Table_NFI[[#This Row],[Tent]],Table_NFI[Tent])</f>
        <v>0</v>
      </c>
      <c r="AQ254" s="396" t="str">
        <f>IFERROR(VLOOKUP(Table_NFI[[#This Row],[Camp Name]],CL,2,0),"")</f>
        <v>MMR001CMP162</v>
      </c>
      <c r="AR254" s="702">
        <f ca="1">IF(Table_NFI[[#This Row],[Pcode]]="","",IF(OFFSET(CampList[Opening Date],MATCH(Table_NFI[[#This Row],[Pcode]],CampList[CP_Pcode],0)-1,0,1,1)&gt;=NFI_Monitor_Date,1,0))</f>
        <v>0</v>
      </c>
      <c r="AS254" s="396" t="str">
        <f>IFERROR(VLOOKUP(Table_NFI[[#This Row],[Camp Name]],CL,3,0),"")</f>
        <v>Open</v>
      </c>
      <c r="AT254" s="264" t="str">
        <f ca="1">IF(Table_NFI[[#This Row],[Pcode]]="","",OFFSET(CampList[Priority],MATCH(Table_NFI[[#This Row],[Pcode]],CampList[CP_Pcode],0)-1,0,1,1))</f>
        <v>P4</v>
      </c>
      <c r="AU254" s="263">
        <f>IFERROR(Table_NFI[[#This Row],[Kitchen Set]]/VLOOKUP(Table_NFI[[#This Row],[Camp Name]],CL,4,0),"")</f>
        <v>2.1821355833575792E-4</v>
      </c>
      <c r="AV254" s="390" t="s">
        <v>1087</v>
      </c>
      <c r="AW254" s="397"/>
      <c r="AX254" s="399"/>
      <c r="AY254" s="399"/>
      <c r="AZ254" s="399"/>
      <c r="BA254" s="399"/>
      <c r="BB254" s="399"/>
      <c r="BC254" s="399"/>
      <c r="BD254" s="399"/>
      <c r="BE254" s="399"/>
      <c r="BF254" s="399"/>
      <c r="BG254" s="399"/>
      <c r="BH254" s="399"/>
      <c r="BI254" s="399"/>
      <c r="BJ254" s="399"/>
      <c r="BK254" s="399"/>
      <c r="BL254" s="399"/>
      <c r="BM254" s="399"/>
      <c r="BN254" s="399"/>
      <c r="BO254" s="399"/>
      <c r="BP254" s="399"/>
      <c r="BQ254" s="399"/>
      <c r="BR254" s="399"/>
      <c r="BS254" s="399"/>
      <c r="BT254" s="399"/>
      <c r="BU254" s="399"/>
      <c r="BV254" s="399"/>
      <c r="BW254" s="399"/>
      <c r="BX254" s="399"/>
      <c r="BY254" s="399"/>
      <c r="BZ254" s="399"/>
      <c r="CA254" s="399"/>
      <c r="CB254" s="399"/>
      <c r="CC254" s="399"/>
      <c r="CD254" s="399"/>
      <c r="CE254" s="399"/>
      <c r="CF254" s="399"/>
      <c r="CG254" s="399"/>
      <c r="CH254" s="399"/>
      <c r="CI254" s="399"/>
      <c r="CJ254" s="399"/>
      <c r="CK254" s="399"/>
      <c r="CL254" s="399"/>
      <c r="CM254" s="399"/>
      <c r="CN254" s="399"/>
      <c r="CO254" s="399"/>
      <c r="CP254" s="399"/>
      <c r="CQ254" s="399"/>
      <c r="CR254" s="399"/>
      <c r="CS254" s="399"/>
      <c r="CT254" s="399"/>
      <c r="CU254" s="399"/>
      <c r="CV254" s="399"/>
      <c r="CW254" s="399"/>
      <c r="CX254" s="399"/>
      <c r="CY254" s="399"/>
      <c r="CZ254" s="399"/>
      <c r="DA254" s="399"/>
      <c r="DB254" s="399"/>
      <c r="DC254" s="399"/>
      <c r="DD254" s="399"/>
      <c r="DE254" s="399"/>
      <c r="DF254" s="399"/>
      <c r="DG254" s="399"/>
      <c r="DH254" s="399"/>
      <c r="DI254" s="399"/>
      <c r="DJ254" s="399"/>
      <c r="DK254" s="399"/>
      <c r="DL254" s="399"/>
      <c r="DM254" s="399"/>
      <c r="DN254" s="399"/>
      <c r="DO254" s="399"/>
      <c r="DP254" s="399"/>
      <c r="DQ254" s="399"/>
    </row>
    <row r="255" spans="1:121" s="760" customFormat="1" ht="14.45" customHeight="1" x14ac:dyDescent="0.25">
      <c r="A255" s="266">
        <f t="shared" si="3"/>
        <v>26.933333333333334</v>
      </c>
      <c r="B255" s="389">
        <v>42048</v>
      </c>
      <c r="C255" s="394" t="s">
        <v>451</v>
      </c>
      <c r="D255" s="394" t="s">
        <v>1250</v>
      </c>
      <c r="E255" s="394" t="s">
        <v>552</v>
      </c>
      <c r="F255" s="394" t="s">
        <v>146</v>
      </c>
      <c r="G255" s="394" t="s">
        <v>1317</v>
      </c>
      <c r="H255" s="261"/>
      <c r="I255" s="261">
        <v>68</v>
      </c>
      <c r="J255" s="261">
        <v>54</v>
      </c>
      <c r="K255" s="261">
        <v>134</v>
      </c>
      <c r="L255" s="261">
        <v>68</v>
      </c>
      <c r="M255" s="261">
        <v>134</v>
      </c>
      <c r="N255" s="261">
        <v>68</v>
      </c>
      <c r="O255" s="261"/>
      <c r="P255" s="261">
        <v>68</v>
      </c>
      <c r="Q255" s="261">
        <v>134</v>
      </c>
      <c r="R255" s="261"/>
      <c r="S255" s="261"/>
      <c r="T255" s="261"/>
      <c r="U255" s="261"/>
      <c r="V255" s="762">
        <v>68</v>
      </c>
      <c r="W255" s="261"/>
      <c r="X255" s="261"/>
      <c r="Y255" s="264">
        <f>IF(NFI_Expiration=1,IF($A255&lt;VLOOKUP(H$5,NFI,5,0),1,0)*Table_NFI[[#This Row],[Hygiene Kit]],Table_NFI[Hygiene Kit])</f>
        <v>0</v>
      </c>
      <c r="Z255" s="264">
        <f>IF(NFI_Expiration=1,IF($A255&lt;VLOOKUP(I$5,NFI,5,0),1,0)*Table_NFI[[#This Row],[NFI Core Kit]],Table_NFI[NFI Core Kit])</f>
        <v>0</v>
      </c>
      <c r="AA255" s="264">
        <f>IF(NFI_Expiration=1,IF($A255&lt;VLOOKUP(J$5,NFI,5,0),1,0)*Table_NFI[[#This Row],[Sanitary Kit]],Table_NFI[Sanitary Kit])</f>
        <v>0</v>
      </c>
      <c r="AB255" s="264">
        <f>IF(NFI_Expiration=1,IF($A255&lt;VLOOKUP(K$5,NFI,5,0),1,0)*Table_NFI[[#This Row],[Mosquito net]],Table_NFI[Mosquito net])</f>
        <v>0</v>
      </c>
      <c r="AC255" s="264">
        <f>IF(NFI_Expiration=1,IF($A255&lt;VLOOKUP(L$5,NFI,5,0),1,0)*Table_NFI[[#This Row],[Tarpaulin]],Table_NFI[[#This Row],[Tarpaulin]])</f>
        <v>0</v>
      </c>
      <c r="AD255" s="264">
        <f>IF(NFI_Expiration=1,IF($A255&lt;VLOOKUP(M$5,NFI,5,0),1,0)*Table_NFI[[#This Row],[Blanket]],Table_NFI[[#This Row],[Blanket]])</f>
        <v>0</v>
      </c>
      <c r="AE255" s="264">
        <f>IF(NFI_Expiration=1,IF($A255&lt;VLOOKUP(N$5,NFI,5,0),1,0)*Table_NFI[[#This Row],[Kitchen Set]],Table_NFI[Kitchen Set])</f>
        <v>0</v>
      </c>
      <c r="AF255" s="264">
        <f>IF(NFI_Expiration=1,IF($A255&lt;VLOOKUP(O$5,NFI,5,0),1,0)*Table_NFI[[#This Row],[Clothes Kit]],Table_NFI[Clothes Kit])</f>
        <v>0</v>
      </c>
      <c r="AG255" s="264">
        <f>IF(NFI_Expiration=1,IF($A255&lt;VLOOKUP(P$5,NFI,5,0),1,0)*Table_NFI[[#This Row],[Plastic Bucket]],Table_NFI[Plastic Bucket])</f>
        <v>0</v>
      </c>
      <c r="AH255" s="264">
        <f>IF(NFI_Expiration=1,IF($A255&lt;VLOOKUP(Q$5,NFI,5,0),1,0)*Table_NFI[[#This Row],[Plastic Mat]],Table_NFI[Plastic Mat])*IF(Table_NFI[[#This Row],[Distribution Date]]&gt;"2014-04-01",1,2.5)</f>
        <v>0</v>
      </c>
      <c r="AI255" s="264">
        <f>IF(NFI_Expiration=1,IF($A255&lt;VLOOKUP(R$5,NFI,5,0),1,0)*Table_NFI[[#This Row],[Winter Clothes Adult]],Table_NFI[Winter Clothes Adult])</f>
        <v>0</v>
      </c>
      <c r="AJ255" s="264">
        <f>IF(NFI_Expiration=1,IF($A255&lt;VLOOKUP(S$5,NFI,5,0),1,0)*Table_NFI[[#This Row],[Winter Clothes Children]],Table_NFI[Winter Clothes Children])</f>
        <v>0</v>
      </c>
      <c r="AK255" s="264">
        <f>IF(NFI_Expiration=1,IF($A255&lt;VLOOKUP(T$5,NFI,5,0),1,0)*Table_NFI[[#This Row],[Winter Items Other]],Table_NFI[Winter Items Other])</f>
        <v>0</v>
      </c>
      <c r="AL255" s="264">
        <f>IF(NFI_Expiration=1,IF($A255&lt;VLOOKUP(M$5,NFI,5,0),1,0)*Table_NFI[[#This Row],[Winter Blanket]],Table_NFI[[#This Row],[Winter Blanket]])</f>
        <v>0</v>
      </c>
      <c r="AM255" s="264">
        <f>IF(Table_NFI[[#This Row],[Winter Clothes Adult]]+Table_NFI[[#This Row],[Winter Clothes Children]]+Table_NFI[[#This Row],[Winter Items Other]]+Table_NFI[[#This Row],[Winter Blanket]]&gt;0,1,0)</f>
        <v>0</v>
      </c>
      <c r="AN255" s="296">
        <f>IF(NFI_Expiration=1,IF($A255&lt;VLOOKUP(V$5,NFI,5,0),1,0)*Table_NFI[[#This Row],[Jerry Can]],Table_NFI[Jerry Can])</f>
        <v>0</v>
      </c>
      <c r="AO255" s="296">
        <f>IF(NFI_Expiration=1,IF($A255&lt;VLOOKUP(V$5,NFI,5,0),1,0)*Table_NFI[[#This Row],[Shelter Tool kit]],Table_NFI[Shelter Tool kit])</f>
        <v>0</v>
      </c>
      <c r="AP255" s="296">
        <f>IF(NFI_Expiration=1,IF($A255&lt;VLOOKUP(V$5,NFI,5,0),1,0)*Table_NFI[[#This Row],[Tent]],Table_NFI[Tent])</f>
        <v>0</v>
      </c>
      <c r="AQ255" s="396" t="str">
        <f>IFERROR(VLOOKUP(Table_NFI[[#This Row],[Camp Name]],CL,2,0),"")</f>
        <v/>
      </c>
      <c r="AR255" s="702" t="str">
        <f ca="1">IF(Table_NFI[[#This Row],[Pcode]]="","",IF(OFFSET(CampList[Opening Date],MATCH(Table_NFI[[#This Row],[Pcode]],CampList[CP_Pcode],0)-1,0,1,1)&gt;=NFI_Monitor_Date,1,0))</f>
        <v/>
      </c>
      <c r="AS255" s="559" t="str">
        <f>IFERROR(VLOOKUP(Table_NFI[[#This Row],[Camp Name]],CL,3,0),"")</f>
        <v/>
      </c>
      <c r="AT255" s="264" t="str">
        <f ca="1">IF(Table_NFI[[#This Row],[Pcode]]="","",OFFSET(CampList[Priority],MATCH(Table_NFI[[#This Row],[Pcode]],CampList[CP_Pcode],0)-1,0,1,1))</f>
        <v/>
      </c>
      <c r="AU255" s="263" t="str">
        <f>IFERROR(Table_NFI[[#This Row],[Kitchen Set]]/VLOOKUP(Table_NFI[[#This Row],[Camp Name]],CL,4,0),"")</f>
        <v/>
      </c>
      <c r="AV255" s="390" t="s">
        <v>1087</v>
      </c>
      <c r="AW255" s="397"/>
      <c r="AX255" s="399"/>
      <c r="AY255" s="399"/>
      <c r="AZ255" s="399"/>
      <c r="BA255" s="399"/>
      <c r="BB255" s="399"/>
      <c r="BC255" s="399"/>
      <c r="BD255" s="399"/>
      <c r="BE255" s="399"/>
      <c r="BF255" s="399"/>
      <c r="BG255" s="399"/>
      <c r="BH255" s="399"/>
      <c r="BI255" s="399"/>
      <c r="BJ255" s="399"/>
      <c r="BK255" s="399"/>
      <c r="BL255" s="399"/>
      <c r="BM255" s="399"/>
      <c r="BN255" s="399"/>
      <c r="BO255" s="399"/>
      <c r="BP255" s="399"/>
      <c r="BQ255" s="399"/>
      <c r="BR255" s="399"/>
      <c r="BS255" s="399"/>
      <c r="BT255" s="399"/>
      <c r="BU255" s="399"/>
      <c r="BV255" s="399"/>
      <c r="BW255" s="399"/>
      <c r="BX255" s="399"/>
      <c r="BY255" s="399"/>
      <c r="BZ255" s="399"/>
      <c r="CA255" s="399"/>
      <c r="CB255" s="399"/>
      <c r="CC255" s="399"/>
      <c r="CD255" s="399"/>
      <c r="CE255" s="399"/>
      <c r="CF255" s="399"/>
      <c r="CG255" s="399"/>
      <c r="CH255" s="399"/>
      <c r="CI255" s="399"/>
      <c r="CJ255" s="399"/>
      <c r="CK255" s="399"/>
      <c r="CL255" s="399"/>
      <c r="CM255" s="399"/>
      <c r="CN255" s="399"/>
      <c r="CO255" s="399"/>
      <c r="CP255" s="399"/>
      <c r="CQ255" s="399"/>
      <c r="CR255" s="399"/>
      <c r="CS255" s="399"/>
      <c r="CT255" s="399"/>
      <c r="CU255" s="399"/>
      <c r="CV255" s="399"/>
      <c r="CW255" s="399"/>
      <c r="CX255" s="399"/>
      <c r="CY255" s="399"/>
      <c r="CZ255" s="399"/>
      <c r="DA255" s="399"/>
      <c r="DB255" s="399"/>
      <c r="DC255" s="399"/>
      <c r="DD255" s="399"/>
      <c r="DE255" s="399"/>
      <c r="DF255" s="399"/>
      <c r="DG255" s="399"/>
      <c r="DH255" s="399"/>
      <c r="DI255" s="399"/>
      <c r="DJ255" s="399"/>
      <c r="DK255" s="399"/>
      <c r="DL255" s="399"/>
      <c r="DM255" s="399"/>
      <c r="DN255" s="399"/>
      <c r="DO255" s="399"/>
      <c r="DP255" s="399"/>
      <c r="DQ255" s="399"/>
    </row>
    <row r="256" spans="1:121" s="760" customFormat="1" ht="14.45" customHeight="1" x14ac:dyDescent="0.25">
      <c r="A256" s="266">
        <f t="shared" si="3"/>
        <v>27.033333333333335</v>
      </c>
      <c r="B256" s="389">
        <v>42045</v>
      </c>
      <c r="C256" s="390" t="s">
        <v>451</v>
      </c>
      <c r="D256" s="394" t="s">
        <v>451</v>
      </c>
      <c r="E256" s="394" t="s">
        <v>552</v>
      </c>
      <c r="F256" s="394" t="s">
        <v>151</v>
      </c>
      <c r="G256" s="394" t="s">
        <v>1319</v>
      </c>
      <c r="H256" s="261"/>
      <c r="I256" s="261"/>
      <c r="J256" s="261"/>
      <c r="K256" s="261">
        <v>49</v>
      </c>
      <c r="L256" s="261">
        <v>16</v>
      </c>
      <c r="M256" s="261">
        <v>49</v>
      </c>
      <c r="N256" s="261">
        <v>16</v>
      </c>
      <c r="O256" s="261"/>
      <c r="P256" s="261">
        <v>16</v>
      </c>
      <c r="Q256" s="261">
        <v>92</v>
      </c>
      <c r="R256" s="261"/>
      <c r="S256" s="261"/>
      <c r="T256" s="261"/>
      <c r="U256" s="261"/>
      <c r="V256" s="762">
        <v>15</v>
      </c>
      <c r="W256" s="261"/>
      <c r="X256" s="261"/>
      <c r="Y256" s="264">
        <f>IF(NFI_Expiration=1,IF($A256&lt;VLOOKUP(H$5,NFI,5,0),1,0)*Table_NFI[[#This Row],[Hygiene Kit]],Table_NFI[Hygiene Kit])</f>
        <v>0</v>
      </c>
      <c r="Z256" s="264">
        <f>IF(NFI_Expiration=1,IF($A256&lt;VLOOKUP(I$5,NFI,5,0),1,0)*Table_NFI[[#This Row],[NFI Core Kit]],Table_NFI[NFI Core Kit])</f>
        <v>0</v>
      </c>
      <c r="AA256" s="264">
        <f>IF(NFI_Expiration=1,IF($A256&lt;VLOOKUP(J$5,NFI,5,0),1,0)*Table_NFI[[#This Row],[Sanitary Kit]],Table_NFI[Sanitary Kit])</f>
        <v>0</v>
      </c>
      <c r="AB256" s="264">
        <f>IF(NFI_Expiration=1,IF($A256&lt;VLOOKUP(K$5,NFI,5,0),1,0)*Table_NFI[[#This Row],[Mosquito net]],Table_NFI[Mosquito net])</f>
        <v>0</v>
      </c>
      <c r="AC256" s="264">
        <f>IF(NFI_Expiration=1,IF($A256&lt;VLOOKUP(L$5,NFI,5,0),1,0)*Table_NFI[[#This Row],[Tarpaulin]],Table_NFI[[#This Row],[Tarpaulin]])</f>
        <v>0</v>
      </c>
      <c r="AD256" s="264">
        <f>IF(NFI_Expiration=1,IF($A256&lt;VLOOKUP(M$5,NFI,5,0),1,0)*Table_NFI[[#This Row],[Blanket]],Table_NFI[[#This Row],[Blanket]])</f>
        <v>0</v>
      </c>
      <c r="AE256" s="264">
        <f>IF(NFI_Expiration=1,IF($A256&lt;VLOOKUP(N$5,NFI,5,0),1,0)*Table_NFI[[#This Row],[Kitchen Set]],Table_NFI[Kitchen Set])</f>
        <v>0</v>
      </c>
      <c r="AF256" s="264">
        <f>IF(NFI_Expiration=1,IF($A256&lt;VLOOKUP(O$5,NFI,5,0),1,0)*Table_NFI[[#This Row],[Clothes Kit]],Table_NFI[Clothes Kit])</f>
        <v>0</v>
      </c>
      <c r="AG256" s="264">
        <f>IF(NFI_Expiration=1,IF($A256&lt;VLOOKUP(P$5,NFI,5,0),1,0)*Table_NFI[[#This Row],[Plastic Bucket]],Table_NFI[Plastic Bucket])</f>
        <v>0</v>
      </c>
      <c r="AH256" s="264">
        <f>IF(NFI_Expiration=1,IF($A256&lt;VLOOKUP(Q$5,NFI,5,0),1,0)*Table_NFI[[#This Row],[Plastic Mat]],Table_NFI[Plastic Mat])*IF(Table_NFI[[#This Row],[Distribution Date]]&gt;"2014-04-01",1,2.5)</f>
        <v>0</v>
      </c>
      <c r="AI256" s="264">
        <f>IF(NFI_Expiration=1,IF($A256&lt;VLOOKUP(R$5,NFI,5,0),1,0)*Table_NFI[[#This Row],[Winter Clothes Adult]],Table_NFI[Winter Clothes Adult])</f>
        <v>0</v>
      </c>
      <c r="AJ256" s="264">
        <f>IF(NFI_Expiration=1,IF($A256&lt;VLOOKUP(S$5,NFI,5,0),1,0)*Table_NFI[[#This Row],[Winter Clothes Children]],Table_NFI[Winter Clothes Children])</f>
        <v>0</v>
      </c>
      <c r="AK256" s="264">
        <f>IF(NFI_Expiration=1,IF($A256&lt;VLOOKUP(T$5,NFI,5,0),1,0)*Table_NFI[[#This Row],[Winter Items Other]],Table_NFI[Winter Items Other])</f>
        <v>0</v>
      </c>
      <c r="AL256" s="264">
        <f>IF(NFI_Expiration=1,IF($A256&lt;VLOOKUP(M$5,NFI,5,0),1,0)*Table_NFI[[#This Row],[Winter Blanket]],Table_NFI[[#This Row],[Winter Blanket]])</f>
        <v>0</v>
      </c>
      <c r="AM256" s="264">
        <f>IF(Table_NFI[[#This Row],[Winter Clothes Adult]]+Table_NFI[[#This Row],[Winter Clothes Children]]+Table_NFI[[#This Row],[Winter Items Other]]+Table_NFI[[#This Row],[Winter Blanket]]&gt;0,1,0)</f>
        <v>0</v>
      </c>
      <c r="AN256" s="296">
        <f>IF(NFI_Expiration=1,IF($A256&lt;VLOOKUP(V$5,NFI,5,0),1,0)*Table_NFI[[#This Row],[Jerry Can]],Table_NFI[Jerry Can])</f>
        <v>0</v>
      </c>
      <c r="AO256" s="296">
        <f>IF(NFI_Expiration=1,IF($A256&lt;VLOOKUP(V$5,NFI,5,0),1,0)*Table_NFI[[#This Row],[Shelter Tool kit]],Table_NFI[Shelter Tool kit])</f>
        <v>0</v>
      </c>
      <c r="AP256" s="296">
        <f>IF(NFI_Expiration=1,IF($A256&lt;VLOOKUP(V$5,NFI,5,0),1,0)*Table_NFI[[#This Row],[Tent]],Table_NFI[Tent])</f>
        <v>0</v>
      </c>
      <c r="AQ256" s="396" t="str">
        <f>IFERROR(VLOOKUP(Table_NFI[[#This Row],[Camp Name]],CL,2,0),"")</f>
        <v/>
      </c>
      <c r="AR256" s="702" t="str">
        <f ca="1">IF(Table_NFI[[#This Row],[Pcode]]="","",IF(OFFSET(CampList[Opening Date],MATCH(Table_NFI[[#This Row],[Pcode]],CampList[CP_Pcode],0)-1,0,1,1)&gt;=NFI_Monitor_Date,1,0))</f>
        <v/>
      </c>
      <c r="AS256" s="559" t="str">
        <f>IFERROR(VLOOKUP(Table_NFI[[#This Row],[Camp Name]],CL,3,0),"")</f>
        <v/>
      </c>
      <c r="AT256" s="264" t="str">
        <f ca="1">IF(Table_NFI[[#This Row],[Pcode]]="","",OFFSET(CampList[Priority],MATCH(Table_NFI[[#This Row],[Pcode]],CampList[CP_Pcode],0)-1,0,1,1))</f>
        <v/>
      </c>
      <c r="AU256" s="263" t="str">
        <f>IFERROR(Table_NFI[[#This Row],[Kitchen Set]]/VLOOKUP(Table_NFI[[#This Row],[Camp Name]],CL,4,0),"")</f>
        <v/>
      </c>
      <c r="AV256" s="390" t="s">
        <v>1087</v>
      </c>
      <c r="AW256" s="392"/>
      <c r="AX256" s="399"/>
      <c r="AY256" s="399"/>
      <c r="AZ256" s="399"/>
      <c r="BA256" s="399"/>
      <c r="BB256" s="399"/>
      <c r="BC256" s="399"/>
      <c r="BD256" s="399"/>
      <c r="BE256" s="399"/>
      <c r="BF256" s="399"/>
      <c r="BG256" s="399"/>
      <c r="BH256" s="399"/>
      <c r="BI256" s="399"/>
      <c r="BJ256" s="399"/>
      <c r="BK256" s="399"/>
      <c r="BL256" s="399"/>
      <c r="BM256" s="399"/>
      <c r="BN256" s="399"/>
      <c r="BO256" s="399"/>
      <c r="BP256" s="399"/>
      <c r="BQ256" s="399"/>
      <c r="BR256" s="399"/>
      <c r="BS256" s="399"/>
      <c r="BT256" s="399"/>
      <c r="BU256" s="399"/>
      <c r="BV256" s="399"/>
      <c r="BW256" s="399"/>
      <c r="BX256" s="399"/>
      <c r="BY256" s="399"/>
      <c r="BZ256" s="399"/>
      <c r="CA256" s="399"/>
      <c r="CB256" s="399"/>
      <c r="CC256" s="399"/>
      <c r="CD256" s="399"/>
      <c r="CE256" s="399"/>
      <c r="CF256" s="399"/>
      <c r="CG256" s="399"/>
      <c r="CH256" s="399"/>
      <c r="CI256" s="399"/>
      <c r="CJ256" s="399"/>
      <c r="CK256" s="399"/>
      <c r="CL256" s="399"/>
      <c r="CM256" s="399"/>
      <c r="CN256" s="399"/>
      <c r="CO256" s="399"/>
      <c r="CP256" s="399"/>
      <c r="CQ256" s="399"/>
      <c r="CR256" s="399"/>
      <c r="CS256" s="399"/>
      <c r="CT256" s="399"/>
      <c r="CU256" s="399"/>
      <c r="CV256" s="399"/>
      <c r="CW256" s="399"/>
      <c r="CX256" s="399"/>
      <c r="CY256" s="399"/>
      <c r="CZ256" s="399"/>
      <c r="DA256" s="399"/>
      <c r="DB256" s="399"/>
      <c r="DC256" s="399"/>
      <c r="DD256" s="399"/>
      <c r="DE256" s="399"/>
      <c r="DF256" s="399"/>
      <c r="DG256" s="399"/>
      <c r="DH256" s="399"/>
      <c r="DI256" s="399"/>
      <c r="DJ256" s="399"/>
      <c r="DK256" s="399"/>
      <c r="DL256" s="399"/>
      <c r="DM256" s="399"/>
      <c r="DN256" s="399"/>
      <c r="DO256" s="399"/>
      <c r="DP256" s="399"/>
      <c r="DQ256" s="399"/>
    </row>
    <row r="257" spans="1:121" s="760" customFormat="1" ht="14.45" customHeight="1" x14ac:dyDescent="0.25">
      <c r="A257" s="266">
        <f t="shared" si="3"/>
        <v>27.033333333333335</v>
      </c>
      <c r="B257" s="389">
        <v>42045</v>
      </c>
      <c r="C257" s="390" t="s">
        <v>451</v>
      </c>
      <c r="D257" s="394" t="s">
        <v>451</v>
      </c>
      <c r="E257" s="394" t="s">
        <v>552</v>
      </c>
      <c r="F257" s="394" t="s">
        <v>151</v>
      </c>
      <c r="G257" s="394" t="s">
        <v>1320</v>
      </c>
      <c r="H257" s="261"/>
      <c r="I257" s="261"/>
      <c r="J257" s="261"/>
      <c r="K257" s="261">
        <v>75</v>
      </c>
      <c r="L257" s="261">
        <v>13</v>
      </c>
      <c r="M257" s="261">
        <v>110</v>
      </c>
      <c r="N257" s="261">
        <v>13</v>
      </c>
      <c r="O257" s="261"/>
      <c r="P257" s="261">
        <v>13</v>
      </c>
      <c r="Q257" s="261">
        <v>45</v>
      </c>
      <c r="R257" s="261"/>
      <c r="S257" s="261"/>
      <c r="T257" s="261"/>
      <c r="U257" s="261"/>
      <c r="V257" s="762"/>
      <c r="W257" s="261"/>
      <c r="X257" s="261"/>
      <c r="Y257" s="264">
        <f>IF(NFI_Expiration=1,IF($A257&lt;VLOOKUP(H$5,NFI,5,0),1,0)*Table_NFI[[#This Row],[Hygiene Kit]],Table_NFI[Hygiene Kit])</f>
        <v>0</v>
      </c>
      <c r="Z257" s="264">
        <f>IF(NFI_Expiration=1,IF($A257&lt;VLOOKUP(I$5,NFI,5,0),1,0)*Table_NFI[[#This Row],[NFI Core Kit]],Table_NFI[NFI Core Kit])</f>
        <v>0</v>
      </c>
      <c r="AA257" s="264">
        <f>IF(NFI_Expiration=1,IF($A257&lt;VLOOKUP(J$5,NFI,5,0),1,0)*Table_NFI[[#This Row],[Sanitary Kit]],Table_NFI[Sanitary Kit])</f>
        <v>0</v>
      </c>
      <c r="AB257" s="264">
        <f>IF(NFI_Expiration=1,IF($A257&lt;VLOOKUP(K$5,NFI,5,0),1,0)*Table_NFI[[#This Row],[Mosquito net]],Table_NFI[Mosquito net])</f>
        <v>0</v>
      </c>
      <c r="AC257" s="264">
        <f>IF(NFI_Expiration=1,IF($A257&lt;VLOOKUP(L$5,NFI,5,0),1,0)*Table_NFI[[#This Row],[Tarpaulin]],Table_NFI[[#This Row],[Tarpaulin]])</f>
        <v>0</v>
      </c>
      <c r="AD257" s="264">
        <f>IF(NFI_Expiration=1,IF($A257&lt;VLOOKUP(M$5,NFI,5,0),1,0)*Table_NFI[[#This Row],[Blanket]],Table_NFI[[#This Row],[Blanket]])</f>
        <v>0</v>
      </c>
      <c r="AE257" s="264">
        <f>IF(NFI_Expiration=1,IF($A257&lt;VLOOKUP(N$5,NFI,5,0),1,0)*Table_NFI[[#This Row],[Kitchen Set]],Table_NFI[Kitchen Set])</f>
        <v>0</v>
      </c>
      <c r="AF257" s="264">
        <f>IF(NFI_Expiration=1,IF($A257&lt;VLOOKUP(O$5,NFI,5,0),1,0)*Table_NFI[[#This Row],[Clothes Kit]],Table_NFI[Clothes Kit])</f>
        <v>0</v>
      </c>
      <c r="AG257" s="264">
        <f>IF(NFI_Expiration=1,IF($A257&lt;VLOOKUP(P$5,NFI,5,0),1,0)*Table_NFI[[#This Row],[Plastic Bucket]],Table_NFI[Plastic Bucket])</f>
        <v>0</v>
      </c>
      <c r="AH257" s="264">
        <f>IF(NFI_Expiration=1,IF($A257&lt;VLOOKUP(Q$5,NFI,5,0),1,0)*Table_NFI[[#This Row],[Plastic Mat]],Table_NFI[Plastic Mat])*IF(Table_NFI[[#This Row],[Distribution Date]]&gt;"2014-04-01",1,2.5)</f>
        <v>0</v>
      </c>
      <c r="AI257" s="264">
        <f>IF(NFI_Expiration=1,IF($A257&lt;VLOOKUP(R$5,NFI,5,0),1,0)*Table_NFI[[#This Row],[Winter Clothes Adult]],Table_NFI[Winter Clothes Adult])</f>
        <v>0</v>
      </c>
      <c r="AJ257" s="264">
        <f>IF(NFI_Expiration=1,IF($A257&lt;VLOOKUP(S$5,NFI,5,0),1,0)*Table_NFI[[#This Row],[Winter Clothes Children]],Table_NFI[Winter Clothes Children])</f>
        <v>0</v>
      </c>
      <c r="AK257" s="264">
        <f>IF(NFI_Expiration=1,IF($A257&lt;VLOOKUP(T$5,NFI,5,0),1,0)*Table_NFI[[#This Row],[Winter Items Other]],Table_NFI[Winter Items Other])</f>
        <v>0</v>
      </c>
      <c r="AL257" s="264">
        <f>IF(NFI_Expiration=1,IF($A257&lt;VLOOKUP(M$5,NFI,5,0),1,0)*Table_NFI[[#This Row],[Winter Blanket]],Table_NFI[[#This Row],[Winter Blanket]])</f>
        <v>0</v>
      </c>
      <c r="AM257" s="264">
        <f>IF(Table_NFI[[#This Row],[Winter Clothes Adult]]+Table_NFI[[#This Row],[Winter Clothes Children]]+Table_NFI[[#This Row],[Winter Items Other]]+Table_NFI[[#This Row],[Winter Blanket]]&gt;0,1,0)</f>
        <v>0</v>
      </c>
      <c r="AN257" s="296">
        <f>IF(NFI_Expiration=1,IF($A257&lt;VLOOKUP(V$5,NFI,5,0),1,0)*Table_NFI[[#This Row],[Jerry Can]],Table_NFI[Jerry Can])</f>
        <v>0</v>
      </c>
      <c r="AO257" s="296">
        <f>IF(NFI_Expiration=1,IF($A257&lt;VLOOKUP(V$5,NFI,5,0),1,0)*Table_NFI[[#This Row],[Shelter Tool kit]],Table_NFI[Shelter Tool kit])</f>
        <v>0</v>
      </c>
      <c r="AP257" s="296">
        <f>IF(NFI_Expiration=1,IF($A257&lt;VLOOKUP(V$5,NFI,5,0),1,0)*Table_NFI[[#This Row],[Tent]],Table_NFI[Tent])</f>
        <v>0</v>
      </c>
      <c r="AQ257" s="396" t="str">
        <f>IFERROR(VLOOKUP(Table_NFI[[#This Row],[Camp Name]],CL,2,0),"")</f>
        <v/>
      </c>
      <c r="AR257" s="702" t="str">
        <f ca="1">IF(Table_NFI[[#This Row],[Pcode]]="","",IF(OFFSET(CampList[Opening Date],MATCH(Table_NFI[[#This Row],[Pcode]],CampList[CP_Pcode],0)-1,0,1,1)&gt;=NFI_Monitor_Date,1,0))</f>
        <v/>
      </c>
      <c r="AS257" s="559" t="str">
        <f>IFERROR(VLOOKUP(Table_NFI[[#This Row],[Camp Name]],CL,3,0),"")</f>
        <v/>
      </c>
      <c r="AT257" s="264" t="str">
        <f ca="1">IF(Table_NFI[[#This Row],[Pcode]]="","",OFFSET(CampList[Priority],MATCH(Table_NFI[[#This Row],[Pcode]],CampList[CP_Pcode],0)-1,0,1,1))</f>
        <v/>
      </c>
      <c r="AU257" s="263" t="str">
        <f>IFERROR(Table_NFI[[#This Row],[Kitchen Set]]/VLOOKUP(Table_NFI[[#This Row],[Camp Name]],CL,4,0),"")</f>
        <v/>
      </c>
      <c r="AV257" s="390" t="s">
        <v>1087</v>
      </c>
      <c r="AW257" s="392"/>
      <c r="AX257" s="399"/>
      <c r="AY257" s="399"/>
      <c r="AZ257" s="399"/>
      <c r="BA257" s="399"/>
      <c r="BB257" s="399"/>
      <c r="BC257" s="399"/>
      <c r="BD257" s="399"/>
      <c r="BE257" s="399"/>
      <c r="BF257" s="399"/>
      <c r="BG257" s="399"/>
      <c r="BH257" s="399"/>
      <c r="BI257" s="399"/>
      <c r="BJ257" s="399"/>
      <c r="BK257" s="399"/>
      <c r="BL257" s="399"/>
      <c r="BM257" s="399"/>
      <c r="BN257" s="399"/>
      <c r="BO257" s="399"/>
      <c r="BP257" s="399"/>
      <c r="BQ257" s="399"/>
      <c r="BR257" s="399"/>
      <c r="BS257" s="399"/>
      <c r="BT257" s="399"/>
      <c r="BU257" s="399"/>
      <c r="BV257" s="399"/>
      <c r="BW257" s="399"/>
      <c r="BX257" s="399"/>
      <c r="BY257" s="399"/>
      <c r="BZ257" s="399"/>
      <c r="CA257" s="399"/>
      <c r="CB257" s="399"/>
      <c r="CC257" s="399"/>
      <c r="CD257" s="399"/>
      <c r="CE257" s="399"/>
      <c r="CF257" s="399"/>
      <c r="CG257" s="399"/>
      <c r="CH257" s="399"/>
      <c r="CI257" s="399"/>
      <c r="CJ257" s="399"/>
      <c r="CK257" s="399"/>
      <c r="CL257" s="399"/>
      <c r="CM257" s="399"/>
      <c r="CN257" s="399"/>
      <c r="CO257" s="399"/>
      <c r="CP257" s="399"/>
      <c r="CQ257" s="399"/>
      <c r="CR257" s="399"/>
      <c r="CS257" s="399"/>
      <c r="CT257" s="399"/>
      <c r="CU257" s="399"/>
      <c r="CV257" s="399"/>
      <c r="CW257" s="399"/>
      <c r="CX257" s="399"/>
      <c r="CY257" s="399"/>
      <c r="CZ257" s="399"/>
      <c r="DA257" s="399"/>
      <c r="DB257" s="399"/>
      <c r="DC257" s="399"/>
      <c r="DD257" s="399"/>
      <c r="DE257" s="399"/>
      <c r="DF257" s="399"/>
      <c r="DG257" s="399"/>
      <c r="DH257" s="399"/>
      <c r="DI257" s="399"/>
      <c r="DJ257" s="399"/>
      <c r="DK257" s="399"/>
      <c r="DL257" s="399"/>
      <c r="DM257" s="399"/>
      <c r="DN257" s="399"/>
      <c r="DO257" s="399"/>
      <c r="DP257" s="399"/>
      <c r="DQ257" s="399"/>
    </row>
    <row r="258" spans="1:121" s="760" customFormat="1" ht="14.45" customHeight="1" x14ac:dyDescent="0.25">
      <c r="A258" s="266">
        <f t="shared" si="3"/>
        <v>27.033333333333335</v>
      </c>
      <c r="B258" s="389">
        <v>42045</v>
      </c>
      <c r="C258" s="394" t="s">
        <v>451</v>
      </c>
      <c r="D258" s="394" t="s">
        <v>451</v>
      </c>
      <c r="E258" s="394" t="s">
        <v>552</v>
      </c>
      <c r="F258" s="394" t="s">
        <v>151</v>
      </c>
      <c r="G258" s="394" t="s">
        <v>1318</v>
      </c>
      <c r="H258" s="261"/>
      <c r="I258" s="261">
        <v>200</v>
      </c>
      <c r="J258" s="261"/>
      <c r="K258" s="261">
        <v>86</v>
      </c>
      <c r="L258" s="261">
        <v>28</v>
      </c>
      <c r="M258" s="261">
        <v>173</v>
      </c>
      <c r="N258" s="261">
        <v>28</v>
      </c>
      <c r="O258" s="261"/>
      <c r="P258" s="261">
        <v>43</v>
      </c>
      <c r="Q258" s="261">
        <v>199</v>
      </c>
      <c r="R258" s="261"/>
      <c r="S258" s="261"/>
      <c r="T258" s="261"/>
      <c r="U258" s="261"/>
      <c r="V258" s="762">
        <v>42</v>
      </c>
      <c r="W258" s="261"/>
      <c r="X258" s="261"/>
      <c r="Y258" s="264">
        <f>IF(NFI_Expiration=1,IF($A258&lt;VLOOKUP(H$5,NFI,5,0),1,0)*Table_NFI[[#This Row],[Hygiene Kit]],Table_NFI[Hygiene Kit])</f>
        <v>0</v>
      </c>
      <c r="Z258" s="264">
        <f>IF(NFI_Expiration=1,IF($A258&lt;VLOOKUP(I$5,NFI,5,0),1,0)*Table_NFI[[#This Row],[NFI Core Kit]],Table_NFI[NFI Core Kit])</f>
        <v>0</v>
      </c>
      <c r="AA258" s="264">
        <f>IF(NFI_Expiration=1,IF($A258&lt;VLOOKUP(J$5,NFI,5,0),1,0)*Table_NFI[[#This Row],[Sanitary Kit]],Table_NFI[Sanitary Kit])</f>
        <v>0</v>
      </c>
      <c r="AB258" s="264">
        <f>IF(NFI_Expiration=1,IF($A258&lt;VLOOKUP(K$5,NFI,5,0),1,0)*Table_NFI[[#This Row],[Mosquito net]],Table_NFI[Mosquito net])</f>
        <v>0</v>
      </c>
      <c r="AC258" s="264">
        <f>IF(NFI_Expiration=1,IF($A258&lt;VLOOKUP(L$5,NFI,5,0),1,0)*Table_NFI[[#This Row],[Tarpaulin]],Table_NFI[[#This Row],[Tarpaulin]])</f>
        <v>0</v>
      </c>
      <c r="AD258" s="264">
        <f>IF(NFI_Expiration=1,IF($A258&lt;VLOOKUP(M$5,NFI,5,0),1,0)*Table_NFI[[#This Row],[Blanket]],Table_NFI[[#This Row],[Blanket]])</f>
        <v>0</v>
      </c>
      <c r="AE258" s="264">
        <f>IF(NFI_Expiration=1,IF($A258&lt;VLOOKUP(N$5,NFI,5,0),1,0)*Table_NFI[[#This Row],[Kitchen Set]],Table_NFI[Kitchen Set])</f>
        <v>0</v>
      </c>
      <c r="AF258" s="264">
        <f>IF(NFI_Expiration=1,IF($A258&lt;VLOOKUP(O$5,NFI,5,0),1,0)*Table_NFI[[#This Row],[Clothes Kit]],Table_NFI[Clothes Kit])</f>
        <v>0</v>
      </c>
      <c r="AG258" s="264">
        <f>IF(NFI_Expiration=1,IF($A258&lt;VLOOKUP(P$5,NFI,5,0),1,0)*Table_NFI[[#This Row],[Plastic Bucket]],Table_NFI[Plastic Bucket])</f>
        <v>0</v>
      </c>
      <c r="AH258" s="264">
        <f>IF(NFI_Expiration=1,IF($A258&lt;VLOOKUP(Q$5,NFI,5,0),1,0)*Table_NFI[[#This Row],[Plastic Mat]],Table_NFI[Plastic Mat])*IF(Table_NFI[[#This Row],[Distribution Date]]&gt;"2014-04-01",1,2.5)</f>
        <v>0</v>
      </c>
      <c r="AI258" s="264">
        <f>IF(NFI_Expiration=1,IF($A258&lt;VLOOKUP(R$5,NFI,5,0),1,0)*Table_NFI[[#This Row],[Winter Clothes Adult]],Table_NFI[Winter Clothes Adult])</f>
        <v>0</v>
      </c>
      <c r="AJ258" s="264">
        <f>IF(NFI_Expiration=1,IF($A258&lt;VLOOKUP(S$5,NFI,5,0),1,0)*Table_NFI[[#This Row],[Winter Clothes Children]],Table_NFI[Winter Clothes Children])</f>
        <v>0</v>
      </c>
      <c r="AK258" s="264">
        <f>IF(NFI_Expiration=1,IF($A258&lt;VLOOKUP(T$5,NFI,5,0),1,0)*Table_NFI[[#This Row],[Winter Items Other]],Table_NFI[Winter Items Other])</f>
        <v>0</v>
      </c>
      <c r="AL258" s="264">
        <f>IF(NFI_Expiration=1,IF($A258&lt;VLOOKUP(M$5,NFI,5,0),1,0)*Table_NFI[[#This Row],[Winter Blanket]],Table_NFI[[#This Row],[Winter Blanket]])</f>
        <v>0</v>
      </c>
      <c r="AM258" s="264">
        <f>IF(Table_NFI[[#This Row],[Winter Clothes Adult]]+Table_NFI[[#This Row],[Winter Clothes Children]]+Table_NFI[[#This Row],[Winter Items Other]]+Table_NFI[[#This Row],[Winter Blanket]]&gt;0,1,0)</f>
        <v>0</v>
      </c>
      <c r="AN258" s="296">
        <f>IF(NFI_Expiration=1,IF($A258&lt;VLOOKUP(V$5,NFI,5,0),1,0)*Table_NFI[[#This Row],[Jerry Can]],Table_NFI[Jerry Can])</f>
        <v>0</v>
      </c>
      <c r="AO258" s="296">
        <f>IF(NFI_Expiration=1,IF($A258&lt;VLOOKUP(V$5,NFI,5,0),1,0)*Table_NFI[[#This Row],[Shelter Tool kit]],Table_NFI[Shelter Tool kit])</f>
        <v>0</v>
      </c>
      <c r="AP258" s="296">
        <f>IF(NFI_Expiration=1,IF($A258&lt;VLOOKUP(V$5,NFI,5,0),1,0)*Table_NFI[[#This Row],[Tent]],Table_NFI[Tent])</f>
        <v>0</v>
      </c>
      <c r="AQ258" s="396" t="str">
        <f>IFERROR(VLOOKUP(Table_NFI[[#This Row],[Camp Name]],CL,2,0),"")</f>
        <v/>
      </c>
      <c r="AR258" s="702" t="str">
        <f ca="1">IF(Table_NFI[[#This Row],[Pcode]]="","",IF(OFFSET(CampList[Opening Date],MATCH(Table_NFI[[#This Row],[Pcode]],CampList[CP_Pcode],0)-1,0,1,1)&gt;=NFI_Monitor_Date,1,0))</f>
        <v/>
      </c>
      <c r="AS258" s="559" t="str">
        <f>IFERROR(VLOOKUP(Table_NFI[[#This Row],[Camp Name]],CL,3,0),"")</f>
        <v/>
      </c>
      <c r="AT258" s="264" t="str">
        <f ca="1">IF(Table_NFI[[#This Row],[Pcode]]="","",OFFSET(CampList[Priority],MATCH(Table_NFI[[#This Row],[Pcode]],CampList[CP_Pcode],0)-1,0,1,1))</f>
        <v/>
      </c>
      <c r="AU258" s="263" t="str">
        <f>IFERROR(Table_NFI[[#This Row],[Kitchen Set]]/VLOOKUP(Table_NFI[[#This Row],[Camp Name]],CL,4,0),"")</f>
        <v/>
      </c>
      <c r="AV258" s="390" t="s">
        <v>1087</v>
      </c>
      <c r="AW258" s="397"/>
      <c r="AX258" s="399"/>
      <c r="AY258" s="399"/>
      <c r="AZ258" s="399"/>
      <c r="BA258" s="399"/>
      <c r="BB258" s="399"/>
      <c r="BC258" s="399"/>
      <c r="BD258" s="399"/>
      <c r="BE258" s="399"/>
      <c r="BF258" s="399"/>
      <c r="BG258" s="399"/>
      <c r="BH258" s="399"/>
      <c r="BI258" s="399"/>
      <c r="BJ258" s="399"/>
      <c r="BK258" s="399"/>
      <c r="BL258" s="399"/>
      <c r="BM258" s="399"/>
      <c r="BN258" s="399"/>
      <c r="BO258" s="399"/>
      <c r="BP258" s="399"/>
      <c r="BQ258" s="399"/>
      <c r="BR258" s="399"/>
      <c r="BS258" s="399"/>
      <c r="BT258" s="399"/>
      <c r="BU258" s="399"/>
      <c r="BV258" s="399"/>
      <c r="BW258" s="399"/>
      <c r="BX258" s="399"/>
      <c r="BY258" s="399"/>
      <c r="BZ258" s="399"/>
      <c r="CA258" s="399"/>
      <c r="CB258" s="399"/>
      <c r="CC258" s="399"/>
      <c r="CD258" s="399"/>
      <c r="CE258" s="399"/>
      <c r="CF258" s="399"/>
      <c r="CG258" s="399"/>
      <c r="CH258" s="399"/>
      <c r="CI258" s="399"/>
      <c r="CJ258" s="399"/>
      <c r="CK258" s="399"/>
      <c r="CL258" s="399"/>
      <c r="CM258" s="399"/>
      <c r="CN258" s="399"/>
      <c r="CO258" s="399"/>
      <c r="CP258" s="399"/>
      <c r="CQ258" s="399"/>
      <c r="CR258" s="399"/>
      <c r="CS258" s="399"/>
      <c r="CT258" s="399"/>
      <c r="CU258" s="399"/>
      <c r="CV258" s="399"/>
      <c r="CW258" s="399"/>
      <c r="CX258" s="399"/>
      <c r="CY258" s="399"/>
      <c r="CZ258" s="399"/>
      <c r="DA258" s="399"/>
      <c r="DB258" s="399"/>
      <c r="DC258" s="399"/>
      <c r="DD258" s="399"/>
      <c r="DE258" s="399"/>
      <c r="DF258" s="399"/>
      <c r="DG258" s="399"/>
      <c r="DH258" s="399"/>
      <c r="DI258" s="399"/>
      <c r="DJ258" s="399"/>
      <c r="DK258" s="399"/>
      <c r="DL258" s="399"/>
      <c r="DM258" s="399"/>
      <c r="DN258" s="399"/>
      <c r="DO258" s="399"/>
      <c r="DP258" s="399"/>
      <c r="DQ258" s="399"/>
    </row>
    <row r="259" spans="1:121" s="760" customFormat="1" ht="14.45" customHeight="1" x14ac:dyDescent="0.25">
      <c r="A259" s="266">
        <f t="shared" si="3"/>
        <v>27.033333333333335</v>
      </c>
      <c r="B259" s="389">
        <v>42045</v>
      </c>
      <c r="C259" s="390" t="s">
        <v>451</v>
      </c>
      <c r="D259" s="394" t="s">
        <v>451</v>
      </c>
      <c r="E259" s="394" t="s">
        <v>552</v>
      </c>
      <c r="F259" s="394" t="s">
        <v>151</v>
      </c>
      <c r="G259" s="394" t="s">
        <v>1321</v>
      </c>
      <c r="H259" s="261"/>
      <c r="I259" s="261"/>
      <c r="J259" s="261"/>
      <c r="K259" s="261">
        <v>90</v>
      </c>
      <c r="L259" s="261">
        <v>43</v>
      </c>
      <c r="M259" s="261">
        <v>93</v>
      </c>
      <c r="N259" s="261">
        <v>43</v>
      </c>
      <c r="O259" s="261"/>
      <c r="P259" s="261">
        <v>32</v>
      </c>
      <c r="Q259" s="261">
        <v>164</v>
      </c>
      <c r="R259" s="261"/>
      <c r="S259" s="261"/>
      <c r="T259" s="261"/>
      <c r="U259" s="261"/>
      <c r="V259" s="762">
        <v>43</v>
      </c>
      <c r="W259" s="261"/>
      <c r="X259" s="261"/>
      <c r="Y259" s="264">
        <f>IF(NFI_Expiration=1,IF($A259&lt;VLOOKUP(H$5,NFI,5,0),1,0)*Table_NFI[[#This Row],[Hygiene Kit]],Table_NFI[Hygiene Kit])</f>
        <v>0</v>
      </c>
      <c r="Z259" s="264">
        <f>IF(NFI_Expiration=1,IF($A259&lt;VLOOKUP(I$5,NFI,5,0),1,0)*Table_NFI[[#This Row],[NFI Core Kit]],Table_NFI[NFI Core Kit])</f>
        <v>0</v>
      </c>
      <c r="AA259" s="264">
        <f>IF(NFI_Expiration=1,IF($A259&lt;VLOOKUP(J$5,NFI,5,0),1,0)*Table_NFI[[#This Row],[Sanitary Kit]],Table_NFI[Sanitary Kit])</f>
        <v>0</v>
      </c>
      <c r="AB259" s="264">
        <f>IF(NFI_Expiration=1,IF($A259&lt;VLOOKUP(K$5,NFI,5,0),1,0)*Table_NFI[[#This Row],[Mosquito net]],Table_NFI[Mosquito net])</f>
        <v>0</v>
      </c>
      <c r="AC259" s="264">
        <f>IF(NFI_Expiration=1,IF($A259&lt;VLOOKUP(L$5,NFI,5,0),1,0)*Table_NFI[[#This Row],[Tarpaulin]],Table_NFI[[#This Row],[Tarpaulin]])</f>
        <v>0</v>
      </c>
      <c r="AD259" s="264">
        <f>IF(NFI_Expiration=1,IF($A259&lt;VLOOKUP(M$5,NFI,5,0),1,0)*Table_NFI[[#This Row],[Blanket]],Table_NFI[[#This Row],[Blanket]])</f>
        <v>0</v>
      </c>
      <c r="AE259" s="264">
        <f>IF(NFI_Expiration=1,IF($A259&lt;VLOOKUP(N$5,NFI,5,0),1,0)*Table_NFI[[#This Row],[Kitchen Set]],Table_NFI[Kitchen Set])</f>
        <v>0</v>
      </c>
      <c r="AF259" s="264">
        <f>IF(NFI_Expiration=1,IF($A259&lt;VLOOKUP(O$5,NFI,5,0),1,0)*Table_NFI[[#This Row],[Clothes Kit]],Table_NFI[Clothes Kit])</f>
        <v>0</v>
      </c>
      <c r="AG259" s="264">
        <f>IF(NFI_Expiration=1,IF($A259&lt;VLOOKUP(P$5,NFI,5,0),1,0)*Table_NFI[[#This Row],[Plastic Bucket]],Table_NFI[Plastic Bucket])</f>
        <v>0</v>
      </c>
      <c r="AH259" s="264">
        <f>IF(NFI_Expiration=1,IF($A259&lt;VLOOKUP(Q$5,NFI,5,0),1,0)*Table_NFI[[#This Row],[Plastic Mat]],Table_NFI[Plastic Mat])*IF(Table_NFI[[#This Row],[Distribution Date]]&gt;"2014-04-01",1,2.5)</f>
        <v>0</v>
      </c>
      <c r="AI259" s="264">
        <f>IF(NFI_Expiration=1,IF($A259&lt;VLOOKUP(R$5,NFI,5,0),1,0)*Table_NFI[[#This Row],[Winter Clothes Adult]],Table_NFI[Winter Clothes Adult])</f>
        <v>0</v>
      </c>
      <c r="AJ259" s="264">
        <f>IF(NFI_Expiration=1,IF($A259&lt;VLOOKUP(S$5,NFI,5,0),1,0)*Table_NFI[[#This Row],[Winter Clothes Children]],Table_NFI[Winter Clothes Children])</f>
        <v>0</v>
      </c>
      <c r="AK259" s="264">
        <f>IF(NFI_Expiration=1,IF($A259&lt;VLOOKUP(T$5,NFI,5,0),1,0)*Table_NFI[[#This Row],[Winter Items Other]],Table_NFI[Winter Items Other])</f>
        <v>0</v>
      </c>
      <c r="AL259" s="264">
        <f>IF(NFI_Expiration=1,IF($A259&lt;VLOOKUP(M$5,NFI,5,0),1,0)*Table_NFI[[#This Row],[Winter Blanket]],Table_NFI[[#This Row],[Winter Blanket]])</f>
        <v>0</v>
      </c>
      <c r="AM259" s="264">
        <f>IF(Table_NFI[[#This Row],[Winter Clothes Adult]]+Table_NFI[[#This Row],[Winter Clothes Children]]+Table_NFI[[#This Row],[Winter Items Other]]+Table_NFI[[#This Row],[Winter Blanket]]&gt;0,1,0)</f>
        <v>0</v>
      </c>
      <c r="AN259" s="296">
        <f>IF(NFI_Expiration=1,IF($A259&lt;VLOOKUP(V$5,NFI,5,0),1,0)*Table_NFI[[#This Row],[Jerry Can]],Table_NFI[Jerry Can])</f>
        <v>0</v>
      </c>
      <c r="AO259" s="296">
        <f>IF(NFI_Expiration=1,IF($A259&lt;VLOOKUP(V$5,NFI,5,0),1,0)*Table_NFI[[#This Row],[Shelter Tool kit]],Table_NFI[Shelter Tool kit])</f>
        <v>0</v>
      </c>
      <c r="AP259" s="296">
        <f>IF(NFI_Expiration=1,IF($A259&lt;VLOOKUP(V$5,NFI,5,0),1,0)*Table_NFI[[#This Row],[Tent]],Table_NFI[Tent])</f>
        <v>0</v>
      </c>
      <c r="AQ259" s="396" t="str">
        <f>IFERROR(VLOOKUP(Table_NFI[[#This Row],[Camp Name]],CL,2,0),"")</f>
        <v/>
      </c>
      <c r="AR259" s="702" t="str">
        <f ca="1">IF(Table_NFI[[#This Row],[Pcode]]="","",IF(OFFSET(CampList[Opening Date],MATCH(Table_NFI[[#This Row],[Pcode]],CampList[CP_Pcode],0)-1,0,1,1)&gt;=NFI_Monitor_Date,1,0))</f>
        <v/>
      </c>
      <c r="AS259" s="559" t="str">
        <f>IFERROR(VLOOKUP(Table_NFI[[#This Row],[Camp Name]],CL,3,0),"")</f>
        <v/>
      </c>
      <c r="AT259" s="264" t="str">
        <f ca="1">IF(Table_NFI[[#This Row],[Pcode]]="","",OFFSET(CampList[Priority],MATCH(Table_NFI[[#This Row],[Pcode]],CampList[CP_Pcode],0)-1,0,1,1))</f>
        <v/>
      </c>
      <c r="AU259" s="263" t="str">
        <f>IFERROR(Table_NFI[[#This Row],[Kitchen Set]]/VLOOKUP(Table_NFI[[#This Row],[Camp Name]],CL,4,0),"")</f>
        <v/>
      </c>
      <c r="AV259" s="390" t="s">
        <v>1087</v>
      </c>
      <c r="AW259" s="392"/>
      <c r="AX259" s="399"/>
      <c r="AY259" s="399"/>
      <c r="AZ259" s="399"/>
      <c r="BA259" s="399"/>
      <c r="BB259" s="399"/>
      <c r="BC259" s="399"/>
      <c r="BD259" s="399"/>
      <c r="BE259" s="399"/>
      <c r="BF259" s="399"/>
      <c r="BG259" s="399"/>
      <c r="BH259" s="399"/>
      <c r="BI259" s="399"/>
      <c r="BJ259" s="399"/>
      <c r="BK259" s="399"/>
      <c r="BL259" s="399"/>
      <c r="BM259" s="399"/>
      <c r="BN259" s="399"/>
      <c r="BO259" s="399"/>
      <c r="BP259" s="399"/>
      <c r="BQ259" s="399"/>
      <c r="BR259" s="399"/>
      <c r="BS259" s="399"/>
      <c r="BT259" s="399"/>
      <c r="BU259" s="399"/>
      <c r="BV259" s="399"/>
      <c r="BW259" s="399"/>
      <c r="BX259" s="399"/>
      <c r="BY259" s="399"/>
      <c r="BZ259" s="399"/>
      <c r="CA259" s="399"/>
      <c r="CB259" s="399"/>
      <c r="CC259" s="399"/>
      <c r="CD259" s="399"/>
      <c r="CE259" s="399"/>
      <c r="CF259" s="399"/>
      <c r="CG259" s="399"/>
      <c r="CH259" s="399"/>
      <c r="CI259" s="399"/>
      <c r="CJ259" s="399"/>
      <c r="CK259" s="399"/>
      <c r="CL259" s="399"/>
      <c r="CM259" s="399"/>
      <c r="CN259" s="399"/>
      <c r="CO259" s="399"/>
      <c r="CP259" s="399"/>
      <c r="CQ259" s="399"/>
      <c r="CR259" s="399"/>
      <c r="CS259" s="399"/>
      <c r="CT259" s="399"/>
      <c r="CU259" s="399"/>
      <c r="CV259" s="399"/>
      <c r="CW259" s="399"/>
      <c r="CX259" s="399"/>
      <c r="CY259" s="399"/>
      <c r="CZ259" s="399"/>
      <c r="DA259" s="399"/>
      <c r="DB259" s="399"/>
      <c r="DC259" s="399"/>
      <c r="DD259" s="399"/>
      <c r="DE259" s="399"/>
      <c r="DF259" s="399"/>
      <c r="DG259" s="399"/>
      <c r="DH259" s="399"/>
      <c r="DI259" s="399"/>
      <c r="DJ259" s="399"/>
      <c r="DK259" s="399"/>
      <c r="DL259" s="399"/>
      <c r="DM259" s="399"/>
      <c r="DN259" s="399"/>
      <c r="DO259" s="399"/>
      <c r="DP259" s="399"/>
      <c r="DQ259" s="399"/>
    </row>
    <row r="260" spans="1:121" s="760" customFormat="1" x14ac:dyDescent="0.25">
      <c r="A260" s="266">
        <f t="shared" si="3"/>
        <v>27.033333333333335</v>
      </c>
      <c r="B260" s="389">
        <v>42045</v>
      </c>
      <c r="C260" s="394" t="s">
        <v>451</v>
      </c>
      <c r="D260" s="394" t="s">
        <v>459</v>
      </c>
      <c r="E260" s="394" t="s">
        <v>380</v>
      </c>
      <c r="F260" s="394" t="s">
        <v>300</v>
      </c>
      <c r="G260" s="394" t="s">
        <v>1304</v>
      </c>
      <c r="H260" s="261"/>
      <c r="I260" s="261"/>
      <c r="J260" s="261">
        <v>46</v>
      </c>
      <c r="K260" s="261">
        <v>92</v>
      </c>
      <c r="L260" s="261">
        <v>46</v>
      </c>
      <c r="M260" s="261">
        <v>92</v>
      </c>
      <c r="N260" s="261">
        <v>46</v>
      </c>
      <c r="O260" s="261"/>
      <c r="P260" s="261">
        <v>46</v>
      </c>
      <c r="Q260" s="261">
        <v>230</v>
      </c>
      <c r="R260" s="261"/>
      <c r="S260" s="261"/>
      <c r="T260" s="261"/>
      <c r="U260" s="261"/>
      <c r="V260" s="762">
        <v>46</v>
      </c>
      <c r="W260" s="261"/>
      <c r="X260" s="261">
        <v>55</v>
      </c>
      <c r="Y260" s="264">
        <f>IF(NFI_Expiration=1,IF($A260&lt;VLOOKUP(H$5,NFI,5,0),1,0)*Table_NFI[[#This Row],[Hygiene Kit]],Table_NFI[Hygiene Kit])</f>
        <v>0</v>
      </c>
      <c r="Z260" s="264">
        <f>IF(NFI_Expiration=1,IF($A260&lt;VLOOKUP(I$5,NFI,5,0),1,0)*Table_NFI[[#This Row],[NFI Core Kit]],Table_NFI[NFI Core Kit])</f>
        <v>0</v>
      </c>
      <c r="AA260" s="264">
        <f>IF(NFI_Expiration=1,IF($A260&lt;VLOOKUP(J$5,NFI,5,0),1,0)*Table_NFI[[#This Row],[Sanitary Kit]],Table_NFI[Sanitary Kit])</f>
        <v>0</v>
      </c>
      <c r="AB260" s="264">
        <f>IF(NFI_Expiration=1,IF($A260&lt;VLOOKUP(K$5,NFI,5,0),1,0)*Table_NFI[[#This Row],[Mosquito net]],Table_NFI[Mosquito net])</f>
        <v>0</v>
      </c>
      <c r="AC260" s="264">
        <f>IF(NFI_Expiration=1,IF($A260&lt;VLOOKUP(L$5,NFI,5,0),1,0)*Table_NFI[[#This Row],[Tarpaulin]],Table_NFI[[#This Row],[Tarpaulin]])</f>
        <v>0</v>
      </c>
      <c r="AD260" s="264">
        <f>IF(NFI_Expiration=1,IF($A260&lt;VLOOKUP(M$5,NFI,5,0),1,0)*Table_NFI[[#This Row],[Blanket]],Table_NFI[[#This Row],[Blanket]])</f>
        <v>0</v>
      </c>
      <c r="AE260" s="264">
        <f>IF(NFI_Expiration=1,IF($A260&lt;VLOOKUP(N$5,NFI,5,0),1,0)*Table_NFI[[#This Row],[Kitchen Set]],Table_NFI[Kitchen Set])</f>
        <v>0</v>
      </c>
      <c r="AF260" s="264">
        <f>IF(NFI_Expiration=1,IF($A260&lt;VLOOKUP(O$5,NFI,5,0),1,0)*Table_NFI[[#This Row],[Clothes Kit]],Table_NFI[Clothes Kit])</f>
        <v>0</v>
      </c>
      <c r="AG260" s="264">
        <f>IF(NFI_Expiration=1,IF($A260&lt;VLOOKUP(P$5,NFI,5,0),1,0)*Table_NFI[[#This Row],[Plastic Bucket]],Table_NFI[Plastic Bucket])</f>
        <v>0</v>
      </c>
      <c r="AH260" s="264">
        <f>IF(NFI_Expiration=1,IF($A260&lt;VLOOKUP(Q$5,NFI,5,0),1,0)*Table_NFI[[#This Row],[Plastic Mat]],Table_NFI[Plastic Mat])*IF(Table_NFI[[#This Row],[Distribution Date]]&gt;"2014-04-01",1,2.5)</f>
        <v>0</v>
      </c>
      <c r="AI260" s="264">
        <f>IF(NFI_Expiration=1,IF($A260&lt;VLOOKUP(R$5,NFI,5,0),1,0)*Table_NFI[[#This Row],[Winter Clothes Adult]],Table_NFI[Winter Clothes Adult])</f>
        <v>0</v>
      </c>
      <c r="AJ260" s="264">
        <f>IF(NFI_Expiration=1,IF($A260&lt;VLOOKUP(S$5,NFI,5,0),1,0)*Table_NFI[[#This Row],[Winter Clothes Children]],Table_NFI[Winter Clothes Children])</f>
        <v>0</v>
      </c>
      <c r="AK260" s="264">
        <f>IF(NFI_Expiration=1,IF($A260&lt;VLOOKUP(T$5,NFI,5,0),1,0)*Table_NFI[[#This Row],[Winter Items Other]],Table_NFI[Winter Items Other])</f>
        <v>0</v>
      </c>
      <c r="AL260" s="264">
        <f>IF(NFI_Expiration=1,IF($A260&lt;VLOOKUP(M$5,NFI,5,0),1,0)*Table_NFI[[#This Row],[Winter Blanket]],Table_NFI[[#This Row],[Winter Blanket]])</f>
        <v>0</v>
      </c>
      <c r="AM260" s="264">
        <f>IF(Table_NFI[[#This Row],[Winter Clothes Adult]]+Table_NFI[[#This Row],[Winter Clothes Children]]+Table_NFI[[#This Row],[Winter Items Other]]+Table_NFI[[#This Row],[Winter Blanket]]&gt;0,1,0)</f>
        <v>0</v>
      </c>
      <c r="AN260" s="296">
        <f>IF(NFI_Expiration=1,IF($A260&lt;VLOOKUP(V$5,NFI,5,0),1,0)*Table_NFI[[#This Row],[Jerry Can]],Table_NFI[Jerry Can])</f>
        <v>0</v>
      </c>
      <c r="AO260" s="296">
        <f>IF(NFI_Expiration=1,IF($A260&lt;VLOOKUP(V$5,NFI,5,0),1,0)*Table_NFI[[#This Row],[Shelter Tool kit]],Table_NFI[Shelter Tool kit])</f>
        <v>0</v>
      </c>
      <c r="AP260" s="296">
        <f>IF(NFI_Expiration=1,IF($A260&lt;VLOOKUP(V$5,NFI,5,0),1,0)*Table_NFI[[#This Row],[Tent]],Table_NFI[Tent])</f>
        <v>0</v>
      </c>
      <c r="AQ260" s="396" t="str">
        <f>IFERROR(VLOOKUP(Table_NFI[[#This Row],[Camp Name]],CL,2,0),"")</f>
        <v/>
      </c>
      <c r="AR260" s="702" t="str">
        <f ca="1">IF(Table_NFI[[#This Row],[Pcode]]="","",IF(OFFSET(CampList[Opening Date],MATCH(Table_NFI[[#This Row],[Pcode]],CampList[CP_Pcode],0)-1,0,1,1)&gt;=NFI_Monitor_Date,1,0))</f>
        <v/>
      </c>
      <c r="AS260" s="559" t="str">
        <f>IFERROR(VLOOKUP(Table_NFI[[#This Row],[Camp Name]],CL,3,0),"")</f>
        <v/>
      </c>
      <c r="AT260" s="264" t="str">
        <f ca="1">IF(Table_NFI[[#This Row],[Pcode]]="","",OFFSET(CampList[Priority],MATCH(Table_NFI[[#This Row],[Pcode]],CampList[CP_Pcode],0)-1,0,1,1))</f>
        <v/>
      </c>
      <c r="AU260" s="263" t="str">
        <f>IFERROR(Table_NFI[[#This Row],[Kitchen Set]]/VLOOKUP(Table_NFI[[#This Row],[Camp Name]],CL,4,0),"")</f>
        <v/>
      </c>
      <c r="AV260" s="390" t="s">
        <v>1087</v>
      </c>
      <c r="AW260" s="397"/>
      <c r="AX260" s="399"/>
      <c r="AY260" s="399"/>
      <c r="AZ260" s="399"/>
      <c r="BA260" s="399"/>
      <c r="BB260" s="399"/>
      <c r="BC260" s="399"/>
      <c r="BD260" s="399"/>
      <c r="BE260" s="399"/>
      <c r="BF260" s="399"/>
      <c r="BG260" s="399"/>
      <c r="BH260" s="399"/>
      <c r="BI260" s="399"/>
      <c r="BJ260" s="399"/>
      <c r="BK260" s="399"/>
      <c r="BL260" s="399"/>
      <c r="BM260" s="399"/>
      <c r="BN260" s="399"/>
      <c r="BO260" s="399"/>
      <c r="BP260" s="399"/>
      <c r="BQ260" s="399"/>
      <c r="BR260" s="399"/>
      <c r="BS260" s="399"/>
      <c r="BT260" s="399"/>
      <c r="BU260" s="399"/>
      <c r="BV260" s="399"/>
      <c r="BW260" s="399"/>
      <c r="BX260" s="399"/>
      <c r="BY260" s="399"/>
      <c r="BZ260" s="399"/>
      <c r="CA260" s="399"/>
      <c r="CB260" s="399"/>
      <c r="CC260" s="399"/>
      <c r="CD260" s="399"/>
      <c r="CE260" s="399"/>
      <c r="CF260" s="399"/>
      <c r="CG260" s="399"/>
      <c r="CH260" s="399"/>
      <c r="CI260" s="399"/>
      <c r="CJ260" s="399"/>
      <c r="CK260" s="399"/>
      <c r="CL260" s="399"/>
      <c r="CM260" s="399"/>
      <c r="CN260" s="399"/>
      <c r="CO260" s="399"/>
      <c r="CP260" s="399"/>
      <c r="CQ260" s="399"/>
      <c r="CR260" s="399"/>
      <c r="CS260" s="399"/>
      <c r="CT260" s="399"/>
      <c r="CU260" s="399"/>
      <c r="CV260" s="399"/>
      <c r="CW260" s="399"/>
      <c r="CX260" s="399"/>
      <c r="CY260" s="399"/>
      <c r="CZ260" s="399"/>
      <c r="DA260" s="399"/>
      <c r="DB260" s="399"/>
      <c r="DC260" s="399"/>
      <c r="DD260" s="399"/>
      <c r="DE260" s="399"/>
      <c r="DF260" s="399"/>
      <c r="DG260" s="399"/>
      <c r="DH260" s="399"/>
      <c r="DI260" s="399"/>
      <c r="DJ260" s="399"/>
      <c r="DK260" s="399"/>
      <c r="DL260" s="399"/>
      <c r="DM260" s="399"/>
      <c r="DN260" s="399"/>
      <c r="DO260" s="399"/>
      <c r="DP260" s="399"/>
      <c r="DQ260" s="399"/>
    </row>
    <row r="261" spans="1:121" s="760" customFormat="1" ht="14.45" customHeight="1" x14ac:dyDescent="0.25">
      <c r="A261" s="266">
        <f t="shared" si="3"/>
        <v>27.533333333333335</v>
      </c>
      <c r="B261" s="389">
        <v>42030</v>
      </c>
      <c r="C261" s="394" t="s">
        <v>451</v>
      </c>
      <c r="D261" s="394" t="s">
        <v>459</v>
      </c>
      <c r="E261" s="394" t="s">
        <v>380</v>
      </c>
      <c r="F261" s="394" t="s">
        <v>526</v>
      </c>
      <c r="G261" s="394" t="s">
        <v>120</v>
      </c>
      <c r="H261" s="261"/>
      <c r="I261" s="261">
        <v>100</v>
      </c>
      <c r="J261" s="261"/>
      <c r="K261" s="261">
        <v>200</v>
      </c>
      <c r="L261" s="261">
        <v>200</v>
      </c>
      <c r="M261" s="261">
        <v>200</v>
      </c>
      <c r="N261" s="261">
        <v>100</v>
      </c>
      <c r="O261" s="261"/>
      <c r="P261" s="261">
        <v>100</v>
      </c>
      <c r="Q261" s="261">
        <v>500</v>
      </c>
      <c r="R261" s="261"/>
      <c r="S261" s="261"/>
      <c r="T261" s="261"/>
      <c r="U261" s="261"/>
      <c r="V261" s="762">
        <v>100</v>
      </c>
      <c r="W261" s="261"/>
      <c r="X261" s="261"/>
      <c r="Y261" s="264">
        <f>IF(NFI_Expiration=1,IF($A261&lt;VLOOKUP(H$5,NFI,5,0),1,0)*Table_NFI[[#This Row],[Hygiene Kit]],Table_NFI[Hygiene Kit])</f>
        <v>0</v>
      </c>
      <c r="Z261" s="264">
        <f>IF(NFI_Expiration=1,IF($A261&lt;VLOOKUP(I$5,NFI,5,0),1,0)*Table_NFI[[#This Row],[NFI Core Kit]],Table_NFI[NFI Core Kit])</f>
        <v>0</v>
      </c>
      <c r="AA261" s="264">
        <f>IF(NFI_Expiration=1,IF($A261&lt;VLOOKUP(J$5,NFI,5,0),1,0)*Table_NFI[[#This Row],[Sanitary Kit]],Table_NFI[Sanitary Kit])</f>
        <v>0</v>
      </c>
      <c r="AB261" s="264">
        <f>IF(NFI_Expiration=1,IF($A261&lt;VLOOKUP(K$5,NFI,5,0),1,0)*Table_NFI[[#This Row],[Mosquito net]],Table_NFI[Mosquito net])</f>
        <v>0</v>
      </c>
      <c r="AC261" s="264">
        <f>IF(NFI_Expiration=1,IF($A261&lt;VLOOKUP(L$5,NFI,5,0),1,0)*Table_NFI[[#This Row],[Tarpaulin]],Table_NFI[[#This Row],[Tarpaulin]])</f>
        <v>0</v>
      </c>
      <c r="AD261" s="264">
        <f>IF(NFI_Expiration=1,IF($A261&lt;VLOOKUP(M$5,NFI,5,0),1,0)*Table_NFI[[#This Row],[Blanket]],Table_NFI[[#This Row],[Blanket]])</f>
        <v>0</v>
      </c>
      <c r="AE261" s="264">
        <f>IF(NFI_Expiration=1,IF($A261&lt;VLOOKUP(N$5,NFI,5,0),1,0)*Table_NFI[[#This Row],[Kitchen Set]],Table_NFI[Kitchen Set])</f>
        <v>0</v>
      </c>
      <c r="AF261" s="264">
        <f>IF(NFI_Expiration=1,IF($A261&lt;VLOOKUP(O$5,NFI,5,0),1,0)*Table_NFI[[#This Row],[Clothes Kit]],Table_NFI[Clothes Kit])</f>
        <v>0</v>
      </c>
      <c r="AG261" s="264">
        <f>IF(NFI_Expiration=1,IF($A261&lt;VLOOKUP(P$5,NFI,5,0),1,0)*Table_NFI[[#This Row],[Plastic Bucket]],Table_NFI[Plastic Bucket])</f>
        <v>0</v>
      </c>
      <c r="AH261" s="264">
        <f>IF(NFI_Expiration=1,IF($A261&lt;VLOOKUP(Q$5,NFI,5,0),1,0)*Table_NFI[[#This Row],[Plastic Mat]],Table_NFI[Plastic Mat])*IF(Table_NFI[[#This Row],[Distribution Date]]&gt;"2014-04-01",1,2.5)</f>
        <v>0</v>
      </c>
      <c r="AI261" s="264">
        <f>IF(NFI_Expiration=1,IF($A261&lt;VLOOKUP(R$5,NFI,5,0),1,0)*Table_NFI[[#This Row],[Winter Clothes Adult]],Table_NFI[Winter Clothes Adult])</f>
        <v>0</v>
      </c>
      <c r="AJ261" s="264">
        <f>IF(NFI_Expiration=1,IF($A261&lt;VLOOKUP(S$5,NFI,5,0),1,0)*Table_NFI[[#This Row],[Winter Clothes Children]],Table_NFI[Winter Clothes Children])</f>
        <v>0</v>
      </c>
      <c r="AK261" s="264">
        <f>IF(NFI_Expiration=1,IF($A261&lt;VLOOKUP(T$5,NFI,5,0),1,0)*Table_NFI[[#This Row],[Winter Items Other]],Table_NFI[Winter Items Other])</f>
        <v>0</v>
      </c>
      <c r="AL261" s="264">
        <f>IF(NFI_Expiration=1,IF($A261&lt;VLOOKUP(M$5,NFI,5,0),1,0)*Table_NFI[[#This Row],[Winter Blanket]],Table_NFI[[#This Row],[Winter Blanket]])</f>
        <v>0</v>
      </c>
      <c r="AM261" s="264">
        <f>IF(Table_NFI[[#This Row],[Winter Clothes Adult]]+Table_NFI[[#This Row],[Winter Clothes Children]]+Table_NFI[[#This Row],[Winter Items Other]]+Table_NFI[[#This Row],[Winter Blanket]]&gt;0,1,0)</f>
        <v>0</v>
      </c>
      <c r="AN261" s="296">
        <f>IF(NFI_Expiration=1,IF($A261&lt;VLOOKUP(V$5,NFI,5,0),1,0)*Table_NFI[[#This Row],[Jerry Can]],Table_NFI[Jerry Can])</f>
        <v>0</v>
      </c>
      <c r="AO261" s="296">
        <f>IF(NFI_Expiration=1,IF($A261&lt;VLOOKUP(V$5,NFI,5,0),1,0)*Table_NFI[[#This Row],[Shelter Tool kit]],Table_NFI[Shelter Tool kit])</f>
        <v>0</v>
      </c>
      <c r="AP261" s="296">
        <f>IF(NFI_Expiration=1,IF($A261&lt;VLOOKUP(V$5,NFI,5,0),1,0)*Table_NFI[[#This Row],[Tent]],Table_NFI[Tent])</f>
        <v>0</v>
      </c>
      <c r="AQ261" s="396" t="str">
        <f>IFERROR(VLOOKUP(Table_NFI[[#This Row],[Camp Name]],CL,2,0),"")</f>
        <v>MMR001CMP168</v>
      </c>
      <c r="AR261" s="702">
        <f ca="1">IF(Table_NFI[[#This Row],[Pcode]]="","",IF(OFFSET(CampList[Opening Date],MATCH(Table_NFI[[#This Row],[Pcode]],CampList[CP_Pcode],0)-1,0,1,1)&gt;=NFI_Monitor_Date,1,0))</f>
        <v>0</v>
      </c>
      <c r="AS261" s="396" t="str">
        <f>IFERROR(VLOOKUP(Table_NFI[[#This Row],[Camp Name]],CL,3,0),"")</f>
        <v>Open</v>
      </c>
      <c r="AT261" s="264" t="str">
        <f ca="1">IF(Table_NFI[[#This Row],[Pcode]]="","",OFFSET(CampList[Priority],MATCH(Table_NFI[[#This Row],[Pcode]],CampList[CP_Pcode],0)-1,0,1,1))</f>
        <v>P4</v>
      </c>
      <c r="AU261" s="263">
        <f>IFERROR(Table_NFI[[#This Row],[Kitchen Set]]/VLOOKUP(Table_NFI[[#This Row],[Camp Name]],CL,4,0),"")</f>
        <v>2.4227740763173833E-3</v>
      </c>
      <c r="AV261" s="390" t="s">
        <v>1087</v>
      </c>
      <c r="AW261" s="397" t="s">
        <v>1324</v>
      </c>
      <c r="AX261" s="399"/>
      <c r="AY261" s="399"/>
      <c r="AZ261" s="399"/>
      <c r="BA261" s="399"/>
      <c r="BB261" s="399"/>
      <c r="BC261" s="399"/>
      <c r="BD261" s="399"/>
      <c r="BE261" s="399"/>
      <c r="BF261" s="399"/>
      <c r="BG261" s="399"/>
      <c r="BH261" s="399"/>
      <c r="BI261" s="399"/>
      <c r="BJ261" s="399"/>
      <c r="BK261" s="399"/>
      <c r="BL261" s="399"/>
      <c r="BM261" s="399"/>
      <c r="BN261" s="399"/>
      <c r="BO261" s="399"/>
      <c r="BP261" s="399"/>
      <c r="BQ261" s="399"/>
      <c r="BR261" s="399"/>
      <c r="BS261" s="399"/>
      <c r="BT261" s="399"/>
      <c r="BU261" s="399"/>
      <c r="BV261" s="399"/>
      <c r="BW261" s="399"/>
      <c r="BX261" s="399"/>
      <c r="BY261" s="399"/>
      <c r="BZ261" s="399"/>
      <c r="CA261" s="399"/>
      <c r="CB261" s="399"/>
      <c r="CC261" s="399"/>
      <c r="CD261" s="399"/>
      <c r="CE261" s="399"/>
      <c r="CF261" s="399"/>
      <c r="CG261" s="399"/>
      <c r="CH261" s="399"/>
      <c r="CI261" s="399"/>
      <c r="CJ261" s="399"/>
      <c r="CK261" s="399"/>
      <c r="CL261" s="399"/>
      <c r="CM261" s="399"/>
      <c r="CN261" s="399"/>
      <c r="CO261" s="399"/>
      <c r="CP261" s="399"/>
      <c r="CQ261" s="399"/>
      <c r="CR261" s="399"/>
      <c r="CS261" s="399"/>
      <c r="CT261" s="399"/>
      <c r="CU261" s="399"/>
      <c r="CV261" s="399"/>
      <c r="CW261" s="399"/>
      <c r="CX261" s="399"/>
      <c r="CY261" s="399"/>
      <c r="CZ261" s="399"/>
      <c r="DA261" s="399"/>
      <c r="DB261" s="399"/>
      <c r="DC261" s="399"/>
      <c r="DD261" s="399"/>
      <c r="DE261" s="399"/>
      <c r="DF261" s="399"/>
      <c r="DG261" s="399"/>
      <c r="DH261" s="399"/>
      <c r="DI261" s="399"/>
      <c r="DJ261" s="399"/>
      <c r="DK261" s="399"/>
      <c r="DL261" s="399"/>
      <c r="DM261" s="399"/>
      <c r="DN261" s="399"/>
      <c r="DO261" s="399"/>
      <c r="DP261" s="399"/>
      <c r="DQ261" s="399"/>
    </row>
    <row r="262" spans="1:121" s="760" customFormat="1" ht="14.45" customHeight="1" x14ac:dyDescent="0.25">
      <c r="A262" s="266">
        <f t="shared" ref="A262:A325" si="4">IF(ISBLANK(B262),"",(Report_Date-B262)/30)</f>
        <v>27.533333333333335</v>
      </c>
      <c r="B262" s="389">
        <v>42030</v>
      </c>
      <c r="C262" s="390" t="s">
        <v>451</v>
      </c>
      <c r="D262" s="394" t="s">
        <v>505</v>
      </c>
      <c r="E262" s="394" t="s">
        <v>380</v>
      </c>
      <c r="F262" s="394" t="s">
        <v>526</v>
      </c>
      <c r="G262" s="394" t="s">
        <v>1322</v>
      </c>
      <c r="H262" s="261"/>
      <c r="I262" s="261">
        <v>200</v>
      </c>
      <c r="J262" s="261"/>
      <c r="K262" s="261">
        <v>400</v>
      </c>
      <c r="L262" s="261">
        <v>250</v>
      </c>
      <c r="M262" s="261">
        <v>400</v>
      </c>
      <c r="N262" s="261">
        <v>200</v>
      </c>
      <c r="O262" s="261"/>
      <c r="P262" s="261">
        <v>200</v>
      </c>
      <c r="Q262" s="261">
        <v>1200</v>
      </c>
      <c r="R262" s="261"/>
      <c r="S262" s="261"/>
      <c r="T262" s="261"/>
      <c r="U262" s="261"/>
      <c r="V262" s="762">
        <v>200</v>
      </c>
      <c r="W262" s="261"/>
      <c r="X262" s="261">
        <v>30</v>
      </c>
      <c r="Y262" s="264">
        <f>IF(NFI_Expiration=1,IF($A262&lt;VLOOKUP(H$5,NFI,5,0),1,0)*Table_NFI[[#This Row],[Hygiene Kit]],Table_NFI[Hygiene Kit])</f>
        <v>0</v>
      </c>
      <c r="Z262" s="264">
        <f>IF(NFI_Expiration=1,IF($A262&lt;VLOOKUP(I$5,NFI,5,0),1,0)*Table_NFI[[#This Row],[NFI Core Kit]],Table_NFI[NFI Core Kit])</f>
        <v>0</v>
      </c>
      <c r="AA262" s="264">
        <f>IF(NFI_Expiration=1,IF($A262&lt;VLOOKUP(J$5,NFI,5,0),1,0)*Table_NFI[[#This Row],[Sanitary Kit]],Table_NFI[Sanitary Kit])</f>
        <v>0</v>
      </c>
      <c r="AB262" s="264">
        <f>IF(NFI_Expiration=1,IF($A262&lt;VLOOKUP(K$5,NFI,5,0),1,0)*Table_NFI[[#This Row],[Mosquito net]],Table_NFI[Mosquito net])</f>
        <v>0</v>
      </c>
      <c r="AC262" s="264">
        <f>IF(NFI_Expiration=1,IF($A262&lt;VLOOKUP(L$5,NFI,5,0),1,0)*Table_NFI[[#This Row],[Tarpaulin]],Table_NFI[[#This Row],[Tarpaulin]])</f>
        <v>0</v>
      </c>
      <c r="AD262" s="264">
        <f>IF(NFI_Expiration=1,IF($A262&lt;VLOOKUP(M$5,NFI,5,0),1,0)*Table_NFI[[#This Row],[Blanket]],Table_NFI[[#This Row],[Blanket]])</f>
        <v>0</v>
      </c>
      <c r="AE262" s="264">
        <f>IF(NFI_Expiration=1,IF($A262&lt;VLOOKUP(N$5,NFI,5,0),1,0)*Table_NFI[[#This Row],[Kitchen Set]],Table_NFI[Kitchen Set])</f>
        <v>0</v>
      </c>
      <c r="AF262" s="264">
        <f>IF(NFI_Expiration=1,IF($A262&lt;VLOOKUP(O$5,NFI,5,0),1,0)*Table_NFI[[#This Row],[Clothes Kit]],Table_NFI[Clothes Kit])</f>
        <v>0</v>
      </c>
      <c r="AG262" s="264">
        <f>IF(NFI_Expiration=1,IF($A262&lt;VLOOKUP(P$5,NFI,5,0),1,0)*Table_NFI[[#This Row],[Plastic Bucket]],Table_NFI[Plastic Bucket])</f>
        <v>0</v>
      </c>
      <c r="AH262" s="264">
        <f>IF(NFI_Expiration=1,IF($A262&lt;VLOOKUP(Q$5,NFI,5,0),1,0)*Table_NFI[[#This Row],[Plastic Mat]],Table_NFI[Plastic Mat])*IF(Table_NFI[[#This Row],[Distribution Date]]&gt;"2014-04-01",1,2.5)</f>
        <v>0</v>
      </c>
      <c r="AI262" s="264">
        <f>IF(NFI_Expiration=1,IF($A262&lt;VLOOKUP(R$5,NFI,5,0),1,0)*Table_NFI[[#This Row],[Winter Clothes Adult]],Table_NFI[Winter Clothes Adult])</f>
        <v>0</v>
      </c>
      <c r="AJ262" s="264">
        <f>IF(NFI_Expiration=1,IF($A262&lt;VLOOKUP(S$5,NFI,5,0),1,0)*Table_NFI[[#This Row],[Winter Clothes Children]],Table_NFI[Winter Clothes Children])</f>
        <v>0</v>
      </c>
      <c r="AK262" s="264">
        <f>IF(NFI_Expiration=1,IF($A262&lt;VLOOKUP(T$5,NFI,5,0),1,0)*Table_NFI[[#This Row],[Winter Items Other]],Table_NFI[Winter Items Other])</f>
        <v>0</v>
      </c>
      <c r="AL262" s="264">
        <f>IF(NFI_Expiration=1,IF($A262&lt;VLOOKUP(M$5,NFI,5,0),1,0)*Table_NFI[[#This Row],[Winter Blanket]],Table_NFI[[#This Row],[Winter Blanket]])</f>
        <v>0</v>
      </c>
      <c r="AM262" s="264">
        <f>IF(Table_NFI[[#This Row],[Winter Clothes Adult]]+Table_NFI[[#This Row],[Winter Clothes Children]]+Table_NFI[[#This Row],[Winter Items Other]]+Table_NFI[[#This Row],[Winter Blanket]]&gt;0,1,0)</f>
        <v>0</v>
      </c>
      <c r="AN262" s="296">
        <f>IF(NFI_Expiration=1,IF($A262&lt;VLOOKUP(V$5,NFI,5,0),1,0)*Table_NFI[[#This Row],[Jerry Can]],Table_NFI[Jerry Can])</f>
        <v>0</v>
      </c>
      <c r="AO262" s="296">
        <f>IF(NFI_Expiration=1,IF($A262&lt;VLOOKUP(V$5,NFI,5,0),1,0)*Table_NFI[[#This Row],[Shelter Tool kit]],Table_NFI[Shelter Tool kit])</f>
        <v>0</v>
      </c>
      <c r="AP262" s="296">
        <f>IF(NFI_Expiration=1,IF($A262&lt;VLOOKUP(V$5,NFI,5,0),1,0)*Table_NFI[[#This Row],[Tent]],Table_NFI[Tent])</f>
        <v>0</v>
      </c>
      <c r="AQ262" s="396" t="str">
        <f>IFERROR(VLOOKUP(Table_NFI[[#This Row],[Camp Name]],CL,2,0),"")</f>
        <v/>
      </c>
      <c r="AR262" s="702" t="str">
        <f ca="1">IF(Table_NFI[[#This Row],[Pcode]]="","",IF(OFFSET(CampList[Opening Date],MATCH(Table_NFI[[#This Row],[Pcode]],CampList[CP_Pcode],0)-1,0,1,1)&gt;=NFI_Monitor_Date,1,0))</f>
        <v/>
      </c>
      <c r="AS262" s="396" t="str">
        <f>IFERROR(VLOOKUP(Table_NFI[[#This Row],[Camp Name]],CL,3,0),"")</f>
        <v/>
      </c>
      <c r="AT262" s="264" t="str">
        <f ca="1">IF(Table_NFI[[#This Row],[Pcode]]="","",OFFSET(CampList[Priority],MATCH(Table_NFI[[#This Row],[Pcode]],CampList[CP_Pcode],0)-1,0,1,1))</f>
        <v/>
      </c>
      <c r="AU262" s="263" t="str">
        <f>IFERROR(Table_NFI[[#This Row],[Kitchen Set]]/VLOOKUP(Table_NFI[[#This Row],[Camp Name]],CL,4,0),"")</f>
        <v/>
      </c>
      <c r="AV262" s="390" t="s">
        <v>1087</v>
      </c>
      <c r="AW262" s="392"/>
      <c r="AX262" s="399"/>
      <c r="AY262" s="399"/>
      <c r="AZ262" s="399"/>
      <c r="BA262" s="399"/>
      <c r="BB262" s="399"/>
      <c r="BC262" s="399"/>
      <c r="BD262" s="399"/>
      <c r="BE262" s="399"/>
      <c r="BF262" s="399"/>
      <c r="BG262" s="399"/>
      <c r="BH262" s="399"/>
      <c r="BI262" s="399"/>
      <c r="BJ262" s="399"/>
      <c r="BK262" s="399"/>
      <c r="BL262" s="399"/>
      <c r="BM262" s="399"/>
      <c r="BN262" s="399"/>
      <c r="BO262" s="399"/>
      <c r="BP262" s="399"/>
      <c r="BQ262" s="399"/>
      <c r="BR262" s="399"/>
      <c r="BS262" s="399"/>
      <c r="BT262" s="399"/>
      <c r="BU262" s="399"/>
      <c r="BV262" s="399"/>
      <c r="BW262" s="399"/>
      <c r="BX262" s="399"/>
      <c r="BY262" s="399"/>
      <c r="BZ262" s="399"/>
      <c r="CA262" s="399"/>
      <c r="CB262" s="399"/>
      <c r="CC262" s="399"/>
      <c r="CD262" s="399"/>
      <c r="CE262" s="399"/>
      <c r="CF262" s="399"/>
      <c r="CG262" s="399"/>
      <c r="CH262" s="399"/>
      <c r="CI262" s="399"/>
      <c r="CJ262" s="399"/>
      <c r="CK262" s="399"/>
      <c r="CL262" s="399"/>
      <c r="CM262" s="399"/>
      <c r="CN262" s="399"/>
      <c r="CO262" s="399"/>
      <c r="CP262" s="399"/>
      <c r="CQ262" s="399"/>
      <c r="CR262" s="399"/>
      <c r="CS262" s="399"/>
      <c r="CT262" s="399"/>
      <c r="CU262" s="399"/>
      <c r="CV262" s="399"/>
      <c r="CW262" s="399"/>
      <c r="CX262" s="399"/>
      <c r="CY262" s="399"/>
      <c r="CZ262" s="399"/>
      <c r="DA262" s="399"/>
      <c r="DB262" s="399"/>
      <c r="DC262" s="399"/>
      <c r="DD262" s="399"/>
      <c r="DE262" s="399"/>
      <c r="DF262" s="399"/>
      <c r="DG262" s="399"/>
      <c r="DH262" s="399"/>
      <c r="DI262" s="399"/>
      <c r="DJ262" s="399"/>
      <c r="DK262" s="399"/>
      <c r="DL262" s="399"/>
      <c r="DM262" s="399"/>
      <c r="DN262" s="399"/>
      <c r="DO262" s="399"/>
      <c r="DP262" s="399"/>
      <c r="DQ262" s="399"/>
    </row>
    <row r="263" spans="1:121" s="760" customFormat="1" ht="14.45" customHeight="1" x14ac:dyDescent="0.25">
      <c r="A263" s="266">
        <f t="shared" si="4"/>
        <v>27.966666666666665</v>
      </c>
      <c r="B263" s="389">
        <v>42017</v>
      </c>
      <c r="C263" s="390" t="s">
        <v>1089</v>
      </c>
      <c r="D263" s="390" t="s">
        <v>899</v>
      </c>
      <c r="E263" s="390" t="s">
        <v>380</v>
      </c>
      <c r="F263" s="390" t="s">
        <v>27</v>
      </c>
      <c r="G263" s="390" t="s">
        <v>28</v>
      </c>
      <c r="H263" s="261"/>
      <c r="I263" s="261"/>
      <c r="J263" s="261"/>
      <c r="K263" s="261"/>
      <c r="L263" s="261"/>
      <c r="M263" s="261"/>
      <c r="N263" s="261"/>
      <c r="O263" s="261"/>
      <c r="P263" s="261"/>
      <c r="Q263" s="261"/>
      <c r="R263" s="261">
        <v>293</v>
      </c>
      <c r="S263" s="261">
        <v>190</v>
      </c>
      <c r="T263" s="261"/>
      <c r="U263" s="261">
        <v>170</v>
      </c>
      <c r="V263" s="762"/>
      <c r="W263" s="261"/>
      <c r="X263" s="261"/>
      <c r="Y263" s="264">
        <f>IF(NFI_Expiration=1,IF($A263&lt;VLOOKUP(H$5,NFI,5,0),1,0)*Table_NFI[[#This Row],[Hygiene Kit]],Table_NFI[Hygiene Kit])</f>
        <v>0</v>
      </c>
      <c r="Z263" s="264">
        <f>IF(NFI_Expiration=1,IF($A263&lt;VLOOKUP(I$5,NFI,5,0),1,0)*Table_NFI[[#This Row],[NFI Core Kit]],Table_NFI[NFI Core Kit])</f>
        <v>0</v>
      </c>
      <c r="AA263" s="264">
        <f>IF(NFI_Expiration=1,IF($A263&lt;VLOOKUP(J$5,NFI,5,0),1,0)*Table_NFI[[#This Row],[Sanitary Kit]],Table_NFI[Sanitary Kit])</f>
        <v>0</v>
      </c>
      <c r="AB263" s="264">
        <f>IF(NFI_Expiration=1,IF($A263&lt;VLOOKUP(K$5,NFI,5,0),1,0)*Table_NFI[[#This Row],[Mosquito net]],Table_NFI[Mosquito net])</f>
        <v>0</v>
      </c>
      <c r="AC263" s="264">
        <f>IF(NFI_Expiration=1,IF($A263&lt;VLOOKUP(L$5,NFI,5,0),1,0)*Table_NFI[[#This Row],[Tarpaulin]],Table_NFI[[#This Row],[Tarpaulin]])</f>
        <v>0</v>
      </c>
      <c r="AD263" s="264">
        <f>IF(NFI_Expiration=1,IF($A263&lt;VLOOKUP(M$5,NFI,5,0),1,0)*Table_NFI[[#This Row],[Blanket]],Table_NFI[[#This Row],[Blanket]])</f>
        <v>0</v>
      </c>
      <c r="AE263" s="264">
        <f>IF(NFI_Expiration=1,IF($A263&lt;VLOOKUP(N$5,NFI,5,0),1,0)*Table_NFI[[#This Row],[Kitchen Set]],Table_NFI[Kitchen Set])</f>
        <v>0</v>
      </c>
      <c r="AF263" s="264">
        <f>IF(NFI_Expiration=1,IF($A263&lt;VLOOKUP(O$5,NFI,5,0),1,0)*Table_NFI[[#This Row],[Clothes Kit]],Table_NFI[Clothes Kit])</f>
        <v>0</v>
      </c>
      <c r="AG263" s="264">
        <f>IF(NFI_Expiration=1,IF($A263&lt;VLOOKUP(P$5,NFI,5,0),1,0)*Table_NFI[[#This Row],[Plastic Bucket]],Table_NFI[Plastic Bucket])</f>
        <v>0</v>
      </c>
      <c r="AH263" s="264">
        <f>IF(NFI_Expiration=1,IF($A263&lt;VLOOKUP(Q$5,NFI,5,0),1,0)*Table_NFI[[#This Row],[Plastic Mat]],Table_NFI[Plastic Mat])*IF(Table_NFI[[#This Row],[Distribution Date]]&gt;"2014-04-01",1,2.5)</f>
        <v>0</v>
      </c>
      <c r="AI263" s="264">
        <f>IF(NFI_Expiration=1,IF($A263&lt;VLOOKUP(R$5,NFI,5,0),1,0)*Table_NFI[[#This Row],[Winter Clothes Adult]],Table_NFI[Winter Clothes Adult])</f>
        <v>0</v>
      </c>
      <c r="AJ263" s="264">
        <f>IF(NFI_Expiration=1,IF($A263&lt;VLOOKUP(S$5,NFI,5,0),1,0)*Table_NFI[[#This Row],[Winter Clothes Children]],Table_NFI[Winter Clothes Children])</f>
        <v>0</v>
      </c>
      <c r="AK263" s="264">
        <f>IF(NFI_Expiration=1,IF($A263&lt;VLOOKUP(T$5,NFI,5,0),1,0)*Table_NFI[[#This Row],[Winter Items Other]],Table_NFI[Winter Items Other])</f>
        <v>0</v>
      </c>
      <c r="AL263" s="264">
        <f>IF(NFI_Expiration=1,IF($A263&lt;VLOOKUP(M$5,NFI,5,0),1,0)*Table_NFI[[#This Row],[Winter Blanket]],Table_NFI[[#This Row],[Winter Blanket]])</f>
        <v>0</v>
      </c>
      <c r="AM263" s="264">
        <f>IF(Table_NFI[[#This Row],[Winter Clothes Adult]]+Table_NFI[[#This Row],[Winter Clothes Children]]+Table_NFI[[#This Row],[Winter Items Other]]+Table_NFI[[#This Row],[Winter Blanket]]&gt;0,1,0)</f>
        <v>1</v>
      </c>
      <c r="AN263" s="296">
        <f>IF(NFI_Expiration=1,IF($A263&lt;VLOOKUP(V$5,NFI,5,0),1,0)*Table_NFI[[#This Row],[Jerry Can]],Table_NFI[Jerry Can])</f>
        <v>0</v>
      </c>
      <c r="AO263" s="296">
        <f>IF(NFI_Expiration=1,IF($A263&lt;VLOOKUP(V$5,NFI,5,0),1,0)*Table_NFI[[#This Row],[Shelter Tool kit]],Table_NFI[Shelter Tool kit])</f>
        <v>0</v>
      </c>
      <c r="AP263" s="296">
        <f>IF(NFI_Expiration=1,IF($A263&lt;VLOOKUP(V$5,NFI,5,0),1,0)*Table_NFI[[#This Row],[Tent]],Table_NFI[Tent])</f>
        <v>0</v>
      </c>
      <c r="AQ263" s="396" t="str">
        <f>IFERROR(VLOOKUP(Table_NFI[[#This Row],[Camp Name]],CL,2,0),"")</f>
        <v>MMR001CMP042</v>
      </c>
      <c r="AR263" s="702">
        <f ca="1">IF(Table_NFI[[#This Row],[Pcode]]="","",IF(OFFSET(CampList[Opening Date],MATCH(Table_NFI[[#This Row],[Pcode]],CampList[CP_Pcode],0)-1,0,1,1)&gt;=NFI_Monitor_Date,1,0))</f>
        <v>0</v>
      </c>
      <c r="AS263" s="396" t="str">
        <f>IFERROR(VLOOKUP(Table_NFI[[#This Row],[Camp Name]],CL,3,0),"")</f>
        <v>Open</v>
      </c>
      <c r="AT263" s="264" t="str">
        <f ca="1">IF(Table_NFI[[#This Row],[Pcode]]="","",OFFSET(CampList[Priority],MATCH(Table_NFI[[#This Row],[Pcode]],CampList[CP_Pcode],0)-1,0,1,1))</f>
        <v>P1</v>
      </c>
      <c r="AU263" s="263">
        <f>IFERROR(Table_NFI[[#This Row],[Kitchen Set]]/VLOOKUP(Table_NFI[[#This Row],[Camp Name]],CL,4,0),"")</f>
        <v>0</v>
      </c>
      <c r="AV263" s="390"/>
      <c r="AW263" s="407"/>
      <c r="AX263" s="399"/>
      <c r="AY263" s="399"/>
      <c r="AZ263" s="399"/>
      <c r="BA263" s="399"/>
      <c r="BB263" s="399"/>
      <c r="BC263" s="399"/>
      <c r="BD263" s="399"/>
      <c r="BE263" s="399"/>
      <c r="BF263" s="399"/>
      <c r="BG263" s="399"/>
      <c r="BH263" s="399"/>
      <c r="BI263" s="399"/>
      <c r="BJ263" s="399"/>
      <c r="BK263" s="399"/>
      <c r="BL263" s="399"/>
      <c r="BM263" s="399"/>
      <c r="BN263" s="399"/>
      <c r="BO263" s="399"/>
      <c r="BP263" s="399"/>
      <c r="BQ263" s="399"/>
      <c r="BR263" s="399"/>
      <c r="BS263" s="399"/>
      <c r="BT263" s="399"/>
      <c r="BU263" s="399"/>
      <c r="BV263" s="399"/>
      <c r="BW263" s="399"/>
      <c r="BX263" s="399"/>
      <c r="BY263" s="399"/>
      <c r="BZ263" s="399"/>
      <c r="CA263" s="399"/>
      <c r="CB263" s="399"/>
      <c r="CC263" s="399"/>
      <c r="CD263" s="399"/>
      <c r="CE263" s="399"/>
      <c r="CF263" s="399"/>
      <c r="CG263" s="399"/>
      <c r="CH263" s="399"/>
      <c r="CI263" s="399"/>
      <c r="CJ263" s="399"/>
      <c r="CK263" s="399"/>
      <c r="CL263" s="399"/>
      <c r="CM263" s="399"/>
      <c r="CN263" s="399"/>
      <c r="CO263" s="399"/>
      <c r="CP263" s="399"/>
      <c r="CQ263" s="399"/>
      <c r="CR263" s="399"/>
      <c r="CS263" s="399"/>
      <c r="CT263" s="399"/>
      <c r="CU263" s="399"/>
      <c r="CV263" s="399"/>
      <c r="CW263" s="399"/>
      <c r="CX263" s="399"/>
      <c r="CY263" s="399"/>
      <c r="CZ263" s="399"/>
      <c r="DA263" s="399"/>
      <c r="DB263" s="399"/>
      <c r="DC263" s="399"/>
      <c r="DD263" s="399"/>
      <c r="DE263" s="399"/>
      <c r="DF263" s="399"/>
      <c r="DG263" s="399"/>
      <c r="DH263" s="399"/>
      <c r="DI263" s="399"/>
      <c r="DJ263" s="399"/>
      <c r="DK263" s="399"/>
      <c r="DL263" s="399"/>
      <c r="DM263" s="399"/>
      <c r="DN263" s="399"/>
      <c r="DO263" s="399"/>
      <c r="DP263" s="399"/>
      <c r="DQ263" s="399"/>
    </row>
    <row r="264" spans="1:121" s="760" customFormat="1" ht="15" customHeight="1" x14ac:dyDescent="0.25">
      <c r="A264" s="266">
        <f t="shared" si="4"/>
        <v>27.966666666666665</v>
      </c>
      <c r="B264" s="389">
        <v>42017</v>
      </c>
      <c r="C264" s="390" t="s">
        <v>1089</v>
      </c>
      <c r="D264" s="390" t="s">
        <v>899</v>
      </c>
      <c r="E264" s="390" t="s">
        <v>380</v>
      </c>
      <c r="F264" s="390" t="s">
        <v>27</v>
      </c>
      <c r="G264" s="390" t="s">
        <v>365</v>
      </c>
      <c r="H264" s="261"/>
      <c r="I264" s="261"/>
      <c r="J264" s="261"/>
      <c r="K264" s="261"/>
      <c r="L264" s="261"/>
      <c r="M264" s="261"/>
      <c r="N264" s="261"/>
      <c r="O264" s="261"/>
      <c r="P264" s="261"/>
      <c r="Q264" s="261"/>
      <c r="R264" s="261">
        <v>350</v>
      </c>
      <c r="S264" s="261">
        <v>236</v>
      </c>
      <c r="T264" s="261"/>
      <c r="U264" s="261">
        <v>203</v>
      </c>
      <c r="V264" s="762"/>
      <c r="W264" s="261"/>
      <c r="X264" s="261"/>
      <c r="Y264" s="264">
        <f>IF(NFI_Expiration=1,IF($A264&lt;VLOOKUP(H$5,NFI,5,0),1,0)*Table_NFI[[#This Row],[Hygiene Kit]],Table_NFI[Hygiene Kit])</f>
        <v>0</v>
      </c>
      <c r="Z264" s="264">
        <f>IF(NFI_Expiration=1,IF($A264&lt;VLOOKUP(I$5,NFI,5,0),1,0)*Table_NFI[[#This Row],[NFI Core Kit]],Table_NFI[NFI Core Kit])</f>
        <v>0</v>
      </c>
      <c r="AA264" s="264">
        <f>IF(NFI_Expiration=1,IF($A264&lt;VLOOKUP(J$5,NFI,5,0),1,0)*Table_NFI[[#This Row],[Sanitary Kit]],Table_NFI[Sanitary Kit])</f>
        <v>0</v>
      </c>
      <c r="AB264" s="264">
        <f>IF(NFI_Expiration=1,IF($A264&lt;VLOOKUP(K$5,NFI,5,0),1,0)*Table_NFI[[#This Row],[Mosquito net]],Table_NFI[Mosquito net])</f>
        <v>0</v>
      </c>
      <c r="AC264" s="264">
        <f>IF(NFI_Expiration=1,IF($A264&lt;VLOOKUP(L$5,NFI,5,0),1,0)*Table_NFI[[#This Row],[Tarpaulin]],Table_NFI[[#This Row],[Tarpaulin]])</f>
        <v>0</v>
      </c>
      <c r="AD264" s="264">
        <f>IF(NFI_Expiration=1,IF($A264&lt;VLOOKUP(M$5,NFI,5,0),1,0)*Table_NFI[[#This Row],[Blanket]],Table_NFI[[#This Row],[Blanket]])</f>
        <v>0</v>
      </c>
      <c r="AE264" s="264">
        <f>IF(NFI_Expiration=1,IF($A264&lt;VLOOKUP(N$5,NFI,5,0),1,0)*Table_NFI[[#This Row],[Kitchen Set]],Table_NFI[Kitchen Set])</f>
        <v>0</v>
      </c>
      <c r="AF264" s="264">
        <f>IF(NFI_Expiration=1,IF($A264&lt;VLOOKUP(O$5,NFI,5,0),1,0)*Table_NFI[[#This Row],[Clothes Kit]],Table_NFI[Clothes Kit])</f>
        <v>0</v>
      </c>
      <c r="AG264" s="264">
        <f>IF(NFI_Expiration=1,IF($A264&lt;VLOOKUP(P$5,NFI,5,0),1,0)*Table_NFI[[#This Row],[Plastic Bucket]],Table_NFI[Plastic Bucket])</f>
        <v>0</v>
      </c>
      <c r="AH264" s="264">
        <f>IF(NFI_Expiration=1,IF($A264&lt;VLOOKUP(Q$5,NFI,5,0),1,0)*Table_NFI[[#This Row],[Plastic Mat]],Table_NFI[Plastic Mat])*IF(Table_NFI[[#This Row],[Distribution Date]]&gt;"2014-04-01",1,2.5)</f>
        <v>0</v>
      </c>
      <c r="AI264" s="264">
        <f>IF(NFI_Expiration=1,IF($A264&lt;VLOOKUP(R$5,NFI,5,0),1,0)*Table_NFI[[#This Row],[Winter Clothes Adult]],Table_NFI[Winter Clothes Adult])</f>
        <v>0</v>
      </c>
      <c r="AJ264" s="264">
        <f>IF(NFI_Expiration=1,IF($A264&lt;VLOOKUP(S$5,NFI,5,0),1,0)*Table_NFI[[#This Row],[Winter Clothes Children]],Table_NFI[Winter Clothes Children])</f>
        <v>0</v>
      </c>
      <c r="AK264" s="264">
        <f>IF(NFI_Expiration=1,IF($A264&lt;VLOOKUP(T$5,NFI,5,0),1,0)*Table_NFI[[#This Row],[Winter Items Other]],Table_NFI[Winter Items Other])</f>
        <v>0</v>
      </c>
      <c r="AL264" s="264">
        <f>IF(NFI_Expiration=1,IF($A264&lt;VLOOKUP(M$5,NFI,5,0),1,0)*Table_NFI[[#This Row],[Winter Blanket]],Table_NFI[[#This Row],[Winter Blanket]])</f>
        <v>0</v>
      </c>
      <c r="AM264" s="264">
        <f>IF(Table_NFI[[#This Row],[Winter Clothes Adult]]+Table_NFI[[#This Row],[Winter Clothes Children]]+Table_NFI[[#This Row],[Winter Items Other]]+Table_NFI[[#This Row],[Winter Blanket]]&gt;0,1,0)</f>
        <v>1</v>
      </c>
      <c r="AN264" s="296">
        <f>IF(NFI_Expiration=1,IF($A264&lt;VLOOKUP(V$5,NFI,5,0),1,0)*Table_NFI[[#This Row],[Jerry Can]],Table_NFI[Jerry Can])</f>
        <v>0</v>
      </c>
      <c r="AO264" s="296">
        <f>IF(NFI_Expiration=1,IF($A264&lt;VLOOKUP(V$5,NFI,5,0),1,0)*Table_NFI[[#This Row],[Shelter Tool kit]],Table_NFI[Shelter Tool kit])</f>
        <v>0</v>
      </c>
      <c r="AP264" s="296">
        <f>IF(NFI_Expiration=1,IF($A264&lt;VLOOKUP(V$5,NFI,5,0),1,0)*Table_NFI[[#This Row],[Tent]],Table_NFI[Tent])</f>
        <v>0</v>
      </c>
      <c r="AQ264" s="396" t="str">
        <f>IFERROR(VLOOKUP(Table_NFI[[#This Row],[Camp Name]],CL,2,0),"")</f>
        <v>MMR001CMP195</v>
      </c>
      <c r="AR264" s="702">
        <f ca="1">IF(Table_NFI[[#This Row],[Pcode]]="","",IF(OFFSET(CampList[Opening Date],MATCH(Table_NFI[[#This Row],[Pcode]],CampList[CP_Pcode],0)-1,0,1,1)&gt;=NFI_Monitor_Date,1,0))</f>
        <v>0</v>
      </c>
      <c r="AS264" s="396" t="str">
        <f>IFERROR(VLOOKUP(Table_NFI[[#This Row],[Camp Name]],CL,3,0),"")</f>
        <v>Open</v>
      </c>
      <c r="AT264" s="264" t="str">
        <f ca="1">IF(Table_NFI[[#This Row],[Pcode]]="","",OFFSET(CampList[Priority],MATCH(Table_NFI[[#This Row],[Pcode]],CampList[CP_Pcode],0)-1,0,1,1))</f>
        <v>P1</v>
      </c>
      <c r="AU264" s="263">
        <f>IFERROR(Table_NFI[[#This Row],[Kitchen Set]]/VLOOKUP(Table_NFI[[#This Row],[Camp Name]],CL,4,0),"")</f>
        <v>0</v>
      </c>
      <c r="AV264" s="390"/>
      <c r="AW264" s="407"/>
      <c r="AX264" s="399"/>
      <c r="AY264" s="399"/>
      <c r="AZ264" s="399"/>
      <c r="BA264" s="399"/>
      <c r="BB264" s="399"/>
      <c r="BC264" s="399"/>
      <c r="BD264" s="399"/>
      <c r="BE264" s="399"/>
      <c r="BF264" s="399"/>
      <c r="BG264" s="399"/>
      <c r="BH264" s="399"/>
      <c r="BI264" s="399"/>
      <c r="BJ264" s="399"/>
      <c r="BK264" s="399"/>
      <c r="BL264" s="399"/>
      <c r="BM264" s="399"/>
      <c r="BN264" s="399"/>
      <c r="BO264" s="399"/>
      <c r="BP264" s="399"/>
      <c r="BQ264" s="399"/>
      <c r="BR264" s="399"/>
      <c r="BS264" s="399"/>
      <c r="BT264" s="399"/>
      <c r="BU264" s="399"/>
      <c r="BV264" s="399"/>
      <c r="BW264" s="399"/>
      <c r="BX264" s="399"/>
      <c r="BY264" s="399"/>
      <c r="BZ264" s="399"/>
      <c r="CA264" s="399"/>
      <c r="CB264" s="399"/>
      <c r="CC264" s="399"/>
      <c r="CD264" s="399"/>
      <c r="CE264" s="399"/>
      <c r="CF264" s="399"/>
      <c r="CG264" s="399"/>
      <c r="CH264" s="399"/>
      <c r="CI264" s="399"/>
      <c r="CJ264" s="399"/>
      <c r="CK264" s="399"/>
      <c r="CL264" s="399"/>
      <c r="CM264" s="399"/>
      <c r="CN264" s="399"/>
      <c r="CO264" s="399"/>
      <c r="CP264" s="399"/>
      <c r="CQ264" s="399"/>
      <c r="CR264" s="399"/>
      <c r="CS264" s="399"/>
      <c r="CT264" s="399"/>
      <c r="CU264" s="399"/>
      <c r="CV264" s="399"/>
      <c r="CW264" s="399"/>
      <c r="CX264" s="399"/>
      <c r="CY264" s="399"/>
      <c r="CZ264" s="399"/>
      <c r="DA264" s="399"/>
      <c r="DB264" s="399"/>
      <c r="DC264" s="399"/>
      <c r="DD264" s="399"/>
      <c r="DE264" s="399"/>
      <c r="DF264" s="399"/>
      <c r="DG264" s="399"/>
      <c r="DH264" s="399"/>
      <c r="DI264" s="399"/>
      <c r="DJ264" s="399"/>
      <c r="DK264" s="399"/>
      <c r="DL264" s="399"/>
      <c r="DM264" s="399"/>
      <c r="DN264" s="399"/>
      <c r="DO264" s="399"/>
      <c r="DP264" s="399"/>
      <c r="DQ264" s="399"/>
    </row>
    <row r="265" spans="1:121" s="760" customFormat="1" ht="15" customHeight="1" x14ac:dyDescent="0.25">
      <c r="A265" s="266">
        <f t="shared" si="4"/>
        <v>27.966666666666665</v>
      </c>
      <c r="B265" s="389">
        <v>42017</v>
      </c>
      <c r="C265" s="390" t="s">
        <v>1089</v>
      </c>
      <c r="D265" s="390" t="s">
        <v>899</v>
      </c>
      <c r="E265" s="390" t="s">
        <v>380</v>
      </c>
      <c r="F265" s="390" t="s">
        <v>185</v>
      </c>
      <c r="G265" s="390" t="s">
        <v>229</v>
      </c>
      <c r="H265" s="261"/>
      <c r="I265" s="261"/>
      <c r="J265" s="261"/>
      <c r="K265" s="261"/>
      <c r="L265" s="261"/>
      <c r="M265" s="261"/>
      <c r="N265" s="261"/>
      <c r="O265" s="261"/>
      <c r="P265" s="261"/>
      <c r="Q265" s="261"/>
      <c r="R265" s="261">
        <v>195</v>
      </c>
      <c r="S265" s="261">
        <v>91</v>
      </c>
      <c r="T265" s="261"/>
      <c r="U265" s="261">
        <v>92</v>
      </c>
      <c r="V265" s="762"/>
      <c r="W265" s="261"/>
      <c r="X265" s="261"/>
      <c r="Y265" s="264">
        <f>IF(NFI_Expiration=1,IF($A265&lt;VLOOKUP(H$5,NFI,5,0),1,0)*Table_NFI[[#This Row],[Hygiene Kit]],Table_NFI[Hygiene Kit])</f>
        <v>0</v>
      </c>
      <c r="Z265" s="264">
        <f>IF(NFI_Expiration=1,IF($A265&lt;VLOOKUP(I$5,NFI,5,0),1,0)*Table_NFI[[#This Row],[NFI Core Kit]],Table_NFI[NFI Core Kit])</f>
        <v>0</v>
      </c>
      <c r="AA265" s="264">
        <f>IF(NFI_Expiration=1,IF($A265&lt;VLOOKUP(J$5,NFI,5,0),1,0)*Table_NFI[[#This Row],[Sanitary Kit]],Table_NFI[Sanitary Kit])</f>
        <v>0</v>
      </c>
      <c r="AB265" s="264">
        <f>IF(NFI_Expiration=1,IF($A265&lt;VLOOKUP(K$5,NFI,5,0),1,0)*Table_NFI[[#This Row],[Mosquito net]],Table_NFI[Mosquito net])</f>
        <v>0</v>
      </c>
      <c r="AC265" s="264">
        <f>IF(NFI_Expiration=1,IF($A265&lt;VLOOKUP(L$5,NFI,5,0),1,0)*Table_NFI[[#This Row],[Tarpaulin]],Table_NFI[[#This Row],[Tarpaulin]])</f>
        <v>0</v>
      </c>
      <c r="AD265" s="264">
        <f>IF(NFI_Expiration=1,IF($A265&lt;VLOOKUP(M$5,NFI,5,0),1,0)*Table_NFI[[#This Row],[Blanket]],Table_NFI[[#This Row],[Blanket]])</f>
        <v>0</v>
      </c>
      <c r="AE265" s="264">
        <f>IF(NFI_Expiration=1,IF($A265&lt;VLOOKUP(N$5,NFI,5,0),1,0)*Table_NFI[[#This Row],[Kitchen Set]],Table_NFI[Kitchen Set])</f>
        <v>0</v>
      </c>
      <c r="AF265" s="264">
        <f>IF(NFI_Expiration=1,IF($A265&lt;VLOOKUP(O$5,NFI,5,0),1,0)*Table_NFI[[#This Row],[Clothes Kit]],Table_NFI[Clothes Kit])</f>
        <v>0</v>
      </c>
      <c r="AG265" s="264">
        <f>IF(NFI_Expiration=1,IF($A265&lt;VLOOKUP(P$5,NFI,5,0),1,0)*Table_NFI[[#This Row],[Plastic Bucket]],Table_NFI[Plastic Bucket])</f>
        <v>0</v>
      </c>
      <c r="AH265" s="264">
        <f>IF(NFI_Expiration=1,IF($A265&lt;VLOOKUP(Q$5,NFI,5,0),1,0)*Table_NFI[[#This Row],[Plastic Mat]],Table_NFI[Plastic Mat])*IF(Table_NFI[[#This Row],[Distribution Date]]&gt;"2014-04-01",1,2.5)</f>
        <v>0</v>
      </c>
      <c r="AI265" s="264">
        <f>IF(NFI_Expiration=1,IF($A265&lt;VLOOKUP(R$5,NFI,5,0),1,0)*Table_NFI[[#This Row],[Winter Clothes Adult]],Table_NFI[Winter Clothes Adult])</f>
        <v>0</v>
      </c>
      <c r="AJ265" s="264">
        <f>IF(NFI_Expiration=1,IF($A265&lt;VLOOKUP(S$5,NFI,5,0),1,0)*Table_NFI[[#This Row],[Winter Clothes Children]],Table_NFI[Winter Clothes Children])</f>
        <v>0</v>
      </c>
      <c r="AK265" s="264">
        <f>IF(NFI_Expiration=1,IF($A265&lt;VLOOKUP(T$5,NFI,5,0),1,0)*Table_NFI[[#This Row],[Winter Items Other]],Table_NFI[Winter Items Other])</f>
        <v>0</v>
      </c>
      <c r="AL265" s="264">
        <f>IF(NFI_Expiration=1,IF($A265&lt;VLOOKUP(M$5,NFI,5,0),1,0)*Table_NFI[[#This Row],[Winter Blanket]],Table_NFI[[#This Row],[Winter Blanket]])</f>
        <v>0</v>
      </c>
      <c r="AM265" s="264">
        <f>IF(Table_NFI[[#This Row],[Winter Clothes Adult]]+Table_NFI[[#This Row],[Winter Clothes Children]]+Table_NFI[[#This Row],[Winter Items Other]]+Table_NFI[[#This Row],[Winter Blanket]]&gt;0,1,0)</f>
        <v>1</v>
      </c>
      <c r="AN265" s="296">
        <f>IF(NFI_Expiration=1,IF($A265&lt;VLOOKUP(V$5,NFI,5,0),1,0)*Table_NFI[[#This Row],[Jerry Can]],Table_NFI[Jerry Can])</f>
        <v>0</v>
      </c>
      <c r="AO265" s="296">
        <f>IF(NFI_Expiration=1,IF($A265&lt;VLOOKUP(V$5,NFI,5,0),1,0)*Table_NFI[[#This Row],[Shelter Tool kit]],Table_NFI[Shelter Tool kit])</f>
        <v>0</v>
      </c>
      <c r="AP265" s="296">
        <f>IF(NFI_Expiration=1,IF($A265&lt;VLOOKUP(V$5,NFI,5,0),1,0)*Table_NFI[[#This Row],[Tent]],Table_NFI[Tent])</f>
        <v>0</v>
      </c>
      <c r="AQ265" s="396" t="str">
        <f>IFERROR(VLOOKUP(Table_NFI[[#This Row],[Camp Name]],CL,2,0),"")</f>
        <v>MMR001CMP072</v>
      </c>
      <c r="AR265" s="702">
        <f ca="1">IF(Table_NFI[[#This Row],[Pcode]]="","",IF(OFFSET(CampList[Opening Date],MATCH(Table_NFI[[#This Row],[Pcode]],CampList[CP_Pcode],0)-1,0,1,1)&gt;=NFI_Monitor_Date,1,0))</f>
        <v>0</v>
      </c>
      <c r="AS265" s="396" t="str">
        <f>IFERROR(VLOOKUP(Table_NFI[[#This Row],[Camp Name]],CL,3,0),"")</f>
        <v>Open</v>
      </c>
      <c r="AT265" s="264" t="str">
        <f ca="1">IF(Table_NFI[[#This Row],[Pcode]]="","",OFFSET(CampList[Priority],MATCH(Table_NFI[[#This Row],[Pcode]],CampList[CP_Pcode],0)-1,0,1,1))</f>
        <v>P3</v>
      </c>
      <c r="AU265" s="263">
        <f>IFERROR(Table_NFI[[#This Row],[Kitchen Set]]/VLOOKUP(Table_NFI[[#This Row],[Camp Name]],CL,4,0),"")</f>
        <v>0</v>
      </c>
      <c r="AV265" s="390"/>
      <c r="AW265" s="407"/>
      <c r="AX265" s="399"/>
      <c r="AY265" s="399"/>
      <c r="AZ265" s="399"/>
      <c r="BA265" s="399"/>
      <c r="BB265" s="399"/>
      <c r="BC265" s="399"/>
      <c r="BD265" s="399"/>
      <c r="BE265" s="399"/>
      <c r="BF265" s="399"/>
      <c r="BG265" s="399"/>
      <c r="BH265" s="399"/>
      <c r="BI265" s="399"/>
      <c r="BJ265" s="399"/>
      <c r="BK265" s="399"/>
      <c r="BL265" s="399"/>
      <c r="BM265" s="399"/>
      <c r="BN265" s="399"/>
      <c r="BO265" s="399"/>
      <c r="BP265" s="399"/>
      <c r="BQ265" s="399"/>
      <c r="BR265" s="399"/>
      <c r="BS265" s="399"/>
      <c r="BT265" s="399"/>
      <c r="BU265" s="399"/>
      <c r="BV265" s="399"/>
      <c r="BW265" s="399"/>
      <c r="BX265" s="399"/>
      <c r="BY265" s="399"/>
      <c r="BZ265" s="399"/>
      <c r="CA265" s="399"/>
      <c r="CB265" s="399"/>
      <c r="CC265" s="399"/>
      <c r="CD265" s="399"/>
      <c r="CE265" s="399"/>
      <c r="CF265" s="399"/>
      <c r="CG265" s="399"/>
      <c r="CH265" s="399"/>
      <c r="CI265" s="399"/>
      <c r="CJ265" s="399"/>
      <c r="CK265" s="399"/>
      <c r="CL265" s="399"/>
      <c r="CM265" s="399"/>
      <c r="CN265" s="399"/>
      <c r="CO265" s="399"/>
      <c r="CP265" s="399"/>
      <c r="CQ265" s="399"/>
      <c r="CR265" s="399"/>
      <c r="CS265" s="399"/>
      <c r="CT265" s="399"/>
      <c r="CU265" s="399"/>
      <c r="CV265" s="399"/>
      <c r="CW265" s="399"/>
      <c r="CX265" s="399"/>
      <c r="CY265" s="399"/>
      <c r="CZ265" s="399"/>
      <c r="DA265" s="399"/>
      <c r="DB265" s="399"/>
      <c r="DC265" s="399"/>
      <c r="DD265" s="399"/>
      <c r="DE265" s="399"/>
      <c r="DF265" s="399"/>
      <c r="DG265" s="399"/>
      <c r="DH265" s="399"/>
      <c r="DI265" s="399"/>
      <c r="DJ265" s="399"/>
      <c r="DK265" s="399"/>
      <c r="DL265" s="399"/>
      <c r="DM265" s="399"/>
      <c r="DN265" s="399"/>
      <c r="DO265" s="399"/>
      <c r="DP265" s="399"/>
      <c r="DQ265" s="399"/>
    </row>
    <row r="266" spans="1:121" s="760" customFormat="1" ht="15" customHeight="1" x14ac:dyDescent="0.25">
      <c r="A266" s="266">
        <f t="shared" si="4"/>
        <v>27.966666666666665</v>
      </c>
      <c r="B266" s="389">
        <v>42017</v>
      </c>
      <c r="C266" s="390" t="s">
        <v>1089</v>
      </c>
      <c r="D266" s="390" t="s">
        <v>899</v>
      </c>
      <c r="E266" s="390" t="s">
        <v>380</v>
      </c>
      <c r="F266" s="390" t="s">
        <v>237</v>
      </c>
      <c r="G266" s="390" t="s">
        <v>273</v>
      </c>
      <c r="H266" s="261"/>
      <c r="I266" s="261"/>
      <c r="J266" s="261"/>
      <c r="K266" s="261"/>
      <c r="L266" s="261"/>
      <c r="M266" s="261"/>
      <c r="N266" s="261"/>
      <c r="O266" s="261"/>
      <c r="P266" s="261"/>
      <c r="Q266" s="261"/>
      <c r="R266" s="261">
        <v>323</v>
      </c>
      <c r="S266" s="261">
        <v>178</v>
      </c>
      <c r="T266" s="261"/>
      <c r="U266" s="261"/>
      <c r="V266" s="762"/>
      <c r="W266" s="261"/>
      <c r="X266" s="261"/>
      <c r="Y266" s="264">
        <f>IF(NFI_Expiration=1,IF($A266&lt;VLOOKUP(H$5,NFI,5,0),1,0)*Table_NFI[[#This Row],[Hygiene Kit]],Table_NFI[Hygiene Kit])</f>
        <v>0</v>
      </c>
      <c r="Z266" s="264">
        <f>IF(NFI_Expiration=1,IF($A266&lt;VLOOKUP(I$5,NFI,5,0),1,0)*Table_NFI[[#This Row],[NFI Core Kit]],Table_NFI[NFI Core Kit])</f>
        <v>0</v>
      </c>
      <c r="AA266" s="264">
        <f>IF(NFI_Expiration=1,IF($A266&lt;VLOOKUP(J$5,NFI,5,0),1,0)*Table_NFI[[#This Row],[Sanitary Kit]],Table_NFI[Sanitary Kit])</f>
        <v>0</v>
      </c>
      <c r="AB266" s="264">
        <f>IF(NFI_Expiration=1,IF($A266&lt;VLOOKUP(K$5,NFI,5,0),1,0)*Table_NFI[[#This Row],[Mosquito net]],Table_NFI[Mosquito net])</f>
        <v>0</v>
      </c>
      <c r="AC266" s="264">
        <f>IF(NFI_Expiration=1,IF($A266&lt;VLOOKUP(L$5,NFI,5,0),1,0)*Table_NFI[[#This Row],[Tarpaulin]],Table_NFI[[#This Row],[Tarpaulin]])</f>
        <v>0</v>
      </c>
      <c r="AD266" s="264">
        <f>IF(NFI_Expiration=1,IF($A266&lt;VLOOKUP(M$5,NFI,5,0),1,0)*Table_NFI[[#This Row],[Blanket]],Table_NFI[[#This Row],[Blanket]])</f>
        <v>0</v>
      </c>
      <c r="AE266" s="264">
        <f>IF(NFI_Expiration=1,IF($A266&lt;VLOOKUP(N$5,NFI,5,0),1,0)*Table_NFI[[#This Row],[Kitchen Set]],Table_NFI[Kitchen Set])</f>
        <v>0</v>
      </c>
      <c r="AF266" s="264">
        <f>IF(NFI_Expiration=1,IF($A266&lt;VLOOKUP(O$5,NFI,5,0),1,0)*Table_NFI[[#This Row],[Clothes Kit]],Table_NFI[Clothes Kit])</f>
        <v>0</v>
      </c>
      <c r="AG266" s="264">
        <f>IF(NFI_Expiration=1,IF($A266&lt;VLOOKUP(P$5,NFI,5,0),1,0)*Table_NFI[[#This Row],[Plastic Bucket]],Table_NFI[Plastic Bucket])</f>
        <v>0</v>
      </c>
      <c r="AH266" s="264">
        <f>IF(NFI_Expiration=1,IF($A266&lt;VLOOKUP(Q$5,NFI,5,0),1,0)*Table_NFI[[#This Row],[Plastic Mat]],Table_NFI[Plastic Mat])*IF(Table_NFI[[#This Row],[Distribution Date]]&gt;"2014-04-01",1,2.5)</f>
        <v>0</v>
      </c>
      <c r="AI266" s="264">
        <f>IF(NFI_Expiration=1,IF($A266&lt;VLOOKUP(R$5,NFI,5,0),1,0)*Table_NFI[[#This Row],[Winter Clothes Adult]],Table_NFI[Winter Clothes Adult])</f>
        <v>0</v>
      </c>
      <c r="AJ266" s="264">
        <f>IF(NFI_Expiration=1,IF($A266&lt;VLOOKUP(S$5,NFI,5,0),1,0)*Table_NFI[[#This Row],[Winter Clothes Children]],Table_NFI[Winter Clothes Children])</f>
        <v>0</v>
      </c>
      <c r="AK266" s="264">
        <f>IF(NFI_Expiration=1,IF($A266&lt;VLOOKUP(T$5,NFI,5,0),1,0)*Table_NFI[[#This Row],[Winter Items Other]],Table_NFI[Winter Items Other])</f>
        <v>0</v>
      </c>
      <c r="AL266" s="264">
        <f>IF(NFI_Expiration=1,IF($A266&lt;VLOOKUP(M$5,NFI,5,0),1,0)*Table_NFI[[#This Row],[Winter Blanket]],Table_NFI[[#This Row],[Winter Blanket]])</f>
        <v>0</v>
      </c>
      <c r="AM266" s="264">
        <f>IF(Table_NFI[[#This Row],[Winter Clothes Adult]]+Table_NFI[[#This Row],[Winter Clothes Children]]+Table_NFI[[#This Row],[Winter Items Other]]+Table_NFI[[#This Row],[Winter Blanket]]&gt;0,1,0)</f>
        <v>1</v>
      </c>
      <c r="AN266" s="296">
        <f>IF(NFI_Expiration=1,IF($A266&lt;VLOOKUP(V$5,NFI,5,0),1,0)*Table_NFI[[#This Row],[Jerry Can]],Table_NFI[Jerry Can])</f>
        <v>0</v>
      </c>
      <c r="AO266" s="296">
        <f>IF(NFI_Expiration=1,IF($A266&lt;VLOOKUP(V$5,NFI,5,0),1,0)*Table_NFI[[#This Row],[Shelter Tool kit]],Table_NFI[Shelter Tool kit])</f>
        <v>0</v>
      </c>
      <c r="AP266" s="296">
        <f>IF(NFI_Expiration=1,IF($A266&lt;VLOOKUP(V$5,NFI,5,0),1,0)*Table_NFI[[#This Row],[Tent]],Table_NFI[Tent])</f>
        <v>0</v>
      </c>
      <c r="AQ266" s="396" t="str">
        <f>IFERROR(VLOOKUP(Table_NFI[[#This Row],[Camp Name]],CL,2,0),"")</f>
        <v>MMR001CMP162</v>
      </c>
      <c r="AR266" s="702">
        <f ca="1">IF(Table_NFI[[#This Row],[Pcode]]="","",IF(OFFSET(CampList[Opening Date],MATCH(Table_NFI[[#This Row],[Pcode]],CampList[CP_Pcode],0)-1,0,1,1)&gt;=NFI_Monitor_Date,1,0))</f>
        <v>0</v>
      </c>
      <c r="AS266" s="396" t="str">
        <f>IFERROR(VLOOKUP(Table_NFI[[#This Row],[Camp Name]],CL,3,0),"")</f>
        <v>Open</v>
      </c>
      <c r="AT266" s="264" t="str">
        <f ca="1">IF(Table_NFI[[#This Row],[Pcode]]="","",OFFSET(CampList[Priority],MATCH(Table_NFI[[#This Row],[Pcode]],CampList[CP_Pcode],0)-1,0,1,1))</f>
        <v>P4</v>
      </c>
      <c r="AU266" s="263">
        <f>IFERROR(Table_NFI[[#This Row],[Kitchen Set]]/VLOOKUP(Table_NFI[[#This Row],[Camp Name]],CL,4,0),"")</f>
        <v>0</v>
      </c>
      <c r="AV266" s="390"/>
      <c r="AW266" s="407"/>
      <c r="AX266" s="399"/>
      <c r="AY266" s="399"/>
      <c r="AZ266" s="399"/>
      <c r="BA266" s="399"/>
      <c r="BB266" s="399"/>
      <c r="BC266" s="399"/>
      <c r="BD266" s="399"/>
      <c r="BE266" s="399"/>
      <c r="BF266" s="399"/>
      <c r="BG266" s="399"/>
      <c r="BH266" s="399"/>
      <c r="BI266" s="399"/>
      <c r="BJ266" s="399"/>
      <c r="BK266" s="399"/>
      <c r="BL266" s="399"/>
      <c r="BM266" s="399"/>
      <c r="BN266" s="399"/>
      <c r="BO266" s="399"/>
      <c r="BP266" s="399"/>
      <c r="BQ266" s="399"/>
      <c r="BR266" s="399"/>
      <c r="BS266" s="399"/>
      <c r="BT266" s="399"/>
      <c r="BU266" s="399"/>
      <c r="BV266" s="399"/>
      <c r="BW266" s="399"/>
      <c r="BX266" s="399"/>
      <c r="BY266" s="399"/>
      <c r="BZ266" s="399"/>
      <c r="CA266" s="399"/>
      <c r="CB266" s="399"/>
      <c r="CC266" s="399"/>
      <c r="CD266" s="399"/>
      <c r="CE266" s="399"/>
      <c r="CF266" s="399"/>
      <c r="CG266" s="399"/>
      <c r="CH266" s="399"/>
      <c r="CI266" s="399"/>
      <c r="CJ266" s="399"/>
      <c r="CK266" s="399"/>
      <c r="CL266" s="399"/>
      <c r="CM266" s="399"/>
      <c r="CN266" s="399"/>
      <c r="CO266" s="399"/>
      <c r="CP266" s="399"/>
      <c r="CQ266" s="399"/>
      <c r="CR266" s="399"/>
      <c r="CS266" s="399"/>
      <c r="CT266" s="399"/>
      <c r="CU266" s="399"/>
      <c r="CV266" s="399"/>
      <c r="CW266" s="399"/>
      <c r="CX266" s="399"/>
      <c r="CY266" s="399"/>
      <c r="CZ266" s="399"/>
      <c r="DA266" s="399"/>
      <c r="DB266" s="399"/>
      <c r="DC266" s="399"/>
      <c r="DD266" s="399"/>
      <c r="DE266" s="399"/>
      <c r="DF266" s="399"/>
      <c r="DG266" s="399"/>
      <c r="DH266" s="399"/>
      <c r="DI266" s="399"/>
      <c r="DJ266" s="399"/>
      <c r="DK266" s="399"/>
      <c r="DL266" s="399"/>
      <c r="DM266" s="399"/>
      <c r="DN266" s="399"/>
      <c r="DO266" s="399"/>
      <c r="DP266" s="399"/>
      <c r="DQ266" s="399"/>
    </row>
    <row r="267" spans="1:121" s="760" customFormat="1" ht="14.45" customHeight="1" x14ac:dyDescent="0.25">
      <c r="A267" s="266">
        <f t="shared" si="4"/>
        <v>27.966666666666665</v>
      </c>
      <c r="B267" s="389">
        <v>42017</v>
      </c>
      <c r="C267" s="390" t="s">
        <v>1089</v>
      </c>
      <c r="D267" s="390" t="s">
        <v>899</v>
      </c>
      <c r="E267" s="390" t="s">
        <v>380</v>
      </c>
      <c r="F267" s="390" t="s">
        <v>27</v>
      </c>
      <c r="G267" s="390" t="s">
        <v>863</v>
      </c>
      <c r="H267" s="261"/>
      <c r="I267" s="261"/>
      <c r="J267" s="261"/>
      <c r="K267" s="261"/>
      <c r="L267" s="261"/>
      <c r="M267" s="261"/>
      <c r="N267" s="261"/>
      <c r="O267" s="261"/>
      <c r="P267" s="261"/>
      <c r="Q267" s="261"/>
      <c r="R267" s="261">
        <v>187</v>
      </c>
      <c r="S267" s="261">
        <v>137</v>
      </c>
      <c r="T267" s="261"/>
      <c r="U267" s="261">
        <v>118</v>
      </c>
      <c r="V267" s="762"/>
      <c r="W267" s="261"/>
      <c r="X267" s="261"/>
      <c r="Y267" s="264">
        <f>IF(NFI_Expiration=1,IF($A267&lt;VLOOKUP(H$5,NFI,5,0),1,0)*Table_NFI[[#This Row],[Hygiene Kit]],Table_NFI[Hygiene Kit])</f>
        <v>0</v>
      </c>
      <c r="Z267" s="264">
        <f>IF(NFI_Expiration=1,IF($A267&lt;VLOOKUP(I$5,NFI,5,0),1,0)*Table_NFI[[#This Row],[NFI Core Kit]],Table_NFI[NFI Core Kit])</f>
        <v>0</v>
      </c>
      <c r="AA267" s="264">
        <f>IF(NFI_Expiration=1,IF($A267&lt;VLOOKUP(J$5,NFI,5,0),1,0)*Table_NFI[[#This Row],[Sanitary Kit]],Table_NFI[Sanitary Kit])</f>
        <v>0</v>
      </c>
      <c r="AB267" s="264">
        <f>IF(NFI_Expiration=1,IF($A267&lt;VLOOKUP(K$5,NFI,5,0),1,0)*Table_NFI[[#This Row],[Mosquito net]],Table_NFI[Mosquito net])</f>
        <v>0</v>
      </c>
      <c r="AC267" s="264">
        <f>IF(NFI_Expiration=1,IF($A267&lt;VLOOKUP(L$5,NFI,5,0),1,0)*Table_NFI[[#This Row],[Tarpaulin]],Table_NFI[[#This Row],[Tarpaulin]])</f>
        <v>0</v>
      </c>
      <c r="AD267" s="264">
        <f>IF(NFI_Expiration=1,IF($A267&lt;VLOOKUP(M$5,NFI,5,0),1,0)*Table_NFI[[#This Row],[Blanket]],Table_NFI[[#This Row],[Blanket]])</f>
        <v>0</v>
      </c>
      <c r="AE267" s="264">
        <f>IF(NFI_Expiration=1,IF($A267&lt;VLOOKUP(N$5,NFI,5,0),1,0)*Table_NFI[[#This Row],[Kitchen Set]],Table_NFI[Kitchen Set])</f>
        <v>0</v>
      </c>
      <c r="AF267" s="264">
        <f>IF(NFI_Expiration=1,IF($A267&lt;VLOOKUP(O$5,NFI,5,0),1,0)*Table_NFI[[#This Row],[Clothes Kit]],Table_NFI[Clothes Kit])</f>
        <v>0</v>
      </c>
      <c r="AG267" s="264">
        <f>IF(NFI_Expiration=1,IF($A267&lt;VLOOKUP(P$5,NFI,5,0),1,0)*Table_NFI[[#This Row],[Plastic Bucket]],Table_NFI[Plastic Bucket])</f>
        <v>0</v>
      </c>
      <c r="AH267" s="264">
        <f>IF(NFI_Expiration=1,IF($A267&lt;VLOOKUP(Q$5,NFI,5,0),1,0)*Table_NFI[[#This Row],[Plastic Mat]],Table_NFI[Plastic Mat])*IF(Table_NFI[[#This Row],[Distribution Date]]&gt;"2014-04-01",1,2.5)</f>
        <v>0</v>
      </c>
      <c r="AI267" s="264">
        <f>IF(NFI_Expiration=1,IF($A267&lt;VLOOKUP(R$5,NFI,5,0),1,0)*Table_NFI[[#This Row],[Winter Clothes Adult]],Table_NFI[Winter Clothes Adult])</f>
        <v>0</v>
      </c>
      <c r="AJ267" s="264">
        <f>IF(NFI_Expiration=1,IF($A267&lt;VLOOKUP(S$5,NFI,5,0),1,0)*Table_NFI[[#This Row],[Winter Clothes Children]],Table_NFI[Winter Clothes Children])</f>
        <v>0</v>
      </c>
      <c r="AK267" s="264">
        <f>IF(NFI_Expiration=1,IF($A267&lt;VLOOKUP(T$5,NFI,5,0),1,0)*Table_NFI[[#This Row],[Winter Items Other]],Table_NFI[Winter Items Other])</f>
        <v>0</v>
      </c>
      <c r="AL267" s="264">
        <f>IF(NFI_Expiration=1,IF($A267&lt;VLOOKUP(M$5,NFI,5,0),1,0)*Table_NFI[[#This Row],[Winter Blanket]],Table_NFI[[#This Row],[Winter Blanket]])</f>
        <v>0</v>
      </c>
      <c r="AM267" s="264">
        <f>IF(Table_NFI[[#This Row],[Winter Clothes Adult]]+Table_NFI[[#This Row],[Winter Clothes Children]]+Table_NFI[[#This Row],[Winter Items Other]]+Table_NFI[[#This Row],[Winter Blanket]]&gt;0,1,0)</f>
        <v>1</v>
      </c>
      <c r="AN267" s="296">
        <f>IF(NFI_Expiration=1,IF($A267&lt;VLOOKUP(V$5,NFI,5,0),1,0)*Table_NFI[[#This Row],[Jerry Can]],Table_NFI[Jerry Can])</f>
        <v>0</v>
      </c>
      <c r="AO267" s="296">
        <f>IF(NFI_Expiration=1,IF($A267&lt;VLOOKUP(V$5,NFI,5,0),1,0)*Table_NFI[[#This Row],[Shelter Tool kit]],Table_NFI[Shelter Tool kit])</f>
        <v>0</v>
      </c>
      <c r="AP267" s="296">
        <f>IF(NFI_Expiration=1,IF($A267&lt;VLOOKUP(V$5,NFI,5,0),1,0)*Table_NFI[[#This Row],[Tent]],Table_NFI[Tent])</f>
        <v>0</v>
      </c>
      <c r="AQ267" s="396" t="str">
        <f>IFERROR(VLOOKUP(Table_NFI[[#This Row],[Camp Name]],CL,2,0),"")</f>
        <v>MMR001CMP210</v>
      </c>
      <c r="AR267" s="702">
        <f ca="1">IF(Table_NFI[[#This Row],[Pcode]]="","",IF(OFFSET(CampList[Opening Date],MATCH(Table_NFI[[#This Row],[Pcode]],CampList[CP_Pcode],0)-1,0,1,1)&gt;=NFI_Monitor_Date,1,0))</f>
        <v>0</v>
      </c>
      <c r="AS267" s="396" t="str">
        <f>IFERROR(VLOOKUP(Table_NFI[[#This Row],[Camp Name]],CL,3,0),"")</f>
        <v>Open</v>
      </c>
      <c r="AT267" s="264" t="str">
        <f ca="1">IF(Table_NFI[[#This Row],[Pcode]]="","",OFFSET(CampList[Priority],MATCH(Table_NFI[[#This Row],[Pcode]],CampList[CP_Pcode],0)-1,0,1,1))</f>
        <v>P1</v>
      </c>
      <c r="AU267" s="263">
        <f>IFERROR(Table_NFI[[#This Row],[Kitchen Set]]/VLOOKUP(Table_NFI[[#This Row],[Camp Name]],CL,4,0),"")</f>
        <v>0</v>
      </c>
      <c r="AV267" s="390"/>
      <c r="AW267" s="407"/>
      <c r="AX267" s="399"/>
      <c r="AY267" s="399"/>
      <c r="AZ267" s="399"/>
      <c r="BA267" s="399"/>
      <c r="BB267" s="399"/>
      <c r="BC267" s="399"/>
      <c r="BD267" s="399"/>
      <c r="BE267" s="399"/>
      <c r="BF267" s="399"/>
      <c r="BG267" s="399"/>
      <c r="BH267" s="399"/>
      <c r="BI267" s="399"/>
      <c r="BJ267" s="399"/>
      <c r="BK267" s="399"/>
      <c r="BL267" s="399"/>
      <c r="BM267" s="399"/>
      <c r="BN267" s="399"/>
      <c r="BO267" s="399"/>
      <c r="BP267" s="399"/>
      <c r="BQ267" s="399"/>
      <c r="BR267" s="399"/>
      <c r="BS267" s="399"/>
      <c r="BT267" s="399"/>
      <c r="BU267" s="399"/>
      <c r="BV267" s="399"/>
      <c r="BW267" s="399"/>
      <c r="BX267" s="399"/>
      <c r="BY267" s="399"/>
      <c r="BZ267" s="399"/>
      <c r="CA267" s="399"/>
      <c r="CB267" s="399"/>
      <c r="CC267" s="399"/>
      <c r="CD267" s="399"/>
      <c r="CE267" s="399"/>
      <c r="CF267" s="399"/>
      <c r="CG267" s="399"/>
      <c r="CH267" s="399"/>
      <c r="CI267" s="399"/>
      <c r="CJ267" s="399"/>
      <c r="CK267" s="399"/>
      <c r="CL267" s="399"/>
      <c r="CM267" s="399"/>
      <c r="CN267" s="399"/>
      <c r="CO267" s="399"/>
      <c r="CP267" s="399"/>
      <c r="CQ267" s="399"/>
      <c r="CR267" s="399"/>
      <c r="CS267" s="399"/>
      <c r="CT267" s="399"/>
      <c r="CU267" s="399"/>
      <c r="CV267" s="399"/>
      <c r="CW267" s="399"/>
      <c r="CX267" s="399"/>
      <c r="CY267" s="399"/>
      <c r="CZ267" s="399"/>
      <c r="DA267" s="399"/>
      <c r="DB267" s="399"/>
      <c r="DC267" s="399"/>
      <c r="DD267" s="399"/>
      <c r="DE267" s="399"/>
      <c r="DF267" s="399"/>
      <c r="DG267" s="399"/>
      <c r="DH267" s="399"/>
      <c r="DI267" s="399"/>
      <c r="DJ267" s="399"/>
      <c r="DK267" s="399"/>
      <c r="DL267" s="399"/>
      <c r="DM267" s="399"/>
      <c r="DN267" s="399"/>
      <c r="DO267" s="399"/>
      <c r="DP267" s="399"/>
      <c r="DQ267" s="399"/>
    </row>
    <row r="268" spans="1:121" s="760" customFormat="1" ht="15" customHeight="1" x14ac:dyDescent="0.25">
      <c r="A268" s="266">
        <f t="shared" si="4"/>
        <v>27.966666666666665</v>
      </c>
      <c r="B268" s="389">
        <v>42017</v>
      </c>
      <c r="C268" s="390" t="s">
        <v>1089</v>
      </c>
      <c r="D268" s="390" t="s">
        <v>899</v>
      </c>
      <c r="E268" s="390" t="s">
        <v>380</v>
      </c>
      <c r="F268" s="390" t="s">
        <v>526</v>
      </c>
      <c r="G268" s="390" t="s">
        <v>118</v>
      </c>
      <c r="H268" s="261"/>
      <c r="I268" s="261"/>
      <c r="J268" s="261"/>
      <c r="K268" s="261"/>
      <c r="L268" s="261"/>
      <c r="M268" s="261"/>
      <c r="N268" s="261"/>
      <c r="O268" s="261"/>
      <c r="P268" s="261"/>
      <c r="Q268" s="261"/>
      <c r="R268" s="261">
        <v>26</v>
      </c>
      <c r="S268" s="261">
        <v>14</v>
      </c>
      <c r="T268" s="261"/>
      <c r="U268" s="261"/>
      <c r="V268" s="762"/>
      <c r="W268" s="762"/>
      <c r="X268" s="762"/>
      <c r="Y268" s="264">
        <f>IF(NFI_Expiration=1,IF($A268&lt;VLOOKUP(H$5,NFI,5,0),1,0)*Table_NFI[[#This Row],[Hygiene Kit]],Table_NFI[Hygiene Kit])</f>
        <v>0</v>
      </c>
      <c r="Z268" s="264">
        <f>IF(NFI_Expiration=1,IF($A268&lt;VLOOKUP(I$5,NFI,5,0),1,0)*Table_NFI[[#This Row],[NFI Core Kit]],Table_NFI[NFI Core Kit])</f>
        <v>0</v>
      </c>
      <c r="AA268" s="264">
        <f>IF(NFI_Expiration=1,IF($A268&lt;VLOOKUP(J$5,NFI,5,0),1,0)*Table_NFI[[#This Row],[Sanitary Kit]],Table_NFI[Sanitary Kit])</f>
        <v>0</v>
      </c>
      <c r="AB268" s="264">
        <f>IF(NFI_Expiration=1,IF($A268&lt;VLOOKUP(K$5,NFI,5,0),1,0)*Table_NFI[[#This Row],[Mosquito net]],Table_NFI[Mosquito net])</f>
        <v>0</v>
      </c>
      <c r="AC268" s="264">
        <f>IF(NFI_Expiration=1,IF($A268&lt;VLOOKUP(L$5,NFI,5,0),1,0)*Table_NFI[[#This Row],[Tarpaulin]],Table_NFI[[#This Row],[Tarpaulin]])</f>
        <v>0</v>
      </c>
      <c r="AD268" s="264">
        <f>IF(NFI_Expiration=1,IF($A268&lt;VLOOKUP(M$5,NFI,5,0),1,0)*Table_NFI[[#This Row],[Blanket]],Table_NFI[[#This Row],[Blanket]])</f>
        <v>0</v>
      </c>
      <c r="AE268" s="264">
        <f>IF(NFI_Expiration=1,IF($A268&lt;VLOOKUP(N$5,NFI,5,0),1,0)*Table_NFI[[#This Row],[Kitchen Set]],Table_NFI[Kitchen Set])</f>
        <v>0</v>
      </c>
      <c r="AF268" s="264">
        <f>IF(NFI_Expiration=1,IF($A268&lt;VLOOKUP(O$5,NFI,5,0),1,0)*Table_NFI[[#This Row],[Clothes Kit]],Table_NFI[Clothes Kit])</f>
        <v>0</v>
      </c>
      <c r="AG268" s="264">
        <f>IF(NFI_Expiration=1,IF($A268&lt;VLOOKUP(P$5,NFI,5,0),1,0)*Table_NFI[[#This Row],[Plastic Bucket]],Table_NFI[Plastic Bucket])</f>
        <v>0</v>
      </c>
      <c r="AH268" s="264">
        <f>IF(NFI_Expiration=1,IF($A268&lt;VLOOKUP(Q$5,NFI,5,0),1,0)*Table_NFI[[#This Row],[Plastic Mat]],Table_NFI[Plastic Mat])*IF(Table_NFI[[#This Row],[Distribution Date]]&gt;"2014-04-01",1,2.5)</f>
        <v>0</v>
      </c>
      <c r="AI268" s="264">
        <f>IF(NFI_Expiration=1,IF($A268&lt;VLOOKUP(R$5,NFI,5,0),1,0)*Table_NFI[[#This Row],[Winter Clothes Adult]],Table_NFI[Winter Clothes Adult])</f>
        <v>0</v>
      </c>
      <c r="AJ268" s="264">
        <f>IF(NFI_Expiration=1,IF($A268&lt;VLOOKUP(S$5,NFI,5,0),1,0)*Table_NFI[[#This Row],[Winter Clothes Children]],Table_NFI[Winter Clothes Children])</f>
        <v>0</v>
      </c>
      <c r="AK268" s="264">
        <f>IF(NFI_Expiration=1,IF($A268&lt;VLOOKUP(T$5,NFI,5,0),1,0)*Table_NFI[[#This Row],[Winter Items Other]],Table_NFI[Winter Items Other])</f>
        <v>0</v>
      </c>
      <c r="AL268" s="264">
        <f>IF(NFI_Expiration=1,IF($A268&lt;VLOOKUP(M$5,NFI,5,0),1,0)*Table_NFI[[#This Row],[Winter Blanket]],Table_NFI[[#This Row],[Winter Blanket]])</f>
        <v>0</v>
      </c>
      <c r="AM268" s="264">
        <f>IF(Table_NFI[[#This Row],[Winter Clothes Adult]]+Table_NFI[[#This Row],[Winter Clothes Children]]+Table_NFI[[#This Row],[Winter Items Other]]+Table_NFI[[#This Row],[Winter Blanket]]&gt;0,1,0)</f>
        <v>1</v>
      </c>
      <c r="AN268" s="296">
        <f>IF(NFI_Expiration=1,IF($A268&lt;VLOOKUP(V$5,NFI,5,0),1,0)*Table_NFI[[#This Row],[Jerry Can]],Table_NFI[Jerry Can])</f>
        <v>0</v>
      </c>
      <c r="AO268" s="296">
        <f>IF(NFI_Expiration=1,IF($A268&lt;VLOOKUP(V$5,NFI,5,0),1,0)*Table_NFI[[#This Row],[Shelter Tool kit]],Table_NFI[Shelter Tool kit])</f>
        <v>0</v>
      </c>
      <c r="AP268" s="296">
        <f>IF(NFI_Expiration=1,IF($A268&lt;VLOOKUP(V$5,NFI,5,0),1,0)*Table_NFI[[#This Row],[Tent]],Table_NFI[Tent])</f>
        <v>0</v>
      </c>
      <c r="AQ268" s="396" t="str">
        <f>IFERROR(VLOOKUP(Table_NFI[[#This Row],[Camp Name]],CL,2,0),"")</f>
        <v>MMR001CMP182</v>
      </c>
      <c r="AR268" s="702">
        <f ca="1">IF(Table_NFI[[#This Row],[Pcode]]="","",IF(OFFSET(CampList[Opening Date],MATCH(Table_NFI[[#This Row],[Pcode]],CampList[CP_Pcode],0)-1,0,1,1)&gt;=NFI_Monitor_Date,1,0))</f>
        <v>0</v>
      </c>
      <c r="AS268" s="396" t="str">
        <f>IFERROR(VLOOKUP(Table_NFI[[#This Row],[Camp Name]],CL,3,0),"")</f>
        <v>Open</v>
      </c>
      <c r="AT268" s="264" t="str">
        <f ca="1">IF(Table_NFI[[#This Row],[Pcode]]="","",OFFSET(CampList[Priority],MATCH(Table_NFI[[#This Row],[Pcode]],CampList[CP_Pcode],0)-1,0,1,1))</f>
        <v>P4</v>
      </c>
      <c r="AU268" s="263">
        <f>IFERROR(Table_NFI[[#This Row],[Kitchen Set]]/VLOOKUP(Table_NFI[[#This Row],[Camp Name]],CL,4,0),"")</f>
        <v>0</v>
      </c>
      <c r="AV268" s="390"/>
      <c r="AW268" s="407"/>
      <c r="AX268" s="399"/>
      <c r="AY268" s="399"/>
      <c r="AZ268" s="399"/>
      <c r="BA268" s="399"/>
      <c r="BB268" s="399"/>
      <c r="BC268" s="399"/>
      <c r="BD268" s="399"/>
      <c r="BE268" s="399"/>
      <c r="BF268" s="399"/>
      <c r="BG268" s="399"/>
      <c r="BH268" s="399"/>
      <c r="BI268" s="399"/>
      <c r="BJ268" s="399"/>
      <c r="BK268" s="399"/>
      <c r="BL268" s="399"/>
      <c r="BM268" s="399"/>
      <c r="BN268" s="399"/>
      <c r="BO268" s="399"/>
      <c r="BP268" s="399"/>
      <c r="BQ268" s="399"/>
      <c r="BR268" s="399"/>
      <c r="BS268" s="399"/>
      <c r="BT268" s="399"/>
      <c r="BU268" s="399"/>
      <c r="BV268" s="399"/>
      <c r="BW268" s="399"/>
      <c r="BX268" s="399"/>
      <c r="BY268" s="399"/>
      <c r="BZ268" s="399"/>
      <c r="CA268" s="399"/>
      <c r="CB268" s="399"/>
      <c r="CC268" s="399"/>
      <c r="CD268" s="399"/>
      <c r="CE268" s="399"/>
      <c r="CF268" s="399"/>
      <c r="CG268" s="399"/>
      <c r="CH268" s="399"/>
      <c r="CI268" s="399"/>
      <c r="CJ268" s="399"/>
      <c r="CK268" s="399"/>
      <c r="CL268" s="399"/>
      <c r="CM268" s="399"/>
      <c r="CN268" s="399"/>
      <c r="CO268" s="399"/>
      <c r="CP268" s="399"/>
      <c r="CQ268" s="399"/>
      <c r="CR268" s="399"/>
      <c r="CS268" s="399"/>
      <c r="CT268" s="399"/>
      <c r="CU268" s="399"/>
      <c r="CV268" s="399"/>
      <c r="CW268" s="399"/>
      <c r="CX268" s="399"/>
      <c r="CY268" s="399"/>
      <c r="CZ268" s="399"/>
      <c r="DA268" s="399"/>
      <c r="DB268" s="399"/>
      <c r="DC268" s="399"/>
      <c r="DD268" s="399"/>
      <c r="DE268" s="399"/>
      <c r="DF268" s="399"/>
      <c r="DG268" s="399"/>
      <c r="DH268" s="399"/>
      <c r="DI268" s="399"/>
      <c r="DJ268" s="399"/>
      <c r="DK268" s="399"/>
      <c r="DL268" s="399"/>
      <c r="DM268" s="399"/>
      <c r="DN268" s="399"/>
      <c r="DO268" s="399"/>
      <c r="DP268" s="399"/>
      <c r="DQ268" s="399"/>
    </row>
    <row r="269" spans="1:121" s="760" customFormat="1" ht="15" customHeight="1" x14ac:dyDescent="0.25">
      <c r="A269" s="266">
        <f t="shared" si="4"/>
        <v>27.966666666666665</v>
      </c>
      <c r="B269" s="389">
        <v>42017</v>
      </c>
      <c r="C269" s="390" t="s">
        <v>1089</v>
      </c>
      <c r="D269" s="390" t="s">
        <v>899</v>
      </c>
      <c r="E269" s="390" t="s">
        <v>380</v>
      </c>
      <c r="F269" s="390" t="s">
        <v>526</v>
      </c>
      <c r="G269" s="390" t="s">
        <v>124</v>
      </c>
      <c r="H269" s="261"/>
      <c r="I269" s="261"/>
      <c r="J269" s="261"/>
      <c r="K269" s="261"/>
      <c r="L269" s="261"/>
      <c r="M269" s="261"/>
      <c r="N269" s="261"/>
      <c r="O269" s="261"/>
      <c r="P269" s="261"/>
      <c r="Q269" s="261"/>
      <c r="R269" s="261">
        <v>34</v>
      </c>
      <c r="S269" s="261">
        <v>9</v>
      </c>
      <c r="T269" s="261"/>
      <c r="U269" s="261"/>
      <c r="V269" s="762"/>
      <c r="W269" s="261"/>
      <c r="X269" s="261"/>
      <c r="Y269" s="264">
        <f>IF(NFI_Expiration=1,IF($A269&lt;VLOOKUP(H$5,NFI,5,0),1,0)*Table_NFI[[#This Row],[Hygiene Kit]],Table_NFI[Hygiene Kit])</f>
        <v>0</v>
      </c>
      <c r="Z269" s="264">
        <f>IF(NFI_Expiration=1,IF($A269&lt;VLOOKUP(I$5,NFI,5,0),1,0)*Table_NFI[[#This Row],[NFI Core Kit]],Table_NFI[NFI Core Kit])</f>
        <v>0</v>
      </c>
      <c r="AA269" s="264">
        <f>IF(NFI_Expiration=1,IF($A269&lt;VLOOKUP(J$5,NFI,5,0),1,0)*Table_NFI[[#This Row],[Sanitary Kit]],Table_NFI[Sanitary Kit])</f>
        <v>0</v>
      </c>
      <c r="AB269" s="264">
        <f>IF(NFI_Expiration=1,IF($A269&lt;VLOOKUP(K$5,NFI,5,0),1,0)*Table_NFI[[#This Row],[Mosquito net]],Table_NFI[Mosquito net])</f>
        <v>0</v>
      </c>
      <c r="AC269" s="264">
        <f>IF(NFI_Expiration=1,IF($A269&lt;VLOOKUP(L$5,NFI,5,0),1,0)*Table_NFI[[#This Row],[Tarpaulin]],Table_NFI[[#This Row],[Tarpaulin]])</f>
        <v>0</v>
      </c>
      <c r="AD269" s="264">
        <f>IF(NFI_Expiration=1,IF($A269&lt;VLOOKUP(M$5,NFI,5,0),1,0)*Table_NFI[[#This Row],[Blanket]],Table_NFI[[#This Row],[Blanket]])</f>
        <v>0</v>
      </c>
      <c r="AE269" s="264">
        <f>IF(NFI_Expiration=1,IF($A269&lt;VLOOKUP(N$5,NFI,5,0),1,0)*Table_NFI[[#This Row],[Kitchen Set]],Table_NFI[Kitchen Set])</f>
        <v>0</v>
      </c>
      <c r="AF269" s="264">
        <f>IF(NFI_Expiration=1,IF($A269&lt;VLOOKUP(O$5,NFI,5,0),1,0)*Table_NFI[[#This Row],[Clothes Kit]],Table_NFI[Clothes Kit])</f>
        <v>0</v>
      </c>
      <c r="AG269" s="264">
        <f>IF(NFI_Expiration=1,IF($A269&lt;VLOOKUP(P$5,NFI,5,0),1,0)*Table_NFI[[#This Row],[Plastic Bucket]],Table_NFI[Plastic Bucket])</f>
        <v>0</v>
      </c>
      <c r="AH269" s="264">
        <f>IF(NFI_Expiration=1,IF($A269&lt;VLOOKUP(Q$5,NFI,5,0),1,0)*Table_NFI[[#This Row],[Plastic Mat]],Table_NFI[Plastic Mat])*IF(Table_NFI[[#This Row],[Distribution Date]]&gt;"2014-04-01",1,2.5)</f>
        <v>0</v>
      </c>
      <c r="AI269" s="264">
        <f>IF(NFI_Expiration=1,IF($A269&lt;VLOOKUP(R$5,NFI,5,0),1,0)*Table_NFI[[#This Row],[Winter Clothes Adult]],Table_NFI[Winter Clothes Adult])</f>
        <v>0</v>
      </c>
      <c r="AJ269" s="264">
        <f>IF(NFI_Expiration=1,IF($A269&lt;VLOOKUP(S$5,NFI,5,0),1,0)*Table_NFI[[#This Row],[Winter Clothes Children]],Table_NFI[Winter Clothes Children])</f>
        <v>0</v>
      </c>
      <c r="AK269" s="264">
        <f>IF(NFI_Expiration=1,IF($A269&lt;VLOOKUP(T$5,NFI,5,0),1,0)*Table_NFI[[#This Row],[Winter Items Other]],Table_NFI[Winter Items Other])</f>
        <v>0</v>
      </c>
      <c r="AL269" s="264">
        <f>IF(NFI_Expiration=1,IF($A269&lt;VLOOKUP(M$5,NFI,5,0),1,0)*Table_NFI[[#This Row],[Winter Blanket]],Table_NFI[[#This Row],[Winter Blanket]])</f>
        <v>0</v>
      </c>
      <c r="AM269" s="264">
        <f>IF(Table_NFI[[#This Row],[Winter Clothes Adult]]+Table_NFI[[#This Row],[Winter Clothes Children]]+Table_NFI[[#This Row],[Winter Items Other]]+Table_NFI[[#This Row],[Winter Blanket]]&gt;0,1,0)</f>
        <v>1</v>
      </c>
      <c r="AN269" s="296">
        <f>IF(NFI_Expiration=1,IF($A269&lt;VLOOKUP(V$5,NFI,5,0),1,0)*Table_NFI[[#This Row],[Jerry Can]],Table_NFI[Jerry Can])</f>
        <v>0</v>
      </c>
      <c r="AO269" s="296">
        <f>IF(NFI_Expiration=1,IF($A269&lt;VLOOKUP(V$5,NFI,5,0),1,0)*Table_NFI[[#This Row],[Shelter Tool kit]],Table_NFI[Shelter Tool kit])</f>
        <v>0</v>
      </c>
      <c r="AP269" s="296">
        <f>IF(NFI_Expiration=1,IF($A269&lt;VLOOKUP(V$5,NFI,5,0),1,0)*Table_NFI[[#This Row],[Tent]],Table_NFI[Tent])</f>
        <v>0</v>
      </c>
      <c r="AQ269" s="396" t="str">
        <f>IFERROR(VLOOKUP(Table_NFI[[#This Row],[Camp Name]],CL,2,0),"")</f>
        <v>MMR001CMP183</v>
      </c>
      <c r="AR269" s="702">
        <f ca="1">IF(Table_NFI[[#This Row],[Pcode]]="","",IF(OFFSET(CampList[Opening Date],MATCH(Table_NFI[[#This Row],[Pcode]],CampList[CP_Pcode],0)-1,0,1,1)&gt;=NFI_Monitor_Date,1,0))</f>
        <v>0</v>
      </c>
      <c r="AS269" s="396" t="str">
        <f>IFERROR(VLOOKUP(Table_NFI[[#This Row],[Camp Name]],CL,3,0),"")</f>
        <v>Open</v>
      </c>
      <c r="AT269" s="264" t="str">
        <f ca="1">IF(Table_NFI[[#This Row],[Pcode]]="","",OFFSET(CampList[Priority],MATCH(Table_NFI[[#This Row],[Pcode]],CampList[CP_Pcode],0)-1,0,1,1))</f>
        <v>P4</v>
      </c>
      <c r="AU269" s="263">
        <f>IFERROR(Table_NFI[[#This Row],[Kitchen Set]]/VLOOKUP(Table_NFI[[#This Row],[Camp Name]],CL,4,0),"")</f>
        <v>0</v>
      </c>
      <c r="AV269" s="390"/>
      <c r="AW269" s="407"/>
      <c r="AX269" s="399"/>
      <c r="AY269" s="399"/>
      <c r="AZ269" s="399"/>
      <c r="BA269" s="399"/>
      <c r="BB269" s="399"/>
      <c r="BC269" s="399"/>
      <c r="BD269" s="399"/>
      <c r="BE269" s="399"/>
      <c r="BF269" s="399"/>
      <c r="BG269" s="399"/>
      <c r="BH269" s="399"/>
      <c r="BI269" s="399"/>
      <c r="BJ269" s="399"/>
      <c r="BK269" s="399"/>
      <c r="BL269" s="399"/>
      <c r="BM269" s="399"/>
      <c r="BN269" s="399"/>
      <c r="BO269" s="399"/>
      <c r="BP269" s="399"/>
      <c r="BQ269" s="399"/>
      <c r="BR269" s="399"/>
      <c r="BS269" s="399"/>
      <c r="BT269" s="399"/>
      <c r="BU269" s="399"/>
      <c r="BV269" s="399"/>
      <c r="BW269" s="399"/>
      <c r="BX269" s="399"/>
      <c r="BY269" s="399"/>
      <c r="BZ269" s="399"/>
      <c r="CA269" s="399"/>
      <c r="CB269" s="399"/>
      <c r="CC269" s="399"/>
      <c r="CD269" s="399"/>
      <c r="CE269" s="399"/>
      <c r="CF269" s="399"/>
      <c r="CG269" s="399"/>
      <c r="CH269" s="399"/>
      <c r="CI269" s="399"/>
      <c r="CJ269" s="399"/>
      <c r="CK269" s="399"/>
      <c r="CL269" s="399"/>
      <c r="CM269" s="399"/>
      <c r="CN269" s="399"/>
      <c r="CO269" s="399"/>
      <c r="CP269" s="399"/>
      <c r="CQ269" s="399"/>
      <c r="CR269" s="399"/>
      <c r="CS269" s="399"/>
      <c r="CT269" s="399"/>
      <c r="CU269" s="399"/>
      <c r="CV269" s="399"/>
      <c r="CW269" s="399"/>
      <c r="CX269" s="399"/>
      <c r="CY269" s="399"/>
      <c r="CZ269" s="399"/>
      <c r="DA269" s="399"/>
      <c r="DB269" s="399"/>
      <c r="DC269" s="399"/>
      <c r="DD269" s="399"/>
      <c r="DE269" s="399"/>
      <c r="DF269" s="399"/>
      <c r="DG269" s="399"/>
      <c r="DH269" s="399"/>
      <c r="DI269" s="399"/>
      <c r="DJ269" s="399"/>
      <c r="DK269" s="399"/>
      <c r="DL269" s="399"/>
      <c r="DM269" s="399"/>
      <c r="DN269" s="399"/>
      <c r="DO269" s="399"/>
      <c r="DP269" s="399"/>
      <c r="DQ269" s="399"/>
    </row>
    <row r="270" spans="1:121" s="760" customFormat="1" ht="14.45" customHeight="1" x14ac:dyDescent="0.25">
      <c r="A270" s="266">
        <f t="shared" si="4"/>
        <v>27.966666666666665</v>
      </c>
      <c r="B270" s="389">
        <v>42017</v>
      </c>
      <c r="C270" s="390" t="s">
        <v>1089</v>
      </c>
      <c r="D270" s="390" t="s">
        <v>899</v>
      </c>
      <c r="E270" s="390" t="s">
        <v>380</v>
      </c>
      <c r="F270" s="390" t="s">
        <v>27</v>
      </c>
      <c r="G270" s="390" t="s">
        <v>1017</v>
      </c>
      <c r="H270" s="261"/>
      <c r="I270" s="261"/>
      <c r="J270" s="261"/>
      <c r="K270" s="261"/>
      <c r="L270" s="261"/>
      <c r="M270" s="261"/>
      <c r="N270" s="261"/>
      <c r="O270" s="261"/>
      <c r="P270" s="261"/>
      <c r="Q270" s="261"/>
      <c r="R270" s="261">
        <v>111</v>
      </c>
      <c r="S270" s="261">
        <v>56</v>
      </c>
      <c r="T270" s="261"/>
      <c r="U270" s="261">
        <v>58</v>
      </c>
      <c r="V270" s="762"/>
      <c r="W270" s="261"/>
      <c r="X270" s="261"/>
      <c r="Y270" s="264">
        <f>IF(NFI_Expiration=1,IF($A270&lt;VLOOKUP(H$5,NFI,5,0),1,0)*Table_NFI[[#This Row],[Hygiene Kit]],Table_NFI[Hygiene Kit])</f>
        <v>0</v>
      </c>
      <c r="Z270" s="264">
        <f>IF(NFI_Expiration=1,IF($A270&lt;VLOOKUP(I$5,NFI,5,0),1,0)*Table_NFI[[#This Row],[NFI Core Kit]],Table_NFI[NFI Core Kit])</f>
        <v>0</v>
      </c>
      <c r="AA270" s="264">
        <f>IF(NFI_Expiration=1,IF($A270&lt;VLOOKUP(J$5,NFI,5,0),1,0)*Table_NFI[[#This Row],[Sanitary Kit]],Table_NFI[Sanitary Kit])</f>
        <v>0</v>
      </c>
      <c r="AB270" s="264">
        <f>IF(NFI_Expiration=1,IF($A270&lt;VLOOKUP(K$5,NFI,5,0),1,0)*Table_NFI[[#This Row],[Mosquito net]],Table_NFI[Mosquito net])</f>
        <v>0</v>
      </c>
      <c r="AC270" s="264">
        <f>IF(NFI_Expiration=1,IF($A270&lt;VLOOKUP(L$5,NFI,5,0),1,0)*Table_NFI[[#This Row],[Tarpaulin]],Table_NFI[[#This Row],[Tarpaulin]])</f>
        <v>0</v>
      </c>
      <c r="AD270" s="264">
        <f>IF(NFI_Expiration=1,IF($A270&lt;VLOOKUP(M$5,NFI,5,0),1,0)*Table_NFI[[#This Row],[Blanket]],Table_NFI[[#This Row],[Blanket]])</f>
        <v>0</v>
      </c>
      <c r="AE270" s="264">
        <f>IF(NFI_Expiration=1,IF($A270&lt;VLOOKUP(N$5,NFI,5,0),1,0)*Table_NFI[[#This Row],[Kitchen Set]],Table_NFI[Kitchen Set])</f>
        <v>0</v>
      </c>
      <c r="AF270" s="264">
        <f>IF(NFI_Expiration=1,IF($A270&lt;VLOOKUP(O$5,NFI,5,0),1,0)*Table_NFI[[#This Row],[Clothes Kit]],Table_NFI[Clothes Kit])</f>
        <v>0</v>
      </c>
      <c r="AG270" s="264">
        <f>IF(NFI_Expiration=1,IF($A270&lt;VLOOKUP(P$5,NFI,5,0),1,0)*Table_NFI[[#This Row],[Plastic Bucket]],Table_NFI[Plastic Bucket])</f>
        <v>0</v>
      </c>
      <c r="AH270" s="264">
        <f>IF(NFI_Expiration=1,IF($A270&lt;VLOOKUP(Q$5,NFI,5,0),1,0)*Table_NFI[[#This Row],[Plastic Mat]],Table_NFI[Plastic Mat])*IF(Table_NFI[[#This Row],[Distribution Date]]&gt;"2014-04-01",1,2.5)</f>
        <v>0</v>
      </c>
      <c r="AI270" s="264">
        <f>IF(NFI_Expiration=1,IF($A270&lt;VLOOKUP(R$5,NFI,5,0),1,0)*Table_NFI[[#This Row],[Winter Clothes Adult]],Table_NFI[Winter Clothes Adult])</f>
        <v>0</v>
      </c>
      <c r="AJ270" s="264">
        <f>IF(NFI_Expiration=1,IF($A270&lt;VLOOKUP(S$5,NFI,5,0),1,0)*Table_NFI[[#This Row],[Winter Clothes Children]],Table_NFI[Winter Clothes Children])</f>
        <v>0</v>
      </c>
      <c r="AK270" s="264">
        <f>IF(NFI_Expiration=1,IF($A270&lt;VLOOKUP(T$5,NFI,5,0),1,0)*Table_NFI[[#This Row],[Winter Items Other]],Table_NFI[Winter Items Other])</f>
        <v>0</v>
      </c>
      <c r="AL270" s="264">
        <f>IF(NFI_Expiration=1,IF($A270&lt;VLOOKUP(M$5,NFI,5,0),1,0)*Table_NFI[[#This Row],[Winter Blanket]],Table_NFI[[#This Row],[Winter Blanket]])</f>
        <v>0</v>
      </c>
      <c r="AM270" s="264">
        <f>IF(Table_NFI[[#This Row],[Winter Clothes Adult]]+Table_NFI[[#This Row],[Winter Clothes Children]]+Table_NFI[[#This Row],[Winter Items Other]]+Table_NFI[[#This Row],[Winter Blanket]]&gt;0,1,0)</f>
        <v>1</v>
      </c>
      <c r="AN270" s="296">
        <f>IF(NFI_Expiration=1,IF($A270&lt;VLOOKUP(V$5,NFI,5,0),1,0)*Table_NFI[[#This Row],[Jerry Can]],Table_NFI[Jerry Can])</f>
        <v>0</v>
      </c>
      <c r="AO270" s="296">
        <f>IF(NFI_Expiration=1,IF($A270&lt;VLOOKUP(V$5,NFI,5,0),1,0)*Table_NFI[[#This Row],[Shelter Tool kit]],Table_NFI[Shelter Tool kit])</f>
        <v>0</v>
      </c>
      <c r="AP270" s="296">
        <f>IF(NFI_Expiration=1,IF($A270&lt;VLOOKUP(V$5,NFI,5,0),1,0)*Table_NFI[[#This Row],[Tent]],Table_NFI[Tent])</f>
        <v>0</v>
      </c>
      <c r="AQ270" s="396" t="str">
        <f>IFERROR(VLOOKUP(Table_NFI[[#This Row],[Camp Name]],CL,2,0),"")</f>
        <v>MMR001CMP225</v>
      </c>
      <c r="AR270" s="702">
        <f ca="1">IF(Table_NFI[[#This Row],[Pcode]]="","",IF(OFFSET(CampList[Opening Date],MATCH(Table_NFI[[#This Row],[Pcode]],CampList[CP_Pcode],0)-1,0,1,1)&gt;=NFI_Monitor_Date,1,0))</f>
        <v>0</v>
      </c>
      <c r="AS270" s="396" t="str">
        <f>IFERROR(VLOOKUP(Table_NFI[[#This Row],[Camp Name]],CL,3,0),"")</f>
        <v>Open</v>
      </c>
      <c r="AT270" s="264" t="str">
        <f ca="1">IF(Table_NFI[[#This Row],[Pcode]]="","",OFFSET(CampList[Priority],MATCH(Table_NFI[[#This Row],[Pcode]],CampList[CP_Pcode],0)-1,0,1,1))</f>
        <v>P1</v>
      </c>
      <c r="AU270" s="263">
        <f>IFERROR(Table_NFI[[#This Row],[Kitchen Set]]/VLOOKUP(Table_NFI[[#This Row],[Camp Name]],CL,4,0),"")</f>
        <v>0</v>
      </c>
      <c r="AV270" s="390"/>
      <c r="AW270" s="407"/>
      <c r="AX270" s="399"/>
      <c r="AY270" s="399"/>
      <c r="AZ270" s="399"/>
      <c r="BA270" s="399"/>
      <c r="BB270" s="399"/>
      <c r="BC270" s="399"/>
      <c r="BD270" s="399"/>
      <c r="BE270" s="399"/>
      <c r="BF270" s="399"/>
      <c r="BG270" s="399"/>
      <c r="BH270" s="399"/>
      <c r="BI270" s="399"/>
      <c r="BJ270" s="399"/>
      <c r="BK270" s="399"/>
      <c r="BL270" s="399"/>
      <c r="BM270" s="399"/>
      <c r="BN270" s="399"/>
      <c r="BO270" s="399"/>
      <c r="BP270" s="399"/>
      <c r="BQ270" s="399"/>
      <c r="BR270" s="399"/>
      <c r="BS270" s="399"/>
      <c r="BT270" s="399"/>
      <c r="BU270" s="399"/>
      <c r="BV270" s="399"/>
      <c r="BW270" s="399"/>
      <c r="BX270" s="399"/>
      <c r="BY270" s="399"/>
      <c r="BZ270" s="399"/>
      <c r="CA270" s="399"/>
      <c r="CB270" s="399"/>
      <c r="CC270" s="399"/>
      <c r="CD270" s="399"/>
      <c r="CE270" s="399"/>
      <c r="CF270" s="399"/>
      <c r="CG270" s="399"/>
      <c r="CH270" s="399"/>
      <c r="CI270" s="399"/>
      <c r="CJ270" s="399"/>
      <c r="CK270" s="399"/>
      <c r="CL270" s="399"/>
      <c r="CM270" s="399"/>
      <c r="CN270" s="399"/>
      <c r="CO270" s="399"/>
      <c r="CP270" s="399"/>
      <c r="CQ270" s="399"/>
      <c r="CR270" s="399"/>
      <c r="CS270" s="399"/>
      <c r="CT270" s="399"/>
      <c r="CU270" s="399"/>
      <c r="CV270" s="399"/>
      <c r="CW270" s="399"/>
      <c r="CX270" s="399"/>
      <c r="CY270" s="399"/>
      <c r="CZ270" s="399"/>
      <c r="DA270" s="399"/>
      <c r="DB270" s="399"/>
      <c r="DC270" s="399"/>
      <c r="DD270" s="399"/>
      <c r="DE270" s="399"/>
      <c r="DF270" s="399"/>
      <c r="DG270" s="399"/>
      <c r="DH270" s="399"/>
      <c r="DI270" s="399"/>
      <c r="DJ270" s="399"/>
      <c r="DK270" s="399"/>
      <c r="DL270" s="399"/>
      <c r="DM270" s="399"/>
      <c r="DN270" s="399"/>
      <c r="DO270" s="399"/>
      <c r="DP270" s="399"/>
      <c r="DQ270" s="399"/>
    </row>
    <row r="271" spans="1:121" s="760" customFormat="1" ht="15" customHeight="1" x14ac:dyDescent="0.25">
      <c r="A271" s="266">
        <f t="shared" si="4"/>
        <v>27.966666666666665</v>
      </c>
      <c r="B271" s="389">
        <v>42017</v>
      </c>
      <c r="C271" s="390" t="s">
        <v>1089</v>
      </c>
      <c r="D271" s="390" t="s">
        <v>899</v>
      </c>
      <c r="E271" s="390" t="s">
        <v>380</v>
      </c>
      <c r="F271" s="390" t="s">
        <v>185</v>
      </c>
      <c r="G271" s="390" t="s">
        <v>225</v>
      </c>
      <c r="H271" s="261"/>
      <c r="I271" s="261"/>
      <c r="J271" s="261"/>
      <c r="K271" s="261"/>
      <c r="L271" s="261"/>
      <c r="M271" s="261"/>
      <c r="N271" s="261"/>
      <c r="O271" s="261"/>
      <c r="P271" s="261"/>
      <c r="Q271" s="261"/>
      <c r="R271" s="261">
        <v>155</v>
      </c>
      <c r="S271" s="261">
        <v>73</v>
      </c>
      <c r="T271" s="261"/>
      <c r="U271" s="261">
        <v>96</v>
      </c>
      <c r="V271" s="762"/>
      <c r="W271" s="261"/>
      <c r="X271" s="261"/>
      <c r="Y271" s="264">
        <f>IF(NFI_Expiration=1,IF($A271&lt;VLOOKUP(H$5,NFI,5,0),1,0)*Table_NFI[[#This Row],[Hygiene Kit]],Table_NFI[Hygiene Kit])</f>
        <v>0</v>
      </c>
      <c r="Z271" s="264">
        <f>IF(NFI_Expiration=1,IF($A271&lt;VLOOKUP(I$5,NFI,5,0),1,0)*Table_NFI[[#This Row],[NFI Core Kit]],Table_NFI[NFI Core Kit])</f>
        <v>0</v>
      </c>
      <c r="AA271" s="264">
        <f>IF(NFI_Expiration=1,IF($A271&lt;VLOOKUP(J$5,NFI,5,0),1,0)*Table_NFI[[#This Row],[Sanitary Kit]],Table_NFI[Sanitary Kit])</f>
        <v>0</v>
      </c>
      <c r="AB271" s="264">
        <f>IF(NFI_Expiration=1,IF($A271&lt;VLOOKUP(K$5,NFI,5,0),1,0)*Table_NFI[[#This Row],[Mosquito net]],Table_NFI[Mosquito net])</f>
        <v>0</v>
      </c>
      <c r="AC271" s="264">
        <f>IF(NFI_Expiration=1,IF($A271&lt;VLOOKUP(L$5,NFI,5,0),1,0)*Table_NFI[[#This Row],[Tarpaulin]],Table_NFI[[#This Row],[Tarpaulin]])</f>
        <v>0</v>
      </c>
      <c r="AD271" s="264">
        <f>IF(NFI_Expiration=1,IF($A271&lt;VLOOKUP(M$5,NFI,5,0),1,0)*Table_NFI[[#This Row],[Blanket]],Table_NFI[[#This Row],[Blanket]])</f>
        <v>0</v>
      </c>
      <c r="AE271" s="264">
        <f>IF(NFI_Expiration=1,IF($A271&lt;VLOOKUP(N$5,NFI,5,0),1,0)*Table_NFI[[#This Row],[Kitchen Set]],Table_NFI[Kitchen Set])</f>
        <v>0</v>
      </c>
      <c r="AF271" s="264">
        <f>IF(NFI_Expiration=1,IF($A271&lt;VLOOKUP(O$5,NFI,5,0),1,0)*Table_NFI[[#This Row],[Clothes Kit]],Table_NFI[Clothes Kit])</f>
        <v>0</v>
      </c>
      <c r="AG271" s="264">
        <f>IF(NFI_Expiration=1,IF($A271&lt;VLOOKUP(P$5,NFI,5,0),1,0)*Table_NFI[[#This Row],[Plastic Bucket]],Table_NFI[Plastic Bucket])</f>
        <v>0</v>
      </c>
      <c r="AH271" s="264">
        <f>IF(NFI_Expiration=1,IF($A271&lt;VLOOKUP(Q$5,NFI,5,0),1,0)*Table_NFI[[#This Row],[Plastic Mat]],Table_NFI[Plastic Mat])*IF(Table_NFI[[#This Row],[Distribution Date]]&gt;"2014-04-01",1,2.5)</f>
        <v>0</v>
      </c>
      <c r="AI271" s="264">
        <f>IF(NFI_Expiration=1,IF($A271&lt;VLOOKUP(R$5,NFI,5,0),1,0)*Table_NFI[[#This Row],[Winter Clothes Adult]],Table_NFI[Winter Clothes Adult])</f>
        <v>0</v>
      </c>
      <c r="AJ271" s="264">
        <f>IF(NFI_Expiration=1,IF($A271&lt;VLOOKUP(S$5,NFI,5,0),1,0)*Table_NFI[[#This Row],[Winter Clothes Children]],Table_NFI[Winter Clothes Children])</f>
        <v>0</v>
      </c>
      <c r="AK271" s="264">
        <f>IF(NFI_Expiration=1,IF($A271&lt;VLOOKUP(T$5,NFI,5,0),1,0)*Table_NFI[[#This Row],[Winter Items Other]],Table_NFI[Winter Items Other])</f>
        <v>0</v>
      </c>
      <c r="AL271" s="264">
        <f>IF(NFI_Expiration=1,IF($A271&lt;VLOOKUP(M$5,NFI,5,0),1,0)*Table_NFI[[#This Row],[Winter Blanket]],Table_NFI[[#This Row],[Winter Blanket]])</f>
        <v>0</v>
      </c>
      <c r="AM271" s="264">
        <f>IF(Table_NFI[[#This Row],[Winter Clothes Adult]]+Table_NFI[[#This Row],[Winter Clothes Children]]+Table_NFI[[#This Row],[Winter Items Other]]+Table_NFI[[#This Row],[Winter Blanket]]&gt;0,1,0)</f>
        <v>1</v>
      </c>
      <c r="AN271" s="296">
        <f>IF(NFI_Expiration=1,IF($A271&lt;VLOOKUP(V$5,NFI,5,0),1,0)*Table_NFI[[#This Row],[Jerry Can]],Table_NFI[Jerry Can])</f>
        <v>0</v>
      </c>
      <c r="AO271" s="296">
        <f>IF(NFI_Expiration=1,IF($A271&lt;VLOOKUP(V$5,NFI,5,0),1,0)*Table_NFI[[#This Row],[Shelter Tool kit]],Table_NFI[Shelter Tool kit])</f>
        <v>0</v>
      </c>
      <c r="AP271" s="296">
        <f>IF(NFI_Expiration=1,IF($A271&lt;VLOOKUP(V$5,NFI,5,0),1,0)*Table_NFI[[#This Row],[Tent]],Table_NFI[Tent])</f>
        <v>0</v>
      </c>
      <c r="AQ271" s="396" t="str">
        <f>IFERROR(VLOOKUP(Table_NFI[[#This Row],[Camp Name]],CL,2,0),"")</f>
        <v>MMR001CMP073</v>
      </c>
      <c r="AR271" s="702">
        <f ca="1">IF(Table_NFI[[#This Row],[Pcode]]="","",IF(OFFSET(CampList[Opening Date],MATCH(Table_NFI[[#This Row],[Pcode]],CampList[CP_Pcode],0)-1,0,1,1)&gt;=NFI_Monitor_Date,1,0))</f>
        <v>0</v>
      </c>
      <c r="AS271" s="396" t="str">
        <f>IFERROR(VLOOKUP(Table_NFI[[#This Row],[Camp Name]],CL,3,0),"")</f>
        <v>Open</v>
      </c>
      <c r="AT271" s="264" t="str">
        <f ca="1">IF(Table_NFI[[#This Row],[Pcode]]="","",OFFSET(CampList[Priority],MATCH(Table_NFI[[#This Row],[Pcode]],CampList[CP_Pcode],0)-1,0,1,1))</f>
        <v>P3</v>
      </c>
      <c r="AU271" s="263">
        <f>IFERROR(Table_NFI[[#This Row],[Kitchen Set]]/VLOOKUP(Table_NFI[[#This Row],[Camp Name]],CL,4,0),"")</f>
        <v>0</v>
      </c>
      <c r="AV271" s="390"/>
      <c r="AW271" s="407"/>
      <c r="AX271" s="399"/>
      <c r="AY271" s="399"/>
      <c r="AZ271" s="399"/>
      <c r="BA271" s="399"/>
      <c r="BB271" s="399"/>
      <c r="BC271" s="399"/>
      <c r="BD271" s="399"/>
      <c r="BE271" s="399"/>
      <c r="BF271" s="399"/>
      <c r="BG271" s="399"/>
      <c r="BH271" s="399"/>
      <c r="BI271" s="399"/>
      <c r="BJ271" s="399"/>
      <c r="BK271" s="399"/>
      <c r="BL271" s="399"/>
      <c r="BM271" s="399"/>
      <c r="BN271" s="399"/>
      <c r="BO271" s="399"/>
      <c r="BP271" s="399"/>
      <c r="BQ271" s="399"/>
      <c r="BR271" s="399"/>
      <c r="BS271" s="399"/>
      <c r="BT271" s="399"/>
      <c r="BU271" s="399"/>
      <c r="BV271" s="399"/>
      <c r="BW271" s="399"/>
      <c r="BX271" s="399"/>
      <c r="BY271" s="399"/>
      <c r="BZ271" s="399"/>
      <c r="CA271" s="399"/>
      <c r="CB271" s="399"/>
      <c r="CC271" s="399"/>
      <c r="CD271" s="399"/>
      <c r="CE271" s="399"/>
      <c r="CF271" s="399"/>
      <c r="CG271" s="399"/>
      <c r="CH271" s="399"/>
      <c r="CI271" s="399"/>
      <c r="CJ271" s="399"/>
      <c r="CK271" s="399"/>
      <c r="CL271" s="399"/>
      <c r="CM271" s="399"/>
      <c r="CN271" s="399"/>
      <c r="CO271" s="399"/>
      <c r="CP271" s="399"/>
      <c r="CQ271" s="399"/>
      <c r="CR271" s="399"/>
      <c r="CS271" s="399"/>
      <c r="CT271" s="399"/>
      <c r="CU271" s="399"/>
      <c r="CV271" s="399"/>
      <c r="CW271" s="399"/>
      <c r="CX271" s="399"/>
      <c r="CY271" s="399"/>
      <c r="CZ271" s="399"/>
      <c r="DA271" s="399"/>
      <c r="DB271" s="399"/>
      <c r="DC271" s="399"/>
      <c r="DD271" s="399"/>
      <c r="DE271" s="399"/>
      <c r="DF271" s="399"/>
      <c r="DG271" s="399"/>
      <c r="DH271" s="399"/>
      <c r="DI271" s="399"/>
      <c r="DJ271" s="399"/>
      <c r="DK271" s="399"/>
      <c r="DL271" s="399"/>
      <c r="DM271" s="399"/>
      <c r="DN271" s="399"/>
      <c r="DO271" s="399"/>
      <c r="DP271" s="399"/>
      <c r="DQ271" s="399"/>
    </row>
    <row r="272" spans="1:121" s="760" customFormat="1" ht="14.45" customHeight="1" x14ac:dyDescent="0.25">
      <c r="A272" s="266">
        <f t="shared" si="4"/>
        <v>27.966666666666665</v>
      </c>
      <c r="B272" s="389">
        <v>42017</v>
      </c>
      <c r="C272" s="390" t="s">
        <v>1089</v>
      </c>
      <c r="D272" s="390" t="s">
        <v>899</v>
      </c>
      <c r="E272" s="390" t="s">
        <v>380</v>
      </c>
      <c r="F272" s="390" t="s">
        <v>807</v>
      </c>
      <c r="G272" s="390" t="s">
        <v>807</v>
      </c>
      <c r="H272" s="261"/>
      <c r="I272" s="261"/>
      <c r="J272" s="261"/>
      <c r="K272" s="261"/>
      <c r="L272" s="261"/>
      <c r="M272" s="261"/>
      <c r="N272" s="261"/>
      <c r="O272" s="261"/>
      <c r="P272" s="261"/>
      <c r="Q272" s="261"/>
      <c r="R272" s="261">
        <v>91</v>
      </c>
      <c r="S272" s="261">
        <v>32</v>
      </c>
      <c r="T272" s="261"/>
      <c r="U272" s="261">
        <v>36</v>
      </c>
      <c r="V272" s="762"/>
      <c r="W272" s="261"/>
      <c r="X272" s="261"/>
      <c r="Y272" s="264">
        <f>IF(NFI_Expiration=1,IF($A272&lt;VLOOKUP(H$5,NFI,5,0),1,0)*Table_NFI[[#This Row],[Hygiene Kit]],Table_NFI[Hygiene Kit])</f>
        <v>0</v>
      </c>
      <c r="Z272" s="264">
        <f>IF(NFI_Expiration=1,IF($A272&lt;VLOOKUP(I$5,NFI,5,0),1,0)*Table_NFI[[#This Row],[NFI Core Kit]],Table_NFI[NFI Core Kit])</f>
        <v>0</v>
      </c>
      <c r="AA272" s="264">
        <f>IF(NFI_Expiration=1,IF($A272&lt;VLOOKUP(J$5,NFI,5,0),1,0)*Table_NFI[[#This Row],[Sanitary Kit]],Table_NFI[Sanitary Kit])</f>
        <v>0</v>
      </c>
      <c r="AB272" s="264">
        <f>IF(NFI_Expiration=1,IF($A272&lt;VLOOKUP(K$5,NFI,5,0),1,0)*Table_NFI[[#This Row],[Mosquito net]],Table_NFI[Mosquito net])</f>
        <v>0</v>
      </c>
      <c r="AC272" s="264">
        <f>IF(NFI_Expiration=1,IF($A272&lt;VLOOKUP(L$5,NFI,5,0),1,0)*Table_NFI[[#This Row],[Tarpaulin]],Table_NFI[[#This Row],[Tarpaulin]])</f>
        <v>0</v>
      </c>
      <c r="AD272" s="264">
        <f>IF(NFI_Expiration=1,IF($A272&lt;VLOOKUP(M$5,NFI,5,0),1,0)*Table_NFI[[#This Row],[Blanket]],Table_NFI[[#This Row],[Blanket]])</f>
        <v>0</v>
      </c>
      <c r="AE272" s="264">
        <f>IF(NFI_Expiration=1,IF($A272&lt;VLOOKUP(N$5,NFI,5,0),1,0)*Table_NFI[[#This Row],[Kitchen Set]],Table_NFI[Kitchen Set])</f>
        <v>0</v>
      </c>
      <c r="AF272" s="264">
        <f>IF(NFI_Expiration=1,IF($A272&lt;VLOOKUP(O$5,NFI,5,0),1,0)*Table_NFI[[#This Row],[Clothes Kit]],Table_NFI[Clothes Kit])</f>
        <v>0</v>
      </c>
      <c r="AG272" s="264">
        <f>IF(NFI_Expiration=1,IF($A272&lt;VLOOKUP(P$5,NFI,5,0),1,0)*Table_NFI[[#This Row],[Plastic Bucket]],Table_NFI[Plastic Bucket])</f>
        <v>0</v>
      </c>
      <c r="AH272" s="264">
        <f>IF(NFI_Expiration=1,IF($A272&lt;VLOOKUP(Q$5,NFI,5,0),1,0)*Table_NFI[[#This Row],[Plastic Mat]],Table_NFI[Plastic Mat])*IF(Table_NFI[[#This Row],[Distribution Date]]&gt;"2014-04-01",1,2.5)</f>
        <v>0</v>
      </c>
      <c r="AI272" s="264">
        <f>IF(NFI_Expiration=1,IF($A272&lt;VLOOKUP(R$5,NFI,5,0),1,0)*Table_NFI[[#This Row],[Winter Clothes Adult]],Table_NFI[Winter Clothes Adult])</f>
        <v>0</v>
      </c>
      <c r="AJ272" s="264">
        <f>IF(NFI_Expiration=1,IF($A272&lt;VLOOKUP(S$5,NFI,5,0),1,0)*Table_NFI[[#This Row],[Winter Clothes Children]],Table_NFI[Winter Clothes Children])</f>
        <v>0</v>
      </c>
      <c r="AK272" s="264">
        <f>IF(NFI_Expiration=1,IF($A272&lt;VLOOKUP(T$5,NFI,5,0),1,0)*Table_NFI[[#This Row],[Winter Items Other]],Table_NFI[Winter Items Other])</f>
        <v>0</v>
      </c>
      <c r="AL272" s="264">
        <f>IF(NFI_Expiration=1,IF($A272&lt;VLOOKUP(M$5,NFI,5,0),1,0)*Table_NFI[[#This Row],[Winter Blanket]],Table_NFI[[#This Row],[Winter Blanket]])</f>
        <v>0</v>
      </c>
      <c r="AM272" s="264">
        <f>IF(Table_NFI[[#This Row],[Winter Clothes Adult]]+Table_NFI[[#This Row],[Winter Clothes Children]]+Table_NFI[[#This Row],[Winter Items Other]]+Table_NFI[[#This Row],[Winter Blanket]]&gt;0,1,0)</f>
        <v>1</v>
      </c>
      <c r="AN272" s="296">
        <f>IF(NFI_Expiration=1,IF($A272&lt;VLOOKUP(V$5,NFI,5,0),1,0)*Table_NFI[[#This Row],[Jerry Can]],Table_NFI[Jerry Can])</f>
        <v>0</v>
      </c>
      <c r="AO272" s="296">
        <f>IF(NFI_Expiration=1,IF($A272&lt;VLOOKUP(V$5,NFI,5,0),1,0)*Table_NFI[[#This Row],[Shelter Tool kit]],Table_NFI[Shelter Tool kit])</f>
        <v>0</v>
      </c>
      <c r="AP272" s="296">
        <f>IF(NFI_Expiration=1,IF($A272&lt;VLOOKUP(V$5,NFI,5,0),1,0)*Table_NFI[[#This Row],[Tent]],Table_NFI[Tent])</f>
        <v>0</v>
      </c>
      <c r="AQ272" s="396" t="str">
        <f>IFERROR(VLOOKUP(Table_NFI[[#This Row],[Camp Name]],CL,2,0),"")</f>
        <v>MMR001CMP206</v>
      </c>
      <c r="AR272" s="702">
        <f ca="1">IF(Table_NFI[[#This Row],[Pcode]]="","",IF(OFFSET(CampList[Opening Date],MATCH(Table_NFI[[#This Row],[Pcode]],CampList[CP_Pcode],0)-1,0,1,1)&gt;=NFI_Monitor_Date,1,0))</f>
        <v>0</v>
      </c>
      <c r="AS272" s="396" t="str">
        <f>IFERROR(VLOOKUP(Table_NFI[[#This Row],[Camp Name]],CL,3,0),"")</f>
        <v>Open</v>
      </c>
      <c r="AT272" s="264" t="str">
        <f ca="1">IF(Table_NFI[[#This Row],[Pcode]]="","",OFFSET(CampList[Priority],MATCH(Table_NFI[[#This Row],[Pcode]],CampList[CP_Pcode],0)-1,0,1,1))</f>
        <v>P4</v>
      </c>
      <c r="AU272" s="263" t="str">
        <f>IFERROR(Table_NFI[[#This Row],[Kitchen Set]]/VLOOKUP(Table_NFI[[#This Row],[Camp Name]],CL,4,0),"")</f>
        <v/>
      </c>
      <c r="AV272" s="390"/>
      <c r="AW272" s="407"/>
      <c r="AX272" s="399"/>
      <c r="AY272" s="399"/>
      <c r="AZ272" s="399"/>
      <c r="BA272" s="399"/>
      <c r="BB272" s="399"/>
      <c r="BC272" s="399"/>
      <c r="BD272" s="399"/>
      <c r="BE272" s="399"/>
      <c r="BF272" s="399"/>
      <c r="BG272" s="399"/>
      <c r="BH272" s="399"/>
      <c r="BI272" s="399"/>
      <c r="BJ272" s="399"/>
      <c r="BK272" s="399"/>
      <c r="BL272" s="399"/>
      <c r="BM272" s="399"/>
      <c r="BN272" s="399"/>
      <c r="BO272" s="399"/>
      <c r="BP272" s="399"/>
      <c r="BQ272" s="399"/>
      <c r="BR272" s="399"/>
      <c r="BS272" s="399"/>
      <c r="BT272" s="399"/>
      <c r="BU272" s="399"/>
      <c r="BV272" s="399"/>
      <c r="BW272" s="399"/>
      <c r="BX272" s="399"/>
      <c r="BY272" s="399"/>
      <c r="BZ272" s="399"/>
      <c r="CA272" s="399"/>
      <c r="CB272" s="399"/>
      <c r="CC272" s="399"/>
      <c r="CD272" s="399"/>
      <c r="CE272" s="399"/>
      <c r="CF272" s="399"/>
      <c r="CG272" s="399"/>
      <c r="CH272" s="399"/>
      <c r="CI272" s="399"/>
      <c r="CJ272" s="399"/>
      <c r="CK272" s="399"/>
      <c r="CL272" s="399"/>
      <c r="CM272" s="399"/>
      <c r="CN272" s="399"/>
      <c r="CO272" s="399"/>
      <c r="CP272" s="399"/>
      <c r="CQ272" s="399"/>
      <c r="CR272" s="399"/>
      <c r="CS272" s="399"/>
      <c r="CT272" s="399"/>
      <c r="CU272" s="399"/>
      <c r="CV272" s="399"/>
      <c r="CW272" s="399"/>
      <c r="CX272" s="399"/>
      <c r="CY272" s="399"/>
      <c r="CZ272" s="399"/>
      <c r="DA272" s="399"/>
      <c r="DB272" s="399"/>
      <c r="DC272" s="399"/>
      <c r="DD272" s="399"/>
      <c r="DE272" s="399"/>
      <c r="DF272" s="399"/>
      <c r="DG272" s="399"/>
      <c r="DH272" s="399"/>
      <c r="DI272" s="399"/>
      <c r="DJ272" s="399"/>
      <c r="DK272" s="399"/>
      <c r="DL272" s="399"/>
      <c r="DM272" s="399"/>
      <c r="DN272" s="399"/>
      <c r="DO272" s="399"/>
      <c r="DP272" s="399"/>
      <c r="DQ272" s="399"/>
    </row>
    <row r="273" spans="1:121" s="760" customFormat="1" ht="14.45" customHeight="1" x14ac:dyDescent="0.25">
      <c r="A273" s="266">
        <f t="shared" si="4"/>
        <v>27.966666666666665</v>
      </c>
      <c r="B273" s="389">
        <v>42017</v>
      </c>
      <c r="C273" s="394" t="s">
        <v>451</v>
      </c>
      <c r="D273" s="394" t="s">
        <v>504</v>
      </c>
      <c r="E273" s="394" t="s">
        <v>380</v>
      </c>
      <c r="F273" s="394" t="s">
        <v>237</v>
      </c>
      <c r="G273" s="394" t="s">
        <v>1232</v>
      </c>
      <c r="H273" s="261"/>
      <c r="I273" s="261"/>
      <c r="J273" s="261"/>
      <c r="K273" s="261"/>
      <c r="L273" s="261">
        <v>2</v>
      </c>
      <c r="M273" s="261"/>
      <c r="N273" s="261"/>
      <c r="O273" s="261"/>
      <c r="P273" s="261"/>
      <c r="Q273" s="261"/>
      <c r="R273" s="261"/>
      <c r="S273" s="261"/>
      <c r="T273" s="261"/>
      <c r="U273" s="261"/>
      <c r="V273" s="762"/>
      <c r="W273" s="261"/>
      <c r="X273" s="261"/>
      <c r="Y273" s="264">
        <f>IF(NFI_Expiration=1,IF($A273&lt;VLOOKUP(H$5,NFI,5,0),1,0)*Table_NFI[[#This Row],[Hygiene Kit]],Table_NFI[Hygiene Kit])</f>
        <v>0</v>
      </c>
      <c r="Z273" s="264">
        <f>IF(NFI_Expiration=1,IF($A273&lt;VLOOKUP(I$5,NFI,5,0),1,0)*Table_NFI[[#This Row],[NFI Core Kit]],Table_NFI[NFI Core Kit])</f>
        <v>0</v>
      </c>
      <c r="AA273" s="264">
        <f>IF(NFI_Expiration=1,IF($A273&lt;VLOOKUP(J$5,NFI,5,0),1,0)*Table_NFI[[#This Row],[Sanitary Kit]],Table_NFI[Sanitary Kit])</f>
        <v>0</v>
      </c>
      <c r="AB273" s="264">
        <f>IF(NFI_Expiration=1,IF($A273&lt;VLOOKUP(K$5,NFI,5,0),1,0)*Table_NFI[[#This Row],[Mosquito net]],Table_NFI[Mosquito net])</f>
        <v>0</v>
      </c>
      <c r="AC273" s="264">
        <f>IF(NFI_Expiration=1,IF($A273&lt;VLOOKUP(L$5,NFI,5,0),1,0)*Table_NFI[[#This Row],[Tarpaulin]],Table_NFI[[#This Row],[Tarpaulin]])</f>
        <v>0</v>
      </c>
      <c r="AD273" s="264">
        <f>IF(NFI_Expiration=1,IF($A273&lt;VLOOKUP(M$5,NFI,5,0),1,0)*Table_NFI[[#This Row],[Blanket]],Table_NFI[[#This Row],[Blanket]])</f>
        <v>0</v>
      </c>
      <c r="AE273" s="264">
        <f>IF(NFI_Expiration=1,IF($A273&lt;VLOOKUP(N$5,NFI,5,0),1,0)*Table_NFI[[#This Row],[Kitchen Set]],Table_NFI[Kitchen Set])</f>
        <v>0</v>
      </c>
      <c r="AF273" s="264">
        <f>IF(NFI_Expiration=1,IF($A273&lt;VLOOKUP(O$5,NFI,5,0),1,0)*Table_NFI[[#This Row],[Clothes Kit]],Table_NFI[Clothes Kit])</f>
        <v>0</v>
      </c>
      <c r="AG273" s="264">
        <f>IF(NFI_Expiration=1,IF($A273&lt;VLOOKUP(P$5,NFI,5,0),1,0)*Table_NFI[[#This Row],[Plastic Bucket]],Table_NFI[Plastic Bucket])</f>
        <v>0</v>
      </c>
      <c r="AH273" s="264">
        <f>IF(NFI_Expiration=1,IF($A273&lt;VLOOKUP(Q$5,NFI,5,0),1,0)*Table_NFI[[#This Row],[Plastic Mat]],Table_NFI[Plastic Mat])*IF(Table_NFI[[#This Row],[Distribution Date]]&gt;"2014-04-01",1,2.5)</f>
        <v>0</v>
      </c>
      <c r="AI273" s="264">
        <f>IF(NFI_Expiration=1,IF($A273&lt;VLOOKUP(R$5,NFI,5,0),1,0)*Table_NFI[[#This Row],[Winter Clothes Adult]],Table_NFI[Winter Clothes Adult])</f>
        <v>0</v>
      </c>
      <c r="AJ273" s="264">
        <f>IF(NFI_Expiration=1,IF($A273&lt;VLOOKUP(S$5,NFI,5,0),1,0)*Table_NFI[[#This Row],[Winter Clothes Children]],Table_NFI[Winter Clothes Children])</f>
        <v>0</v>
      </c>
      <c r="AK273" s="264">
        <f>IF(NFI_Expiration=1,IF($A273&lt;VLOOKUP(T$5,NFI,5,0),1,0)*Table_NFI[[#This Row],[Winter Items Other]],Table_NFI[Winter Items Other])</f>
        <v>0</v>
      </c>
      <c r="AL273" s="264">
        <f>IF(NFI_Expiration=1,IF($A273&lt;VLOOKUP(M$5,NFI,5,0),1,0)*Table_NFI[[#This Row],[Winter Blanket]],Table_NFI[[#This Row],[Winter Blanket]])</f>
        <v>0</v>
      </c>
      <c r="AM273" s="264">
        <f>IF(Table_NFI[[#This Row],[Winter Clothes Adult]]+Table_NFI[[#This Row],[Winter Clothes Children]]+Table_NFI[[#This Row],[Winter Items Other]]+Table_NFI[[#This Row],[Winter Blanket]]&gt;0,1,0)</f>
        <v>0</v>
      </c>
      <c r="AN273" s="296">
        <f>IF(NFI_Expiration=1,IF($A273&lt;VLOOKUP(V$5,NFI,5,0),1,0)*Table_NFI[[#This Row],[Jerry Can]],Table_NFI[Jerry Can])</f>
        <v>0</v>
      </c>
      <c r="AO273" s="296">
        <f>IF(NFI_Expiration=1,IF($A273&lt;VLOOKUP(V$5,NFI,5,0),1,0)*Table_NFI[[#This Row],[Shelter Tool kit]],Table_NFI[Shelter Tool kit])</f>
        <v>0</v>
      </c>
      <c r="AP273" s="296">
        <f>IF(NFI_Expiration=1,IF($A273&lt;VLOOKUP(V$5,NFI,5,0),1,0)*Table_NFI[[#This Row],[Tent]],Table_NFI[Tent])</f>
        <v>0</v>
      </c>
      <c r="AQ273" s="396" t="str">
        <f>IFERROR(VLOOKUP(Table_NFI[[#This Row],[Camp Name]],CL,2,0),"")</f>
        <v>MMR001CMP023</v>
      </c>
      <c r="AR273" s="702">
        <f ca="1">IF(Table_NFI[[#This Row],[Pcode]]="","",IF(OFFSET(CampList[Opening Date],MATCH(Table_NFI[[#This Row],[Pcode]],CampList[CP_Pcode],0)-1,0,1,1)&gt;=NFI_Monitor_Date,1,0))</f>
        <v>0</v>
      </c>
      <c r="AS273" s="396" t="str">
        <f>IFERROR(VLOOKUP(Table_NFI[[#This Row],[Camp Name]],CL,3,0),"")</f>
        <v>Open</v>
      </c>
      <c r="AT273" s="264" t="str">
        <f ca="1">IF(Table_NFI[[#This Row],[Pcode]]="","",OFFSET(CampList[Priority],MATCH(Table_NFI[[#This Row],[Pcode]],CampList[CP_Pcode],0)-1,0,1,1))</f>
        <v>P4</v>
      </c>
      <c r="AU273" s="263">
        <f>IFERROR(Table_NFI[[#This Row],[Kitchen Set]]/VLOOKUP(Table_NFI[[#This Row],[Camp Name]],CL,4,0),"")</f>
        <v>0</v>
      </c>
      <c r="AV273" s="390" t="s">
        <v>1087</v>
      </c>
      <c r="AW273" s="397"/>
      <c r="AX273" s="399"/>
      <c r="AY273" s="399"/>
      <c r="AZ273" s="399"/>
      <c r="BA273" s="399"/>
      <c r="BB273" s="399"/>
      <c r="BC273" s="399"/>
      <c r="BD273" s="399"/>
      <c r="BE273" s="399"/>
      <c r="BF273" s="399"/>
      <c r="BG273" s="399"/>
      <c r="BH273" s="399"/>
      <c r="BI273" s="399"/>
      <c r="BJ273" s="399"/>
      <c r="BK273" s="399"/>
      <c r="BL273" s="399"/>
      <c r="BM273" s="399"/>
      <c r="BN273" s="399"/>
      <c r="BO273" s="399"/>
      <c r="BP273" s="399"/>
      <c r="BQ273" s="399"/>
      <c r="BR273" s="399"/>
      <c r="BS273" s="399"/>
      <c r="BT273" s="399"/>
      <c r="BU273" s="399"/>
      <c r="BV273" s="399"/>
      <c r="BW273" s="399"/>
      <c r="BX273" s="399"/>
      <c r="BY273" s="399"/>
      <c r="BZ273" s="399"/>
      <c r="CA273" s="399"/>
      <c r="CB273" s="399"/>
      <c r="CC273" s="399"/>
      <c r="CD273" s="399"/>
      <c r="CE273" s="399"/>
      <c r="CF273" s="399"/>
      <c r="CG273" s="399"/>
      <c r="CH273" s="399"/>
      <c r="CI273" s="399"/>
      <c r="CJ273" s="399"/>
      <c r="CK273" s="399"/>
      <c r="CL273" s="399"/>
      <c r="CM273" s="399"/>
      <c r="CN273" s="399"/>
      <c r="CO273" s="399"/>
      <c r="CP273" s="399"/>
      <c r="CQ273" s="399"/>
      <c r="CR273" s="399"/>
      <c r="CS273" s="399"/>
      <c r="CT273" s="399"/>
      <c r="CU273" s="399"/>
      <c r="CV273" s="399"/>
      <c r="CW273" s="399"/>
      <c r="CX273" s="399"/>
      <c r="CY273" s="399"/>
      <c r="CZ273" s="399"/>
      <c r="DA273" s="399"/>
      <c r="DB273" s="399"/>
      <c r="DC273" s="399"/>
      <c r="DD273" s="399"/>
      <c r="DE273" s="399"/>
      <c r="DF273" s="399"/>
      <c r="DG273" s="399"/>
      <c r="DH273" s="399"/>
      <c r="DI273" s="399"/>
      <c r="DJ273" s="399"/>
      <c r="DK273" s="399"/>
      <c r="DL273" s="399"/>
      <c r="DM273" s="399"/>
      <c r="DN273" s="399"/>
      <c r="DO273" s="399"/>
      <c r="DP273" s="399"/>
      <c r="DQ273" s="399"/>
    </row>
    <row r="274" spans="1:121" s="760" customFormat="1" ht="14.45" customHeight="1" x14ac:dyDescent="0.25">
      <c r="A274" s="266">
        <f t="shared" si="4"/>
        <v>27.966666666666665</v>
      </c>
      <c r="B274" s="389">
        <v>42017</v>
      </c>
      <c r="C274" s="390" t="s">
        <v>1089</v>
      </c>
      <c r="D274" s="390" t="s">
        <v>899</v>
      </c>
      <c r="E274" s="390" t="s">
        <v>380</v>
      </c>
      <c r="F274" s="390" t="s">
        <v>526</v>
      </c>
      <c r="G274" s="390" t="s">
        <v>126</v>
      </c>
      <c r="H274" s="261"/>
      <c r="I274" s="261"/>
      <c r="J274" s="261"/>
      <c r="K274" s="261"/>
      <c r="L274" s="261"/>
      <c r="M274" s="261"/>
      <c r="N274" s="261"/>
      <c r="O274" s="261"/>
      <c r="P274" s="261"/>
      <c r="Q274" s="261"/>
      <c r="R274" s="261">
        <v>94</v>
      </c>
      <c r="S274" s="261">
        <v>58</v>
      </c>
      <c r="T274" s="261"/>
      <c r="U274" s="261"/>
      <c r="V274" s="762"/>
      <c r="W274" s="261"/>
      <c r="X274" s="261"/>
      <c r="Y274" s="264">
        <f>IF(NFI_Expiration=1,IF($A274&lt;VLOOKUP(H$5,NFI,5,0),1,0)*Table_NFI[[#This Row],[Hygiene Kit]],Table_NFI[Hygiene Kit])</f>
        <v>0</v>
      </c>
      <c r="Z274" s="264">
        <f>IF(NFI_Expiration=1,IF($A274&lt;VLOOKUP(I$5,NFI,5,0),1,0)*Table_NFI[[#This Row],[NFI Core Kit]],Table_NFI[NFI Core Kit])</f>
        <v>0</v>
      </c>
      <c r="AA274" s="264">
        <f>IF(NFI_Expiration=1,IF($A274&lt;VLOOKUP(J$5,NFI,5,0),1,0)*Table_NFI[[#This Row],[Sanitary Kit]],Table_NFI[Sanitary Kit])</f>
        <v>0</v>
      </c>
      <c r="AB274" s="264">
        <f>IF(NFI_Expiration=1,IF($A274&lt;VLOOKUP(K$5,NFI,5,0),1,0)*Table_NFI[[#This Row],[Mosquito net]],Table_NFI[Mosquito net])</f>
        <v>0</v>
      </c>
      <c r="AC274" s="264">
        <f>IF(NFI_Expiration=1,IF($A274&lt;VLOOKUP(L$5,NFI,5,0),1,0)*Table_NFI[[#This Row],[Tarpaulin]],Table_NFI[[#This Row],[Tarpaulin]])</f>
        <v>0</v>
      </c>
      <c r="AD274" s="264">
        <f>IF(NFI_Expiration=1,IF($A274&lt;VLOOKUP(M$5,NFI,5,0),1,0)*Table_NFI[[#This Row],[Blanket]],Table_NFI[[#This Row],[Blanket]])</f>
        <v>0</v>
      </c>
      <c r="AE274" s="264">
        <f>IF(NFI_Expiration=1,IF($A274&lt;VLOOKUP(N$5,NFI,5,0),1,0)*Table_NFI[[#This Row],[Kitchen Set]],Table_NFI[Kitchen Set])</f>
        <v>0</v>
      </c>
      <c r="AF274" s="264">
        <f>IF(NFI_Expiration=1,IF($A274&lt;VLOOKUP(O$5,NFI,5,0),1,0)*Table_NFI[[#This Row],[Clothes Kit]],Table_NFI[Clothes Kit])</f>
        <v>0</v>
      </c>
      <c r="AG274" s="264">
        <f>IF(NFI_Expiration=1,IF($A274&lt;VLOOKUP(P$5,NFI,5,0),1,0)*Table_NFI[[#This Row],[Plastic Bucket]],Table_NFI[Plastic Bucket])</f>
        <v>0</v>
      </c>
      <c r="AH274" s="264">
        <f>IF(NFI_Expiration=1,IF($A274&lt;VLOOKUP(Q$5,NFI,5,0),1,0)*Table_NFI[[#This Row],[Plastic Mat]],Table_NFI[Plastic Mat])*IF(Table_NFI[[#This Row],[Distribution Date]]&gt;"2014-04-01",1,2.5)</f>
        <v>0</v>
      </c>
      <c r="AI274" s="264">
        <f>IF(NFI_Expiration=1,IF($A274&lt;VLOOKUP(R$5,NFI,5,0),1,0)*Table_NFI[[#This Row],[Winter Clothes Adult]],Table_NFI[Winter Clothes Adult])</f>
        <v>0</v>
      </c>
      <c r="AJ274" s="264">
        <f>IF(NFI_Expiration=1,IF($A274&lt;VLOOKUP(S$5,NFI,5,0),1,0)*Table_NFI[[#This Row],[Winter Clothes Children]],Table_NFI[Winter Clothes Children])</f>
        <v>0</v>
      </c>
      <c r="AK274" s="264">
        <f>IF(NFI_Expiration=1,IF($A274&lt;VLOOKUP(T$5,NFI,5,0),1,0)*Table_NFI[[#This Row],[Winter Items Other]],Table_NFI[Winter Items Other])</f>
        <v>0</v>
      </c>
      <c r="AL274" s="264">
        <f>IF(NFI_Expiration=1,IF($A274&lt;VLOOKUP(M$5,NFI,5,0),1,0)*Table_NFI[[#This Row],[Winter Blanket]],Table_NFI[[#This Row],[Winter Blanket]])</f>
        <v>0</v>
      </c>
      <c r="AM274" s="264">
        <f>IF(Table_NFI[[#This Row],[Winter Clothes Adult]]+Table_NFI[[#This Row],[Winter Clothes Children]]+Table_NFI[[#This Row],[Winter Items Other]]+Table_NFI[[#This Row],[Winter Blanket]]&gt;0,1,0)</f>
        <v>1</v>
      </c>
      <c r="AN274" s="296">
        <f>IF(NFI_Expiration=1,IF($A274&lt;VLOOKUP(V$5,NFI,5,0),1,0)*Table_NFI[[#This Row],[Jerry Can]],Table_NFI[Jerry Can])</f>
        <v>0</v>
      </c>
      <c r="AO274" s="296">
        <f>IF(NFI_Expiration=1,IF($A274&lt;VLOOKUP(V$5,NFI,5,0),1,0)*Table_NFI[[#This Row],[Shelter Tool kit]],Table_NFI[Shelter Tool kit])</f>
        <v>0</v>
      </c>
      <c r="AP274" s="296">
        <f>IF(NFI_Expiration=1,IF($A274&lt;VLOOKUP(V$5,NFI,5,0),1,0)*Table_NFI[[#This Row],[Tent]],Table_NFI[Tent])</f>
        <v>0</v>
      </c>
      <c r="AQ274" s="396" t="str">
        <f>IFERROR(VLOOKUP(Table_NFI[[#This Row],[Camp Name]],CL,2,0),"")</f>
        <v>MMR001CMP184</v>
      </c>
      <c r="AR274" s="702">
        <f ca="1">IF(Table_NFI[[#This Row],[Pcode]]="","",IF(OFFSET(CampList[Opening Date],MATCH(Table_NFI[[#This Row],[Pcode]],CampList[CP_Pcode],0)-1,0,1,1)&gt;=NFI_Monitor_Date,1,0))</f>
        <v>0</v>
      </c>
      <c r="AS274" s="396" t="str">
        <f>IFERROR(VLOOKUP(Table_NFI[[#This Row],[Camp Name]],CL,3,0),"")</f>
        <v>Open</v>
      </c>
      <c r="AT274" s="264" t="str">
        <f ca="1">IF(Table_NFI[[#This Row],[Pcode]]="","",OFFSET(CampList[Priority],MATCH(Table_NFI[[#This Row],[Pcode]],CampList[CP_Pcode],0)-1,0,1,1))</f>
        <v>P4</v>
      </c>
      <c r="AU274" s="263">
        <f>IFERROR(Table_NFI[[#This Row],[Kitchen Set]]/VLOOKUP(Table_NFI[[#This Row],[Camp Name]],CL,4,0),"")</f>
        <v>0</v>
      </c>
      <c r="AV274" s="390"/>
      <c r="AW274" s="407"/>
      <c r="AX274" s="399"/>
      <c r="AY274" s="399"/>
      <c r="AZ274" s="399"/>
      <c r="BA274" s="399"/>
      <c r="BB274" s="399"/>
      <c r="BC274" s="399"/>
      <c r="BD274" s="399"/>
      <c r="BE274" s="399"/>
      <c r="BF274" s="399"/>
      <c r="BG274" s="399"/>
      <c r="BH274" s="399"/>
      <c r="BI274" s="399"/>
      <c r="BJ274" s="399"/>
      <c r="BK274" s="399"/>
      <c r="BL274" s="399"/>
      <c r="BM274" s="399"/>
      <c r="BN274" s="399"/>
      <c r="BO274" s="399"/>
      <c r="BP274" s="399"/>
      <c r="BQ274" s="399"/>
      <c r="BR274" s="399"/>
      <c r="BS274" s="399"/>
      <c r="BT274" s="399"/>
      <c r="BU274" s="399"/>
      <c r="BV274" s="399"/>
      <c r="BW274" s="399"/>
      <c r="BX274" s="399"/>
      <c r="BY274" s="399"/>
      <c r="BZ274" s="399"/>
      <c r="CA274" s="399"/>
      <c r="CB274" s="399"/>
      <c r="CC274" s="399"/>
      <c r="CD274" s="399"/>
      <c r="CE274" s="399"/>
      <c r="CF274" s="399"/>
      <c r="CG274" s="399"/>
      <c r="CH274" s="399"/>
      <c r="CI274" s="399"/>
      <c r="CJ274" s="399"/>
      <c r="CK274" s="399"/>
      <c r="CL274" s="399"/>
      <c r="CM274" s="399"/>
      <c r="CN274" s="399"/>
      <c r="CO274" s="399"/>
      <c r="CP274" s="399"/>
      <c r="CQ274" s="399"/>
      <c r="CR274" s="399"/>
      <c r="CS274" s="399"/>
      <c r="CT274" s="399"/>
      <c r="CU274" s="399"/>
      <c r="CV274" s="399"/>
      <c r="CW274" s="399"/>
      <c r="CX274" s="399"/>
      <c r="CY274" s="399"/>
      <c r="CZ274" s="399"/>
      <c r="DA274" s="399"/>
      <c r="DB274" s="399"/>
      <c r="DC274" s="399"/>
      <c r="DD274" s="399"/>
      <c r="DE274" s="399"/>
      <c r="DF274" s="399"/>
      <c r="DG274" s="399"/>
      <c r="DH274" s="399"/>
      <c r="DI274" s="399"/>
      <c r="DJ274" s="399"/>
      <c r="DK274" s="399"/>
      <c r="DL274" s="399"/>
      <c r="DM274" s="399"/>
      <c r="DN274" s="399"/>
      <c r="DO274" s="399"/>
      <c r="DP274" s="399"/>
      <c r="DQ274" s="399"/>
    </row>
    <row r="275" spans="1:121" s="760" customFormat="1" ht="14.45" customHeight="1" x14ac:dyDescent="0.25">
      <c r="A275" s="266">
        <f t="shared" si="4"/>
        <v>27.966666666666665</v>
      </c>
      <c r="B275" s="389">
        <v>42017</v>
      </c>
      <c r="C275" s="390" t="s">
        <v>1089</v>
      </c>
      <c r="D275" s="390" t="s">
        <v>899</v>
      </c>
      <c r="E275" s="390" t="s">
        <v>380</v>
      </c>
      <c r="F275" s="390" t="s">
        <v>526</v>
      </c>
      <c r="G275" s="390" t="s">
        <v>140</v>
      </c>
      <c r="H275" s="261"/>
      <c r="I275" s="261"/>
      <c r="J275" s="261"/>
      <c r="K275" s="261"/>
      <c r="L275" s="261"/>
      <c r="M275" s="261"/>
      <c r="N275" s="261"/>
      <c r="O275" s="261"/>
      <c r="P275" s="261"/>
      <c r="Q275" s="261"/>
      <c r="R275" s="261">
        <v>33</v>
      </c>
      <c r="S275" s="261">
        <v>8</v>
      </c>
      <c r="T275" s="261"/>
      <c r="U275" s="261"/>
      <c r="V275" s="762"/>
      <c r="W275" s="261"/>
      <c r="X275" s="261"/>
      <c r="Y275" s="264">
        <f>IF(NFI_Expiration=1,IF($A275&lt;VLOOKUP(H$5,NFI,5,0),1,0)*Table_NFI[[#This Row],[Hygiene Kit]],Table_NFI[Hygiene Kit])</f>
        <v>0</v>
      </c>
      <c r="Z275" s="264">
        <f>IF(NFI_Expiration=1,IF($A275&lt;VLOOKUP(I$5,NFI,5,0),1,0)*Table_NFI[[#This Row],[NFI Core Kit]],Table_NFI[NFI Core Kit])</f>
        <v>0</v>
      </c>
      <c r="AA275" s="264">
        <f>IF(NFI_Expiration=1,IF($A275&lt;VLOOKUP(J$5,NFI,5,0),1,0)*Table_NFI[[#This Row],[Sanitary Kit]],Table_NFI[Sanitary Kit])</f>
        <v>0</v>
      </c>
      <c r="AB275" s="264">
        <f>IF(NFI_Expiration=1,IF($A275&lt;VLOOKUP(K$5,NFI,5,0),1,0)*Table_NFI[[#This Row],[Mosquito net]],Table_NFI[Mosquito net])</f>
        <v>0</v>
      </c>
      <c r="AC275" s="264">
        <f>IF(NFI_Expiration=1,IF($A275&lt;VLOOKUP(L$5,NFI,5,0),1,0)*Table_NFI[[#This Row],[Tarpaulin]],Table_NFI[[#This Row],[Tarpaulin]])</f>
        <v>0</v>
      </c>
      <c r="AD275" s="264">
        <f>IF(NFI_Expiration=1,IF($A275&lt;VLOOKUP(M$5,NFI,5,0),1,0)*Table_NFI[[#This Row],[Blanket]],Table_NFI[[#This Row],[Blanket]])</f>
        <v>0</v>
      </c>
      <c r="AE275" s="264">
        <f>IF(NFI_Expiration=1,IF($A275&lt;VLOOKUP(N$5,NFI,5,0),1,0)*Table_NFI[[#This Row],[Kitchen Set]],Table_NFI[Kitchen Set])</f>
        <v>0</v>
      </c>
      <c r="AF275" s="264">
        <f>IF(NFI_Expiration=1,IF($A275&lt;VLOOKUP(O$5,NFI,5,0),1,0)*Table_NFI[[#This Row],[Clothes Kit]],Table_NFI[Clothes Kit])</f>
        <v>0</v>
      </c>
      <c r="AG275" s="264">
        <f>IF(NFI_Expiration=1,IF($A275&lt;VLOOKUP(P$5,NFI,5,0),1,0)*Table_NFI[[#This Row],[Plastic Bucket]],Table_NFI[Plastic Bucket])</f>
        <v>0</v>
      </c>
      <c r="AH275" s="264">
        <f>IF(NFI_Expiration=1,IF($A275&lt;VLOOKUP(Q$5,NFI,5,0),1,0)*Table_NFI[[#This Row],[Plastic Mat]],Table_NFI[Plastic Mat])*IF(Table_NFI[[#This Row],[Distribution Date]]&gt;"2014-04-01",1,2.5)</f>
        <v>0</v>
      </c>
      <c r="AI275" s="264">
        <f>IF(NFI_Expiration=1,IF($A275&lt;VLOOKUP(R$5,NFI,5,0),1,0)*Table_NFI[[#This Row],[Winter Clothes Adult]],Table_NFI[Winter Clothes Adult])</f>
        <v>0</v>
      </c>
      <c r="AJ275" s="264">
        <f>IF(NFI_Expiration=1,IF($A275&lt;VLOOKUP(S$5,NFI,5,0),1,0)*Table_NFI[[#This Row],[Winter Clothes Children]],Table_NFI[Winter Clothes Children])</f>
        <v>0</v>
      </c>
      <c r="AK275" s="264">
        <f>IF(NFI_Expiration=1,IF($A275&lt;VLOOKUP(T$5,NFI,5,0),1,0)*Table_NFI[[#This Row],[Winter Items Other]],Table_NFI[Winter Items Other])</f>
        <v>0</v>
      </c>
      <c r="AL275" s="264">
        <f>IF(NFI_Expiration=1,IF($A275&lt;VLOOKUP(M$5,NFI,5,0),1,0)*Table_NFI[[#This Row],[Winter Blanket]],Table_NFI[[#This Row],[Winter Blanket]])</f>
        <v>0</v>
      </c>
      <c r="AM275" s="264">
        <f>IF(Table_NFI[[#This Row],[Winter Clothes Adult]]+Table_NFI[[#This Row],[Winter Clothes Children]]+Table_NFI[[#This Row],[Winter Items Other]]+Table_NFI[[#This Row],[Winter Blanket]]&gt;0,1,0)</f>
        <v>1</v>
      </c>
      <c r="AN275" s="296">
        <f>IF(NFI_Expiration=1,IF($A275&lt;VLOOKUP(V$5,NFI,5,0),1,0)*Table_NFI[[#This Row],[Jerry Can]],Table_NFI[Jerry Can])</f>
        <v>0</v>
      </c>
      <c r="AO275" s="296">
        <f>IF(NFI_Expiration=1,IF($A275&lt;VLOOKUP(V$5,NFI,5,0),1,0)*Table_NFI[[#This Row],[Shelter Tool kit]],Table_NFI[Shelter Tool kit])</f>
        <v>0</v>
      </c>
      <c r="AP275" s="296">
        <f>IF(NFI_Expiration=1,IF($A275&lt;VLOOKUP(V$5,NFI,5,0),1,0)*Table_NFI[[#This Row],[Tent]],Table_NFI[Tent])</f>
        <v>0</v>
      </c>
      <c r="AQ275" s="396" t="str">
        <f>IFERROR(VLOOKUP(Table_NFI[[#This Row],[Camp Name]],CL,2,0),"")</f>
        <v>MMR001CMP105</v>
      </c>
      <c r="AR275" s="702">
        <f ca="1">IF(Table_NFI[[#This Row],[Pcode]]="","",IF(OFFSET(CampList[Opening Date],MATCH(Table_NFI[[#This Row],[Pcode]],CampList[CP_Pcode],0)-1,0,1,1)&gt;=NFI_Monitor_Date,1,0))</f>
        <v>0</v>
      </c>
      <c r="AS275" s="396" t="str">
        <f>IFERROR(VLOOKUP(Table_NFI[[#This Row],[Camp Name]],CL,3,0),"")</f>
        <v>Open</v>
      </c>
      <c r="AT275" s="264" t="str">
        <f ca="1">IF(Table_NFI[[#This Row],[Pcode]]="","",OFFSET(CampList[Priority],MATCH(Table_NFI[[#This Row],[Pcode]],CampList[CP_Pcode],0)-1,0,1,1))</f>
        <v>P4</v>
      </c>
      <c r="AU275" s="263">
        <f>IFERROR(Table_NFI[[#This Row],[Kitchen Set]]/VLOOKUP(Table_NFI[[#This Row],[Camp Name]],CL,4,0),"")</f>
        <v>0</v>
      </c>
      <c r="AV275" s="390"/>
      <c r="AW275" s="407"/>
      <c r="AX275" s="399"/>
      <c r="AY275" s="399"/>
      <c r="AZ275" s="399"/>
      <c r="BA275" s="399"/>
      <c r="BB275" s="399"/>
      <c r="BC275" s="399"/>
      <c r="BD275" s="399"/>
      <c r="BE275" s="399"/>
      <c r="BF275" s="399"/>
      <c r="BG275" s="399"/>
      <c r="BH275" s="399"/>
      <c r="BI275" s="399"/>
      <c r="BJ275" s="399"/>
      <c r="BK275" s="399"/>
      <c r="BL275" s="399"/>
      <c r="BM275" s="399"/>
      <c r="BN275" s="399"/>
      <c r="BO275" s="399"/>
      <c r="BP275" s="399"/>
      <c r="BQ275" s="399"/>
      <c r="BR275" s="399"/>
      <c r="BS275" s="399"/>
      <c r="BT275" s="399"/>
      <c r="BU275" s="399"/>
      <c r="BV275" s="399"/>
      <c r="BW275" s="399"/>
      <c r="BX275" s="399"/>
      <c r="BY275" s="399"/>
      <c r="BZ275" s="399"/>
      <c r="CA275" s="399"/>
      <c r="CB275" s="399"/>
      <c r="CC275" s="399"/>
      <c r="CD275" s="399"/>
      <c r="CE275" s="399"/>
      <c r="CF275" s="399"/>
      <c r="CG275" s="399"/>
      <c r="CH275" s="399"/>
      <c r="CI275" s="399"/>
      <c r="CJ275" s="399"/>
      <c r="CK275" s="399"/>
      <c r="CL275" s="399"/>
      <c r="CM275" s="399"/>
      <c r="CN275" s="399"/>
      <c r="CO275" s="399"/>
      <c r="CP275" s="399"/>
      <c r="CQ275" s="399"/>
      <c r="CR275" s="399"/>
      <c r="CS275" s="399"/>
      <c r="CT275" s="399"/>
      <c r="CU275" s="399"/>
      <c r="CV275" s="399"/>
      <c r="CW275" s="399"/>
      <c r="CX275" s="399"/>
      <c r="CY275" s="399"/>
      <c r="CZ275" s="399"/>
      <c r="DA275" s="399"/>
      <c r="DB275" s="399"/>
      <c r="DC275" s="399"/>
      <c r="DD275" s="399"/>
      <c r="DE275" s="399"/>
      <c r="DF275" s="399"/>
      <c r="DG275" s="399"/>
      <c r="DH275" s="399"/>
      <c r="DI275" s="399"/>
      <c r="DJ275" s="399"/>
      <c r="DK275" s="399"/>
      <c r="DL275" s="399"/>
      <c r="DM275" s="399"/>
      <c r="DN275" s="399"/>
      <c r="DO275" s="399"/>
      <c r="DP275" s="399"/>
      <c r="DQ275" s="399"/>
    </row>
    <row r="276" spans="1:121" s="760" customFormat="1" ht="14.45" customHeight="1" x14ac:dyDescent="0.25">
      <c r="A276" s="266">
        <f t="shared" si="4"/>
        <v>28.066666666666666</v>
      </c>
      <c r="B276" s="389">
        <v>42014</v>
      </c>
      <c r="C276" s="390" t="s">
        <v>451</v>
      </c>
      <c r="D276" s="394" t="s">
        <v>451</v>
      </c>
      <c r="E276" s="394" t="s">
        <v>380</v>
      </c>
      <c r="F276" s="394" t="s">
        <v>300</v>
      </c>
      <c r="G276" s="394" t="s">
        <v>889</v>
      </c>
      <c r="H276" s="261"/>
      <c r="I276" s="261"/>
      <c r="J276" s="261">
        <v>55</v>
      </c>
      <c r="K276" s="261">
        <v>110</v>
      </c>
      <c r="L276" s="261">
        <v>55</v>
      </c>
      <c r="M276" s="261">
        <v>110</v>
      </c>
      <c r="N276" s="261">
        <v>55</v>
      </c>
      <c r="O276" s="261"/>
      <c r="P276" s="261">
        <v>55</v>
      </c>
      <c r="Q276" s="261">
        <v>275</v>
      </c>
      <c r="R276" s="261"/>
      <c r="S276" s="261"/>
      <c r="T276" s="261"/>
      <c r="U276" s="261"/>
      <c r="V276" s="762">
        <v>55</v>
      </c>
      <c r="W276" s="261"/>
      <c r="X276" s="261"/>
      <c r="Y276" s="264">
        <f>IF(NFI_Expiration=1,IF($A276&lt;VLOOKUP(H$5,NFI,5,0),1,0)*Table_NFI[[#This Row],[Hygiene Kit]],Table_NFI[Hygiene Kit])</f>
        <v>0</v>
      </c>
      <c r="Z276" s="264">
        <f>IF(NFI_Expiration=1,IF($A276&lt;VLOOKUP(I$5,NFI,5,0),1,0)*Table_NFI[[#This Row],[NFI Core Kit]],Table_NFI[NFI Core Kit])</f>
        <v>0</v>
      </c>
      <c r="AA276" s="264">
        <f>IF(NFI_Expiration=1,IF($A276&lt;VLOOKUP(J$5,NFI,5,0),1,0)*Table_NFI[[#This Row],[Sanitary Kit]],Table_NFI[Sanitary Kit])</f>
        <v>0</v>
      </c>
      <c r="AB276" s="264">
        <f>IF(NFI_Expiration=1,IF($A276&lt;VLOOKUP(K$5,NFI,5,0),1,0)*Table_NFI[[#This Row],[Mosquito net]],Table_NFI[Mosquito net])</f>
        <v>0</v>
      </c>
      <c r="AC276" s="264">
        <f>IF(NFI_Expiration=1,IF($A276&lt;VLOOKUP(L$5,NFI,5,0),1,0)*Table_NFI[[#This Row],[Tarpaulin]],Table_NFI[[#This Row],[Tarpaulin]])</f>
        <v>0</v>
      </c>
      <c r="AD276" s="264">
        <f>IF(NFI_Expiration=1,IF($A276&lt;VLOOKUP(M$5,NFI,5,0),1,0)*Table_NFI[[#This Row],[Blanket]],Table_NFI[[#This Row],[Blanket]])</f>
        <v>0</v>
      </c>
      <c r="AE276" s="264">
        <f>IF(NFI_Expiration=1,IF($A276&lt;VLOOKUP(N$5,NFI,5,0),1,0)*Table_NFI[[#This Row],[Kitchen Set]],Table_NFI[Kitchen Set])</f>
        <v>0</v>
      </c>
      <c r="AF276" s="264">
        <f>IF(NFI_Expiration=1,IF($A276&lt;VLOOKUP(O$5,NFI,5,0),1,0)*Table_NFI[[#This Row],[Clothes Kit]],Table_NFI[Clothes Kit])</f>
        <v>0</v>
      </c>
      <c r="AG276" s="264">
        <f>IF(NFI_Expiration=1,IF($A276&lt;VLOOKUP(P$5,NFI,5,0),1,0)*Table_NFI[[#This Row],[Plastic Bucket]],Table_NFI[Plastic Bucket])</f>
        <v>0</v>
      </c>
      <c r="AH276" s="264">
        <f>IF(NFI_Expiration=1,IF($A276&lt;VLOOKUP(Q$5,NFI,5,0),1,0)*Table_NFI[[#This Row],[Plastic Mat]],Table_NFI[Plastic Mat])*IF(Table_NFI[[#This Row],[Distribution Date]]&gt;"2014-04-01",1,2.5)</f>
        <v>0</v>
      </c>
      <c r="AI276" s="264">
        <f>IF(NFI_Expiration=1,IF($A276&lt;VLOOKUP(R$5,NFI,5,0),1,0)*Table_NFI[[#This Row],[Winter Clothes Adult]],Table_NFI[Winter Clothes Adult])</f>
        <v>0</v>
      </c>
      <c r="AJ276" s="264">
        <f>IF(NFI_Expiration=1,IF($A276&lt;VLOOKUP(S$5,NFI,5,0),1,0)*Table_NFI[[#This Row],[Winter Clothes Children]],Table_NFI[Winter Clothes Children])</f>
        <v>0</v>
      </c>
      <c r="AK276" s="264">
        <f>IF(NFI_Expiration=1,IF($A276&lt;VLOOKUP(T$5,NFI,5,0),1,0)*Table_NFI[[#This Row],[Winter Items Other]],Table_NFI[Winter Items Other])</f>
        <v>0</v>
      </c>
      <c r="AL276" s="264">
        <f>IF(NFI_Expiration=1,IF($A276&lt;VLOOKUP(M$5,NFI,5,0),1,0)*Table_NFI[[#This Row],[Winter Blanket]],Table_NFI[[#This Row],[Winter Blanket]])</f>
        <v>0</v>
      </c>
      <c r="AM276" s="264">
        <f>IF(Table_NFI[[#This Row],[Winter Clothes Adult]]+Table_NFI[[#This Row],[Winter Clothes Children]]+Table_NFI[[#This Row],[Winter Items Other]]+Table_NFI[[#This Row],[Winter Blanket]]&gt;0,1,0)</f>
        <v>0</v>
      </c>
      <c r="AN276" s="296">
        <f>IF(NFI_Expiration=1,IF($A276&lt;VLOOKUP(V$5,NFI,5,0),1,0)*Table_NFI[[#This Row],[Jerry Can]],Table_NFI[Jerry Can])</f>
        <v>0</v>
      </c>
      <c r="AO276" s="296">
        <f>IF(NFI_Expiration=1,IF($A276&lt;VLOOKUP(V$5,NFI,5,0),1,0)*Table_NFI[[#This Row],[Shelter Tool kit]],Table_NFI[Shelter Tool kit])</f>
        <v>0</v>
      </c>
      <c r="AP276" s="296">
        <f>IF(NFI_Expiration=1,IF($A276&lt;VLOOKUP(V$5,NFI,5,0),1,0)*Table_NFI[[#This Row],[Tent]],Table_NFI[Tent])</f>
        <v>0</v>
      </c>
      <c r="AQ276" s="396" t="str">
        <f>IFERROR(VLOOKUP(Table_NFI[[#This Row],[Camp Name]],CL,2,0),"")</f>
        <v>MMR001CMP220</v>
      </c>
      <c r="AR276" s="702">
        <f ca="1">IF(Table_NFI[[#This Row],[Pcode]]="","",IF(OFFSET(CampList[Opening Date],MATCH(Table_NFI[[#This Row],[Pcode]],CampList[CP_Pcode],0)-1,0,1,1)&gt;=NFI_Monitor_Date,1,0))</f>
        <v>0</v>
      </c>
      <c r="AS276" s="396" t="str">
        <f>IFERROR(VLOOKUP(Table_NFI[[#This Row],[Camp Name]],CL,3,0),"")</f>
        <v>Closed</v>
      </c>
      <c r="AT276" s="264" t="str">
        <f ca="1">IF(Table_NFI[[#This Row],[Pcode]]="","",OFFSET(CampList[Priority],MATCH(Table_NFI[[#This Row],[Pcode]],CampList[CP_Pcode],0)-1,0,1,1))</f>
        <v>P3</v>
      </c>
      <c r="AU276" s="263">
        <f>IFERROR(Table_NFI[[#This Row],[Kitchen Set]]/VLOOKUP(Table_NFI[[#This Row],[Camp Name]],CL,4,0),"")</f>
        <v>1.3257164895027359E-3</v>
      </c>
      <c r="AV276" s="390" t="s">
        <v>1087</v>
      </c>
      <c r="AW276" s="392"/>
      <c r="AX276" s="399"/>
      <c r="AY276" s="399"/>
      <c r="AZ276" s="399"/>
      <c r="BA276" s="399"/>
      <c r="BB276" s="399"/>
      <c r="BC276" s="399"/>
      <c r="BD276" s="399"/>
      <c r="BE276" s="399"/>
      <c r="BF276" s="399"/>
      <c r="BG276" s="399"/>
      <c r="BH276" s="399"/>
      <c r="BI276" s="399"/>
      <c r="BJ276" s="399"/>
      <c r="BK276" s="399"/>
      <c r="BL276" s="399"/>
      <c r="BM276" s="399"/>
      <c r="BN276" s="399"/>
      <c r="BO276" s="399"/>
      <c r="BP276" s="399"/>
      <c r="BQ276" s="399"/>
      <c r="BR276" s="399"/>
      <c r="BS276" s="399"/>
      <c r="BT276" s="399"/>
      <c r="BU276" s="399"/>
      <c r="BV276" s="399"/>
      <c r="BW276" s="399"/>
      <c r="BX276" s="399"/>
      <c r="BY276" s="399"/>
      <c r="BZ276" s="399"/>
      <c r="CA276" s="399"/>
      <c r="CB276" s="399"/>
      <c r="CC276" s="399"/>
      <c r="CD276" s="399"/>
      <c r="CE276" s="399"/>
      <c r="CF276" s="399"/>
      <c r="CG276" s="399"/>
      <c r="CH276" s="399"/>
      <c r="CI276" s="399"/>
      <c r="CJ276" s="399"/>
      <c r="CK276" s="399"/>
      <c r="CL276" s="399"/>
      <c r="CM276" s="399"/>
      <c r="CN276" s="399"/>
      <c r="CO276" s="399"/>
      <c r="CP276" s="399"/>
      <c r="CQ276" s="399"/>
      <c r="CR276" s="399"/>
      <c r="CS276" s="399"/>
      <c r="CT276" s="399"/>
      <c r="CU276" s="399"/>
      <c r="CV276" s="399"/>
      <c r="CW276" s="399"/>
      <c r="CX276" s="399"/>
      <c r="CY276" s="399"/>
      <c r="CZ276" s="399"/>
      <c r="DA276" s="399"/>
      <c r="DB276" s="399"/>
      <c r="DC276" s="399"/>
      <c r="DD276" s="399"/>
      <c r="DE276" s="399"/>
      <c r="DF276" s="399"/>
      <c r="DG276" s="399"/>
      <c r="DH276" s="399"/>
      <c r="DI276" s="399"/>
      <c r="DJ276" s="399"/>
      <c r="DK276" s="399"/>
      <c r="DL276" s="399"/>
      <c r="DM276" s="399"/>
      <c r="DN276" s="399"/>
      <c r="DO276" s="399"/>
      <c r="DP276" s="399"/>
      <c r="DQ276" s="399"/>
    </row>
    <row r="277" spans="1:121" s="760" customFormat="1" ht="15" customHeight="1" x14ac:dyDescent="0.25">
      <c r="A277" s="266">
        <f t="shared" si="4"/>
        <v>28.366666666666667</v>
      </c>
      <c r="B277" s="389">
        <v>42005</v>
      </c>
      <c r="C277" s="394" t="s">
        <v>451</v>
      </c>
      <c r="D277" s="394" t="s">
        <v>459</v>
      </c>
      <c r="E277" s="394" t="s">
        <v>380</v>
      </c>
      <c r="F277" s="394" t="s">
        <v>310</v>
      </c>
      <c r="G277" s="394" t="s">
        <v>347</v>
      </c>
      <c r="H277" s="261"/>
      <c r="I277" s="261"/>
      <c r="J277" s="261"/>
      <c r="K277" s="261"/>
      <c r="L277" s="261"/>
      <c r="M277" s="261"/>
      <c r="N277" s="261">
        <v>50</v>
      </c>
      <c r="O277" s="261"/>
      <c r="P277" s="261"/>
      <c r="Q277" s="261"/>
      <c r="R277" s="261"/>
      <c r="S277" s="261"/>
      <c r="T277" s="261"/>
      <c r="U277" s="261"/>
      <c r="V277" s="762"/>
      <c r="W277" s="261"/>
      <c r="X277" s="261">
        <v>90</v>
      </c>
      <c r="Y277" s="264">
        <f>IF(NFI_Expiration=1,IF($A277&lt;VLOOKUP(H$5,NFI,5,0),1,0)*Table_NFI[[#This Row],[Hygiene Kit]],Table_NFI[Hygiene Kit])</f>
        <v>0</v>
      </c>
      <c r="Z277" s="264">
        <f>IF(NFI_Expiration=1,IF($A277&lt;VLOOKUP(I$5,NFI,5,0),1,0)*Table_NFI[[#This Row],[NFI Core Kit]],Table_NFI[NFI Core Kit])</f>
        <v>0</v>
      </c>
      <c r="AA277" s="264">
        <f>IF(NFI_Expiration=1,IF($A277&lt;VLOOKUP(J$5,NFI,5,0),1,0)*Table_NFI[[#This Row],[Sanitary Kit]],Table_NFI[Sanitary Kit])</f>
        <v>0</v>
      </c>
      <c r="AB277" s="264">
        <f>IF(NFI_Expiration=1,IF($A277&lt;VLOOKUP(K$5,NFI,5,0),1,0)*Table_NFI[[#This Row],[Mosquito net]],Table_NFI[Mosquito net])</f>
        <v>0</v>
      </c>
      <c r="AC277" s="264">
        <f>IF(NFI_Expiration=1,IF($A277&lt;VLOOKUP(L$5,NFI,5,0),1,0)*Table_NFI[[#This Row],[Tarpaulin]],Table_NFI[[#This Row],[Tarpaulin]])</f>
        <v>0</v>
      </c>
      <c r="AD277" s="264">
        <f>IF(NFI_Expiration=1,IF($A277&lt;VLOOKUP(M$5,NFI,5,0),1,0)*Table_NFI[[#This Row],[Blanket]],Table_NFI[[#This Row],[Blanket]])</f>
        <v>0</v>
      </c>
      <c r="AE277" s="264">
        <f>IF(NFI_Expiration=1,IF($A277&lt;VLOOKUP(N$5,NFI,5,0),1,0)*Table_NFI[[#This Row],[Kitchen Set]],Table_NFI[Kitchen Set])</f>
        <v>0</v>
      </c>
      <c r="AF277" s="264">
        <f>IF(NFI_Expiration=1,IF($A277&lt;VLOOKUP(O$5,NFI,5,0),1,0)*Table_NFI[[#This Row],[Clothes Kit]],Table_NFI[Clothes Kit])</f>
        <v>0</v>
      </c>
      <c r="AG277" s="264">
        <f>IF(NFI_Expiration=1,IF($A277&lt;VLOOKUP(P$5,NFI,5,0),1,0)*Table_NFI[[#This Row],[Plastic Bucket]],Table_NFI[Plastic Bucket])</f>
        <v>0</v>
      </c>
      <c r="AH277" s="264">
        <f>IF(NFI_Expiration=1,IF($A277&lt;VLOOKUP(Q$5,NFI,5,0),1,0)*Table_NFI[[#This Row],[Plastic Mat]],Table_NFI[Plastic Mat])*IF(Table_NFI[[#This Row],[Distribution Date]]&gt;"2014-04-01",1,2.5)</f>
        <v>0</v>
      </c>
      <c r="AI277" s="264">
        <f>IF(NFI_Expiration=1,IF($A277&lt;VLOOKUP(R$5,NFI,5,0),1,0)*Table_NFI[[#This Row],[Winter Clothes Adult]],Table_NFI[Winter Clothes Adult])</f>
        <v>0</v>
      </c>
      <c r="AJ277" s="264">
        <f>IF(NFI_Expiration=1,IF($A277&lt;VLOOKUP(S$5,NFI,5,0),1,0)*Table_NFI[[#This Row],[Winter Clothes Children]],Table_NFI[Winter Clothes Children])</f>
        <v>0</v>
      </c>
      <c r="AK277" s="264">
        <f>IF(NFI_Expiration=1,IF($A277&lt;VLOOKUP(T$5,NFI,5,0),1,0)*Table_NFI[[#This Row],[Winter Items Other]],Table_NFI[Winter Items Other])</f>
        <v>0</v>
      </c>
      <c r="AL277" s="264">
        <f>IF(NFI_Expiration=1,IF($A277&lt;VLOOKUP(M$5,NFI,5,0),1,0)*Table_NFI[[#This Row],[Winter Blanket]],Table_NFI[[#This Row],[Winter Blanket]])</f>
        <v>0</v>
      </c>
      <c r="AM277" s="264">
        <f>IF(Table_NFI[[#This Row],[Winter Clothes Adult]]+Table_NFI[[#This Row],[Winter Clothes Children]]+Table_NFI[[#This Row],[Winter Items Other]]+Table_NFI[[#This Row],[Winter Blanket]]&gt;0,1,0)</f>
        <v>0</v>
      </c>
      <c r="AN277" s="296">
        <f>IF(NFI_Expiration=1,IF($A277&lt;VLOOKUP(V$5,NFI,5,0),1,0)*Table_NFI[[#This Row],[Jerry Can]],Table_NFI[Jerry Can])</f>
        <v>0</v>
      </c>
      <c r="AO277" s="296">
        <f>IF(NFI_Expiration=1,IF($A277&lt;VLOOKUP(V$5,NFI,5,0),1,0)*Table_NFI[[#This Row],[Shelter Tool kit]],Table_NFI[Shelter Tool kit])</f>
        <v>0</v>
      </c>
      <c r="AP277" s="296">
        <f>IF(NFI_Expiration=1,IF($A277&lt;VLOOKUP(V$5,NFI,5,0),1,0)*Table_NFI[[#This Row],[Tent]],Table_NFI[Tent])</f>
        <v>0</v>
      </c>
      <c r="AQ277" s="396" t="str">
        <f>IFERROR(VLOOKUP(Table_NFI[[#This Row],[Camp Name]],CL,2,0),"")</f>
        <v>MMR001CMP041</v>
      </c>
      <c r="AR277" s="702">
        <f ca="1">IF(Table_NFI[[#This Row],[Pcode]]="","",IF(OFFSET(CampList[Opening Date],MATCH(Table_NFI[[#This Row],[Pcode]],CampList[CP_Pcode],0)-1,0,1,1)&gt;=NFI_Monitor_Date,1,0))</f>
        <v>0</v>
      </c>
      <c r="AS277" s="396" t="str">
        <f>IFERROR(VLOOKUP(Table_NFI[[#This Row],[Camp Name]],CL,3,0),"")</f>
        <v>Open</v>
      </c>
      <c r="AT277" s="264" t="str">
        <f ca="1">IF(Table_NFI[[#This Row],[Pcode]]="","",OFFSET(CampList[Priority],MATCH(Table_NFI[[#This Row],[Pcode]],CampList[CP_Pcode],0)-1,0,1,1))</f>
        <v>P1</v>
      </c>
      <c r="AU277" s="263">
        <f>IFERROR(Table_NFI[[#This Row],[Kitchen Set]]/VLOOKUP(Table_NFI[[#This Row],[Camp Name]],CL,4,0),"")</f>
        <v>1.2240501370936153E-3</v>
      </c>
      <c r="AV277" s="390" t="s">
        <v>1087</v>
      </c>
      <c r="AW277" s="397"/>
      <c r="AX277" s="399"/>
      <c r="AY277" s="399"/>
      <c r="AZ277" s="399"/>
      <c r="BA277" s="399"/>
      <c r="BB277" s="399"/>
      <c r="BC277" s="399"/>
      <c r="BD277" s="399"/>
      <c r="BE277" s="399"/>
      <c r="BF277" s="399"/>
      <c r="BG277" s="399"/>
      <c r="BH277" s="399"/>
      <c r="BI277" s="399"/>
      <c r="BJ277" s="399"/>
      <c r="BK277" s="399"/>
      <c r="BL277" s="399"/>
      <c r="BM277" s="399"/>
      <c r="BN277" s="399"/>
      <c r="BO277" s="399"/>
      <c r="BP277" s="399"/>
      <c r="BQ277" s="399"/>
      <c r="BR277" s="399"/>
      <c r="BS277" s="399"/>
      <c r="BT277" s="399"/>
      <c r="BU277" s="399"/>
      <c r="BV277" s="399"/>
      <c r="BW277" s="399"/>
      <c r="BX277" s="399"/>
      <c r="BY277" s="399"/>
      <c r="BZ277" s="399"/>
      <c r="CA277" s="399"/>
      <c r="CB277" s="399"/>
      <c r="CC277" s="399"/>
      <c r="CD277" s="399"/>
      <c r="CE277" s="399"/>
      <c r="CF277" s="399"/>
      <c r="CG277" s="399"/>
      <c r="CH277" s="399"/>
      <c r="CI277" s="399"/>
      <c r="CJ277" s="399"/>
      <c r="CK277" s="399"/>
      <c r="CL277" s="399"/>
      <c r="CM277" s="399"/>
      <c r="CN277" s="399"/>
      <c r="CO277" s="399"/>
      <c r="CP277" s="399"/>
      <c r="CQ277" s="399"/>
      <c r="CR277" s="399"/>
      <c r="CS277" s="399"/>
      <c r="CT277" s="399"/>
      <c r="CU277" s="399"/>
      <c r="CV277" s="399"/>
      <c r="CW277" s="399"/>
      <c r="CX277" s="399"/>
      <c r="CY277" s="399"/>
      <c r="CZ277" s="399"/>
      <c r="DA277" s="399"/>
      <c r="DB277" s="399"/>
      <c r="DC277" s="399"/>
      <c r="DD277" s="399"/>
      <c r="DE277" s="399"/>
      <c r="DF277" s="399"/>
      <c r="DG277" s="399"/>
      <c r="DH277" s="399"/>
      <c r="DI277" s="399"/>
      <c r="DJ277" s="399"/>
      <c r="DK277" s="399"/>
      <c r="DL277" s="399"/>
      <c r="DM277" s="399"/>
      <c r="DN277" s="399"/>
      <c r="DO277" s="399"/>
      <c r="DP277" s="399"/>
      <c r="DQ277" s="399"/>
    </row>
    <row r="278" spans="1:121" s="760" customFormat="1" ht="14.45" customHeight="1" x14ac:dyDescent="0.25">
      <c r="A278" s="266">
        <f t="shared" si="4"/>
        <v>28.433333333333334</v>
      </c>
      <c r="B278" s="389">
        <v>42003</v>
      </c>
      <c r="C278" s="390" t="s">
        <v>451</v>
      </c>
      <c r="D278" s="390" t="s">
        <v>459</v>
      </c>
      <c r="E278" s="390" t="s">
        <v>380</v>
      </c>
      <c r="F278" s="390" t="s">
        <v>310</v>
      </c>
      <c r="G278" s="390" t="s">
        <v>347</v>
      </c>
      <c r="H278" s="261"/>
      <c r="I278" s="261"/>
      <c r="J278" s="261">
        <v>120</v>
      </c>
      <c r="K278" s="261">
        <v>240</v>
      </c>
      <c r="L278" s="261">
        <v>135</v>
      </c>
      <c r="M278" s="261">
        <v>240</v>
      </c>
      <c r="N278" s="261">
        <v>170</v>
      </c>
      <c r="O278" s="261">
        <v>120</v>
      </c>
      <c r="P278" s="261">
        <v>120</v>
      </c>
      <c r="Q278" s="261">
        <v>600</v>
      </c>
      <c r="R278" s="261"/>
      <c r="S278" s="261"/>
      <c r="T278" s="261"/>
      <c r="U278" s="261"/>
      <c r="V278" s="762"/>
      <c r="W278" s="261"/>
      <c r="X278" s="261"/>
      <c r="Y278" s="264">
        <f>IF(NFI_Expiration=1,IF($A278&lt;VLOOKUP(H$5,NFI,5,0),1,0)*Table_NFI[[#This Row],[Hygiene Kit]],Table_NFI[Hygiene Kit])</f>
        <v>0</v>
      </c>
      <c r="Z278" s="264">
        <f>IF(NFI_Expiration=1,IF($A278&lt;VLOOKUP(I$5,NFI,5,0),1,0)*Table_NFI[[#This Row],[NFI Core Kit]],Table_NFI[NFI Core Kit])</f>
        <v>0</v>
      </c>
      <c r="AA278" s="264">
        <f>IF(NFI_Expiration=1,IF($A278&lt;VLOOKUP(J$5,NFI,5,0),1,0)*Table_NFI[[#This Row],[Sanitary Kit]],Table_NFI[Sanitary Kit])</f>
        <v>0</v>
      </c>
      <c r="AB278" s="264">
        <f>IF(NFI_Expiration=1,IF($A278&lt;VLOOKUP(K$5,NFI,5,0),1,0)*Table_NFI[[#This Row],[Mosquito net]],Table_NFI[Mosquito net])</f>
        <v>0</v>
      </c>
      <c r="AC278" s="264">
        <f>IF(NFI_Expiration=1,IF($A278&lt;VLOOKUP(L$5,NFI,5,0),1,0)*Table_NFI[[#This Row],[Tarpaulin]],Table_NFI[[#This Row],[Tarpaulin]])</f>
        <v>0</v>
      </c>
      <c r="AD278" s="264">
        <f>IF(NFI_Expiration=1,IF($A278&lt;VLOOKUP(M$5,NFI,5,0),1,0)*Table_NFI[[#This Row],[Blanket]],Table_NFI[[#This Row],[Blanket]])</f>
        <v>0</v>
      </c>
      <c r="AE278" s="264">
        <f>IF(NFI_Expiration=1,IF($A278&lt;VLOOKUP(N$5,NFI,5,0),1,0)*Table_NFI[[#This Row],[Kitchen Set]],Table_NFI[Kitchen Set])</f>
        <v>0</v>
      </c>
      <c r="AF278" s="264">
        <f>IF(NFI_Expiration=1,IF($A278&lt;VLOOKUP(O$5,NFI,5,0),1,0)*Table_NFI[[#This Row],[Clothes Kit]],Table_NFI[Clothes Kit])</f>
        <v>0</v>
      </c>
      <c r="AG278" s="264">
        <f>IF(NFI_Expiration=1,IF($A278&lt;VLOOKUP(P$5,NFI,5,0),1,0)*Table_NFI[[#This Row],[Plastic Bucket]],Table_NFI[Plastic Bucket])</f>
        <v>0</v>
      </c>
      <c r="AH278" s="264">
        <f>IF(NFI_Expiration=1,IF($A278&lt;VLOOKUP(Q$5,NFI,5,0),1,0)*Table_NFI[[#This Row],[Plastic Mat]],Table_NFI[Plastic Mat])*IF(Table_NFI[[#This Row],[Distribution Date]]&gt;"2014-04-01",1,2.5)</f>
        <v>0</v>
      </c>
      <c r="AI278" s="264">
        <f>IF(NFI_Expiration=1,IF($A278&lt;VLOOKUP(R$5,NFI,5,0),1,0)*Table_NFI[[#This Row],[Winter Clothes Adult]],Table_NFI[Winter Clothes Adult])</f>
        <v>0</v>
      </c>
      <c r="AJ278" s="264">
        <f>IF(NFI_Expiration=1,IF($A278&lt;VLOOKUP(S$5,NFI,5,0),1,0)*Table_NFI[[#This Row],[Winter Clothes Children]],Table_NFI[Winter Clothes Children])</f>
        <v>0</v>
      </c>
      <c r="AK278" s="264">
        <f>IF(NFI_Expiration=1,IF($A278&lt;VLOOKUP(T$5,NFI,5,0),1,0)*Table_NFI[[#This Row],[Winter Items Other]],Table_NFI[Winter Items Other])</f>
        <v>0</v>
      </c>
      <c r="AL278" s="264">
        <f>IF(NFI_Expiration=1,IF($A278&lt;VLOOKUP(M$5,NFI,5,0),1,0)*Table_NFI[[#This Row],[Winter Blanket]],Table_NFI[[#This Row],[Winter Blanket]])</f>
        <v>0</v>
      </c>
      <c r="AM278" s="264">
        <f>IF(Table_NFI[[#This Row],[Winter Clothes Adult]]+Table_NFI[[#This Row],[Winter Clothes Children]]+Table_NFI[[#This Row],[Winter Items Other]]+Table_NFI[[#This Row],[Winter Blanket]]&gt;0,1,0)</f>
        <v>0</v>
      </c>
      <c r="AN278" s="296">
        <f>IF(NFI_Expiration=1,IF($A278&lt;VLOOKUP(V$5,NFI,5,0),1,0)*Table_NFI[[#This Row],[Jerry Can]],Table_NFI[Jerry Can])</f>
        <v>0</v>
      </c>
      <c r="AO278" s="296">
        <f>IF(NFI_Expiration=1,IF($A278&lt;VLOOKUP(V$5,NFI,5,0),1,0)*Table_NFI[[#This Row],[Shelter Tool kit]],Table_NFI[Shelter Tool kit])</f>
        <v>0</v>
      </c>
      <c r="AP278" s="296">
        <f>IF(NFI_Expiration=1,IF($A278&lt;VLOOKUP(V$5,NFI,5,0),1,0)*Table_NFI[[#This Row],[Tent]],Table_NFI[Tent])</f>
        <v>0</v>
      </c>
      <c r="AQ278" s="396" t="str">
        <f>IFERROR(VLOOKUP(Table_NFI[[#This Row],[Camp Name]],CL,2,0),"")</f>
        <v>MMR001CMP041</v>
      </c>
      <c r="AR278" s="702">
        <f ca="1">IF(Table_NFI[[#This Row],[Pcode]]="","",IF(OFFSET(CampList[Opening Date],MATCH(Table_NFI[[#This Row],[Pcode]],CampList[CP_Pcode],0)-1,0,1,1)&gt;=NFI_Monitor_Date,1,0))</f>
        <v>0</v>
      </c>
      <c r="AS278" s="396" t="str">
        <f>IFERROR(VLOOKUP(Table_NFI[[#This Row],[Camp Name]],CL,3,0),"")</f>
        <v>Open</v>
      </c>
      <c r="AT278" s="264" t="str">
        <f ca="1">IF(Table_NFI[[#This Row],[Pcode]]="","",OFFSET(CampList[Priority],MATCH(Table_NFI[[#This Row],[Pcode]],CampList[CP_Pcode],0)-1,0,1,1))</f>
        <v>P1</v>
      </c>
      <c r="AU278" s="263">
        <f>IFERROR(Table_NFI[[#This Row],[Kitchen Set]]/VLOOKUP(Table_NFI[[#This Row],[Camp Name]],CL,4,0),"")</f>
        <v>4.1617704661182919E-3</v>
      </c>
      <c r="AV278" s="390"/>
      <c r="AW278" s="392"/>
      <c r="AX278" s="399"/>
      <c r="AY278" s="399"/>
      <c r="AZ278" s="399"/>
      <c r="BA278" s="399"/>
      <c r="BB278" s="399"/>
      <c r="BC278" s="399"/>
      <c r="BD278" s="399"/>
      <c r="BE278" s="399"/>
      <c r="BF278" s="399"/>
      <c r="BG278" s="399"/>
      <c r="BH278" s="399"/>
      <c r="BI278" s="399"/>
      <c r="BJ278" s="399"/>
      <c r="BK278" s="399"/>
      <c r="BL278" s="399"/>
      <c r="BM278" s="399"/>
      <c r="BN278" s="399"/>
      <c r="BO278" s="399"/>
      <c r="BP278" s="399"/>
      <c r="BQ278" s="399"/>
      <c r="BR278" s="399"/>
      <c r="BS278" s="399"/>
      <c r="BT278" s="399"/>
      <c r="BU278" s="399"/>
      <c r="BV278" s="399"/>
      <c r="BW278" s="399"/>
      <c r="BX278" s="399"/>
      <c r="BY278" s="399"/>
      <c r="BZ278" s="399"/>
      <c r="CA278" s="399"/>
      <c r="CB278" s="399"/>
      <c r="CC278" s="399"/>
      <c r="CD278" s="399"/>
      <c r="CE278" s="399"/>
      <c r="CF278" s="399"/>
      <c r="CG278" s="399"/>
      <c r="CH278" s="399"/>
      <c r="CI278" s="399"/>
      <c r="CJ278" s="399"/>
      <c r="CK278" s="399"/>
      <c r="CL278" s="399"/>
      <c r="CM278" s="399"/>
      <c r="CN278" s="399"/>
      <c r="CO278" s="399"/>
      <c r="CP278" s="399"/>
      <c r="CQ278" s="399"/>
      <c r="CR278" s="399"/>
      <c r="CS278" s="399"/>
      <c r="CT278" s="399"/>
      <c r="CU278" s="399"/>
      <c r="CV278" s="399"/>
      <c r="CW278" s="399"/>
      <c r="CX278" s="399"/>
      <c r="CY278" s="399"/>
      <c r="CZ278" s="399"/>
      <c r="DA278" s="399"/>
      <c r="DB278" s="399"/>
      <c r="DC278" s="399"/>
      <c r="DD278" s="399"/>
      <c r="DE278" s="399"/>
      <c r="DF278" s="399"/>
      <c r="DG278" s="399"/>
      <c r="DH278" s="399"/>
      <c r="DI278" s="399"/>
      <c r="DJ278" s="399"/>
      <c r="DK278" s="399"/>
      <c r="DL278" s="399"/>
      <c r="DM278" s="399"/>
      <c r="DN278" s="399"/>
      <c r="DO278" s="399"/>
      <c r="DP278" s="399"/>
      <c r="DQ278" s="399"/>
    </row>
    <row r="279" spans="1:121" s="760" customFormat="1" ht="15" customHeight="1" x14ac:dyDescent="0.25">
      <c r="A279" s="266">
        <f t="shared" si="4"/>
        <v>28.8</v>
      </c>
      <c r="B279" s="389">
        <v>41992</v>
      </c>
      <c r="C279" s="390" t="s">
        <v>451</v>
      </c>
      <c r="D279" s="390" t="s">
        <v>459</v>
      </c>
      <c r="E279" s="390" t="s">
        <v>380</v>
      </c>
      <c r="F279" s="390" t="s">
        <v>310</v>
      </c>
      <c r="G279" s="390" t="s">
        <v>336</v>
      </c>
      <c r="H279" s="261"/>
      <c r="I279" s="261"/>
      <c r="J279" s="261"/>
      <c r="K279" s="261"/>
      <c r="L279" s="261"/>
      <c r="M279" s="261"/>
      <c r="N279" s="261"/>
      <c r="O279" s="261"/>
      <c r="P279" s="261"/>
      <c r="Q279" s="261"/>
      <c r="R279" s="261">
        <v>364</v>
      </c>
      <c r="S279" s="261">
        <v>543</v>
      </c>
      <c r="T279" s="261"/>
      <c r="U279" s="261">
        <v>362</v>
      </c>
      <c r="V279" s="762"/>
      <c r="W279" s="261"/>
      <c r="X279" s="261"/>
      <c r="Y279" s="264">
        <f>IF(NFI_Expiration=1,IF($A279&lt;VLOOKUP(H$5,NFI,5,0),1,0)*Table_NFI[[#This Row],[Hygiene Kit]],Table_NFI[Hygiene Kit])</f>
        <v>0</v>
      </c>
      <c r="Z279" s="264">
        <f>IF(NFI_Expiration=1,IF($A279&lt;VLOOKUP(I$5,NFI,5,0),1,0)*Table_NFI[[#This Row],[NFI Core Kit]],Table_NFI[NFI Core Kit])</f>
        <v>0</v>
      </c>
      <c r="AA279" s="264">
        <f>IF(NFI_Expiration=1,IF($A279&lt;VLOOKUP(J$5,NFI,5,0),1,0)*Table_NFI[[#This Row],[Sanitary Kit]],Table_NFI[Sanitary Kit])</f>
        <v>0</v>
      </c>
      <c r="AB279" s="264">
        <f>IF(NFI_Expiration=1,IF($A279&lt;VLOOKUP(K$5,NFI,5,0),1,0)*Table_NFI[[#This Row],[Mosquito net]],Table_NFI[Mosquito net])</f>
        <v>0</v>
      </c>
      <c r="AC279" s="264">
        <f>IF(NFI_Expiration=1,IF($A279&lt;VLOOKUP(L$5,NFI,5,0),1,0)*Table_NFI[[#This Row],[Tarpaulin]],Table_NFI[[#This Row],[Tarpaulin]])</f>
        <v>0</v>
      </c>
      <c r="AD279" s="264">
        <f>IF(NFI_Expiration=1,IF($A279&lt;VLOOKUP(M$5,NFI,5,0),1,0)*Table_NFI[[#This Row],[Blanket]],Table_NFI[[#This Row],[Blanket]])</f>
        <v>0</v>
      </c>
      <c r="AE279" s="264">
        <f>IF(NFI_Expiration=1,IF($A279&lt;VLOOKUP(N$5,NFI,5,0),1,0)*Table_NFI[[#This Row],[Kitchen Set]],Table_NFI[Kitchen Set])</f>
        <v>0</v>
      </c>
      <c r="AF279" s="264">
        <f>IF(NFI_Expiration=1,IF($A279&lt;VLOOKUP(O$5,NFI,5,0),1,0)*Table_NFI[[#This Row],[Clothes Kit]],Table_NFI[Clothes Kit])</f>
        <v>0</v>
      </c>
      <c r="AG279" s="264">
        <f>IF(NFI_Expiration=1,IF($A279&lt;VLOOKUP(P$5,NFI,5,0),1,0)*Table_NFI[[#This Row],[Plastic Bucket]],Table_NFI[Plastic Bucket])</f>
        <v>0</v>
      </c>
      <c r="AH279" s="264">
        <f>IF(NFI_Expiration=1,IF($A279&lt;VLOOKUP(Q$5,NFI,5,0),1,0)*Table_NFI[[#This Row],[Plastic Mat]],Table_NFI[Plastic Mat])*IF(Table_NFI[[#This Row],[Distribution Date]]&gt;"2014-04-01",1,2.5)</f>
        <v>0</v>
      </c>
      <c r="AI279" s="264">
        <f>IF(NFI_Expiration=1,IF($A279&lt;VLOOKUP(R$5,NFI,5,0),1,0)*Table_NFI[[#This Row],[Winter Clothes Adult]],Table_NFI[Winter Clothes Adult])</f>
        <v>0</v>
      </c>
      <c r="AJ279" s="264">
        <f>IF(NFI_Expiration=1,IF($A279&lt;VLOOKUP(S$5,NFI,5,0),1,0)*Table_NFI[[#This Row],[Winter Clothes Children]],Table_NFI[Winter Clothes Children])</f>
        <v>0</v>
      </c>
      <c r="AK279" s="264">
        <f>IF(NFI_Expiration=1,IF($A279&lt;VLOOKUP(T$5,NFI,5,0),1,0)*Table_NFI[[#This Row],[Winter Items Other]],Table_NFI[Winter Items Other])</f>
        <v>0</v>
      </c>
      <c r="AL279" s="264">
        <f>IF(NFI_Expiration=1,IF($A279&lt;VLOOKUP(M$5,NFI,5,0),1,0)*Table_NFI[[#This Row],[Winter Blanket]],Table_NFI[[#This Row],[Winter Blanket]])</f>
        <v>0</v>
      </c>
      <c r="AM279" s="264">
        <f>IF(Table_NFI[[#This Row],[Winter Clothes Adult]]+Table_NFI[[#This Row],[Winter Clothes Children]]+Table_NFI[[#This Row],[Winter Items Other]]+Table_NFI[[#This Row],[Winter Blanket]]&gt;0,1,0)</f>
        <v>1</v>
      </c>
      <c r="AN279" s="296">
        <f>IF(NFI_Expiration=1,IF($A279&lt;VLOOKUP(V$5,NFI,5,0),1,0)*Table_NFI[[#This Row],[Jerry Can]],Table_NFI[Jerry Can])</f>
        <v>0</v>
      </c>
      <c r="AO279" s="296">
        <f>IF(NFI_Expiration=1,IF($A279&lt;VLOOKUP(V$5,NFI,5,0),1,0)*Table_NFI[[#This Row],[Shelter Tool kit]],Table_NFI[Shelter Tool kit])</f>
        <v>0</v>
      </c>
      <c r="AP279" s="296">
        <f>IF(NFI_Expiration=1,IF($A279&lt;VLOOKUP(V$5,NFI,5,0),1,0)*Table_NFI[[#This Row],[Tent]],Table_NFI[Tent])</f>
        <v>0</v>
      </c>
      <c r="AQ279" s="396" t="str">
        <f>IFERROR(VLOOKUP(Table_NFI[[#This Row],[Camp Name]],CL,2,0),"")</f>
        <v>MMR001CMP115</v>
      </c>
      <c r="AR279" s="702">
        <f ca="1">IF(Table_NFI[[#This Row],[Pcode]]="","",IF(OFFSET(CampList[Opening Date],MATCH(Table_NFI[[#This Row],[Pcode]],CampList[CP_Pcode],0)-1,0,1,1)&gt;=NFI_Monitor_Date,1,0))</f>
        <v>0</v>
      </c>
      <c r="AS279" s="396" t="str">
        <f>IFERROR(VLOOKUP(Table_NFI[[#This Row],[Camp Name]],CL,3,0),"")</f>
        <v>Open</v>
      </c>
      <c r="AT279" s="264" t="str">
        <f ca="1">IF(Table_NFI[[#This Row],[Pcode]]="","",OFFSET(CampList[Priority],MATCH(Table_NFI[[#This Row],[Pcode]],CampList[CP_Pcode],0)-1,0,1,1))</f>
        <v>P1</v>
      </c>
      <c r="AU279" s="263">
        <f>IFERROR(Table_NFI[[#This Row],[Kitchen Set]]/VLOOKUP(Table_NFI[[#This Row],[Camp Name]],CL,4,0),"")</f>
        <v>0</v>
      </c>
      <c r="AV279" s="390"/>
      <c r="AW279" s="392"/>
      <c r="AX279" s="399"/>
      <c r="AY279" s="399"/>
      <c r="AZ279" s="399"/>
      <c r="BA279" s="399"/>
      <c r="BB279" s="399"/>
      <c r="BC279" s="399"/>
      <c r="BD279" s="399"/>
      <c r="BE279" s="399"/>
      <c r="BF279" s="399"/>
      <c r="BG279" s="399"/>
      <c r="BH279" s="399"/>
      <c r="BI279" s="399"/>
      <c r="BJ279" s="399"/>
      <c r="BK279" s="399"/>
      <c r="BL279" s="399"/>
      <c r="BM279" s="399"/>
      <c r="BN279" s="399"/>
      <c r="BO279" s="399"/>
      <c r="BP279" s="399"/>
      <c r="BQ279" s="399"/>
      <c r="BR279" s="399"/>
      <c r="BS279" s="399"/>
      <c r="BT279" s="399"/>
      <c r="BU279" s="399"/>
      <c r="BV279" s="399"/>
      <c r="BW279" s="399"/>
      <c r="BX279" s="399"/>
      <c r="BY279" s="399"/>
      <c r="BZ279" s="399"/>
      <c r="CA279" s="399"/>
      <c r="CB279" s="399"/>
      <c r="CC279" s="399"/>
      <c r="CD279" s="399"/>
      <c r="CE279" s="399"/>
      <c r="CF279" s="399"/>
      <c r="CG279" s="399"/>
      <c r="CH279" s="399"/>
      <c r="CI279" s="399"/>
      <c r="CJ279" s="399"/>
      <c r="CK279" s="399"/>
      <c r="CL279" s="399"/>
      <c r="CM279" s="399"/>
      <c r="CN279" s="399"/>
      <c r="CO279" s="399"/>
      <c r="CP279" s="399"/>
      <c r="CQ279" s="399"/>
      <c r="CR279" s="399"/>
      <c r="CS279" s="399"/>
      <c r="CT279" s="399"/>
      <c r="CU279" s="399"/>
      <c r="CV279" s="399"/>
      <c r="CW279" s="399"/>
      <c r="CX279" s="399"/>
      <c r="CY279" s="399"/>
      <c r="CZ279" s="399"/>
      <c r="DA279" s="399"/>
      <c r="DB279" s="399"/>
      <c r="DC279" s="399"/>
      <c r="DD279" s="399"/>
      <c r="DE279" s="399"/>
      <c r="DF279" s="399"/>
      <c r="DG279" s="399"/>
      <c r="DH279" s="399"/>
      <c r="DI279" s="399"/>
      <c r="DJ279" s="399"/>
      <c r="DK279" s="399"/>
      <c r="DL279" s="399"/>
      <c r="DM279" s="399"/>
      <c r="DN279" s="399"/>
      <c r="DO279" s="399"/>
      <c r="DP279" s="399"/>
      <c r="DQ279" s="399"/>
    </row>
    <row r="280" spans="1:121" s="760" customFormat="1" ht="14.45" customHeight="1" x14ac:dyDescent="0.25">
      <c r="A280" s="266">
        <f t="shared" si="4"/>
        <v>28.8</v>
      </c>
      <c r="B280" s="389">
        <v>41992</v>
      </c>
      <c r="C280" s="390" t="s">
        <v>451</v>
      </c>
      <c r="D280" s="390"/>
      <c r="E280" s="390" t="s">
        <v>380</v>
      </c>
      <c r="F280" s="390" t="s">
        <v>27</v>
      </c>
      <c r="G280" s="390" t="s">
        <v>364</v>
      </c>
      <c r="H280" s="261"/>
      <c r="I280" s="261"/>
      <c r="J280" s="261"/>
      <c r="K280" s="261"/>
      <c r="L280" s="261"/>
      <c r="M280" s="261"/>
      <c r="N280" s="261"/>
      <c r="O280" s="261"/>
      <c r="P280" s="261"/>
      <c r="Q280" s="261"/>
      <c r="R280" s="261">
        <v>320</v>
      </c>
      <c r="S280" s="261">
        <v>465</v>
      </c>
      <c r="T280" s="261"/>
      <c r="U280" s="261">
        <v>310</v>
      </c>
      <c r="V280" s="762"/>
      <c r="W280" s="261"/>
      <c r="X280" s="261"/>
      <c r="Y280" s="264">
        <f>IF(NFI_Expiration=1,IF($A280&lt;VLOOKUP(H$5,NFI,5,0),1,0)*Table_NFI[[#This Row],[Hygiene Kit]],Table_NFI[Hygiene Kit])</f>
        <v>0</v>
      </c>
      <c r="Z280" s="264">
        <f>IF(NFI_Expiration=1,IF($A280&lt;VLOOKUP(I$5,NFI,5,0),1,0)*Table_NFI[[#This Row],[NFI Core Kit]],Table_NFI[NFI Core Kit])</f>
        <v>0</v>
      </c>
      <c r="AA280" s="264">
        <f>IF(NFI_Expiration=1,IF($A280&lt;VLOOKUP(J$5,NFI,5,0),1,0)*Table_NFI[[#This Row],[Sanitary Kit]],Table_NFI[Sanitary Kit])</f>
        <v>0</v>
      </c>
      <c r="AB280" s="264">
        <f>IF(NFI_Expiration=1,IF($A280&lt;VLOOKUP(K$5,NFI,5,0),1,0)*Table_NFI[[#This Row],[Mosquito net]],Table_NFI[Mosquito net])</f>
        <v>0</v>
      </c>
      <c r="AC280" s="264">
        <f>IF(NFI_Expiration=1,IF($A280&lt;VLOOKUP(L$5,NFI,5,0),1,0)*Table_NFI[[#This Row],[Tarpaulin]],Table_NFI[[#This Row],[Tarpaulin]])</f>
        <v>0</v>
      </c>
      <c r="AD280" s="264">
        <f>IF(NFI_Expiration=1,IF($A280&lt;VLOOKUP(M$5,NFI,5,0),1,0)*Table_NFI[[#This Row],[Blanket]],Table_NFI[[#This Row],[Blanket]])</f>
        <v>0</v>
      </c>
      <c r="AE280" s="264">
        <f>IF(NFI_Expiration=1,IF($A280&lt;VLOOKUP(N$5,NFI,5,0),1,0)*Table_NFI[[#This Row],[Kitchen Set]],Table_NFI[Kitchen Set])</f>
        <v>0</v>
      </c>
      <c r="AF280" s="264">
        <f>IF(NFI_Expiration=1,IF($A280&lt;VLOOKUP(O$5,NFI,5,0),1,0)*Table_NFI[[#This Row],[Clothes Kit]],Table_NFI[Clothes Kit])</f>
        <v>0</v>
      </c>
      <c r="AG280" s="264">
        <f>IF(NFI_Expiration=1,IF($A280&lt;VLOOKUP(P$5,NFI,5,0),1,0)*Table_NFI[[#This Row],[Plastic Bucket]],Table_NFI[Plastic Bucket])</f>
        <v>0</v>
      </c>
      <c r="AH280" s="264">
        <f>IF(NFI_Expiration=1,IF($A280&lt;VLOOKUP(Q$5,NFI,5,0),1,0)*Table_NFI[[#This Row],[Plastic Mat]],Table_NFI[Plastic Mat])*IF(Table_NFI[[#This Row],[Distribution Date]]&gt;"2014-04-01",1,2.5)</f>
        <v>0</v>
      </c>
      <c r="AI280" s="264">
        <f>IF(NFI_Expiration=1,IF($A280&lt;VLOOKUP(R$5,NFI,5,0),1,0)*Table_NFI[[#This Row],[Winter Clothes Adult]],Table_NFI[Winter Clothes Adult])</f>
        <v>0</v>
      </c>
      <c r="AJ280" s="264">
        <f>IF(NFI_Expiration=1,IF($A280&lt;VLOOKUP(S$5,NFI,5,0),1,0)*Table_NFI[[#This Row],[Winter Clothes Children]],Table_NFI[Winter Clothes Children])</f>
        <v>0</v>
      </c>
      <c r="AK280" s="264">
        <f>IF(NFI_Expiration=1,IF($A280&lt;VLOOKUP(T$5,NFI,5,0),1,0)*Table_NFI[[#This Row],[Winter Items Other]],Table_NFI[Winter Items Other])</f>
        <v>0</v>
      </c>
      <c r="AL280" s="264">
        <f>IF(NFI_Expiration=1,IF($A280&lt;VLOOKUP(M$5,NFI,5,0),1,0)*Table_NFI[[#This Row],[Winter Blanket]],Table_NFI[[#This Row],[Winter Blanket]])</f>
        <v>0</v>
      </c>
      <c r="AM280" s="264">
        <f>IF(Table_NFI[[#This Row],[Winter Clothes Adult]]+Table_NFI[[#This Row],[Winter Clothes Children]]+Table_NFI[[#This Row],[Winter Items Other]]+Table_NFI[[#This Row],[Winter Blanket]]&gt;0,1,0)</f>
        <v>1</v>
      </c>
      <c r="AN280" s="296">
        <f>IF(NFI_Expiration=1,IF($A280&lt;VLOOKUP(V$5,NFI,5,0),1,0)*Table_NFI[[#This Row],[Jerry Can]],Table_NFI[Jerry Can])</f>
        <v>0</v>
      </c>
      <c r="AO280" s="296">
        <f>IF(NFI_Expiration=1,IF($A280&lt;VLOOKUP(V$5,NFI,5,0),1,0)*Table_NFI[[#This Row],[Shelter Tool kit]],Table_NFI[Shelter Tool kit])</f>
        <v>0</v>
      </c>
      <c r="AP280" s="296">
        <f>IF(NFI_Expiration=1,IF($A280&lt;VLOOKUP(V$5,NFI,5,0),1,0)*Table_NFI[[#This Row],[Tent]],Table_NFI[Tent])</f>
        <v>0</v>
      </c>
      <c r="AQ280" s="396" t="str">
        <f>IFERROR(VLOOKUP(Table_NFI[[#This Row],[Camp Name]],CL,2,0),"")</f>
        <v>MMR001CMP043</v>
      </c>
      <c r="AR280" s="702">
        <f ca="1">IF(Table_NFI[[#This Row],[Pcode]]="","",IF(OFFSET(CampList[Opening Date],MATCH(Table_NFI[[#This Row],[Pcode]],CampList[CP_Pcode],0)-1,0,1,1)&gt;=NFI_Monitor_Date,1,0))</f>
        <v>0</v>
      </c>
      <c r="AS280" s="396" t="str">
        <f>IFERROR(VLOOKUP(Table_NFI[[#This Row],[Camp Name]],CL,3,0),"")</f>
        <v>Open</v>
      </c>
      <c r="AT280" s="264" t="str">
        <f ca="1">IF(Table_NFI[[#This Row],[Pcode]]="","",OFFSET(CampList[Priority],MATCH(Table_NFI[[#This Row],[Pcode]],CampList[CP_Pcode],0)-1,0,1,1))</f>
        <v>P1</v>
      </c>
      <c r="AU280" s="263">
        <f>IFERROR(Table_NFI[[#This Row],[Kitchen Set]]/VLOOKUP(Table_NFI[[#This Row],[Camp Name]],CL,4,0),"")</f>
        <v>0</v>
      </c>
      <c r="AV280" s="390"/>
      <c r="AW280" s="392"/>
      <c r="AX280" s="399"/>
      <c r="AY280" s="399"/>
      <c r="AZ280" s="399"/>
      <c r="BA280" s="399"/>
      <c r="BB280" s="399"/>
      <c r="BC280" s="399"/>
      <c r="BD280" s="399"/>
      <c r="BE280" s="399"/>
      <c r="BF280" s="399"/>
      <c r="BG280" s="399"/>
      <c r="BH280" s="399"/>
      <c r="BI280" s="399"/>
      <c r="BJ280" s="399"/>
      <c r="BK280" s="399"/>
      <c r="BL280" s="399"/>
      <c r="BM280" s="399"/>
      <c r="BN280" s="399"/>
      <c r="BO280" s="399"/>
      <c r="BP280" s="399"/>
      <c r="BQ280" s="399"/>
      <c r="BR280" s="399"/>
      <c r="BS280" s="399"/>
      <c r="BT280" s="399"/>
      <c r="BU280" s="399"/>
      <c r="BV280" s="399"/>
      <c r="BW280" s="399"/>
      <c r="BX280" s="399"/>
      <c r="BY280" s="399"/>
      <c r="BZ280" s="399"/>
      <c r="CA280" s="399"/>
      <c r="CB280" s="399"/>
      <c r="CC280" s="399"/>
      <c r="CD280" s="399"/>
      <c r="CE280" s="399"/>
      <c r="CF280" s="399"/>
      <c r="CG280" s="399"/>
      <c r="CH280" s="399"/>
      <c r="CI280" s="399"/>
      <c r="CJ280" s="399"/>
      <c r="CK280" s="399"/>
      <c r="CL280" s="399"/>
      <c r="CM280" s="399"/>
      <c r="CN280" s="399"/>
      <c r="CO280" s="399"/>
      <c r="CP280" s="399"/>
      <c r="CQ280" s="399"/>
      <c r="CR280" s="399"/>
      <c r="CS280" s="399"/>
      <c r="CT280" s="399"/>
      <c r="CU280" s="399"/>
      <c r="CV280" s="399"/>
      <c r="CW280" s="399"/>
      <c r="CX280" s="399"/>
      <c r="CY280" s="399"/>
      <c r="CZ280" s="399"/>
      <c r="DA280" s="399"/>
      <c r="DB280" s="399"/>
      <c r="DC280" s="399"/>
      <c r="DD280" s="399"/>
      <c r="DE280" s="399"/>
      <c r="DF280" s="399"/>
      <c r="DG280" s="399"/>
      <c r="DH280" s="399"/>
      <c r="DI280" s="399"/>
      <c r="DJ280" s="399"/>
      <c r="DK280" s="399"/>
      <c r="DL280" s="399"/>
      <c r="DM280" s="399"/>
      <c r="DN280" s="399"/>
      <c r="DO280" s="399"/>
      <c r="DP280" s="399"/>
      <c r="DQ280" s="399"/>
    </row>
    <row r="281" spans="1:121" s="760" customFormat="1" ht="14.45" customHeight="1" x14ac:dyDescent="0.25">
      <c r="A281" s="266">
        <f t="shared" si="4"/>
        <v>28.8</v>
      </c>
      <c r="B281" s="389">
        <v>41992</v>
      </c>
      <c r="C281" s="390" t="s">
        <v>451</v>
      </c>
      <c r="D281" s="390"/>
      <c r="E281" s="390" t="s">
        <v>380</v>
      </c>
      <c r="F281" s="390" t="s">
        <v>310</v>
      </c>
      <c r="G281" s="390" t="s">
        <v>1231</v>
      </c>
      <c r="H281" s="261"/>
      <c r="I281" s="261"/>
      <c r="J281" s="261"/>
      <c r="K281" s="261"/>
      <c r="L281" s="261"/>
      <c r="M281" s="261"/>
      <c r="N281" s="261"/>
      <c r="O281" s="261"/>
      <c r="P281" s="261"/>
      <c r="Q281" s="261"/>
      <c r="R281" s="261">
        <v>384</v>
      </c>
      <c r="S281" s="261">
        <v>573</v>
      </c>
      <c r="T281" s="261"/>
      <c r="U281" s="261">
        <v>382</v>
      </c>
      <c r="V281" s="762"/>
      <c r="W281" s="261"/>
      <c r="X281" s="261"/>
      <c r="Y281" s="264">
        <f>IF(NFI_Expiration=1,IF($A281&lt;VLOOKUP(H$5,NFI,5,0),1,0)*Table_NFI[[#This Row],[Hygiene Kit]],Table_NFI[Hygiene Kit])</f>
        <v>0</v>
      </c>
      <c r="Z281" s="264">
        <f>IF(NFI_Expiration=1,IF($A281&lt;VLOOKUP(I$5,NFI,5,0),1,0)*Table_NFI[[#This Row],[NFI Core Kit]],Table_NFI[NFI Core Kit])</f>
        <v>0</v>
      </c>
      <c r="AA281" s="264">
        <f>IF(NFI_Expiration=1,IF($A281&lt;VLOOKUP(J$5,NFI,5,0),1,0)*Table_NFI[[#This Row],[Sanitary Kit]],Table_NFI[Sanitary Kit])</f>
        <v>0</v>
      </c>
      <c r="AB281" s="264">
        <f>IF(NFI_Expiration=1,IF($A281&lt;VLOOKUP(K$5,NFI,5,0),1,0)*Table_NFI[[#This Row],[Mosquito net]],Table_NFI[Mosquito net])</f>
        <v>0</v>
      </c>
      <c r="AC281" s="264">
        <f>IF(NFI_Expiration=1,IF($A281&lt;VLOOKUP(L$5,NFI,5,0),1,0)*Table_NFI[[#This Row],[Tarpaulin]],Table_NFI[[#This Row],[Tarpaulin]])</f>
        <v>0</v>
      </c>
      <c r="AD281" s="264">
        <f>IF(NFI_Expiration=1,IF($A281&lt;VLOOKUP(M$5,NFI,5,0),1,0)*Table_NFI[[#This Row],[Blanket]],Table_NFI[[#This Row],[Blanket]])</f>
        <v>0</v>
      </c>
      <c r="AE281" s="264">
        <f>IF(NFI_Expiration=1,IF($A281&lt;VLOOKUP(N$5,NFI,5,0),1,0)*Table_NFI[[#This Row],[Kitchen Set]],Table_NFI[Kitchen Set])</f>
        <v>0</v>
      </c>
      <c r="AF281" s="264">
        <f>IF(NFI_Expiration=1,IF($A281&lt;VLOOKUP(O$5,NFI,5,0),1,0)*Table_NFI[[#This Row],[Clothes Kit]],Table_NFI[Clothes Kit])</f>
        <v>0</v>
      </c>
      <c r="AG281" s="264">
        <f>IF(NFI_Expiration=1,IF($A281&lt;VLOOKUP(P$5,NFI,5,0),1,0)*Table_NFI[[#This Row],[Plastic Bucket]],Table_NFI[Plastic Bucket])</f>
        <v>0</v>
      </c>
      <c r="AH281" s="264">
        <f>IF(NFI_Expiration=1,IF($A281&lt;VLOOKUP(Q$5,NFI,5,0),1,0)*Table_NFI[[#This Row],[Plastic Mat]],Table_NFI[Plastic Mat])*IF(Table_NFI[[#This Row],[Distribution Date]]&gt;"2014-04-01",1,2.5)</f>
        <v>0</v>
      </c>
      <c r="AI281" s="264">
        <f>IF(NFI_Expiration=1,IF($A281&lt;VLOOKUP(R$5,NFI,5,0),1,0)*Table_NFI[[#This Row],[Winter Clothes Adult]],Table_NFI[Winter Clothes Adult])</f>
        <v>0</v>
      </c>
      <c r="AJ281" s="264">
        <f>IF(NFI_Expiration=1,IF($A281&lt;VLOOKUP(S$5,NFI,5,0),1,0)*Table_NFI[[#This Row],[Winter Clothes Children]],Table_NFI[Winter Clothes Children])</f>
        <v>0</v>
      </c>
      <c r="AK281" s="264">
        <f>IF(NFI_Expiration=1,IF($A281&lt;VLOOKUP(T$5,NFI,5,0),1,0)*Table_NFI[[#This Row],[Winter Items Other]],Table_NFI[Winter Items Other])</f>
        <v>0</v>
      </c>
      <c r="AL281" s="264">
        <f>IF(NFI_Expiration=1,IF($A281&lt;VLOOKUP(M$5,NFI,5,0),1,0)*Table_NFI[[#This Row],[Winter Blanket]],Table_NFI[[#This Row],[Winter Blanket]])</f>
        <v>0</v>
      </c>
      <c r="AM281" s="264">
        <f>IF(Table_NFI[[#This Row],[Winter Clothes Adult]]+Table_NFI[[#This Row],[Winter Clothes Children]]+Table_NFI[[#This Row],[Winter Items Other]]+Table_NFI[[#This Row],[Winter Blanket]]&gt;0,1,0)</f>
        <v>1</v>
      </c>
      <c r="AN281" s="296">
        <f>IF(NFI_Expiration=1,IF($A281&lt;VLOOKUP(V$5,NFI,5,0),1,0)*Table_NFI[[#This Row],[Jerry Can]],Table_NFI[Jerry Can])</f>
        <v>0</v>
      </c>
      <c r="AO281" s="296">
        <f>IF(NFI_Expiration=1,IF($A281&lt;VLOOKUP(V$5,NFI,5,0),1,0)*Table_NFI[[#This Row],[Shelter Tool kit]],Table_NFI[Shelter Tool kit])</f>
        <v>0</v>
      </c>
      <c r="AP281" s="296">
        <f>IF(NFI_Expiration=1,IF($A281&lt;VLOOKUP(V$5,NFI,5,0),1,0)*Table_NFI[[#This Row],[Tent]],Table_NFI[Tent])</f>
        <v>0</v>
      </c>
      <c r="AQ281" s="396" t="str">
        <f>IFERROR(VLOOKUP(Table_NFI[[#This Row],[Camp Name]],CL,2,0),"")</f>
        <v>MMR001CMP120</v>
      </c>
      <c r="AR281" s="702">
        <f ca="1">IF(Table_NFI[[#This Row],[Pcode]]="","",IF(OFFSET(CampList[Opening Date],MATCH(Table_NFI[[#This Row],[Pcode]],CampList[CP_Pcode],0)-1,0,1,1)&gt;=NFI_Monitor_Date,1,0))</f>
        <v>0</v>
      </c>
      <c r="AS281" s="396" t="str">
        <f>IFERROR(VLOOKUP(Table_NFI[[#This Row],[Camp Name]],CL,3,0),"")</f>
        <v>Open</v>
      </c>
      <c r="AT281" s="264" t="str">
        <f ca="1">IF(Table_NFI[[#This Row],[Pcode]]="","",OFFSET(CampList[Priority],MATCH(Table_NFI[[#This Row],[Pcode]],CampList[CP_Pcode],0)-1,0,1,1))</f>
        <v>P1</v>
      </c>
      <c r="AU281" s="263">
        <f>IFERROR(Table_NFI[[#This Row],[Kitchen Set]]/VLOOKUP(Table_NFI[[#This Row],[Camp Name]],CL,4,0),"")</f>
        <v>0</v>
      </c>
      <c r="AV281" s="390"/>
      <c r="AW281" s="392"/>
      <c r="AX281" s="399"/>
      <c r="AY281" s="399"/>
      <c r="AZ281" s="399"/>
      <c r="BA281" s="399"/>
      <c r="BB281" s="399"/>
      <c r="BC281" s="399"/>
      <c r="BD281" s="399"/>
      <c r="BE281" s="399"/>
      <c r="BF281" s="399"/>
      <c r="BG281" s="399"/>
      <c r="BH281" s="399"/>
      <c r="BI281" s="399"/>
      <c r="BJ281" s="399"/>
      <c r="BK281" s="399"/>
      <c r="BL281" s="399"/>
      <c r="BM281" s="399"/>
      <c r="BN281" s="399"/>
      <c r="BO281" s="399"/>
      <c r="BP281" s="399"/>
      <c r="BQ281" s="399"/>
      <c r="BR281" s="399"/>
      <c r="BS281" s="399"/>
      <c r="BT281" s="399"/>
      <c r="BU281" s="399"/>
      <c r="BV281" s="399"/>
      <c r="BW281" s="399"/>
      <c r="BX281" s="399"/>
      <c r="BY281" s="399"/>
      <c r="BZ281" s="399"/>
      <c r="CA281" s="399"/>
      <c r="CB281" s="399"/>
      <c r="CC281" s="399"/>
      <c r="CD281" s="399"/>
      <c r="CE281" s="399"/>
      <c r="CF281" s="399"/>
      <c r="CG281" s="399"/>
      <c r="CH281" s="399"/>
      <c r="CI281" s="399"/>
      <c r="CJ281" s="399"/>
      <c r="CK281" s="399"/>
      <c r="CL281" s="399"/>
      <c r="CM281" s="399"/>
      <c r="CN281" s="399"/>
      <c r="CO281" s="399"/>
      <c r="CP281" s="399"/>
      <c r="CQ281" s="399"/>
      <c r="CR281" s="399"/>
      <c r="CS281" s="399"/>
      <c r="CT281" s="399"/>
      <c r="CU281" s="399"/>
      <c r="CV281" s="399"/>
      <c r="CW281" s="399"/>
      <c r="CX281" s="399"/>
      <c r="CY281" s="399"/>
      <c r="CZ281" s="399"/>
      <c r="DA281" s="399"/>
      <c r="DB281" s="399"/>
      <c r="DC281" s="399"/>
      <c r="DD281" s="399"/>
      <c r="DE281" s="399"/>
      <c r="DF281" s="399"/>
      <c r="DG281" s="399"/>
      <c r="DH281" s="399"/>
      <c r="DI281" s="399"/>
      <c r="DJ281" s="399"/>
      <c r="DK281" s="399"/>
      <c r="DL281" s="399"/>
      <c r="DM281" s="399"/>
      <c r="DN281" s="399"/>
      <c r="DO281" s="399"/>
      <c r="DP281" s="399"/>
      <c r="DQ281" s="399"/>
    </row>
    <row r="282" spans="1:121" s="760" customFormat="1" ht="14.45" customHeight="1" x14ac:dyDescent="0.25">
      <c r="A282" s="266">
        <f t="shared" si="4"/>
        <v>28.8</v>
      </c>
      <c r="B282" s="389">
        <v>41992</v>
      </c>
      <c r="C282" s="390" t="s">
        <v>451</v>
      </c>
      <c r="D282" s="390" t="s">
        <v>459</v>
      </c>
      <c r="E282" s="390" t="s">
        <v>380</v>
      </c>
      <c r="F282" s="390" t="s">
        <v>310</v>
      </c>
      <c r="G282" s="390" t="s">
        <v>1233</v>
      </c>
      <c r="H282" s="261"/>
      <c r="I282" s="261"/>
      <c r="J282" s="261"/>
      <c r="K282" s="261"/>
      <c r="L282" s="261"/>
      <c r="M282" s="261"/>
      <c r="N282" s="261"/>
      <c r="O282" s="261"/>
      <c r="P282" s="261"/>
      <c r="Q282" s="261"/>
      <c r="R282" s="261">
        <v>1292</v>
      </c>
      <c r="S282" s="261">
        <v>1938</v>
      </c>
      <c r="T282" s="261"/>
      <c r="U282" s="261">
        <v>1292</v>
      </c>
      <c r="V282" s="762"/>
      <c r="W282" s="261"/>
      <c r="X282" s="261"/>
      <c r="Y282" s="264">
        <f>IF(NFI_Expiration=1,IF($A282&lt;VLOOKUP(H$5,NFI,5,0),1,0)*Table_NFI[[#This Row],[Hygiene Kit]],Table_NFI[Hygiene Kit])</f>
        <v>0</v>
      </c>
      <c r="Z282" s="264">
        <f>IF(NFI_Expiration=1,IF($A282&lt;VLOOKUP(I$5,NFI,5,0),1,0)*Table_NFI[[#This Row],[NFI Core Kit]],Table_NFI[NFI Core Kit])</f>
        <v>0</v>
      </c>
      <c r="AA282" s="264">
        <f>IF(NFI_Expiration=1,IF($A282&lt;VLOOKUP(J$5,NFI,5,0),1,0)*Table_NFI[[#This Row],[Sanitary Kit]],Table_NFI[Sanitary Kit])</f>
        <v>0</v>
      </c>
      <c r="AB282" s="264">
        <f>IF(NFI_Expiration=1,IF($A282&lt;VLOOKUP(K$5,NFI,5,0),1,0)*Table_NFI[[#This Row],[Mosquito net]],Table_NFI[Mosquito net])</f>
        <v>0</v>
      </c>
      <c r="AC282" s="264">
        <f>IF(NFI_Expiration=1,IF($A282&lt;VLOOKUP(L$5,NFI,5,0),1,0)*Table_NFI[[#This Row],[Tarpaulin]],Table_NFI[[#This Row],[Tarpaulin]])</f>
        <v>0</v>
      </c>
      <c r="AD282" s="264">
        <f>IF(NFI_Expiration=1,IF($A282&lt;VLOOKUP(M$5,NFI,5,0),1,0)*Table_NFI[[#This Row],[Blanket]],Table_NFI[[#This Row],[Blanket]])</f>
        <v>0</v>
      </c>
      <c r="AE282" s="264">
        <f>IF(NFI_Expiration=1,IF($A282&lt;VLOOKUP(N$5,NFI,5,0),1,0)*Table_NFI[[#This Row],[Kitchen Set]],Table_NFI[Kitchen Set])</f>
        <v>0</v>
      </c>
      <c r="AF282" s="264">
        <f>IF(NFI_Expiration=1,IF($A282&lt;VLOOKUP(O$5,NFI,5,0),1,0)*Table_NFI[[#This Row],[Clothes Kit]],Table_NFI[Clothes Kit])</f>
        <v>0</v>
      </c>
      <c r="AG282" s="264">
        <f>IF(NFI_Expiration=1,IF($A282&lt;VLOOKUP(P$5,NFI,5,0),1,0)*Table_NFI[[#This Row],[Plastic Bucket]],Table_NFI[Plastic Bucket])</f>
        <v>0</v>
      </c>
      <c r="AH282" s="264">
        <f>IF(NFI_Expiration=1,IF($A282&lt;VLOOKUP(Q$5,NFI,5,0),1,0)*Table_NFI[[#This Row],[Plastic Mat]],Table_NFI[Plastic Mat])*IF(Table_NFI[[#This Row],[Distribution Date]]&gt;"2014-04-01",1,2.5)</f>
        <v>0</v>
      </c>
      <c r="AI282" s="264">
        <f>IF(NFI_Expiration=1,IF($A282&lt;VLOOKUP(R$5,NFI,5,0),1,0)*Table_NFI[[#This Row],[Winter Clothes Adult]],Table_NFI[Winter Clothes Adult])</f>
        <v>0</v>
      </c>
      <c r="AJ282" s="264">
        <f>IF(NFI_Expiration=1,IF($A282&lt;VLOOKUP(S$5,NFI,5,0),1,0)*Table_NFI[[#This Row],[Winter Clothes Children]],Table_NFI[Winter Clothes Children])</f>
        <v>0</v>
      </c>
      <c r="AK282" s="264">
        <f>IF(NFI_Expiration=1,IF($A282&lt;VLOOKUP(T$5,NFI,5,0),1,0)*Table_NFI[[#This Row],[Winter Items Other]],Table_NFI[Winter Items Other])</f>
        <v>0</v>
      </c>
      <c r="AL282" s="264">
        <f>IF(NFI_Expiration=1,IF($A282&lt;VLOOKUP(M$5,NFI,5,0),1,0)*Table_NFI[[#This Row],[Winter Blanket]],Table_NFI[[#This Row],[Winter Blanket]])</f>
        <v>0</v>
      </c>
      <c r="AM282" s="264">
        <f>IF(Table_NFI[[#This Row],[Winter Clothes Adult]]+Table_NFI[[#This Row],[Winter Clothes Children]]+Table_NFI[[#This Row],[Winter Items Other]]+Table_NFI[[#This Row],[Winter Blanket]]&gt;0,1,0)</f>
        <v>1</v>
      </c>
      <c r="AN282" s="296">
        <f>IF(NFI_Expiration=1,IF($A282&lt;VLOOKUP(V$5,NFI,5,0),1,0)*Table_NFI[[#This Row],[Jerry Can]],Table_NFI[Jerry Can])</f>
        <v>0</v>
      </c>
      <c r="AO282" s="296">
        <f>IF(NFI_Expiration=1,IF($A282&lt;VLOOKUP(V$5,NFI,5,0),1,0)*Table_NFI[[#This Row],[Shelter Tool kit]],Table_NFI[Shelter Tool kit])</f>
        <v>0</v>
      </c>
      <c r="AP282" s="296">
        <f>IF(NFI_Expiration=1,IF($A282&lt;VLOOKUP(V$5,NFI,5,0),1,0)*Table_NFI[[#This Row],[Tent]],Table_NFI[Tent])</f>
        <v>0</v>
      </c>
      <c r="AQ282" s="396" t="str">
        <f>IFERROR(VLOOKUP(Table_NFI[[#This Row],[Camp Name]],CL,2,0),"")</f>
        <v>MMR001CMP111</v>
      </c>
      <c r="AR282" s="702">
        <f ca="1">IF(Table_NFI[[#This Row],[Pcode]]="","",IF(OFFSET(CampList[Opening Date],MATCH(Table_NFI[[#This Row],[Pcode]],CampList[CP_Pcode],0)-1,0,1,1)&gt;=NFI_Monitor_Date,1,0))</f>
        <v>0</v>
      </c>
      <c r="AS282" s="396" t="str">
        <f>IFERROR(VLOOKUP(Table_NFI[[#This Row],[Camp Name]],CL,3,0),"")</f>
        <v>Closed</v>
      </c>
      <c r="AT282" s="264" t="str">
        <f ca="1">IF(Table_NFI[[#This Row],[Pcode]]="","",OFFSET(CampList[Priority],MATCH(Table_NFI[[#This Row],[Pcode]],CampList[CP_Pcode],0)-1,0,1,1))</f>
        <v>P2</v>
      </c>
      <c r="AU282" s="263">
        <f>IFERROR(Table_NFI[[#This Row],[Kitchen Set]]/VLOOKUP(Table_NFI[[#This Row],[Camp Name]],CL,4,0),"")</f>
        <v>0</v>
      </c>
      <c r="AV282" s="390"/>
      <c r="AW282" s="392"/>
      <c r="AX282" s="399"/>
      <c r="AY282" s="399"/>
      <c r="AZ282" s="399"/>
      <c r="BA282" s="399"/>
      <c r="BB282" s="399"/>
      <c r="BC282" s="399"/>
      <c r="BD282" s="399"/>
      <c r="BE282" s="399"/>
      <c r="BF282" s="399"/>
      <c r="BG282" s="399"/>
      <c r="BH282" s="399"/>
      <c r="BI282" s="399"/>
      <c r="BJ282" s="399"/>
      <c r="BK282" s="399"/>
      <c r="BL282" s="399"/>
      <c r="BM282" s="399"/>
      <c r="BN282" s="399"/>
      <c r="BO282" s="399"/>
      <c r="BP282" s="399"/>
      <c r="BQ282" s="399"/>
      <c r="BR282" s="399"/>
      <c r="BS282" s="399"/>
      <c r="BT282" s="399"/>
      <c r="BU282" s="399"/>
      <c r="BV282" s="399"/>
      <c r="BW282" s="399"/>
      <c r="BX282" s="399"/>
      <c r="BY282" s="399"/>
      <c r="BZ282" s="399"/>
      <c r="CA282" s="399"/>
      <c r="CB282" s="399"/>
      <c r="CC282" s="399"/>
      <c r="CD282" s="399"/>
      <c r="CE282" s="399"/>
      <c r="CF282" s="399"/>
      <c r="CG282" s="399"/>
      <c r="CH282" s="399"/>
      <c r="CI282" s="399"/>
      <c r="CJ282" s="399"/>
      <c r="CK282" s="399"/>
      <c r="CL282" s="399"/>
      <c r="CM282" s="399"/>
      <c r="CN282" s="399"/>
      <c r="CO282" s="399"/>
      <c r="CP282" s="399"/>
      <c r="CQ282" s="399"/>
      <c r="CR282" s="399"/>
      <c r="CS282" s="399"/>
      <c r="CT282" s="399"/>
      <c r="CU282" s="399"/>
      <c r="CV282" s="399"/>
      <c r="CW282" s="399"/>
      <c r="CX282" s="399"/>
      <c r="CY282" s="399"/>
      <c r="CZ282" s="399"/>
      <c r="DA282" s="399"/>
      <c r="DB282" s="399"/>
      <c r="DC282" s="399"/>
      <c r="DD282" s="399"/>
      <c r="DE282" s="399"/>
      <c r="DF282" s="399"/>
      <c r="DG282" s="399"/>
      <c r="DH282" s="399"/>
      <c r="DI282" s="399"/>
      <c r="DJ282" s="399"/>
      <c r="DK282" s="399"/>
      <c r="DL282" s="399"/>
      <c r="DM282" s="399"/>
      <c r="DN282" s="399"/>
      <c r="DO282" s="399"/>
      <c r="DP282" s="399"/>
      <c r="DQ282" s="399"/>
    </row>
    <row r="283" spans="1:121" s="760" customFormat="1" ht="15" customHeight="1" x14ac:dyDescent="0.2">
      <c r="A283" s="266">
        <f t="shared" si="4"/>
        <v>28.833333333333332</v>
      </c>
      <c r="B283" s="389">
        <v>41991</v>
      </c>
      <c r="C283" s="390" t="s">
        <v>904</v>
      </c>
      <c r="D283" s="390" t="s">
        <v>904</v>
      </c>
      <c r="E283" s="390" t="s">
        <v>380</v>
      </c>
      <c r="F283" s="262" t="s">
        <v>185</v>
      </c>
      <c r="G283" s="262" t="s">
        <v>229</v>
      </c>
      <c r="H283" s="261"/>
      <c r="I283" s="261"/>
      <c r="J283" s="764">
        <v>85</v>
      </c>
      <c r="K283" s="261"/>
      <c r="L283" s="261"/>
      <c r="M283" s="261"/>
      <c r="N283" s="261"/>
      <c r="O283" s="261"/>
      <c r="P283" s="261"/>
      <c r="Q283" s="261"/>
      <c r="R283" s="261"/>
      <c r="S283" s="261"/>
      <c r="T283" s="261"/>
      <c r="U283" s="261"/>
      <c r="V283" s="762"/>
      <c r="W283" s="261"/>
      <c r="X283" s="261"/>
      <c r="Y283" s="264">
        <f>IF(NFI_Expiration=1,IF($A283&lt;VLOOKUP(H$5,NFI,5,0),1,0)*Table_NFI[[#This Row],[Hygiene Kit]],Table_NFI[Hygiene Kit])</f>
        <v>0</v>
      </c>
      <c r="Z283" s="264">
        <f>IF(NFI_Expiration=1,IF($A283&lt;VLOOKUP(I$5,NFI,5,0),1,0)*Table_NFI[[#This Row],[NFI Core Kit]],Table_NFI[NFI Core Kit])</f>
        <v>0</v>
      </c>
      <c r="AA283" s="264">
        <f>IF(NFI_Expiration=1,IF($A283&lt;VLOOKUP(J$5,NFI,5,0),1,0)*Table_NFI[[#This Row],[Sanitary Kit]],Table_NFI[Sanitary Kit])</f>
        <v>0</v>
      </c>
      <c r="AB283" s="264">
        <f>IF(NFI_Expiration=1,IF($A283&lt;VLOOKUP(K$5,NFI,5,0),1,0)*Table_NFI[[#This Row],[Mosquito net]],Table_NFI[Mosquito net])</f>
        <v>0</v>
      </c>
      <c r="AC283" s="264">
        <f>IF(NFI_Expiration=1,IF($A283&lt;VLOOKUP(L$5,NFI,5,0),1,0)*Table_NFI[[#This Row],[Tarpaulin]],Table_NFI[[#This Row],[Tarpaulin]])</f>
        <v>0</v>
      </c>
      <c r="AD283" s="264">
        <f>IF(NFI_Expiration=1,IF($A283&lt;VLOOKUP(M$5,NFI,5,0),1,0)*Table_NFI[[#This Row],[Blanket]],Table_NFI[[#This Row],[Blanket]])</f>
        <v>0</v>
      </c>
      <c r="AE283" s="264">
        <f>IF(NFI_Expiration=1,IF($A283&lt;VLOOKUP(N$5,NFI,5,0),1,0)*Table_NFI[[#This Row],[Kitchen Set]],Table_NFI[Kitchen Set])</f>
        <v>0</v>
      </c>
      <c r="AF283" s="264">
        <f>IF(NFI_Expiration=1,IF($A283&lt;VLOOKUP(O$5,NFI,5,0),1,0)*Table_NFI[[#This Row],[Clothes Kit]],Table_NFI[Clothes Kit])</f>
        <v>0</v>
      </c>
      <c r="AG283" s="264">
        <f>IF(NFI_Expiration=1,IF($A283&lt;VLOOKUP(P$5,NFI,5,0),1,0)*Table_NFI[[#This Row],[Plastic Bucket]],Table_NFI[Plastic Bucket])</f>
        <v>0</v>
      </c>
      <c r="AH283" s="264">
        <f>IF(NFI_Expiration=1,IF($A283&lt;VLOOKUP(Q$5,NFI,5,0),1,0)*Table_NFI[[#This Row],[Plastic Mat]],Table_NFI[Plastic Mat])*IF(Table_NFI[[#This Row],[Distribution Date]]&gt;"2014-04-01",1,2.5)</f>
        <v>0</v>
      </c>
      <c r="AI283" s="264">
        <f>IF(NFI_Expiration=1,IF($A283&lt;VLOOKUP(R$5,NFI,5,0),1,0)*Table_NFI[[#This Row],[Winter Clothes Adult]],Table_NFI[Winter Clothes Adult])</f>
        <v>0</v>
      </c>
      <c r="AJ283" s="264">
        <f>IF(NFI_Expiration=1,IF($A283&lt;VLOOKUP(S$5,NFI,5,0),1,0)*Table_NFI[[#This Row],[Winter Clothes Children]],Table_NFI[Winter Clothes Children])</f>
        <v>0</v>
      </c>
      <c r="AK283" s="264">
        <f>IF(NFI_Expiration=1,IF($A283&lt;VLOOKUP(T$5,NFI,5,0),1,0)*Table_NFI[[#This Row],[Winter Items Other]],Table_NFI[Winter Items Other])</f>
        <v>0</v>
      </c>
      <c r="AL283" s="264">
        <f>IF(NFI_Expiration=1,IF($A283&lt;VLOOKUP(M$5,NFI,5,0),1,0)*Table_NFI[[#This Row],[Winter Blanket]],Table_NFI[[#This Row],[Winter Blanket]])</f>
        <v>0</v>
      </c>
      <c r="AM283" s="264">
        <f>IF(Table_NFI[[#This Row],[Winter Clothes Adult]]+Table_NFI[[#This Row],[Winter Clothes Children]]+Table_NFI[[#This Row],[Winter Items Other]]+Table_NFI[[#This Row],[Winter Blanket]]&gt;0,1,0)</f>
        <v>0</v>
      </c>
      <c r="AN283" s="296">
        <f>IF(NFI_Expiration=1,IF($A283&lt;VLOOKUP(V$5,NFI,5,0),1,0)*Table_NFI[[#This Row],[Jerry Can]],Table_NFI[Jerry Can])</f>
        <v>0</v>
      </c>
      <c r="AO283" s="296">
        <f>IF(NFI_Expiration=1,IF($A283&lt;VLOOKUP(V$5,NFI,5,0),1,0)*Table_NFI[[#This Row],[Shelter Tool kit]],Table_NFI[Shelter Tool kit])</f>
        <v>0</v>
      </c>
      <c r="AP283" s="296">
        <f>IF(NFI_Expiration=1,IF($A283&lt;VLOOKUP(V$5,NFI,5,0),1,0)*Table_NFI[[#This Row],[Tent]],Table_NFI[Tent])</f>
        <v>0</v>
      </c>
      <c r="AQ283" s="396" t="str">
        <f>IFERROR(VLOOKUP(Table_NFI[[#This Row],[Camp Name]],CL,2,0),"")</f>
        <v>MMR001CMP072</v>
      </c>
      <c r="AR283" s="702">
        <f ca="1">IF(Table_NFI[[#This Row],[Pcode]]="","",IF(OFFSET(CampList[Opening Date],MATCH(Table_NFI[[#This Row],[Pcode]],CampList[CP_Pcode],0)-1,0,1,1)&gt;=NFI_Monitor_Date,1,0))</f>
        <v>0</v>
      </c>
      <c r="AS283" s="396" t="str">
        <f>IFERROR(VLOOKUP(Table_NFI[[#This Row],[Camp Name]],CL,3,0),"")</f>
        <v>Open</v>
      </c>
      <c r="AT283" s="264" t="str">
        <f ca="1">IF(Table_NFI[[#This Row],[Pcode]]="","",OFFSET(CampList[Priority],MATCH(Table_NFI[[#This Row],[Pcode]],CampList[CP_Pcode],0)-1,0,1,1))</f>
        <v>P3</v>
      </c>
      <c r="AU283" s="263">
        <f>IFERROR(Table_NFI[[#This Row],[Kitchen Set]]/VLOOKUP(Table_NFI[[#This Row],[Camp Name]],CL,4,0),"")</f>
        <v>0</v>
      </c>
      <c r="AV283" s="390"/>
      <c r="AW283" s="392"/>
      <c r="AX283" s="399"/>
      <c r="AY283" s="399"/>
      <c r="AZ283" s="399"/>
      <c r="BA283" s="399"/>
      <c r="BB283" s="399"/>
      <c r="BC283" s="399"/>
      <c r="BD283" s="399"/>
      <c r="BE283" s="399"/>
      <c r="BF283" s="399"/>
      <c r="BG283" s="399"/>
      <c r="BH283" s="399"/>
      <c r="BI283" s="399"/>
      <c r="BJ283" s="399"/>
      <c r="BK283" s="399"/>
      <c r="BL283" s="399"/>
      <c r="BM283" s="399"/>
      <c r="BN283" s="399"/>
      <c r="BO283" s="399"/>
      <c r="BP283" s="399"/>
      <c r="BQ283" s="399"/>
      <c r="BR283" s="399"/>
      <c r="BS283" s="399"/>
      <c r="BT283" s="399"/>
      <c r="BU283" s="399"/>
      <c r="BV283" s="399"/>
      <c r="BW283" s="399"/>
      <c r="BX283" s="399"/>
      <c r="BY283" s="399"/>
      <c r="BZ283" s="399"/>
      <c r="CA283" s="399"/>
      <c r="CB283" s="399"/>
      <c r="CC283" s="399"/>
      <c r="CD283" s="399"/>
      <c r="CE283" s="399"/>
      <c r="CF283" s="399"/>
      <c r="CG283" s="399"/>
      <c r="CH283" s="399"/>
      <c r="CI283" s="399"/>
      <c r="CJ283" s="399"/>
      <c r="CK283" s="399"/>
      <c r="CL283" s="399"/>
      <c r="CM283" s="399"/>
      <c r="CN283" s="399"/>
      <c r="CO283" s="399"/>
      <c r="CP283" s="399"/>
      <c r="CQ283" s="399"/>
      <c r="CR283" s="399"/>
      <c r="CS283" s="399"/>
      <c r="CT283" s="399"/>
      <c r="CU283" s="399"/>
      <c r="CV283" s="399"/>
      <c r="CW283" s="399"/>
      <c r="CX283" s="399"/>
      <c r="CY283" s="399"/>
      <c r="CZ283" s="399"/>
      <c r="DA283" s="399"/>
      <c r="DB283" s="399"/>
      <c r="DC283" s="399"/>
      <c r="DD283" s="399"/>
      <c r="DE283" s="399"/>
      <c r="DF283" s="399"/>
      <c r="DG283" s="399"/>
      <c r="DH283" s="399"/>
      <c r="DI283" s="399"/>
      <c r="DJ283" s="399"/>
      <c r="DK283" s="399"/>
      <c r="DL283" s="399"/>
      <c r="DM283" s="399"/>
      <c r="DN283" s="399"/>
      <c r="DO283" s="399"/>
      <c r="DP283" s="399"/>
      <c r="DQ283" s="399"/>
    </row>
    <row r="284" spans="1:121" s="760" customFormat="1" ht="14.45" customHeight="1" x14ac:dyDescent="0.2">
      <c r="A284" s="266">
        <f t="shared" si="4"/>
        <v>28.833333333333332</v>
      </c>
      <c r="B284" s="389">
        <v>41991</v>
      </c>
      <c r="C284" s="390" t="s">
        <v>904</v>
      </c>
      <c r="D284" s="391" t="s">
        <v>904</v>
      </c>
      <c r="E284" s="390" t="s">
        <v>380</v>
      </c>
      <c r="F284" s="262" t="s">
        <v>185</v>
      </c>
      <c r="G284" s="262" t="s">
        <v>225</v>
      </c>
      <c r="H284" s="261"/>
      <c r="I284" s="261"/>
      <c r="J284" s="764">
        <v>61</v>
      </c>
      <c r="K284" s="261"/>
      <c r="L284" s="261"/>
      <c r="M284" s="261"/>
      <c r="N284" s="261"/>
      <c r="O284" s="261"/>
      <c r="P284" s="261"/>
      <c r="Q284" s="261"/>
      <c r="R284" s="261"/>
      <c r="S284" s="261"/>
      <c r="T284" s="261"/>
      <c r="U284" s="261"/>
      <c r="V284" s="762"/>
      <c r="W284" s="261"/>
      <c r="X284" s="261"/>
      <c r="Y284" s="264">
        <f>IF(NFI_Expiration=1,IF($A284&lt;VLOOKUP(H$5,NFI,5,0),1,0)*Table_NFI[[#This Row],[Hygiene Kit]],Table_NFI[Hygiene Kit])</f>
        <v>0</v>
      </c>
      <c r="Z284" s="264">
        <f>IF(NFI_Expiration=1,IF($A284&lt;VLOOKUP(I$5,NFI,5,0),1,0)*Table_NFI[[#This Row],[NFI Core Kit]],Table_NFI[NFI Core Kit])</f>
        <v>0</v>
      </c>
      <c r="AA284" s="264">
        <f>IF(NFI_Expiration=1,IF($A284&lt;VLOOKUP(J$5,NFI,5,0),1,0)*Table_NFI[[#This Row],[Sanitary Kit]],Table_NFI[Sanitary Kit])</f>
        <v>0</v>
      </c>
      <c r="AB284" s="264">
        <f>IF(NFI_Expiration=1,IF($A284&lt;VLOOKUP(K$5,NFI,5,0),1,0)*Table_NFI[[#This Row],[Mosquito net]],Table_NFI[Mosquito net])</f>
        <v>0</v>
      </c>
      <c r="AC284" s="264">
        <f>IF(NFI_Expiration=1,IF($A284&lt;VLOOKUP(L$5,NFI,5,0),1,0)*Table_NFI[[#This Row],[Tarpaulin]],Table_NFI[[#This Row],[Tarpaulin]])</f>
        <v>0</v>
      </c>
      <c r="AD284" s="264">
        <f>IF(NFI_Expiration=1,IF($A284&lt;VLOOKUP(M$5,NFI,5,0),1,0)*Table_NFI[[#This Row],[Blanket]],Table_NFI[[#This Row],[Blanket]])</f>
        <v>0</v>
      </c>
      <c r="AE284" s="264">
        <f>IF(NFI_Expiration=1,IF($A284&lt;VLOOKUP(N$5,NFI,5,0),1,0)*Table_NFI[[#This Row],[Kitchen Set]],Table_NFI[Kitchen Set])</f>
        <v>0</v>
      </c>
      <c r="AF284" s="264">
        <f>IF(NFI_Expiration=1,IF($A284&lt;VLOOKUP(O$5,NFI,5,0),1,0)*Table_NFI[[#This Row],[Clothes Kit]],Table_NFI[Clothes Kit])</f>
        <v>0</v>
      </c>
      <c r="AG284" s="264">
        <f>IF(NFI_Expiration=1,IF($A284&lt;VLOOKUP(P$5,NFI,5,0),1,0)*Table_NFI[[#This Row],[Plastic Bucket]],Table_NFI[Plastic Bucket])</f>
        <v>0</v>
      </c>
      <c r="AH284" s="264">
        <f>IF(NFI_Expiration=1,IF($A284&lt;VLOOKUP(Q$5,NFI,5,0),1,0)*Table_NFI[[#This Row],[Plastic Mat]],Table_NFI[Plastic Mat])*IF(Table_NFI[[#This Row],[Distribution Date]]&gt;"2014-04-01",1,2.5)</f>
        <v>0</v>
      </c>
      <c r="AI284" s="264">
        <f>IF(NFI_Expiration=1,IF($A284&lt;VLOOKUP(R$5,NFI,5,0),1,0)*Table_NFI[[#This Row],[Winter Clothes Adult]],Table_NFI[Winter Clothes Adult])</f>
        <v>0</v>
      </c>
      <c r="AJ284" s="264">
        <f>IF(NFI_Expiration=1,IF($A284&lt;VLOOKUP(S$5,NFI,5,0),1,0)*Table_NFI[[#This Row],[Winter Clothes Children]],Table_NFI[Winter Clothes Children])</f>
        <v>0</v>
      </c>
      <c r="AK284" s="264">
        <f>IF(NFI_Expiration=1,IF($A284&lt;VLOOKUP(T$5,NFI,5,0),1,0)*Table_NFI[[#This Row],[Winter Items Other]],Table_NFI[Winter Items Other])</f>
        <v>0</v>
      </c>
      <c r="AL284" s="264">
        <f>IF(NFI_Expiration=1,IF($A284&lt;VLOOKUP(M$5,NFI,5,0),1,0)*Table_NFI[[#This Row],[Winter Blanket]],Table_NFI[[#This Row],[Winter Blanket]])</f>
        <v>0</v>
      </c>
      <c r="AM284" s="264">
        <f>IF(Table_NFI[[#This Row],[Winter Clothes Adult]]+Table_NFI[[#This Row],[Winter Clothes Children]]+Table_NFI[[#This Row],[Winter Items Other]]+Table_NFI[[#This Row],[Winter Blanket]]&gt;0,1,0)</f>
        <v>0</v>
      </c>
      <c r="AN284" s="296">
        <f>IF(NFI_Expiration=1,IF($A284&lt;VLOOKUP(V$5,NFI,5,0),1,0)*Table_NFI[[#This Row],[Jerry Can]],Table_NFI[Jerry Can])</f>
        <v>0</v>
      </c>
      <c r="AO284" s="296">
        <f>IF(NFI_Expiration=1,IF($A284&lt;VLOOKUP(V$5,NFI,5,0),1,0)*Table_NFI[[#This Row],[Shelter Tool kit]],Table_NFI[Shelter Tool kit])</f>
        <v>0</v>
      </c>
      <c r="AP284" s="296">
        <f>IF(NFI_Expiration=1,IF($A284&lt;VLOOKUP(V$5,NFI,5,0),1,0)*Table_NFI[[#This Row],[Tent]],Table_NFI[Tent])</f>
        <v>0</v>
      </c>
      <c r="AQ284" s="396" t="str">
        <f>IFERROR(VLOOKUP(Table_NFI[[#This Row],[Camp Name]],CL,2,0),"")</f>
        <v>MMR001CMP073</v>
      </c>
      <c r="AR284" s="702">
        <f ca="1">IF(Table_NFI[[#This Row],[Pcode]]="","",IF(OFFSET(CampList[Opening Date],MATCH(Table_NFI[[#This Row],[Pcode]],CampList[CP_Pcode],0)-1,0,1,1)&gt;=NFI_Monitor_Date,1,0))</f>
        <v>0</v>
      </c>
      <c r="AS284" s="396" t="str">
        <f>IFERROR(VLOOKUP(Table_NFI[[#This Row],[Camp Name]],CL,3,0),"")</f>
        <v>Open</v>
      </c>
      <c r="AT284" s="264" t="str">
        <f ca="1">IF(Table_NFI[[#This Row],[Pcode]]="","",OFFSET(CampList[Priority],MATCH(Table_NFI[[#This Row],[Pcode]],CampList[CP_Pcode],0)-1,0,1,1))</f>
        <v>P3</v>
      </c>
      <c r="AU284" s="263">
        <f>IFERROR(Table_NFI[[#This Row],[Kitchen Set]]/VLOOKUP(Table_NFI[[#This Row],[Camp Name]],CL,4,0),"")</f>
        <v>0</v>
      </c>
      <c r="AV284" s="390"/>
      <c r="AW284" s="392"/>
      <c r="AX284" s="399"/>
      <c r="AY284" s="399"/>
      <c r="AZ284" s="399"/>
      <c r="BA284" s="399"/>
      <c r="BB284" s="399"/>
      <c r="BC284" s="399"/>
      <c r="BD284" s="399"/>
      <c r="BE284" s="399"/>
      <c r="BF284" s="399"/>
      <c r="BG284" s="399"/>
      <c r="BH284" s="399"/>
      <c r="BI284" s="399"/>
      <c r="BJ284" s="399"/>
      <c r="BK284" s="399"/>
      <c r="BL284" s="399"/>
      <c r="BM284" s="399"/>
      <c r="BN284" s="399"/>
      <c r="BO284" s="399"/>
      <c r="BP284" s="399"/>
      <c r="BQ284" s="399"/>
      <c r="BR284" s="399"/>
      <c r="BS284" s="399"/>
      <c r="BT284" s="399"/>
      <c r="BU284" s="399"/>
      <c r="BV284" s="399"/>
      <c r="BW284" s="399"/>
      <c r="BX284" s="399"/>
      <c r="BY284" s="399"/>
      <c r="BZ284" s="399"/>
      <c r="CA284" s="399"/>
      <c r="CB284" s="399"/>
      <c r="CC284" s="399"/>
      <c r="CD284" s="399"/>
      <c r="CE284" s="399"/>
      <c r="CF284" s="399"/>
      <c r="CG284" s="399"/>
      <c r="CH284" s="399"/>
      <c r="CI284" s="399"/>
      <c r="CJ284" s="399"/>
      <c r="CK284" s="399"/>
      <c r="CL284" s="399"/>
      <c r="CM284" s="399"/>
      <c r="CN284" s="399"/>
      <c r="CO284" s="399"/>
      <c r="CP284" s="399"/>
      <c r="CQ284" s="399"/>
      <c r="CR284" s="399"/>
      <c r="CS284" s="399"/>
      <c r="CT284" s="399"/>
      <c r="CU284" s="399"/>
      <c r="CV284" s="399"/>
      <c r="CW284" s="399"/>
      <c r="CX284" s="399"/>
      <c r="CY284" s="399"/>
      <c r="CZ284" s="399"/>
      <c r="DA284" s="399"/>
      <c r="DB284" s="399"/>
      <c r="DC284" s="399"/>
      <c r="DD284" s="399"/>
      <c r="DE284" s="399"/>
      <c r="DF284" s="399"/>
      <c r="DG284" s="399"/>
      <c r="DH284" s="399"/>
      <c r="DI284" s="399"/>
      <c r="DJ284" s="399"/>
      <c r="DK284" s="399"/>
      <c r="DL284" s="399"/>
      <c r="DM284" s="399"/>
      <c r="DN284" s="399"/>
      <c r="DO284" s="399"/>
      <c r="DP284" s="399"/>
      <c r="DQ284" s="399"/>
    </row>
    <row r="285" spans="1:121" s="760" customFormat="1" ht="14.45" customHeight="1" x14ac:dyDescent="0.2">
      <c r="A285" s="266">
        <f t="shared" si="4"/>
        <v>28.866666666666667</v>
      </c>
      <c r="B285" s="389">
        <v>41990</v>
      </c>
      <c r="C285" s="390" t="s">
        <v>904</v>
      </c>
      <c r="D285" s="391" t="s">
        <v>904</v>
      </c>
      <c r="E285" s="390" t="s">
        <v>380</v>
      </c>
      <c r="F285" s="262" t="s">
        <v>185</v>
      </c>
      <c r="G285" s="262" t="s">
        <v>186</v>
      </c>
      <c r="H285" s="261"/>
      <c r="I285" s="261"/>
      <c r="J285" s="764"/>
      <c r="K285" s="261"/>
      <c r="L285" s="261"/>
      <c r="M285" s="261"/>
      <c r="N285" s="261"/>
      <c r="O285" s="261"/>
      <c r="P285" s="261"/>
      <c r="Q285" s="261"/>
      <c r="R285" s="261"/>
      <c r="S285" s="261"/>
      <c r="T285" s="261"/>
      <c r="U285" s="261"/>
      <c r="V285" s="762"/>
      <c r="W285" s="261"/>
      <c r="X285" s="261"/>
      <c r="Y285" s="264">
        <f>IF(NFI_Expiration=1,IF($A285&lt;VLOOKUP(H$5,NFI,5,0),1,0)*Table_NFI[[#This Row],[Hygiene Kit]],Table_NFI[Hygiene Kit])</f>
        <v>0</v>
      </c>
      <c r="Z285" s="264">
        <f>IF(NFI_Expiration=1,IF($A285&lt;VLOOKUP(I$5,NFI,5,0),1,0)*Table_NFI[[#This Row],[NFI Core Kit]],Table_NFI[NFI Core Kit])</f>
        <v>0</v>
      </c>
      <c r="AA285" s="264">
        <f>IF(NFI_Expiration=1,IF($A285&lt;VLOOKUP(J$5,NFI,5,0),1,0)*Table_NFI[[#This Row],[Sanitary Kit]],Table_NFI[Sanitary Kit])</f>
        <v>0</v>
      </c>
      <c r="AB285" s="264">
        <f>IF(NFI_Expiration=1,IF($A285&lt;VLOOKUP(K$5,NFI,5,0),1,0)*Table_NFI[[#This Row],[Mosquito net]],Table_NFI[Mosquito net])</f>
        <v>0</v>
      </c>
      <c r="AC285" s="264">
        <f>IF(NFI_Expiration=1,IF($A285&lt;VLOOKUP(L$5,NFI,5,0),1,0)*Table_NFI[[#This Row],[Tarpaulin]],Table_NFI[[#This Row],[Tarpaulin]])</f>
        <v>0</v>
      </c>
      <c r="AD285" s="264">
        <f>IF(NFI_Expiration=1,IF($A285&lt;VLOOKUP(M$5,NFI,5,0),1,0)*Table_NFI[[#This Row],[Blanket]],Table_NFI[[#This Row],[Blanket]])</f>
        <v>0</v>
      </c>
      <c r="AE285" s="264">
        <f>IF(NFI_Expiration=1,IF($A285&lt;VLOOKUP(N$5,NFI,5,0),1,0)*Table_NFI[[#This Row],[Kitchen Set]],Table_NFI[Kitchen Set])</f>
        <v>0</v>
      </c>
      <c r="AF285" s="264">
        <f>IF(NFI_Expiration=1,IF($A285&lt;VLOOKUP(O$5,NFI,5,0),1,0)*Table_NFI[[#This Row],[Clothes Kit]],Table_NFI[Clothes Kit])</f>
        <v>0</v>
      </c>
      <c r="AG285" s="264">
        <f>IF(NFI_Expiration=1,IF($A285&lt;VLOOKUP(P$5,NFI,5,0),1,0)*Table_NFI[[#This Row],[Plastic Bucket]],Table_NFI[Plastic Bucket])</f>
        <v>0</v>
      </c>
      <c r="AH285" s="264">
        <f>IF(NFI_Expiration=1,IF($A285&lt;VLOOKUP(Q$5,NFI,5,0),1,0)*Table_NFI[[#This Row],[Plastic Mat]],Table_NFI[Plastic Mat])*IF(Table_NFI[[#This Row],[Distribution Date]]&gt;"2014-04-01",1,2.5)</f>
        <v>0</v>
      </c>
      <c r="AI285" s="264">
        <f>IF(NFI_Expiration=1,IF($A285&lt;VLOOKUP(R$5,NFI,5,0),1,0)*Table_NFI[[#This Row],[Winter Clothes Adult]],Table_NFI[Winter Clothes Adult])</f>
        <v>0</v>
      </c>
      <c r="AJ285" s="264">
        <f>IF(NFI_Expiration=1,IF($A285&lt;VLOOKUP(S$5,NFI,5,0),1,0)*Table_NFI[[#This Row],[Winter Clothes Children]],Table_NFI[Winter Clothes Children])</f>
        <v>0</v>
      </c>
      <c r="AK285" s="264">
        <f>IF(NFI_Expiration=1,IF($A285&lt;VLOOKUP(T$5,NFI,5,0),1,0)*Table_NFI[[#This Row],[Winter Items Other]],Table_NFI[Winter Items Other])</f>
        <v>0</v>
      </c>
      <c r="AL285" s="264">
        <f>IF(NFI_Expiration=1,IF($A285&lt;VLOOKUP(M$5,NFI,5,0),1,0)*Table_NFI[[#This Row],[Winter Blanket]],Table_NFI[[#This Row],[Winter Blanket]])</f>
        <v>0</v>
      </c>
      <c r="AM285" s="264">
        <f>IF(Table_NFI[[#This Row],[Winter Clothes Adult]]+Table_NFI[[#This Row],[Winter Clothes Children]]+Table_NFI[[#This Row],[Winter Items Other]]+Table_NFI[[#This Row],[Winter Blanket]]&gt;0,1,0)</f>
        <v>0</v>
      </c>
      <c r="AN285" s="296">
        <f>IF(NFI_Expiration=1,IF($A285&lt;VLOOKUP(V$5,NFI,5,0),1,0)*Table_NFI[[#This Row],[Jerry Can]],Table_NFI[Jerry Can])</f>
        <v>0</v>
      </c>
      <c r="AO285" s="296">
        <f>IF(NFI_Expiration=1,IF($A285&lt;VLOOKUP(V$5,NFI,5,0),1,0)*Table_NFI[[#This Row],[Shelter Tool kit]],Table_NFI[Shelter Tool kit])</f>
        <v>0</v>
      </c>
      <c r="AP285" s="296">
        <f>IF(NFI_Expiration=1,IF($A285&lt;VLOOKUP(V$5,NFI,5,0),1,0)*Table_NFI[[#This Row],[Tent]],Table_NFI[Tent])</f>
        <v>0</v>
      </c>
      <c r="AQ285" s="396" t="str">
        <f>IFERROR(VLOOKUP(Table_NFI[[#This Row],[Camp Name]],CL,2,0),"")</f>
        <v>MMR001CMP071</v>
      </c>
      <c r="AR285" s="702">
        <f ca="1">IF(Table_NFI[[#This Row],[Pcode]]="","",IF(OFFSET(CampList[Opening Date],MATCH(Table_NFI[[#This Row],[Pcode]],CampList[CP_Pcode],0)-1,0,1,1)&gt;=NFI_Monitor_Date,1,0))</f>
        <v>0</v>
      </c>
      <c r="AS285" s="396" t="str">
        <f>IFERROR(VLOOKUP(Table_NFI[[#This Row],[Camp Name]],CL,3,0),"")</f>
        <v>Open</v>
      </c>
      <c r="AT285" s="264" t="str">
        <f ca="1">IF(Table_NFI[[#This Row],[Pcode]]="","",OFFSET(CampList[Priority],MATCH(Table_NFI[[#This Row],[Pcode]],CampList[CP_Pcode],0)-1,0,1,1))</f>
        <v>P3</v>
      </c>
      <c r="AU285" s="263">
        <f>IFERROR(Table_NFI[[#This Row],[Kitchen Set]]/VLOOKUP(Table_NFI[[#This Row],[Camp Name]],CL,4,0),"")</f>
        <v>0</v>
      </c>
      <c r="AV285" s="390"/>
      <c r="AW285" s="392"/>
      <c r="AX285" s="399"/>
      <c r="AY285" s="399"/>
      <c r="AZ285" s="399"/>
      <c r="BA285" s="399"/>
      <c r="BB285" s="399"/>
      <c r="BC285" s="399"/>
      <c r="BD285" s="399"/>
      <c r="BE285" s="399"/>
      <c r="BF285" s="399"/>
      <c r="BG285" s="399"/>
      <c r="BH285" s="399"/>
      <c r="BI285" s="399"/>
      <c r="BJ285" s="399"/>
      <c r="BK285" s="399"/>
      <c r="BL285" s="399"/>
      <c r="BM285" s="399"/>
      <c r="BN285" s="399"/>
      <c r="BO285" s="399"/>
      <c r="BP285" s="399"/>
      <c r="BQ285" s="399"/>
      <c r="BR285" s="399"/>
      <c r="BS285" s="399"/>
      <c r="BT285" s="399"/>
      <c r="BU285" s="399"/>
      <c r="BV285" s="399"/>
      <c r="BW285" s="399"/>
      <c r="BX285" s="399"/>
      <c r="BY285" s="399"/>
      <c r="BZ285" s="399"/>
      <c r="CA285" s="399"/>
      <c r="CB285" s="399"/>
      <c r="CC285" s="399"/>
      <c r="CD285" s="399"/>
      <c r="CE285" s="399"/>
      <c r="CF285" s="399"/>
      <c r="CG285" s="399"/>
      <c r="CH285" s="399"/>
      <c r="CI285" s="399"/>
      <c r="CJ285" s="399"/>
      <c r="CK285" s="399"/>
      <c r="CL285" s="399"/>
      <c r="CM285" s="399"/>
      <c r="CN285" s="399"/>
      <c r="CO285" s="399"/>
      <c r="CP285" s="399"/>
      <c r="CQ285" s="399"/>
      <c r="CR285" s="399"/>
      <c r="CS285" s="399"/>
      <c r="CT285" s="399"/>
      <c r="CU285" s="399"/>
      <c r="CV285" s="399"/>
      <c r="CW285" s="399"/>
      <c r="CX285" s="399"/>
      <c r="CY285" s="399"/>
      <c r="CZ285" s="399"/>
      <c r="DA285" s="399"/>
      <c r="DB285" s="399"/>
      <c r="DC285" s="399"/>
      <c r="DD285" s="399"/>
      <c r="DE285" s="399"/>
      <c r="DF285" s="399"/>
      <c r="DG285" s="399"/>
      <c r="DH285" s="399"/>
      <c r="DI285" s="399"/>
      <c r="DJ285" s="399"/>
      <c r="DK285" s="399"/>
      <c r="DL285" s="399"/>
      <c r="DM285" s="399"/>
      <c r="DN285" s="399"/>
      <c r="DO285" s="399"/>
      <c r="DP285" s="399"/>
      <c r="DQ285" s="399"/>
    </row>
    <row r="286" spans="1:121" s="760" customFormat="1" ht="14.45" customHeight="1" x14ac:dyDescent="0.25">
      <c r="A286" s="266">
        <f t="shared" si="4"/>
        <v>28.866666666666667</v>
      </c>
      <c r="B286" s="389">
        <v>41990</v>
      </c>
      <c r="C286" s="390" t="s">
        <v>904</v>
      </c>
      <c r="D286" s="390" t="s">
        <v>904</v>
      </c>
      <c r="E286" s="390" t="s">
        <v>380</v>
      </c>
      <c r="F286" s="390" t="s">
        <v>185</v>
      </c>
      <c r="G286" s="262" t="s">
        <v>223</v>
      </c>
      <c r="H286" s="261"/>
      <c r="I286" s="261"/>
      <c r="J286" s="261">
        <v>124</v>
      </c>
      <c r="K286" s="261"/>
      <c r="L286" s="261"/>
      <c r="M286" s="261"/>
      <c r="N286" s="261"/>
      <c r="O286" s="261"/>
      <c r="P286" s="261"/>
      <c r="Q286" s="261"/>
      <c r="R286" s="261"/>
      <c r="S286" s="261"/>
      <c r="T286" s="261"/>
      <c r="U286" s="261"/>
      <c r="V286" s="762"/>
      <c r="W286" s="261"/>
      <c r="X286" s="261"/>
      <c r="Y286" s="264">
        <f>IF(NFI_Expiration=1,IF($A286&lt;VLOOKUP(H$5,NFI,5,0),1,0)*Table_NFI[[#This Row],[Hygiene Kit]],Table_NFI[Hygiene Kit])</f>
        <v>0</v>
      </c>
      <c r="Z286" s="264">
        <f>IF(NFI_Expiration=1,IF($A286&lt;VLOOKUP(I$5,NFI,5,0),1,0)*Table_NFI[[#This Row],[NFI Core Kit]],Table_NFI[NFI Core Kit])</f>
        <v>0</v>
      </c>
      <c r="AA286" s="264">
        <f>IF(NFI_Expiration=1,IF($A286&lt;VLOOKUP(J$5,NFI,5,0),1,0)*Table_NFI[[#This Row],[Sanitary Kit]],Table_NFI[Sanitary Kit])</f>
        <v>0</v>
      </c>
      <c r="AB286" s="264">
        <f>IF(NFI_Expiration=1,IF($A286&lt;VLOOKUP(K$5,NFI,5,0),1,0)*Table_NFI[[#This Row],[Mosquito net]],Table_NFI[Mosquito net])</f>
        <v>0</v>
      </c>
      <c r="AC286" s="264">
        <f>IF(NFI_Expiration=1,IF($A286&lt;VLOOKUP(L$5,NFI,5,0),1,0)*Table_NFI[[#This Row],[Tarpaulin]],Table_NFI[[#This Row],[Tarpaulin]])</f>
        <v>0</v>
      </c>
      <c r="AD286" s="264">
        <f>IF(NFI_Expiration=1,IF($A286&lt;VLOOKUP(M$5,NFI,5,0),1,0)*Table_NFI[[#This Row],[Blanket]],Table_NFI[[#This Row],[Blanket]])</f>
        <v>0</v>
      </c>
      <c r="AE286" s="264">
        <f>IF(NFI_Expiration=1,IF($A286&lt;VLOOKUP(N$5,NFI,5,0),1,0)*Table_NFI[[#This Row],[Kitchen Set]],Table_NFI[Kitchen Set])</f>
        <v>0</v>
      </c>
      <c r="AF286" s="264">
        <f>IF(NFI_Expiration=1,IF($A286&lt;VLOOKUP(O$5,NFI,5,0),1,0)*Table_NFI[[#This Row],[Clothes Kit]],Table_NFI[Clothes Kit])</f>
        <v>0</v>
      </c>
      <c r="AG286" s="264">
        <f>IF(NFI_Expiration=1,IF($A286&lt;VLOOKUP(P$5,NFI,5,0),1,0)*Table_NFI[[#This Row],[Plastic Bucket]],Table_NFI[Plastic Bucket])</f>
        <v>0</v>
      </c>
      <c r="AH286" s="264">
        <f>IF(NFI_Expiration=1,IF($A286&lt;VLOOKUP(Q$5,NFI,5,0),1,0)*Table_NFI[[#This Row],[Plastic Mat]],Table_NFI[Plastic Mat])*IF(Table_NFI[[#This Row],[Distribution Date]]&gt;"2014-04-01",1,2.5)</f>
        <v>0</v>
      </c>
      <c r="AI286" s="264">
        <f>IF(NFI_Expiration=1,IF($A286&lt;VLOOKUP(R$5,NFI,5,0),1,0)*Table_NFI[[#This Row],[Winter Clothes Adult]],Table_NFI[Winter Clothes Adult])</f>
        <v>0</v>
      </c>
      <c r="AJ286" s="264">
        <f>IF(NFI_Expiration=1,IF($A286&lt;VLOOKUP(S$5,NFI,5,0),1,0)*Table_NFI[[#This Row],[Winter Clothes Children]],Table_NFI[Winter Clothes Children])</f>
        <v>0</v>
      </c>
      <c r="AK286" s="264">
        <f>IF(NFI_Expiration=1,IF($A286&lt;VLOOKUP(T$5,NFI,5,0),1,0)*Table_NFI[[#This Row],[Winter Items Other]],Table_NFI[Winter Items Other])</f>
        <v>0</v>
      </c>
      <c r="AL286" s="264">
        <f>IF(NFI_Expiration=1,IF($A286&lt;VLOOKUP(M$5,NFI,5,0),1,0)*Table_NFI[[#This Row],[Winter Blanket]],Table_NFI[[#This Row],[Winter Blanket]])</f>
        <v>0</v>
      </c>
      <c r="AM286" s="264">
        <f>IF(Table_NFI[[#This Row],[Winter Clothes Adult]]+Table_NFI[[#This Row],[Winter Clothes Children]]+Table_NFI[[#This Row],[Winter Items Other]]+Table_NFI[[#This Row],[Winter Blanket]]&gt;0,1,0)</f>
        <v>0</v>
      </c>
      <c r="AN286" s="296">
        <f>IF(NFI_Expiration=1,IF($A286&lt;VLOOKUP(V$5,NFI,5,0),1,0)*Table_NFI[[#This Row],[Jerry Can]],Table_NFI[Jerry Can])</f>
        <v>0</v>
      </c>
      <c r="AO286" s="296">
        <f>IF(NFI_Expiration=1,IF($A286&lt;VLOOKUP(V$5,NFI,5,0),1,0)*Table_NFI[[#This Row],[Shelter Tool kit]],Table_NFI[Shelter Tool kit])</f>
        <v>0</v>
      </c>
      <c r="AP286" s="296">
        <f>IF(NFI_Expiration=1,IF($A286&lt;VLOOKUP(V$5,NFI,5,0),1,0)*Table_NFI[[#This Row],[Tent]],Table_NFI[Tent])</f>
        <v>0</v>
      </c>
      <c r="AQ286" s="396" t="str">
        <f>IFERROR(VLOOKUP(Table_NFI[[#This Row],[Camp Name]],CL,2,0),"")</f>
        <v>MMR001CMP069</v>
      </c>
      <c r="AR286" s="702">
        <f ca="1">IF(Table_NFI[[#This Row],[Pcode]]="","",IF(OFFSET(CampList[Opening Date],MATCH(Table_NFI[[#This Row],[Pcode]],CampList[CP_Pcode],0)-1,0,1,1)&gt;=NFI_Monitor_Date,1,0))</f>
        <v>0</v>
      </c>
      <c r="AS286" s="396" t="str">
        <f>IFERROR(VLOOKUP(Table_NFI[[#This Row],[Camp Name]],CL,3,0),"")</f>
        <v>Open</v>
      </c>
      <c r="AT286" s="264" t="str">
        <f ca="1">IF(Table_NFI[[#This Row],[Pcode]]="","",OFFSET(CampList[Priority],MATCH(Table_NFI[[#This Row],[Pcode]],CampList[CP_Pcode],0)-1,0,1,1))</f>
        <v>P3</v>
      </c>
      <c r="AU286" s="263">
        <f>IFERROR(Table_NFI[[#This Row],[Kitchen Set]]/VLOOKUP(Table_NFI[[#This Row],[Camp Name]],CL,4,0),"")</f>
        <v>0</v>
      </c>
      <c r="AV286" s="390"/>
      <c r="AW286" s="392"/>
      <c r="AX286" s="399"/>
      <c r="AY286" s="399"/>
      <c r="AZ286" s="399"/>
      <c r="BA286" s="399"/>
      <c r="BB286" s="399"/>
      <c r="BC286" s="399"/>
      <c r="BD286" s="399"/>
      <c r="BE286" s="399"/>
      <c r="BF286" s="399"/>
      <c r="BG286" s="399"/>
      <c r="BH286" s="399"/>
      <c r="BI286" s="399"/>
      <c r="BJ286" s="399"/>
      <c r="BK286" s="399"/>
      <c r="BL286" s="399"/>
      <c r="BM286" s="399"/>
      <c r="BN286" s="399"/>
      <c r="BO286" s="399"/>
      <c r="BP286" s="399"/>
      <c r="BQ286" s="399"/>
      <c r="BR286" s="399"/>
      <c r="BS286" s="399"/>
      <c r="BT286" s="399"/>
      <c r="BU286" s="399"/>
      <c r="BV286" s="399"/>
      <c r="BW286" s="399"/>
      <c r="BX286" s="399"/>
      <c r="BY286" s="399"/>
      <c r="BZ286" s="399"/>
      <c r="CA286" s="399"/>
      <c r="CB286" s="399"/>
      <c r="CC286" s="399"/>
      <c r="CD286" s="399"/>
      <c r="CE286" s="399"/>
      <c r="CF286" s="399"/>
      <c r="CG286" s="399"/>
      <c r="CH286" s="399"/>
      <c r="CI286" s="399"/>
      <c r="CJ286" s="399"/>
      <c r="CK286" s="399"/>
      <c r="CL286" s="399"/>
      <c r="CM286" s="399"/>
      <c r="CN286" s="399"/>
      <c r="CO286" s="399"/>
      <c r="CP286" s="399"/>
      <c r="CQ286" s="399"/>
      <c r="CR286" s="399"/>
      <c r="CS286" s="399"/>
      <c r="CT286" s="399"/>
      <c r="CU286" s="399"/>
      <c r="CV286" s="399"/>
      <c r="CW286" s="399"/>
      <c r="CX286" s="399"/>
      <c r="CY286" s="399"/>
      <c r="CZ286" s="399"/>
      <c r="DA286" s="399"/>
      <c r="DB286" s="399"/>
      <c r="DC286" s="399"/>
      <c r="DD286" s="399"/>
      <c r="DE286" s="399"/>
      <c r="DF286" s="399"/>
      <c r="DG286" s="399"/>
      <c r="DH286" s="399"/>
      <c r="DI286" s="399"/>
      <c r="DJ286" s="399"/>
      <c r="DK286" s="399"/>
      <c r="DL286" s="399"/>
      <c r="DM286" s="399"/>
      <c r="DN286" s="399"/>
      <c r="DO286" s="399"/>
      <c r="DP286" s="399"/>
      <c r="DQ286" s="399"/>
    </row>
    <row r="287" spans="1:121" s="760" customFormat="1" ht="14.45" customHeight="1" x14ac:dyDescent="0.2">
      <c r="A287" s="266">
        <f t="shared" si="4"/>
        <v>28.866666666666667</v>
      </c>
      <c r="B287" s="389">
        <v>41990</v>
      </c>
      <c r="C287" s="390" t="s">
        <v>904</v>
      </c>
      <c r="D287" s="391" t="s">
        <v>904</v>
      </c>
      <c r="E287" s="390" t="s">
        <v>380</v>
      </c>
      <c r="F287" s="262" t="s">
        <v>185</v>
      </c>
      <c r="G287" s="262" t="s">
        <v>190</v>
      </c>
      <c r="H287" s="261"/>
      <c r="I287" s="261"/>
      <c r="J287" s="764">
        <v>283</v>
      </c>
      <c r="K287" s="261"/>
      <c r="L287" s="261"/>
      <c r="M287" s="261"/>
      <c r="N287" s="261"/>
      <c r="O287" s="261"/>
      <c r="P287" s="261"/>
      <c r="Q287" s="261"/>
      <c r="R287" s="261"/>
      <c r="S287" s="261"/>
      <c r="T287" s="261"/>
      <c r="U287" s="261"/>
      <c r="V287" s="762"/>
      <c r="W287" s="261"/>
      <c r="X287" s="261"/>
      <c r="Y287" s="264">
        <f>IF(NFI_Expiration=1,IF($A287&lt;VLOOKUP(H$5,NFI,5,0),1,0)*Table_NFI[[#This Row],[Hygiene Kit]],Table_NFI[Hygiene Kit])</f>
        <v>0</v>
      </c>
      <c r="Z287" s="264">
        <f>IF(NFI_Expiration=1,IF($A287&lt;VLOOKUP(I$5,NFI,5,0),1,0)*Table_NFI[[#This Row],[NFI Core Kit]],Table_NFI[NFI Core Kit])</f>
        <v>0</v>
      </c>
      <c r="AA287" s="264">
        <f>IF(NFI_Expiration=1,IF($A287&lt;VLOOKUP(J$5,NFI,5,0),1,0)*Table_NFI[[#This Row],[Sanitary Kit]],Table_NFI[Sanitary Kit])</f>
        <v>0</v>
      </c>
      <c r="AB287" s="264">
        <f>IF(NFI_Expiration=1,IF($A287&lt;VLOOKUP(K$5,NFI,5,0),1,0)*Table_NFI[[#This Row],[Mosquito net]],Table_NFI[Mosquito net])</f>
        <v>0</v>
      </c>
      <c r="AC287" s="264">
        <f>IF(NFI_Expiration=1,IF($A287&lt;VLOOKUP(L$5,NFI,5,0),1,0)*Table_NFI[[#This Row],[Tarpaulin]],Table_NFI[[#This Row],[Tarpaulin]])</f>
        <v>0</v>
      </c>
      <c r="AD287" s="264">
        <f>IF(NFI_Expiration=1,IF($A287&lt;VLOOKUP(M$5,NFI,5,0),1,0)*Table_NFI[[#This Row],[Blanket]],Table_NFI[[#This Row],[Blanket]])</f>
        <v>0</v>
      </c>
      <c r="AE287" s="264">
        <f>IF(NFI_Expiration=1,IF($A287&lt;VLOOKUP(N$5,NFI,5,0),1,0)*Table_NFI[[#This Row],[Kitchen Set]],Table_NFI[Kitchen Set])</f>
        <v>0</v>
      </c>
      <c r="AF287" s="264">
        <f>IF(NFI_Expiration=1,IF($A287&lt;VLOOKUP(O$5,NFI,5,0),1,0)*Table_NFI[[#This Row],[Clothes Kit]],Table_NFI[Clothes Kit])</f>
        <v>0</v>
      </c>
      <c r="AG287" s="264">
        <f>IF(NFI_Expiration=1,IF($A287&lt;VLOOKUP(P$5,NFI,5,0),1,0)*Table_NFI[[#This Row],[Plastic Bucket]],Table_NFI[Plastic Bucket])</f>
        <v>0</v>
      </c>
      <c r="AH287" s="264">
        <f>IF(NFI_Expiration=1,IF($A287&lt;VLOOKUP(Q$5,NFI,5,0),1,0)*Table_NFI[[#This Row],[Plastic Mat]],Table_NFI[Plastic Mat])*IF(Table_NFI[[#This Row],[Distribution Date]]&gt;"2014-04-01",1,2.5)</f>
        <v>0</v>
      </c>
      <c r="AI287" s="264">
        <f>IF(NFI_Expiration=1,IF($A287&lt;VLOOKUP(R$5,NFI,5,0),1,0)*Table_NFI[[#This Row],[Winter Clothes Adult]],Table_NFI[Winter Clothes Adult])</f>
        <v>0</v>
      </c>
      <c r="AJ287" s="264">
        <f>IF(NFI_Expiration=1,IF($A287&lt;VLOOKUP(S$5,NFI,5,0),1,0)*Table_NFI[[#This Row],[Winter Clothes Children]],Table_NFI[Winter Clothes Children])</f>
        <v>0</v>
      </c>
      <c r="AK287" s="264">
        <f>IF(NFI_Expiration=1,IF($A287&lt;VLOOKUP(T$5,NFI,5,0),1,0)*Table_NFI[[#This Row],[Winter Items Other]],Table_NFI[Winter Items Other])</f>
        <v>0</v>
      </c>
      <c r="AL287" s="264">
        <f>IF(NFI_Expiration=1,IF($A287&lt;VLOOKUP(M$5,NFI,5,0),1,0)*Table_NFI[[#This Row],[Winter Blanket]],Table_NFI[[#This Row],[Winter Blanket]])</f>
        <v>0</v>
      </c>
      <c r="AM287" s="264">
        <f>IF(Table_NFI[[#This Row],[Winter Clothes Adult]]+Table_NFI[[#This Row],[Winter Clothes Children]]+Table_NFI[[#This Row],[Winter Items Other]]+Table_NFI[[#This Row],[Winter Blanket]]&gt;0,1,0)</f>
        <v>0</v>
      </c>
      <c r="AN287" s="296">
        <f>IF(NFI_Expiration=1,IF($A287&lt;VLOOKUP(V$5,NFI,5,0),1,0)*Table_NFI[[#This Row],[Jerry Can]],Table_NFI[Jerry Can])</f>
        <v>0</v>
      </c>
      <c r="AO287" s="296">
        <f>IF(NFI_Expiration=1,IF($A287&lt;VLOOKUP(V$5,NFI,5,0),1,0)*Table_NFI[[#This Row],[Shelter Tool kit]],Table_NFI[Shelter Tool kit])</f>
        <v>0</v>
      </c>
      <c r="AP287" s="296">
        <f>IF(NFI_Expiration=1,IF($A287&lt;VLOOKUP(V$5,NFI,5,0),1,0)*Table_NFI[[#This Row],[Tent]],Table_NFI[Tent])</f>
        <v>0</v>
      </c>
      <c r="AQ287" s="396" t="str">
        <f>IFERROR(VLOOKUP(Table_NFI[[#This Row],[Camp Name]],CL,2,0),"")</f>
        <v>MMR001CMP070</v>
      </c>
      <c r="AR287" s="702">
        <f ca="1">IF(Table_NFI[[#This Row],[Pcode]]="","",IF(OFFSET(CampList[Opening Date],MATCH(Table_NFI[[#This Row],[Pcode]],CampList[CP_Pcode],0)-1,0,1,1)&gt;=NFI_Monitor_Date,1,0))</f>
        <v>0</v>
      </c>
      <c r="AS287" s="396" t="str">
        <f>IFERROR(VLOOKUP(Table_NFI[[#This Row],[Camp Name]],CL,3,0),"")</f>
        <v>Open</v>
      </c>
      <c r="AT287" s="264" t="str">
        <f ca="1">IF(Table_NFI[[#This Row],[Pcode]]="","",OFFSET(CampList[Priority],MATCH(Table_NFI[[#This Row],[Pcode]],CampList[CP_Pcode],0)-1,0,1,1))</f>
        <v>P3</v>
      </c>
      <c r="AU287" s="263">
        <f>IFERROR(Table_NFI[[#This Row],[Kitchen Set]]/VLOOKUP(Table_NFI[[#This Row],[Camp Name]],CL,4,0),"")</f>
        <v>0</v>
      </c>
      <c r="AV287" s="390"/>
      <c r="AW287" s="392"/>
      <c r="AX287" s="399"/>
      <c r="AY287" s="399"/>
      <c r="AZ287" s="399"/>
      <c r="BA287" s="399"/>
      <c r="BB287" s="399"/>
      <c r="BC287" s="399"/>
      <c r="BD287" s="399"/>
      <c r="BE287" s="399"/>
      <c r="BF287" s="399"/>
      <c r="BG287" s="399"/>
      <c r="BH287" s="399"/>
      <c r="BI287" s="399"/>
      <c r="BJ287" s="399"/>
      <c r="BK287" s="399"/>
      <c r="BL287" s="399"/>
      <c r="BM287" s="399"/>
      <c r="BN287" s="399"/>
      <c r="BO287" s="399"/>
      <c r="BP287" s="399"/>
      <c r="BQ287" s="399"/>
      <c r="BR287" s="399"/>
      <c r="BS287" s="399"/>
      <c r="BT287" s="399"/>
      <c r="BU287" s="399"/>
      <c r="BV287" s="399"/>
      <c r="BW287" s="399"/>
      <c r="BX287" s="399"/>
      <c r="BY287" s="399"/>
      <c r="BZ287" s="399"/>
      <c r="CA287" s="399"/>
      <c r="CB287" s="399"/>
      <c r="CC287" s="399"/>
      <c r="CD287" s="399"/>
      <c r="CE287" s="399"/>
      <c r="CF287" s="399"/>
      <c r="CG287" s="399"/>
      <c r="CH287" s="399"/>
      <c r="CI287" s="399"/>
      <c r="CJ287" s="399"/>
      <c r="CK287" s="399"/>
      <c r="CL287" s="399"/>
      <c r="CM287" s="399"/>
      <c r="CN287" s="399"/>
      <c r="CO287" s="399"/>
      <c r="CP287" s="399"/>
      <c r="CQ287" s="399"/>
      <c r="CR287" s="399"/>
      <c r="CS287" s="399"/>
      <c r="CT287" s="399"/>
      <c r="CU287" s="399"/>
      <c r="CV287" s="399"/>
      <c r="CW287" s="399"/>
      <c r="CX287" s="399"/>
      <c r="CY287" s="399"/>
      <c r="CZ287" s="399"/>
      <c r="DA287" s="399"/>
      <c r="DB287" s="399"/>
      <c r="DC287" s="399"/>
      <c r="DD287" s="399"/>
      <c r="DE287" s="399"/>
      <c r="DF287" s="399"/>
      <c r="DG287" s="399"/>
      <c r="DH287" s="399"/>
      <c r="DI287" s="399"/>
      <c r="DJ287" s="399"/>
      <c r="DK287" s="399"/>
      <c r="DL287" s="399"/>
      <c r="DM287" s="399"/>
      <c r="DN287" s="399"/>
      <c r="DO287" s="399"/>
      <c r="DP287" s="399"/>
      <c r="DQ287" s="399"/>
    </row>
    <row r="288" spans="1:121" s="760" customFormat="1" ht="14.45" customHeight="1" x14ac:dyDescent="0.2">
      <c r="A288" s="266">
        <f t="shared" si="4"/>
        <v>29.1</v>
      </c>
      <c r="B288" s="389">
        <v>41983</v>
      </c>
      <c r="C288" s="390" t="s">
        <v>904</v>
      </c>
      <c r="D288" s="390" t="s">
        <v>904</v>
      </c>
      <c r="E288" s="390" t="s">
        <v>380</v>
      </c>
      <c r="F288" s="390" t="s">
        <v>5</v>
      </c>
      <c r="G288" s="390" t="s">
        <v>366</v>
      </c>
      <c r="H288" s="261"/>
      <c r="I288" s="261"/>
      <c r="J288" s="764">
        <v>245</v>
      </c>
      <c r="K288" s="261"/>
      <c r="L288" s="261"/>
      <c r="M288" s="261"/>
      <c r="N288" s="261"/>
      <c r="O288" s="261"/>
      <c r="P288" s="261"/>
      <c r="Q288" s="261"/>
      <c r="R288" s="261"/>
      <c r="S288" s="261"/>
      <c r="T288" s="261"/>
      <c r="U288" s="261"/>
      <c r="V288" s="762"/>
      <c r="W288" s="261"/>
      <c r="X288" s="261"/>
      <c r="Y288" s="264">
        <f>IF(NFI_Expiration=1,IF($A288&lt;VLOOKUP(H$5,NFI,5,0),1,0)*Table_NFI[[#This Row],[Hygiene Kit]],Table_NFI[Hygiene Kit])</f>
        <v>0</v>
      </c>
      <c r="Z288" s="264">
        <f>IF(NFI_Expiration=1,IF($A288&lt;VLOOKUP(I$5,NFI,5,0),1,0)*Table_NFI[[#This Row],[NFI Core Kit]],Table_NFI[NFI Core Kit])</f>
        <v>0</v>
      </c>
      <c r="AA288" s="264">
        <f>IF(NFI_Expiration=1,IF($A288&lt;VLOOKUP(J$5,NFI,5,0),1,0)*Table_NFI[[#This Row],[Sanitary Kit]],Table_NFI[Sanitary Kit])</f>
        <v>0</v>
      </c>
      <c r="AB288" s="264">
        <f>IF(NFI_Expiration=1,IF($A288&lt;VLOOKUP(K$5,NFI,5,0),1,0)*Table_NFI[[#This Row],[Mosquito net]],Table_NFI[Mosquito net])</f>
        <v>0</v>
      </c>
      <c r="AC288" s="264">
        <f>IF(NFI_Expiration=1,IF($A288&lt;VLOOKUP(L$5,NFI,5,0),1,0)*Table_NFI[[#This Row],[Tarpaulin]],Table_NFI[[#This Row],[Tarpaulin]])</f>
        <v>0</v>
      </c>
      <c r="AD288" s="264">
        <f>IF(NFI_Expiration=1,IF($A288&lt;VLOOKUP(M$5,NFI,5,0),1,0)*Table_NFI[[#This Row],[Blanket]],Table_NFI[[#This Row],[Blanket]])</f>
        <v>0</v>
      </c>
      <c r="AE288" s="264">
        <f>IF(NFI_Expiration=1,IF($A288&lt;VLOOKUP(N$5,NFI,5,0),1,0)*Table_NFI[[#This Row],[Kitchen Set]],Table_NFI[Kitchen Set])</f>
        <v>0</v>
      </c>
      <c r="AF288" s="264">
        <f>IF(NFI_Expiration=1,IF($A288&lt;VLOOKUP(O$5,NFI,5,0),1,0)*Table_NFI[[#This Row],[Clothes Kit]],Table_NFI[Clothes Kit])</f>
        <v>0</v>
      </c>
      <c r="AG288" s="264">
        <f>IF(NFI_Expiration=1,IF($A288&lt;VLOOKUP(P$5,NFI,5,0),1,0)*Table_NFI[[#This Row],[Plastic Bucket]],Table_NFI[Plastic Bucket])</f>
        <v>0</v>
      </c>
      <c r="AH288" s="264">
        <f>IF(NFI_Expiration=1,IF($A288&lt;VLOOKUP(Q$5,NFI,5,0),1,0)*Table_NFI[[#This Row],[Plastic Mat]],Table_NFI[Plastic Mat])*IF(Table_NFI[[#This Row],[Distribution Date]]&gt;"2014-04-01",1,2.5)</f>
        <v>0</v>
      </c>
      <c r="AI288" s="264">
        <f>IF(NFI_Expiration=1,IF($A288&lt;VLOOKUP(R$5,NFI,5,0),1,0)*Table_NFI[[#This Row],[Winter Clothes Adult]],Table_NFI[Winter Clothes Adult])</f>
        <v>0</v>
      </c>
      <c r="AJ288" s="264">
        <f>IF(NFI_Expiration=1,IF($A288&lt;VLOOKUP(S$5,NFI,5,0),1,0)*Table_NFI[[#This Row],[Winter Clothes Children]],Table_NFI[Winter Clothes Children])</f>
        <v>0</v>
      </c>
      <c r="AK288" s="264">
        <f>IF(NFI_Expiration=1,IF($A288&lt;VLOOKUP(T$5,NFI,5,0),1,0)*Table_NFI[[#This Row],[Winter Items Other]],Table_NFI[Winter Items Other])</f>
        <v>0</v>
      </c>
      <c r="AL288" s="264">
        <f>IF(NFI_Expiration=1,IF($A288&lt;VLOOKUP(M$5,NFI,5,0),1,0)*Table_NFI[[#This Row],[Winter Blanket]],Table_NFI[[#This Row],[Winter Blanket]])</f>
        <v>0</v>
      </c>
      <c r="AM288" s="264">
        <f>IF(Table_NFI[[#This Row],[Winter Clothes Adult]]+Table_NFI[[#This Row],[Winter Clothes Children]]+Table_NFI[[#This Row],[Winter Items Other]]+Table_NFI[[#This Row],[Winter Blanket]]&gt;0,1,0)</f>
        <v>0</v>
      </c>
      <c r="AN288" s="296">
        <f>IF(NFI_Expiration=1,IF($A288&lt;VLOOKUP(V$5,NFI,5,0),1,0)*Table_NFI[[#This Row],[Jerry Can]],Table_NFI[Jerry Can])</f>
        <v>0</v>
      </c>
      <c r="AO288" s="296">
        <f>IF(NFI_Expiration=1,IF($A288&lt;VLOOKUP(V$5,NFI,5,0),1,0)*Table_NFI[[#This Row],[Shelter Tool kit]],Table_NFI[Shelter Tool kit])</f>
        <v>0</v>
      </c>
      <c r="AP288" s="296">
        <f>IF(NFI_Expiration=1,IF($A288&lt;VLOOKUP(V$5,NFI,5,0),1,0)*Table_NFI[[#This Row],[Tent]],Table_NFI[Tent])</f>
        <v>0</v>
      </c>
      <c r="AQ288" s="396" t="str">
        <f>IFERROR(VLOOKUP(Table_NFI[[#This Row],[Camp Name]],CL,2,0),"")</f>
        <v>MMR001CMP193</v>
      </c>
      <c r="AR288" s="702">
        <f ca="1">IF(Table_NFI[[#This Row],[Pcode]]="","",IF(OFFSET(CampList[Opening Date],MATCH(Table_NFI[[#This Row],[Pcode]],CampList[CP_Pcode],0)-1,0,1,1)&gt;=NFI_Monitor_Date,1,0))</f>
        <v>0</v>
      </c>
      <c r="AS288" s="396" t="str">
        <f>IFERROR(VLOOKUP(Table_NFI[[#This Row],[Camp Name]],CL,3,0),"")</f>
        <v>Open</v>
      </c>
      <c r="AT288" s="264" t="str">
        <f ca="1">IF(Table_NFI[[#This Row],[Pcode]]="","",OFFSET(CampList[Priority],MATCH(Table_NFI[[#This Row],[Pcode]],CampList[CP_Pcode],0)-1,0,1,1))</f>
        <v>P4</v>
      </c>
      <c r="AU288" s="263">
        <f>IFERROR(Table_NFI[[#This Row],[Kitchen Set]]/VLOOKUP(Table_NFI[[#This Row],[Camp Name]],CL,4,0),"")</f>
        <v>0</v>
      </c>
      <c r="AV288" s="390"/>
      <c r="AW288" s="392"/>
      <c r="AX288" s="399"/>
      <c r="AY288" s="399"/>
      <c r="AZ288" s="399"/>
      <c r="BA288" s="399"/>
      <c r="BB288" s="399"/>
      <c r="BC288" s="399"/>
      <c r="BD288" s="399"/>
      <c r="BE288" s="399"/>
      <c r="BF288" s="399"/>
      <c r="BG288" s="399"/>
      <c r="BH288" s="399"/>
      <c r="BI288" s="399"/>
      <c r="BJ288" s="399"/>
      <c r="BK288" s="399"/>
      <c r="BL288" s="399"/>
      <c r="BM288" s="399"/>
      <c r="BN288" s="399"/>
      <c r="BO288" s="399"/>
      <c r="BP288" s="399"/>
      <c r="BQ288" s="399"/>
      <c r="BR288" s="399"/>
      <c r="BS288" s="399"/>
      <c r="BT288" s="399"/>
      <c r="BU288" s="399"/>
      <c r="BV288" s="399"/>
      <c r="BW288" s="399"/>
      <c r="BX288" s="399"/>
      <c r="BY288" s="399"/>
      <c r="BZ288" s="399"/>
      <c r="CA288" s="399"/>
      <c r="CB288" s="399"/>
      <c r="CC288" s="399"/>
      <c r="CD288" s="399"/>
      <c r="CE288" s="399"/>
      <c r="CF288" s="399"/>
      <c r="CG288" s="399"/>
      <c r="CH288" s="399"/>
      <c r="CI288" s="399"/>
      <c r="CJ288" s="399"/>
      <c r="CK288" s="399"/>
      <c r="CL288" s="399"/>
      <c r="CM288" s="399"/>
      <c r="CN288" s="399"/>
      <c r="CO288" s="399"/>
      <c r="CP288" s="399"/>
      <c r="CQ288" s="399"/>
      <c r="CR288" s="399"/>
      <c r="CS288" s="399"/>
      <c r="CT288" s="399"/>
      <c r="CU288" s="399"/>
      <c r="CV288" s="399"/>
      <c r="CW288" s="399"/>
      <c r="CX288" s="399"/>
      <c r="CY288" s="399"/>
      <c r="CZ288" s="399"/>
      <c r="DA288" s="399"/>
      <c r="DB288" s="399"/>
      <c r="DC288" s="399"/>
      <c r="DD288" s="399"/>
      <c r="DE288" s="399"/>
      <c r="DF288" s="399"/>
      <c r="DG288" s="399"/>
      <c r="DH288" s="399"/>
      <c r="DI288" s="399"/>
      <c r="DJ288" s="399"/>
      <c r="DK288" s="399"/>
      <c r="DL288" s="399"/>
      <c r="DM288" s="399"/>
      <c r="DN288" s="399"/>
      <c r="DO288" s="399"/>
      <c r="DP288" s="399"/>
      <c r="DQ288" s="399"/>
    </row>
    <row r="289" spans="1:121" s="760" customFormat="1" ht="14.45" customHeight="1" x14ac:dyDescent="0.2">
      <c r="A289" s="266">
        <f t="shared" si="4"/>
        <v>29.1</v>
      </c>
      <c r="B289" s="389">
        <v>41983</v>
      </c>
      <c r="C289" s="390" t="s">
        <v>904</v>
      </c>
      <c r="D289" s="390" t="s">
        <v>904</v>
      </c>
      <c r="E289" s="390" t="s">
        <v>380</v>
      </c>
      <c r="F289" s="390" t="s">
        <v>5</v>
      </c>
      <c r="G289" s="390" t="s">
        <v>24</v>
      </c>
      <c r="H289" s="261"/>
      <c r="I289" s="261"/>
      <c r="J289" s="764">
        <v>55</v>
      </c>
      <c r="K289" s="261"/>
      <c r="L289" s="261"/>
      <c r="M289" s="261"/>
      <c r="N289" s="261"/>
      <c r="O289" s="261"/>
      <c r="P289" s="261"/>
      <c r="Q289" s="261"/>
      <c r="R289" s="261"/>
      <c r="S289" s="261"/>
      <c r="T289" s="261"/>
      <c r="U289" s="261"/>
      <c r="V289" s="762"/>
      <c r="W289" s="261"/>
      <c r="X289" s="261"/>
      <c r="Y289" s="264">
        <f>IF(NFI_Expiration=1,IF($A289&lt;VLOOKUP(H$5,NFI,5,0),1,0)*Table_NFI[[#This Row],[Hygiene Kit]],Table_NFI[Hygiene Kit])</f>
        <v>0</v>
      </c>
      <c r="Z289" s="264">
        <f>IF(NFI_Expiration=1,IF($A289&lt;VLOOKUP(I$5,NFI,5,0),1,0)*Table_NFI[[#This Row],[NFI Core Kit]],Table_NFI[NFI Core Kit])</f>
        <v>0</v>
      </c>
      <c r="AA289" s="264">
        <f>IF(NFI_Expiration=1,IF($A289&lt;VLOOKUP(J$5,NFI,5,0),1,0)*Table_NFI[[#This Row],[Sanitary Kit]],Table_NFI[Sanitary Kit])</f>
        <v>0</v>
      </c>
      <c r="AB289" s="264">
        <f>IF(NFI_Expiration=1,IF($A289&lt;VLOOKUP(K$5,NFI,5,0),1,0)*Table_NFI[[#This Row],[Mosquito net]],Table_NFI[Mosquito net])</f>
        <v>0</v>
      </c>
      <c r="AC289" s="264">
        <f>IF(NFI_Expiration=1,IF($A289&lt;VLOOKUP(L$5,NFI,5,0),1,0)*Table_NFI[[#This Row],[Tarpaulin]],Table_NFI[[#This Row],[Tarpaulin]])</f>
        <v>0</v>
      </c>
      <c r="AD289" s="264">
        <f>IF(NFI_Expiration=1,IF($A289&lt;VLOOKUP(M$5,NFI,5,0),1,0)*Table_NFI[[#This Row],[Blanket]],Table_NFI[[#This Row],[Blanket]])</f>
        <v>0</v>
      </c>
      <c r="AE289" s="264">
        <f>IF(NFI_Expiration=1,IF($A289&lt;VLOOKUP(N$5,NFI,5,0),1,0)*Table_NFI[[#This Row],[Kitchen Set]],Table_NFI[Kitchen Set])</f>
        <v>0</v>
      </c>
      <c r="AF289" s="264">
        <f>IF(NFI_Expiration=1,IF($A289&lt;VLOOKUP(O$5,NFI,5,0),1,0)*Table_NFI[[#This Row],[Clothes Kit]],Table_NFI[Clothes Kit])</f>
        <v>0</v>
      </c>
      <c r="AG289" s="264">
        <f>IF(NFI_Expiration=1,IF($A289&lt;VLOOKUP(P$5,NFI,5,0),1,0)*Table_NFI[[#This Row],[Plastic Bucket]],Table_NFI[Plastic Bucket])</f>
        <v>0</v>
      </c>
      <c r="AH289" s="264">
        <f>IF(NFI_Expiration=1,IF($A289&lt;VLOOKUP(Q$5,NFI,5,0),1,0)*Table_NFI[[#This Row],[Plastic Mat]],Table_NFI[Plastic Mat])*IF(Table_NFI[[#This Row],[Distribution Date]]&gt;"2014-04-01",1,2.5)</f>
        <v>0</v>
      </c>
      <c r="AI289" s="264">
        <f>IF(NFI_Expiration=1,IF($A289&lt;VLOOKUP(R$5,NFI,5,0),1,0)*Table_NFI[[#This Row],[Winter Clothes Adult]],Table_NFI[Winter Clothes Adult])</f>
        <v>0</v>
      </c>
      <c r="AJ289" s="264">
        <f>IF(NFI_Expiration=1,IF($A289&lt;VLOOKUP(S$5,NFI,5,0),1,0)*Table_NFI[[#This Row],[Winter Clothes Children]],Table_NFI[Winter Clothes Children])</f>
        <v>0</v>
      </c>
      <c r="AK289" s="264">
        <f>IF(NFI_Expiration=1,IF($A289&lt;VLOOKUP(T$5,NFI,5,0),1,0)*Table_NFI[[#This Row],[Winter Items Other]],Table_NFI[Winter Items Other])</f>
        <v>0</v>
      </c>
      <c r="AL289" s="264">
        <f>IF(NFI_Expiration=1,IF($A289&lt;VLOOKUP(M$5,NFI,5,0),1,0)*Table_NFI[[#This Row],[Winter Blanket]],Table_NFI[[#This Row],[Winter Blanket]])</f>
        <v>0</v>
      </c>
      <c r="AM289" s="264">
        <f>IF(Table_NFI[[#This Row],[Winter Clothes Adult]]+Table_NFI[[#This Row],[Winter Clothes Children]]+Table_NFI[[#This Row],[Winter Items Other]]+Table_NFI[[#This Row],[Winter Blanket]]&gt;0,1,0)</f>
        <v>0</v>
      </c>
      <c r="AN289" s="296">
        <f>IF(NFI_Expiration=1,IF($A289&lt;VLOOKUP(V$5,NFI,5,0),1,0)*Table_NFI[[#This Row],[Jerry Can]],Table_NFI[Jerry Can])</f>
        <v>0</v>
      </c>
      <c r="AO289" s="296">
        <f>IF(NFI_Expiration=1,IF($A289&lt;VLOOKUP(V$5,NFI,5,0),1,0)*Table_NFI[[#This Row],[Shelter Tool kit]],Table_NFI[Shelter Tool kit])</f>
        <v>0</v>
      </c>
      <c r="AP289" s="296">
        <f>IF(NFI_Expiration=1,IF($A289&lt;VLOOKUP(V$5,NFI,5,0),1,0)*Table_NFI[[#This Row],[Tent]],Table_NFI[Tent])</f>
        <v>0</v>
      </c>
      <c r="AQ289" s="396" t="str">
        <f>IFERROR(VLOOKUP(Table_NFI[[#This Row],[Camp Name]],CL,2,0),"")</f>
        <v>MMR001CMP055</v>
      </c>
      <c r="AR289" s="702">
        <f ca="1">IF(Table_NFI[[#This Row],[Pcode]]="","",IF(OFFSET(CampList[Opening Date],MATCH(Table_NFI[[#This Row],[Pcode]],CampList[CP_Pcode],0)-1,0,1,1)&gt;=NFI_Monitor_Date,1,0))</f>
        <v>0</v>
      </c>
      <c r="AS289" s="396" t="str">
        <f>IFERROR(VLOOKUP(Table_NFI[[#This Row],[Camp Name]],CL,3,0),"")</f>
        <v>Open</v>
      </c>
      <c r="AT289" s="264" t="str">
        <f ca="1">IF(Table_NFI[[#This Row],[Pcode]]="","",OFFSET(CampList[Priority],MATCH(Table_NFI[[#This Row],[Pcode]],CampList[CP_Pcode],0)-1,0,1,1))</f>
        <v>P4</v>
      </c>
      <c r="AU289" s="263">
        <f>IFERROR(Table_NFI[[#This Row],[Kitchen Set]]/VLOOKUP(Table_NFI[[#This Row],[Camp Name]],CL,4,0),"")</f>
        <v>0</v>
      </c>
      <c r="AV289" s="390"/>
      <c r="AW289" s="392"/>
      <c r="AX289" s="399"/>
      <c r="AY289" s="399"/>
      <c r="AZ289" s="399"/>
      <c r="BA289" s="399"/>
      <c r="BB289" s="399"/>
      <c r="BC289" s="399"/>
      <c r="BD289" s="399"/>
      <c r="BE289" s="399"/>
      <c r="BF289" s="399"/>
      <c r="BG289" s="399"/>
      <c r="BH289" s="399"/>
      <c r="BI289" s="399"/>
      <c r="BJ289" s="399"/>
      <c r="BK289" s="399"/>
      <c r="BL289" s="399"/>
      <c r="BM289" s="399"/>
      <c r="BN289" s="399"/>
      <c r="BO289" s="399"/>
      <c r="BP289" s="399"/>
      <c r="BQ289" s="399"/>
      <c r="BR289" s="399"/>
      <c r="BS289" s="399"/>
      <c r="BT289" s="399"/>
      <c r="BU289" s="399"/>
      <c r="BV289" s="399"/>
      <c r="BW289" s="399"/>
      <c r="BX289" s="399"/>
      <c r="BY289" s="399"/>
      <c r="BZ289" s="399"/>
      <c r="CA289" s="399"/>
      <c r="CB289" s="399"/>
      <c r="CC289" s="399"/>
      <c r="CD289" s="399"/>
      <c r="CE289" s="399"/>
      <c r="CF289" s="399"/>
      <c r="CG289" s="399"/>
      <c r="CH289" s="399"/>
      <c r="CI289" s="399"/>
      <c r="CJ289" s="399"/>
      <c r="CK289" s="399"/>
      <c r="CL289" s="399"/>
      <c r="CM289" s="399"/>
      <c r="CN289" s="399"/>
      <c r="CO289" s="399"/>
      <c r="CP289" s="399"/>
      <c r="CQ289" s="399"/>
      <c r="CR289" s="399"/>
      <c r="CS289" s="399"/>
      <c r="CT289" s="399"/>
      <c r="CU289" s="399"/>
      <c r="CV289" s="399"/>
      <c r="CW289" s="399"/>
      <c r="CX289" s="399"/>
      <c r="CY289" s="399"/>
      <c r="CZ289" s="399"/>
      <c r="DA289" s="399"/>
      <c r="DB289" s="399"/>
      <c r="DC289" s="399"/>
      <c r="DD289" s="399"/>
      <c r="DE289" s="399"/>
      <c r="DF289" s="399"/>
      <c r="DG289" s="399"/>
      <c r="DH289" s="399"/>
      <c r="DI289" s="399"/>
      <c r="DJ289" s="399"/>
      <c r="DK289" s="399"/>
      <c r="DL289" s="399"/>
      <c r="DM289" s="399"/>
      <c r="DN289" s="399"/>
      <c r="DO289" s="399"/>
      <c r="DP289" s="399"/>
      <c r="DQ289" s="399"/>
    </row>
    <row r="290" spans="1:121" s="760" customFormat="1" ht="14.45" customHeight="1" x14ac:dyDescent="0.25">
      <c r="A290" s="266">
        <f t="shared" si="4"/>
        <v>29.1</v>
      </c>
      <c r="B290" s="389">
        <v>41983</v>
      </c>
      <c r="C290" s="390" t="s">
        <v>904</v>
      </c>
      <c r="D290" s="390" t="s">
        <v>904</v>
      </c>
      <c r="E290" s="390" t="s">
        <v>380</v>
      </c>
      <c r="F290" s="262" t="s">
        <v>185</v>
      </c>
      <c r="G290" s="262" t="s">
        <v>1415</v>
      </c>
      <c r="H290" s="261"/>
      <c r="I290" s="261"/>
      <c r="J290" s="261">
        <v>85</v>
      </c>
      <c r="K290" s="261"/>
      <c r="L290" s="261"/>
      <c r="M290" s="261"/>
      <c r="N290" s="261"/>
      <c r="O290" s="261"/>
      <c r="P290" s="261"/>
      <c r="Q290" s="261"/>
      <c r="R290" s="261"/>
      <c r="S290" s="261"/>
      <c r="T290" s="261"/>
      <c r="U290" s="261"/>
      <c r="V290" s="762"/>
      <c r="W290" s="261"/>
      <c r="X290" s="261"/>
      <c r="Y290" s="264">
        <f>IF(NFI_Expiration=1,IF($A290&lt;VLOOKUP(H$5,NFI,5,0),1,0)*Table_NFI[[#This Row],[Hygiene Kit]],Table_NFI[Hygiene Kit])</f>
        <v>0</v>
      </c>
      <c r="Z290" s="264">
        <f>IF(NFI_Expiration=1,IF($A290&lt;VLOOKUP(I$5,NFI,5,0),1,0)*Table_NFI[[#This Row],[NFI Core Kit]],Table_NFI[NFI Core Kit])</f>
        <v>0</v>
      </c>
      <c r="AA290" s="264">
        <f>IF(NFI_Expiration=1,IF($A290&lt;VLOOKUP(J$5,NFI,5,0),1,0)*Table_NFI[[#This Row],[Sanitary Kit]],Table_NFI[Sanitary Kit])</f>
        <v>0</v>
      </c>
      <c r="AB290" s="264">
        <f>IF(NFI_Expiration=1,IF($A290&lt;VLOOKUP(K$5,NFI,5,0),1,0)*Table_NFI[[#This Row],[Mosquito net]],Table_NFI[Mosquito net])</f>
        <v>0</v>
      </c>
      <c r="AC290" s="264">
        <f>IF(NFI_Expiration=1,IF($A290&lt;VLOOKUP(L$5,NFI,5,0),1,0)*Table_NFI[[#This Row],[Tarpaulin]],Table_NFI[[#This Row],[Tarpaulin]])</f>
        <v>0</v>
      </c>
      <c r="AD290" s="264">
        <f>IF(NFI_Expiration=1,IF($A290&lt;VLOOKUP(M$5,NFI,5,0),1,0)*Table_NFI[[#This Row],[Blanket]],Table_NFI[[#This Row],[Blanket]])</f>
        <v>0</v>
      </c>
      <c r="AE290" s="264">
        <f>IF(NFI_Expiration=1,IF($A290&lt;VLOOKUP(N$5,NFI,5,0),1,0)*Table_NFI[[#This Row],[Kitchen Set]],Table_NFI[Kitchen Set])</f>
        <v>0</v>
      </c>
      <c r="AF290" s="264">
        <f>IF(NFI_Expiration=1,IF($A290&lt;VLOOKUP(O$5,NFI,5,0),1,0)*Table_NFI[[#This Row],[Clothes Kit]],Table_NFI[Clothes Kit])</f>
        <v>0</v>
      </c>
      <c r="AG290" s="264">
        <f>IF(NFI_Expiration=1,IF($A290&lt;VLOOKUP(P$5,NFI,5,0),1,0)*Table_NFI[[#This Row],[Plastic Bucket]],Table_NFI[Plastic Bucket])</f>
        <v>0</v>
      </c>
      <c r="AH290" s="264">
        <f>IF(NFI_Expiration=1,IF($A290&lt;VLOOKUP(Q$5,NFI,5,0),1,0)*Table_NFI[[#This Row],[Plastic Mat]],Table_NFI[Plastic Mat])*IF(Table_NFI[[#This Row],[Distribution Date]]&gt;"2014-04-01",1,2.5)</f>
        <v>0</v>
      </c>
      <c r="AI290" s="264">
        <f>IF(NFI_Expiration=1,IF($A290&lt;VLOOKUP(R$5,NFI,5,0),1,0)*Table_NFI[[#This Row],[Winter Clothes Adult]],Table_NFI[Winter Clothes Adult])</f>
        <v>0</v>
      </c>
      <c r="AJ290" s="264">
        <f>IF(NFI_Expiration=1,IF($A290&lt;VLOOKUP(S$5,NFI,5,0),1,0)*Table_NFI[[#This Row],[Winter Clothes Children]],Table_NFI[Winter Clothes Children])</f>
        <v>0</v>
      </c>
      <c r="AK290" s="264">
        <f>IF(NFI_Expiration=1,IF($A290&lt;VLOOKUP(T$5,NFI,5,0),1,0)*Table_NFI[[#This Row],[Winter Items Other]],Table_NFI[Winter Items Other])</f>
        <v>0</v>
      </c>
      <c r="AL290" s="264">
        <f>IF(NFI_Expiration=1,IF($A290&lt;VLOOKUP(M$5,NFI,5,0),1,0)*Table_NFI[[#This Row],[Winter Blanket]],Table_NFI[[#This Row],[Winter Blanket]])</f>
        <v>0</v>
      </c>
      <c r="AM290" s="264">
        <f>IF(Table_NFI[[#This Row],[Winter Clothes Adult]]+Table_NFI[[#This Row],[Winter Clothes Children]]+Table_NFI[[#This Row],[Winter Items Other]]+Table_NFI[[#This Row],[Winter Blanket]]&gt;0,1,0)</f>
        <v>0</v>
      </c>
      <c r="AN290" s="296">
        <f>IF(NFI_Expiration=1,IF($A290&lt;VLOOKUP(V$5,NFI,5,0),1,0)*Table_NFI[[#This Row],[Jerry Can]],Table_NFI[Jerry Can])</f>
        <v>0</v>
      </c>
      <c r="AO290" s="296">
        <f>IF(NFI_Expiration=1,IF($A290&lt;VLOOKUP(V$5,NFI,5,0),1,0)*Table_NFI[[#This Row],[Shelter Tool kit]],Table_NFI[Shelter Tool kit])</f>
        <v>0</v>
      </c>
      <c r="AP290" s="296">
        <f>IF(NFI_Expiration=1,IF($A290&lt;VLOOKUP(V$5,NFI,5,0),1,0)*Table_NFI[[#This Row],[Tent]],Table_NFI[Tent])</f>
        <v>0</v>
      </c>
      <c r="AQ290" s="396" t="str">
        <f>IFERROR(VLOOKUP(Table_NFI[[#This Row],[Camp Name]],CL,2,0),"")</f>
        <v/>
      </c>
      <c r="AR290" s="702" t="str">
        <f ca="1">IF(Table_NFI[[#This Row],[Pcode]]="","",IF(OFFSET(CampList[Opening Date],MATCH(Table_NFI[[#This Row],[Pcode]],CampList[CP_Pcode],0)-1,0,1,1)&gt;=NFI_Monitor_Date,1,0))</f>
        <v/>
      </c>
      <c r="AS290" s="396" t="str">
        <f>IFERROR(VLOOKUP(Table_NFI[[#This Row],[Camp Name]],CL,3,0),"")</f>
        <v/>
      </c>
      <c r="AT290" s="264" t="str">
        <f ca="1">IF(Table_NFI[[#This Row],[Pcode]]="","",OFFSET(CampList[Priority],MATCH(Table_NFI[[#This Row],[Pcode]],CampList[CP_Pcode],0)-1,0,1,1))</f>
        <v/>
      </c>
      <c r="AU290" s="263" t="str">
        <f>IFERROR(Table_NFI[[#This Row],[Kitchen Set]]/VLOOKUP(Table_NFI[[#This Row],[Camp Name]],CL,4,0),"")</f>
        <v/>
      </c>
      <c r="AV290" s="390"/>
      <c r="AW290" s="392"/>
      <c r="AX290" s="399"/>
      <c r="AY290" s="399"/>
      <c r="AZ290" s="399"/>
      <c r="BA290" s="399"/>
      <c r="BB290" s="399"/>
      <c r="BC290" s="399"/>
      <c r="BD290" s="399"/>
      <c r="BE290" s="399"/>
      <c r="BF290" s="399"/>
      <c r="BG290" s="399"/>
      <c r="BH290" s="399"/>
      <c r="BI290" s="399"/>
      <c r="BJ290" s="399"/>
      <c r="BK290" s="399"/>
      <c r="BL290" s="399"/>
      <c r="BM290" s="399"/>
      <c r="BN290" s="399"/>
      <c r="BO290" s="399"/>
      <c r="BP290" s="399"/>
      <c r="BQ290" s="399"/>
      <c r="BR290" s="399"/>
      <c r="BS290" s="399"/>
      <c r="BT290" s="399"/>
      <c r="BU290" s="399"/>
      <c r="BV290" s="399"/>
      <c r="BW290" s="399"/>
      <c r="BX290" s="399"/>
      <c r="BY290" s="399"/>
      <c r="BZ290" s="399"/>
      <c r="CA290" s="399"/>
      <c r="CB290" s="399"/>
      <c r="CC290" s="399"/>
      <c r="CD290" s="399"/>
      <c r="CE290" s="399"/>
      <c r="CF290" s="399"/>
      <c r="CG290" s="399"/>
      <c r="CH290" s="399"/>
      <c r="CI290" s="399"/>
      <c r="CJ290" s="399"/>
      <c r="CK290" s="399"/>
      <c r="CL290" s="399"/>
      <c r="CM290" s="399"/>
      <c r="CN290" s="399"/>
      <c r="CO290" s="399"/>
      <c r="CP290" s="399"/>
      <c r="CQ290" s="399"/>
      <c r="CR290" s="399"/>
      <c r="CS290" s="399"/>
      <c r="CT290" s="399"/>
      <c r="CU290" s="399"/>
      <c r="CV290" s="399"/>
      <c r="CW290" s="399"/>
      <c r="CX290" s="399"/>
      <c r="CY290" s="399"/>
      <c r="CZ290" s="399"/>
      <c r="DA290" s="399"/>
      <c r="DB290" s="399"/>
      <c r="DC290" s="399"/>
      <c r="DD290" s="399"/>
      <c r="DE290" s="399"/>
      <c r="DF290" s="399"/>
      <c r="DG290" s="399"/>
      <c r="DH290" s="399"/>
      <c r="DI290" s="399"/>
      <c r="DJ290" s="399"/>
      <c r="DK290" s="399"/>
      <c r="DL290" s="399"/>
      <c r="DM290" s="399"/>
      <c r="DN290" s="399"/>
      <c r="DO290" s="399"/>
      <c r="DP290" s="399"/>
      <c r="DQ290" s="399"/>
    </row>
    <row r="291" spans="1:121" s="760" customFormat="1" ht="14.45" customHeight="1" x14ac:dyDescent="0.2">
      <c r="A291" s="266">
        <f t="shared" si="4"/>
        <v>29.1</v>
      </c>
      <c r="B291" s="389">
        <v>41983</v>
      </c>
      <c r="C291" s="390" t="s">
        <v>904</v>
      </c>
      <c r="D291" s="390" t="s">
        <v>904</v>
      </c>
      <c r="E291" s="390" t="s">
        <v>380</v>
      </c>
      <c r="F291" s="390" t="s">
        <v>185</v>
      </c>
      <c r="G291" s="262" t="s">
        <v>217</v>
      </c>
      <c r="H291" s="261"/>
      <c r="I291" s="261"/>
      <c r="J291" s="764">
        <v>33</v>
      </c>
      <c r="K291" s="261"/>
      <c r="L291" s="261"/>
      <c r="M291" s="261"/>
      <c r="N291" s="261"/>
      <c r="O291" s="261"/>
      <c r="P291" s="261"/>
      <c r="Q291" s="261"/>
      <c r="R291" s="261"/>
      <c r="S291" s="261"/>
      <c r="T291" s="261"/>
      <c r="U291" s="261"/>
      <c r="V291" s="762"/>
      <c r="W291" s="261"/>
      <c r="X291" s="261"/>
      <c r="Y291" s="264">
        <f>IF(NFI_Expiration=1,IF($A291&lt;VLOOKUP(H$5,NFI,5,0),1,0)*Table_NFI[[#This Row],[Hygiene Kit]],Table_NFI[Hygiene Kit])</f>
        <v>0</v>
      </c>
      <c r="Z291" s="264">
        <f>IF(NFI_Expiration=1,IF($A291&lt;VLOOKUP(I$5,NFI,5,0),1,0)*Table_NFI[[#This Row],[NFI Core Kit]],Table_NFI[NFI Core Kit])</f>
        <v>0</v>
      </c>
      <c r="AA291" s="264">
        <f>IF(NFI_Expiration=1,IF($A291&lt;VLOOKUP(J$5,NFI,5,0),1,0)*Table_NFI[[#This Row],[Sanitary Kit]],Table_NFI[Sanitary Kit])</f>
        <v>0</v>
      </c>
      <c r="AB291" s="264">
        <f>IF(NFI_Expiration=1,IF($A291&lt;VLOOKUP(K$5,NFI,5,0),1,0)*Table_NFI[[#This Row],[Mosquito net]],Table_NFI[Mosquito net])</f>
        <v>0</v>
      </c>
      <c r="AC291" s="264">
        <f>IF(NFI_Expiration=1,IF($A291&lt;VLOOKUP(L$5,NFI,5,0),1,0)*Table_NFI[[#This Row],[Tarpaulin]],Table_NFI[[#This Row],[Tarpaulin]])</f>
        <v>0</v>
      </c>
      <c r="AD291" s="264">
        <f>IF(NFI_Expiration=1,IF($A291&lt;VLOOKUP(M$5,NFI,5,0),1,0)*Table_NFI[[#This Row],[Blanket]],Table_NFI[[#This Row],[Blanket]])</f>
        <v>0</v>
      </c>
      <c r="AE291" s="264">
        <f>IF(NFI_Expiration=1,IF($A291&lt;VLOOKUP(N$5,NFI,5,0),1,0)*Table_NFI[[#This Row],[Kitchen Set]],Table_NFI[Kitchen Set])</f>
        <v>0</v>
      </c>
      <c r="AF291" s="264">
        <f>IF(NFI_Expiration=1,IF($A291&lt;VLOOKUP(O$5,NFI,5,0),1,0)*Table_NFI[[#This Row],[Clothes Kit]],Table_NFI[Clothes Kit])</f>
        <v>0</v>
      </c>
      <c r="AG291" s="264">
        <f>IF(NFI_Expiration=1,IF($A291&lt;VLOOKUP(P$5,NFI,5,0),1,0)*Table_NFI[[#This Row],[Plastic Bucket]],Table_NFI[Plastic Bucket])</f>
        <v>0</v>
      </c>
      <c r="AH291" s="264">
        <f>IF(NFI_Expiration=1,IF($A291&lt;VLOOKUP(Q$5,NFI,5,0),1,0)*Table_NFI[[#This Row],[Plastic Mat]],Table_NFI[Plastic Mat])*IF(Table_NFI[[#This Row],[Distribution Date]]&gt;"2014-04-01",1,2.5)</f>
        <v>0</v>
      </c>
      <c r="AI291" s="264">
        <f>IF(NFI_Expiration=1,IF($A291&lt;VLOOKUP(R$5,NFI,5,0),1,0)*Table_NFI[[#This Row],[Winter Clothes Adult]],Table_NFI[Winter Clothes Adult])</f>
        <v>0</v>
      </c>
      <c r="AJ291" s="264">
        <f>IF(NFI_Expiration=1,IF($A291&lt;VLOOKUP(S$5,NFI,5,0),1,0)*Table_NFI[[#This Row],[Winter Clothes Children]],Table_NFI[Winter Clothes Children])</f>
        <v>0</v>
      </c>
      <c r="AK291" s="264">
        <f>IF(NFI_Expiration=1,IF($A291&lt;VLOOKUP(T$5,NFI,5,0),1,0)*Table_NFI[[#This Row],[Winter Items Other]],Table_NFI[Winter Items Other])</f>
        <v>0</v>
      </c>
      <c r="AL291" s="264">
        <f>IF(NFI_Expiration=1,IF($A291&lt;VLOOKUP(M$5,NFI,5,0),1,0)*Table_NFI[[#This Row],[Winter Blanket]],Table_NFI[[#This Row],[Winter Blanket]])</f>
        <v>0</v>
      </c>
      <c r="AM291" s="264">
        <f>IF(Table_NFI[[#This Row],[Winter Clothes Adult]]+Table_NFI[[#This Row],[Winter Clothes Children]]+Table_NFI[[#This Row],[Winter Items Other]]+Table_NFI[[#This Row],[Winter Blanket]]&gt;0,1,0)</f>
        <v>0</v>
      </c>
      <c r="AN291" s="296">
        <f>IF(NFI_Expiration=1,IF($A291&lt;VLOOKUP(V$5,NFI,5,0),1,0)*Table_NFI[[#This Row],[Jerry Can]],Table_NFI[Jerry Can])</f>
        <v>0</v>
      </c>
      <c r="AO291" s="296">
        <f>IF(NFI_Expiration=1,IF($A291&lt;VLOOKUP(V$5,NFI,5,0),1,0)*Table_NFI[[#This Row],[Shelter Tool kit]],Table_NFI[Shelter Tool kit])</f>
        <v>0</v>
      </c>
      <c r="AP291" s="296">
        <f>IF(NFI_Expiration=1,IF($A291&lt;VLOOKUP(V$5,NFI,5,0),1,0)*Table_NFI[[#This Row],[Tent]],Table_NFI[Tent])</f>
        <v>0</v>
      </c>
      <c r="AQ291" s="396" t="str">
        <f>IFERROR(VLOOKUP(Table_NFI[[#This Row],[Camp Name]],CL,2,0),"")</f>
        <v>MMR001CMP059</v>
      </c>
      <c r="AR291" s="702">
        <f ca="1">IF(Table_NFI[[#This Row],[Pcode]]="","",IF(OFFSET(CampList[Opening Date],MATCH(Table_NFI[[#This Row],[Pcode]],CampList[CP_Pcode],0)-1,0,1,1)&gt;=NFI_Monitor_Date,1,0))</f>
        <v>0</v>
      </c>
      <c r="AS291" s="396" t="str">
        <f>IFERROR(VLOOKUP(Table_NFI[[#This Row],[Camp Name]],CL,3,0),"")</f>
        <v>Closed</v>
      </c>
      <c r="AT291" s="264" t="str">
        <f ca="1">IF(Table_NFI[[#This Row],[Pcode]]="","",OFFSET(CampList[Priority],MATCH(Table_NFI[[#This Row],[Pcode]],CampList[CP_Pcode],0)-1,0,1,1))</f>
        <v>P4</v>
      </c>
      <c r="AU291" s="263">
        <f>IFERROR(Table_NFI[[#This Row],[Kitchen Set]]/VLOOKUP(Table_NFI[[#This Row],[Camp Name]],CL,4,0),"")</f>
        <v>0</v>
      </c>
      <c r="AV291" s="390"/>
      <c r="AW291" s="392"/>
      <c r="AX291" s="399"/>
      <c r="AY291" s="399"/>
      <c r="AZ291" s="399"/>
      <c r="BA291" s="399"/>
      <c r="BB291" s="399"/>
      <c r="BC291" s="399"/>
      <c r="BD291" s="399"/>
      <c r="BE291" s="399"/>
      <c r="BF291" s="399"/>
      <c r="BG291" s="399"/>
      <c r="BH291" s="399"/>
      <c r="BI291" s="399"/>
      <c r="BJ291" s="399"/>
      <c r="BK291" s="399"/>
      <c r="BL291" s="399"/>
      <c r="BM291" s="399"/>
      <c r="BN291" s="399"/>
      <c r="BO291" s="399"/>
      <c r="BP291" s="399"/>
      <c r="BQ291" s="399"/>
      <c r="BR291" s="399"/>
      <c r="BS291" s="399"/>
      <c r="BT291" s="399"/>
      <c r="BU291" s="399"/>
      <c r="BV291" s="399"/>
      <c r="BW291" s="399"/>
      <c r="BX291" s="399"/>
      <c r="BY291" s="399"/>
      <c r="BZ291" s="399"/>
      <c r="CA291" s="399"/>
      <c r="CB291" s="399"/>
      <c r="CC291" s="399"/>
      <c r="CD291" s="399"/>
      <c r="CE291" s="399"/>
      <c r="CF291" s="399"/>
      <c r="CG291" s="399"/>
      <c r="CH291" s="399"/>
      <c r="CI291" s="399"/>
      <c r="CJ291" s="399"/>
      <c r="CK291" s="399"/>
      <c r="CL291" s="399"/>
      <c r="CM291" s="399"/>
      <c r="CN291" s="399"/>
      <c r="CO291" s="399"/>
      <c r="CP291" s="399"/>
      <c r="CQ291" s="399"/>
      <c r="CR291" s="399"/>
      <c r="CS291" s="399"/>
      <c r="CT291" s="399"/>
      <c r="CU291" s="399"/>
      <c r="CV291" s="399"/>
      <c r="CW291" s="399"/>
      <c r="CX291" s="399"/>
      <c r="CY291" s="399"/>
      <c r="CZ291" s="399"/>
      <c r="DA291" s="399"/>
      <c r="DB291" s="399"/>
      <c r="DC291" s="399"/>
      <c r="DD291" s="399"/>
      <c r="DE291" s="399"/>
      <c r="DF291" s="399"/>
      <c r="DG291" s="399"/>
      <c r="DH291" s="399"/>
      <c r="DI291" s="399"/>
      <c r="DJ291" s="399"/>
      <c r="DK291" s="399"/>
      <c r="DL291" s="399"/>
      <c r="DM291" s="399"/>
      <c r="DN291" s="399"/>
      <c r="DO291" s="399"/>
      <c r="DP291" s="399"/>
      <c r="DQ291" s="399"/>
    </row>
    <row r="292" spans="1:121" s="760" customFormat="1" ht="14.45" customHeight="1" x14ac:dyDescent="0.25">
      <c r="A292" s="266">
        <f t="shared" si="4"/>
        <v>29.133333333333333</v>
      </c>
      <c r="B292" s="389">
        <v>41982</v>
      </c>
      <c r="C292" s="390" t="s">
        <v>904</v>
      </c>
      <c r="D292" s="390" t="s">
        <v>904</v>
      </c>
      <c r="E292" s="390" t="s">
        <v>380</v>
      </c>
      <c r="F292" s="262" t="s">
        <v>5</v>
      </c>
      <c r="G292" s="262" t="s">
        <v>6</v>
      </c>
      <c r="H292" s="261"/>
      <c r="I292" s="261"/>
      <c r="J292" s="261">
        <v>354</v>
      </c>
      <c r="K292" s="261"/>
      <c r="L292" s="261"/>
      <c r="M292" s="261"/>
      <c r="N292" s="261"/>
      <c r="O292" s="261"/>
      <c r="P292" s="261"/>
      <c r="Q292" s="261"/>
      <c r="R292" s="261"/>
      <c r="S292" s="261"/>
      <c r="T292" s="261"/>
      <c r="U292" s="261"/>
      <c r="V292" s="762"/>
      <c r="W292" s="261"/>
      <c r="X292" s="261"/>
      <c r="Y292" s="264">
        <f>IF(NFI_Expiration=1,IF($A292&lt;VLOOKUP(H$5,NFI,5,0),1,0)*Table_NFI[[#This Row],[Hygiene Kit]],Table_NFI[Hygiene Kit])</f>
        <v>0</v>
      </c>
      <c r="Z292" s="264">
        <f>IF(NFI_Expiration=1,IF($A292&lt;VLOOKUP(I$5,NFI,5,0),1,0)*Table_NFI[[#This Row],[NFI Core Kit]],Table_NFI[NFI Core Kit])</f>
        <v>0</v>
      </c>
      <c r="AA292" s="264">
        <f>IF(NFI_Expiration=1,IF($A292&lt;VLOOKUP(J$5,NFI,5,0),1,0)*Table_NFI[[#This Row],[Sanitary Kit]],Table_NFI[Sanitary Kit])</f>
        <v>0</v>
      </c>
      <c r="AB292" s="264">
        <f>IF(NFI_Expiration=1,IF($A292&lt;VLOOKUP(K$5,NFI,5,0),1,0)*Table_NFI[[#This Row],[Mosquito net]],Table_NFI[Mosquito net])</f>
        <v>0</v>
      </c>
      <c r="AC292" s="264">
        <f>IF(NFI_Expiration=1,IF($A292&lt;VLOOKUP(L$5,NFI,5,0),1,0)*Table_NFI[[#This Row],[Tarpaulin]],Table_NFI[[#This Row],[Tarpaulin]])</f>
        <v>0</v>
      </c>
      <c r="AD292" s="264">
        <f>IF(NFI_Expiration=1,IF($A292&lt;VLOOKUP(M$5,NFI,5,0),1,0)*Table_NFI[[#This Row],[Blanket]],Table_NFI[[#This Row],[Blanket]])</f>
        <v>0</v>
      </c>
      <c r="AE292" s="264">
        <f>IF(NFI_Expiration=1,IF($A292&lt;VLOOKUP(N$5,NFI,5,0),1,0)*Table_NFI[[#This Row],[Kitchen Set]],Table_NFI[Kitchen Set])</f>
        <v>0</v>
      </c>
      <c r="AF292" s="264">
        <f>IF(NFI_Expiration=1,IF($A292&lt;VLOOKUP(O$5,NFI,5,0),1,0)*Table_NFI[[#This Row],[Clothes Kit]],Table_NFI[Clothes Kit])</f>
        <v>0</v>
      </c>
      <c r="AG292" s="264">
        <f>IF(NFI_Expiration=1,IF($A292&lt;VLOOKUP(P$5,NFI,5,0),1,0)*Table_NFI[[#This Row],[Plastic Bucket]],Table_NFI[Plastic Bucket])</f>
        <v>0</v>
      </c>
      <c r="AH292" s="264">
        <f>IF(NFI_Expiration=1,IF($A292&lt;VLOOKUP(Q$5,NFI,5,0),1,0)*Table_NFI[[#This Row],[Plastic Mat]],Table_NFI[Plastic Mat])*IF(Table_NFI[[#This Row],[Distribution Date]]&gt;"2014-04-01",1,2.5)</f>
        <v>0</v>
      </c>
      <c r="AI292" s="264">
        <f>IF(NFI_Expiration=1,IF($A292&lt;VLOOKUP(R$5,NFI,5,0),1,0)*Table_NFI[[#This Row],[Winter Clothes Adult]],Table_NFI[Winter Clothes Adult])</f>
        <v>0</v>
      </c>
      <c r="AJ292" s="264">
        <f>IF(NFI_Expiration=1,IF($A292&lt;VLOOKUP(S$5,NFI,5,0),1,0)*Table_NFI[[#This Row],[Winter Clothes Children]],Table_NFI[Winter Clothes Children])</f>
        <v>0</v>
      </c>
      <c r="AK292" s="264">
        <f>IF(NFI_Expiration=1,IF($A292&lt;VLOOKUP(T$5,NFI,5,0),1,0)*Table_NFI[[#This Row],[Winter Items Other]],Table_NFI[Winter Items Other])</f>
        <v>0</v>
      </c>
      <c r="AL292" s="264">
        <f>IF(NFI_Expiration=1,IF($A292&lt;VLOOKUP(M$5,NFI,5,0),1,0)*Table_NFI[[#This Row],[Winter Blanket]],Table_NFI[[#This Row],[Winter Blanket]])</f>
        <v>0</v>
      </c>
      <c r="AM292" s="264">
        <f>IF(Table_NFI[[#This Row],[Winter Clothes Adult]]+Table_NFI[[#This Row],[Winter Clothes Children]]+Table_NFI[[#This Row],[Winter Items Other]]+Table_NFI[[#This Row],[Winter Blanket]]&gt;0,1,0)</f>
        <v>0</v>
      </c>
      <c r="AN292" s="296">
        <f>IF(NFI_Expiration=1,IF($A292&lt;VLOOKUP(V$5,NFI,5,0),1,0)*Table_NFI[[#This Row],[Jerry Can]],Table_NFI[Jerry Can])</f>
        <v>0</v>
      </c>
      <c r="AO292" s="296">
        <f>IF(NFI_Expiration=1,IF($A292&lt;VLOOKUP(V$5,NFI,5,0),1,0)*Table_NFI[[#This Row],[Shelter Tool kit]],Table_NFI[Shelter Tool kit])</f>
        <v>0</v>
      </c>
      <c r="AP292" s="296">
        <f>IF(NFI_Expiration=1,IF($A292&lt;VLOOKUP(V$5,NFI,5,0),1,0)*Table_NFI[[#This Row],[Tent]],Table_NFI[Tent])</f>
        <v>0</v>
      </c>
      <c r="AQ292" s="396" t="str">
        <f>IFERROR(VLOOKUP(Table_NFI[[#This Row],[Camp Name]],CL,2,0),"")</f>
        <v>MMR001CMP050</v>
      </c>
      <c r="AR292" s="702">
        <f ca="1">IF(Table_NFI[[#This Row],[Pcode]]="","",IF(OFFSET(CampList[Opening Date],MATCH(Table_NFI[[#This Row],[Pcode]],CampList[CP_Pcode],0)-1,0,1,1)&gt;=NFI_Monitor_Date,1,0))</f>
        <v>0</v>
      </c>
      <c r="AS292" s="396" t="str">
        <f>IFERROR(VLOOKUP(Table_NFI[[#This Row],[Camp Name]],CL,3,0),"")</f>
        <v>Open</v>
      </c>
      <c r="AT292" s="264" t="str">
        <f ca="1">IF(Table_NFI[[#This Row],[Pcode]]="","",OFFSET(CampList[Priority],MATCH(Table_NFI[[#This Row],[Pcode]],CampList[CP_Pcode],0)-1,0,1,1))</f>
        <v>P4</v>
      </c>
      <c r="AU292" s="263">
        <f>IFERROR(Table_NFI[[#This Row],[Kitchen Set]]/VLOOKUP(Table_NFI[[#This Row],[Camp Name]],CL,4,0),"")</f>
        <v>0</v>
      </c>
      <c r="AV292" s="390"/>
      <c r="AW292" s="392"/>
      <c r="AX292" s="399"/>
      <c r="AY292" s="399"/>
      <c r="AZ292" s="399"/>
      <c r="BA292" s="399"/>
      <c r="BB292" s="399"/>
      <c r="BC292" s="399"/>
      <c r="BD292" s="399"/>
      <c r="BE292" s="399"/>
      <c r="BF292" s="399"/>
      <c r="BG292" s="399"/>
      <c r="BH292" s="399"/>
      <c r="BI292" s="399"/>
      <c r="BJ292" s="399"/>
      <c r="BK292" s="399"/>
      <c r="BL292" s="399"/>
      <c r="BM292" s="399"/>
      <c r="BN292" s="399"/>
      <c r="BO292" s="399"/>
      <c r="BP292" s="399"/>
      <c r="BQ292" s="399"/>
      <c r="BR292" s="399"/>
      <c r="BS292" s="399"/>
      <c r="BT292" s="399"/>
      <c r="BU292" s="399"/>
      <c r="BV292" s="399"/>
      <c r="BW292" s="399"/>
      <c r="BX292" s="399"/>
      <c r="BY292" s="399"/>
      <c r="BZ292" s="399"/>
      <c r="CA292" s="399"/>
      <c r="CB292" s="399"/>
      <c r="CC292" s="399"/>
      <c r="CD292" s="399"/>
      <c r="CE292" s="399"/>
      <c r="CF292" s="399"/>
      <c r="CG292" s="399"/>
      <c r="CH292" s="399"/>
      <c r="CI292" s="399"/>
      <c r="CJ292" s="399"/>
      <c r="CK292" s="399"/>
      <c r="CL292" s="399"/>
      <c r="CM292" s="399"/>
      <c r="CN292" s="399"/>
      <c r="CO292" s="399"/>
      <c r="CP292" s="399"/>
      <c r="CQ292" s="399"/>
      <c r="CR292" s="399"/>
      <c r="CS292" s="399"/>
      <c r="CT292" s="399"/>
      <c r="CU292" s="399"/>
      <c r="CV292" s="399"/>
      <c r="CW292" s="399"/>
      <c r="CX292" s="399"/>
      <c r="CY292" s="399"/>
      <c r="CZ292" s="399"/>
      <c r="DA292" s="399"/>
      <c r="DB292" s="399"/>
      <c r="DC292" s="399"/>
      <c r="DD292" s="399"/>
      <c r="DE292" s="399"/>
      <c r="DF292" s="399"/>
      <c r="DG292" s="399"/>
      <c r="DH292" s="399"/>
      <c r="DI292" s="399"/>
      <c r="DJ292" s="399"/>
      <c r="DK292" s="399"/>
      <c r="DL292" s="399"/>
      <c r="DM292" s="399"/>
      <c r="DN292" s="399"/>
      <c r="DO292" s="399"/>
      <c r="DP292" s="399"/>
      <c r="DQ292" s="399"/>
    </row>
    <row r="293" spans="1:121" s="760" customFormat="1" ht="14.45" customHeight="1" x14ac:dyDescent="0.2">
      <c r="A293" s="266">
        <f t="shared" si="4"/>
        <v>29.133333333333333</v>
      </c>
      <c r="B293" s="389">
        <v>41982</v>
      </c>
      <c r="C293" s="390" t="s">
        <v>904</v>
      </c>
      <c r="D293" s="391" t="s">
        <v>904</v>
      </c>
      <c r="E293" s="390" t="s">
        <v>380</v>
      </c>
      <c r="F293" s="262" t="s">
        <v>5</v>
      </c>
      <c r="G293" s="262" t="s">
        <v>22</v>
      </c>
      <c r="H293" s="261"/>
      <c r="I293" s="261"/>
      <c r="J293" s="764">
        <v>1135</v>
      </c>
      <c r="K293" s="261"/>
      <c r="L293" s="261"/>
      <c r="M293" s="261"/>
      <c r="N293" s="261"/>
      <c r="O293" s="261"/>
      <c r="P293" s="261"/>
      <c r="Q293" s="261"/>
      <c r="R293" s="261"/>
      <c r="S293" s="261"/>
      <c r="T293" s="261"/>
      <c r="U293" s="261"/>
      <c r="V293" s="762"/>
      <c r="W293" s="261"/>
      <c r="X293" s="261"/>
      <c r="Y293" s="264">
        <f>IF(NFI_Expiration=1,IF($A293&lt;VLOOKUP(H$5,NFI,5,0),1,0)*Table_NFI[[#This Row],[Hygiene Kit]],Table_NFI[Hygiene Kit])</f>
        <v>0</v>
      </c>
      <c r="Z293" s="264">
        <f>IF(NFI_Expiration=1,IF($A293&lt;VLOOKUP(I$5,NFI,5,0),1,0)*Table_NFI[[#This Row],[NFI Core Kit]],Table_NFI[NFI Core Kit])</f>
        <v>0</v>
      </c>
      <c r="AA293" s="264">
        <f>IF(NFI_Expiration=1,IF($A293&lt;VLOOKUP(J$5,NFI,5,0),1,0)*Table_NFI[[#This Row],[Sanitary Kit]],Table_NFI[Sanitary Kit])</f>
        <v>0</v>
      </c>
      <c r="AB293" s="264">
        <f>IF(NFI_Expiration=1,IF($A293&lt;VLOOKUP(K$5,NFI,5,0),1,0)*Table_NFI[[#This Row],[Mosquito net]],Table_NFI[Mosquito net])</f>
        <v>0</v>
      </c>
      <c r="AC293" s="264">
        <f>IF(NFI_Expiration=1,IF($A293&lt;VLOOKUP(L$5,NFI,5,0),1,0)*Table_NFI[[#This Row],[Tarpaulin]],Table_NFI[[#This Row],[Tarpaulin]])</f>
        <v>0</v>
      </c>
      <c r="AD293" s="264">
        <f>IF(NFI_Expiration=1,IF($A293&lt;VLOOKUP(M$5,NFI,5,0),1,0)*Table_NFI[[#This Row],[Blanket]],Table_NFI[[#This Row],[Blanket]])</f>
        <v>0</v>
      </c>
      <c r="AE293" s="264">
        <f>IF(NFI_Expiration=1,IF($A293&lt;VLOOKUP(N$5,NFI,5,0),1,0)*Table_NFI[[#This Row],[Kitchen Set]],Table_NFI[Kitchen Set])</f>
        <v>0</v>
      </c>
      <c r="AF293" s="264">
        <f>IF(NFI_Expiration=1,IF($A293&lt;VLOOKUP(O$5,NFI,5,0),1,0)*Table_NFI[[#This Row],[Clothes Kit]],Table_NFI[Clothes Kit])</f>
        <v>0</v>
      </c>
      <c r="AG293" s="264">
        <f>IF(NFI_Expiration=1,IF($A293&lt;VLOOKUP(P$5,NFI,5,0),1,0)*Table_NFI[[#This Row],[Plastic Bucket]],Table_NFI[Plastic Bucket])</f>
        <v>0</v>
      </c>
      <c r="AH293" s="264">
        <f>IF(NFI_Expiration=1,IF($A293&lt;VLOOKUP(Q$5,NFI,5,0),1,0)*Table_NFI[[#This Row],[Plastic Mat]],Table_NFI[Plastic Mat])*IF(Table_NFI[[#This Row],[Distribution Date]]&gt;"2014-04-01",1,2.5)</f>
        <v>0</v>
      </c>
      <c r="AI293" s="264">
        <f>IF(NFI_Expiration=1,IF($A293&lt;VLOOKUP(R$5,NFI,5,0),1,0)*Table_NFI[[#This Row],[Winter Clothes Adult]],Table_NFI[Winter Clothes Adult])</f>
        <v>0</v>
      </c>
      <c r="AJ293" s="264">
        <f>IF(NFI_Expiration=1,IF($A293&lt;VLOOKUP(S$5,NFI,5,0),1,0)*Table_NFI[[#This Row],[Winter Clothes Children]],Table_NFI[Winter Clothes Children])</f>
        <v>0</v>
      </c>
      <c r="AK293" s="264">
        <f>IF(NFI_Expiration=1,IF($A293&lt;VLOOKUP(T$5,NFI,5,0),1,0)*Table_NFI[[#This Row],[Winter Items Other]],Table_NFI[Winter Items Other])</f>
        <v>0</v>
      </c>
      <c r="AL293" s="264">
        <f>IF(NFI_Expiration=1,IF($A293&lt;VLOOKUP(M$5,NFI,5,0),1,0)*Table_NFI[[#This Row],[Winter Blanket]],Table_NFI[[#This Row],[Winter Blanket]])</f>
        <v>0</v>
      </c>
      <c r="AM293" s="264">
        <f>IF(Table_NFI[[#This Row],[Winter Clothes Adult]]+Table_NFI[[#This Row],[Winter Clothes Children]]+Table_NFI[[#This Row],[Winter Items Other]]+Table_NFI[[#This Row],[Winter Blanket]]&gt;0,1,0)</f>
        <v>0</v>
      </c>
      <c r="AN293" s="296">
        <f>IF(NFI_Expiration=1,IF($A293&lt;VLOOKUP(V$5,NFI,5,0),1,0)*Table_NFI[[#This Row],[Jerry Can]],Table_NFI[Jerry Can])</f>
        <v>0</v>
      </c>
      <c r="AO293" s="296">
        <f>IF(NFI_Expiration=1,IF($A293&lt;VLOOKUP(V$5,NFI,5,0),1,0)*Table_NFI[[#This Row],[Shelter Tool kit]],Table_NFI[Shelter Tool kit])</f>
        <v>0</v>
      </c>
      <c r="AP293" s="296">
        <f>IF(NFI_Expiration=1,IF($A293&lt;VLOOKUP(V$5,NFI,5,0),1,0)*Table_NFI[[#This Row],[Tent]],Table_NFI[Tent])</f>
        <v>0</v>
      </c>
      <c r="AQ293" s="396" t="str">
        <f>IFERROR(VLOOKUP(Table_NFI[[#This Row],[Camp Name]],CL,2,0),"")</f>
        <v>MMR001CMP047</v>
      </c>
      <c r="AR293" s="702">
        <f ca="1">IF(Table_NFI[[#This Row],[Pcode]]="","",IF(OFFSET(CampList[Opening Date],MATCH(Table_NFI[[#This Row],[Pcode]],CampList[CP_Pcode],0)-1,0,1,1)&gt;=NFI_Monitor_Date,1,0))</f>
        <v>0</v>
      </c>
      <c r="AS293" s="396" t="str">
        <f>IFERROR(VLOOKUP(Table_NFI[[#This Row],[Camp Name]],CL,3,0),"")</f>
        <v>Open</v>
      </c>
      <c r="AT293" s="264" t="str">
        <f ca="1">IF(Table_NFI[[#This Row],[Pcode]]="","",OFFSET(CampList[Priority],MATCH(Table_NFI[[#This Row],[Pcode]],CampList[CP_Pcode],0)-1,0,1,1))</f>
        <v>P4</v>
      </c>
      <c r="AU293" s="263">
        <f>IFERROR(Table_NFI[[#This Row],[Kitchen Set]]/VLOOKUP(Table_NFI[[#This Row],[Camp Name]],CL,4,0),"")</f>
        <v>0</v>
      </c>
      <c r="AV293" s="390"/>
      <c r="AW293" s="392"/>
      <c r="AX293" s="399"/>
      <c r="AY293" s="399"/>
      <c r="AZ293" s="399"/>
      <c r="BA293" s="399"/>
      <c r="BB293" s="399"/>
      <c r="BC293" s="399"/>
      <c r="BD293" s="399"/>
      <c r="BE293" s="399"/>
      <c r="BF293" s="399"/>
      <c r="BG293" s="399"/>
      <c r="BH293" s="399"/>
      <c r="BI293" s="399"/>
      <c r="BJ293" s="399"/>
      <c r="BK293" s="399"/>
      <c r="BL293" s="399"/>
      <c r="BM293" s="399"/>
      <c r="BN293" s="399"/>
      <c r="BO293" s="399"/>
      <c r="BP293" s="399"/>
      <c r="BQ293" s="399"/>
      <c r="BR293" s="399"/>
      <c r="BS293" s="399"/>
      <c r="BT293" s="399"/>
      <c r="BU293" s="399"/>
      <c r="BV293" s="399"/>
      <c r="BW293" s="399"/>
      <c r="BX293" s="399"/>
      <c r="BY293" s="399"/>
      <c r="BZ293" s="399"/>
      <c r="CA293" s="399"/>
      <c r="CB293" s="399"/>
      <c r="CC293" s="399"/>
      <c r="CD293" s="399"/>
      <c r="CE293" s="399"/>
      <c r="CF293" s="399"/>
      <c r="CG293" s="399"/>
      <c r="CH293" s="399"/>
      <c r="CI293" s="399"/>
      <c r="CJ293" s="399"/>
      <c r="CK293" s="399"/>
      <c r="CL293" s="399"/>
      <c r="CM293" s="399"/>
      <c r="CN293" s="399"/>
      <c r="CO293" s="399"/>
      <c r="CP293" s="399"/>
      <c r="CQ293" s="399"/>
      <c r="CR293" s="399"/>
      <c r="CS293" s="399"/>
      <c r="CT293" s="399"/>
      <c r="CU293" s="399"/>
      <c r="CV293" s="399"/>
      <c r="CW293" s="399"/>
      <c r="CX293" s="399"/>
      <c r="CY293" s="399"/>
      <c r="CZ293" s="399"/>
      <c r="DA293" s="399"/>
      <c r="DB293" s="399"/>
      <c r="DC293" s="399"/>
      <c r="DD293" s="399"/>
      <c r="DE293" s="399"/>
      <c r="DF293" s="399"/>
      <c r="DG293" s="399"/>
      <c r="DH293" s="399"/>
      <c r="DI293" s="399"/>
      <c r="DJ293" s="399"/>
      <c r="DK293" s="399"/>
      <c r="DL293" s="399"/>
      <c r="DM293" s="399"/>
      <c r="DN293" s="399"/>
      <c r="DO293" s="399"/>
      <c r="DP293" s="399"/>
      <c r="DQ293" s="399"/>
    </row>
    <row r="294" spans="1:121" s="393" customFormat="1" ht="14.45" customHeight="1" x14ac:dyDescent="0.25">
      <c r="A294" s="266">
        <f t="shared" si="4"/>
        <v>29.266666666666666</v>
      </c>
      <c r="B294" s="389">
        <v>41978</v>
      </c>
      <c r="C294" s="390" t="s">
        <v>451</v>
      </c>
      <c r="D294" s="390" t="s">
        <v>505</v>
      </c>
      <c r="E294" s="390" t="s">
        <v>380</v>
      </c>
      <c r="F294" s="390" t="s">
        <v>310</v>
      </c>
      <c r="G294" s="390" t="s">
        <v>334</v>
      </c>
      <c r="H294" s="261"/>
      <c r="I294" s="261"/>
      <c r="J294" s="261"/>
      <c r="K294" s="261">
        <v>164</v>
      </c>
      <c r="L294" s="261"/>
      <c r="M294" s="261"/>
      <c r="N294" s="261"/>
      <c r="O294" s="261"/>
      <c r="P294" s="261"/>
      <c r="Q294" s="261"/>
      <c r="R294" s="261">
        <v>302</v>
      </c>
      <c r="S294" s="261">
        <v>440</v>
      </c>
      <c r="T294" s="261"/>
      <c r="U294" s="261">
        <v>297</v>
      </c>
      <c r="V294" s="762"/>
      <c r="W294" s="261"/>
      <c r="X294" s="261"/>
      <c r="Y294" s="264">
        <f>IF(NFI_Expiration=1,IF($A294&lt;VLOOKUP(H$5,NFI,5,0),1,0)*Table_NFI[[#This Row],[Hygiene Kit]],Table_NFI[Hygiene Kit])</f>
        <v>0</v>
      </c>
      <c r="Z294" s="264">
        <f>IF(NFI_Expiration=1,IF($A294&lt;VLOOKUP(I$5,NFI,5,0),1,0)*Table_NFI[[#This Row],[NFI Core Kit]],Table_NFI[NFI Core Kit])</f>
        <v>0</v>
      </c>
      <c r="AA294" s="264">
        <f>IF(NFI_Expiration=1,IF($A294&lt;VLOOKUP(J$5,NFI,5,0),1,0)*Table_NFI[[#This Row],[Sanitary Kit]],Table_NFI[Sanitary Kit])</f>
        <v>0</v>
      </c>
      <c r="AB294" s="264">
        <f>IF(NFI_Expiration=1,IF($A294&lt;VLOOKUP(K$5,NFI,5,0),1,0)*Table_NFI[[#This Row],[Mosquito net]],Table_NFI[Mosquito net])</f>
        <v>0</v>
      </c>
      <c r="AC294" s="264">
        <f>IF(NFI_Expiration=1,IF($A294&lt;VLOOKUP(L$5,NFI,5,0),1,0)*Table_NFI[[#This Row],[Tarpaulin]],Table_NFI[[#This Row],[Tarpaulin]])</f>
        <v>0</v>
      </c>
      <c r="AD294" s="264">
        <f>IF(NFI_Expiration=1,IF($A294&lt;VLOOKUP(M$5,NFI,5,0),1,0)*Table_NFI[[#This Row],[Blanket]],Table_NFI[[#This Row],[Blanket]])</f>
        <v>0</v>
      </c>
      <c r="AE294" s="264">
        <f>IF(NFI_Expiration=1,IF($A294&lt;VLOOKUP(N$5,NFI,5,0),1,0)*Table_NFI[[#This Row],[Kitchen Set]],Table_NFI[Kitchen Set])</f>
        <v>0</v>
      </c>
      <c r="AF294" s="264">
        <f>IF(NFI_Expiration=1,IF($A294&lt;VLOOKUP(O$5,NFI,5,0),1,0)*Table_NFI[[#This Row],[Clothes Kit]],Table_NFI[Clothes Kit])</f>
        <v>0</v>
      </c>
      <c r="AG294" s="264">
        <f>IF(NFI_Expiration=1,IF($A294&lt;VLOOKUP(P$5,NFI,5,0),1,0)*Table_NFI[[#This Row],[Plastic Bucket]],Table_NFI[Plastic Bucket])</f>
        <v>0</v>
      </c>
      <c r="AH294" s="264">
        <f>IF(NFI_Expiration=1,IF($A294&lt;VLOOKUP(Q$5,NFI,5,0),1,0)*Table_NFI[[#This Row],[Plastic Mat]],Table_NFI[Plastic Mat])*IF(Table_NFI[[#This Row],[Distribution Date]]&gt;"2014-04-01",1,2.5)</f>
        <v>0</v>
      </c>
      <c r="AI294" s="264">
        <f>IF(NFI_Expiration=1,IF($A294&lt;VLOOKUP(R$5,NFI,5,0),1,0)*Table_NFI[[#This Row],[Winter Clothes Adult]],Table_NFI[Winter Clothes Adult])</f>
        <v>0</v>
      </c>
      <c r="AJ294" s="264">
        <f>IF(NFI_Expiration=1,IF($A294&lt;VLOOKUP(S$5,NFI,5,0),1,0)*Table_NFI[[#This Row],[Winter Clothes Children]],Table_NFI[Winter Clothes Children])</f>
        <v>0</v>
      </c>
      <c r="AK294" s="264">
        <f>IF(NFI_Expiration=1,IF($A294&lt;VLOOKUP(T$5,NFI,5,0),1,0)*Table_NFI[[#This Row],[Winter Items Other]],Table_NFI[Winter Items Other])</f>
        <v>0</v>
      </c>
      <c r="AL294" s="264">
        <f>IF(NFI_Expiration=1,IF($A294&lt;VLOOKUP(M$5,NFI,5,0),1,0)*Table_NFI[[#This Row],[Winter Blanket]],Table_NFI[[#This Row],[Winter Blanket]])</f>
        <v>0</v>
      </c>
      <c r="AM294" s="264">
        <f>IF(Table_NFI[[#This Row],[Winter Clothes Adult]]+Table_NFI[[#This Row],[Winter Clothes Children]]+Table_NFI[[#This Row],[Winter Items Other]]+Table_NFI[[#This Row],[Winter Blanket]]&gt;0,1,0)</f>
        <v>1</v>
      </c>
      <c r="AN294" s="296">
        <f>IF(NFI_Expiration=1,IF($A294&lt;VLOOKUP(V$5,NFI,5,0),1,0)*Table_NFI[[#This Row],[Jerry Can]],Table_NFI[Jerry Can])</f>
        <v>0</v>
      </c>
      <c r="AO294" s="296">
        <f>IF(NFI_Expiration=1,IF($A294&lt;VLOOKUP(V$5,NFI,5,0),1,0)*Table_NFI[[#This Row],[Shelter Tool kit]],Table_NFI[Shelter Tool kit])</f>
        <v>0</v>
      </c>
      <c r="AP294" s="296">
        <f>IF(NFI_Expiration=1,IF($A294&lt;VLOOKUP(V$5,NFI,5,0),1,0)*Table_NFI[[#This Row],[Tent]],Table_NFI[Tent])</f>
        <v>0</v>
      </c>
      <c r="AQ294" s="396" t="str">
        <f>IFERROR(VLOOKUP(Table_NFI[[#This Row],[Camp Name]],CL,2,0),"")</f>
        <v>MMR001CMP113</v>
      </c>
      <c r="AR294" s="702">
        <f ca="1">IF(Table_NFI[[#This Row],[Pcode]]="","",IF(OFFSET(CampList[Opening Date],MATCH(Table_NFI[[#This Row],[Pcode]],CampList[CP_Pcode],0)-1,0,1,1)&gt;=NFI_Monitor_Date,1,0))</f>
        <v>0</v>
      </c>
      <c r="AS294" s="396" t="str">
        <f>IFERROR(VLOOKUP(Table_NFI[[#This Row],[Camp Name]],CL,3,0),"")</f>
        <v>Open</v>
      </c>
      <c r="AT294" s="264" t="str">
        <f ca="1">IF(Table_NFI[[#This Row],[Pcode]]="","",OFFSET(CampList[Priority],MATCH(Table_NFI[[#This Row],[Pcode]],CampList[CP_Pcode],0)-1,0,1,1))</f>
        <v>P1</v>
      </c>
      <c r="AU294" s="263">
        <f>IFERROR(Table_NFI[[#This Row],[Kitchen Set]]/VLOOKUP(Table_NFI[[#This Row],[Camp Name]],CL,4,0),"")</f>
        <v>0</v>
      </c>
      <c r="AV294" s="390"/>
      <c r="AW294" s="392"/>
      <c r="AX294" s="399"/>
      <c r="AY294" s="399"/>
      <c r="AZ294" s="399"/>
      <c r="BA294" s="399"/>
      <c r="BB294" s="399"/>
      <c r="BC294" s="399"/>
      <c r="BD294" s="399"/>
      <c r="BE294" s="399"/>
      <c r="BF294" s="399"/>
      <c r="BG294" s="399"/>
      <c r="BH294" s="399"/>
      <c r="BI294" s="399"/>
      <c r="BJ294" s="399"/>
      <c r="BK294" s="399"/>
      <c r="BL294" s="399"/>
      <c r="BM294" s="399"/>
      <c r="BN294" s="399"/>
      <c r="BO294" s="399"/>
      <c r="BP294" s="399"/>
      <c r="BQ294" s="399"/>
      <c r="BR294" s="399"/>
      <c r="BS294" s="399"/>
      <c r="BT294" s="399"/>
      <c r="BU294" s="399"/>
      <c r="BV294" s="399"/>
      <c r="BW294" s="399"/>
      <c r="BX294" s="399"/>
      <c r="BY294" s="399"/>
      <c r="BZ294" s="399"/>
      <c r="CA294" s="399"/>
      <c r="CB294" s="399"/>
      <c r="CC294" s="399"/>
      <c r="CD294" s="399"/>
      <c r="CE294" s="399"/>
      <c r="CF294" s="399"/>
      <c r="CG294" s="399"/>
      <c r="CH294" s="399"/>
      <c r="CI294" s="399"/>
      <c r="CJ294" s="399"/>
      <c r="CK294" s="399"/>
      <c r="CL294" s="399"/>
      <c r="CM294" s="399"/>
      <c r="CN294" s="399"/>
      <c r="CO294" s="399"/>
      <c r="CP294" s="399"/>
      <c r="CQ294" s="399"/>
      <c r="CR294" s="399"/>
      <c r="CS294" s="399"/>
      <c r="CT294" s="399"/>
      <c r="CU294" s="399"/>
      <c r="CV294" s="399"/>
      <c r="CW294" s="399"/>
      <c r="CX294" s="399"/>
      <c r="CY294" s="399"/>
      <c r="CZ294" s="399"/>
      <c r="DA294" s="399"/>
      <c r="DB294" s="399"/>
      <c r="DC294" s="399"/>
      <c r="DD294" s="399"/>
      <c r="DE294" s="399"/>
      <c r="DF294" s="399"/>
      <c r="DG294" s="399"/>
      <c r="DH294" s="399"/>
      <c r="DI294" s="399"/>
      <c r="DJ294" s="399"/>
      <c r="DK294" s="399"/>
      <c r="DL294" s="399"/>
      <c r="DM294" s="399"/>
      <c r="DN294" s="399"/>
      <c r="DO294" s="399"/>
      <c r="DP294" s="399"/>
      <c r="DQ294" s="399"/>
    </row>
    <row r="295" spans="1:121" s="393" customFormat="1" ht="14.45" customHeight="1" x14ac:dyDescent="0.25">
      <c r="A295" s="266">
        <f t="shared" si="4"/>
        <v>29.266666666666666</v>
      </c>
      <c r="B295" s="389">
        <v>41978</v>
      </c>
      <c r="C295" s="390" t="s">
        <v>451</v>
      </c>
      <c r="D295" s="390" t="s">
        <v>505</v>
      </c>
      <c r="E295" s="390" t="s">
        <v>380</v>
      </c>
      <c r="F295" s="390" t="s">
        <v>310</v>
      </c>
      <c r="G295" s="390" t="s">
        <v>355</v>
      </c>
      <c r="H295" s="261"/>
      <c r="I295" s="261"/>
      <c r="J295" s="261"/>
      <c r="K295" s="261">
        <v>124</v>
      </c>
      <c r="L295" s="261"/>
      <c r="M295" s="261"/>
      <c r="N295" s="261"/>
      <c r="O295" s="261"/>
      <c r="P295" s="261"/>
      <c r="Q295" s="261"/>
      <c r="R295" s="261">
        <v>262</v>
      </c>
      <c r="S295" s="261">
        <v>400</v>
      </c>
      <c r="T295" s="261"/>
      <c r="U295" s="261">
        <v>257</v>
      </c>
      <c r="V295" s="762"/>
      <c r="W295" s="261"/>
      <c r="X295" s="261"/>
      <c r="Y295" s="264">
        <f>IF(NFI_Expiration=1,IF($A295&lt;VLOOKUP(H$5,NFI,5,0),1,0)*Table_NFI[[#This Row],[Hygiene Kit]],Table_NFI[Hygiene Kit])</f>
        <v>0</v>
      </c>
      <c r="Z295" s="264">
        <f>IF(NFI_Expiration=1,IF($A295&lt;VLOOKUP(I$5,NFI,5,0),1,0)*Table_NFI[[#This Row],[NFI Core Kit]],Table_NFI[NFI Core Kit])</f>
        <v>0</v>
      </c>
      <c r="AA295" s="264">
        <f>IF(NFI_Expiration=1,IF($A295&lt;VLOOKUP(J$5,NFI,5,0),1,0)*Table_NFI[[#This Row],[Sanitary Kit]],Table_NFI[Sanitary Kit])</f>
        <v>0</v>
      </c>
      <c r="AB295" s="264">
        <f>IF(NFI_Expiration=1,IF($A295&lt;VLOOKUP(K$5,NFI,5,0),1,0)*Table_NFI[[#This Row],[Mosquito net]],Table_NFI[Mosquito net])</f>
        <v>0</v>
      </c>
      <c r="AC295" s="264">
        <f>IF(NFI_Expiration=1,IF($A295&lt;VLOOKUP(L$5,NFI,5,0),1,0)*Table_NFI[[#This Row],[Tarpaulin]],Table_NFI[[#This Row],[Tarpaulin]])</f>
        <v>0</v>
      </c>
      <c r="AD295" s="264">
        <f>IF(NFI_Expiration=1,IF($A295&lt;VLOOKUP(M$5,NFI,5,0),1,0)*Table_NFI[[#This Row],[Blanket]],Table_NFI[[#This Row],[Blanket]])</f>
        <v>0</v>
      </c>
      <c r="AE295" s="264">
        <f>IF(NFI_Expiration=1,IF($A295&lt;VLOOKUP(N$5,NFI,5,0),1,0)*Table_NFI[[#This Row],[Kitchen Set]],Table_NFI[Kitchen Set])</f>
        <v>0</v>
      </c>
      <c r="AF295" s="264">
        <f>IF(NFI_Expiration=1,IF($A295&lt;VLOOKUP(O$5,NFI,5,0),1,0)*Table_NFI[[#This Row],[Clothes Kit]],Table_NFI[Clothes Kit])</f>
        <v>0</v>
      </c>
      <c r="AG295" s="264">
        <f>IF(NFI_Expiration=1,IF($A295&lt;VLOOKUP(P$5,NFI,5,0),1,0)*Table_NFI[[#This Row],[Plastic Bucket]],Table_NFI[Plastic Bucket])</f>
        <v>0</v>
      </c>
      <c r="AH295" s="264">
        <f>IF(NFI_Expiration=1,IF($A295&lt;VLOOKUP(Q$5,NFI,5,0),1,0)*Table_NFI[[#This Row],[Plastic Mat]],Table_NFI[Plastic Mat])*IF(Table_NFI[[#This Row],[Distribution Date]]&gt;"2014-04-01",1,2.5)</f>
        <v>0</v>
      </c>
      <c r="AI295" s="264">
        <f>IF(NFI_Expiration=1,IF($A295&lt;VLOOKUP(R$5,NFI,5,0),1,0)*Table_NFI[[#This Row],[Winter Clothes Adult]],Table_NFI[Winter Clothes Adult])</f>
        <v>0</v>
      </c>
      <c r="AJ295" s="264">
        <f>IF(NFI_Expiration=1,IF($A295&lt;VLOOKUP(S$5,NFI,5,0),1,0)*Table_NFI[[#This Row],[Winter Clothes Children]],Table_NFI[Winter Clothes Children])</f>
        <v>0</v>
      </c>
      <c r="AK295" s="264">
        <f>IF(NFI_Expiration=1,IF($A295&lt;VLOOKUP(T$5,NFI,5,0),1,0)*Table_NFI[[#This Row],[Winter Items Other]],Table_NFI[Winter Items Other])</f>
        <v>0</v>
      </c>
      <c r="AL295" s="264">
        <f>IF(NFI_Expiration=1,IF($A295&lt;VLOOKUP(M$5,NFI,5,0),1,0)*Table_NFI[[#This Row],[Winter Blanket]],Table_NFI[[#This Row],[Winter Blanket]])</f>
        <v>0</v>
      </c>
      <c r="AM295" s="264">
        <f>IF(Table_NFI[[#This Row],[Winter Clothes Adult]]+Table_NFI[[#This Row],[Winter Clothes Children]]+Table_NFI[[#This Row],[Winter Items Other]]+Table_NFI[[#This Row],[Winter Blanket]]&gt;0,1,0)</f>
        <v>1</v>
      </c>
      <c r="AN295" s="296">
        <f>IF(NFI_Expiration=1,IF($A295&lt;VLOOKUP(V$5,NFI,5,0),1,0)*Table_NFI[[#This Row],[Jerry Can]],Table_NFI[Jerry Can])</f>
        <v>0</v>
      </c>
      <c r="AO295" s="296">
        <f>IF(NFI_Expiration=1,IF($A295&lt;VLOOKUP(V$5,NFI,5,0),1,0)*Table_NFI[[#This Row],[Shelter Tool kit]],Table_NFI[Shelter Tool kit])</f>
        <v>0</v>
      </c>
      <c r="AP295" s="296">
        <f>IF(NFI_Expiration=1,IF($A295&lt;VLOOKUP(V$5,NFI,5,0),1,0)*Table_NFI[[#This Row],[Tent]],Table_NFI[Tent])</f>
        <v>0</v>
      </c>
      <c r="AQ295" s="396" t="str">
        <f>IFERROR(VLOOKUP(Table_NFI[[#This Row],[Camp Name]],CL,2,0),"")</f>
        <v>MMR001CMP160</v>
      </c>
      <c r="AR295" s="702">
        <f ca="1">IF(Table_NFI[[#This Row],[Pcode]]="","",IF(OFFSET(CampList[Opening Date],MATCH(Table_NFI[[#This Row],[Pcode]],CampList[CP_Pcode],0)-1,0,1,1)&gt;=NFI_Monitor_Date,1,0))</f>
        <v>0</v>
      </c>
      <c r="AS295" s="396" t="str">
        <f>IFERROR(VLOOKUP(Table_NFI[[#This Row],[Camp Name]],CL,3,0),"")</f>
        <v>Open</v>
      </c>
      <c r="AT295" s="264" t="str">
        <f ca="1">IF(Table_NFI[[#This Row],[Pcode]]="","",OFFSET(CampList[Priority],MATCH(Table_NFI[[#This Row],[Pcode]],CampList[CP_Pcode],0)-1,0,1,1))</f>
        <v>P1</v>
      </c>
      <c r="AU295" s="263">
        <f>IFERROR(Table_NFI[[#This Row],[Kitchen Set]]/VLOOKUP(Table_NFI[[#This Row],[Camp Name]],CL,4,0),"")</f>
        <v>0</v>
      </c>
      <c r="AV295" s="390"/>
      <c r="AW295" s="392"/>
      <c r="AX295" s="399"/>
      <c r="AY295" s="399"/>
      <c r="AZ295" s="399"/>
      <c r="BA295" s="399"/>
      <c r="BB295" s="399"/>
      <c r="BC295" s="399"/>
      <c r="BD295" s="399"/>
      <c r="BE295" s="399"/>
      <c r="BF295" s="399"/>
      <c r="BG295" s="399"/>
      <c r="BH295" s="399"/>
      <c r="BI295" s="399"/>
      <c r="BJ295" s="399"/>
      <c r="BK295" s="399"/>
      <c r="BL295" s="399"/>
      <c r="BM295" s="399"/>
      <c r="BN295" s="399"/>
      <c r="BO295" s="399"/>
      <c r="BP295" s="399"/>
      <c r="BQ295" s="399"/>
      <c r="BR295" s="399"/>
      <c r="BS295" s="399"/>
      <c r="BT295" s="399"/>
      <c r="BU295" s="399"/>
      <c r="BV295" s="399"/>
      <c r="BW295" s="399"/>
      <c r="BX295" s="399"/>
      <c r="BY295" s="399"/>
      <c r="BZ295" s="399"/>
      <c r="CA295" s="399"/>
      <c r="CB295" s="399"/>
      <c r="CC295" s="399"/>
      <c r="CD295" s="399"/>
      <c r="CE295" s="399"/>
      <c r="CF295" s="399"/>
      <c r="CG295" s="399"/>
      <c r="CH295" s="399"/>
      <c r="CI295" s="399"/>
      <c r="CJ295" s="399"/>
      <c r="CK295" s="399"/>
      <c r="CL295" s="399"/>
      <c r="CM295" s="399"/>
      <c r="CN295" s="399"/>
      <c r="CO295" s="399"/>
      <c r="CP295" s="399"/>
      <c r="CQ295" s="399"/>
      <c r="CR295" s="399"/>
      <c r="CS295" s="399"/>
      <c r="CT295" s="399"/>
      <c r="CU295" s="399"/>
      <c r="CV295" s="399"/>
      <c r="CW295" s="399"/>
      <c r="CX295" s="399"/>
      <c r="CY295" s="399"/>
      <c r="CZ295" s="399"/>
      <c r="DA295" s="399"/>
      <c r="DB295" s="399"/>
      <c r="DC295" s="399"/>
      <c r="DD295" s="399"/>
      <c r="DE295" s="399"/>
      <c r="DF295" s="399"/>
      <c r="DG295" s="399"/>
      <c r="DH295" s="399"/>
      <c r="DI295" s="399"/>
      <c r="DJ295" s="399"/>
      <c r="DK295" s="399"/>
      <c r="DL295" s="399"/>
      <c r="DM295" s="399"/>
      <c r="DN295" s="399"/>
      <c r="DO295" s="399"/>
      <c r="DP295" s="399"/>
      <c r="DQ295" s="399"/>
    </row>
    <row r="296" spans="1:121" s="393" customFormat="1" ht="14.45" customHeight="1" x14ac:dyDescent="0.25">
      <c r="A296" s="266">
        <f t="shared" si="4"/>
        <v>29.666666666666668</v>
      </c>
      <c r="B296" s="389">
        <v>41966</v>
      </c>
      <c r="C296" s="390" t="s">
        <v>451</v>
      </c>
      <c r="D296" s="390" t="s">
        <v>459</v>
      </c>
      <c r="E296" s="390" t="s">
        <v>380</v>
      </c>
      <c r="F296" s="390" t="s">
        <v>237</v>
      </c>
      <c r="G296" s="390" t="s">
        <v>253</v>
      </c>
      <c r="H296" s="261"/>
      <c r="I296" s="261"/>
      <c r="J296" s="261"/>
      <c r="K296" s="261">
        <v>72</v>
      </c>
      <c r="L296" s="261">
        <v>36</v>
      </c>
      <c r="M296" s="261">
        <v>72</v>
      </c>
      <c r="N296" s="261">
        <v>36</v>
      </c>
      <c r="O296" s="261"/>
      <c r="P296" s="261">
        <v>36</v>
      </c>
      <c r="Q296" s="261">
        <v>180</v>
      </c>
      <c r="R296" s="261"/>
      <c r="S296" s="261"/>
      <c r="T296" s="261"/>
      <c r="U296" s="261"/>
      <c r="V296" s="762"/>
      <c r="W296" s="261"/>
      <c r="X296" s="261"/>
      <c r="Y296" s="264">
        <f>IF(NFI_Expiration=1,IF($A296&lt;VLOOKUP(H$5,NFI,5,0),1,0)*Table_NFI[[#This Row],[Hygiene Kit]],Table_NFI[Hygiene Kit])</f>
        <v>0</v>
      </c>
      <c r="Z296" s="264">
        <f>IF(NFI_Expiration=1,IF($A296&lt;VLOOKUP(I$5,NFI,5,0),1,0)*Table_NFI[[#This Row],[NFI Core Kit]],Table_NFI[NFI Core Kit])</f>
        <v>0</v>
      </c>
      <c r="AA296" s="264">
        <f>IF(NFI_Expiration=1,IF($A296&lt;VLOOKUP(J$5,NFI,5,0),1,0)*Table_NFI[[#This Row],[Sanitary Kit]],Table_NFI[Sanitary Kit])</f>
        <v>0</v>
      </c>
      <c r="AB296" s="264">
        <f>IF(NFI_Expiration=1,IF($A296&lt;VLOOKUP(K$5,NFI,5,0),1,0)*Table_NFI[[#This Row],[Mosquito net]],Table_NFI[Mosquito net])</f>
        <v>0</v>
      </c>
      <c r="AC296" s="264">
        <f>IF(NFI_Expiration=1,IF($A296&lt;VLOOKUP(L$5,NFI,5,0),1,0)*Table_NFI[[#This Row],[Tarpaulin]],Table_NFI[[#This Row],[Tarpaulin]])</f>
        <v>0</v>
      </c>
      <c r="AD296" s="264">
        <f>IF(NFI_Expiration=1,IF($A296&lt;VLOOKUP(M$5,NFI,5,0),1,0)*Table_NFI[[#This Row],[Blanket]],Table_NFI[[#This Row],[Blanket]])</f>
        <v>0</v>
      </c>
      <c r="AE296" s="264">
        <f>IF(NFI_Expiration=1,IF($A296&lt;VLOOKUP(N$5,NFI,5,0),1,0)*Table_NFI[[#This Row],[Kitchen Set]],Table_NFI[Kitchen Set])</f>
        <v>0</v>
      </c>
      <c r="AF296" s="264">
        <f>IF(NFI_Expiration=1,IF($A296&lt;VLOOKUP(O$5,NFI,5,0),1,0)*Table_NFI[[#This Row],[Clothes Kit]],Table_NFI[Clothes Kit])</f>
        <v>0</v>
      </c>
      <c r="AG296" s="264">
        <f>IF(NFI_Expiration=1,IF($A296&lt;VLOOKUP(P$5,NFI,5,0),1,0)*Table_NFI[[#This Row],[Plastic Bucket]],Table_NFI[Plastic Bucket])</f>
        <v>0</v>
      </c>
      <c r="AH296" s="264">
        <f>IF(NFI_Expiration=1,IF($A296&lt;VLOOKUP(Q$5,NFI,5,0),1,0)*Table_NFI[[#This Row],[Plastic Mat]],Table_NFI[Plastic Mat])*IF(Table_NFI[[#This Row],[Distribution Date]]&gt;"2014-04-01",1,2.5)</f>
        <v>0</v>
      </c>
      <c r="AI296" s="264">
        <f>IF(NFI_Expiration=1,IF($A296&lt;VLOOKUP(R$5,NFI,5,0),1,0)*Table_NFI[[#This Row],[Winter Clothes Adult]],Table_NFI[Winter Clothes Adult])</f>
        <v>0</v>
      </c>
      <c r="AJ296" s="264">
        <f>IF(NFI_Expiration=1,IF($A296&lt;VLOOKUP(S$5,NFI,5,0),1,0)*Table_NFI[[#This Row],[Winter Clothes Children]],Table_NFI[Winter Clothes Children])</f>
        <v>0</v>
      </c>
      <c r="AK296" s="264">
        <f>IF(NFI_Expiration=1,IF($A296&lt;VLOOKUP(T$5,NFI,5,0),1,0)*Table_NFI[[#This Row],[Winter Items Other]],Table_NFI[Winter Items Other])</f>
        <v>0</v>
      </c>
      <c r="AL296" s="264">
        <f>IF(NFI_Expiration=1,IF($A296&lt;VLOOKUP(M$5,NFI,5,0),1,0)*Table_NFI[[#This Row],[Winter Blanket]],Table_NFI[[#This Row],[Winter Blanket]])</f>
        <v>0</v>
      </c>
      <c r="AM296" s="264">
        <f>IF(Table_NFI[[#This Row],[Winter Clothes Adult]]+Table_NFI[[#This Row],[Winter Clothes Children]]+Table_NFI[[#This Row],[Winter Items Other]]+Table_NFI[[#This Row],[Winter Blanket]]&gt;0,1,0)</f>
        <v>0</v>
      </c>
      <c r="AN296" s="296">
        <f>IF(NFI_Expiration=1,IF($A296&lt;VLOOKUP(V$5,NFI,5,0),1,0)*Table_NFI[[#This Row],[Jerry Can]],Table_NFI[Jerry Can])</f>
        <v>0</v>
      </c>
      <c r="AO296" s="296">
        <f>IF(NFI_Expiration=1,IF($A296&lt;VLOOKUP(V$5,NFI,5,0),1,0)*Table_NFI[[#This Row],[Shelter Tool kit]],Table_NFI[Shelter Tool kit])</f>
        <v>0</v>
      </c>
      <c r="AP296" s="296">
        <f>IF(NFI_Expiration=1,IF($A296&lt;VLOOKUP(V$5,NFI,5,0),1,0)*Table_NFI[[#This Row],[Tent]],Table_NFI[Tent])</f>
        <v>0</v>
      </c>
      <c r="AQ296" s="396" t="str">
        <f>IFERROR(VLOOKUP(Table_NFI[[#This Row],[Camp Name]],CL,2,0),"")</f>
        <v>MMR001CMP018</v>
      </c>
      <c r="AR296" s="702">
        <f ca="1">IF(Table_NFI[[#This Row],[Pcode]]="","",IF(OFFSET(CampList[Opening Date],MATCH(Table_NFI[[#This Row],[Pcode]],CampList[CP_Pcode],0)-1,0,1,1)&gt;=NFI_Monitor_Date,1,0))</f>
        <v>0</v>
      </c>
      <c r="AS296" s="396" t="str">
        <f>IFERROR(VLOOKUP(Table_NFI[[#This Row],[Camp Name]],CL,3,0),"")</f>
        <v>Open</v>
      </c>
      <c r="AT296" s="264" t="str">
        <f ca="1">IF(Table_NFI[[#This Row],[Pcode]]="","",OFFSET(CampList[Priority],MATCH(Table_NFI[[#This Row],[Pcode]],CampList[CP_Pcode],0)-1,0,1,1))</f>
        <v>P4</v>
      </c>
      <c r="AU296" s="263">
        <f>IFERROR(Table_NFI[[#This Row],[Kitchen Set]]/VLOOKUP(Table_NFI[[#This Row],[Camp Name]],CL,4,0),"")</f>
        <v>8.8397790055248619E-4</v>
      </c>
      <c r="AV296" s="390"/>
      <c r="AW296" s="392"/>
      <c r="AX296" s="399"/>
      <c r="AY296" s="399"/>
      <c r="AZ296" s="399"/>
      <c r="BA296" s="399"/>
      <c r="BB296" s="399"/>
      <c r="BC296" s="399"/>
      <c r="BD296" s="399"/>
      <c r="BE296" s="399"/>
      <c r="BF296" s="399"/>
      <c r="BG296" s="399"/>
      <c r="BH296" s="399"/>
      <c r="BI296" s="399"/>
      <c r="BJ296" s="399"/>
      <c r="BK296" s="399"/>
      <c r="BL296" s="399"/>
      <c r="BM296" s="399"/>
      <c r="BN296" s="399"/>
      <c r="BO296" s="399"/>
      <c r="BP296" s="399"/>
      <c r="BQ296" s="399"/>
      <c r="BR296" s="399"/>
      <c r="BS296" s="399"/>
      <c r="BT296" s="399"/>
      <c r="BU296" s="399"/>
      <c r="BV296" s="399"/>
      <c r="BW296" s="399"/>
      <c r="BX296" s="399"/>
      <c r="BY296" s="399"/>
      <c r="BZ296" s="399"/>
      <c r="CA296" s="399"/>
      <c r="CB296" s="399"/>
      <c r="CC296" s="399"/>
      <c r="CD296" s="399"/>
      <c r="CE296" s="399"/>
      <c r="CF296" s="399"/>
      <c r="CG296" s="399"/>
      <c r="CH296" s="399"/>
      <c r="CI296" s="399"/>
      <c r="CJ296" s="399"/>
      <c r="CK296" s="399"/>
      <c r="CL296" s="399"/>
      <c r="CM296" s="399"/>
      <c r="CN296" s="399"/>
      <c r="CO296" s="399"/>
      <c r="CP296" s="399"/>
      <c r="CQ296" s="399"/>
      <c r="CR296" s="399"/>
      <c r="CS296" s="399"/>
      <c r="CT296" s="399"/>
      <c r="CU296" s="399"/>
      <c r="CV296" s="399"/>
      <c r="CW296" s="399"/>
      <c r="CX296" s="399"/>
      <c r="CY296" s="399"/>
      <c r="CZ296" s="399"/>
      <c r="DA296" s="399"/>
      <c r="DB296" s="399"/>
      <c r="DC296" s="399"/>
      <c r="DD296" s="399"/>
      <c r="DE296" s="399"/>
      <c r="DF296" s="399"/>
      <c r="DG296" s="399"/>
      <c r="DH296" s="399"/>
      <c r="DI296" s="399"/>
      <c r="DJ296" s="399"/>
      <c r="DK296" s="399"/>
      <c r="DL296" s="399"/>
      <c r="DM296" s="399"/>
      <c r="DN296" s="399"/>
      <c r="DO296" s="399"/>
      <c r="DP296" s="399"/>
      <c r="DQ296" s="399"/>
    </row>
    <row r="297" spans="1:121" s="393" customFormat="1" ht="14.45" customHeight="1" x14ac:dyDescent="0.25">
      <c r="A297" s="266">
        <f t="shared" si="4"/>
        <v>30.066666666666666</v>
      </c>
      <c r="B297" s="389">
        <v>41954</v>
      </c>
      <c r="C297" s="390" t="s">
        <v>451</v>
      </c>
      <c r="D297" s="390" t="s">
        <v>459</v>
      </c>
      <c r="E297" s="390" t="s">
        <v>380</v>
      </c>
      <c r="F297" s="390" t="s">
        <v>526</v>
      </c>
      <c r="G297" s="390" t="s">
        <v>88</v>
      </c>
      <c r="H297" s="261"/>
      <c r="I297" s="261"/>
      <c r="J297" s="261">
        <v>19</v>
      </c>
      <c r="K297" s="261">
        <v>38</v>
      </c>
      <c r="L297" s="261">
        <v>19</v>
      </c>
      <c r="M297" s="261">
        <v>38</v>
      </c>
      <c r="N297" s="261">
        <v>19</v>
      </c>
      <c r="O297" s="261"/>
      <c r="P297" s="261">
        <v>19</v>
      </c>
      <c r="Q297" s="261">
        <v>95</v>
      </c>
      <c r="R297" s="261"/>
      <c r="S297" s="261"/>
      <c r="T297" s="261"/>
      <c r="U297" s="261"/>
      <c r="V297" s="762"/>
      <c r="W297" s="261"/>
      <c r="X297" s="261"/>
      <c r="Y297" s="264">
        <f>IF(NFI_Expiration=1,IF($A297&lt;VLOOKUP(H$5,NFI,5,0),1,0)*Table_NFI[[#This Row],[Hygiene Kit]],Table_NFI[Hygiene Kit])</f>
        <v>0</v>
      </c>
      <c r="Z297" s="264">
        <f>IF(NFI_Expiration=1,IF($A297&lt;VLOOKUP(I$5,NFI,5,0),1,0)*Table_NFI[[#This Row],[NFI Core Kit]],Table_NFI[NFI Core Kit])</f>
        <v>0</v>
      </c>
      <c r="AA297" s="264">
        <f>IF(NFI_Expiration=1,IF($A297&lt;VLOOKUP(J$5,NFI,5,0),1,0)*Table_NFI[[#This Row],[Sanitary Kit]],Table_NFI[Sanitary Kit])</f>
        <v>0</v>
      </c>
      <c r="AB297" s="264">
        <f>IF(NFI_Expiration=1,IF($A297&lt;VLOOKUP(K$5,NFI,5,0),1,0)*Table_NFI[[#This Row],[Mosquito net]],Table_NFI[Mosquito net])</f>
        <v>0</v>
      </c>
      <c r="AC297" s="264">
        <f>IF(NFI_Expiration=1,IF($A297&lt;VLOOKUP(L$5,NFI,5,0),1,0)*Table_NFI[[#This Row],[Tarpaulin]],Table_NFI[[#This Row],[Tarpaulin]])</f>
        <v>0</v>
      </c>
      <c r="AD297" s="264">
        <f>IF(NFI_Expiration=1,IF($A297&lt;VLOOKUP(M$5,NFI,5,0),1,0)*Table_NFI[[#This Row],[Blanket]],Table_NFI[[#This Row],[Blanket]])</f>
        <v>0</v>
      </c>
      <c r="AE297" s="264">
        <f>IF(NFI_Expiration=1,IF($A297&lt;VLOOKUP(N$5,NFI,5,0),1,0)*Table_NFI[[#This Row],[Kitchen Set]],Table_NFI[Kitchen Set])</f>
        <v>0</v>
      </c>
      <c r="AF297" s="264">
        <f>IF(NFI_Expiration=1,IF($A297&lt;VLOOKUP(O$5,NFI,5,0),1,0)*Table_NFI[[#This Row],[Clothes Kit]],Table_NFI[Clothes Kit])</f>
        <v>0</v>
      </c>
      <c r="AG297" s="264">
        <f>IF(NFI_Expiration=1,IF($A297&lt;VLOOKUP(P$5,NFI,5,0),1,0)*Table_NFI[[#This Row],[Plastic Bucket]],Table_NFI[Plastic Bucket])</f>
        <v>0</v>
      </c>
      <c r="AH297" s="264">
        <f>IF(NFI_Expiration=1,IF($A297&lt;VLOOKUP(Q$5,NFI,5,0),1,0)*Table_NFI[[#This Row],[Plastic Mat]],Table_NFI[Plastic Mat])*IF(Table_NFI[[#This Row],[Distribution Date]]&gt;"2014-04-01",1,2.5)</f>
        <v>0</v>
      </c>
      <c r="AI297" s="264">
        <f>IF(NFI_Expiration=1,IF($A297&lt;VLOOKUP(R$5,NFI,5,0),1,0)*Table_NFI[[#This Row],[Winter Clothes Adult]],Table_NFI[Winter Clothes Adult])</f>
        <v>0</v>
      </c>
      <c r="AJ297" s="264">
        <f>IF(NFI_Expiration=1,IF($A297&lt;VLOOKUP(S$5,NFI,5,0),1,0)*Table_NFI[[#This Row],[Winter Clothes Children]],Table_NFI[Winter Clothes Children])</f>
        <v>0</v>
      </c>
      <c r="AK297" s="264">
        <f>IF(NFI_Expiration=1,IF($A297&lt;VLOOKUP(T$5,NFI,5,0),1,0)*Table_NFI[[#This Row],[Winter Items Other]],Table_NFI[Winter Items Other])</f>
        <v>0</v>
      </c>
      <c r="AL297" s="264">
        <f>IF(NFI_Expiration=1,IF($A297&lt;VLOOKUP(M$5,NFI,5,0),1,0)*Table_NFI[[#This Row],[Winter Blanket]],Table_NFI[[#This Row],[Winter Blanket]])</f>
        <v>0</v>
      </c>
      <c r="AM297" s="264">
        <f>IF(Table_NFI[[#This Row],[Winter Clothes Adult]]+Table_NFI[[#This Row],[Winter Clothes Children]]+Table_NFI[[#This Row],[Winter Items Other]]+Table_NFI[[#This Row],[Winter Blanket]]&gt;0,1,0)</f>
        <v>0</v>
      </c>
      <c r="AN297" s="296">
        <f>IF(NFI_Expiration=1,IF($A297&lt;VLOOKUP(V$5,NFI,5,0),1,0)*Table_NFI[[#This Row],[Jerry Can]],Table_NFI[Jerry Can])</f>
        <v>0</v>
      </c>
      <c r="AO297" s="296">
        <f>IF(NFI_Expiration=1,IF($A297&lt;VLOOKUP(V$5,NFI,5,0),1,0)*Table_NFI[[#This Row],[Shelter Tool kit]],Table_NFI[Shelter Tool kit])</f>
        <v>0</v>
      </c>
      <c r="AP297" s="296">
        <f>IF(NFI_Expiration=1,IF($A297&lt;VLOOKUP(V$5,NFI,5,0),1,0)*Table_NFI[[#This Row],[Tent]],Table_NFI[Tent])</f>
        <v>0</v>
      </c>
      <c r="AQ297" s="396" t="str">
        <f>IFERROR(VLOOKUP(Table_NFI[[#This Row],[Camp Name]],CL,2,0),"")</f>
        <v>MMR001CMP148</v>
      </c>
      <c r="AR297" s="702">
        <f ca="1">IF(Table_NFI[[#This Row],[Pcode]]="","",IF(OFFSET(CampList[Opening Date],MATCH(Table_NFI[[#This Row],[Pcode]],CampList[CP_Pcode],0)-1,0,1,1)&gt;=NFI_Monitor_Date,1,0))</f>
        <v>0</v>
      </c>
      <c r="AS297" s="396" t="str">
        <f>IFERROR(VLOOKUP(Table_NFI[[#This Row],[Camp Name]],CL,3,0),"")</f>
        <v>Open</v>
      </c>
      <c r="AT297" s="264" t="str">
        <f ca="1">IF(Table_NFI[[#This Row],[Pcode]]="","",OFFSET(CampList[Priority],MATCH(Table_NFI[[#This Row],[Pcode]],CampList[CP_Pcode],0)-1,0,1,1))</f>
        <v>P4</v>
      </c>
      <c r="AU297" s="263">
        <f>IFERROR(Table_NFI[[#This Row],[Kitchen Set]]/VLOOKUP(Table_NFI[[#This Row],[Camp Name]],CL,4,0),"")</f>
        <v>4.6135541364155112E-4</v>
      </c>
      <c r="AV297" s="390"/>
      <c r="AW297" s="392"/>
      <c r="AX297" s="399"/>
      <c r="AY297" s="399"/>
      <c r="AZ297" s="399"/>
      <c r="BA297" s="399"/>
      <c r="BB297" s="399"/>
      <c r="BC297" s="399"/>
      <c r="BD297" s="399"/>
      <c r="BE297" s="399"/>
      <c r="BF297" s="399"/>
      <c r="BG297" s="399"/>
      <c r="BH297" s="399"/>
      <c r="BI297" s="399"/>
      <c r="BJ297" s="399"/>
      <c r="BK297" s="399"/>
      <c r="BL297" s="399"/>
      <c r="BM297" s="399"/>
      <c r="BN297" s="399"/>
      <c r="BO297" s="399"/>
      <c r="BP297" s="399"/>
      <c r="BQ297" s="399"/>
      <c r="BR297" s="399"/>
      <c r="BS297" s="399"/>
      <c r="BT297" s="399"/>
      <c r="BU297" s="399"/>
      <c r="BV297" s="399"/>
      <c r="BW297" s="399"/>
      <c r="BX297" s="399"/>
      <c r="BY297" s="399"/>
      <c r="BZ297" s="399"/>
      <c r="CA297" s="399"/>
      <c r="CB297" s="399"/>
      <c r="CC297" s="399"/>
      <c r="CD297" s="399"/>
      <c r="CE297" s="399"/>
      <c r="CF297" s="399"/>
      <c r="CG297" s="399"/>
      <c r="CH297" s="399"/>
      <c r="CI297" s="399"/>
      <c r="CJ297" s="399"/>
      <c r="CK297" s="399"/>
      <c r="CL297" s="399"/>
      <c r="CM297" s="399"/>
      <c r="CN297" s="399"/>
      <c r="CO297" s="399"/>
      <c r="CP297" s="399"/>
      <c r="CQ297" s="399"/>
      <c r="CR297" s="399"/>
      <c r="CS297" s="399"/>
      <c r="CT297" s="399"/>
      <c r="CU297" s="399"/>
      <c r="CV297" s="399"/>
      <c r="CW297" s="399"/>
      <c r="CX297" s="399"/>
      <c r="CY297" s="399"/>
      <c r="CZ297" s="399"/>
      <c r="DA297" s="399"/>
      <c r="DB297" s="399"/>
      <c r="DC297" s="399"/>
      <c r="DD297" s="399"/>
      <c r="DE297" s="399"/>
      <c r="DF297" s="399"/>
      <c r="DG297" s="399"/>
      <c r="DH297" s="399"/>
      <c r="DI297" s="399"/>
      <c r="DJ297" s="399"/>
      <c r="DK297" s="399"/>
      <c r="DL297" s="399"/>
      <c r="DM297" s="399"/>
      <c r="DN297" s="399"/>
      <c r="DO297" s="399"/>
      <c r="DP297" s="399"/>
      <c r="DQ297" s="399"/>
    </row>
    <row r="298" spans="1:121" s="393" customFormat="1" ht="14.45" customHeight="1" x14ac:dyDescent="0.25">
      <c r="A298" s="266">
        <f t="shared" si="4"/>
        <v>30.1</v>
      </c>
      <c r="B298" s="389">
        <v>41953</v>
      </c>
      <c r="C298" s="390" t="s">
        <v>1089</v>
      </c>
      <c r="D298" s="390" t="s">
        <v>899</v>
      </c>
      <c r="E298" s="390" t="s">
        <v>380</v>
      </c>
      <c r="F298" s="390" t="s">
        <v>526</v>
      </c>
      <c r="G298" s="390" t="s">
        <v>610</v>
      </c>
      <c r="H298" s="261"/>
      <c r="I298" s="261"/>
      <c r="J298" s="261"/>
      <c r="K298" s="261"/>
      <c r="L298" s="261"/>
      <c r="M298" s="261"/>
      <c r="N298" s="261"/>
      <c r="O298" s="261"/>
      <c r="P298" s="261"/>
      <c r="Q298" s="261"/>
      <c r="R298" s="261">
        <v>50</v>
      </c>
      <c r="S298" s="261">
        <v>17</v>
      </c>
      <c r="T298" s="261"/>
      <c r="U298" s="261"/>
      <c r="V298" s="762"/>
      <c r="W298" s="261"/>
      <c r="X298" s="261"/>
      <c r="Y298" s="264">
        <f>IF(NFI_Expiration=1,IF($A298&lt;VLOOKUP(H$5,NFI,5,0),1,0)*Table_NFI[[#This Row],[Hygiene Kit]],Table_NFI[Hygiene Kit])</f>
        <v>0</v>
      </c>
      <c r="Z298" s="264">
        <f>IF(NFI_Expiration=1,IF($A298&lt;VLOOKUP(I$5,NFI,5,0),1,0)*Table_NFI[[#This Row],[NFI Core Kit]],Table_NFI[NFI Core Kit])</f>
        <v>0</v>
      </c>
      <c r="AA298" s="264">
        <f>IF(NFI_Expiration=1,IF($A298&lt;VLOOKUP(J$5,NFI,5,0),1,0)*Table_NFI[[#This Row],[Sanitary Kit]],Table_NFI[Sanitary Kit])</f>
        <v>0</v>
      </c>
      <c r="AB298" s="264">
        <f>IF(NFI_Expiration=1,IF($A298&lt;VLOOKUP(K$5,NFI,5,0),1,0)*Table_NFI[[#This Row],[Mosquito net]],Table_NFI[Mosquito net])</f>
        <v>0</v>
      </c>
      <c r="AC298" s="264">
        <f>IF(NFI_Expiration=1,IF($A298&lt;VLOOKUP(L$5,NFI,5,0),1,0)*Table_NFI[[#This Row],[Tarpaulin]],Table_NFI[[#This Row],[Tarpaulin]])</f>
        <v>0</v>
      </c>
      <c r="AD298" s="264">
        <f>IF(NFI_Expiration=1,IF($A298&lt;VLOOKUP(M$5,NFI,5,0),1,0)*Table_NFI[[#This Row],[Blanket]],Table_NFI[[#This Row],[Blanket]])</f>
        <v>0</v>
      </c>
      <c r="AE298" s="264">
        <f>IF(NFI_Expiration=1,IF($A298&lt;VLOOKUP(N$5,NFI,5,0),1,0)*Table_NFI[[#This Row],[Kitchen Set]],Table_NFI[Kitchen Set])</f>
        <v>0</v>
      </c>
      <c r="AF298" s="264">
        <f>IF(NFI_Expiration=1,IF($A298&lt;VLOOKUP(O$5,NFI,5,0),1,0)*Table_NFI[[#This Row],[Clothes Kit]],Table_NFI[Clothes Kit])</f>
        <v>0</v>
      </c>
      <c r="AG298" s="264">
        <f>IF(NFI_Expiration=1,IF($A298&lt;VLOOKUP(P$5,NFI,5,0),1,0)*Table_NFI[[#This Row],[Plastic Bucket]],Table_NFI[Plastic Bucket])</f>
        <v>0</v>
      </c>
      <c r="AH298" s="264">
        <f>IF(NFI_Expiration=1,IF($A298&lt;VLOOKUP(Q$5,NFI,5,0),1,0)*Table_NFI[[#This Row],[Plastic Mat]],Table_NFI[Plastic Mat])*IF(Table_NFI[[#This Row],[Distribution Date]]&gt;"2014-04-01",1,2.5)</f>
        <v>0</v>
      </c>
      <c r="AI298" s="264">
        <f>IF(NFI_Expiration=1,IF($A298&lt;VLOOKUP(R$5,NFI,5,0),1,0)*Table_NFI[[#This Row],[Winter Clothes Adult]],Table_NFI[Winter Clothes Adult])</f>
        <v>0</v>
      </c>
      <c r="AJ298" s="264">
        <f>IF(NFI_Expiration=1,IF($A298&lt;VLOOKUP(S$5,NFI,5,0),1,0)*Table_NFI[[#This Row],[Winter Clothes Children]],Table_NFI[Winter Clothes Children])</f>
        <v>0</v>
      </c>
      <c r="AK298" s="264">
        <f>IF(NFI_Expiration=1,IF($A298&lt;VLOOKUP(T$5,NFI,5,0),1,0)*Table_NFI[[#This Row],[Winter Items Other]],Table_NFI[Winter Items Other])</f>
        <v>0</v>
      </c>
      <c r="AL298" s="264">
        <f>IF(NFI_Expiration=1,IF($A298&lt;VLOOKUP(M$5,NFI,5,0),1,0)*Table_NFI[[#This Row],[Winter Blanket]],Table_NFI[[#This Row],[Winter Blanket]])</f>
        <v>0</v>
      </c>
      <c r="AM298" s="264">
        <f>IF(Table_NFI[[#This Row],[Winter Clothes Adult]]+Table_NFI[[#This Row],[Winter Clothes Children]]+Table_NFI[[#This Row],[Winter Items Other]]+Table_NFI[[#This Row],[Winter Blanket]]&gt;0,1,0)</f>
        <v>1</v>
      </c>
      <c r="AN298" s="296">
        <f>IF(NFI_Expiration=1,IF($A298&lt;VLOOKUP(V$5,NFI,5,0),1,0)*Table_NFI[[#This Row],[Jerry Can]],Table_NFI[Jerry Can])</f>
        <v>0</v>
      </c>
      <c r="AO298" s="296">
        <f>IF(NFI_Expiration=1,IF($A298&lt;VLOOKUP(V$5,NFI,5,0),1,0)*Table_NFI[[#This Row],[Shelter Tool kit]],Table_NFI[Shelter Tool kit])</f>
        <v>0</v>
      </c>
      <c r="AP298" s="296">
        <f>IF(NFI_Expiration=1,IF($A298&lt;VLOOKUP(V$5,NFI,5,0),1,0)*Table_NFI[[#This Row],[Tent]],Table_NFI[Tent])</f>
        <v>0</v>
      </c>
      <c r="AQ298" s="396" t="str">
        <f>IFERROR(VLOOKUP(Table_NFI[[#This Row],[Camp Name]],CL,2,0),"")</f>
        <v>MMR001CMP192</v>
      </c>
      <c r="AR298" s="702">
        <f ca="1">IF(Table_NFI[[#This Row],[Pcode]]="","",IF(OFFSET(CampList[Opening Date],MATCH(Table_NFI[[#This Row],[Pcode]],CampList[CP_Pcode],0)-1,0,1,1)&gt;=NFI_Monitor_Date,1,0))</f>
        <v>0</v>
      </c>
      <c r="AS298" s="396" t="str">
        <f>IFERROR(VLOOKUP(Table_NFI[[#This Row],[Camp Name]],CL,3,0),"")</f>
        <v>Open</v>
      </c>
      <c r="AT298" s="264" t="str">
        <f ca="1">IF(Table_NFI[[#This Row],[Pcode]]="","",OFFSET(CampList[Priority],MATCH(Table_NFI[[#This Row],[Pcode]],CampList[CP_Pcode],0)-1,0,1,1))</f>
        <v>P4</v>
      </c>
      <c r="AU298" s="263">
        <f>IFERROR(Table_NFI[[#This Row],[Kitchen Set]]/VLOOKUP(Table_NFI[[#This Row],[Camp Name]],CL,4,0),"")</f>
        <v>0</v>
      </c>
      <c r="AV298" s="390"/>
      <c r="AW298" s="392"/>
      <c r="AX298" s="399"/>
      <c r="AY298" s="399"/>
      <c r="AZ298" s="399"/>
      <c r="BA298" s="399"/>
      <c r="BB298" s="399"/>
      <c r="BC298" s="399"/>
      <c r="BD298" s="399"/>
      <c r="BE298" s="399"/>
      <c r="BF298" s="399"/>
      <c r="BG298" s="399"/>
      <c r="BH298" s="399"/>
      <c r="BI298" s="399"/>
      <c r="BJ298" s="399"/>
      <c r="BK298" s="399"/>
      <c r="BL298" s="399"/>
      <c r="BM298" s="399"/>
      <c r="BN298" s="399"/>
      <c r="BO298" s="399"/>
      <c r="BP298" s="399"/>
      <c r="BQ298" s="399"/>
      <c r="BR298" s="399"/>
      <c r="BS298" s="399"/>
      <c r="BT298" s="399"/>
      <c r="BU298" s="399"/>
      <c r="BV298" s="399"/>
      <c r="BW298" s="399"/>
      <c r="BX298" s="399"/>
      <c r="BY298" s="399"/>
      <c r="BZ298" s="399"/>
      <c r="CA298" s="399"/>
      <c r="CB298" s="399"/>
      <c r="CC298" s="399"/>
      <c r="CD298" s="399"/>
      <c r="CE298" s="399"/>
      <c r="CF298" s="399"/>
      <c r="CG298" s="399"/>
      <c r="CH298" s="399"/>
      <c r="CI298" s="399"/>
      <c r="CJ298" s="399"/>
      <c r="CK298" s="399"/>
      <c r="CL298" s="399"/>
      <c r="CM298" s="399"/>
      <c r="CN298" s="399"/>
      <c r="CO298" s="399"/>
      <c r="CP298" s="399"/>
      <c r="CQ298" s="399"/>
      <c r="CR298" s="399"/>
      <c r="CS298" s="399"/>
      <c r="CT298" s="399"/>
      <c r="CU298" s="399"/>
      <c r="CV298" s="399"/>
      <c r="CW298" s="399"/>
      <c r="CX298" s="399"/>
      <c r="CY298" s="399"/>
      <c r="CZ298" s="399"/>
      <c r="DA298" s="399"/>
      <c r="DB298" s="399"/>
      <c r="DC298" s="399"/>
      <c r="DD298" s="399"/>
      <c r="DE298" s="399"/>
      <c r="DF298" s="399"/>
      <c r="DG298" s="399"/>
      <c r="DH298" s="399"/>
      <c r="DI298" s="399"/>
      <c r="DJ298" s="399"/>
      <c r="DK298" s="399"/>
      <c r="DL298" s="399"/>
      <c r="DM298" s="399"/>
      <c r="DN298" s="399"/>
      <c r="DO298" s="399"/>
      <c r="DP298" s="399"/>
      <c r="DQ298" s="399"/>
    </row>
    <row r="299" spans="1:121" s="393" customFormat="1" ht="14.45" customHeight="1" x14ac:dyDescent="0.25">
      <c r="A299" s="266">
        <f t="shared" si="4"/>
        <v>30.1</v>
      </c>
      <c r="B299" s="389">
        <v>41953</v>
      </c>
      <c r="C299" s="390" t="s">
        <v>1089</v>
      </c>
      <c r="D299" s="390" t="s">
        <v>899</v>
      </c>
      <c r="E299" s="390" t="s">
        <v>380</v>
      </c>
      <c r="F299" s="390" t="s">
        <v>526</v>
      </c>
      <c r="G299" s="390" t="s">
        <v>108</v>
      </c>
      <c r="H299" s="261"/>
      <c r="I299" s="261"/>
      <c r="J299" s="261"/>
      <c r="K299" s="261"/>
      <c r="L299" s="261"/>
      <c r="M299" s="261"/>
      <c r="N299" s="261"/>
      <c r="O299" s="261"/>
      <c r="P299" s="261"/>
      <c r="Q299" s="261"/>
      <c r="R299" s="261">
        <v>117</v>
      </c>
      <c r="S299" s="261">
        <v>65</v>
      </c>
      <c r="T299" s="261"/>
      <c r="U299" s="261"/>
      <c r="V299" s="762"/>
      <c r="W299" s="261"/>
      <c r="X299" s="261"/>
      <c r="Y299" s="264">
        <f>IF(NFI_Expiration=1,IF($A299&lt;VLOOKUP(H$5,NFI,5,0),1,0)*Table_NFI[[#This Row],[Hygiene Kit]],Table_NFI[Hygiene Kit])</f>
        <v>0</v>
      </c>
      <c r="Z299" s="264">
        <f>IF(NFI_Expiration=1,IF($A299&lt;VLOOKUP(I$5,NFI,5,0),1,0)*Table_NFI[[#This Row],[NFI Core Kit]],Table_NFI[NFI Core Kit])</f>
        <v>0</v>
      </c>
      <c r="AA299" s="264">
        <f>IF(NFI_Expiration=1,IF($A299&lt;VLOOKUP(J$5,NFI,5,0),1,0)*Table_NFI[[#This Row],[Sanitary Kit]],Table_NFI[Sanitary Kit])</f>
        <v>0</v>
      </c>
      <c r="AB299" s="264">
        <f>IF(NFI_Expiration=1,IF($A299&lt;VLOOKUP(K$5,NFI,5,0),1,0)*Table_NFI[[#This Row],[Mosquito net]],Table_NFI[Mosquito net])</f>
        <v>0</v>
      </c>
      <c r="AC299" s="264">
        <f>IF(NFI_Expiration=1,IF($A299&lt;VLOOKUP(L$5,NFI,5,0),1,0)*Table_NFI[[#This Row],[Tarpaulin]],Table_NFI[[#This Row],[Tarpaulin]])</f>
        <v>0</v>
      </c>
      <c r="AD299" s="264">
        <f>IF(NFI_Expiration=1,IF($A299&lt;VLOOKUP(M$5,NFI,5,0),1,0)*Table_NFI[[#This Row],[Blanket]],Table_NFI[[#This Row],[Blanket]])</f>
        <v>0</v>
      </c>
      <c r="AE299" s="264">
        <f>IF(NFI_Expiration=1,IF($A299&lt;VLOOKUP(N$5,NFI,5,0),1,0)*Table_NFI[[#This Row],[Kitchen Set]],Table_NFI[Kitchen Set])</f>
        <v>0</v>
      </c>
      <c r="AF299" s="264">
        <f>IF(NFI_Expiration=1,IF($A299&lt;VLOOKUP(O$5,NFI,5,0),1,0)*Table_NFI[[#This Row],[Clothes Kit]],Table_NFI[Clothes Kit])</f>
        <v>0</v>
      </c>
      <c r="AG299" s="264">
        <f>IF(NFI_Expiration=1,IF($A299&lt;VLOOKUP(P$5,NFI,5,0),1,0)*Table_NFI[[#This Row],[Plastic Bucket]],Table_NFI[Plastic Bucket])</f>
        <v>0</v>
      </c>
      <c r="AH299" s="264">
        <f>IF(NFI_Expiration=1,IF($A299&lt;VLOOKUP(Q$5,NFI,5,0),1,0)*Table_NFI[[#This Row],[Plastic Mat]],Table_NFI[Plastic Mat])*IF(Table_NFI[[#This Row],[Distribution Date]]&gt;"2014-04-01",1,2.5)</f>
        <v>0</v>
      </c>
      <c r="AI299" s="264">
        <f>IF(NFI_Expiration=1,IF($A299&lt;VLOOKUP(R$5,NFI,5,0),1,0)*Table_NFI[[#This Row],[Winter Clothes Adult]],Table_NFI[Winter Clothes Adult])</f>
        <v>0</v>
      </c>
      <c r="AJ299" s="264">
        <f>IF(NFI_Expiration=1,IF($A299&lt;VLOOKUP(S$5,NFI,5,0),1,0)*Table_NFI[[#This Row],[Winter Clothes Children]],Table_NFI[Winter Clothes Children])</f>
        <v>0</v>
      </c>
      <c r="AK299" s="264">
        <f>IF(NFI_Expiration=1,IF($A299&lt;VLOOKUP(T$5,NFI,5,0),1,0)*Table_NFI[[#This Row],[Winter Items Other]],Table_NFI[Winter Items Other])</f>
        <v>0</v>
      </c>
      <c r="AL299" s="264">
        <f>IF(NFI_Expiration=1,IF($A299&lt;VLOOKUP(M$5,NFI,5,0),1,0)*Table_NFI[[#This Row],[Winter Blanket]],Table_NFI[[#This Row],[Winter Blanket]])</f>
        <v>0</v>
      </c>
      <c r="AM299" s="264">
        <f>IF(Table_NFI[[#This Row],[Winter Clothes Adult]]+Table_NFI[[#This Row],[Winter Clothes Children]]+Table_NFI[[#This Row],[Winter Items Other]]+Table_NFI[[#This Row],[Winter Blanket]]&gt;0,1,0)</f>
        <v>1</v>
      </c>
      <c r="AN299" s="296">
        <f>IF(NFI_Expiration=1,IF($A299&lt;VLOOKUP(V$5,NFI,5,0),1,0)*Table_NFI[[#This Row],[Jerry Can]],Table_NFI[Jerry Can])</f>
        <v>0</v>
      </c>
      <c r="AO299" s="296">
        <f>IF(NFI_Expiration=1,IF($A299&lt;VLOOKUP(V$5,NFI,5,0),1,0)*Table_NFI[[#This Row],[Shelter Tool kit]],Table_NFI[Shelter Tool kit])</f>
        <v>0</v>
      </c>
      <c r="AP299" s="296">
        <f>IF(NFI_Expiration=1,IF($A299&lt;VLOOKUP(V$5,NFI,5,0),1,0)*Table_NFI[[#This Row],[Tent]],Table_NFI[Tent])</f>
        <v>0</v>
      </c>
      <c r="AQ299" s="396" t="str">
        <f>IFERROR(VLOOKUP(Table_NFI[[#This Row],[Camp Name]],CL,2,0),"")</f>
        <v>MMR001CMP103</v>
      </c>
      <c r="AR299" s="702">
        <f ca="1">IF(Table_NFI[[#This Row],[Pcode]]="","",IF(OFFSET(CampList[Opening Date],MATCH(Table_NFI[[#This Row],[Pcode]],CampList[CP_Pcode],0)-1,0,1,1)&gt;=NFI_Monitor_Date,1,0))</f>
        <v>0</v>
      </c>
      <c r="AS299" s="396" t="str">
        <f>IFERROR(VLOOKUP(Table_NFI[[#This Row],[Camp Name]],CL,3,0),"")</f>
        <v>Open</v>
      </c>
      <c r="AT299" s="264" t="str">
        <f ca="1">IF(Table_NFI[[#This Row],[Pcode]]="","",OFFSET(CampList[Priority],MATCH(Table_NFI[[#This Row],[Pcode]],CampList[CP_Pcode],0)-1,0,1,1))</f>
        <v>P4</v>
      </c>
      <c r="AU299" s="263">
        <f>IFERROR(Table_NFI[[#This Row],[Kitchen Set]]/VLOOKUP(Table_NFI[[#This Row],[Camp Name]],CL,4,0),"")</f>
        <v>0</v>
      </c>
      <c r="AV299" s="390"/>
      <c r="AW299" s="392"/>
      <c r="AX299" s="399"/>
      <c r="AY299" s="399"/>
      <c r="AZ299" s="399"/>
      <c r="BA299" s="399"/>
      <c r="BB299" s="399"/>
      <c r="BC299" s="399"/>
      <c r="BD299" s="399"/>
      <c r="BE299" s="399"/>
      <c r="BF299" s="399"/>
      <c r="BG299" s="399"/>
      <c r="BH299" s="399"/>
      <c r="BI299" s="399"/>
      <c r="BJ299" s="399"/>
      <c r="BK299" s="399"/>
      <c r="BL299" s="399"/>
      <c r="BM299" s="399"/>
      <c r="BN299" s="399"/>
      <c r="BO299" s="399"/>
      <c r="BP299" s="399"/>
      <c r="BQ299" s="399"/>
      <c r="BR299" s="399"/>
      <c r="BS299" s="399"/>
      <c r="BT299" s="399"/>
      <c r="BU299" s="399"/>
      <c r="BV299" s="399"/>
      <c r="BW299" s="399"/>
      <c r="BX299" s="399"/>
      <c r="BY299" s="399"/>
      <c r="BZ299" s="399"/>
      <c r="CA299" s="399"/>
      <c r="CB299" s="399"/>
      <c r="CC299" s="399"/>
      <c r="CD299" s="399"/>
      <c r="CE299" s="399"/>
      <c r="CF299" s="399"/>
      <c r="CG299" s="399"/>
      <c r="CH299" s="399"/>
      <c r="CI299" s="399"/>
      <c r="CJ299" s="399"/>
      <c r="CK299" s="399"/>
      <c r="CL299" s="399"/>
      <c r="CM299" s="399"/>
      <c r="CN299" s="399"/>
      <c r="CO299" s="399"/>
      <c r="CP299" s="399"/>
      <c r="CQ299" s="399"/>
      <c r="CR299" s="399"/>
      <c r="CS299" s="399"/>
      <c r="CT299" s="399"/>
      <c r="CU299" s="399"/>
      <c r="CV299" s="399"/>
      <c r="CW299" s="399"/>
      <c r="CX299" s="399"/>
      <c r="CY299" s="399"/>
      <c r="CZ299" s="399"/>
      <c r="DA299" s="399"/>
      <c r="DB299" s="399"/>
      <c r="DC299" s="399"/>
      <c r="DD299" s="399"/>
      <c r="DE299" s="399"/>
      <c r="DF299" s="399"/>
      <c r="DG299" s="399"/>
      <c r="DH299" s="399"/>
      <c r="DI299" s="399"/>
      <c r="DJ299" s="399"/>
      <c r="DK299" s="399"/>
      <c r="DL299" s="399"/>
      <c r="DM299" s="399"/>
      <c r="DN299" s="399"/>
      <c r="DO299" s="399"/>
      <c r="DP299" s="399"/>
      <c r="DQ299" s="399"/>
    </row>
    <row r="300" spans="1:121" s="393" customFormat="1" ht="14.45" customHeight="1" x14ac:dyDescent="0.25">
      <c r="A300" s="266">
        <f t="shared" si="4"/>
        <v>30.1</v>
      </c>
      <c r="B300" s="389">
        <v>41953</v>
      </c>
      <c r="C300" s="390" t="s">
        <v>1089</v>
      </c>
      <c r="D300" s="390" t="s">
        <v>899</v>
      </c>
      <c r="E300" s="390" t="s">
        <v>380</v>
      </c>
      <c r="F300" s="390" t="s">
        <v>300</v>
      </c>
      <c r="G300" s="390" t="s">
        <v>301</v>
      </c>
      <c r="H300" s="261"/>
      <c r="I300" s="261"/>
      <c r="J300" s="261"/>
      <c r="K300" s="261"/>
      <c r="L300" s="261"/>
      <c r="M300" s="261"/>
      <c r="N300" s="261"/>
      <c r="O300" s="261"/>
      <c r="P300" s="261"/>
      <c r="Q300" s="261"/>
      <c r="R300" s="261">
        <v>72</v>
      </c>
      <c r="S300" s="261">
        <v>11</v>
      </c>
      <c r="T300" s="261"/>
      <c r="U300" s="261"/>
      <c r="V300" s="762"/>
      <c r="W300" s="261"/>
      <c r="X300" s="261"/>
      <c r="Y300" s="264">
        <f>IF(NFI_Expiration=1,IF($A300&lt;VLOOKUP(H$5,NFI,5,0),1,0)*Table_NFI[[#This Row],[Hygiene Kit]],Table_NFI[Hygiene Kit])</f>
        <v>0</v>
      </c>
      <c r="Z300" s="264">
        <f>IF(NFI_Expiration=1,IF($A300&lt;VLOOKUP(I$5,NFI,5,0),1,0)*Table_NFI[[#This Row],[NFI Core Kit]],Table_NFI[NFI Core Kit])</f>
        <v>0</v>
      </c>
      <c r="AA300" s="264">
        <f>IF(NFI_Expiration=1,IF($A300&lt;VLOOKUP(J$5,NFI,5,0),1,0)*Table_NFI[[#This Row],[Sanitary Kit]],Table_NFI[Sanitary Kit])</f>
        <v>0</v>
      </c>
      <c r="AB300" s="264">
        <f>IF(NFI_Expiration=1,IF($A300&lt;VLOOKUP(K$5,NFI,5,0),1,0)*Table_NFI[[#This Row],[Mosquito net]],Table_NFI[Mosquito net])</f>
        <v>0</v>
      </c>
      <c r="AC300" s="264">
        <f>IF(NFI_Expiration=1,IF($A300&lt;VLOOKUP(L$5,NFI,5,0),1,0)*Table_NFI[[#This Row],[Tarpaulin]],Table_NFI[[#This Row],[Tarpaulin]])</f>
        <v>0</v>
      </c>
      <c r="AD300" s="264">
        <f>IF(NFI_Expiration=1,IF($A300&lt;VLOOKUP(M$5,NFI,5,0),1,0)*Table_NFI[[#This Row],[Blanket]],Table_NFI[[#This Row],[Blanket]])</f>
        <v>0</v>
      </c>
      <c r="AE300" s="264">
        <f>IF(NFI_Expiration=1,IF($A300&lt;VLOOKUP(N$5,NFI,5,0),1,0)*Table_NFI[[#This Row],[Kitchen Set]],Table_NFI[Kitchen Set])</f>
        <v>0</v>
      </c>
      <c r="AF300" s="264">
        <f>IF(NFI_Expiration=1,IF($A300&lt;VLOOKUP(O$5,NFI,5,0),1,0)*Table_NFI[[#This Row],[Clothes Kit]],Table_NFI[Clothes Kit])</f>
        <v>0</v>
      </c>
      <c r="AG300" s="264">
        <f>IF(NFI_Expiration=1,IF($A300&lt;VLOOKUP(P$5,NFI,5,0),1,0)*Table_NFI[[#This Row],[Plastic Bucket]],Table_NFI[Plastic Bucket])</f>
        <v>0</v>
      </c>
      <c r="AH300" s="264">
        <f>IF(NFI_Expiration=1,IF($A300&lt;VLOOKUP(Q$5,NFI,5,0),1,0)*Table_NFI[[#This Row],[Plastic Mat]],Table_NFI[Plastic Mat])*IF(Table_NFI[[#This Row],[Distribution Date]]&gt;"2014-04-01",1,2.5)</f>
        <v>0</v>
      </c>
      <c r="AI300" s="264">
        <f>IF(NFI_Expiration=1,IF($A300&lt;VLOOKUP(R$5,NFI,5,0),1,0)*Table_NFI[[#This Row],[Winter Clothes Adult]],Table_NFI[Winter Clothes Adult])</f>
        <v>0</v>
      </c>
      <c r="AJ300" s="264">
        <f>IF(NFI_Expiration=1,IF($A300&lt;VLOOKUP(S$5,NFI,5,0),1,0)*Table_NFI[[#This Row],[Winter Clothes Children]],Table_NFI[Winter Clothes Children])</f>
        <v>0</v>
      </c>
      <c r="AK300" s="264">
        <f>IF(NFI_Expiration=1,IF($A300&lt;VLOOKUP(T$5,NFI,5,0),1,0)*Table_NFI[[#This Row],[Winter Items Other]],Table_NFI[Winter Items Other])</f>
        <v>0</v>
      </c>
      <c r="AL300" s="264">
        <f>IF(NFI_Expiration=1,IF($A300&lt;VLOOKUP(M$5,NFI,5,0),1,0)*Table_NFI[[#This Row],[Winter Blanket]],Table_NFI[[#This Row],[Winter Blanket]])</f>
        <v>0</v>
      </c>
      <c r="AM300" s="264">
        <f>IF(Table_NFI[[#This Row],[Winter Clothes Adult]]+Table_NFI[[#This Row],[Winter Clothes Children]]+Table_NFI[[#This Row],[Winter Items Other]]+Table_NFI[[#This Row],[Winter Blanket]]&gt;0,1,0)</f>
        <v>1</v>
      </c>
      <c r="AN300" s="296">
        <f>IF(NFI_Expiration=1,IF($A300&lt;VLOOKUP(V$5,NFI,5,0),1,0)*Table_NFI[[#This Row],[Jerry Can]],Table_NFI[Jerry Can])</f>
        <v>0</v>
      </c>
      <c r="AO300" s="296">
        <f>IF(NFI_Expiration=1,IF($A300&lt;VLOOKUP(V$5,NFI,5,0),1,0)*Table_NFI[[#This Row],[Shelter Tool kit]],Table_NFI[Shelter Tool kit])</f>
        <v>0</v>
      </c>
      <c r="AP300" s="296">
        <f>IF(NFI_Expiration=1,IF($A300&lt;VLOOKUP(V$5,NFI,5,0),1,0)*Table_NFI[[#This Row],[Tent]],Table_NFI[Tent])</f>
        <v>0</v>
      </c>
      <c r="AQ300" s="396" t="str">
        <f>IFERROR(VLOOKUP(Table_NFI[[#This Row],[Camp Name]],CL,2,0),"")</f>
        <v>MMR001CMP075</v>
      </c>
      <c r="AR300" s="702">
        <f ca="1">IF(Table_NFI[[#This Row],[Pcode]]="","",IF(OFFSET(CampList[Opening Date],MATCH(Table_NFI[[#This Row],[Pcode]],CampList[CP_Pcode],0)-1,0,1,1)&gt;=NFI_Monitor_Date,1,0))</f>
        <v>0</v>
      </c>
      <c r="AS300" s="396" t="str">
        <f>IFERROR(VLOOKUP(Table_NFI[[#This Row],[Camp Name]],CL,3,0),"")</f>
        <v>Open</v>
      </c>
      <c r="AT300" s="264" t="str">
        <f ca="1">IF(Table_NFI[[#This Row],[Pcode]]="","",OFFSET(CampList[Priority],MATCH(Table_NFI[[#This Row],[Pcode]],CampList[CP_Pcode],0)-1,0,1,1))</f>
        <v>P3</v>
      </c>
      <c r="AU300" s="263" t="str">
        <f>IFERROR(Table_NFI[[#This Row],[Kitchen Set]]/VLOOKUP(Table_NFI[[#This Row],[Camp Name]],CL,4,0),"")</f>
        <v/>
      </c>
      <c r="AV300" s="390"/>
      <c r="AW300" s="392"/>
      <c r="AX300" s="399"/>
      <c r="AY300" s="399"/>
      <c r="AZ300" s="399"/>
      <c r="BA300" s="399"/>
      <c r="BB300" s="399"/>
      <c r="BC300" s="399"/>
      <c r="BD300" s="399"/>
      <c r="BE300" s="399"/>
      <c r="BF300" s="399"/>
      <c r="BG300" s="399"/>
      <c r="BH300" s="399"/>
      <c r="BI300" s="399"/>
      <c r="BJ300" s="399"/>
      <c r="BK300" s="399"/>
      <c r="BL300" s="399"/>
      <c r="BM300" s="399"/>
      <c r="BN300" s="399"/>
      <c r="BO300" s="399"/>
      <c r="BP300" s="399"/>
      <c r="BQ300" s="399"/>
      <c r="BR300" s="399"/>
      <c r="BS300" s="399"/>
      <c r="BT300" s="399"/>
      <c r="BU300" s="399"/>
      <c r="BV300" s="399"/>
      <c r="BW300" s="399"/>
      <c r="BX300" s="399"/>
      <c r="BY300" s="399"/>
      <c r="BZ300" s="399"/>
      <c r="CA300" s="399"/>
      <c r="CB300" s="399"/>
      <c r="CC300" s="399"/>
      <c r="CD300" s="399"/>
      <c r="CE300" s="399"/>
      <c r="CF300" s="399"/>
      <c r="CG300" s="399"/>
      <c r="CH300" s="399"/>
      <c r="CI300" s="399"/>
      <c r="CJ300" s="399"/>
      <c r="CK300" s="399"/>
      <c r="CL300" s="399"/>
      <c r="CM300" s="399"/>
      <c r="CN300" s="399"/>
      <c r="CO300" s="399"/>
      <c r="CP300" s="399"/>
      <c r="CQ300" s="399"/>
      <c r="CR300" s="399"/>
      <c r="CS300" s="399"/>
      <c r="CT300" s="399"/>
      <c r="CU300" s="399"/>
      <c r="CV300" s="399"/>
      <c r="CW300" s="399"/>
      <c r="CX300" s="399"/>
      <c r="CY300" s="399"/>
      <c r="CZ300" s="399"/>
      <c r="DA300" s="399"/>
      <c r="DB300" s="399"/>
      <c r="DC300" s="399"/>
      <c r="DD300" s="399"/>
      <c r="DE300" s="399"/>
      <c r="DF300" s="399"/>
      <c r="DG300" s="399"/>
      <c r="DH300" s="399"/>
      <c r="DI300" s="399"/>
      <c r="DJ300" s="399"/>
      <c r="DK300" s="399"/>
      <c r="DL300" s="399"/>
      <c r="DM300" s="399"/>
      <c r="DN300" s="399"/>
      <c r="DO300" s="399"/>
      <c r="DP300" s="399"/>
      <c r="DQ300" s="399"/>
    </row>
    <row r="301" spans="1:121" s="393" customFormat="1" ht="14.45" customHeight="1" x14ac:dyDescent="0.25">
      <c r="A301" s="266">
        <f t="shared" si="4"/>
        <v>30.1</v>
      </c>
      <c r="B301" s="389">
        <v>41953</v>
      </c>
      <c r="C301" s="390" t="s">
        <v>1089</v>
      </c>
      <c r="D301" s="390" t="s">
        <v>899</v>
      </c>
      <c r="E301" s="390" t="s">
        <v>380</v>
      </c>
      <c r="F301" s="390" t="s">
        <v>300</v>
      </c>
      <c r="G301" s="390" t="s">
        <v>889</v>
      </c>
      <c r="H301" s="261"/>
      <c r="I301" s="261"/>
      <c r="J301" s="261"/>
      <c r="K301" s="261"/>
      <c r="L301" s="261"/>
      <c r="M301" s="261"/>
      <c r="N301" s="261"/>
      <c r="O301" s="261"/>
      <c r="P301" s="261"/>
      <c r="Q301" s="261"/>
      <c r="R301" s="261">
        <v>52</v>
      </c>
      <c r="S301" s="261">
        <v>16</v>
      </c>
      <c r="T301" s="261"/>
      <c r="U301" s="261"/>
      <c r="V301" s="762"/>
      <c r="W301" s="261"/>
      <c r="X301" s="261"/>
      <c r="Y301" s="264">
        <f>IF(NFI_Expiration=1,IF($A301&lt;VLOOKUP(H$5,NFI,5,0),1,0)*Table_NFI[[#This Row],[Hygiene Kit]],Table_NFI[Hygiene Kit])</f>
        <v>0</v>
      </c>
      <c r="Z301" s="264">
        <f>IF(NFI_Expiration=1,IF($A301&lt;VLOOKUP(I$5,NFI,5,0),1,0)*Table_NFI[[#This Row],[NFI Core Kit]],Table_NFI[NFI Core Kit])</f>
        <v>0</v>
      </c>
      <c r="AA301" s="264">
        <f>IF(NFI_Expiration=1,IF($A301&lt;VLOOKUP(J$5,NFI,5,0),1,0)*Table_NFI[[#This Row],[Sanitary Kit]],Table_NFI[Sanitary Kit])</f>
        <v>0</v>
      </c>
      <c r="AB301" s="264">
        <f>IF(NFI_Expiration=1,IF($A301&lt;VLOOKUP(K$5,NFI,5,0),1,0)*Table_NFI[[#This Row],[Mosquito net]],Table_NFI[Mosquito net])</f>
        <v>0</v>
      </c>
      <c r="AC301" s="264">
        <f>IF(NFI_Expiration=1,IF($A301&lt;VLOOKUP(L$5,NFI,5,0),1,0)*Table_NFI[[#This Row],[Tarpaulin]],Table_NFI[[#This Row],[Tarpaulin]])</f>
        <v>0</v>
      </c>
      <c r="AD301" s="264">
        <f>IF(NFI_Expiration=1,IF($A301&lt;VLOOKUP(M$5,NFI,5,0),1,0)*Table_NFI[[#This Row],[Blanket]],Table_NFI[[#This Row],[Blanket]])</f>
        <v>0</v>
      </c>
      <c r="AE301" s="264">
        <f>IF(NFI_Expiration=1,IF($A301&lt;VLOOKUP(N$5,NFI,5,0),1,0)*Table_NFI[[#This Row],[Kitchen Set]],Table_NFI[Kitchen Set])</f>
        <v>0</v>
      </c>
      <c r="AF301" s="264">
        <f>IF(NFI_Expiration=1,IF($A301&lt;VLOOKUP(O$5,NFI,5,0),1,0)*Table_NFI[[#This Row],[Clothes Kit]],Table_NFI[Clothes Kit])</f>
        <v>0</v>
      </c>
      <c r="AG301" s="264">
        <f>IF(NFI_Expiration=1,IF($A301&lt;VLOOKUP(P$5,NFI,5,0),1,0)*Table_NFI[[#This Row],[Plastic Bucket]],Table_NFI[Plastic Bucket])</f>
        <v>0</v>
      </c>
      <c r="AH301" s="264">
        <f>IF(NFI_Expiration=1,IF($A301&lt;VLOOKUP(Q$5,NFI,5,0),1,0)*Table_NFI[[#This Row],[Plastic Mat]],Table_NFI[Plastic Mat])*IF(Table_NFI[[#This Row],[Distribution Date]]&gt;"2014-04-01",1,2.5)</f>
        <v>0</v>
      </c>
      <c r="AI301" s="264">
        <f>IF(NFI_Expiration=1,IF($A301&lt;VLOOKUP(R$5,NFI,5,0),1,0)*Table_NFI[[#This Row],[Winter Clothes Adult]],Table_NFI[Winter Clothes Adult])</f>
        <v>0</v>
      </c>
      <c r="AJ301" s="264">
        <f>IF(NFI_Expiration=1,IF($A301&lt;VLOOKUP(S$5,NFI,5,0),1,0)*Table_NFI[[#This Row],[Winter Clothes Children]],Table_NFI[Winter Clothes Children])</f>
        <v>0</v>
      </c>
      <c r="AK301" s="264">
        <f>IF(NFI_Expiration=1,IF($A301&lt;VLOOKUP(T$5,NFI,5,0),1,0)*Table_NFI[[#This Row],[Winter Items Other]],Table_NFI[Winter Items Other])</f>
        <v>0</v>
      </c>
      <c r="AL301" s="264">
        <f>IF(NFI_Expiration=1,IF($A301&lt;VLOOKUP(M$5,NFI,5,0),1,0)*Table_NFI[[#This Row],[Winter Blanket]],Table_NFI[[#This Row],[Winter Blanket]])</f>
        <v>0</v>
      </c>
      <c r="AM301" s="264">
        <f>IF(Table_NFI[[#This Row],[Winter Clothes Adult]]+Table_NFI[[#This Row],[Winter Clothes Children]]+Table_NFI[[#This Row],[Winter Items Other]]+Table_NFI[[#This Row],[Winter Blanket]]&gt;0,1,0)</f>
        <v>1</v>
      </c>
      <c r="AN301" s="296">
        <f>IF(NFI_Expiration=1,IF($A301&lt;VLOOKUP(V$5,NFI,5,0),1,0)*Table_NFI[[#This Row],[Jerry Can]],Table_NFI[Jerry Can])</f>
        <v>0</v>
      </c>
      <c r="AO301" s="296">
        <f>IF(NFI_Expiration=1,IF($A301&lt;VLOOKUP(V$5,NFI,5,0),1,0)*Table_NFI[[#This Row],[Shelter Tool kit]],Table_NFI[Shelter Tool kit])</f>
        <v>0</v>
      </c>
      <c r="AP301" s="296">
        <f>IF(NFI_Expiration=1,IF($A301&lt;VLOOKUP(V$5,NFI,5,0),1,0)*Table_NFI[[#This Row],[Tent]],Table_NFI[Tent])</f>
        <v>0</v>
      </c>
      <c r="AQ301" s="396" t="str">
        <f>IFERROR(VLOOKUP(Table_NFI[[#This Row],[Camp Name]],CL,2,0),"")</f>
        <v>MMR001CMP220</v>
      </c>
      <c r="AR301" s="702">
        <f ca="1">IF(Table_NFI[[#This Row],[Pcode]]="","",IF(OFFSET(CampList[Opening Date],MATCH(Table_NFI[[#This Row],[Pcode]],CampList[CP_Pcode],0)-1,0,1,1)&gt;=NFI_Monitor_Date,1,0))</f>
        <v>0</v>
      </c>
      <c r="AS301" s="396" t="str">
        <f>IFERROR(VLOOKUP(Table_NFI[[#This Row],[Camp Name]],CL,3,0),"")</f>
        <v>Closed</v>
      </c>
      <c r="AT301" s="264" t="str">
        <f ca="1">IF(Table_NFI[[#This Row],[Pcode]]="","",OFFSET(CampList[Priority],MATCH(Table_NFI[[#This Row],[Pcode]],CampList[CP_Pcode],0)-1,0,1,1))</f>
        <v>P3</v>
      </c>
      <c r="AU301" s="263">
        <f>IFERROR(Table_NFI[[#This Row],[Kitchen Set]]/VLOOKUP(Table_NFI[[#This Row],[Camp Name]],CL,4,0),"")</f>
        <v>0</v>
      </c>
      <c r="AV301" s="390"/>
      <c r="AW301" s="392"/>
      <c r="AX301" s="399"/>
      <c r="AY301" s="399"/>
      <c r="AZ301" s="399"/>
      <c r="BA301" s="399"/>
      <c r="BB301" s="399"/>
      <c r="BC301" s="399"/>
      <c r="BD301" s="399"/>
      <c r="BE301" s="399"/>
      <c r="BF301" s="399"/>
      <c r="BG301" s="399"/>
      <c r="BH301" s="399"/>
      <c r="BI301" s="399"/>
      <c r="BJ301" s="399"/>
      <c r="BK301" s="399"/>
      <c r="BL301" s="399"/>
      <c r="BM301" s="399"/>
      <c r="BN301" s="399"/>
      <c r="BO301" s="399"/>
      <c r="BP301" s="399"/>
      <c r="BQ301" s="399"/>
      <c r="BR301" s="399"/>
      <c r="BS301" s="399"/>
      <c r="BT301" s="399"/>
      <c r="BU301" s="399"/>
      <c r="BV301" s="399"/>
      <c r="BW301" s="399"/>
      <c r="BX301" s="399"/>
      <c r="BY301" s="399"/>
      <c r="BZ301" s="399"/>
      <c r="CA301" s="399"/>
      <c r="CB301" s="399"/>
      <c r="CC301" s="399"/>
      <c r="CD301" s="399"/>
      <c r="CE301" s="399"/>
      <c r="CF301" s="399"/>
      <c r="CG301" s="399"/>
      <c r="CH301" s="399"/>
      <c r="CI301" s="399"/>
      <c r="CJ301" s="399"/>
      <c r="CK301" s="399"/>
      <c r="CL301" s="399"/>
      <c r="CM301" s="399"/>
      <c r="CN301" s="399"/>
      <c r="CO301" s="399"/>
      <c r="CP301" s="399"/>
      <c r="CQ301" s="399"/>
      <c r="CR301" s="399"/>
      <c r="CS301" s="399"/>
      <c r="CT301" s="399"/>
      <c r="CU301" s="399"/>
      <c r="CV301" s="399"/>
      <c r="CW301" s="399"/>
      <c r="CX301" s="399"/>
      <c r="CY301" s="399"/>
      <c r="CZ301" s="399"/>
      <c r="DA301" s="399"/>
      <c r="DB301" s="399"/>
      <c r="DC301" s="399"/>
      <c r="DD301" s="399"/>
      <c r="DE301" s="399"/>
      <c r="DF301" s="399"/>
      <c r="DG301" s="399"/>
      <c r="DH301" s="399"/>
      <c r="DI301" s="399"/>
      <c r="DJ301" s="399"/>
      <c r="DK301" s="399"/>
      <c r="DL301" s="399"/>
      <c r="DM301" s="399"/>
      <c r="DN301" s="399"/>
      <c r="DO301" s="399"/>
      <c r="DP301" s="399"/>
      <c r="DQ301" s="399"/>
    </row>
    <row r="302" spans="1:121" s="393" customFormat="1" ht="15" customHeight="1" x14ac:dyDescent="0.25">
      <c r="A302" s="266">
        <f t="shared" si="4"/>
        <v>30.333333333333332</v>
      </c>
      <c r="B302" s="389">
        <v>41946</v>
      </c>
      <c r="C302" s="390" t="s">
        <v>451</v>
      </c>
      <c r="D302" s="390" t="s">
        <v>504</v>
      </c>
      <c r="E302" s="390" t="s">
        <v>380</v>
      </c>
      <c r="F302" s="390" t="s">
        <v>310</v>
      </c>
      <c r="G302" s="390" t="s">
        <v>313</v>
      </c>
      <c r="H302" s="261"/>
      <c r="I302" s="261"/>
      <c r="J302" s="261">
        <v>15</v>
      </c>
      <c r="K302" s="261">
        <v>30</v>
      </c>
      <c r="L302" s="261">
        <v>15</v>
      </c>
      <c r="M302" s="261">
        <v>30</v>
      </c>
      <c r="N302" s="261">
        <v>15</v>
      </c>
      <c r="O302" s="261"/>
      <c r="P302" s="261">
        <v>15</v>
      </c>
      <c r="Q302" s="261">
        <v>75</v>
      </c>
      <c r="R302" s="261"/>
      <c r="S302" s="261"/>
      <c r="T302" s="261"/>
      <c r="U302" s="261"/>
      <c r="V302" s="762"/>
      <c r="W302" s="261"/>
      <c r="X302" s="261"/>
      <c r="Y302" s="264">
        <f>IF(NFI_Expiration=1,IF($A302&lt;VLOOKUP(H$5,NFI,5,0),1,0)*Table_NFI[[#This Row],[Hygiene Kit]],Table_NFI[Hygiene Kit])</f>
        <v>0</v>
      </c>
      <c r="Z302" s="264">
        <f>IF(NFI_Expiration=1,IF($A302&lt;VLOOKUP(I$5,NFI,5,0),1,0)*Table_NFI[[#This Row],[NFI Core Kit]],Table_NFI[NFI Core Kit])</f>
        <v>0</v>
      </c>
      <c r="AA302" s="264">
        <f>IF(NFI_Expiration=1,IF($A302&lt;VLOOKUP(J$5,NFI,5,0),1,0)*Table_NFI[[#This Row],[Sanitary Kit]],Table_NFI[Sanitary Kit])</f>
        <v>0</v>
      </c>
      <c r="AB302" s="264">
        <f>IF(NFI_Expiration=1,IF($A302&lt;VLOOKUP(K$5,NFI,5,0),1,0)*Table_NFI[[#This Row],[Mosquito net]],Table_NFI[Mosquito net])</f>
        <v>0</v>
      </c>
      <c r="AC302" s="264">
        <f>IF(NFI_Expiration=1,IF($A302&lt;VLOOKUP(L$5,NFI,5,0),1,0)*Table_NFI[[#This Row],[Tarpaulin]],Table_NFI[[#This Row],[Tarpaulin]])</f>
        <v>0</v>
      </c>
      <c r="AD302" s="264">
        <f>IF(NFI_Expiration=1,IF($A302&lt;VLOOKUP(M$5,NFI,5,0),1,0)*Table_NFI[[#This Row],[Blanket]],Table_NFI[[#This Row],[Blanket]])</f>
        <v>0</v>
      </c>
      <c r="AE302" s="264">
        <f>IF(NFI_Expiration=1,IF($A302&lt;VLOOKUP(N$5,NFI,5,0),1,0)*Table_NFI[[#This Row],[Kitchen Set]],Table_NFI[Kitchen Set])</f>
        <v>0</v>
      </c>
      <c r="AF302" s="264">
        <f>IF(NFI_Expiration=1,IF($A302&lt;VLOOKUP(O$5,NFI,5,0),1,0)*Table_NFI[[#This Row],[Clothes Kit]],Table_NFI[Clothes Kit])</f>
        <v>0</v>
      </c>
      <c r="AG302" s="264">
        <f>IF(NFI_Expiration=1,IF($A302&lt;VLOOKUP(P$5,NFI,5,0),1,0)*Table_NFI[[#This Row],[Plastic Bucket]],Table_NFI[Plastic Bucket])</f>
        <v>0</v>
      </c>
      <c r="AH302" s="264">
        <f>IF(NFI_Expiration=1,IF($A302&lt;VLOOKUP(Q$5,NFI,5,0),1,0)*Table_NFI[[#This Row],[Plastic Mat]],Table_NFI[Plastic Mat])*IF(Table_NFI[[#This Row],[Distribution Date]]&gt;"2014-04-01",1,2.5)</f>
        <v>0</v>
      </c>
      <c r="AI302" s="264">
        <f>IF(NFI_Expiration=1,IF($A302&lt;VLOOKUP(R$5,NFI,5,0),1,0)*Table_NFI[[#This Row],[Winter Clothes Adult]],Table_NFI[Winter Clothes Adult])</f>
        <v>0</v>
      </c>
      <c r="AJ302" s="264">
        <f>IF(NFI_Expiration=1,IF($A302&lt;VLOOKUP(S$5,NFI,5,0),1,0)*Table_NFI[[#This Row],[Winter Clothes Children]],Table_NFI[Winter Clothes Children])</f>
        <v>0</v>
      </c>
      <c r="AK302" s="264">
        <f>IF(NFI_Expiration=1,IF($A302&lt;VLOOKUP(T$5,NFI,5,0),1,0)*Table_NFI[[#This Row],[Winter Items Other]],Table_NFI[Winter Items Other])</f>
        <v>0</v>
      </c>
      <c r="AL302" s="264">
        <f>IF(NFI_Expiration=1,IF($A302&lt;VLOOKUP(M$5,NFI,5,0),1,0)*Table_NFI[[#This Row],[Winter Blanket]],Table_NFI[[#This Row],[Winter Blanket]])</f>
        <v>0</v>
      </c>
      <c r="AM302" s="264">
        <f>IF(Table_NFI[[#This Row],[Winter Clothes Adult]]+Table_NFI[[#This Row],[Winter Clothes Children]]+Table_NFI[[#This Row],[Winter Items Other]]+Table_NFI[[#This Row],[Winter Blanket]]&gt;0,1,0)</f>
        <v>0</v>
      </c>
      <c r="AN302" s="296">
        <f>IF(NFI_Expiration=1,IF($A302&lt;VLOOKUP(V$5,NFI,5,0),1,0)*Table_NFI[[#This Row],[Jerry Can]],Table_NFI[Jerry Can])</f>
        <v>0</v>
      </c>
      <c r="AO302" s="296">
        <f>IF(NFI_Expiration=1,IF($A302&lt;VLOOKUP(V$5,NFI,5,0),1,0)*Table_NFI[[#This Row],[Shelter Tool kit]],Table_NFI[Shelter Tool kit])</f>
        <v>0</v>
      </c>
      <c r="AP302" s="296">
        <f>IF(NFI_Expiration=1,IF($A302&lt;VLOOKUP(V$5,NFI,5,0),1,0)*Table_NFI[[#This Row],[Tent]],Table_NFI[Tent])</f>
        <v>0</v>
      </c>
      <c r="AQ302" s="396" t="str">
        <f>IFERROR(VLOOKUP(Table_NFI[[#This Row],[Camp Name]],CL,2,0),"")</f>
        <v>MMR001CMP028</v>
      </c>
      <c r="AR302" s="702">
        <f ca="1">IF(Table_NFI[[#This Row],[Pcode]]="","",IF(OFFSET(CampList[Opening Date],MATCH(Table_NFI[[#This Row],[Pcode]],CampList[CP_Pcode],0)-1,0,1,1)&gt;=NFI_Monitor_Date,1,0))</f>
        <v>0</v>
      </c>
      <c r="AS302" s="396" t="str">
        <f>IFERROR(VLOOKUP(Table_NFI[[#This Row],[Camp Name]],CL,3,0),"")</f>
        <v>Open</v>
      </c>
      <c r="AT302" s="264" t="str">
        <f ca="1">IF(Table_NFI[[#This Row],[Pcode]]="","",OFFSET(CampList[Priority],MATCH(Table_NFI[[#This Row],[Pcode]],CampList[CP_Pcode],0)-1,0,1,1))</f>
        <v>P4</v>
      </c>
      <c r="AU302" s="263">
        <f>IFERROR(Table_NFI[[#This Row],[Kitchen Set]]/VLOOKUP(Table_NFI[[#This Row],[Camp Name]],CL,4,0),"")</f>
        <v>3.6859565057132326E-4</v>
      </c>
      <c r="AV302" s="390"/>
      <c r="AW302" s="392"/>
      <c r="AX302" s="399"/>
      <c r="AY302" s="399"/>
      <c r="AZ302" s="399"/>
      <c r="BA302" s="399"/>
      <c r="BB302" s="399"/>
      <c r="BC302" s="399"/>
      <c r="BD302" s="399"/>
      <c r="BE302" s="399"/>
      <c r="BF302" s="399"/>
      <c r="BG302" s="399"/>
      <c r="BH302" s="399"/>
      <c r="BI302" s="399"/>
      <c r="BJ302" s="399"/>
      <c r="BK302" s="399"/>
      <c r="BL302" s="399"/>
      <c r="BM302" s="399"/>
      <c r="BN302" s="399"/>
      <c r="BO302" s="399"/>
      <c r="BP302" s="399"/>
      <c r="BQ302" s="399"/>
      <c r="BR302" s="399"/>
      <c r="BS302" s="399"/>
      <c r="BT302" s="399"/>
      <c r="BU302" s="399"/>
      <c r="BV302" s="399"/>
      <c r="BW302" s="399"/>
      <c r="BX302" s="399"/>
      <c r="BY302" s="399"/>
      <c r="BZ302" s="399"/>
      <c r="CA302" s="399"/>
      <c r="CB302" s="399"/>
      <c r="CC302" s="399"/>
      <c r="CD302" s="399"/>
      <c r="CE302" s="399"/>
      <c r="CF302" s="399"/>
      <c r="CG302" s="399"/>
      <c r="CH302" s="399"/>
      <c r="CI302" s="399"/>
      <c r="CJ302" s="399"/>
      <c r="CK302" s="399"/>
      <c r="CL302" s="399"/>
      <c r="CM302" s="399"/>
      <c r="CN302" s="399"/>
      <c r="CO302" s="399"/>
      <c r="CP302" s="399"/>
      <c r="CQ302" s="399"/>
      <c r="CR302" s="399"/>
      <c r="CS302" s="399"/>
      <c r="CT302" s="399"/>
      <c r="CU302" s="399"/>
      <c r="CV302" s="399"/>
      <c r="CW302" s="399"/>
      <c r="CX302" s="399"/>
      <c r="CY302" s="399"/>
      <c r="CZ302" s="399"/>
      <c r="DA302" s="399"/>
      <c r="DB302" s="399"/>
      <c r="DC302" s="399"/>
      <c r="DD302" s="399"/>
      <c r="DE302" s="399"/>
      <c r="DF302" s="399"/>
      <c r="DG302" s="399"/>
      <c r="DH302" s="399"/>
      <c r="DI302" s="399"/>
      <c r="DJ302" s="399"/>
      <c r="DK302" s="399"/>
      <c r="DL302" s="399"/>
      <c r="DM302" s="399"/>
      <c r="DN302" s="399"/>
      <c r="DO302" s="399"/>
      <c r="DP302" s="399"/>
      <c r="DQ302" s="399"/>
    </row>
    <row r="303" spans="1:121" s="393" customFormat="1" ht="14.45" customHeight="1" x14ac:dyDescent="0.25">
      <c r="A303" s="266">
        <f t="shared" si="4"/>
        <v>30.433333333333334</v>
      </c>
      <c r="B303" s="389">
        <v>41943</v>
      </c>
      <c r="C303" s="390" t="s">
        <v>451</v>
      </c>
      <c r="D303" s="390"/>
      <c r="E303" s="390" t="s">
        <v>380</v>
      </c>
      <c r="F303" s="390" t="s">
        <v>526</v>
      </c>
      <c r="G303" s="390" t="s">
        <v>62</v>
      </c>
      <c r="H303" s="261"/>
      <c r="I303" s="261"/>
      <c r="J303" s="261">
        <v>77</v>
      </c>
      <c r="K303" s="261">
        <v>154</v>
      </c>
      <c r="L303" s="261">
        <v>77</v>
      </c>
      <c r="M303" s="261">
        <v>154</v>
      </c>
      <c r="N303" s="261">
        <v>77</v>
      </c>
      <c r="O303" s="261"/>
      <c r="P303" s="261">
        <v>77</v>
      </c>
      <c r="Q303" s="261">
        <v>385</v>
      </c>
      <c r="R303" s="261"/>
      <c r="S303" s="261"/>
      <c r="T303" s="261"/>
      <c r="U303" s="261"/>
      <c r="V303" s="762"/>
      <c r="W303" s="261"/>
      <c r="X303" s="261"/>
      <c r="Y303" s="264">
        <f>IF(NFI_Expiration=1,IF($A303&lt;VLOOKUP(H$5,NFI,5,0),1,0)*Table_NFI[[#This Row],[Hygiene Kit]],Table_NFI[Hygiene Kit])</f>
        <v>0</v>
      </c>
      <c r="Z303" s="264">
        <f>IF(NFI_Expiration=1,IF($A303&lt;VLOOKUP(I$5,NFI,5,0),1,0)*Table_NFI[[#This Row],[NFI Core Kit]],Table_NFI[NFI Core Kit])</f>
        <v>0</v>
      </c>
      <c r="AA303" s="264">
        <f>IF(NFI_Expiration=1,IF($A303&lt;VLOOKUP(J$5,NFI,5,0),1,0)*Table_NFI[[#This Row],[Sanitary Kit]],Table_NFI[Sanitary Kit])</f>
        <v>0</v>
      </c>
      <c r="AB303" s="264">
        <f>IF(NFI_Expiration=1,IF($A303&lt;VLOOKUP(K$5,NFI,5,0),1,0)*Table_NFI[[#This Row],[Mosquito net]],Table_NFI[Mosquito net])</f>
        <v>0</v>
      </c>
      <c r="AC303" s="264">
        <f>IF(NFI_Expiration=1,IF($A303&lt;VLOOKUP(L$5,NFI,5,0),1,0)*Table_NFI[[#This Row],[Tarpaulin]],Table_NFI[[#This Row],[Tarpaulin]])</f>
        <v>0</v>
      </c>
      <c r="AD303" s="264">
        <f>IF(NFI_Expiration=1,IF($A303&lt;VLOOKUP(M$5,NFI,5,0),1,0)*Table_NFI[[#This Row],[Blanket]],Table_NFI[[#This Row],[Blanket]])</f>
        <v>0</v>
      </c>
      <c r="AE303" s="264">
        <f>IF(NFI_Expiration=1,IF($A303&lt;VLOOKUP(N$5,NFI,5,0),1,0)*Table_NFI[[#This Row],[Kitchen Set]],Table_NFI[Kitchen Set])</f>
        <v>0</v>
      </c>
      <c r="AF303" s="264">
        <f>IF(NFI_Expiration=1,IF($A303&lt;VLOOKUP(O$5,NFI,5,0),1,0)*Table_NFI[[#This Row],[Clothes Kit]],Table_NFI[Clothes Kit])</f>
        <v>0</v>
      </c>
      <c r="AG303" s="264">
        <f>IF(NFI_Expiration=1,IF($A303&lt;VLOOKUP(P$5,NFI,5,0),1,0)*Table_NFI[[#This Row],[Plastic Bucket]],Table_NFI[Plastic Bucket])</f>
        <v>0</v>
      </c>
      <c r="AH303" s="264">
        <f>IF(NFI_Expiration=1,IF($A303&lt;VLOOKUP(Q$5,NFI,5,0),1,0)*Table_NFI[[#This Row],[Plastic Mat]],Table_NFI[Plastic Mat])*IF(Table_NFI[[#This Row],[Distribution Date]]&gt;"2014-04-01",1,2.5)</f>
        <v>0</v>
      </c>
      <c r="AI303" s="264">
        <f>IF(NFI_Expiration=1,IF($A303&lt;VLOOKUP(R$5,NFI,5,0),1,0)*Table_NFI[[#This Row],[Winter Clothes Adult]],Table_NFI[Winter Clothes Adult])</f>
        <v>0</v>
      </c>
      <c r="AJ303" s="264">
        <f>IF(NFI_Expiration=1,IF($A303&lt;VLOOKUP(S$5,NFI,5,0),1,0)*Table_NFI[[#This Row],[Winter Clothes Children]],Table_NFI[Winter Clothes Children])</f>
        <v>0</v>
      </c>
      <c r="AK303" s="264">
        <f>IF(NFI_Expiration=1,IF($A303&lt;VLOOKUP(T$5,NFI,5,0),1,0)*Table_NFI[[#This Row],[Winter Items Other]],Table_NFI[Winter Items Other])</f>
        <v>0</v>
      </c>
      <c r="AL303" s="264">
        <f>IF(NFI_Expiration=1,IF($A303&lt;VLOOKUP(M$5,NFI,5,0),1,0)*Table_NFI[[#This Row],[Winter Blanket]],Table_NFI[[#This Row],[Winter Blanket]])</f>
        <v>0</v>
      </c>
      <c r="AM303" s="264">
        <f>IF(Table_NFI[[#This Row],[Winter Clothes Adult]]+Table_NFI[[#This Row],[Winter Clothes Children]]+Table_NFI[[#This Row],[Winter Items Other]]+Table_NFI[[#This Row],[Winter Blanket]]&gt;0,1,0)</f>
        <v>0</v>
      </c>
      <c r="AN303" s="296">
        <f>IF(NFI_Expiration=1,IF($A303&lt;VLOOKUP(V$5,NFI,5,0),1,0)*Table_NFI[[#This Row],[Jerry Can]],Table_NFI[Jerry Can])</f>
        <v>0</v>
      </c>
      <c r="AO303" s="296">
        <f>IF(NFI_Expiration=1,IF($A303&lt;VLOOKUP(V$5,NFI,5,0),1,0)*Table_NFI[[#This Row],[Shelter Tool kit]],Table_NFI[Shelter Tool kit])</f>
        <v>0</v>
      </c>
      <c r="AP303" s="296">
        <f>IF(NFI_Expiration=1,IF($A303&lt;VLOOKUP(V$5,NFI,5,0),1,0)*Table_NFI[[#This Row],[Tent]],Table_NFI[Tent])</f>
        <v>0</v>
      </c>
      <c r="AQ303" s="396" t="str">
        <f>IFERROR(VLOOKUP(Table_NFI[[#This Row],[Camp Name]],CL,2,0),"")</f>
        <v>MMR001CMP179</v>
      </c>
      <c r="AR303" s="702">
        <f ca="1">IF(Table_NFI[[#This Row],[Pcode]]="","",IF(OFFSET(CampList[Opening Date],MATCH(Table_NFI[[#This Row],[Pcode]],CampList[CP_Pcode],0)-1,0,1,1)&gt;=NFI_Monitor_Date,1,0))</f>
        <v>0</v>
      </c>
      <c r="AS303" s="396" t="str">
        <f>IFERROR(VLOOKUP(Table_NFI[[#This Row],[Camp Name]],CL,3,0),"")</f>
        <v>Closed</v>
      </c>
      <c r="AT303" s="264" t="str">
        <f ca="1">IF(Table_NFI[[#This Row],[Pcode]]="","",OFFSET(CampList[Priority],MATCH(Table_NFI[[#This Row],[Pcode]],CampList[CP_Pcode],0)-1,0,1,1))</f>
        <v>P4</v>
      </c>
      <c r="AU303" s="263">
        <f>IFERROR(Table_NFI[[#This Row],[Kitchen Set]]/VLOOKUP(Table_NFI[[#This Row],[Camp Name]],CL,4,0),"")</f>
        <v>1.8655360387643853E-3</v>
      </c>
      <c r="AV303" s="390"/>
      <c r="AW303" s="392"/>
      <c r="AX303" s="399"/>
      <c r="AY303" s="399"/>
      <c r="AZ303" s="399"/>
      <c r="BA303" s="399"/>
      <c r="BB303" s="399"/>
      <c r="BC303" s="399"/>
      <c r="BD303" s="399"/>
      <c r="BE303" s="399"/>
      <c r="BF303" s="399"/>
      <c r="BG303" s="399"/>
      <c r="BH303" s="399"/>
      <c r="BI303" s="399"/>
      <c r="BJ303" s="399"/>
      <c r="BK303" s="399"/>
      <c r="BL303" s="399"/>
      <c r="BM303" s="399"/>
      <c r="BN303" s="399"/>
      <c r="BO303" s="399"/>
      <c r="BP303" s="399"/>
      <c r="BQ303" s="399"/>
      <c r="BR303" s="399"/>
      <c r="BS303" s="399"/>
      <c r="BT303" s="399"/>
      <c r="BU303" s="399"/>
      <c r="BV303" s="399"/>
      <c r="BW303" s="399"/>
      <c r="BX303" s="399"/>
      <c r="BY303" s="399"/>
      <c r="BZ303" s="399"/>
      <c r="CA303" s="399"/>
      <c r="CB303" s="399"/>
      <c r="CC303" s="399"/>
      <c r="CD303" s="399"/>
      <c r="CE303" s="399"/>
      <c r="CF303" s="399"/>
      <c r="CG303" s="399"/>
      <c r="CH303" s="399"/>
      <c r="CI303" s="399"/>
      <c r="CJ303" s="399"/>
      <c r="CK303" s="399"/>
      <c r="CL303" s="399"/>
      <c r="CM303" s="399"/>
      <c r="CN303" s="399"/>
      <c r="CO303" s="399"/>
      <c r="CP303" s="399"/>
      <c r="CQ303" s="399"/>
      <c r="CR303" s="399"/>
      <c r="CS303" s="399"/>
      <c r="CT303" s="399"/>
      <c r="CU303" s="399"/>
      <c r="CV303" s="399"/>
      <c r="CW303" s="399"/>
      <c r="CX303" s="399"/>
      <c r="CY303" s="399"/>
      <c r="CZ303" s="399"/>
      <c r="DA303" s="399"/>
      <c r="DB303" s="399"/>
      <c r="DC303" s="399"/>
      <c r="DD303" s="399"/>
      <c r="DE303" s="399"/>
      <c r="DF303" s="399"/>
      <c r="DG303" s="399"/>
      <c r="DH303" s="399"/>
      <c r="DI303" s="399"/>
      <c r="DJ303" s="399"/>
      <c r="DK303" s="399"/>
      <c r="DL303" s="399"/>
      <c r="DM303" s="399"/>
      <c r="DN303" s="399"/>
      <c r="DO303" s="399"/>
      <c r="DP303" s="399"/>
      <c r="DQ303" s="399"/>
    </row>
    <row r="304" spans="1:121" s="393" customFormat="1" ht="14.45" customHeight="1" x14ac:dyDescent="0.25">
      <c r="A304" s="266">
        <f t="shared" si="4"/>
        <v>30.433333333333334</v>
      </c>
      <c r="B304" s="389">
        <v>41943</v>
      </c>
      <c r="C304" s="390" t="s">
        <v>451</v>
      </c>
      <c r="D304" s="390"/>
      <c r="E304" s="390" t="s">
        <v>380</v>
      </c>
      <c r="F304" s="390" t="s">
        <v>526</v>
      </c>
      <c r="G304" s="390" t="s">
        <v>120</v>
      </c>
      <c r="H304" s="261"/>
      <c r="I304" s="261"/>
      <c r="J304" s="261">
        <v>59</v>
      </c>
      <c r="K304" s="261">
        <v>118</v>
      </c>
      <c r="L304" s="261">
        <v>59</v>
      </c>
      <c r="M304" s="261">
        <v>118</v>
      </c>
      <c r="N304" s="261">
        <v>59</v>
      </c>
      <c r="O304" s="261"/>
      <c r="P304" s="261">
        <v>59</v>
      </c>
      <c r="Q304" s="261">
        <v>295</v>
      </c>
      <c r="R304" s="261"/>
      <c r="S304" s="261"/>
      <c r="T304" s="261"/>
      <c r="U304" s="261"/>
      <c r="V304" s="762"/>
      <c r="W304" s="261"/>
      <c r="X304" s="261"/>
      <c r="Y304" s="264">
        <f>IF(NFI_Expiration=1,IF($A304&lt;VLOOKUP(H$5,NFI,5,0),1,0)*Table_NFI[[#This Row],[Hygiene Kit]],Table_NFI[Hygiene Kit])</f>
        <v>0</v>
      </c>
      <c r="Z304" s="264">
        <f>IF(NFI_Expiration=1,IF($A304&lt;VLOOKUP(I$5,NFI,5,0),1,0)*Table_NFI[[#This Row],[NFI Core Kit]],Table_NFI[NFI Core Kit])</f>
        <v>0</v>
      </c>
      <c r="AA304" s="264">
        <f>IF(NFI_Expiration=1,IF($A304&lt;VLOOKUP(J$5,NFI,5,0),1,0)*Table_NFI[[#This Row],[Sanitary Kit]],Table_NFI[Sanitary Kit])</f>
        <v>0</v>
      </c>
      <c r="AB304" s="264">
        <f>IF(NFI_Expiration=1,IF($A304&lt;VLOOKUP(K$5,NFI,5,0),1,0)*Table_NFI[[#This Row],[Mosquito net]],Table_NFI[Mosquito net])</f>
        <v>0</v>
      </c>
      <c r="AC304" s="264">
        <f>IF(NFI_Expiration=1,IF($A304&lt;VLOOKUP(L$5,NFI,5,0),1,0)*Table_NFI[[#This Row],[Tarpaulin]],Table_NFI[[#This Row],[Tarpaulin]])</f>
        <v>0</v>
      </c>
      <c r="AD304" s="264">
        <f>IF(NFI_Expiration=1,IF($A304&lt;VLOOKUP(M$5,NFI,5,0),1,0)*Table_NFI[[#This Row],[Blanket]],Table_NFI[[#This Row],[Blanket]])</f>
        <v>0</v>
      </c>
      <c r="AE304" s="264">
        <f>IF(NFI_Expiration=1,IF($A304&lt;VLOOKUP(N$5,NFI,5,0),1,0)*Table_NFI[[#This Row],[Kitchen Set]],Table_NFI[Kitchen Set])</f>
        <v>0</v>
      </c>
      <c r="AF304" s="264">
        <f>IF(NFI_Expiration=1,IF($A304&lt;VLOOKUP(O$5,NFI,5,0),1,0)*Table_NFI[[#This Row],[Clothes Kit]],Table_NFI[Clothes Kit])</f>
        <v>0</v>
      </c>
      <c r="AG304" s="264">
        <f>IF(NFI_Expiration=1,IF($A304&lt;VLOOKUP(P$5,NFI,5,0),1,0)*Table_NFI[[#This Row],[Plastic Bucket]],Table_NFI[Plastic Bucket])</f>
        <v>0</v>
      </c>
      <c r="AH304" s="264">
        <f>IF(NFI_Expiration=1,IF($A304&lt;VLOOKUP(Q$5,NFI,5,0),1,0)*Table_NFI[[#This Row],[Plastic Mat]],Table_NFI[Plastic Mat])*IF(Table_NFI[[#This Row],[Distribution Date]]&gt;"2014-04-01",1,2.5)</f>
        <v>0</v>
      </c>
      <c r="AI304" s="264">
        <f>IF(NFI_Expiration=1,IF($A304&lt;VLOOKUP(R$5,NFI,5,0),1,0)*Table_NFI[[#This Row],[Winter Clothes Adult]],Table_NFI[Winter Clothes Adult])</f>
        <v>0</v>
      </c>
      <c r="AJ304" s="264">
        <f>IF(NFI_Expiration=1,IF($A304&lt;VLOOKUP(S$5,NFI,5,0),1,0)*Table_NFI[[#This Row],[Winter Clothes Children]],Table_NFI[Winter Clothes Children])</f>
        <v>0</v>
      </c>
      <c r="AK304" s="264">
        <f>IF(NFI_Expiration=1,IF($A304&lt;VLOOKUP(T$5,NFI,5,0),1,0)*Table_NFI[[#This Row],[Winter Items Other]],Table_NFI[Winter Items Other])</f>
        <v>0</v>
      </c>
      <c r="AL304" s="264">
        <f>IF(NFI_Expiration=1,IF($A304&lt;VLOOKUP(M$5,NFI,5,0),1,0)*Table_NFI[[#This Row],[Winter Blanket]],Table_NFI[[#This Row],[Winter Blanket]])</f>
        <v>0</v>
      </c>
      <c r="AM304" s="264">
        <f>IF(Table_NFI[[#This Row],[Winter Clothes Adult]]+Table_NFI[[#This Row],[Winter Clothes Children]]+Table_NFI[[#This Row],[Winter Items Other]]+Table_NFI[[#This Row],[Winter Blanket]]&gt;0,1,0)</f>
        <v>0</v>
      </c>
      <c r="AN304" s="296">
        <f>IF(NFI_Expiration=1,IF($A304&lt;VLOOKUP(V$5,NFI,5,0),1,0)*Table_NFI[[#This Row],[Jerry Can]],Table_NFI[Jerry Can])</f>
        <v>0</v>
      </c>
      <c r="AO304" s="296">
        <f>IF(NFI_Expiration=1,IF($A304&lt;VLOOKUP(V$5,NFI,5,0),1,0)*Table_NFI[[#This Row],[Shelter Tool kit]],Table_NFI[Shelter Tool kit])</f>
        <v>0</v>
      </c>
      <c r="AP304" s="296">
        <f>IF(NFI_Expiration=1,IF($A304&lt;VLOOKUP(V$5,NFI,5,0),1,0)*Table_NFI[[#This Row],[Tent]],Table_NFI[Tent])</f>
        <v>0</v>
      </c>
      <c r="AQ304" s="396" t="str">
        <f>IFERROR(VLOOKUP(Table_NFI[[#This Row],[Camp Name]],CL,2,0),"")</f>
        <v>MMR001CMP168</v>
      </c>
      <c r="AR304" s="702">
        <f ca="1">IF(Table_NFI[[#This Row],[Pcode]]="","",IF(OFFSET(CampList[Opening Date],MATCH(Table_NFI[[#This Row],[Pcode]],CampList[CP_Pcode],0)-1,0,1,1)&gt;=NFI_Monitor_Date,1,0))</f>
        <v>0</v>
      </c>
      <c r="AS304" s="396" t="str">
        <f>IFERROR(VLOOKUP(Table_NFI[[#This Row],[Camp Name]],CL,3,0),"")</f>
        <v>Open</v>
      </c>
      <c r="AT304" s="264" t="str">
        <f ca="1">IF(Table_NFI[[#This Row],[Pcode]]="","",OFFSET(CampList[Priority],MATCH(Table_NFI[[#This Row],[Pcode]],CampList[CP_Pcode],0)-1,0,1,1))</f>
        <v>P4</v>
      </c>
      <c r="AU304" s="263">
        <f>IFERROR(Table_NFI[[#This Row],[Kitchen Set]]/VLOOKUP(Table_NFI[[#This Row],[Camp Name]],CL,4,0),"")</f>
        <v>1.4294367050272563E-3</v>
      </c>
      <c r="AV304" s="390"/>
      <c r="AW304" s="392"/>
      <c r="AX304" s="399"/>
      <c r="AY304" s="399"/>
      <c r="AZ304" s="399"/>
      <c r="BA304" s="399"/>
      <c r="BB304" s="399"/>
      <c r="BC304" s="399"/>
      <c r="BD304" s="399"/>
      <c r="BE304" s="399"/>
      <c r="BF304" s="399"/>
      <c r="BG304" s="399"/>
      <c r="BH304" s="399"/>
      <c r="BI304" s="399"/>
      <c r="BJ304" s="399"/>
      <c r="BK304" s="399"/>
      <c r="BL304" s="399"/>
      <c r="BM304" s="399"/>
      <c r="BN304" s="399"/>
      <c r="BO304" s="399"/>
      <c r="BP304" s="399"/>
      <c r="BQ304" s="399"/>
      <c r="BR304" s="399"/>
      <c r="BS304" s="399"/>
      <c r="BT304" s="399"/>
      <c r="BU304" s="399"/>
      <c r="BV304" s="399"/>
      <c r="BW304" s="399"/>
      <c r="BX304" s="399"/>
      <c r="BY304" s="399"/>
      <c r="BZ304" s="399"/>
      <c r="CA304" s="399"/>
      <c r="CB304" s="399"/>
      <c r="CC304" s="399"/>
      <c r="CD304" s="399"/>
      <c r="CE304" s="399"/>
      <c r="CF304" s="399"/>
      <c r="CG304" s="399"/>
      <c r="CH304" s="399"/>
      <c r="CI304" s="399"/>
      <c r="CJ304" s="399"/>
      <c r="CK304" s="399"/>
      <c r="CL304" s="399"/>
      <c r="CM304" s="399"/>
      <c r="CN304" s="399"/>
      <c r="CO304" s="399"/>
      <c r="CP304" s="399"/>
      <c r="CQ304" s="399"/>
      <c r="CR304" s="399"/>
      <c r="CS304" s="399"/>
      <c r="CT304" s="399"/>
      <c r="CU304" s="399"/>
      <c r="CV304" s="399"/>
      <c r="CW304" s="399"/>
      <c r="CX304" s="399"/>
      <c r="CY304" s="399"/>
      <c r="CZ304" s="399"/>
      <c r="DA304" s="399"/>
      <c r="DB304" s="399"/>
      <c r="DC304" s="399"/>
      <c r="DD304" s="399"/>
      <c r="DE304" s="399"/>
      <c r="DF304" s="399"/>
      <c r="DG304" s="399"/>
      <c r="DH304" s="399"/>
      <c r="DI304" s="399"/>
      <c r="DJ304" s="399"/>
      <c r="DK304" s="399"/>
      <c r="DL304" s="399"/>
      <c r="DM304" s="399"/>
      <c r="DN304" s="399"/>
      <c r="DO304" s="399"/>
      <c r="DP304" s="399"/>
      <c r="DQ304" s="399"/>
    </row>
    <row r="305" spans="1:121" s="760" customFormat="1" ht="14.45" customHeight="1" x14ac:dyDescent="0.25">
      <c r="A305" s="266">
        <f t="shared" si="4"/>
        <v>30.433333333333334</v>
      </c>
      <c r="B305" s="389">
        <v>41943</v>
      </c>
      <c r="C305" s="390" t="s">
        <v>451</v>
      </c>
      <c r="D305" s="390"/>
      <c r="E305" s="390" t="s">
        <v>380</v>
      </c>
      <c r="F305" s="390" t="s">
        <v>526</v>
      </c>
      <c r="G305" s="390" t="s">
        <v>41</v>
      </c>
      <c r="H305" s="261"/>
      <c r="I305" s="261"/>
      <c r="J305" s="261">
        <v>67</v>
      </c>
      <c r="K305" s="261">
        <v>134</v>
      </c>
      <c r="L305" s="261">
        <v>67</v>
      </c>
      <c r="M305" s="261">
        <v>134</v>
      </c>
      <c r="N305" s="261">
        <v>67</v>
      </c>
      <c r="O305" s="261"/>
      <c r="P305" s="261">
        <v>67</v>
      </c>
      <c r="Q305" s="261">
        <v>335</v>
      </c>
      <c r="R305" s="261"/>
      <c r="S305" s="261"/>
      <c r="T305" s="261"/>
      <c r="U305" s="261"/>
      <c r="V305" s="762"/>
      <c r="W305" s="261"/>
      <c r="X305" s="261"/>
      <c r="Y305" s="264">
        <f>IF(NFI_Expiration=1,IF($A305&lt;VLOOKUP(H$5,NFI,5,0),1,0)*Table_NFI[[#This Row],[Hygiene Kit]],Table_NFI[Hygiene Kit])</f>
        <v>0</v>
      </c>
      <c r="Z305" s="264">
        <f>IF(NFI_Expiration=1,IF($A305&lt;VLOOKUP(I$5,NFI,5,0),1,0)*Table_NFI[[#This Row],[NFI Core Kit]],Table_NFI[NFI Core Kit])</f>
        <v>0</v>
      </c>
      <c r="AA305" s="264">
        <f>IF(NFI_Expiration=1,IF($A305&lt;VLOOKUP(J$5,NFI,5,0),1,0)*Table_NFI[[#This Row],[Sanitary Kit]],Table_NFI[Sanitary Kit])</f>
        <v>0</v>
      </c>
      <c r="AB305" s="264">
        <f>IF(NFI_Expiration=1,IF($A305&lt;VLOOKUP(K$5,NFI,5,0),1,0)*Table_NFI[[#This Row],[Mosquito net]],Table_NFI[Mosquito net])</f>
        <v>0</v>
      </c>
      <c r="AC305" s="264">
        <f>IF(NFI_Expiration=1,IF($A305&lt;VLOOKUP(L$5,NFI,5,0),1,0)*Table_NFI[[#This Row],[Tarpaulin]],Table_NFI[[#This Row],[Tarpaulin]])</f>
        <v>0</v>
      </c>
      <c r="AD305" s="264">
        <f>IF(NFI_Expiration=1,IF($A305&lt;VLOOKUP(M$5,NFI,5,0),1,0)*Table_NFI[[#This Row],[Blanket]],Table_NFI[[#This Row],[Blanket]])</f>
        <v>0</v>
      </c>
      <c r="AE305" s="264">
        <f>IF(NFI_Expiration=1,IF($A305&lt;VLOOKUP(N$5,NFI,5,0),1,0)*Table_NFI[[#This Row],[Kitchen Set]],Table_NFI[Kitchen Set])</f>
        <v>0</v>
      </c>
      <c r="AF305" s="264">
        <f>IF(NFI_Expiration=1,IF($A305&lt;VLOOKUP(O$5,NFI,5,0),1,0)*Table_NFI[[#This Row],[Clothes Kit]],Table_NFI[Clothes Kit])</f>
        <v>0</v>
      </c>
      <c r="AG305" s="264">
        <f>IF(NFI_Expiration=1,IF($A305&lt;VLOOKUP(P$5,NFI,5,0),1,0)*Table_NFI[[#This Row],[Plastic Bucket]],Table_NFI[Plastic Bucket])</f>
        <v>0</v>
      </c>
      <c r="AH305" s="264">
        <f>IF(NFI_Expiration=1,IF($A305&lt;VLOOKUP(Q$5,NFI,5,0),1,0)*Table_NFI[[#This Row],[Plastic Mat]],Table_NFI[Plastic Mat])*IF(Table_NFI[[#This Row],[Distribution Date]]&gt;"2014-04-01",1,2.5)</f>
        <v>0</v>
      </c>
      <c r="AI305" s="264">
        <f>IF(NFI_Expiration=1,IF($A305&lt;VLOOKUP(R$5,NFI,5,0),1,0)*Table_NFI[[#This Row],[Winter Clothes Adult]],Table_NFI[Winter Clothes Adult])</f>
        <v>0</v>
      </c>
      <c r="AJ305" s="264">
        <f>IF(NFI_Expiration=1,IF($A305&lt;VLOOKUP(S$5,NFI,5,0),1,0)*Table_NFI[[#This Row],[Winter Clothes Children]],Table_NFI[Winter Clothes Children])</f>
        <v>0</v>
      </c>
      <c r="AK305" s="264">
        <f>IF(NFI_Expiration=1,IF($A305&lt;VLOOKUP(T$5,NFI,5,0),1,0)*Table_NFI[[#This Row],[Winter Items Other]],Table_NFI[Winter Items Other])</f>
        <v>0</v>
      </c>
      <c r="AL305" s="264">
        <f>IF(NFI_Expiration=1,IF($A305&lt;VLOOKUP(M$5,NFI,5,0),1,0)*Table_NFI[[#This Row],[Winter Blanket]],Table_NFI[[#This Row],[Winter Blanket]])</f>
        <v>0</v>
      </c>
      <c r="AM305" s="264">
        <f>IF(Table_NFI[[#This Row],[Winter Clothes Adult]]+Table_NFI[[#This Row],[Winter Clothes Children]]+Table_NFI[[#This Row],[Winter Items Other]]+Table_NFI[[#This Row],[Winter Blanket]]&gt;0,1,0)</f>
        <v>0</v>
      </c>
      <c r="AN305" s="296">
        <f>IF(NFI_Expiration=1,IF($A305&lt;VLOOKUP(V$5,NFI,5,0),1,0)*Table_NFI[[#This Row],[Jerry Can]],Table_NFI[Jerry Can])</f>
        <v>0</v>
      </c>
      <c r="AO305" s="296">
        <f>IF(NFI_Expiration=1,IF($A305&lt;VLOOKUP(V$5,NFI,5,0),1,0)*Table_NFI[[#This Row],[Shelter Tool kit]],Table_NFI[Shelter Tool kit])</f>
        <v>0</v>
      </c>
      <c r="AP305" s="296">
        <f>IF(NFI_Expiration=1,IF($A305&lt;VLOOKUP(V$5,NFI,5,0),1,0)*Table_NFI[[#This Row],[Tent]],Table_NFI[Tent])</f>
        <v>0</v>
      </c>
      <c r="AQ305" s="396" t="str">
        <f>IFERROR(VLOOKUP(Table_NFI[[#This Row],[Camp Name]],CL,2,0),"")</f>
        <v>MMR001CMP176</v>
      </c>
      <c r="AR305" s="702">
        <f ca="1">IF(Table_NFI[[#This Row],[Pcode]]="","",IF(OFFSET(CampList[Opening Date],MATCH(Table_NFI[[#This Row],[Pcode]],CampList[CP_Pcode],0)-1,0,1,1)&gt;=NFI_Monitor_Date,1,0))</f>
        <v>0</v>
      </c>
      <c r="AS305" s="396" t="str">
        <f>IFERROR(VLOOKUP(Table_NFI[[#This Row],[Camp Name]],CL,3,0),"")</f>
        <v>Open</v>
      </c>
      <c r="AT305" s="264" t="str">
        <f ca="1">IF(Table_NFI[[#This Row],[Pcode]]="","",OFFSET(CampList[Priority],MATCH(Table_NFI[[#This Row],[Pcode]],CampList[CP_Pcode],0)-1,0,1,1))</f>
        <v>P4</v>
      </c>
      <c r="AU305" s="263">
        <f>IFERROR(Table_NFI[[#This Row],[Kitchen Set]]/VLOOKUP(Table_NFI[[#This Row],[Camp Name]],CL,4,0),"")</f>
        <v>1.6232586311326468E-3</v>
      </c>
      <c r="AV305" s="390"/>
      <c r="AW305" s="392"/>
      <c r="AX305" s="399"/>
      <c r="AY305" s="399"/>
      <c r="AZ305" s="399"/>
      <c r="BA305" s="399"/>
      <c r="BB305" s="399"/>
      <c r="BC305" s="399"/>
      <c r="BD305" s="399"/>
      <c r="BE305" s="399"/>
      <c r="BF305" s="399"/>
      <c r="BG305" s="399"/>
      <c r="BH305" s="399"/>
      <c r="BI305" s="399"/>
      <c r="BJ305" s="399"/>
      <c r="BK305" s="399"/>
      <c r="BL305" s="399"/>
      <c r="BM305" s="399"/>
      <c r="BN305" s="399"/>
      <c r="BO305" s="399"/>
      <c r="BP305" s="399"/>
      <c r="BQ305" s="399"/>
      <c r="BR305" s="399"/>
      <c r="BS305" s="399"/>
      <c r="BT305" s="399"/>
      <c r="BU305" s="399"/>
      <c r="BV305" s="399"/>
      <c r="BW305" s="399"/>
      <c r="BX305" s="399"/>
      <c r="BY305" s="399"/>
      <c r="BZ305" s="399"/>
      <c r="CA305" s="399"/>
      <c r="CB305" s="399"/>
      <c r="CC305" s="399"/>
      <c r="CD305" s="399"/>
      <c r="CE305" s="399"/>
      <c r="CF305" s="399"/>
      <c r="CG305" s="399"/>
      <c r="CH305" s="399"/>
      <c r="CI305" s="399"/>
      <c r="CJ305" s="399"/>
      <c r="CK305" s="399"/>
      <c r="CL305" s="399"/>
      <c r="CM305" s="399"/>
      <c r="CN305" s="399"/>
      <c r="CO305" s="399"/>
      <c r="CP305" s="399"/>
      <c r="CQ305" s="399"/>
      <c r="CR305" s="399"/>
      <c r="CS305" s="399"/>
      <c r="CT305" s="399"/>
      <c r="CU305" s="399"/>
      <c r="CV305" s="399"/>
      <c r="CW305" s="399"/>
      <c r="CX305" s="399"/>
      <c r="CY305" s="399"/>
      <c r="CZ305" s="399"/>
      <c r="DA305" s="399"/>
      <c r="DB305" s="399"/>
      <c r="DC305" s="399"/>
      <c r="DD305" s="399"/>
      <c r="DE305" s="399"/>
      <c r="DF305" s="399"/>
      <c r="DG305" s="399"/>
      <c r="DH305" s="399"/>
      <c r="DI305" s="399"/>
      <c r="DJ305" s="399"/>
      <c r="DK305" s="399"/>
      <c r="DL305" s="399"/>
      <c r="DM305" s="399"/>
      <c r="DN305" s="399"/>
      <c r="DO305" s="399"/>
      <c r="DP305" s="399"/>
      <c r="DQ305" s="399"/>
    </row>
    <row r="306" spans="1:121" s="760" customFormat="1" ht="14.45" customHeight="1" x14ac:dyDescent="0.25">
      <c r="A306" s="266">
        <f t="shared" si="4"/>
        <v>30.433333333333334</v>
      </c>
      <c r="B306" s="389">
        <v>41943</v>
      </c>
      <c r="C306" s="390" t="s">
        <v>451</v>
      </c>
      <c r="D306" s="390"/>
      <c r="E306" s="390" t="s">
        <v>380</v>
      </c>
      <c r="F306" s="390" t="s">
        <v>526</v>
      </c>
      <c r="G306" s="390" t="s">
        <v>43</v>
      </c>
      <c r="H306" s="261"/>
      <c r="I306" s="261"/>
      <c r="J306" s="261">
        <v>14</v>
      </c>
      <c r="K306" s="261">
        <v>28</v>
      </c>
      <c r="L306" s="261">
        <v>14</v>
      </c>
      <c r="M306" s="261">
        <v>28</v>
      </c>
      <c r="N306" s="261">
        <v>14</v>
      </c>
      <c r="O306" s="261"/>
      <c r="P306" s="261">
        <v>14</v>
      </c>
      <c r="Q306" s="261">
        <v>70</v>
      </c>
      <c r="R306" s="261"/>
      <c r="S306" s="261"/>
      <c r="T306" s="261"/>
      <c r="U306" s="261"/>
      <c r="V306" s="762"/>
      <c r="W306" s="261"/>
      <c r="X306" s="261"/>
      <c r="Y306" s="264">
        <f>IF(NFI_Expiration=1,IF($A306&lt;VLOOKUP(H$5,NFI,5,0),1,0)*Table_NFI[[#This Row],[Hygiene Kit]],Table_NFI[Hygiene Kit])</f>
        <v>0</v>
      </c>
      <c r="Z306" s="264">
        <f>IF(NFI_Expiration=1,IF($A306&lt;VLOOKUP(I$5,NFI,5,0),1,0)*Table_NFI[[#This Row],[NFI Core Kit]],Table_NFI[NFI Core Kit])</f>
        <v>0</v>
      </c>
      <c r="AA306" s="264">
        <f>IF(NFI_Expiration=1,IF($A306&lt;VLOOKUP(J$5,NFI,5,0),1,0)*Table_NFI[[#This Row],[Sanitary Kit]],Table_NFI[Sanitary Kit])</f>
        <v>0</v>
      </c>
      <c r="AB306" s="264">
        <f>IF(NFI_Expiration=1,IF($A306&lt;VLOOKUP(K$5,NFI,5,0),1,0)*Table_NFI[[#This Row],[Mosquito net]],Table_NFI[Mosquito net])</f>
        <v>0</v>
      </c>
      <c r="AC306" s="264">
        <f>IF(NFI_Expiration=1,IF($A306&lt;VLOOKUP(L$5,NFI,5,0),1,0)*Table_NFI[[#This Row],[Tarpaulin]],Table_NFI[[#This Row],[Tarpaulin]])</f>
        <v>0</v>
      </c>
      <c r="AD306" s="264">
        <f>IF(NFI_Expiration=1,IF($A306&lt;VLOOKUP(M$5,NFI,5,0),1,0)*Table_NFI[[#This Row],[Blanket]],Table_NFI[[#This Row],[Blanket]])</f>
        <v>0</v>
      </c>
      <c r="AE306" s="264">
        <f>IF(NFI_Expiration=1,IF($A306&lt;VLOOKUP(N$5,NFI,5,0),1,0)*Table_NFI[[#This Row],[Kitchen Set]],Table_NFI[Kitchen Set])</f>
        <v>0</v>
      </c>
      <c r="AF306" s="264">
        <f>IF(NFI_Expiration=1,IF($A306&lt;VLOOKUP(O$5,NFI,5,0),1,0)*Table_NFI[[#This Row],[Clothes Kit]],Table_NFI[Clothes Kit])</f>
        <v>0</v>
      </c>
      <c r="AG306" s="264">
        <f>IF(NFI_Expiration=1,IF($A306&lt;VLOOKUP(P$5,NFI,5,0),1,0)*Table_NFI[[#This Row],[Plastic Bucket]],Table_NFI[Plastic Bucket])</f>
        <v>0</v>
      </c>
      <c r="AH306" s="264">
        <f>IF(NFI_Expiration=1,IF($A306&lt;VLOOKUP(Q$5,NFI,5,0),1,0)*Table_NFI[[#This Row],[Plastic Mat]],Table_NFI[Plastic Mat])*IF(Table_NFI[[#This Row],[Distribution Date]]&gt;"2014-04-01",1,2.5)</f>
        <v>0</v>
      </c>
      <c r="AI306" s="264">
        <f>IF(NFI_Expiration=1,IF($A306&lt;VLOOKUP(R$5,NFI,5,0),1,0)*Table_NFI[[#This Row],[Winter Clothes Adult]],Table_NFI[Winter Clothes Adult])</f>
        <v>0</v>
      </c>
      <c r="AJ306" s="264">
        <f>IF(NFI_Expiration=1,IF($A306&lt;VLOOKUP(S$5,NFI,5,0),1,0)*Table_NFI[[#This Row],[Winter Clothes Children]],Table_NFI[Winter Clothes Children])</f>
        <v>0</v>
      </c>
      <c r="AK306" s="264">
        <f>IF(NFI_Expiration=1,IF($A306&lt;VLOOKUP(T$5,NFI,5,0),1,0)*Table_NFI[[#This Row],[Winter Items Other]],Table_NFI[Winter Items Other])</f>
        <v>0</v>
      </c>
      <c r="AL306" s="264">
        <f>IF(NFI_Expiration=1,IF($A306&lt;VLOOKUP(M$5,NFI,5,0),1,0)*Table_NFI[[#This Row],[Winter Blanket]],Table_NFI[[#This Row],[Winter Blanket]])</f>
        <v>0</v>
      </c>
      <c r="AM306" s="264">
        <f>IF(Table_NFI[[#This Row],[Winter Clothes Adult]]+Table_NFI[[#This Row],[Winter Clothes Children]]+Table_NFI[[#This Row],[Winter Items Other]]+Table_NFI[[#This Row],[Winter Blanket]]&gt;0,1,0)</f>
        <v>0</v>
      </c>
      <c r="AN306" s="296">
        <f>IF(NFI_Expiration=1,IF($A306&lt;VLOOKUP(V$5,NFI,5,0),1,0)*Table_NFI[[#This Row],[Jerry Can]],Table_NFI[Jerry Can])</f>
        <v>0</v>
      </c>
      <c r="AO306" s="296">
        <f>IF(NFI_Expiration=1,IF($A306&lt;VLOOKUP(V$5,NFI,5,0),1,0)*Table_NFI[[#This Row],[Shelter Tool kit]],Table_NFI[Shelter Tool kit])</f>
        <v>0</v>
      </c>
      <c r="AP306" s="296">
        <f>IF(NFI_Expiration=1,IF($A306&lt;VLOOKUP(V$5,NFI,5,0),1,0)*Table_NFI[[#This Row],[Tent]],Table_NFI[Tent])</f>
        <v>0</v>
      </c>
      <c r="AQ306" s="396" t="str">
        <f>IFERROR(VLOOKUP(Table_NFI[[#This Row],[Camp Name]],CL,2,0),"")</f>
        <v>MMR001CMP190</v>
      </c>
      <c r="AR306" s="702">
        <f ca="1">IF(Table_NFI[[#This Row],[Pcode]]="","",IF(OFFSET(CampList[Opening Date],MATCH(Table_NFI[[#This Row],[Pcode]],CampList[CP_Pcode],0)-1,0,1,1)&gt;=NFI_Monitor_Date,1,0))</f>
        <v>0</v>
      </c>
      <c r="AS306" s="396" t="str">
        <f>IFERROR(VLOOKUP(Table_NFI[[#This Row],[Camp Name]],CL,3,0),"")</f>
        <v>Open</v>
      </c>
      <c r="AT306" s="264" t="str">
        <f ca="1">IF(Table_NFI[[#This Row],[Pcode]]="","",OFFSET(CampList[Priority],MATCH(Table_NFI[[#This Row],[Pcode]],CampList[CP_Pcode],0)-1,0,1,1))</f>
        <v>P4</v>
      </c>
      <c r="AU306" s="263">
        <f>IFERROR(Table_NFI[[#This Row],[Kitchen Set]]/VLOOKUP(Table_NFI[[#This Row],[Camp Name]],CL,4,0),"")</f>
        <v>3.391883706844337E-4</v>
      </c>
      <c r="AV306" s="390"/>
      <c r="AW306" s="392"/>
      <c r="AX306" s="399"/>
      <c r="AY306" s="399"/>
      <c r="AZ306" s="399"/>
      <c r="BA306" s="399"/>
      <c r="BB306" s="399"/>
      <c r="BC306" s="399"/>
      <c r="BD306" s="399"/>
      <c r="BE306" s="399"/>
      <c r="BF306" s="399"/>
      <c r="BG306" s="399"/>
      <c r="BH306" s="399"/>
      <c r="BI306" s="399"/>
      <c r="BJ306" s="399"/>
      <c r="BK306" s="399"/>
      <c r="BL306" s="399"/>
      <c r="BM306" s="399"/>
      <c r="BN306" s="399"/>
      <c r="BO306" s="399"/>
      <c r="BP306" s="399"/>
      <c r="BQ306" s="399"/>
      <c r="BR306" s="399"/>
      <c r="BS306" s="399"/>
      <c r="BT306" s="399"/>
      <c r="BU306" s="399"/>
      <c r="BV306" s="399"/>
      <c r="BW306" s="399"/>
      <c r="BX306" s="399"/>
      <c r="BY306" s="399"/>
      <c r="BZ306" s="399"/>
      <c r="CA306" s="399"/>
      <c r="CB306" s="399"/>
      <c r="CC306" s="399"/>
      <c r="CD306" s="399"/>
      <c r="CE306" s="399"/>
      <c r="CF306" s="399"/>
      <c r="CG306" s="399"/>
      <c r="CH306" s="399"/>
      <c r="CI306" s="399"/>
      <c r="CJ306" s="399"/>
      <c r="CK306" s="399"/>
      <c r="CL306" s="399"/>
      <c r="CM306" s="399"/>
      <c r="CN306" s="399"/>
      <c r="CO306" s="399"/>
      <c r="CP306" s="399"/>
      <c r="CQ306" s="399"/>
      <c r="CR306" s="399"/>
      <c r="CS306" s="399"/>
      <c r="CT306" s="399"/>
      <c r="CU306" s="399"/>
      <c r="CV306" s="399"/>
      <c r="CW306" s="399"/>
      <c r="CX306" s="399"/>
      <c r="CY306" s="399"/>
      <c r="CZ306" s="399"/>
      <c r="DA306" s="399"/>
      <c r="DB306" s="399"/>
      <c r="DC306" s="399"/>
      <c r="DD306" s="399"/>
      <c r="DE306" s="399"/>
      <c r="DF306" s="399"/>
      <c r="DG306" s="399"/>
      <c r="DH306" s="399"/>
      <c r="DI306" s="399"/>
      <c r="DJ306" s="399"/>
      <c r="DK306" s="399"/>
      <c r="DL306" s="399"/>
      <c r="DM306" s="399"/>
      <c r="DN306" s="399"/>
      <c r="DO306" s="399"/>
      <c r="DP306" s="399"/>
      <c r="DQ306" s="399"/>
    </row>
    <row r="307" spans="1:121" s="760" customFormat="1" ht="14.45" customHeight="1" x14ac:dyDescent="0.25">
      <c r="A307" s="266">
        <f t="shared" si="4"/>
        <v>30.433333333333334</v>
      </c>
      <c r="B307" s="389">
        <v>41943</v>
      </c>
      <c r="C307" s="390" t="s">
        <v>1089</v>
      </c>
      <c r="D307" s="390" t="s">
        <v>899</v>
      </c>
      <c r="E307" s="390" t="s">
        <v>380</v>
      </c>
      <c r="F307" s="390" t="s">
        <v>891</v>
      </c>
      <c r="G307" s="390" t="s">
        <v>893</v>
      </c>
      <c r="H307" s="261"/>
      <c r="I307" s="261"/>
      <c r="J307" s="261"/>
      <c r="K307" s="261"/>
      <c r="L307" s="261"/>
      <c r="M307" s="261"/>
      <c r="N307" s="261"/>
      <c r="O307" s="261"/>
      <c r="P307" s="261"/>
      <c r="Q307" s="261"/>
      <c r="R307" s="261">
        <v>20</v>
      </c>
      <c r="S307" s="261">
        <v>8</v>
      </c>
      <c r="T307" s="261"/>
      <c r="U307" s="261"/>
      <c r="V307" s="762"/>
      <c r="W307" s="261"/>
      <c r="X307" s="261"/>
      <c r="Y307" s="264">
        <f>IF(NFI_Expiration=1,IF($A307&lt;VLOOKUP(H$5,NFI,5,0),1,0)*Table_NFI[[#This Row],[Hygiene Kit]],Table_NFI[Hygiene Kit])</f>
        <v>0</v>
      </c>
      <c r="Z307" s="264">
        <f>IF(NFI_Expiration=1,IF($A307&lt;VLOOKUP(I$5,NFI,5,0),1,0)*Table_NFI[[#This Row],[NFI Core Kit]],Table_NFI[NFI Core Kit])</f>
        <v>0</v>
      </c>
      <c r="AA307" s="264">
        <f>IF(NFI_Expiration=1,IF($A307&lt;VLOOKUP(J$5,NFI,5,0),1,0)*Table_NFI[[#This Row],[Sanitary Kit]],Table_NFI[Sanitary Kit])</f>
        <v>0</v>
      </c>
      <c r="AB307" s="264">
        <f>IF(NFI_Expiration=1,IF($A307&lt;VLOOKUP(K$5,NFI,5,0),1,0)*Table_NFI[[#This Row],[Mosquito net]],Table_NFI[Mosquito net])</f>
        <v>0</v>
      </c>
      <c r="AC307" s="264">
        <f>IF(NFI_Expiration=1,IF($A307&lt;VLOOKUP(L$5,NFI,5,0),1,0)*Table_NFI[[#This Row],[Tarpaulin]],Table_NFI[[#This Row],[Tarpaulin]])</f>
        <v>0</v>
      </c>
      <c r="AD307" s="264">
        <f>IF(NFI_Expiration=1,IF($A307&lt;VLOOKUP(M$5,NFI,5,0),1,0)*Table_NFI[[#This Row],[Blanket]],Table_NFI[[#This Row],[Blanket]])</f>
        <v>0</v>
      </c>
      <c r="AE307" s="264">
        <f>IF(NFI_Expiration=1,IF($A307&lt;VLOOKUP(N$5,NFI,5,0),1,0)*Table_NFI[[#This Row],[Kitchen Set]],Table_NFI[Kitchen Set])</f>
        <v>0</v>
      </c>
      <c r="AF307" s="264">
        <f>IF(NFI_Expiration=1,IF($A307&lt;VLOOKUP(O$5,NFI,5,0),1,0)*Table_NFI[[#This Row],[Clothes Kit]],Table_NFI[Clothes Kit])</f>
        <v>0</v>
      </c>
      <c r="AG307" s="264">
        <f>IF(NFI_Expiration=1,IF($A307&lt;VLOOKUP(P$5,NFI,5,0),1,0)*Table_NFI[[#This Row],[Plastic Bucket]],Table_NFI[Plastic Bucket])</f>
        <v>0</v>
      </c>
      <c r="AH307" s="264">
        <f>IF(NFI_Expiration=1,IF($A307&lt;VLOOKUP(Q$5,NFI,5,0),1,0)*Table_NFI[[#This Row],[Plastic Mat]],Table_NFI[Plastic Mat])*IF(Table_NFI[[#This Row],[Distribution Date]]&gt;"2014-04-01",1,2.5)</f>
        <v>0</v>
      </c>
      <c r="AI307" s="264">
        <f>IF(NFI_Expiration=1,IF($A307&lt;VLOOKUP(R$5,NFI,5,0),1,0)*Table_NFI[[#This Row],[Winter Clothes Adult]],Table_NFI[Winter Clothes Adult])</f>
        <v>0</v>
      </c>
      <c r="AJ307" s="264">
        <f>IF(NFI_Expiration=1,IF($A307&lt;VLOOKUP(S$5,NFI,5,0),1,0)*Table_NFI[[#This Row],[Winter Clothes Children]],Table_NFI[Winter Clothes Children])</f>
        <v>0</v>
      </c>
      <c r="AK307" s="264">
        <f>IF(NFI_Expiration=1,IF($A307&lt;VLOOKUP(T$5,NFI,5,0),1,0)*Table_NFI[[#This Row],[Winter Items Other]],Table_NFI[Winter Items Other])</f>
        <v>0</v>
      </c>
      <c r="AL307" s="264">
        <f>IF(NFI_Expiration=1,IF($A307&lt;VLOOKUP(M$5,NFI,5,0),1,0)*Table_NFI[[#This Row],[Winter Blanket]],Table_NFI[[#This Row],[Winter Blanket]])</f>
        <v>0</v>
      </c>
      <c r="AM307" s="264">
        <f>IF(Table_NFI[[#This Row],[Winter Clothes Adult]]+Table_NFI[[#This Row],[Winter Clothes Children]]+Table_NFI[[#This Row],[Winter Items Other]]+Table_NFI[[#This Row],[Winter Blanket]]&gt;0,1,0)</f>
        <v>1</v>
      </c>
      <c r="AN307" s="296">
        <f>IF(NFI_Expiration=1,IF($A307&lt;VLOOKUP(V$5,NFI,5,0),1,0)*Table_NFI[[#This Row],[Jerry Can]],Table_NFI[Jerry Can])</f>
        <v>0</v>
      </c>
      <c r="AO307" s="296">
        <f>IF(NFI_Expiration=1,IF($A307&lt;VLOOKUP(V$5,NFI,5,0),1,0)*Table_NFI[[#This Row],[Shelter Tool kit]],Table_NFI[Shelter Tool kit])</f>
        <v>0</v>
      </c>
      <c r="AP307" s="296">
        <f>IF(NFI_Expiration=1,IF($A307&lt;VLOOKUP(V$5,NFI,5,0),1,0)*Table_NFI[[#This Row],[Tent]],Table_NFI[Tent])</f>
        <v>0</v>
      </c>
      <c r="AQ307" s="396" t="str">
        <f>IFERROR(VLOOKUP(Table_NFI[[#This Row],[Camp Name]],CL,2,0),"")</f>
        <v>MMR001CMP221</v>
      </c>
      <c r="AR307" s="702">
        <f ca="1">IF(Table_NFI[[#This Row],[Pcode]]="","",IF(OFFSET(CampList[Opening Date],MATCH(Table_NFI[[#This Row],[Pcode]],CampList[CP_Pcode],0)-1,0,1,1)&gt;=NFI_Monitor_Date,1,0))</f>
        <v>0</v>
      </c>
      <c r="AS307" s="396" t="str">
        <f>IFERROR(VLOOKUP(Table_NFI[[#This Row],[Camp Name]],CL,3,0),"")</f>
        <v>Closed</v>
      </c>
      <c r="AT307" s="264" t="str">
        <f ca="1">IF(Table_NFI[[#This Row],[Pcode]]="","",OFFSET(CampList[Priority],MATCH(Table_NFI[[#This Row],[Pcode]],CampList[CP_Pcode],0)-1,0,1,1))</f>
        <v>P3</v>
      </c>
      <c r="AU307" s="263">
        <f>IFERROR(Table_NFI[[#This Row],[Kitchen Set]]/VLOOKUP(Table_NFI[[#This Row],[Camp Name]],CL,4,0),"")</f>
        <v>0</v>
      </c>
      <c r="AV307" s="390"/>
      <c r="AW307" s="392"/>
      <c r="AX307" s="399"/>
      <c r="AY307" s="399"/>
      <c r="AZ307" s="399"/>
      <c r="BA307" s="399"/>
      <c r="BB307" s="399"/>
      <c r="BC307" s="399"/>
      <c r="BD307" s="399"/>
      <c r="BE307" s="399"/>
      <c r="BF307" s="399"/>
      <c r="BG307" s="399"/>
      <c r="BH307" s="399"/>
      <c r="BI307" s="399"/>
      <c r="BJ307" s="399"/>
      <c r="BK307" s="399"/>
      <c r="BL307" s="399"/>
      <c r="BM307" s="399"/>
      <c r="BN307" s="399"/>
      <c r="BO307" s="399"/>
      <c r="BP307" s="399"/>
      <c r="BQ307" s="399"/>
      <c r="BR307" s="399"/>
      <c r="BS307" s="399"/>
      <c r="BT307" s="399"/>
      <c r="BU307" s="399"/>
      <c r="BV307" s="399"/>
      <c r="BW307" s="399"/>
      <c r="BX307" s="399"/>
      <c r="BY307" s="399"/>
      <c r="BZ307" s="399"/>
      <c r="CA307" s="399"/>
      <c r="CB307" s="399"/>
      <c r="CC307" s="399"/>
      <c r="CD307" s="399"/>
      <c r="CE307" s="399"/>
      <c r="CF307" s="399"/>
      <c r="CG307" s="399"/>
      <c r="CH307" s="399"/>
      <c r="CI307" s="399"/>
      <c r="CJ307" s="399"/>
      <c r="CK307" s="399"/>
      <c r="CL307" s="399"/>
      <c r="CM307" s="399"/>
      <c r="CN307" s="399"/>
      <c r="CO307" s="399"/>
      <c r="CP307" s="399"/>
      <c r="CQ307" s="399"/>
      <c r="CR307" s="399"/>
      <c r="CS307" s="399"/>
      <c r="CT307" s="399"/>
      <c r="CU307" s="399"/>
      <c r="CV307" s="399"/>
      <c r="CW307" s="399"/>
      <c r="CX307" s="399"/>
      <c r="CY307" s="399"/>
      <c r="CZ307" s="399"/>
      <c r="DA307" s="399"/>
      <c r="DB307" s="399"/>
      <c r="DC307" s="399"/>
      <c r="DD307" s="399"/>
      <c r="DE307" s="399"/>
      <c r="DF307" s="399"/>
      <c r="DG307" s="399"/>
      <c r="DH307" s="399"/>
      <c r="DI307" s="399"/>
      <c r="DJ307" s="399"/>
      <c r="DK307" s="399"/>
      <c r="DL307" s="399"/>
      <c r="DM307" s="399"/>
      <c r="DN307" s="399"/>
      <c r="DO307" s="399"/>
      <c r="DP307" s="399"/>
      <c r="DQ307" s="399"/>
    </row>
    <row r="308" spans="1:121" s="760" customFormat="1" ht="14.45" customHeight="1" x14ac:dyDescent="0.25">
      <c r="A308" s="266">
        <f t="shared" si="4"/>
        <v>30.433333333333334</v>
      </c>
      <c r="B308" s="389">
        <v>41943</v>
      </c>
      <c r="C308" s="390" t="s">
        <v>451</v>
      </c>
      <c r="D308" s="390"/>
      <c r="E308" s="390" t="s">
        <v>380</v>
      </c>
      <c r="F308" s="390" t="s">
        <v>526</v>
      </c>
      <c r="G308" s="390" t="s">
        <v>52</v>
      </c>
      <c r="H308" s="261"/>
      <c r="I308" s="261"/>
      <c r="J308" s="261">
        <v>38</v>
      </c>
      <c r="K308" s="261">
        <v>76</v>
      </c>
      <c r="L308" s="261">
        <v>38</v>
      </c>
      <c r="M308" s="261">
        <v>76</v>
      </c>
      <c r="N308" s="261">
        <v>38</v>
      </c>
      <c r="O308" s="261"/>
      <c r="P308" s="261">
        <v>38</v>
      </c>
      <c r="Q308" s="261">
        <v>190</v>
      </c>
      <c r="R308" s="261"/>
      <c r="S308" s="261"/>
      <c r="T308" s="261"/>
      <c r="U308" s="261"/>
      <c r="V308" s="762"/>
      <c r="W308" s="762"/>
      <c r="X308" s="762"/>
      <c r="Y308" s="264">
        <f>IF(NFI_Expiration=1,IF($A308&lt;VLOOKUP(H$5,NFI,5,0),1,0)*Table_NFI[[#This Row],[Hygiene Kit]],Table_NFI[Hygiene Kit])</f>
        <v>0</v>
      </c>
      <c r="Z308" s="264">
        <f>IF(NFI_Expiration=1,IF($A308&lt;VLOOKUP(I$5,NFI,5,0),1,0)*Table_NFI[[#This Row],[NFI Core Kit]],Table_NFI[NFI Core Kit])</f>
        <v>0</v>
      </c>
      <c r="AA308" s="264">
        <f>IF(NFI_Expiration=1,IF($A308&lt;VLOOKUP(J$5,NFI,5,0),1,0)*Table_NFI[[#This Row],[Sanitary Kit]],Table_NFI[Sanitary Kit])</f>
        <v>0</v>
      </c>
      <c r="AB308" s="264">
        <f>IF(NFI_Expiration=1,IF($A308&lt;VLOOKUP(K$5,NFI,5,0),1,0)*Table_NFI[[#This Row],[Mosquito net]],Table_NFI[Mosquito net])</f>
        <v>0</v>
      </c>
      <c r="AC308" s="264">
        <f>IF(NFI_Expiration=1,IF($A308&lt;VLOOKUP(L$5,NFI,5,0),1,0)*Table_NFI[[#This Row],[Tarpaulin]],Table_NFI[[#This Row],[Tarpaulin]])</f>
        <v>0</v>
      </c>
      <c r="AD308" s="264">
        <f>IF(NFI_Expiration=1,IF($A308&lt;VLOOKUP(M$5,NFI,5,0),1,0)*Table_NFI[[#This Row],[Blanket]],Table_NFI[[#This Row],[Blanket]])</f>
        <v>0</v>
      </c>
      <c r="AE308" s="264">
        <f>IF(NFI_Expiration=1,IF($A308&lt;VLOOKUP(N$5,NFI,5,0),1,0)*Table_NFI[[#This Row],[Kitchen Set]],Table_NFI[Kitchen Set])</f>
        <v>0</v>
      </c>
      <c r="AF308" s="264">
        <f>IF(NFI_Expiration=1,IF($A308&lt;VLOOKUP(O$5,NFI,5,0),1,0)*Table_NFI[[#This Row],[Clothes Kit]],Table_NFI[Clothes Kit])</f>
        <v>0</v>
      </c>
      <c r="AG308" s="264">
        <f>IF(NFI_Expiration=1,IF($A308&lt;VLOOKUP(P$5,NFI,5,0),1,0)*Table_NFI[[#This Row],[Plastic Bucket]],Table_NFI[Plastic Bucket])</f>
        <v>0</v>
      </c>
      <c r="AH308" s="264">
        <f>IF(NFI_Expiration=1,IF($A308&lt;VLOOKUP(Q$5,NFI,5,0),1,0)*Table_NFI[[#This Row],[Plastic Mat]],Table_NFI[Plastic Mat])*IF(Table_NFI[[#This Row],[Distribution Date]]&gt;"2014-04-01",1,2.5)</f>
        <v>0</v>
      </c>
      <c r="AI308" s="264">
        <f>IF(NFI_Expiration=1,IF($A308&lt;VLOOKUP(R$5,NFI,5,0),1,0)*Table_NFI[[#This Row],[Winter Clothes Adult]],Table_NFI[Winter Clothes Adult])</f>
        <v>0</v>
      </c>
      <c r="AJ308" s="264">
        <f>IF(NFI_Expiration=1,IF($A308&lt;VLOOKUP(S$5,NFI,5,0),1,0)*Table_NFI[[#This Row],[Winter Clothes Children]],Table_NFI[Winter Clothes Children])</f>
        <v>0</v>
      </c>
      <c r="AK308" s="264">
        <f>IF(NFI_Expiration=1,IF($A308&lt;VLOOKUP(T$5,NFI,5,0),1,0)*Table_NFI[[#This Row],[Winter Items Other]],Table_NFI[Winter Items Other])</f>
        <v>0</v>
      </c>
      <c r="AL308" s="264">
        <f>IF(NFI_Expiration=1,IF($A308&lt;VLOOKUP(M$5,NFI,5,0),1,0)*Table_NFI[[#This Row],[Winter Blanket]],Table_NFI[[#This Row],[Winter Blanket]])</f>
        <v>0</v>
      </c>
      <c r="AM308" s="264">
        <f>IF(Table_NFI[[#This Row],[Winter Clothes Adult]]+Table_NFI[[#This Row],[Winter Clothes Children]]+Table_NFI[[#This Row],[Winter Items Other]]+Table_NFI[[#This Row],[Winter Blanket]]&gt;0,1,0)</f>
        <v>0</v>
      </c>
      <c r="AN308" s="296">
        <f>IF(NFI_Expiration=1,IF($A308&lt;VLOOKUP(V$5,NFI,5,0),1,0)*Table_NFI[[#This Row],[Jerry Can]],Table_NFI[Jerry Can])</f>
        <v>0</v>
      </c>
      <c r="AO308" s="296">
        <f>IF(NFI_Expiration=1,IF($A308&lt;VLOOKUP(V$5,NFI,5,0),1,0)*Table_NFI[[#This Row],[Shelter Tool kit]],Table_NFI[Shelter Tool kit])</f>
        <v>0</v>
      </c>
      <c r="AP308" s="296">
        <f>IF(NFI_Expiration=1,IF($A308&lt;VLOOKUP(V$5,NFI,5,0),1,0)*Table_NFI[[#This Row],[Tent]],Table_NFI[Tent])</f>
        <v>0</v>
      </c>
      <c r="AQ308" s="396" t="str">
        <f>IFERROR(VLOOKUP(Table_NFI[[#This Row],[Camp Name]],CL,2,0),"")</f>
        <v>MMR001CMP169</v>
      </c>
      <c r="AR308" s="702">
        <f ca="1">IF(Table_NFI[[#This Row],[Pcode]]="","",IF(OFFSET(CampList[Opening Date],MATCH(Table_NFI[[#This Row],[Pcode]],CampList[CP_Pcode],0)-1,0,1,1)&gt;=NFI_Monitor_Date,1,0))</f>
        <v>0</v>
      </c>
      <c r="AS308" s="396" t="str">
        <f>IFERROR(VLOOKUP(Table_NFI[[#This Row],[Camp Name]],CL,3,0),"")</f>
        <v>Open</v>
      </c>
      <c r="AT308" s="264" t="str">
        <f ca="1">IF(Table_NFI[[#This Row],[Pcode]]="","",OFFSET(CampList[Priority],MATCH(Table_NFI[[#This Row],[Pcode]],CampList[CP_Pcode],0)-1,0,1,1))</f>
        <v>P4</v>
      </c>
      <c r="AU308" s="263">
        <f>IFERROR(Table_NFI[[#This Row],[Kitchen Set]]/VLOOKUP(Table_NFI[[#This Row],[Camp Name]],CL,4,0),"")</f>
        <v>9.2065414900060572E-4</v>
      </c>
      <c r="AV308" s="390"/>
      <c r="AW308" s="392"/>
      <c r="AX308" s="399"/>
      <c r="AY308" s="399"/>
      <c r="AZ308" s="399"/>
      <c r="BA308" s="399"/>
      <c r="BB308" s="399"/>
      <c r="BC308" s="399"/>
      <c r="BD308" s="399"/>
      <c r="BE308" s="399"/>
      <c r="BF308" s="399"/>
      <c r="BG308" s="399"/>
      <c r="BH308" s="399"/>
      <c r="BI308" s="399"/>
      <c r="BJ308" s="399"/>
      <c r="BK308" s="399"/>
      <c r="BL308" s="399"/>
      <c r="BM308" s="399"/>
      <c r="BN308" s="399"/>
      <c r="BO308" s="399"/>
      <c r="BP308" s="399"/>
      <c r="BQ308" s="399"/>
      <c r="BR308" s="399"/>
      <c r="BS308" s="399"/>
      <c r="BT308" s="399"/>
      <c r="BU308" s="399"/>
      <c r="BV308" s="399"/>
      <c r="BW308" s="399"/>
      <c r="BX308" s="399"/>
      <c r="BY308" s="399"/>
      <c r="BZ308" s="399"/>
      <c r="CA308" s="399"/>
      <c r="CB308" s="399"/>
      <c r="CC308" s="399"/>
      <c r="CD308" s="399"/>
      <c r="CE308" s="399"/>
      <c r="CF308" s="399"/>
      <c r="CG308" s="399"/>
      <c r="CH308" s="399"/>
      <c r="CI308" s="399"/>
      <c r="CJ308" s="399"/>
      <c r="CK308" s="399"/>
      <c r="CL308" s="399"/>
      <c r="CM308" s="399"/>
      <c r="CN308" s="399"/>
      <c r="CO308" s="399"/>
      <c r="CP308" s="399"/>
      <c r="CQ308" s="399"/>
      <c r="CR308" s="399"/>
      <c r="CS308" s="399"/>
      <c r="CT308" s="399"/>
      <c r="CU308" s="399"/>
      <c r="CV308" s="399"/>
      <c r="CW308" s="399"/>
      <c r="CX308" s="399"/>
      <c r="CY308" s="399"/>
      <c r="CZ308" s="399"/>
      <c r="DA308" s="399"/>
      <c r="DB308" s="399"/>
      <c r="DC308" s="399"/>
      <c r="DD308" s="399"/>
      <c r="DE308" s="399"/>
      <c r="DF308" s="399"/>
      <c r="DG308" s="399"/>
      <c r="DH308" s="399"/>
      <c r="DI308" s="399"/>
      <c r="DJ308" s="399"/>
      <c r="DK308" s="399"/>
      <c r="DL308" s="399"/>
      <c r="DM308" s="399"/>
      <c r="DN308" s="399"/>
      <c r="DO308" s="399"/>
      <c r="DP308" s="399"/>
      <c r="DQ308" s="399"/>
    </row>
    <row r="309" spans="1:121" s="760" customFormat="1" ht="14.45" customHeight="1" x14ac:dyDescent="0.25">
      <c r="A309" s="266">
        <f t="shared" si="4"/>
        <v>30.433333333333334</v>
      </c>
      <c r="B309" s="389">
        <v>41943</v>
      </c>
      <c r="C309" s="390" t="s">
        <v>451</v>
      </c>
      <c r="D309" s="390"/>
      <c r="E309" s="390" t="s">
        <v>380</v>
      </c>
      <c r="F309" s="390" t="s">
        <v>526</v>
      </c>
      <c r="G309" s="390" t="s">
        <v>72</v>
      </c>
      <c r="H309" s="261"/>
      <c r="I309" s="261"/>
      <c r="J309" s="261">
        <v>5</v>
      </c>
      <c r="K309" s="261">
        <v>10</v>
      </c>
      <c r="L309" s="261">
        <v>5</v>
      </c>
      <c r="M309" s="261">
        <v>10</v>
      </c>
      <c r="N309" s="261">
        <v>5</v>
      </c>
      <c r="O309" s="261"/>
      <c r="P309" s="261">
        <v>5</v>
      </c>
      <c r="Q309" s="261">
        <v>25</v>
      </c>
      <c r="R309" s="261"/>
      <c r="S309" s="261"/>
      <c r="T309" s="261"/>
      <c r="U309" s="261"/>
      <c r="V309" s="762"/>
      <c r="W309" s="261"/>
      <c r="X309" s="261"/>
      <c r="Y309" s="264">
        <f>IF(NFI_Expiration=1,IF($A309&lt;VLOOKUP(H$5,NFI,5,0),1,0)*Table_NFI[[#This Row],[Hygiene Kit]],Table_NFI[Hygiene Kit])</f>
        <v>0</v>
      </c>
      <c r="Z309" s="264">
        <f>IF(NFI_Expiration=1,IF($A309&lt;VLOOKUP(I$5,NFI,5,0),1,0)*Table_NFI[[#This Row],[NFI Core Kit]],Table_NFI[NFI Core Kit])</f>
        <v>0</v>
      </c>
      <c r="AA309" s="264">
        <f>IF(NFI_Expiration=1,IF($A309&lt;VLOOKUP(J$5,NFI,5,0),1,0)*Table_NFI[[#This Row],[Sanitary Kit]],Table_NFI[Sanitary Kit])</f>
        <v>0</v>
      </c>
      <c r="AB309" s="264">
        <f>IF(NFI_Expiration=1,IF($A309&lt;VLOOKUP(K$5,NFI,5,0),1,0)*Table_NFI[[#This Row],[Mosquito net]],Table_NFI[Mosquito net])</f>
        <v>0</v>
      </c>
      <c r="AC309" s="264">
        <f>IF(NFI_Expiration=1,IF($A309&lt;VLOOKUP(L$5,NFI,5,0),1,0)*Table_NFI[[#This Row],[Tarpaulin]],Table_NFI[[#This Row],[Tarpaulin]])</f>
        <v>0</v>
      </c>
      <c r="AD309" s="264">
        <f>IF(NFI_Expiration=1,IF($A309&lt;VLOOKUP(M$5,NFI,5,0),1,0)*Table_NFI[[#This Row],[Blanket]],Table_NFI[[#This Row],[Blanket]])</f>
        <v>0</v>
      </c>
      <c r="AE309" s="264">
        <f>IF(NFI_Expiration=1,IF($A309&lt;VLOOKUP(N$5,NFI,5,0),1,0)*Table_NFI[[#This Row],[Kitchen Set]],Table_NFI[Kitchen Set])</f>
        <v>0</v>
      </c>
      <c r="AF309" s="264">
        <f>IF(NFI_Expiration=1,IF($A309&lt;VLOOKUP(O$5,NFI,5,0),1,0)*Table_NFI[[#This Row],[Clothes Kit]],Table_NFI[Clothes Kit])</f>
        <v>0</v>
      </c>
      <c r="AG309" s="264">
        <f>IF(NFI_Expiration=1,IF($A309&lt;VLOOKUP(P$5,NFI,5,0),1,0)*Table_NFI[[#This Row],[Plastic Bucket]],Table_NFI[Plastic Bucket])</f>
        <v>0</v>
      </c>
      <c r="AH309" s="264">
        <f>IF(NFI_Expiration=1,IF($A309&lt;VLOOKUP(Q$5,NFI,5,0),1,0)*Table_NFI[[#This Row],[Plastic Mat]],Table_NFI[Plastic Mat])*IF(Table_NFI[[#This Row],[Distribution Date]]&gt;"2014-04-01",1,2.5)</f>
        <v>0</v>
      </c>
      <c r="AI309" s="264">
        <f>IF(NFI_Expiration=1,IF($A309&lt;VLOOKUP(R$5,NFI,5,0),1,0)*Table_NFI[[#This Row],[Winter Clothes Adult]],Table_NFI[Winter Clothes Adult])</f>
        <v>0</v>
      </c>
      <c r="AJ309" s="264">
        <f>IF(NFI_Expiration=1,IF($A309&lt;VLOOKUP(S$5,NFI,5,0),1,0)*Table_NFI[[#This Row],[Winter Clothes Children]],Table_NFI[Winter Clothes Children])</f>
        <v>0</v>
      </c>
      <c r="AK309" s="264">
        <f>IF(NFI_Expiration=1,IF($A309&lt;VLOOKUP(T$5,NFI,5,0),1,0)*Table_NFI[[#This Row],[Winter Items Other]],Table_NFI[Winter Items Other])</f>
        <v>0</v>
      </c>
      <c r="AL309" s="264">
        <f>IF(NFI_Expiration=1,IF($A309&lt;VLOOKUP(M$5,NFI,5,0),1,0)*Table_NFI[[#This Row],[Winter Blanket]],Table_NFI[[#This Row],[Winter Blanket]])</f>
        <v>0</v>
      </c>
      <c r="AM309" s="264">
        <f>IF(Table_NFI[[#This Row],[Winter Clothes Adult]]+Table_NFI[[#This Row],[Winter Clothes Children]]+Table_NFI[[#This Row],[Winter Items Other]]+Table_NFI[[#This Row],[Winter Blanket]]&gt;0,1,0)</f>
        <v>0</v>
      </c>
      <c r="AN309" s="296">
        <f>IF(NFI_Expiration=1,IF($A309&lt;VLOOKUP(V$5,NFI,5,0),1,0)*Table_NFI[[#This Row],[Jerry Can]],Table_NFI[Jerry Can])</f>
        <v>0</v>
      </c>
      <c r="AO309" s="296">
        <f>IF(NFI_Expiration=1,IF($A309&lt;VLOOKUP(V$5,NFI,5,0),1,0)*Table_NFI[[#This Row],[Shelter Tool kit]],Table_NFI[Shelter Tool kit])</f>
        <v>0</v>
      </c>
      <c r="AP309" s="296">
        <f>IF(NFI_Expiration=1,IF($A309&lt;VLOOKUP(V$5,NFI,5,0),1,0)*Table_NFI[[#This Row],[Tent]],Table_NFI[Tent])</f>
        <v>0</v>
      </c>
      <c r="AQ309" s="396" t="str">
        <f>IFERROR(VLOOKUP(Table_NFI[[#This Row],[Camp Name]],CL,2,0),"")</f>
        <v>MMR001CMP109</v>
      </c>
      <c r="AR309" s="702">
        <f ca="1">IF(Table_NFI[[#This Row],[Pcode]]="","",IF(OFFSET(CampList[Opening Date],MATCH(Table_NFI[[#This Row],[Pcode]],CampList[CP_Pcode],0)-1,0,1,1)&gt;=NFI_Monitor_Date,1,0))</f>
        <v>0</v>
      </c>
      <c r="AS309" s="396" t="str">
        <f>IFERROR(VLOOKUP(Table_NFI[[#This Row],[Camp Name]],CL,3,0),"")</f>
        <v>Open</v>
      </c>
      <c r="AT309" s="264" t="str">
        <f ca="1">IF(Table_NFI[[#This Row],[Pcode]]="","",OFFSET(CampList[Priority],MATCH(Table_NFI[[#This Row],[Pcode]],CampList[CP_Pcode],0)-1,0,1,1))</f>
        <v>P4</v>
      </c>
      <c r="AU309" s="263">
        <f>IFERROR(Table_NFI[[#This Row],[Kitchen Set]]/VLOOKUP(Table_NFI[[#This Row],[Camp Name]],CL,4,0),"")</f>
        <v>1.2051968086388508E-4</v>
      </c>
      <c r="AV309" s="390"/>
      <c r="AW309" s="392"/>
      <c r="AX309" s="399"/>
      <c r="AY309" s="399"/>
      <c r="AZ309" s="399"/>
      <c r="BA309" s="399"/>
      <c r="BB309" s="399"/>
      <c r="BC309" s="399"/>
      <c r="BD309" s="399"/>
      <c r="BE309" s="399"/>
      <c r="BF309" s="399"/>
      <c r="BG309" s="399"/>
      <c r="BH309" s="399"/>
      <c r="BI309" s="399"/>
      <c r="BJ309" s="399"/>
      <c r="BK309" s="399"/>
      <c r="BL309" s="399"/>
      <c r="BM309" s="399"/>
      <c r="BN309" s="399"/>
      <c r="BO309" s="399"/>
      <c r="BP309" s="399"/>
      <c r="BQ309" s="399"/>
      <c r="BR309" s="399"/>
      <c r="BS309" s="399"/>
      <c r="BT309" s="399"/>
      <c r="BU309" s="399"/>
      <c r="BV309" s="399"/>
      <c r="BW309" s="399"/>
      <c r="BX309" s="399"/>
      <c r="BY309" s="399"/>
      <c r="BZ309" s="399"/>
      <c r="CA309" s="399"/>
      <c r="CB309" s="399"/>
      <c r="CC309" s="399"/>
      <c r="CD309" s="399"/>
      <c r="CE309" s="399"/>
      <c r="CF309" s="399"/>
      <c r="CG309" s="399"/>
      <c r="CH309" s="399"/>
      <c r="CI309" s="399"/>
      <c r="CJ309" s="399"/>
      <c r="CK309" s="399"/>
      <c r="CL309" s="399"/>
      <c r="CM309" s="399"/>
      <c r="CN309" s="399"/>
      <c r="CO309" s="399"/>
      <c r="CP309" s="399"/>
      <c r="CQ309" s="399"/>
      <c r="CR309" s="399"/>
      <c r="CS309" s="399"/>
      <c r="CT309" s="399"/>
      <c r="CU309" s="399"/>
      <c r="CV309" s="399"/>
      <c r="CW309" s="399"/>
      <c r="CX309" s="399"/>
      <c r="CY309" s="399"/>
      <c r="CZ309" s="399"/>
      <c r="DA309" s="399"/>
      <c r="DB309" s="399"/>
      <c r="DC309" s="399"/>
      <c r="DD309" s="399"/>
      <c r="DE309" s="399"/>
      <c r="DF309" s="399"/>
      <c r="DG309" s="399"/>
      <c r="DH309" s="399"/>
      <c r="DI309" s="399"/>
      <c r="DJ309" s="399"/>
      <c r="DK309" s="399"/>
      <c r="DL309" s="399"/>
      <c r="DM309" s="399"/>
      <c r="DN309" s="399"/>
      <c r="DO309" s="399"/>
      <c r="DP309" s="399"/>
      <c r="DQ309" s="399"/>
    </row>
    <row r="310" spans="1:121" s="760" customFormat="1" ht="14.45" customHeight="1" x14ac:dyDescent="0.25">
      <c r="A310" s="266">
        <f t="shared" si="4"/>
        <v>30.433333333333334</v>
      </c>
      <c r="B310" s="389">
        <v>41943</v>
      </c>
      <c r="C310" s="390" t="s">
        <v>451</v>
      </c>
      <c r="D310" s="390"/>
      <c r="E310" s="390" t="s">
        <v>380</v>
      </c>
      <c r="F310" s="390" t="s">
        <v>526</v>
      </c>
      <c r="G310" s="390" t="s">
        <v>76</v>
      </c>
      <c r="H310" s="261"/>
      <c r="I310" s="261"/>
      <c r="J310" s="261">
        <v>67</v>
      </c>
      <c r="K310" s="261">
        <v>134</v>
      </c>
      <c r="L310" s="261">
        <v>67</v>
      </c>
      <c r="M310" s="261">
        <v>134</v>
      </c>
      <c r="N310" s="261">
        <v>67</v>
      </c>
      <c r="O310" s="261"/>
      <c r="P310" s="261">
        <v>67</v>
      </c>
      <c r="Q310" s="261">
        <v>335</v>
      </c>
      <c r="R310" s="261"/>
      <c r="S310" s="261"/>
      <c r="T310" s="261"/>
      <c r="U310" s="261"/>
      <c r="V310" s="762"/>
      <c r="W310" s="261"/>
      <c r="X310" s="261"/>
      <c r="Y310" s="264">
        <f>IF(NFI_Expiration=1,IF($A310&lt;VLOOKUP(H$5,NFI,5,0),1,0)*Table_NFI[[#This Row],[Hygiene Kit]],Table_NFI[Hygiene Kit])</f>
        <v>0</v>
      </c>
      <c r="Z310" s="264">
        <f>IF(NFI_Expiration=1,IF($A310&lt;VLOOKUP(I$5,NFI,5,0),1,0)*Table_NFI[[#This Row],[NFI Core Kit]],Table_NFI[NFI Core Kit])</f>
        <v>0</v>
      </c>
      <c r="AA310" s="264">
        <f>IF(NFI_Expiration=1,IF($A310&lt;VLOOKUP(J$5,NFI,5,0),1,0)*Table_NFI[[#This Row],[Sanitary Kit]],Table_NFI[Sanitary Kit])</f>
        <v>0</v>
      </c>
      <c r="AB310" s="264">
        <f>IF(NFI_Expiration=1,IF($A310&lt;VLOOKUP(K$5,NFI,5,0),1,0)*Table_NFI[[#This Row],[Mosquito net]],Table_NFI[Mosquito net])</f>
        <v>0</v>
      </c>
      <c r="AC310" s="264">
        <f>IF(NFI_Expiration=1,IF($A310&lt;VLOOKUP(L$5,NFI,5,0),1,0)*Table_NFI[[#This Row],[Tarpaulin]],Table_NFI[[#This Row],[Tarpaulin]])</f>
        <v>0</v>
      </c>
      <c r="AD310" s="264">
        <f>IF(NFI_Expiration=1,IF($A310&lt;VLOOKUP(M$5,NFI,5,0),1,0)*Table_NFI[[#This Row],[Blanket]],Table_NFI[[#This Row],[Blanket]])</f>
        <v>0</v>
      </c>
      <c r="AE310" s="264">
        <f>IF(NFI_Expiration=1,IF($A310&lt;VLOOKUP(N$5,NFI,5,0),1,0)*Table_NFI[[#This Row],[Kitchen Set]],Table_NFI[Kitchen Set])</f>
        <v>0</v>
      </c>
      <c r="AF310" s="264">
        <f>IF(NFI_Expiration=1,IF($A310&lt;VLOOKUP(O$5,NFI,5,0),1,0)*Table_NFI[[#This Row],[Clothes Kit]],Table_NFI[Clothes Kit])</f>
        <v>0</v>
      </c>
      <c r="AG310" s="264">
        <f>IF(NFI_Expiration=1,IF($A310&lt;VLOOKUP(P$5,NFI,5,0),1,0)*Table_NFI[[#This Row],[Plastic Bucket]],Table_NFI[Plastic Bucket])</f>
        <v>0</v>
      </c>
      <c r="AH310" s="264">
        <f>IF(NFI_Expiration=1,IF($A310&lt;VLOOKUP(Q$5,NFI,5,0),1,0)*Table_NFI[[#This Row],[Plastic Mat]],Table_NFI[Plastic Mat])*IF(Table_NFI[[#This Row],[Distribution Date]]&gt;"2014-04-01",1,2.5)</f>
        <v>0</v>
      </c>
      <c r="AI310" s="264">
        <f>IF(NFI_Expiration=1,IF($A310&lt;VLOOKUP(R$5,NFI,5,0),1,0)*Table_NFI[[#This Row],[Winter Clothes Adult]],Table_NFI[Winter Clothes Adult])</f>
        <v>0</v>
      </c>
      <c r="AJ310" s="264">
        <f>IF(NFI_Expiration=1,IF($A310&lt;VLOOKUP(S$5,NFI,5,0),1,0)*Table_NFI[[#This Row],[Winter Clothes Children]],Table_NFI[Winter Clothes Children])</f>
        <v>0</v>
      </c>
      <c r="AK310" s="264">
        <f>IF(NFI_Expiration=1,IF($A310&lt;VLOOKUP(T$5,NFI,5,0),1,0)*Table_NFI[[#This Row],[Winter Items Other]],Table_NFI[Winter Items Other])</f>
        <v>0</v>
      </c>
      <c r="AL310" s="264">
        <f>IF(NFI_Expiration=1,IF($A310&lt;VLOOKUP(M$5,NFI,5,0),1,0)*Table_NFI[[#This Row],[Winter Blanket]],Table_NFI[[#This Row],[Winter Blanket]])</f>
        <v>0</v>
      </c>
      <c r="AM310" s="264">
        <f>IF(Table_NFI[[#This Row],[Winter Clothes Adult]]+Table_NFI[[#This Row],[Winter Clothes Children]]+Table_NFI[[#This Row],[Winter Items Other]]+Table_NFI[[#This Row],[Winter Blanket]]&gt;0,1,0)</f>
        <v>0</v>
      </c>
      <c r="AN310" s="296">
        <f>IF(NFI_Expiration=1,IF($A310&lt;VLOOKUP(V$5,NFI,5,0),1,0)*Table_NFI[[#This Row],[Jerry Can]],Table_NFI[Jerry Can])</f>
        <v>0</v>
      </c>
      <c r="AO310" s="296">
        <f>IF(NFI_Expiration=1,IF($A310&lt;VLOOKUP(V$5,NFI,5,0),1,0)*Table_NFI[[#This Row],[Shelter Tool kit]],Table_NFI[Shelter Tool kit])</f>
        <v>0</v>
      </c>
      <c r="AP310" s="296">
        <f>IF(NFI_Expiration=1,IF($A310&lt;VLOOKUP(V$5,NFI,5,0),1,0)*Table_NFI[[#This Row],[Tent]],Table_NFI[Tent])</f>
        <v>0</v>
      </c>
      <c r="AQ310" s="396" t="str">
        <f>IFERROR(VLOOKUP(Table_NFI[[#This Row],[Camp Name]],CL,2,0),"")</f>
        <v>MMR001CMP174</v>
      </c>
      <c r="AR310" s="702">
        <f ca="1">IF(Table_NFI[[#This Row],[Pcode]]="","",IF(OFFSET(CampList[Opening Date],MATCH(Table_NFI[[#This Row],[Pcode]],CampList[CP_Pcode],0)-1,0,1,1)&gt;=NFI_Monitor_Date,1,0))</f>
        <v>0</v>
      </c>
      <c r="AS310" s="396" t="str">
        <f>IFERROR(VLOOKUP(Table_NFI[[#This Row],[Camp Name]],CL,3,0),"")</f>
        <v>Open</v>
      </c>
      <c r="AT310" s="264" t="str">
        <f ca="1">IF(Table_NFI[[#This Row],[Pcode]]="","",OFFSET(CampList[Priority],MATCH(Table_NFI[[#This Row],[Pcode]],CampList[CP_Pcode],0)-1,0,1,1))</f>
        <v>P4</v>
      </c>
      <c r="AU310" s="263">
        <f>IFERROR(Table_NFI[[#This Row],[Kitchen Set]]/VLOOKUP(Table_NFI[[#This Row],[Camp Name]],CL,4,0),"")</f>
        <v>1.6232586311326468E-3</v>
      </c>
      <c r="AV310" s="390"/>
      <c r="AW310" s="392"/>
      <c r="AX310" s="399"/>
      <c r="AY310" s="399"/>
      <c r="AZ310" s="399"/>
      <c r="BA310" s="399"/>
      <c r="BB310" s="399"/>
      <c r="BC310" s="399"/>
      <c r="BD310" s="399"/>
      <c r="BE310" s="399"/>
      <c r="BF310" s="399"/>
      <c r="BG310" s="399"/>
      <c r="BH310" s="399"/>
      <c r="BI310" s="399"/>
      <c r="BJ310" s="399"/>
      <c r="BK310" s="399"/>
      <c r="BL310" s="399"/>
      <c r="BM310" s="399"/>
      <c r="BN310" s="399"/>
      <c r="BO310" s="399"/>
      <c r="BP310" s="399"/>
      <c r="BQ310" s="399"/>
      <c r="BR310" s="399"/>
      <c r="BS310" s="399"/>
      <c r="BT310" s="399"/>
      <c r="BU310" s="399"/>
      <c r="BV310" s="399"/>
      <c r="BW310" s="399"/>
      <c r="BX310" s="399"/>
      <c r="BY310" s="399"/>
      <c r="BZ310" s="399"/>
      <c r="CA310" s="399"/>
      <c r="CB310" s="399"/>
      <c r="CC310" s="399"/>
      <c r="CD310" s="399"/>
      <c r="CE310" s="399"/>
      <c r="CF310" s="399"/>
      <c r="CG310" s="399"/>
      <c r="CH310" s="399"/>
      <c r="CI310" s="399"/>
      <c r="CJ310" s="399"/>
      <c r="CK310" s="399"/>
      <c r="CL310" s="399"/>
      <c r="CM310" s="399"/>
      <c r="CN310" s="399"/>
      <c r="CO310" s="399"/>
      <c r="CP310" s="399"/>
      <c r="CQ310" s="399"/>
      <c r="CR310" s="399"/>
      <c r="CS310" s="399"/>
      <c r="CT310" s="399"/>
      <c r="CU310" s="399"/>
      <c r="CV310" s="399"/>
      <c r="CW310" s="399"/>
      <c r="CX310" s="399"/>
      <c r="CY310" s="399"/>
      <c r="CZ310" s="399"/>
      <c r="DA310" s="399"/>
      <c r="DB310" s="399"/>
      <c r="DC310" s="399"/>
      <c r="DD310" s="399"/>
      <c r="DE310" s="399"/>
      <c r="DF310" s="399"/>
      <c r="DG310" s="399"/>
      <c r="DH310" s="399"/>
      <c r="DI310" s="399"/>
      <c r="DJ310" s="399"/>
      <c r="DK310" s="399"/>
      <c r="DL310" s="399"/>
      <c r="DM310" s="399"/>
      <c r="DN310" s="399"/>
      <c r="DO310" s="399"/>
      <c r="DP310" s="399"/>
      <c r="DQ310" s="399"/>
    </row>
    <row r="311" spans="1:121" s="760" customFormat="1" ht="14.45" customHeight="1" x14ac:dyDescent="0.25">
      <c r="A311" s="266">
        <f t="shared" si="4"/>
        <v>30.433333333333334</v>
      </c>
      <c r="B311" s="389">
        <v>41943</v>
      </c>
      <c r="C311" s="390" t="s">
        <v>451</v>
      </c>
      <c r="D311" s="390"/>
      <c r="E311" s="390" t="s">
        <v>380</v>
      </c>
      <c r="F311" s="390" t="s">
        <v>526</v>
      </c>
      <c r="G311" s="390" t="s">
        <v>44</v>
      </c>
      <c r="H311" s="261"/>
      <c r="I311" s="261"/>
      <c r="J311" s="261">
        <v>10</v>
      </c>
      <c r="K311" s="261">
        <v>20</v>
      </c>
      <c r="L311" s="261">
        <v>10</v>
      </c>
      <c r="M311" s="261">
        <v>20</v>
      </c>
      <c r="N311" s="261">
        <v>10</v>
      </c>
      <c r="O311" s="261"/>
      <c r="P311" s="261">
        <v>10</v>
      </c>
      <c r="Q311" s="261">
        <v>50</v>
      </c>
      <c r="R311" s="261"/>
      <c r="S311" s="261"/>
      <c r="T311" s="261"/>
      <c r="U311" s="261"/>
      <c r="V311" s="762"/>
      <c r="W311" s="261"/>
      <c r="X311" s="261"/>
      <c r="Y311" s="264">
        <f>IF(NFI_Expiration=1,IF($A311&lt;VLOOKUP(H$5,NFI,5,0),1,0)*Table_NFI[[#This Row],[Hygiene Kit]],Table_NFI[Hygiene Kit])</f>
        <v>0</v>
      </c>
      <c r="Z311" s="264">
        <f>IF(NFI_Expiration=1,IF($A311&lt;VLOOKUP(I$5,NFI,5,0),1,0)*Table_NFI[[#This Row],[NFI Core Kit]],Table_NFI[NFI Core Kit])</f>
        <v>0</v>
      </c>
      <c r="AA311" s="264">
        <f>IF(NFI_Expiration=1,IF($A311&lt;VLOOKUP(J$5,NFI,5,0),1,0)*Table_NFI[[#This Row],[Sanitary Kit]],Table_NFI[Sanitary Kit])</f>
        <v>0</v>
      </c>
      <c r="AB311" s="264">
        <f>IF(NFI_Expiration=1,IF($A311&lt;VLOOKUP(K$5,NFI,5,0),1,0)*Table_NFI[[#This Row],[Mosquito net]],Table_NFI[Mosquito net])</f>
        <v>0</v>
      </c>
      <c r="AC311" s="264">
        <f>IF(NFI_Expiration=1,IF($A311&lt;VLOOKUP(L$5,NFI,5,0),1,0)*Table_NFI[[#This Row],[Tarpaulin]],Table_NFI[[#This Row],[Tarpaulin]])</f>
        <v>0</v>
      </c>
      <c r="AD311" s="264">
        <f>IF(NFI_Expiration=1,IF($A311&lt;VLOOKUP(M$5,NFI,5,0),1,0)*Table_NFI[[#This Row],[Blanket]],Table_NFI[[#This Row],[Blanket]])</f>
        <v>0</v>
      </c>
      <c r="AE311" s="264">
        <f>IF(NFI_Expiration=1,IF($A311&lt;VLOOKUP(N$5,NFI,5,0),1,0)*Table_NFI[[#This Row],[Kitchen Set]],Table_NFI[Kitchen Set])</f>
        <v>0</v>
      </c>
      <c r="AF311" s="264">
        <f>IF(NFI_Expiration=1,IF($A311&lt;VLOOKUP(O$5,NFI,5,0),1,0)*Table_NFI[[#This Row],[Clothes Kit]],Table_NFI[Clothes Kit])</f>
        <v>0</v>
      </c>
      <c r="AG311" s="264">
        <f>IF(NFI_Expiration=1,IF($A311&lt;VLOOKUP(P$5,NFI,5,0),1,0)*Table_NFI[[#This Row],[Plastic Bucket]],Table_NFI[Plastic Bucket])</f>
        <v>0</v>
      </c>
      <c r="AH311" s="264">
        <f>IF(NFI_Expiration=1,IF($A311&lt;VLOOKUP(Q$5,NFI,5,0),1,0)*Table_NFI[[#This Row],[Plastic Mat]],Table_NFI[Plastic Mat])*IF(Table_NFI[[#This Row],[Distribution Date]]&gt;"2014-04-01",1,2.5)</f>
        <v>0</v>
      </c>
      <c r="AI311" s="264">
        <f>IF(NFI_Expiration=1,IF($A311&lt;VLOOKUP(R$5,NFI,5,0),1,0)*Table_NFI[[#This Row],[Winter Clothes Adult]],Table_NFI[Winter Clothes Adult])</f>
        <v>0</v>
      </c>
      <c r="AJ311" s="264">
        <f>IF(NFI_Expiration=1,IF($A311&lt;VLOOKUP(S$5,NFI,5,0),1,0)*Table_NFI[[#This Row],[Winter Clothes Children]],Table_NFI[Winter Clothes Children])</f>
        <v>0</v>
      </c>
      <c r="AK311" s="264">
        <f>IF(NFI_Expiration=1,IF($A311&lt;VLOOKUP(T$5,NFI,5,0),1,0)*Table_NFI[[#This Row],[Winter Items Other]],Table_NFI[Winter Items Other])</f>
        <v>0</v>
      </c>
      <c r="AL311" s="264">
        <f>IF(NFI_Expiration=1,IF($A311&lt;VLOOKUP(M$5,NFI,5,0),1,0)*Table_NFI[[#This Row],[Winter Blanket]],Table_NFI[[#This Row],[Winter Blanket]])</f>
        <v>0</v>
      </c>
      <c r="AM311" s="264">
        <f>IF(Table_NFI[[#This Row],[Winter Clothes Adult]]+Table_NFI[[#This Row],[Winter Clothes Children]]+Table_NFI[[#This Row],[Winter Items Other]]+Table_NFI[[#This Row],[Winter Blanket]]&gt;0,1,0)</f>
        <v>0</v>
      </c>
      <c r="AN311" s="296">
        <f>IF(NFI_Expiration=1,IF($A311&lt;VLOOKUP(V$5,NFI,5,0),1,0)*Table_NFI[[#This Row],[Jerry Can]],Table_NFI[Jerry Can])</f>
        <v>0</v>
      </c>
      <c r="AO311" s="296">
        <f>IF(NFI_Expiration=1,IF($A311&lt;VLOOKUP(V$5,NFI,5,0),1,0)*Table_NFI[[#This Row],[Shelter Tool kit]],Table_NFI[Shelter Tool kit])</f>
        <v>0</v>
      </c>
      <c r="AP311" s="296">
        <f>IF(NFI_Expiration=1,IF($A311&lt;VLOOKUP(V$5,NFI,5,0),1,0)*Table_NFI[[#This Row],[Tent]],Table_NFI[Tent])</f>
        <v>0</v>
      </c>
      <c r="AQ311" s="396" t="str">
        <f>IFERROR(VLOOKUP(Table_NFI[[#This Row],[Camp Name]],CL,2,0),"")</f>
        <v>MMR001CMP191</v>
      </c>
      <c r="AR311" s="702">
        <f ca="1">IF(Table_NFI[[#This Row],[Pcode]]="","",IF(OFFSET(CampList[Opening Date],MATCH(Table_NFI[[#This Row],[Pcode]],CampList[CP_Pcode],0)-1,0,1,1)&gt;=NFI_Monitor_Date,1,0))</f>
        <v>0</v>
      </c>
      <c r="AS311" s="396" t="str">
        <f>IFERROR(VLOOKUP(Table_NFI[[#This Row],[Camp Name]],CL,3,0),"")</f>
        <v>Open</v>
      </c>
      <c r="AT311" s="264" t="str">
        <f ca="1">IF(Table_NFI[[#This Row],[Pcode]]="","",OFFSET(CampList[Priority],MATCH(Table_NFI[[#This Row],[Pcode]],CampList[CP_Pcode],0)-1,0,1,1))</f>
        <v>P4</v>
      </c>
      <c r="AU311" s="263">
        <f>IFERROR(Table_NFI[[#This Row],[Kitchen Set]]/VLOOKUP(Table_NFI[[#This Row],[Camp Name]],CL,4,0),"")</f>
        <v>2.431788337143135E-4</v>
      </c>
      <c r="AV311" s="390"/>
      <c r="AW311" s="392"/>
      <c r="AX311" s="399"/>
      <c r="AY311" s="399"/>
      <c r="AZ311" s="399"/>
      <c r="BA311" s="399"/>
      <c r="BB311" s="399"/>
      <c r="BC311" s="399"/>
      <c r="BD311" s="399"/>
      <c r="BE311" s="399"/>
      <c r="BF311" s="399"/>
      <c r="BG311" s="399"/>
      <c r="BH311" s="399"/>
      <c r="BI311" s="399"/>
      <c r="BJ311" s="399"/>
      <c r="BK311" s="399"/>
      <c r="BL311" s="399"/>
      <c r="BM311" s="399"/>
      <c r="BN311" s="399"/>
      <c r="BO311" s="399"/>
      <c r="BP311" s="399"/>
      <c r="BQ311" s="399"/>
      <c r="BR311" s="399"/>
      <c r="BS311" s="399"/>
      <c r="BT311" s="399"/>
      <c r="BU311" s="399"/>
      <c r="BV311" s="399"/>
      <c r="BW311" s="399"/>
      <c r="BX311" s="399"/>
      <c r="BY311" s="399"/>
      <c r="BZ311" s="399"/>
      <c r="CA311" s="399"/>
      <c r="CB311" s="399"/>
      <c r="CC311" s="399"/>
      <c r="CD311" s="399"/>
      <c r="CE311" s="399"/>
      <c r="CF311" s="399"/>
      <c r="CG311" s="399"/>
      <c r="CH311" s="399"/>
      <c r="CI311" s="399"/>
      <c r="CJ311" s="399"/>
      <c r="CK311" s="399"/>
      <c r="CL311" s="399"/>
      <c r="CM311" s="399"/>
      <c r="CN311" s="399"/>
      <c r="CO311" s="399"/>
      <c r="CP311" s="399"/>
      <c r="CQ311" s="399"/>
      <c r="CR311" s="399"/>
      <c r="CS311" s="399"/>
      <c r="CT311" s="399"/>
      <c r="CU311" s="399"/>
      <c r="CV311" s="399"/>
      <c r="CW311" s="399"/>
      <c r="CX311" s="399"/>
      <c r="CY311" s="399"/>
      <c r="CZ311" s="399"/>
      <c r="DA311" s="399"/>
      <c r="DB311" s="399"/>
      <c r="DC311" s="399"/>
      <c r="DD311" s="399"/>
      <c r="DE311" s="399"/>
      <c r="DF311" s="399"/>
      <c r="DG311" s="399"/>
      <c r="DH311" s="399"/>
      <c r="DI311" s="399"/>
      <c r="DJ311" s="399"/>
      <c r="DK311" s="399"/>
      <c r="DL311" s="399"/>
      <c r="DM311" s="399"/>
      <c r="DN311" s="399"/>
      <c r="DO311" s="399"/>
      <c r="DP311" s="399"/>
      <c r="DQ311" s="399"/>
    </row>
    <row r="312" spans="1:121" s="760" customFormat="1" ht="14.45" customHeight="1" x14ac:dyDescent="0.25">
      <c r="A312" s="266">
        <f t="shared" si="4"/>
        <v>30.433333333333334</v>
      </c>
      <c r="B312" s="389">
        <v>41943</v>
      </c>
      <c r="C312" s="390" t="s">
        <v>451</v>
      </c>
      <c r="D312" s="390"/>
      <c r="E312" s="390" t="s">
        <v>380</v>
      </c>
      <c r="F312" s="390" t="s">
        <v>526</v>
      </c>
      <c r="G312" s="390" t="s">
        <v>1061</v>
      </c>
      <c r="H312" s="261"/>
      <c r="I312" s="261"/>
      <c r="J312" s="261">
        <v>64</v>
      </c>
      <c r="K312" s="261">
        <v>128</v>
      </c>
      <c r="L312" s="261">
        <v>64</v>
      </c>
      <c r="M312" s="261">
        <v>128</v>
      </c>
      <c r="N312" s="261">
        <v>64</v>
      </c>
      <c r="O312" s="261"/>
      <c r="P312" s="261">
        <v>64</v>
      </c>
      <c r="Q312" s="261">
        <v>320</v>
      </c>
      <c r="R312" s="261"/>
      <c r="S312" s="261"/>
      <c r="T312" s="261"/>
      <c r="U312" s="261"/>
      <c r="V312" s="762"/>
      <c r="W312" s="261"/>
      <c r="X312" s="261"/>
      <c r="Y312" s="264">
        <f>IF(NFI_Expiration=1,IF($A312&lt;VLOOKUP(H$5,NFI,5,0),1,0)*Table_NFI[[#This Row],[Hygiene Kit]],Table_NFI[Hygiene Kit])</f>
        <v>0</v>
      </c>
      <c r="Z312" s="264">
        <f>IF(NFI_Expiration=1,IF($A312&lt;VLOOKUP(I$5,NFI,5,0),1,0)*Table_NFI[[#This Row],[NFI Core Kit]],Table_NFI[NFI Core Kit])</f>
        <v>0</v>
      </c>
      <c r="AA312" s="264">
        <f>IF(NFI_Expiration=1,IF($A312&lt;VLOOKUP(J$5,NFI,5,0),1,0)*Table_NFI[[#This Row],[Sanitary Kit]],Table_NFI[Sanitary Kit])</f>
        <v>0</v>
      </c>
      <c r="AB312" s="264">
        <f>IF(NFI_Expiration=1,IF($A312&lt;VLOOKUP(K$5,NFI,5,0),1,0)*Table_NFI[[#This Row],[Mosquito net]],Table_NFI[Mosquito net])</f>
        <v>0</v>
      </c>
      <c r="AC312" s="264">
        <f>IF(NFI_Expiration=1,IF($A312&lt;VLOOKUP(L$5,NFI,5,0),1,0)*Table_NFI[[#This Row],[Tarpaulin]],Table_NFI[[#This Row],[Tarpaulin]])</f>
        <v>0</v>
      </c>
      <c r="AD312" s="264">
        <f>IF(NFI_Expiration=1,IF($A312&lt;VLOOKUP(M$5,NFI,5,0),1,0)*Table_NFI[[#This Row],[Blanket]],Table_NFI[[#This Row],[Blanket]])</f>
        <v>0</v>
      </c>
      <c r="AE312" s="264">
        <f>IF(NFI_Expiration=1,IF($A312&lt;VLOOKUP(N$5,NFI,5,0),1,0)*Table_NFI[[#This Row],[Kitchen Set]],Table_NFI[Kitchen Set])</f>
        <v>0</v>
      </c>
      <c r="AF312" s="264">
        <f>IF(NFI_Expiration=1,IF($A312&lt;VLOOKUP(O$5,NFI,5,0),1,0)*Table_NFI[[#This Row],[Clothes Kit]],Table_NFI[Clothes Kit])</f>
        <v>0</v>
      </c>
      <c r="AG312" s="264">
        <f>IF(NFI_Expiration=1,IF($A312&lt;VLOOKUP(P$5,NFI,5,0),1,0)*Table_NFI[[#This Row],[Plastic Bucket]],Table_NFI[Plastic Bucket])</f>
        <v>0</v>
      </c>
      <c r="AH312" s="264">
        <f>IF(NFI_Expiration=1,IF($A312&lt;VLOOKUP(Q$5,NFI,5,0),1,0)*Table_NFI[[#This Row],[Plastic Mat]],Table_NFI[Plastic Mat])*IF(Table_NFI[[#This Row],[Distribution Date]]&gt;"2014-04-01",1,2.5)</f>
        <v>0</v>
      </c>
      <c r="AI312" s="264">
        <f>IF(NFI_Expiration=1,IF($A312&lt;VLOOKUP(R$5,NFI,5,0),1,0)*Table_NFI[[#This Row],[Winter Clothes Adult]],Table_NFI[Winter Clothes Adult])</f>
        <v>0</v>
      </c>
      <c r="AJ312" s="264">
        <f>IF(NFI_Expiration=1,IF($A312&lt;VLOOKUP(S$5,NFI,5,0),1,0)*Table_NFI[[#This Row],[Winter Clothes Children]],Table_NFI[Winter Clothes Children])</f>
        <v>0</v>
      </c>
      <c r="AK312" s="264">
        <f>IF(NFI_Expiration=1,IF($A312&lt;VLOOKUP(T$5,NFI,5,0),1,0)*Table_NFI[[#This Row],[Winter Items Other]],Table_NFI[Winter Items Other])</f>
        <v>0</v>
      </c>
      <c r="AL312" s="264">
        <f>IF(NFI_Expiration=1,IF($A312&lt;VLOOKUP(M$5,NFI,5,0),1,0)*Table_NFI[[#This Row],[Winter Blanket]],Table_NFI[[#This Row],[Winter Blanket]])</f>
        <v>0</v>
      </c>
      <c r="AM312" s="264">
        <f>IF(Table_NFI[[#This Row],[Winter Clothes Adult]]+Table_NFI[[#This Row],[Winter Clothes Children]]+Table_NFI[[#This Row],[Winter Items Other]]+Table_NFI[[#This Row],[Winter Blanket]]&gt;0,1,0)</f>
        <v>0</v>
      </c>
      <c r="AN312" s="296">
        <f>IF(NFI_Expiration=1,IF($A312&lt;VLOOKUP(V$5,NFI,5,0),1,0)*Table_NFI[[#This Row],[Jerry Can]],Table_NFI[Jerry Can])</f>
        <v>0</v>
      </c>
      <c r="AO312" s="296">
        <f>IF(NFI_Expiration=1,IF($A312&lt;VLOOKUP(V$5,NFI,5,0),1,0)*Table_NFI[[#This Row],[Shelter Tool kit]],Table_NFI[Shelter Tool kit])</f>
        <v>0</v>
      </c>
      <c r="AP312" s="296">
        <f>IF(NFI_Expiration=1,IF($A312&lt;VLOOKUP(V$5,NFI,5,0),1,0)*Table_NFI[[#This Row],[Tent]],Table_NFI[Tent])</f>
        <v>0</v>
      </c>
      <c r="AQ312" s="396" t="str">
        <f>IFERROR(VLOOKUP(Table_NFI[[#This Row],[Camp Name]],CL,2,0),"")</f>
        <v>MMR001CMP229</v>
      </c>
      <c r="AR312" s="702">
        <f ca="1">IF(Table_NFI[[#This Row],[Pcode]]="","",IF(OFFSET(CampList[Opening Date],MATCH(Table_NFI[[#This Row],[Pcode]],CampList[CP_Pcode],0)-1,0,1,1)&gt;=NFI_Monitor_Date,1,0))</f>
        <v>0</v>
      </c>
      <c r="AS312" s="396" t="str">
        <f>IFERROR(VLOOKUP(Table_NFI[[#This Row],[Camp Name]],CL,3,0),"")</f>
        <v>Open</v>
      </c>
      <c r="AT312" s="264" t="str">
        <f ca="1">IF(Table_NFI[[#This Row],[Pcode]]="","",OFFSET(CampList[Priority],MATCH(Table_NFI[[#This Row],[Pcode]],CampList[CP_Pcode],0)-1,0,1,1))</f>
        <v>P4</v>
      </c>
      <c r="AU312" s="263">
        <f>IFERROR(Table_NFI[[#This Row],[Kitchen Set]]/VLOOKUP(Table_NFI[[#This Row],[Camp Name]],CL,4,0),"")</f>
        <v>1.5563445357716064E-3</v>
      </c>
      <c r="AV312" s="390"/>
      <c r="AW312" s="392"/>
      <c r="AX312" s="399"/>
      <c r="AY312" s="399"/>
      <c r="AZ312" s="399"/>
      <c r="BA312" s="399"/>
      <c r="BB312" s="399"/>
      <c r="BC312" s="399"/>
      <c r="BD312" s="399"/>
      <c r="BE312" s="399"/>
      <c r="BF312" s="399"/>
      <c r="BG312" s="399"/>
      <c r="BH312" s="399"/>
      <c r="BI312" s="399"/>
      <c r="BJ312" s="399"/>
      <c r="BK312" s="399"/>
      <c r="BL312" s="399"/>
      <c r="BM312" s="399"/>
      <c r="BN312" s="399"/>
      <c r="BO312" s="399"/>
      <c r="BP312" s="399"/>
      <c r="BQ312" s="399"/>
      <c r="BR312" s="399"/>
      <c r="BS312" s="399"/>
      <c r="BT312" s="399"/>
      <c r="BU312" s="399"/>
      <c r="BV312" s="399"/>
      <c r="BW312" s="399"/>
      <c r="BX312" s="399"/>
      <c r="BY312" s="399"/>
      <c r="BZ312" s="399"/>
      <c r="CA312" s="399"/>
      <c r="CB312" s="399"/>
      <c r="CC312" s="399"/>
      <c r="CD312" s="399"/>
      <c r="CE312" s="399"/>
      <c r="CF312" s="399"/>
      <c r="CG312" s="399"/>
      <c r="CH312" s="399"/>
      <c r="CI312" s="399"/>
      <c r="CJ312" s="399"/>
      <c r="CK312" s="399"/>
      <c r="CL312" s="399"/>
      <c r="CM312" s="399"/>
      <c r="CN312" s="399"/>
      <c r="CO312" s="399"/>
      <c r="CP312" s="399"/>
      <c r="CQ312" s="399"/>
      <c r="CR312" s="399"/>
      <c r="CS312" s="399"/>
      <c r="CT312" s="399"/>
      <c r="CU312" s="399"/>
      <c r="CV312" s="399"/>
      <c r="CW312" s="399"/>
      <c r="CX312" s="399"/>
      <c r="CY312" s="399"/>
      <c r="CZ312" s="399"/>
      <c r="DA312" s="399"/>
      <c r="DB312" s="399"/>
      <c r="DC312" s="399"/>
      <c r="DD312" s="399"/>
      <c r="DE312" s="399"/>
      <c r="DF312" s="399"/>
      <c r="DG312" s="399"/>
      <c r="DH312" s="399"/>
      <c r="DI312" s="399"/>
      <c r="DJ312" s="399"/>
      <c r="DK312" s="399"/>
      <c r="DL312" s="399"/>
      <c r="DM312" s="399"/>
      <c r="DN312" s="399"/>
      <c r="DO312" s="399"/>
      <c r="DP312" s="399"/>
      <c r="DQ312" s="399"/>
    </row>
    <row r="313" spans="1:121" s="760" customFormat="1" ht="14.45" customHeight="1" x14ac:dyDescent="0.25">
      <c r="A313" s="266">
        <f t="shared" si="4"/>
        <v>30.433333333333334</v>
      </c>
      <c r="B313" s="389">
        <v>41943</v>
      </c>
      <c r="C313" s="390" t="s">
        <v>451</v>
      </c>
      <c r="D313" s="390"/>
      <c r="E313" s="390" t="s">
        <v>380</v>
      </c>
      <c r="F313" s="390" t="s">
        <v>526</v>
      </c>
      <c r="G313" s="390" t="s">
        <v>90</v>
      </c>
      <c r="H313" s="261"/>
      <c r="I313" s="261"/>
      <c r="J313" s="261">
        <v>25</v>
      </c>
      <c r="K313" s="261">
        <v>50</v>
      </c>
      <c r="L313" s="261">
        <v>25</v>
      </c>
      <c r="M313" s="261">
        <v>50</v>
      </c>
      <c r="N313" s="261">
        <v>25</v>
      </c>
      <c r="O313" s="261"/>
      <c r="P313" s="261">
        <v>25</v>
      </c>
      <c r="Q313" s="261">
        <v>125</v>
      </c>
      <c r="R313" s="261"/>
      <c r="S313" s="261"/>
      <c r="T313" s="261"/>
      <c r="U313" s="261"/>
      <c r="V313" s="762"/>
      <c r="W313" s="261"/>
      <c r="X313" s="261"/>
      <c r="Y313" s="264">
        <f>IF(NFI_Expiration=1,IF($A313&lt;VLOOKUP(H$5,NFI,5,0),1,0)*Table_NFI[[#This Row],[Hygiene Kit]],Table_NFI[Hygiene Kit])</f>
        <v>0</v>
      </c>
      <c r="Z313" s="264">
        <f>IF(NFI_Expiration=1,IF($A313&lt;VLOOKUP(I$5,NFI,5,0),1,0)*Table_NFI[[#This Row],[NFI Core Kit]],Table_NFI[NFI Core Kit])</f>
        <v>0</v>
      </c>
      <c r="AA313" s="264">
        <f>IF(NFI_Expiration=1,IF($A313&lt;VLOOKUP(J$5,NFI,5,0),1,0)*Table_NFI[[#This Row],[Sanitary Kit]],Table_NFI[Sanitary Kit])</f>
        <v>0</v>
      </c>
      <c r="AB313" s="264">
        <f>IF(NFI_Expiration=1,IF($A313&lt;VLOOKUP(K$5,NFI,5,0),1,0)*Table_NFI[[#This Row],[Mosquito net]],Table_NFI[Mosquito net])</f>
        <v>0</v>
      </c>
      <c r="AC313" s="264">
        <f>IF(NFI_Expiration=1,IF($A313&lt;VLOOKUP(L$5,NFI,5,0),1,0)*Table_NFI[[#This Row],[Tarpaulin]],Table_NFI[[#This Row],[Tarpaulin]])</f>
        <v>0</v>
      </c>
      <c r="AD313" s="264">
        <f>IF(NFI_Expiration=1,IF($A313&lt;VLOOKUP(M$5,NFI,5,0),1,0)*Table_NFI[[#This Row],[Blanket]],Table_NFI[[#This Row],[Blanket]])</f>
        <v>0</v>
      </c>
      <c r="AE313" s="264">
        <f>IF(NFI_Expiration=1,IF($A313&lt;VLOOKUP(N$5,NFI,5,0),1,0)*Table_NFI[[#This Row],[Kitchen Set]],Table_NFI[Kitchen Set])</f>
        <v>0</v>
      </c>
      <c r="AF313" s="264">
        <f>IF(NFI_Expiration=1,IF($A313&lt;VLOOKUP(O$5,NFI,5,0),1,0)*Table_NFI[[#This Row],[Clothes Kit]],Table_NFI[Clothes Kit])</f>
        <v>0</v>
      </c>
      <c r="AG313" s="264">
        <f>IF(NFI_Expiration=1,IF($A313&lt;VLOOKUP(P$5,NFI,5,0),1,0)*Table_NFI[[#This Row],[Plastic Bucket]],Table_NFI[Plastic Bucket])</f>
        <v>0</v>
      </c>
      <c r="AH313" s="264">
        <f>IF(NFI_Expiration=1,IF($A313&lt;VLOOKUP(Q$5,NFI,5,0),1,0)*Table_NFI[[#This Row],[Plastic Mat]],Table_NFI[Plastic Mat])*IF(Table_NFI[[#This Row],[Distribution Date]]&gt;"2014-04-01",1,2.5)</f>
        <v>0</v>
      </c>
      <c r="AI313" s="264">
        <f>IF(NFI_Expiration=1,IF($A313&lt;VLOOKUP(R$5,NFI,5,0),1,0)*Table_NFI[[#This Row],[Winter Clothes Adult]],Table_NFI[Winter Clothes Adult])</f>
        <v>0</v>
      </c>
      <c r="AJ313" s="264">
        <f>IF(NFI_Expiration=1,IF($A313&lt;VLOOKUP(S$5,NFI,5,0),1,0)*Table_NFI[[#This Row],[Winter Clothes Children]],Table_NFI[Winter Clothes Children])</f>
        <v>0</v>
      </c>
      <c r="AK313" s="264">
        <f>IF(NFI_Expiration=1,IF($A313&lt;VLOOKUP(T$5,NFI,5,0),1,0)*Table_NFI[[#This Row],[Winter Items Other]],Table_NFI[Winter Items Other])</f>
        <v>0</v>
      </c>
      <c r="AL313" s="264">
        <f>IF(NFI_Expiration=1,IF($A313&lt;VLOOKUP(M$5,NFI,5,0),1,0)*Table_NFI[[#This Row],[Winter Blanket]],Table_NFI[[#This Row],[Winter Blanket]])</f>
        <v>0</v>
      </c>
      <c r="AM313" s="264">
        <f>IF(Table_NFI[[#This Row],[Winter Clothes Adult]]+Table_NFI[[#This Row],[Winter Clothes Children]]+Table_NFI[[#This Row],[Winter Items Other]]+Table_NFI[[#This Row],[Winter Blanket]]&gt;0,1,0)</f>
        <v>0</v>
      </c>
      <c r="AN313" s="296">
        <f>IF(NFI_Expiration=1,IF($A313&lt;VLOOKUP(V$5,NFI,5,0),1,0)*Table_NFI[[#This Row],[Jerry Can]],Table_NFI[Jerry Can])</f>
        <v>0</v>
      </c>
      <c r="AO313" s="296">
        <f>IF(NFI_Expiration=1,IF($A313&lt;VLOOKUP(V$5,NFI,5,0),1,0)*Table_NFI[[#This Row],[Shelter Tool kit]],Table_NFI[Shelter Tool kit])</f>
        <v>0</v>
      </c>
      <c r="AP313" s="296">
        <f>IF(NFI_Expiration=1,IF($A313&lt;VLOOKUP(V$5,NFI,5,0),1,0)*Table_NFI[[#This Row],[Tent]],Table_NFI[Tent])</f>
        <v>0</v>
      </c>
      <c r="AQ313" s="396" t="str">
        <f>IFERROR(VLOOKUP(Table_NFI[[#This Row],[Camp Name]],CL,2,0),"")</f>
        <v>MMR001CMP181</v>
      </c>
      <c r="AR313" s="702">
        <f ca="1">IF(Table_NFI[[#This Row],[Pcode]]="","",IF(OFFSET(CampList[Opening Date],MATCH(Table_NFI[[#This Row],[Pcode]],CampList[CP_Pcode],0)-1,0,1,1)&gt;=NFI_Monitor_Date,1,0))</f>
        <v>0</v>
      </c>
      <c r="AS313" s="396" t="str">
        <f>IFERROR(VLOOKUP(Table_NFI[[#This Row],[Camp Name]],CL,3,0),"")</f>
        <v>Open</v>
      </c>
      <c r="AT313" s="264" t="str">
        <f ca="1">IF(Table_NFI[[#This Row],[Pcode]]="","",OFFSET(CampList[Priority],MATCH(Table_NFI[[#This Row],[Pcode]],CampList[CP_Pcode],0)-1,0,1,1))</f>
        <v>P4</v>
      </c>
      <c r="AU313" s="263">
        <f>IFERROR(Table_NFI[[#This Row],[Kitchen Set]]/VLOOKUP(Table_NFI[[#This Row],[Camp Name]],CL,4,0),"")</f>
        <v>6.0569351907934583E-4</v>
      </c>
      <c r="AV313" s="390"/>
      <c r="AW313" s="392"/>
      <c r="AX313" s="399"/>
      <c r="AY313" s="399"/>
      <c r="AZ313" s="399"/>
      <c r="BA313" s="399"/>
      <c r="BB313" s="399"/>
      <c r="BC313" s="399"/>
      <c r="BD313" s="399"/>
      <c r="BE313" s="399"/>
      <c r="BF313" s="399"/>
      <c r="BG313" s="399"/>
      <c r="BH313" s="399"/>
      <c r="BI313" s="399"/>
      <c r="BJ313" s="399"/>
      <c r="BK313" s="399"/>
      <c r="BL313" s="399"/>
      <c r="BM313" s="399"/>
      <c r="BN313" s="399"/>
      <c r="BO313" s="399"/>
      <c r="BP313" s="399"/>
      <c r="BQ313" s="399"/>
      <c r="BR313" s="399"/>
      <c r="BS313" s="399"/>
      <c r="BT313" s="399"/>
      <c r="BU313" s="399"/>
      <c r="BV313" s="399"/>
      <c r="BW313" s="399"/>
      <c r="BX313" s="399"/>
      <c r="BY313" s="399"/>
      <c r="BZ313" s="399"/>
      <c r="CA313" s="399"/>
      <c r="CB313" s="399"/>
      <c r="CC313" s="399"/>
      <c r="CD313" s="399"/>
      <c r="CE313" s="399"/>
      <c r="CF313" s="399"/>
      <c r="CG313" s="399"/>
      <c r="CH313" s="399"/>
      <c r="CI313" s="399"/>
      <c r="CJ313" s="399"/>
      <c r="CK313" s="399"/>
      <c r="CL313" s="399"/>
      <c r="CM313" s="399"/>
      <c r="CN313" s="399"/>
      <c r="CO313" s="399"/>
      <c r="CP313" s="399"/>
      <c r="CQ313" s="399"/>
      <c r="CR313" s="399"/>
      <c r="CS313" s="399"/>
      <c r="CT313" s="399"/>
      <c r="CU313" s="399"/>
      <c r="CV313" s="399"/>
      <c r="CW313" s="399"/>
      <c r="CX313" s="399"/>
      <c r="CY313" s="399"/>
      <c r="CZ313" s="399"/>
      <c r="DA313" s="399"/>
      <c r="DB313" s="399"/>
      <c r="DC313" s="399"/>
      <c r="DD313" s="399"/>
      <c r="DE313" s="399"/>
      <c r="DF313" s="399"/>
      <c r="DG313" s="399"/>
      <c r="DH313" s="399"/>
      <c r="DI313" s="399"/>
      <c r="DJ313" s="399"/>
      <c r="DK313" s="399"/>
      <c r="DL313" s="399"/>
      <c r="DM313" s="399"/>
      <c r="DN313" s="399"/>
      <c r="DO313" s="399"/>
      <c r="DP313" s="399"/>
      <c r="DQ313" s="399"/>
    </row>
    <row r="314" spans="1:121" s="760" customFormat="1" ht="14.45" customHeight="1" x14ac:dyDescent="0.25">
      <c r="A314" s="266">
        <f t="shared" si="4"/>
        <v>30.433333333333334</v>
      </c>
      <c r="B314" s="389">
        <v>41943</v>
      </c>
      <c r="C314" s="390" t="s">
        <v>451</v>
      </c>
      <c r="D314" s="390"/>
      <c r="E314" s="390" t="s">
        <v>380</v>
      </c>
      <c r="F314" s="390" t="s">
        <v>526</v>
      </c>
      <c r="G314" s="390" t="s">
        <v>92</v>
      </c>
      <c r="H314" s="261"/>
      <c r="I314" s="261"/>
      <c r="J314" s="261">
        <v>15</v>
      </c>
      <c r="K314" s="261">
        <v>30</v>
      </c>
      <c r="L314" s="261">
        <v>15</v>
      </c>
      <c r="M314" s="261">
        <v>30</v>
      </c>
      <c r="N314" s="261">
        <v>15</v>
      </c>
      <c r="O314" s="261"/>
      <c r="P314" s="261">
        <v>15</v>
      </c>
      <c r="Q314" s="261">
        <v>75</v>
      </c>
      <c r="R314" s="261"/>
      <c r="S314" s="261"/>
      <c r="T314" s="261"/>
      <c r="U314" s="261"/>
      <c r="V314" s="762"/>
      <c r="W314" s="261"/>
      <c r="X314" s="261"/>
      <c r="Y314" s="264">
        <f>IF(NFI_Expiration=1,IF($A314&lt;VLOOKUP(H$5,NFI,5,0),1,0)*Table_NFI[[#This Row],[Hygiene Kit]],Table_NFI[Hygiene Kit])</f>
        <v>0</v>
      </c>
      <c r="Z314" s="264">
        <f>IF(NFI_Expiration=1,IF($A314&lt;VLOOKUP(I$5,NFI,5,0),1,0)*Table_NFI[[#This Row],[NFI Core Kit]],Table_NFI[NFI Core Kit])</f>
        <v>0</v>
      </c>
      <c r="AA314" s="264">
        <f>IF(NFI_Expiration=1,IF($A314&lt;VLOOKUP(J$5,NFI,5,0),1,0)*Table_NFI[[#This Row],[Sanitary Kit]],Table_NFI[Sanitary Kit])</f>
        <v>0</v>
      </c>
      <c r="AB314" s="264">
        <f>IF(NFI_Expiration=1,IF($A314&lt;VLOOKUP(K$5,NFI,5,0),1,0)*Table_NFI[[#This Row],[Mosquito net]],Table_NFI[Mosquito net])</f>
        <v>0</v>
      </c>
      <c r="AC314" s="264">
        <f>IF(NFI_Expiration=1,IF($A314&lt;VLOOKUP(L$5,NFI,5,0),1,0)*Table_NFI[[#This Row],[Tarpaulin]],Table_NFI[[#This Row],[Tarpaulin]])</f>
        <v>0</v>
      </c>
      <c r="AD314" s="264">
        <f>IF(NFI_Expiration=1,IF($A314&lt;VLOOKUP(M$5,NFI,5,0),1,0)*Table_NFI[[#This Row],[Blanket]],Table_NFI[[#This Row],[Blanket]])</f>
        <v>0</v>
      </c>
      <c r="AE314" s="264">
        <f>IF(NFI_Expiration=1,IF($A314&lt;VLOOKUP(N$5,NFI,5,0),1,0)*Table_NFI[[#This Row],[Kitchen Set]],Table_NFI[Kitchen Set])</f>
        <v>0</v>
      </c>
      <c r="AF314" s="264">
        <f>IF(NFI_Expiration=1,IF($A314&lt;VLOOKUP(O$5,NFI,5,0),1,0)*Table_NFI[[#This Row],[Clothes Kit]],Table_NFI[Clothes Kit])</f>
        <v>0</v>
      </c>
      <c r="AG314" s="264">
        <f>IF(NFI_Expiration=1,IF($A314&lt;VLOOKUP(P$5,NFI,5,0),1,0)*Table_NFI[[#This Row],[Plastic Bucket]],Table_NFI[Plastic Bucket])</f>
        <v>0</v>
      </c>
      <c r="AH314" s="264">
        <f>IF(NFI_Expiration=1,IF($A314&lt;VLOOKUP(Q$5,NFI,5,0),1,0)*Table_NFI[[#This Row],[Plastic Mat]],Table_NFI[Plastic Mat])*IF(Table_NFI[[#This Row],[Distribution Date]]&gt;"2014-04-01",1,2.5)</f>
        <v>0</v>
      </c>
      <c r="AI314" s="264">
        <f>IF(NFI_Expiration=1,IF($A314&lt;VLOOKUP(R$5,NFI,5,0),1,0)*Table_NFI[[#This Row],[Winter Clothes Adult]],Table_NFI[Winter Clothes Adult])</f>
        <v>0</v>
      </c>
      <c r="AJ314" s="264">
        <f>IF(NFI_Expiration=1,IF($A314&lt;VLOOKUP(S$5,NFI,5,0),1,0)*Table_NFI[[#This Row],[Winter Clothes Children]],Table_NFI[Winter Clothes Children])</f>
        <v>0</v>
      </c>
      <c r="AK314" s="264">
        <f>IF(NFI_Expiration=1,IF($A314&lt;VLOOKUP(T$5,NFI,5,0),1,0)*Table_NFI[[#This Row],[Winter Items Other]],Table_NFI[Winter Items Other])</f>
        <v>0</v>
      </c>
      <c r="AL314" s="264">
        <f>IF(NFI_Expiration=1,IF($A314&lt;VLOOKUP(M$5,NFI,5,0),1,0)*Table_NFI[[#This Row],[Winter Blanket]],Table_NFI[[#This Row],[Winter Blanket]])</f>
        <v>0</v>
      </c>
      <c r="AM314" s="264">
        <f>IF(Table_NFI[[#This Row],[Winter Clothes Adult]]+Table_NFI[[#This Row],[Winter Clothes Children]]+Table_NFI[[#This Row],[Winter Items Other]]+Table_NFI[[#This Row],[Winter Blanket]]&gt;0,1,0)</f>
        <v>0</v>
      </c>
      <c r="AN314" s="296">
        <f>IF(NFI_Expiration=1,IF($A314&lt;VLOOKUP(V$5,NFI,5,0),1,0)*Table_NFI[[#This Row],[Jerry Can]],Table_NFI[Jerry Can])</f>
        <v>0</v>
      </c>
      <c r="AO314" s="296">
        <f>IF(NFI_Expiration=1,IF($A314&lt;VLOOKUP(V$5,NFI,5,0),1,0)*Table_NFI[[#This Row],[Shelter Tool kit]],Table_NFI[Shelter Tool kit])</f>
        <v>0</v>
      </c>
      <c r="AP314" s="296">
        <f>IF(NFI_Expiration=1,IF($A314&lt;VLOOKUP(V$5,NFI,5,0),1,0)*Table_NFI[[#This Row],[Tent]],Table_NFI[Tent])</f>
        <v>0</v>
      </c>
      <c r="AQ314" s="396" t="str">
        <f>IFERROR(VLOOKUP(Table_NFI[[#This Row],[Camp Name]],CL,2,0),"")</f>
        <v>MMR001CMP167</v>
      </c>
      <c r="AR314" s="702">
        <f ca="1">IF(Table_NFI[[#This Row],[Pcode]]="","",IF(OFFSET(CampList[Opening Date],MATCH(Table_NFI[[#This Row],[Pcode]],CampList[CP_Pcode],0)-1,0,1,1)&gt;=NFI_Monitor_Date,1,0))</f>
        <v>0</v>
      </c>
      <c r="AS314" s="396" t="str">
        <f>IFERROR(VLOOKUP(Table_NFI[[#This Row],[Camp Name]],CL,3,0),"")</f>
        <v>Open</v>
      </c>
      <c r="AT314" s="264" t="str">
        <f ca="1">IF(Table_NFI[[#This Row],[Pcode]]="","",OFFSET(CampList[Priority],MATCH(Table_NFI[[#This Row],[Pcode]],CampList[CP_Pcode],0)-1,0,1,1))</f>
        <v>P4</v>
      </c>
      <c r="AU314" s="263">
        <f>IFERROR(Table_NFI[[#This Row],[Kitchen Set]]/VLOOKUP(Table_NFI[[#This Row],[Camp Name]],CL,4,0),"")</f>
        <v>3.6341611144760752E-4</v>
      </c>
      <c r="AV314" s="390"/>
      <c r="AW314" s="392"/>
      <c r="AX314" s="399"/>
      <c r="AY314" s="399"/>
      <c r="AZ314" s="399"/>
      <c r="BA314" s="399"/>
      <c r="BB314" s="399"/>
      <c r="BC314" s="399"/>
      <c r="BD314" s="399"/>
      <c r="BE314" s="399"/>
      <c r="BF314" s="399"/>
      <c r="BG314" s="399"/>
      <c r="BH314" s="399"/>
      <c r="BI314" s="399"/>
      <c r="BJ314" s="399"/>
      <c r="BK314" s="399"/>
      <c r="BL314" s="399"/>
      <c r="BM314" s="399"/>
      <c r="BN314" s="399"/>
      <c r="BO314" s="399"/>
      <c r="BP314" s="399"/>
      <c r="BQ314" s="399"/>
      <c r="BR314" s="399"/>
      <c r="BS314" s="399"/>
      <c r="BT314" s="399"/>
      <c r="BU314" s="399"/>
      <c r="BV314" s="399"/>
      <c r="BW314" s="399"/>
      <c r="BX314" s="399"/>
      <c r="BY314" s="399"/>
      <c r="BZ314" s="399"/>
      <c r="CA314" s="399"/>
      <c r="CB314" s="399"/>
      <c r="CC314" s="399"/>
      <c r="CD314" s="399"/>
      <c r="CE314" s="399"/>
      <c r="CF314" s="399"/>
      <c r="CG314" s="399"/>
      <c r="CH314" s="399"/>
      <c r="CI314" s="399"/>
      <c r="CJ314" s="399"/>
      <c r="CK314" s="399"/>
      <c r="CL314" s="399"/>
      <c r="CM314" s="399"/>
      <c r="CN314" s="399"/>
      <c r="CO314" s="399"/>
      <c r="CP314" s="399"/>
      <c r="CQ314" s="399"/>
      <c r="CR314" s="399"/>
      <c r="CS314" s="399"/>
      <c r="CT314" s="399"/>
      <c r="CU314" s="399"/>
      <c r="CV314" s="399"/>
      <c r="CW314" s="399"/>
      <c r="CX314" s="399"/>
      <c r="CY314" s="399"/>
      <c r="CZ314" s="399"/>
      <c r="DA314" s="399"/>
      <c r="DB314" s="399"/>
      <c r="DC314" s="399"/>
      <c r="DD314" s="399"/>
      <c r="DE314" s="399"/>
      <c r="DF314" s="399"/>
      <c r="DG314" s="399"/>
      <c r="DH314" s="399"/>
      <c r="DI314" s="399"/>
      <c r="DJ314" s="399"/>
      <c r="DK314" s="399"/>
      <c r="DL314" s="399"/>
      <c r="DM314" s="399"/>
      <c r="DN314" s="399"/>
      <c r="DO314" s="399"/>
      <c r="DP314" s="399"/>
      <c r="DQ314" s="399"/>
    </row>
    <row r="315" spans="1:121" s="393" customFormat="1" ht="14.45" customHeight="1" x14ac:dyDescent="0.25">
      <c r="A315" s="266">
        <f t="shared" si="4"/>
        <v>30.433333333333334</v>
      </c>
      <c r="B315" s="389">
        <v>41943</v>
      </c>
      <c r="C315" s="390" t="s">
        <v>1089</v>
      </c>
      <c r="D315" s="390" t="s">
        <v>899</v>
      </c>
      <c r="E315" s="390" t="s">
        <v>380</v>
      </c>
      <c r="F315" s="390" t="s">
        <v>526</v>
      </c>
      <c r="G315" s="390" t="s">
        <v>100</v>
      </c>
      <c r="H315" s="261"/>
      <c r="I315" s="261"/>
      <c r="J315" s="261"/>
      <c r="K315" s="261"/>
      <c r="L315" s="261"/>
      <c r="M315" s="261"/>
      <c r="N315" s="261"/>
      <c r="O315" s="261"/>
      <c r="P315" s="261"/>
      <c r="Q315" s="261"/>
      <c r="R315" s="261">
        <v>11</v>
      </c>
      <c r="S315" s="261">
        <v>15</v>
      </c>
      <c r="T315" s="261"/>
      <c r="U315" s="261"/>
      <c r="V315" s="762"/>
      <c r="W315" s="261"/>
      <c r="X315" s="261"/>
      <c r="Y315" s="264">
        <f>IF(NFI_Expiration=1,IF($A315&lt;VLOOKUP(H$5,NFI,5,0),1,0)*Table_NFI[[#This Row],[Hygiene Kit]],Table_NFI[Hygiene Kit])</f>
        <v>0</v>
      </c>
      <c r="Z315" s="264">
        <f>IF(NFI_Expiration=1,IF($A315&lt;VLOOKUP(I$5,NFI,5,0),1,0)*Table_NFI[[#This Row],[NFI Core Kit]],Table_NFI[NFI Core Kit])</f>
        <v>0</v>
      </c>
      <c r="AA315" s="264">
        <f>IF(NFI_Expiration=1,IF($A315&lt;VLOOKUP(J$5,NFI,5,0),1,0)*Table_NFI[[#This Row],[Sanitary Kit]],Table_NFI[Sanitary Kit])</f>
        <v>0</v>
      </c>
      <c r="AB315" s="264">
        <f>IF(NFI_Expiration=1,IF($A315&lt;VLOOKUP(K$5,NFI,5,0),1,0)*Table_NFI[[#This Row],[Mosquito net]],Table_NFI[Mosquito net])</f>
        <v>0</v>
      </c>
      <c r="AC315" s="264">
        <f>IF(NFI_Expiration=1,IF($A315&lt;VLOOKUP(L$5,NFI,5,0),1,0)*Table_NFI[[#This Row],[Tarpaulin]],Table_NFI[[#This Row],[Tarpaulin]])</f>
        <v>0</v>
      </c>
      <c r="AD315" s="264">
        <f>IF(NFI_Expiration=1,IF($A315&lt;VLOOKUP(M$5,NFI,5,0),1,0)*Table_NFI[[#This Row],[Blanket]],Table_NFI[[#This Row],[Blanket]])</f>
        <v>0</v>
      </c>
      <c r="AE315" s="264">
        <f>IF(NFI_Expiration=1,IF($A315&lt;VLOOKUP(N$5,NFI,5,0),1,0)*Table_NFI[[#This Row],[Kitchen Set]],Table_NFI[Kitchen Set])</f>
        <v>0</v>
      </c>
      <c r="AF315" s="264">
        <f>IF(NFI_Expiration=1,IF($A315&lt;VLOOKUP(O$5,NFI,5,0),1,0)*Table_NFI[[#This Row],[Clothes Kit]],Table_NFI[Clothes Kit])</f>
        <v>0</v>
      </c>
      <c r="AG315" s="264">
        <f>IF(NFI_Expiration=1,IF($A315&lt;VLOOKUP(P$5,NFI,5,0),1,0)*Table_NFI[[#This Row],[Plastic Bucket]],Table_NFI[Plastic Bucket])</f>
        <v>0</v>
      </c>
      <c r="AH315" s="264">
        <f>IF(NFI_Expiration=1,IF($A315&lt;VLOOKUP(Q$5,NFI,5,0),1,0)*Table_NFI[[#This Row],[Plastic Mat]],Table_NFI[Plastic Mat])*IF(Table_NFI[[#This Row],[Distribution Date]]&gt;"2014-04-01",1,2.5)</f>
        <v>0</v>
      </c>
      <c r="AI315" s="264">
        <f>IF(NFI_Expiration=1,IF($A315&lt;VLOOKUP(R$5,NFI,5,0),1,0)*Table_NFI[[#This Row],[Winter Clothes Adult]],Table_NFI[Winter Clothes Adult])</f>
        <v>0</v>
      </c>
      <c r="AJ315" s="264">
        <f>IF(NFI_Expiration=1,IF($A315&lt;VLOOKUP(S$5,NFI,5,0),1,0)*Table_NFI[[#This Row],[Winter Clothes Children]],Table_NFI[Winter Clothes Children])</f>
        <v>0</v>
      </c>
      <c r="AK315" s="264">
        <f>IF(NFI_Expiration=1,IF($A315&lt;VLOOKUP(T$5,NFI,5,0),1,0)*Table_NFI[[#This Row],[Winter Items Other]],Table_NFI[Winter Items Other])</f>
        <v>0</v>
      </c>
      <c r="AL315" s="264">
        <f>IF(NFI_Expiration=1,IF($A315&lt;VLOOKUP(M$5,NFI,5,0),1,0)*Table_NFI[[#This Row],[Winter Blanket]],Table_NFI[[#This Row],[Winter Blanket]])</f>
        <v>0</v>
      </c>
      <c r="AM315" s="264">
        <f>IF(Table_NFI[[#This Row],[Winter Clothes Adult]]+Table_NFI[[#This Row],[Winter Clothes Children]]+Table_NFI[[#This Row],[Winter Items Other]]+Table_NFI[[#This Row],[Winter Blanket]]&gt;0,1,0)</f>
        <v>1</v>
      </c>
      <c r="AN315" s="296">
        <f>IF(NFI_Expiration=1,IF($A315&lt;VLOOKUP(V$5,NFI,5,0),1,0)*Table_NFI[[#This Row],[Jerry Can]],Table_NFI[Jerry Can])</f>
        <v>0</v>
      </c>
      <c r="AO315" s="296">
        <f>IF(NFI_Expiration=1,IF($A315&lt;VLOOKUP(V$5,NFI,5,0),1,0)*Table_NFI[[#This Row],[Shelter Tool kit]],Table_NFI[Shelter Tool kit])</f>
        <v>0</v>
      </c>
      <c r="AP315" s="296">
        <f>IF(NFI_Expiration=1,IF($A315&lt;VLOOKUP(V$5,NFI,5,0),1,0)*Table_NFI[[#This Row],[Tent]],Table_NFI[Tent])</f>
        <v>0</v>
      </c>
      <c r="AQ315" s="396" t="str">
        <f>IFERROR(VLOOKUP(Table_NFI[[#This Row],[Camp Name]],CL,2,0),"")</f>
        <v>MMR001CMP091</v>
      </c>
      <c r="AR315" s="702">
        <f ca="1">IF(Table_NFI[[#This Row],[Pcode]]="","",IF(OFFSET(CampList[Opening Date],MATCH(Table_NFI[[#This Row],[Pcode]],CampList[CP_Pcode],0)-1,0,1,1)&gt;=NFI_Monitor_Date,1,0))</f>
        <v>0</v>
      </c>
      <c r="AS315" s="396" t="str">
        <f>IFERROR(VLOOKUP(Table_NFI[[#This Row],[Camp Name]],CL,3,0),"")</f>
        <v>Open</v>
      </c>
      <c r="AT315" s="264" t="str">
        <f ca="1">IF(Table_NFI[[#This Row],[Pcode]]="","",OFFSET(CampList[Priority],MATCH(Table_NFI[[#This Row],[Pcode]],CampList[CP_Pcode],0)-1,0,1,1))</f>
        <v>P4</v>
      </c>
      <c r="AU315" s="263">
        <f>IFERROR(Table_NFI[[#This Row],[Kitchen Set]]/VLOOKUP(Table_NFI[[#This Row],[Camp Name]],CL,4,0),"")</f>
        <v>0</v>
      </c>
      <c r="AV315" s="390"/>
      <c r="AW315" s="392"/>
      <c r="AX315" s="399"/>
      <c r="AY315" s="399"/>
      <c r="AZ315" s="399"/>
      <c r="BA315" s="399"/>
      <c r="BB315" s="399"/>
      <c r="BC315" s="399"/>
      <c r="BD315" s="399"/>
      <c r="BE315" s="399"/>
      <c r="BF315" s="399"/>
      <c r="BG315" s="399"/>
      <c r="BH315" s="399"/>
      <c r="BI315" s="399"/>
      <c r="BJ315" s="399"/>
      <c r="BK315" s="399"/>
      <c r="BL315" s="399"/>
      <c r="BM315" s="399"/>
      <c r="BN315" s="399"/>
      <c r="BO315" s="399"/>
      <c r="BP315" s="399"/>
      <c r="BQ315" s="399"/>
      <c r="BR315" s="399"/>
      <c r="BS315" s="399"/>
      <c r="BT315" s="399"/>
      <c r="BU315" s="399"/>
      <c r="BV315" s="399"/>
      <c r="BW315" s="399"/>
      <c r="BX315" s="399"/>
      <c r="BY315" s="399"/>
      <c r="BZ315" s="399"/>
      <c r="CA315" s="399"/>
      <c r="CB315" s="399"/>
      <c r="CC315" s="399"/>
      <c r="CD315" s="399"/>
      <c r="CE315" s="399"/>
      <c r="CF315" s="399"/>
      <c r="CG315" s="399"/>
      <c r="CH315" s="399"/>
      <c r="CI315" s="399"/>
      <c r="CJ315" s="399"/>
      <c r="CK315" s="399"/>
      <c r="CL315" s="399"/>
      <c r="CM315" s="399"/>
      <c r="CN315" s="399"/>
      <c r="CO315" s="399"/>
      <c r="CP315" s="399"/>
      <c r="CQ315" s="399"/>
      <c r="CR315" s="399"/>
      <c r="CS315" s="399"/>
      <c r="CT315" s="399"/>
      <c r="CU315" s="399"/>
      <c r="CV315" s="399"/>
      <c r="CW315" s="399"/>
      <c r="CX315" s="399"/>
      <c r="CY315" s="399"/>
      <c r="CZ315" s="399"/>
      <c r="DA315" s="399"/>
      <c r="DB315" s="399"/>
      <c r="DC315" s="399"/>
      <c r="DD315" s="399"/>
      <c r="DE315" s="399"/>
      <c r="DF315" s="399"/>
      <c r="DG315" s="399"/>
      <c r="DH315" s="399"/>
      <c r="DI315" s="399"/>
      <c r="DJ315" s="399"/>
      <c r="DK315" s="399"/>
      <c r="DL315" s="399"/>
      <c r="DM315" s="399"/>
      <c r="DN315" s="399"/>
      <c r="DO315" s="399"/>
      <c r="DP315" s="399"/>
      <c r="DQ315" s="399"/>
    </row>
    <row r="316" spans="1:121" s="393" customFormat="1" ht="14.45" customHeight="1" x14ac:dyDescent="0.25">
      <c r="A316" s="266">
        <f t="shared" si="4"/>
        <v>30.433333333333334</v>
      </c>
      <c r="B316" s="389">
        <v>41943</v>
      </c>
      <c r="C316" s="390" t="s">
        <v>451</v>
      </c>
      <c r="D316" s="390"/>
      <c r="E316" s="390" t="s">
        <v>380</v>
      </c>
      <c r="F316" s="390" t="s">
        <v>526</v>
      </c>
      <c r="G316" s="390" t="s">
        <v>100</v>
      </c>
      <c r="H316" s="261"/>
      <c r="I316" s="261"/>
      <c r="J316" s="261">
        <v>5</v>
      </c>
      <c r="K316" s="261">
        <v>10</v>
      </c>
      <c r="L316" s="261">
        <v>5</v>
      </c>
      <c r="M316" s="261">
        <v>10</v>
      </c>
      <c r="N316" s="261">
        <v>5</v>
      </c>
      <c r="O316" s="261"/>
      <c r="P316" s="261">
        <v>5</v>
      </c>
      <c r="Q316" s="261">
        <v>25</v>
      </c>
      <c r="R316" s="261"/>
      <c r="S316" s="261"/>
      <c r="T316" s="261"/>
      <c r="U316" s="261"/>
      <c r="V316" s="762"/>
      <c r="W316" s="261"/>
      <c r="X316" s="261"/>
      <c r="Y316" s="264">
        <f>IF(NFI_Expiration=1,IF($A316&lt;VLOOKUP(H$5,NFI,5,0),1,0)*Table_NFI[[#This Row],[Hygiene Kit]],Table_NFI[Hygiene Kit])</f>
        <v>0</v>
      </c>
      <c r="Z316" s="264">
        <f>IF(NFI_Expiration=1,IF($A316&lt;VLOOKUP(I$5,NFI,5,0),1,0)*Table_NFI[[#This Row],[NFI Core Kit]],Table_NFI[NFI Core Kit])</f>
        <v>0</v>
      </c>
      <c r="AA316" s="264">
        <f>IF(NFI_Expiration=1,IF($A316&lt;VLOOKUP(J$5,NFI,5,0),1,0)*Table_NFI[[#This Row],[Sanitary Kit]],Table_NFI[Sanitary Kit])</f>
        <v>0</v>
      </c>
      <c r="AB316" s="264">
        <f>IF(NFI_Expiration=1,IF($A316&lt;VLOOKUP(K$5,NFI,5,0),1,0)*Table_NFI[[#This Row],[Mosquito net]],Table_NFI[Mosquito net])</f>
        <v>0</v>
      </c>
      <c r="AC316" s="264">
        <f>IF(NFI_Expiration=1,IF($A316&lt;VLOOKUP(L$5,NFI,5,0),1,0)*Table_NFI[[#This Row],[Tarpaulin]],Table_NFI[[#This Row],[Tarpaulin]])</f>
        <v>0</v>
      </c>
      <c r="AD316" s="264">
        <f>IF(NFI_Expiration=1,IF($A316&lt;VLOOKUP(M$5,NFI,5,0),1,0)*Table_NFI[[#This Row],[Blanket]],Table_NFI[[#This Row],[Blanket]])</f>
        <v>0</v>
      </c>
      <c r="AE316" s="264">
        <f>IF(NFI_Expiration=1,IF($A316&lt;VLOOKUP(N$5,NFI,5,0),1,0)*Table_NFI[[#This Row],[Kitchen Set]],Table_NFI[Kitchen Set])</f>
        <v>0</v>
      </c>
      <c r="AF316" s="264">
        <f>IF(NFI_Expiration=1,IF($A316&lt;VLOOKUP(O$5,NFI,5,0),1,0)*Table_NFI[[#This Row],[Clothes Kit]],Table_NFI[Clothes Kit])</f>
        <v>0</v>
      </c>
      <c r="AG316" s="264">
        <f>IF(NFI_Expiration=1,IF($A316&lt;VLOOKUP(P$5,NFI,5,0),1,0)*Table_NFI[[#This Row],[Plastic Bucket]],Table_NFI[Plastic Bucket])</f>
        <v>0</v>
      </c>
      <c r="AH316" s="264">
        <f>IF(NFI_Expiration=1,IF($A316&lt;VLOOKUP(Q$5,NFI,5,0),1,0)*Table_NFI[[#This Row],[Plastic Mat]],Table_NFI[Plastic Mat])*IF(Table_NFI[[#This Row],[Distribution Date]]&gt;"2014-04-01",1,2.5)</f>
        <v>0</v>
      </c>
      <c r="AI316" s="264">
        <f>IF(NFI_Expiration=1,IF($A316&lt;VLOOKUP(R$5,NFI,5,0),1,0)*Table_NFI[[#This Row],[Winter Clothes Adult]],Table_NFI[Winter Clothes Adult])</f>
        <v>0</v>
      </c>
      <c r="AJ316" s="264">
        <f>IF(NFI_Expiration=1,IF($A316&lt;VLOOKUP(S$5,NFI,5,0),1,0)*Table_NFI[[#This Row],[Winter Clothes Children]],Table_NFI[Winter Clothes Children])</f>
        <v>0</v>
      </c>
      <c r="AK316" s="264">
        <f>IF(NFI_Expiration=1,IF($A316&lt;VLOOKUP(T$5,NFI,5,0),1,0)*Table_NFI[[#This Row],[Winter Items Other]],Table_NFI[Winter Items Other])</f>
        <v>0</v>
      </c>
      <c r="AL316" s="264">
        <f>IF(NFI_Expiration=1,IF($A316&lt;VLOOKUP(M$5,NFI,5,0),1,0)*Table_NFI[[#This Row],[Winter Blanket]],Table_NFI[[#This Row],[Winter Blanket]])</f>
        <v>0</v>
      </c>
      <c r="AM316" s="264">
        <f>IF(Table_NFI[[#This Row],[Winter Clothes Adult]]+Table_NFI[[#This Row],[Winter Clothes Children]]+Table_NFI[[#This Row],[Winter Items Other]]+Table_NFI[[#This Row],[Winter Blanket]]&gt;0,1,0)</f>
        <v>0</v>
      </c>
      <c r="AN316" s="296">
        <f>IF(NFI_Expiration=1,IF($A316&lt;VLOOKUP(V$5,NFI,5,0),1,0)*Table_NFI[[#This Row],[Jerry Can]],Table_NFI[Jerry Can])</f>
        <v>0</v>
      </c>
      <c r="AO316" s="296">
        <f>IF(NFI_Expiration=1,IF($A316&lt;VLOOKUP(V$5,NFI,5,0),1,0)*Table_NFI[[#This Row],[Shelter Tool kit]],Table_NFI[Shelter Tool kit])</f>
        <v>0</v>
      </c>
      <c r="AP316" s="296">
        <f>IF(NFI_Expiration=1,IF($A316&lt;VLOOKUP(V$5,NFI,5,0),1,0)*Table_NFI[[#This Row],[Tent]],Table_NFI[Tent])</f>
        <v>0</v>
      </c>
      <c r="AQ316" s="396" t="str">
        <f>IFERROR(VLOOKUP(Table_NFI[[#This Row],[Camp Name]],CL,2,0),"")</f>
        <v>MMR001CMP091</v>
      </c>
      <c r="AR316" s="702">
        <f ca="1">IF(Table_NFI[[#This Row],[Pcode]]="","",IF(OFFSET(CampList[Opening Date],MATCH(Table_NFI[[#This Row],[Pcode]],CampList[CP_Pcode],0)-1,0,1,1)&gt;=NFI_Monitor_Date,1,0))</f>
        <v>0</v>
      </c>
      <c r="AS316" s="396" t="str">
        <f>IFERROR(VLOOKUP(Table_NFI[[#This Row],[Camp Name]],CL,3,0),"")</f>
        <v>Open</v>
      </c>
      <c r="AT316" s="264" t="str">
        <f ca="1">IF(Table_NFI[[#This Row],[Pcode]]="","",OFFSET(CampList[Priority],MATCH(Table_NFI[[#This Row],[Pcode]],CampList[CP_Pcode],0)-1,0,1,1))</f>
        <v>P4</v>
      </c>
      <c r="AU316" s="263">
        <f>IFERROR(Table_NFI[[#This Row],[Kitchen Set]]/VLOOKUP(Table_NFI[[#This Row],[Camp Name]],CL,4,0),"")</f>
        <v>1.2158941685715675E-4</v>
      </c>
      <c r="AV316" s="390"/>
      <c r="AW316" s="392"/>
      <c r="AX316" s="399"/>
      <c r="AY316" s="399"/>
      <c r="AZ316" s="399"/>
      <c r="BA316" s="399"/>
      <c r="BB316" s="399"/>
      <c r="BC316" s="399"/>
      <c r="BD316" s="399"/>
      <c r="BE316" s="399"/>
      <c r="BF316" s="399"/>
      <c r="BG316" s="399"/>
      <c r="BH316" s="399"/>
      <c r="BI316" s="399"/>
      <c r="BJ316" s="399"/>
      <c r="BK316" s="399"/>
      <c r="BL316" s="399"/>
      <c r="BM316" s="399"/>
      <c r="BN316" s="399"/>
      <c r="BO316" s="399"/>
      <c r="BP316" s="399"/>
      <c r="BQ316" s="399"/>
      <c r="BR316" s="399"/>
      <c r="BS316" s="399"/>
      <c r="BT316" s="399"/>
      <c r="BU316" s="399"/>
      <c r="BV316" s="399"/>
      <c r="BW316" s="399"/>
      <c r="BX316" s="399"/>
      <c r="BY316" s="399"/>
      <c r="BZ316" s="399"/>
      <c r="CA316" s="399"/>
      <c r="CB316" s="399"/>
      <c r="CC316" s="399"/>
      <c r="CD316" s="399"/>
      <c r="CE316" s="399"/>
      <c r="CF316" s="399"/>
      <c r="CG316" s="399"/>
      <c r="CH316" s="399"/>
      <c r="CI316" s="399"/>
      <c r="CJ316" s="399"/>
      <c r="CK316" s="399"/>
      <c r="CL316" s="399"/>
      <c r="CM316" s="399"/>
      <c r="CN316" s="399"/>
      <c r="CO316" s="399"/>
      <c r="CP316" s="399"/>
      <c r="CQ316" s="399"/>
      <c r="CR316" s="399"/>
      <c r="CS316" s="399"/>
      <c r="CT316" s="399"/>
      <c r="CU316" s="399"/>
      <c r="CV316" s="399"/>
      <c r="CW316" s="399"/>
      <c r="CX316" s="399"/>
      <c r="CY316" s="399"/>
      <c r="CZ316" s="399"/>
      <c r="DA316" s="399"/>
      <c r="DB316" s="399"/>
      <c r="DC316" s="399"/>
      <c r="DD316" s="399"/>
      <c r="DE316" s="399"/>
      <c r="DF316" s="399"/>
      <c r="DG316" s="399"/>
      <c r="DH316" s="399"/>
      <c r="DI316" s="399"/>
      <c r="DJ316" s="399"/>
      <c r="DK316" s="399"/>
      <c r="DL316" s="399"/>
      <c r="DM316" s="399"/>
      <c r="DN316" s="399"/>
      <c r="DO316" s="399"/>
      <c r="DP316" s="399"/>
      <c r="DQ316" s="399"/>
    </row>
    <row r="317" spans="1:121" s="760" customFormat="1" ht="14.45" customHeight="1" x14ac:dyDescent="0.25">
      <c r="A317" s="266">
        <f t="shared" si="4"/>
        <v>30.433333333333334</v>
      </c>
      <c r="B317" s="389">
        <v>41943</v>
      </c>
      <c r="C317" s="390" t="s">
        <v>451</v>
      </c>
      <c r="D317" s="390"/>
      <c r="E317" s="390" t="s">
        <v>380</v>
      </c>
      <c r="F317" s="390" t="s">
        <v>526</v>
      </c>
      <c r="G317" s="390" t="s">
        <v>610</v>
      </c>
      <c r="H317" s="261"/>
      <c r="I317" s="261"/>
      <c r="J317" s="261">
        <v>17</v>
      </c>
      <c r="K317" s="261">
        <v>34</v>
      </c>
      <c r="L317" s="261">
        <v>17</v>
      </c>
      <c r="M317" s="261">
        <v>34</v>
      </c>
      <c r="N317" s="261">
        <v>17</v>
      </c>
      <c r="O317" s="261"/>
      <c r="P317" s="261">
        <v>17</v>
      </c>
      <c r="Q317" s="261">
        <v>85</v>
      </c>
      <c r="R317" s="261"/>
      <c r="S317" s="261"/>
      <c r="T317" s="261"/>
      <c r="U317" s="261"/>
      <c r="V317" s="762"/>
      <c r="W317" s="261"/>
      <c r="X317" s="261"/>
      <c r="Y317" s="264">
        <f>IF(NFI_Expiration=1,IF($A317&lt;VLOOKUP(H$5,NFI,5,0),1,0)*Table_NFI[[#This Row],[Hygiene Kit]],Table_NFI[Hygiene Kit])</f>
        <v>0</v>
      </c>
      <c r="Z317" s="264">
        <f>IF(NFI_Expiration=1,IF($A317&lt;VLOOKUP(I$5,NFI,5,0),1,0)*Table_NFI[[#This Row],[NFI Core Kit]],Table_NFI[NFI Core Kit])</f>
        <v>0</v>
      </c>
      <c r="AA317" s="264">
        <f>IF(NFI_Expiration=1,IF($A317&lt;VLOOKUP(J$5,NFI,5,0),1,0)*Table_NFI[[#This Row],[Sanitary Kit]],Table_NFI[Sanitary Kit])</f>
        <v>0</v>
      </c>
      <c r="AB317" s="264">
        <f>IF(NFI_Expiration=1,IF($A317&lt;VLOOKUP(K$5,NFI,5,0),1,0)*Table_NFI[[#This Row],[Mosquito net]],Table_NFI[Mosquito net])</f>
        <v>0</v>
      </c>
      <c r="AC317" s="264">
        <f>IF(NFI_Expiration=1,IF($A317&lt;VLOOKUP(L$5,NFI,5,0),1,0)*Table_NFI[[#This Row],[Tarpaulin]],Table_NFI[[#This Row],[Tarpaulin]])</f>
        <v>0</v>
      </c>
      <c r="AD317" s="264">
        <f>IF(NFI_Expiration=1,IF($A317&lt;VLOOKUP(M$5,NFI,5,0),1,0)*Table_NFI[[#This Row],[Blanket]],Table_NFI[[#This Row],[Blanket]])</f>
        <v>0</v>
      </c>
      <c r="AE317" s="264">
        <f>IF(NFI_Expiration=1,IF($A317&lt;VLOOKUP(N$5,NFI,5,0),1,0)*Table_NFI[[#This Row],[Kitchen Set]],Table_NFI[Kitchen Set])</f>
        <v>0</v>
      </c>
      <c r="AF317" s="264">
        <f>IF(NFI_Expiration=1,IF($A317&lt;VLOOKUP(O$5,NFI,5,0),1,0)*Table_NFI[[#This Row],[Clothes Kit]],Table_NFI[Clothes Kit])</f>
        <v>0</v>
      </c>
      <c r="AG317" s="264">
        <f>IF(NFI_Expiration=1,IF($A317&lt;VLOOKUP(P$5,NFI,5,0),1,0)*Table_NFI[[#This Row],[Plastic Bucket]],Table_NFI[Plastic Bucket])</f>
        <v>0</v>
      </c>
      <c r="AH317" s="264">
        <f>IF(NFI_Expiration=1,IF($A317&lt;VLOOKUP(Q$5,NFI,5,0),1,0)*Table_NFI[[#This Row],[Plastic Mat]],Table_NFI[Plastic Mat])*IF(Table_NFI[[#This Row],[Distribution Date]]&gt;"2014-04-01",1,2.5)</f>
        <v>0</v>
      </c>
      <c r="AI317" s="264">
        <f>IF(NFI_Expiration=1,IF($A317&lt;VLOOKUP(R$5,NFI,5,0),1,0)*Table_NFI[[#This Row],[Winter Clothes Adult]],Table_NFI[Winter Clothes Adult])</f>
        <v>0</v>
      </c>
      <c r="AJ317" s="264">
        <f>IF(NFI_Expiration=1,IF($A317&lt;VLOOKUP(S$5,NFI,5,0),1,0)*Table_NFI[[#This Row],[Winter Clothes Children]],Table_NFI[Winter Clothes Children])</f>
        <v>0</v>
      </c>
      <c r="AK317" s="264">
        <f>IF(NFI_Expiration=1,IF($A317&lt;VLOOKUP(T$5,NFI,5,0),1,0)*Table_NFI[[#This Row],[Winter Items Other]],Table_NFI[Winter Items Other])</f>
        <v>0</v>
      </c>
      <c r="AL317" s="264">
        <f>IF(NFI_Expiration=1,IF($A317&lt;VLOOKUP(M$5,NFI,5,0),1,0)*Table_NFI[[#This Row],[Winter Blanket]],Table_NFI[[#This Row],[Winter Blanket]])</f>
        <v>0</v>
      </c>
      <c r="AM317" s="264">
        <f>IF(Table_NFI[[#This Row],[Winter Clothes Adult]]+Table_NFI[[#This Row],[Winter Clothes Children]]+Table_NFI[[#This Row],[Winter Items Other]]+Table_NFI[[#This Row],[Winter Blanket]]&gt;0,1,0)</f>
        <v>0</v>
      </c>
      <c r="AN317" s="296">
        <f>IF(NFI_Expiration=1,IF($A317&lt;VLOOKUP(V$5,NFI,5,0),1,0)*Table_NFI[[#This Row],[Jerry Can]],Table_NFI[Jerry Can])</f>
        <v>0</v>
      </c>
      <c r="AO317" s="296">
        <f>IF(NFI_Expiration=1,IF($A317&lt;VLOOKUP(V$5,NFI,5,0),1,0)*Table_NFI[[#This Row],[Shelter Tool kit]],Table_NFI[Shelter Tool kit])</f>
        <v>0</v>
      </c>
      <c r="AP317" s="296">
        <f>IF(NFI_Expiration=1,IF($A317&lt;VLOOKUP(V$5,NFI,5,0),1,0)*Table_NFI[[#This Row],[Tent]],Table_NFI[Tent])</f>
        <v>0</v>
      </c>
      <c r="AQ317" s="396" t="str">
        <f>IFERROR(VLOOKUP(Table_NFI[[#This Row],[Camp Name]],CL,2,0),"")</f>
        <v>MMR001CMP192</v>
      </c>
      <c r="AR317" s="702">
        <f ca="1">IF(Table_NFI[[#This Row],[Pcode]]="","",IF(OFFSET(CampList[Opening Date],MATCH(Table_NFI[[#This Row],[Pcode]],CampList[CP_Pcode],0)-1,0,1,1)&gt;=NFI_Monitor_Date,1,0))</f>
        <v>0</v>
      </c>
      <c r="AS317" s="396" t="str">
        <f>IFERROR(VLOOKUP(Table_NFI[[#This Row],[Camp Name]],CL,3,0),"")</f>
        <v>Open</v>
      </c>
      <c r="AT317" s="264" t="str">
        <f ca="1">IF(Table_NFI[[#This Row],[Pcode]]="","",OFFSET(CampList[Priority],MATCH(Table_NFI[[#This Row],[Pcode]],CampList[CP_Pcode],0)-1,0,1,1))</f>
        <v>P4</v>
      </c>
      <c r="AU317" s="263">
        <f>IFERROR(Table_NFI[[#This Row],[Kitchen Set]]/VLOOKUP(Table_NFI[[#This Row],[Camp Name]],CL,4,0),"")</f>
        <v>4.1187159297395516E-4</v>
      </c>
      <c r="AV317" s="390"/>
      <c r="AW317" s="392"/>
      <c r="AX317" s="399"/>
      <c r="AY317" s="399"/>
      <c r="AZ317" s="399"/>
      <c r="BA317" s="399"/>
      <c r="BB317" s="399"/>
      <c r="BC317" s="399"/>
      <c r="BD317" s="399"/>
      <c r="BE317" s="399"/>
      <c r="BF317" s="399"/>
      <c r="BG317" s="399"/>
      <c r="BH317" s="399"/>
      <c r="BI317" s="399"/>
      <c r="BJ317" s="399"/>
      <c r="BK317" s="399"/>
      <c r="BL317" s="399"/>
      <c r="BM317" s="399"/>
      <c r="BN317" s="399"/>
      <c r="BO317" s="399"/>
      <c r="BP317" s="399"/>
      <c r="BQ317" s="399"/>
      <c r="BR317" s="399"/>
      <c r="BS317" s="399"/>
      <c r="BT317" s="399"/>
      <c r="BU317" s="399"/>
      <c r="BV317" s="399"/>
      <c r="BW317" s="399"/>
      <c r="BX317" s="399"/>
      <c r="BY317" s="399"/>
      <c r="BZ317" s="399"/>
      <c r="CA317" s="399"/>
      <c r="CB317" s="399"/>
      <c r="CC317" s="399"/>
      <c r="CD317" s="399"/>
      <c r="CE317" s="399"/>
      <c r="CF317" s="399"/>
      <c r="CG317" s="399"/>
      <c r="CH317" s="399"/>
      <c r="CI317" s="399"/>
      <c r="CJ317" s="399"/>
      <c r="CK317" s="399"/>
      <c r="CL317" s="399"/>
      <c r="CM317" s="399"/>
      <c r="CN317" s="399"/>
      <c r="CO317" s="399"/>
      <c r="CP317" s="399"/>
      <c r="CQ317" s="399"/>
      <c r="CR317" s="399"/>
      <c r="CS317" s="399"/>
      <c r="CT317" s="399"/>
      <c r="CU317" s="399"/>
      <c r="CV317" s="399"/>
      <c r="CW317" s="399"/>
      <c r="CX317" s="399"/>
      <c r="CY317" s="399"/>
      <c r="CZ317" s="399"/>
      <c r="DA317" s="399"/>
      <c r="DB317" s="399"/>
      <c r="DC317" s="399"/>
      <c r="DD317" s="399"/>
      <c r="DE317" s="399"/>
      <c r="DF317" s="399"/>
      <c r="DG317" s="399"/>
      <c r="DH317" s="399"/>
      <c r="DI317" s="399"/>
      <c r="DJ317" s="399"/>
      <c r="DK317" s="399"/>
      <c r="DL317" s="399"/>
      <c r="DM317" s="399"/>
      <c r="DN317" s="399"/>
      <c r="DO317" s="399"/>
      <c r="DP317" s="399"/>
      <c r="DQ317" s="399"/>
    </row>
    <row r="318" spans="1:121" s="760" customFormat="1" ht="14.45" customHeight="1" x14ac:dyDescent="0.25">
      <c r="A318" s="266">
        <f t="shared" si="4"/>
        <v>30.433333333333334</v>
      </c>
      <c r="B318" s="389">
        <v>41943</v>
      </c>
      <c r="C318" s="390" t="s">
        <v>451</v>
      </c>
      <c r="D318" s="390"/>
      <c r="E318" s="390" t="s">
        <v>380</v>
      </c>
      <c r="F318" s="390" t="s">
        <v>526</v>
      </c>
      <c r="G318" s="390" t="s">
        <v>108</v>
      </c>
      <c r="H318" s="261"/>
      <c r="I318" s="261"/>
      <c r="J318" s="261">
        <v>36</v>
      </c>
      <c r="K318" s="261">
        <v>72</v>
      </c>
      <c r="L318" s="261">
        <v>36</v>
      </c>
      <c r="M318" s="261">
        <v>72</v>
      </c>
      <c r="N318" s="261">
        <v>36</v>
      </c>
      <c r="O318" s="261"/>
      <c r="P318" s="261">
        <v>36</v>
      </c>
      <c r="Q318" s="261">
        <v>180</v>
      </c>
      <c r="R318" s="261"/>
      <c r="S318" s="261"/>
      <c r="T318" s="261"/>
      <c r="U318" s="261"/>
      <c r="V318" s="762"/>
      <c r="W318" s="261"/>
      <c r="X318" s="261"/>
      <c r="Y318" s="264">
        <f>IF(NFI_Expiration=1,IF($A318&lt;VLOOKUP(H$5,NFI,5,0),1,0)*Table_NFI[[#This Row],[Hygiene Kit]],Table_NFI[Hygiene Kit])</f>
        <v>0</v>
      </c>
      <c r="Z318" s="264">
        <f>IF(NFI_Expiration=1,IF($A318&lt;VLOOKUP(I$5,NFI,5,0),1,0)*Table_NFI[[#This Row],[NFI Core Kit]],Table_NFI[NFI Core Kit])</f>
        <v>0</v>
      </c>
      <c r="AA318" s="264">
        <f>IF(NFI_Expiration=1,IF($A318&lt;VLOOKUP(J$5,NFI,5,0),1,0)*Table_NFI[[#This Row],[Sanitary Kit]],Table_NFI[Sanitary Kit])</f>
        <v>0</v>
      </c>
      <c r="AB318" s="264">
        <f>IF(NFI_Expiration=1,IF($A318&lt;VLOOKUP(K$5,NFI,5,0),1,0)*Table_NFI[[#This Row],[Mosquito net]],Table_NFI[Mosquito net])</f>
        <v>0</v>
      </c>
      <c r="AC318" s="264">
        <f>IF(NFI_Expiration=1,IF($A318&lt;VLOOKUP(L$5,NFI,5,0),1,0)*Table_NFI[[#This Row],[Tarpaulin]],Table_NFI[[#This Row],[Tarpaulin]])</f>
        <v>0</v>
      </c>
      <c r="AD318" s="264">
        <f>IF(NFI_Expiration=1,IF($A318&lt;VLOOKUP(M$5,NFI,5,0),1,0)*Table_NFI[[#This Row],[Blanket]],Table_NFI[[#This Row],[Blanket]])</f>
        <v>0</v>
      </c>
      <c r="AE318" s="264">
        <f>IF(NFI_Expiration=1,IF($A318&lt;VLOOKUP(N$5,NFI,5,0),1,0)*Table_NFI[[#This Row],[Kitchen Set]],Table_NFI[Kitchen Set])</f>
        <v>0</v>
      </c>
      <c r="AF318" s="264">
        <f>IF(NFI_Expiration=1,IF($A318&lt;VLOOKUP(O$5,NFI,5,0),1,0)*Table_NFI[[#This Row],[Clothes Kit]],Table_NFI[Clothes Kit])</f>
        <v>0</v>
      </c>
      <c r="AG318" s="264">
        <f>IF(NFI_Expiration=1,IF($A318&lt;VLOOKUP(P$5,NFI,5,0),1,0)*Table_NFI[[#This Row],[Plastic Bucket]],Table_NFI[Plastic Bucket])</f>
        <v>0</v>
      </c>
      <c r="AH318" s="264">
        <f>IF(NFI_Expiration=1,IF($A318&lt;VLOOKUP(Q$5,NFI,5,0),1,0)*Table_NFI[[#This Row],[Plastic Mat]],Table_NFI[Plastic Mat])*IF(Table_NFI[[#This Row],[Distribution Date]]&gt;"2014-04-01",1,2.5)</f>
        <v>0</v>
      </c>
      <c r="AI318" s="264">
        <f>IF(NFI_Expiration=1,IF($A318&lt;VLOOKUP(R$5,NFI,5,0),1,0)*Table_NFI[[#This Row],[Winter Clothes Adult]],Table_NFI[Winter Clothes Adult])</f>
        <v>0</v>
      </c>
      <c r="AJ318" s="264">
        <f>IF(NFI_Expiration=1,IF($A318&lt;VLOOKUP(S$5,NFI,5,0),1,0)*Table_NFI[[#This Row],[Winter Clothes Children]],Table_NFI[Winter Clothes Children])</f>
        <v>0</v>
      </c>
      <c r="AK318" s="264">
        <f>IF(NFI_Expiration=1,IF($A318&lt;VLOOKUP(T$5,NFI,5,0),1,0)*Table_NFI[[#This Row],[Winter Items Other]],Table_NFI[Winter Items Other])</f>
        <v>0</v>
      </c>
      <c r="AL318" s="264">
        <f>IF(NFI_Expiration=1,IF($A318&lt;VLOOKUP(M$5,NFI,5,0),1,0)*Table_NFI[[#This Row],[Winter Blanket]],Table_NFI[[#This Row],[Winter Blanket]])</f>
        <v>0</v>
      </c>
      <c r="AM318" s="264">
        <f>IF(Table_NFI[[#This Row],[Winter Clothes Adult]]+Table_NFI[[#This Row],[Winter Clothes Children]]+Table_NFI[[#This Row],[Winter Items Other]]+Table_NFI[[#This Row],[Winter Blanket]]&gt;0,1,0)</f>
        <v>0</v>
      </c>
      <c r="AN318" s="296">
        <f>IF(NFI_Expiration=1,IF($A318&lt;VLOOKUP(V$5,NFI,5,0),1,0)*Table_NFI[[#This Row],[Jerry Can]],Table_NFI[Jerry Can])</f>
        <v>0</v>
      </c>
      <c r="AO318" s="296">
        <f>IF(NFI_Expiration=1,IF($A318&lt;VLOOKUP(V$5,NFI,5,0),1,0)*Table_NFI[[#This Row],[Shelter Tool kit]],Table_NFI[Shelter Tool kit])</f>
        <v>0</v>
      </c>
      <c r="AP318" s="296">
        <f>IF(NFI_Expiration=1,IF($A318&lt;VLOOKUP(V$5,NFI,5,0),1,0)*Table_NFI[[#This Row],[Tent]],Table_NFI[Tent])</f>
        <v>0</v>
      </c>
      <c r="AQ318" s="396" t="str">
        <f>IFERROR(VLOOKUP(Table_NFI[[#This Row],[Camp Name]],CL,2,0),"")</f>
        <v>MMR001CMP103</v>
      </c>
      <c r="AR318" s="702">
        <f ca="1">IF(Table_NFI[[#This Row],[Pcode]]="","",IF(OFFSET(CampList[Opening Date],MATCH(Table_NFI[[#This Row],[Pcode]],CampList[CP_Pcode],0)-1,0,1,1)&gt;=NFI_Monitor_Date,1,0))</f>
        <v>0</v>
      </c>
      <c r="AS318" s="396" t="str">
        <f>IFERROR(VLOOKUP(Table_NFI[[#This Row],[Camp Name]],CL,3,0),"")</f>
        <v>Open</v>
      </c>
      <c r="AT318" s="264" t="str">
        <f ca="1">IF(Table_NFI[[#This Row],[Pcode]]="","",OFFSET(CampList[Priority],MATCH(Table_NFI[[#This Row],[Pcode]],CampList[CP_Pcode],0)-1,0,1,1))</f>
        <v>P4</v>
      </c>
      <c r="AU318" s="263">
        <f>IFERROR(Table_NFI[[#This Row],[Kitchen Set]]/VLOOKUP(Table_NFI[[#This Row],[Camp Name]],CL,4,0),"")</f>
        <v>8.6774170221997249E-4</v>
      </c>
      <c r="AV318" s="390"/>
      <c r="AW318" s="392" t="s">
        <v>1105</v>
      </c>
      <c r="AX318" s="399"/>
      <c r="AY318" s="399"/>
      <c r="AZ318" s="399"/>
      <c r="BA318" s="399"/>
      <c r="BB318" s="399"/>
      <c r="BC318" s="399"/>
      <c r="BD318" s="399"/>
      <c r="BE318" s="399"/>
      <c r="BF318" s="399"/>
      <c r="BG318" s="399"/>
      <c r="BH318" s="399"/>
      <c r="BI318" s="399"/>
      <c r="BJ318" s="399"/>
      <c r="BK318" s="399"/>
      <c r="BL318" s="399"/>
      <c r="BM318" s="399"/>
      <c r="BN318" s="399"/>
      <c r="BO318" s="399"/>
      <c r="BP318" s="399"/>
      <c r="BQ318" s="399"/>
      <c r="BR318" s="399"/>
      <c r="BS318" s="399"/>
      <c r="BT318" s="399"/>
      <c r="BU318" s="399"/>
      <c r="BV318" s="399"/>
      <c r="BW318" s="399"/>
      <c r="BX318" s="399"/>
      <c r="BY318" s="399"/>
      <c r="BZ318" s="399"/>
      <c r="CA318" s="399"/>
      <c r="CB318" s="399"/>
      <c r="CC318" s="399"/>
      <c r="CD318" s="399"/>
      <c r="CE318" s="399"/>
      <c r="CF318" s="399"/>
      <c r="CG318" s="399"/>
      <c r="CH318" s="399"/>
      <c r="CI318" s="399"/>
      <c r="CJ318" s="399"/>
      <c r="CK318" s="399"/>
      <c r="CL318" s="399"/>
      <c r="CM318" s="399"/>
      <c r="CN318" s="399"/>
      <c r="CO318" s="399"/>
      <c r="CP318" s="399"/>
      <c r="CQ318" s="399"/>
      <c r="CR318" s="399"/>
      <c r="CS318" s="399"/>
      <c r="CT318" s="399"/>
      <c r="CU318" s="399"/>
      <c r="CV318" s="399"/>
      <c r="CW318" s="399"/>
      <c r="CX318" s="399"/>
      <c r="CY318" s="399"/>
      <c r="CZ318" s="399"/>
      <c r="DA318" s="399"/>
      <c r="DB318" s="399"/>
      <c r="DC318" s="399"/>
      <c r="DD318" s="399"/>
      <c r="DE318" s="399"/>
      <c r="DF318" s="399"/>
      <c r="DG318" s="399"/>
      <c r="DH318" s="399"/>
      <c r="DI318" s="399"/>
      <c r="DJ318" s="399"/>
      <c r="DK318" s="399"/>
      <c r="DL318" s="399"/>
      <c r="DM318" s="399"/>
      <c r="DN318" s="399"/>
      <c r="DO318" s="399"/>
      <c r="DP318" s="399"/>
      <c r="DQ318" s="399"/>
    </row>
    <row r="319" spans="1:121" s="760" customFormat="1" ht="14.45" customHeight="1" x14ac:dyDescent="0.25">
      <c r="A319" s="266">
        <f t="shared" si="4"/>
        <v>30.433333333333334</v>
      </c>
      <c r="B319" s="389">
        <v>41943</v>
      </c>
      <c r="C319" s="390" t="s">
        <v>451</v>
      </c>
      <c r="D319" s="390"/>
      <c r="E319" s="390" t="s">
        <v>380</v>
      </c>
      <c r="F319" s="390" t="s">
        <v>526</v>
      </c>
      <c r="G319" s="390" t="s">
        <v>118</v>
      </c>
      <c r="H319" s="261"/>
      <c r="I319" s="261"/>
      <c r="J319" s="261">
        <v>12</v>
      </c>
      <c r="K319" s="261">
        <v>24</v>
      </c>
      <c r="L319" s="261">
        <v>12</v>
      </c>
      <c r="M319" s="261">
        <v>24</v>
      </c>
      <c r="N319" s="261">
        <v>12</v>
      </c>
      <c r="O319" s="261"/>
      <c r="P319" s="261">
        <v>12</v>
      </c>
      <c r="Q319" s="261">
        <v>60</v>
      </c>
      <c r="R319" s="261"/>
      <c r="S319" s="261"/>
      <c r="T319" s="261"/>
      <c r="U319" s="261"/>
      <c r="V319" s="762"/>
      <c r="W319" s="261"/>
      <c r="X319" s="261"/>
      <c r="Y319" s="264">
        <f>IF(NFI_Expiration=1,IF($A319&lt;VLOOKUP(H$5,NFI,5,0),1,0)*Table_NFI[[#This Row],[Hygiene Kit]],Table_NFI[Hygiene Kit])</f>
        <v>0</v>
      </c>
      <c r="Z319" s="264">
        <f>IF(NFI_Expiration=1,IF($A319&lt;VLOOKUP(I$5,NFI,5,0),1,0)*Table_NFI[[#This Row],[NFI Core Kit]],Table_NFI[NFI Core Kit])</f>
        <v>0</v>
      </c>
      <c r="AA319" s="264">
        <f>IF(NFI_Expiration=1,IF($A319&lt;VLOOKUP(J$5,NFI,5,0),1,0)*Table_NFI[[#This Row],[Sanitary Kit]],Table_NFI[Sanitary Kit])</f>
        <v>0</v>
      </c>
      <c r="AB319" s="264">
        <f>IF(NFI_Expiration=1,IF($A319&lt;VLOOKUP(K$5,NFI,5,0),1,0)*Table_NFI[[#This Row],[Mosquito net]],Table_NFI[Mosquito net])</f>
        <v>0</v>
      </c>
      <c r="AC319" s="264">
        <f>IF(NFI_Expiration=1,IF($A319&lt;VLOOKUP(L$5,NFI,5,0),1,0)*Table_NFI[[#This Row],[Tarpaulin]],Table_NFI[[#This Row],[Tarpaulin]])</f>
        <v>0</v>
      </c>
      <c r="AD319" s="264">
        <f>IF(NFI_Expiration=1,IF($A319&lt;VLOOKUP(M$5,NFI,5,0),1,0)*Table_NFI[[#This Row],[Blanket]],Table_NFI[[#This Row],[Blanket]])</f>
        <v>0</v>
      </c>
      <c r="AE319" s="264">
        <f>IF(NFI_Expiration=1,IF($A319&lt;VLOOKUP(N$5,NFI,5,0),1,0)*Table_NFI[[#This Row],[Kitchen Set]],Table_NFI[Kitchen Set])</f>
        <v>0</v>
      </c>
      <c r="AF319" s="264">
        <f>IF(NFI_Expiration=1,IF($A319&lt;VLOOKUP(O$5,NFI,5,0),1,0)*Table_NFI[[#This Row],[Clothes Kit]],Table_NFI[Clothes Kit])</f>
        <v>0</v>
      </c>
      <c r="AG319" s="264">
        <f>IF(NFI_Expiration=1,IF($A319&lt;VLOOKUP(P$5,NFI,5,0),1,0)*Table_NFI[[#This Row],[Plastic Bucket]],Table_NFI[Plastic Bucket])</f>
        <v>0</v>
      </c>
      <c r="AH319" s="264">
        <f>IF(NFI_Expiration=1,IF($A319&lt;VLOOKUP(Q$5,NFI,5,0),1,0)*Table_NFI[[#This Row],[Plastic Mat]],Table_NFI[Plastic Mat])*IF(Table_NFI[[#This Row],[Distribution Date]]&gt;"2014-04-01",1,2.5)</f>
        <v>0</v>
      </c>
      <c r="AI319" s="264">
        <f>IF(NFI_Expiration=1,IF($A319&lt;VLOOKUP(R$5,NFI,5,0),1,0)*Table_NFI[[#This Row],[Winter Clothes Adult]],Table_NFI[Winter Clothes Adult])</f>
        <v>0</v>
      </c>
      <c r="AJ319" s="264">
        <f>IF(NFI_Expiration=1,IF($A319&lt;VLOOKUP(S$5,NFI,5,0),1,0)*Table_NFI[[#This Row],[Winter Clothes Children]],Table_NFI[Winter Clothes Children])</f>
        <v>0</v>
      </c>
      <c r="AK319" s="264">
        <f>IF(NFI_Expiration=1,IF($A319&lt;VLOOKUP(T$5,NFI,5,0),1,0)*Table_NFI[[#This Row],[Winter Items Other]],Table_NFI[Winter Items Other])</f>
        <v>0</v>
      </c>
      <c r="AL319" s="264">
        <f>IF(NFI_Expiration=1,IF($A319&lt;VLOOKUP(M$5,NFI,5,0),1,0)*Table_NFI[[#This Row],[Winter Blanket]],Table_NFI[[#This Row],[Winter Blanket]])</f>
        <v>0</v>
      </c>
      <c r="AM319" s="264">
        <f>IF(Table_NFI[[#This Row],[Winter Clothes Adult]]+Table_NFI[[#This Row],[Winter Clothes Children]]+Table_NFI[[#This Row],[Winter Items Other]]+Table_NFI[[#This Row],[Winter Blanket]]&gt;0,1,0)</f>
        <v>0</v>
      </c>
      <c r="AN319" s="296">
        <f>IF(NFI_Expiration=1,IF($A319&lt;VLOOKUP(V$5,NFI,5,0),1,0)*Table_NFI[[#This Row],[Jerry Can]],Table_NFI[Jerry Can])</f>
        <v>0</v>
      </c>
      <c r="AO319" s="296">
        <f>IF(NFI_Expiration=1,IF($A319&lt;VLOOKUP(V$5,NFI,5,0),1,0)*Table_NFI[[#This Row],[Shelter Tool kit]],Table_NFI[Shelter Tool kit])</f>
        <v>0</v>
      </c>
      <c r="AP319" s="296">
        <f>IF(NFI_Expiration=1,IF($A319&lt;VLOOKUP(V$5,NFI,5,0),1,0)*Table_NFI[[#This Row],[Tent]],Table_NFI[Tent])</f>
        <v>0</v>
      </c>
      <c r="AQ319" s="396" t="str">
        <f>IFERROR(VLOOKUP(Table_NFI[[#This Row],[Camp Name]],CL,2,0),"")</f>
        <v>MMR001CMP182</v>
      </c>
      <c r="AR319" s="702">
        <f ca="1">IF(Table_NFI[[#This Row],[Pcode]]="","",IF(OFFSET(CampList[Opening Date],MATCH(Table_NFI[[#This Row],[Pcode]],CampList[CP_Pcode],0)-1,0,1,1)&gt;=NFI_Monitor_Date,1,0))</f>
        <v>0</v>
      </c>
      <c r="AS319" s="396" t="str">
        <f>IFERROR(VLOOKUP(Table_NFI[[#This Row],[Camp Name]],CL,3,0),"")</f>
        <v>Open</v>
      </c>
      <c r="AT319" s="264" t="str">
        <f ca="1">IF(Table_NFI[[#This Row],[Pcode]]="","",OFFSET(CampList[Priority],MATCH(Table_NFI[[#This Row],[Pcode]],CampList[CP_Pcode],0)-1,0,1,1))</f>
        <v>P4</v>
      </c>
      <c r="AU319" s="263">
        <f>IFERROR(Table_NFI[[#This Row],[Kitchen Set]]/VLOOKUP(Table_NFI[[#This Row],[Camp Name]],CL,4,0),"")</f>
        <v>2.9073288915808601E-4</v>
      </c>
      <c r="AV319" s="390"/>
      <c r="AW319" s="392"/>
      <c r="AX319" s="399"/>
      <c r="AY319" s="399"/>
      <c r="AZ319" s="399"/>
      <c r="BA319" s="399"/>
      <c r="BB319" s="399"/>
      <c r="BC319" s="399"/>
      <c r="BD319" s="399"/>
      <c r="BE319" s="399"/>
      <c r="BF319" s="399"/>
      <c r="BG319" s="399"/>
      <c r="BH319" s="399"/>
      <c r="BI319" s="399"/>
      <c r="BJ319" s="399"/>
      <c r="BK319" s="399"/>
      <c r="BL319" s="399"/>
      <c r="BM319" s="399"/>
      <c r="BN319" s="399"/>
      <c r="BO319" s="399"/>
      <c r="BP319" s="399"/>
      <c r="BQ319" s="399"/>
      <c r="BR319" s="399"/>
      <c r="BS319" s="399"/>
      <c r="BT319" s="399"/>
      <c r="BU319" s="399"/>
      <c r="BV319" s="399"/>
      <c r="BW319" s="399"/>
      <c r="BX319" s="399"/>
      <c r="BY319" s="399"/>
      <c r="BZ319" s="399"/>
      <c r="CA319" s="399"/>
      <c r="CB319" s="399"/>
      <c r="CC319" s="399"/>
      <c r="CD319" s="399"/>
      <c r="CE319" s="399"/>
      <c r="CF319" s="399"/>
      <c r="CG319" s="399"/>
      <c r="CH319" s="399"/>
      <c r="CI319" s="399"/>
      <c r="CJ319" s="399"/>
      <c r="CK319" s="399"/>
      <c r="CL319" s="399"/>
      <c r="CM319" s="399"/>
      <c r="CN319" s="399"/>
      <c r="CO319" s="399"/>
      <c r="CP319" s="399"/>
      <c r="CQ319" s="399"/>
      <c r="CR319" s="399"/>
      <c r="CS319" s="399"/>
      <c r="CT319" s="399"/>
      <c r="CU319" s="399"/>
      <c r="CV319" s="399"/>
      <c r="CW319" s="399"/>
      <c r="CX319" s="399"/>
      <c r="CY319" s="399"/>
      <c r="CZ319" s="399"/>
      <c r="DA319" s="399"/>
      <c r="DB319" s="399"/>
      <c r="DC319" s="399"/>
      <c r="DD319" s="399"/>
      <c r="DE319" s="399"/>
      <c r="DF319" s="399"/>
      <c r="DG319" s="399"/>
      <c r="DH319" s="399"/>
      <c r="DI319" s="399"/>
      <c r="DJ319" s="399"/>
      <c r="DK319" s="399"/>
      <c r="DL319" s="399"/>
      <c r="DM319" s="399"/>
      <c r="DN319" s="399"/>
      <c r="DO319" s="399"/>
      <c r="DP319" s="399"/>
      <c r="DQ319" s="399"/>
    </row>
    <row r="320" spans="1:121" s="760" customFormat="1" ht="14.45" customHeight="1" x14ac:dyDescent="0.25">
      <c r="A320" s="266">
        <f t="shared" si="4"/>
        <v>30.433333333333334</v>
      </c>
      <c r="B320" s="389">
        <v>41943</v>
      </c>
      <c r="C320" s="390" t="s">
        <v>451</v>
      </c>
      <c r="D320" s="390"/>
      <c r="E320" s="390" t="s">
        <v>380</v>
      </c>
      <c r="F320" s="390" t="s">
        <v>526</v>
      </c>
      <c r="G320" s="390" t="s">
        <v>124</v>
      </c>
      <c r="H320" s="261"/>
      <c r="I320" s="261"/>
      <c r="J320" s="261">
        <v>9</v>
      </c>
      <c r="K320" s="261">
        <v>18</v>
      </c>
      <c r="L320" s="261">
        <v>9</v>
      </c>
      <c r="M320" s="261">
        <v>18</v>
      </c>
      <c r="N320" s="261">
        <v>9</v>
      </c>
      <c r="O320" s="261"/>
      <c r="P320" s="261">
        <v>9</v>
      </c>
      <c r="Q320" s="261">
        <v>45</v>
      </c>
      <c r="R320" s="261"/>
      <c r="S320" s="261"/>
      <c r="T320" s="261"/>
      <c r="U320" s="261"/>
      <c r="V320" s="762"/>
      <c r="W320" s="261"/>
      <c r="X320" s="261"/>
      <c r="Y320" s="264">
        <f>IF(NFI_Expiration=1,IF($A320&lt;VLOOKUP(H$5,NFI,5,0),1,0)*Table_NFI[[#This Row],[Hygiene Kit]],Table_NFI[Hygiene Kit])</f>
        <v>0</v>
      </c>
      <c r="Z320" s="264">
        <f>IF(NFI_Expiration=1,IF($A320&lt;VLOOKUP(I$5,NFI,5,0),1,0)*Table_NFI[[#This Row],[NFI Core Kit]],Table_NFI[NFI Core Kit])</f>
        <v>0</v>
      </c>
      <c r="AA320" s="264">
        <f>IF(NFI_Expiration=1,IF($A320&lt;VLOOKUP(J$5,NFI,5,0),1,0)*Table_NFI[[#This Row],[Sanitary Kit]],Table_NFI[Sanitary Kit])</f>
        <v>0</v>
      </c>
      <c r="AB320" s="264">
        <f>IF(NFI_Expiration=1,IF($A320&lt;VLOOKUP(K$5,NFI,5,0),1,0)*Table_NFI[[#This Row],[Mosquito net]],Table_NFI[Mosquito net])</f>
        <v>0</v>
      </c>
      <c r="AC320" s="264">
        <f>IF(NFI_Expiration=1,IF($A320&lt;VLOOKUP(L$5,NFI,5,0),1,0)*Table_NFI[[#This Row],[Tarpaulin]],Table_NFI[[#This Row],[Tarpaulin]])</f>
        <v>0</v>
      </c>
      <c r="AD320" s="264">
        <f>IF(NFI_Expiration=1,IF($A320&lt;VLOOKUP(M$5,NFI,5,0),1,0)*Table_NFI[[#This Row],[Blanket]],Table_NFI[[#This Row],[Blanket]])</f>
        <v>0</v>
      </c>
      <c r="AE320" s="264">
        <f>IF(NFI_Expiration=1,IF($A320&lt;VLOOKUP(N$5,NFI,5,0),1,0)*Table_NFI[[#This Row],[Kitchen Set]],Table_NFI[Kitchen Set])</f>
        <v>0</v>
      </c>
      <c r="AF320" s="264">
        <f>IF(NFI_Expiration=1,IF($A320&lt;VLOOKUP(O$5,NFI,5,0),1,0)*Table_NFI[[#This Row],[Clothes Kit]],Table_NFI[Clothes Kit])</f>
        <v>0</v>
      </c>
      <c r="AG320" s="264">
        <f>IF(NFI_Expiration=1,IF($A320&lt;VLOOKUP(P$5,NFI,5,0),1,0)*Table_NFI[[#This Row],[Plastic Bucket]],Table_NFI[Plastic Bucket])</f>
        <v>0</v>
      </c>
      <c r="AH320" s="264">
        <f>IF(NFI_Expiration=1,IF($A320&lt;VLOOKUP(Q$5,NFI,5,0),1,0)*Table_NFI[[#This Row],[Plastic Mat]],Table_NFI[Plastic Mat])*IF(Table_NFI[[#This Row],[Distribution Date]]&gt;"2014-04-01",1,2.5)</f>
        <v>0</v>
      </c>
      <c r="AI320" s="264">
        <f>IF(NFI_Expiration=1,IF($A320&lt;VLOOKUP(R$5,NFI,5,0),1,0)*Table_NFI[[#This Row],[Winter Clothes Adult]],Table_NFI[Winter Clothes Adult])</f>
        <v>0</v>
      </c>
      <c r="AJ320" s="264">
        <f>IF(NFI_Expiration=1,IF($A320&lt;VLOOKUP(S$5,NFI,5,0),1,0)*Table_NFI[[#This Row],[Winter Clothes Children]],Table_NFI[Winter Clothes Children])</f>
        <v>0</v>
      </c>
      <c r="AK320" s="264">
        <f>IF(NFI_Expiration=1,IF($A320&lt;VLOOKUP(T$5,NFI,5,0),1,0)*Table_NFI[[#This Row],[Winter Items Other]],Table_NFI[Winter Items Other])</f>
        <v>0</v>
      </c>
      <c r="AL320" s="264">
        <f>IF(NFI_Expiration=1,IF($A320&lt;VLOOKUP(M$5,NFI,5,0),1,0)*Table_NFI[[#This Row],[Winter Blanket]],Table_NFI[[#This Row],[Winter Blanket]])</f>
        <v>0</v>
      </c>
      <c r="AM320" s="264">
        <f>IF(Table_NFI[[#This Row],[Winter Clothes Adult]]+Table_NFI[[#This Row],[Winter Clothes Children]]+Table_NFI[[#This Row],[Winter Items Other]]+Table_NFI[[#This Row],[Winter Blanket]]&gt;0,1,0)</f>
        <v>0</v>
      </c>
      <c r="AN320" s="296">
        <f>IF(NFI_Expiration=1,IF($A320&lt;VLOOKUP(V$5,NFI,5,0),1,0)*Table_NFI[[#This Row],[Jerry Can]],Table_NFI[Jerry Can])</f>
        <v>0</v>
      </c>
      <c r="AO320" s="296">
        <f>IF(NFI_Expiration=1,IF($A320&lt;VLOOKUP(V$5,NFI,5,0),1,0)*Table_NFI[[#This Row],[Shelter Tool kit]],Table_NFI[Shelter Tool kit])</f>
        <v>0</v>
      </c>
      <c r="AP320" s="296">
        <f>IF(NFI_Expiration=1,IF($A320&lt;VLOOKUP(V$5,NFI,5,0),1,0)*Table_NFI[[#This Row],[Tent]],Table_NFI[Tent])</f>
        <v>0</v>
      </c>
      <c r="AQ320" s="396" t="str">
        <f>IFERROR(VLOOKUP(Table_NFI[[#This Row],[Camp Name]],CL,2,0),"")</f>
        <v>MMR001CMP183</v>
      </c>
      <c r="AR320" s="702">
        <f ca="1">IF(Table_NFI[[#This Row],[Pcode]]="","",IF(OFFSET(CampList[Opening Date],MATCH(Table_NFI[[#This Row],[Pcode]],CampList[CP_Pcode],0)-1,0,1,1)&gt;=NFI_Monitor_Date,1,0))</f>
        <v>0</v>
      </c>
      <c r="AS320" s="396" t="str">
        <f>IFERROR(VLOOKUP(Table_NFI[[#This Row],[Camp Name]],CL,3,0),"")</f>
        <v>Open</v>
      </c>
      <c r="AT320" s="264" t="str">
        <f ca="1">IF(Table_NFI[[#This Row],[Pcode]]="","",OFFSET(CampList[Priority],MATCH(Table_NFI[[#This Row],[Pcode]],CampList[CP_Pcode],0)-1,0,1,1))</f>
        <v>P4</v>
      </c>
      <c r="AU320" s="263">
        <f>IFERROR(Table_NFI[[#This Row],[Kitchen Set]]/VLOOKUP(Table_NFI[[#This Row],[Camp Name]],CL,4,0),"")</f>
        <v>2.1804966686856452E-4</v>
      </c>
      <c r="AV320" s="390"/>
      <c r="AW320" s="392"/>
      <c r="AX320" s="399"/>
      <c r="AY320" s="399"/>
      <c r="AZ320" s="399"/>
      <c r="BA320" s="399"/>
      <c r="BB320" s="399"/>
      <c r="BC320" s="399"/>
      <c r="BD320" s="399"/>
      <c r="BE320" s="399"/>
      <c r="BF320" s="399"/>
      <c r="BG320" s="399"/>
      <c r="BH320" s="399"/>
      <c r="BI320" s="399"/>
      <c r="BJ320" s="399"/>
      <c r="BK320" s="399"/>
      <c r="BL320" s="399"/>
      <c r="BM320" s="399"/>
      <c r="BN320" s="399"/>
      <c r="BO320" s="399"/>
      <c r="BP320" s="399"/>
      <c r="BQ320" s="399"/>
      <c r="BR320" s="399"/>
      <c r="BS320" s="399"/>
      <c r="BT320" s="399"/>
      <c r="BU320" s="399"/>
      <c r="BV320" s="399"/>
      <c r="BW320" s="399"/>
      <c r="BX320" s="399"/>
      <c r="BY320" s="399"/>
      <c r="BZ320" s="399"/>
      <c r="CA320" s="399"/>
      <c r="CB320" s="399"/>
      <c r="CC320" s="399"/>
      <c r="CD320" s="399"/>
      <c r="CE320" s="399"/>
      <c r="CF320" s="399"/>
      <c r="CG320" s="399"/>
      <c r="CH320" s="399"/>
      <c r="CI320" s="399"/>
      <c r="CJ320" s="399"/>
      <c r="CK320" s="399"/>
      <c r="CL320" s="399"/>
      <c r="CM320" s="399"/>
      <c r="CN320" s="399"/>
      <c r="CO320" s="399"/>
      <c r="CP320" s="399"/>
      <c r="CQ320" s="399"/>
      <c r="CR320" s="399"/>
      <c r="CS320" s="399"/>
      <c r="CT320" s="399"/>
      <c r="CU320" s="399"/>
      <c r="CV320" s="399"/>
      <c r="CW320" s="399"/>
      <c r="CX320" s="399"/>
      <c r="CY320" s="399"/>
      <c r="CZ320" s="399"/>
      <c r="DA320" s="399"/>
      <c r="DB320" s="399"/>
      <c r="DC320" s="399"/>
      <c r="DD320" s="399"/>
      <c r="DE320" s="399"/>
      <c r="DF320" s="399"/>
      <c r="DG320" s="399"/>
      <c r="DH320" s="399"/>
      <c r="DI320" s="399"/>
      <c r="DJ320" s="399"/>
      <c r="DK320" s="399"/>
      <c r="DL320" s="399"/>
      <c r="DM320" s="399"/>
      <c r="DN320" s="399"/>
      <c r="DO320" s="399"/>
      <c r="DP320" s="399"/>
      <c r="DQ320" s="399"/>
    </row>
    <row r="321" spans="1:121" s="760" customFormat="1" ht="14.45" customHeight="1" x14ac:dyDescent="0.25">
      <c r="A321" s="266">
        <f t="shared" si="4"/>
        <v>30.433333333333334</v>
      </c>
      <c r="B321" s="389">
        <v>41943</v>
      </c>
      <c r="C321" s="390" t="s">
        <v>451</v>
      </c>
      <c r="D321" s="390"/>
      <c r="E321" s="390" t="s">
        <v>380</v>
      </c>
      <c r="F321" s="390" t="s">
        <v>526</v>
      </c>
      <c r="G321" s="390" t="s">
        <v>126</v>
      </c>
      <c r="H321" s="261"/>
      <c r="I321" s="261"/>
      <c r="J321" s="261">
        <v>38</v>
      </c>
      <c r="K321" s="261">
        <v>76</v>
      </c>
      <c r="L321" s="261">
        <v>38</v>
      </c>
      <c r="M321" s="261">
        <v>76</v>
      </c>
      <c r="N321" s="261">
        <v>38</v>
      </c>
      <c r="O321" s="261"/>
      <c r="P321" s="261">
        <v>38</v>
      </c>
      <c r="Q321" s="261">
        <v>190</v>
      </c>
      <c r="R321" s="261"/>
      <c r="S321" s="261"/>
      <c r="T321" s="261"/>
      <c r="U321" s="261"/>
      <c r="V321" s="762"/>
      <c r="W321" s="261"/>
      <c r="X321" s="261"/>
      <c r="Y321" s="264">
        <f>IF(NFI_Expiration=1,IF($A321&lt;VLOOKUP(H$5,NFI,5,0),1,0)*Table_NFI[[#This Row],[Hygiene Kit]],Table_NFI[Hygiene Kit])</f>
        <v>0</v>
      </c>
      <c r="Z321" s="264">
        <f>IF(NFI_Expiration=1,IF($A321&lt;VLOOKUP(I$5,NFI,5,0),1,0)*Table_NFI[[#This Row],[NFI Core Kit]],Table_NFI[NFI Core Kit])</f>
        <v>0</v>
      </c>
      <c r="AA321" s="264">
        <f>IF(NFI_Expiration=1,IF($A321&lt;VLOOKUP(J$5,NFI,5,0),1,0)*Table_NFI[[#This Row],[Sanitary Kit]],Table_NFI[Sanitary Kit])</f>
        <v>0</v>
      </c>
      <c r="AB321" s="264">
        <f>IF(NFI_Expiration=1,IF($A321&lt;VLOOKUP(K$5,NFI,5,0),1,0)*Table_NFI[[#This Row],[Mosquito net]],Table_NFI[Mosquito net])</f>
        <v>0</v>
      </c>
      <c r="AC321" s="264">
        <f>IF(NFI_Expiration=1,IF($A321&lt;VLOOKUP(L$5,NFI,5,0),1,0)*Table_NFI[[#This Row],[Tarpaulin]],Table_NFI[[#This Row],[Tarpaulin]])</f>
        <v>0</v>
      </c>
      <c r="AD321" s="264">
        <f>IF(NFI_Expiration=1,IF($A321&lt;VLOOKUP(M$5,NFI,5,0),1,0)*Table_NFI[[#This Row],[Blanket]],Table_NFI[[#This Row],[Blanket]])</f>
        <v>0</v>
      </c>
      <c r="AE321" s="264">
        <f>IF(NFI_Expiration=1,IF($A321&lt;VLOOKUP(N$5,NFI,5,0),1,0)*Table_NFI[[#This Row],[Kitchen Set]],Table_NFI[Kitchen Set])</f>
        <v>0</v>
      </c>
      <c r="AF321" s="264">
        <f>IF(NFI_Expiration=1,IF($A321&lt;VLOOKUP(O$5,NFI,5,0),1,0)*Table_NFI[[#This Row],[Clothes Kit]],Table_NFI[Clothes Kit])</f>
        <v>0</v>
      </c>
      <c r="AG321" s="264">
        <f>IF(NFI_Expiration=1,IF($A321&lt;VLOOKUP(P$5,NFI,5,0),1,0)*Table_NFI[[#This Row],[Plastic Bucket]],Table_NFI[Plastic Bucket])</f>
        <v>0</v>
      </c>
      <c r="AH321" s="264">
        <f>IF(NFI_Expiration=1,IF($A321&lt;VLOOKUP(Q$5,NFI,5,0),1,0)*Table_NFI[[#This Row],[Plastic Mat]],Table_NFI[Plastic Mat])*IF(Table_NFI[[#This Row],[Distribution Date]]&gt;"2014-04-01",1,2.5)</f>
        <v>0</v>
      </c>
      <c r="AI321" s="264">
        <f>IF(NFI_Expiration=1,IF($A321&lt;VLOOKUP(R$5,NFI,5,0),1,0)*Table_NFI[[#This Row],[Winter Clothes Adult]],Table_NFI[Winter Clothes Adult])</f>
        <v>0</v>
      </c>
      <c r="AJ321" s="264">
        <f>IF(NFI_Expiration=1,IF($A321&lt;VLOOKUP(S$5,NFI,5,0),1,0)*Table_NFI[[#This Row],[Winter Clothes Children]],Table_NFI[Winter Clothes Children])</f>
        <v>0</v>
      </c>
      <c r="AK321" s="264">
        <f>IF(NFI_Expiration=1,IF($A321&lt;VLOOKUP(T$5,NFI,5,0),1,0)*Table_NFI[[#This Row],[Winter Items Other]],Table_NFI[Winter Items Other])</f>
        <v>0</v>
      </c>
      <c r="AL321" s="264">
        <f>IF(NFI_Expiration=1,IF($A321&lt;VLOOKUP(M$5,NFI,5,0),1,0)*Table_NFI[[#This Row],[Winter Blanket]],Table_NFI[[#This Row],[Winter Blanket]])</f>
        <v>0</v>
      </c>
      <c r="AM321" s="264">
        <f>IF(Table_NFI[[#This Row],[Winter Clothes Adult]]+Table_NFI[[#This Row],[Winter Clothes Children]]+Table_NFI[[#This Row],[Winter Items Other]]+Table_NFI[[#This Row],[Winter Blanket]]&gt;0,1,0)</f>
        <v>0</v>
      </c>
      <c r="AN321" s="296">
        <f>IF(NFI_Expiration=1,IF($A321&lt;VLOOKUP(V$5,NFI,5,0),1,0)*Table_NFI[[#This Row],[Jerry Can]],Table_NFI[Jerry Can])</f>
        <v>0</v>
      </c>
      <c r="AO321" s="296">
        <f>IF(NFI_Expiration=1,IF($A321&lt;VLOOKUP(V$5,NFI,5,0),1,0)*Table_NFI[[#This Row],[Shelter Tool kit]],Table_NFI[Shelter Tool kit])</f>
        <v>0</v>
      </c>
      <c r="AP321" s="296">
        <f>IF(NFI_Expiration=1,IF($A321&lt;VLOOKUP(V$5,NFI,5,0),1,0)*Table_NFI[[#This Row],[Tent]],Table_NFI[Tent])</f>
        <v>0</v>
      </c>
      <c r="AQ321" s="396" t="str">
        <f>IFERROR(VLOOKUP(Table_NFI[[#This Row],[Camp Name]],CL,2,0),"")</f>
        <v>MMR001CMP184</v>
      </c>
      <c r="AR321" s="702">
        <f ca="1">IF(Table_NFI[[#This Row],[Pcode]]="","",IF(OFFSET(CampList[Opening Date],MATCH(Table_NFI[[#This Row],[Pcode]],CampList[CP_Pcode],0)-1,0,1,1)&gt;=NFI_Monitor_Date,1,0))</f>
        <v>0</v>
      </c>
      <c r="AS321" s="396" t="str">
        <f>IFERROR(VLOOKUP(Table_NFI[[#This Row],[Camp Name]],CL,3,0),"")</f>
        <v>Open</v>
      </c>
      <c r="AT321" s="264" t="str">
        <f ca="1">IF(Table_NFI[[#This Row],[Pcode]]="","",OFFSET(CampList[Priority],MATCH(Table_NFI[[#This Row],[Pcode]],CampList[CP_Pcode],0)-1,0,1,1))</f>
        <v>P4</v>
      </c>
      <c r="AU321" s="263">
        <f>IFERROR(Table_NFI[[#This Row],[Kitchen Set]]/VLOOKUP(Table_NFI[[#This Row],[Camp Name]],CL,4,0),"")</f>
        <v>9.2065414900060572E-4</v>
      </c>
      <c r="AV321" s="390"/>
      <c r="AW321" s="392"/>
      <c r="AX321" s="399"/>
      <c r="AY321" s="399"/>
      <c r="AZ321" s="399"/>
      <c r="BA321" s="399"/>
      <c r="BB321" s="399"/>
      <c r="BC321" s="399"/>
      <c r="BD321" s="399"/>
      <c r="BE321" s="399"/>
      <c r="BF321" s="399"/>
      <c r="BG321" s="399"/>
      <c r="BH321" s="399"/>
      <c r="BI321" s="399"/>
      <c r="BJ321" s="399"/>
      <c r="BK321" s="399"/>
      <c r="BL321" s="399"/>
      <c r="BM321" s="399"/>
      <c r="BN321" s="399"/>
      <c r="BO321" s="399"/>
      <c r="BP321" s="399"/>
      <c r="BQ321" s="399"/>
      <c r="BR321" s="399"/>
      <c r="BS321" s="399"/>
      <c r="BT321" s="399"/>
      <c r="BU321" s="399"/>
      <c r="BV321" s="399"/>
      <c r="BW321" s="399"/>
      <c r="BX321" s="399"/>
      <c r="BY321" s="399"/>
      <c r="BZ321" s="399"/>
      <c r="CA321" s="399"/>
      <c r="CB321" s="399"/>
      <c r="CC321" s="399"/>
      <c r="CD321" s="399"/>
      <c r="CE321" s="399"/>
      <c r="CF321" s="399"/>
      <c r="CG321" s="399"/>
      <c r="CH321" s="399"/>
      <c r="CI321" s="399"/>
      <c r="CJ321" s="399"/>
      <c r="CK321" s="399"/>
      <c r="CL321" s="399"/>
      <c r="CM321" s="399"/>
      <c r="CN321" s="399"/>
      <c r="CO321" s="399"/>
      <c r="CP321" s="399"/>
      <c r="CQ321" s="399"/>
      <c r="CR321" s="399"/>
      <c r="CS321" s="399"/>
      <c r="CT321" s="399"/>
      <c r="CU321" s="399"/>
      <c r="CV321" s="399"/>
      <c r="CW321" s="399"/>
      <c r="CX321" s="399"/>
      <c r="CY321" s="399"/>
      <c r="CZ321" s="399"/>
      <c r="DA321" s="399"/>
      <c r="DB321" s="399"/>
      <c r="DC321" s="399"/>
      <c r="DD321" s="399"/>
      <c r="DE321" s="399"/>
      <c r="DF321" s="399"/>
      <c r="DG321" s="399"/>
      <c r="DH321" s="399"/>
      <c r="DI321" s="399"/>
      <c r="DJ321" s="399"/>
      <c r="DK321" s="399"/>
      <c r="DL321" s="399"/>
      <c r="DM321" s="399"/>
      <c r="DN321" s="399"/>
      <c r="DO321" s="399"/>
      <c r="DP321" s="399"/>
      <c r="DQ321" s="399"/>
    </row>
    <row r="322" spans="1:121" s="760" customFormat="1" ht="15" customHeight="1" x14ac:dyDescent="0.25">
      <c r="A322" s="266">
        <f t="shared" si="4"/>
        <v>30.433333333333334</v>
      </c>
      <c r="B322" s="389">
        <v>41943</v>
      </c>
      <c r="C322" s="390" t="s">
        <v>451</v>
      </c>
      <c r="D322" s="390"/>
      <c r="E322" s="390" t="s">
        <v>380</v>
      </c>
      <c r="F322" s="390" t="s">
        <v>526</v>
      </c>
      <c r="G322" s="390" t="s">
        <v>140</v>
      </c>
      <c r="H322" s="261"/>
      <c r="I322" s="261"/>
      <c r="J322" s="261">
        <v>10</v>
      </c>
      <c r="K322" s="261">
        <v>20</v>
      </c>
      <c r="L322" s="261">
        <v>10</v>
      </c>
      <c r="M322" s="261">
        <v>20</v>
      </c>
      <c r="N322" s="261">
        <v>10</v>
      </c>
      <c r="O322" s="261"/>
      <c r="P322" s="261">
        <v>10</v>
      </c>
      <c r="Q322" s="261">
        <v>50</v>
      </c>
      <c r="R322" s="261"/>
      <c r="S322" s="261"/>
      <c r="T322" s="261"/>
      <c r="U322" s="261"/>
      <c r="V322" s="762"/>
      <c r="W322" s="261"/>
      <c r="X322" s="261"/>
      <c r="Y322" s="264">
        <f>IF(NFI_Expiration=1,IF($A322&lt;VLOOKUP(H$5,NFI,5,0),1,0)*Table_NFI[[#This Row],[Hygiene Kit]],Table_NFI[Hygiene Kit])</f>
        <v>0</v>
      </c>
      <c r="Z322" s="264">
        <f>IF(NFI_Expiration=1,IF($A322&lt;VLOOKUP(I$5,NFI,5,0),1,0)*Table_NFI[[#This Row],[NFI Core Kit]],Table_NFI[NFI Core Kit])</f>
        <v>0</v>
      </c>
      <c r="AA322" s="264">
        <f>IF(NFI_Expiration=1,IF($A322&lt;VLOOKUP(J$5,NFI,5,0),1,0)*Table_NFI[[#This Row],[Sanitary Kit]],Table_NFI[Sanitary Kit])</f>
        <v>0</v>
      </c>
      <c r="AB322" s="264">
        <f>IF(NFI_Expiration=1,IF($A322&lt;VLOOKUP(K$5,NFI,5,0),1,0)*Table_NFI[[#This Row],[Mosquito net]],Table_NFI[Mosquito net])</f>
        <v>0</v>
      </c>
      <c r="AC322" s="264">
        <f>IF(NFI_Expiration=1,IF($A322&lt;VLOOKUP(L$5,NFI,5,0),1,0)*Table_NFI[[#This Row],[Tarpaulin]],Table_NFI[[#This Row],[Tarpaulin]])</f>
        <v>0</v>
      </c>
      <c r="AD322" s="264">
        <f>IF(NFI_Expiration=1,IF($A322&lt;VLOOKUP(M$5,NFI,5,0),1,0)*Table_NFI[[#This Row],[Blanket]],Table_NFI[[#This Row],[Blanket]])</f>
        <v>0</v>
      </c>
      <c r="AE322" s="264">
        <f>IF(NFI_Expiration=1,IF($A322&lt;VLOOKUP(N$5,NFI,5,0),1,0)*Table_NFI[[#This Row],[Kitchen Set]],Table_NFI[Kitchen Set])</f>
        <v>0</v>
      </c>
      <c r="AF322" s="264">
        <f>IF(NFI_Expiration=1,IF($A322&lt;VLOOKUP(O$5,NFI,5,0),1,0)*Table_NFI[[#This Row],[Clothes Kit]],Table_NFI[Clothes Kit])</f>
        <v>0</v>
      </c>
      <c r="AG322" s="264">
        <f>IF(NFI_Expiration=1,IF($A322&lt;VLOOKUP(P$5,NFI,5,0),1,0)*Table_NFI[[#This Row],[Plastic Bucket]],Table_NFI[Plastic Bucket])</f>
        <v>0</v>
      </c>
      <c r="AH322" s="264">
        <f>IF(NFI_Expiration=1,IF($A322&lt;VLOOKUP(Q$5,NFI,5,0),1,0)*Table_NFI[[#This Row],[Plastic Mat]],Table_NFI[Plastic Mat])*IF(Table_NFI[[#This Row],[Distribution Date]]&gt;"2014-04-01",1,2.5)</f>
        <v>0</v>
      </c>
      <c r="AI322" s="264">
        <f>IF(NFI_Expiration=1,IF($A322&lt;VLOOKUP(R$5,NFI,5,0),1,0)*Table_NFI[[#This Row],[Winter Clothes Adult]],Table_NFI[Winter Clothes Adult])</f>
        <v>0</v>
      </c>
      <c r="AJ322" s="264">
        <f>IF(NFI_Expiration=1,IF($A322&lt;VLOOKUP(S$5,NFI,5,0),1,0)*Table_NFI[[#This Row],[Winter Clothes Children]],Table_NFI[Winter Clothes Children])</f>
        <v>0</v>
      </c>
      <c r="AK322" s="264">
        <f>IF(NFI_Expiration=1,IF($A322&lt;VLOOKUP(T$5,NFI,5,0),1,0)*Table_NFI[[#This Row],[Winter Items Other]],Table_NFI[Winter Items Other])</f>
        <v>0</v>
      </c>
      <c r="AL322" s="264">
        <f>IF(NFI_Expiration=1,IF($A322&lt;VLOOKUP(M$5,NFI,5,0),1,0)*Table_NFI[[#This Row],[Winter Blanket]],Table_NFI[[#This Row],[Winter Blanket]])</f>
        <v>0</v>
      </c>
      <c r="AM322" s="264">
        <f>IF(Table_NFI[[#This Row],[Winter Clothes Adult]]+Table_NFI[[#This Row],[Winter Clothes Children]]+Table_NFI[[#This Row],[Winter Items Other]]+Table_NFI[[#This Row],[Winter Blanket]]&gt;0,1,0)</f>
        <v>0</v>
      </c>
      <c r="AN322" s="296">
        <f>IF(NFI_Expiration=1,IF($A322&lt;VLOOKUP(V$5,NFI,5,0),1,0)*Table_NFI[[#This Row],[Jerry Can]],Table_NFI[Jerry Can])</f>
        <v>0</v>
      </c>
      <c r="AO322" s="296">
        <f>IF(NFI_Expiration=1,IF($A322&lt;VLOOKUP(V$5,NFI,5,0),1,0)*Table_NFI[[#This Row],[Shelter Tool kit]],Table_NFI[Shelter Tool kit])</f>
        <v>0</v>
      </c>
      <c r="AP322" s="296">
        <f>IF(NFI_Expiration=1,IF($A322&lt;VLOOKUP(V$5,NFI,5,0),1,0)*Table_NFI[[#This Row],[Tent]],Table_NFI[Tent])</f>
        <v>0</v>
      </c>
      <c r="AQ322" s="396" t="str">
        <f>IFERROR(VLOOKUP(Table_NFI[[#This Row],[Camp Name]],CL,2,0),"")</f>
        <v>MMR001CMP105</v>
      </c>
      <c r="AR322" s="702">
        <f ca="1">IF(Table_NFI[[#This Row],[Pcode]]="","",IF(OFFSET(CampList[Opening Date],MATCH(Table_NFI[[#This Row],[Pcode]],CampList[CP_Pcode],0)-1,0,1,1)&gt;=NFI_Monitor_Date,1,0))</f>
        <v>0</v>
      </c>
      <c r="AS322" s="396" t="str">
        <f>IFERROR(VLOOKUP(Table_NFI[[#This Row],[Camp Name]],CL,3,0),"")</f>
        <v>Open</v>
      </c>
      <c r="AT322" s="264" t="str">
        <f ca="1">IF(Table_NFI[[#This Row],[Pcode]]="","",OFFSET(CampList[Priority],MATCH(Table_NFI[[#This Row],[Pcode]],CampList[CP_Pcode],0)-1,0,1,1))</f>
        <v>P4</v>
      </c>
      <c r="AU322" s="263">
        <f>IFERROR(Table_NFI[[#This Row],[Kitchen Set]]/VLOOKUP(Table_NFI[[#This Row],[Camp Name]],CL,4,0),"")</f>
        <v>2.431788337143135E-4</v>
      </c>
      <c r="AV322" s="390"/>
      <c r="AW322" s="392"/>
      <c r="AX322" s="399"/>
      <c r="AY322" s="399"/>
      <c r="AZ322" s="399"/>
      <c r="BA322" s="399"/>
      <c r="BB322" s="399"/>
      <c r="BC322" s="399"/>
      <c r="BD322" s="399"/>
      <c r="BE322" s="399"/>
      <c r="BF322" s="399"/>
      <c r="BG322" s="399"/>
      <c r="BH322" s="399"/>
      <c r="BI322" s="399"/>
      <c r="BJ322" s="399"/>
      <c r="BK322" s="399"/>
      <c r="BL322" s="399"/>
      <c r="BM322" s="399"/>
      <c r="BN322" s="399"/>
      <c r="BO322" s="399"/>
      <c r="BP322" s="399"/>
      <c r="BQ322" s="399"/>
      <c r="BR322" s="399"/>
      <c r="BS322" s="399"/>
      <c r="BT322" s="399"/>
      <c r="BU322" s="399"/>
      <c r="BV322" s="399"/>
      <c r="BW322" s="399"/>
      <c r="BX322" s="399"/>
      <c r="BY322" s="399"/>
      <c r="BZ322" s="399"/>
      <c r="CA322" s="399"/>
      <c r="CB322" s="399"/>
      <c r="CC322" s="399"/>
      <c r="CD322" s="399"/>
      <c r="CE322" s="399"/>
      <c r="CF322" s="399"/>
      <c r="CG322" s="399"/>
      <c r="CH322" s="399"/>
      <c r="CI322" s="399"/>
      <c r="CJ322" s="399"/>
      <c r="CK322" s="399"/>
      <c r="CL322" s="399"/>
      <c r="CM322" s="399"/>
      <c r="CN322" s="399"/>
      <c r="CO322" s="399"/>
      <c r="CP322" s="399"/>
      <c r="CQ322" s="399"/>
      <c r="CR322" s="399"/>
      <c r="CS322" s="399"/>
      <c r="CT322" s="399"/>
      <c r="CU322" s="399"/>
      <c r="CV322" s="399"/>
      <c r="CW322" s="399"/>
      <c r="CX322" s="399"/>
      <c r="CY322" s="399"/>
      <c r="CZ322" s="399"/>
      <c r="DA322" s="399"/>
      <c r="DB322" s="399"/>
      <c r="DC322" s="399"/>
      <c r="DD322" s="399"/>
      <c r="DE322" s="399"/>
      <c r="DF322" s="399"/>
      <c r="DG322" s="399"/>
      <c r="DH322" s="399"/>
      <c r="DI322" s="399"/>
      <c r="DJ322" s="399"/>
      <c r="DK322" s="399"/>
      <c r="DL322" s="399"/>
      <c r="DM322" s="399"/>
      <c r="DN322" s="399"/>
      <c r="DO322" s="399"/>
      <c r="DP322" s="399"/>
      <c r="DQ322" s="399"/>
    </row>
    <row r="323" spans="1:121" s="760" customFormat="1" ht="15" customHeight="1" x14ac:dyDescent="0.25">
      <c r="A323" s="266">
        <f t="shared" si="4"/>
        <v>30.466666666666665</v>
      </c>
      <c r="B323" s="389">
        <v>41942</v>
      </c>
      <c r="C323" s="394" t="s">
        <v>451</v>
      </c>
      <c r="D323" s="394"/>
      <c r="E323" s="394" t="s">
        <v>380</v>
      </c>
      <c r="F323" s="394" t="s">
        <v>5</v>
      </c>
      <c r="G323" s="394" t="s">
        <v>511</v>
      </c>
      <c r="H323" s="261"/>
      <c r="I323" s="261"/>
      <c r="J323" s="261"/>
      <c r="K323" s="261"/>
      <c r="L323" s="261"/>
      <c r="M323" s="261"/>
      <c r="N323" s="261"/>
      <c r="O323" s="261"/>
      <c r="P323" s="261"/>
      <c r="Q323" s="261"/>
      <c r="R323" s="261"/>
      <c r="S323" s="261"/>
      <c r="T323" s="261"/>
      <c r="U323" s="261"/>
      <c r="V323" s="762"/>
      <c r="W323" s="762"/>
      <c r="X323" s="762"/>
      <c r="Y323" s="264">
        <f>IF(NFI_Expiration=1,IF($A323&lt;VLOOKUP(H$5,NFI,5,0),1,0)*Table_NFI[[#This Row],[Hygiene Kit]],Table_NFI[Hygiene Kit])</f>
        <v>0</v>
      </c>
      <c r="Z323" s="264">
        <f>IF(NFI_Expiration=1,IF($A323&lt;VLOOKUP(I$5,NFI,5,0),1,0)*Table_NFI[[#This Row],[NFI Core Kit]],Table_NFI[NFI Core Kit])</f>
        <v>0</v>
      </c>
      <c r="AA323" s="264">
        <f>IF(NFI_Expiration=1,IF($A323&lt;VLOOKUP(J$5,NFI,5,0),1,0)*Table_NFI[[#This Row],[Sanitary Kit]],Table_NFI[Sanitary Kit])</f>
        <v>0</v>
      </c>
      <c r="AB323" s="264">
        <f>IF(NFI_Expiration=1,IF($A323&lt;VLOOKUP(K$5,NFI,5,0),1,0)*Table_NFI[[#This Row],[Mosquito net]],Table_NFI[Mosquito net])</f>
        <v>0</v>
      </c>
      <c r="AC323" s="264">
        <f>IF(NFI_Expiration=1,IF($A323&lt;VLOOKUP(L$5,NFI,5,0),1,0)*Table_NFI[[#This Row],[Tarpaulin]],Table_NFI[[#This Row],[Tarpaulin]])</f>
        <v>0</v>
      </c>
      <c r="AD323" s="264">
        <f>IF(NFI_Expiration=1,IF($A323&lt;VLOOKUP(M$5,NFI,5,0),1,0)*Table_NFI[[#This Row],[Blanket]],Table_NFI[[#This Row],[Blanket]])</f>
        <v>0</v>
      </c>
      <c r="AE323" s="264">
        <f>IF(NFI_Expiration=1,IF($A323&lt;VLOOKUP(N$5,NFI,5,0),1,0)*Table_NFI[[#This Row],[Kitchen Set]],Table_NFI[Kitchen Set])</f>
        <v>0</v>
      </c>
      <c r="AF323" s="264">
        <f>IF(NFI_Expiration=1,IF($A323&lt;VLOOKUP(O$5,NFI,5,0),1,0)*Table_NFI[[#This Row],[Clothes Kit]],Table_NFI[Clothes Kit])</f>
        <v>0</v>
      </c>
      <c r="AG323" s="264">
        <f>IF(NFI_Expiration=1,IF($A323&lt;VLOOKUP(P$5,NFI,5,0),1,0)*Table_NFI[[#This Row],[Plastic Bucket]],Table_NFI[Plastic Bucket])</f>
        <v>0</v>
      </c>
      <c r="AH323" s="264">
        <f>IF(NFI_Expiration=1,IF($A323&lt;VLOOKUP(Q$5,NFI,5,0),1,0)*Table_NFI[[#This Row],[Plastic Mat]],Table_NFI[Plastic Mat])*IF(Table_NFI[[#This Row],[Distribution Date]]&gt;"2014-04-01",1,2.5)</f>
        <v>0</v>
      </c>
      <c r="AI323" s="264">
        <f>IF(NFI_Expiration=1,IF($A323&lt;VLOOKUP(R$5,NFI,5,0),1,0)*Table_NFI[[#This Row],[Winter Clothes Adult]],Table_NFI[Winter Clothes Adult])</f>
        <v>0</v>
      </c>
      <c r="AJ323" s="264">
        <f>IF(NFI_Expiration=1,IF($A323&lt;VLOOKUP(S$5,NFI,5,0),1,0)*Table_NFI[[#This Row],[Winter Clothes Children]],Table_NFI[Winter Clothes Children])</f>
        <v>0</v>
      </c>
      <c r="AK323" s="264">
        <f>IF(NFI_Expiration=1,IF($A323&lt;VLOOKUP(T$5,NFI,5,0),1,0)*Table_NFI[[#This Row],[Winter Items Other]],Table_NFI[Winter Items Other])</f>
        <v>0</v>
      </c>
      <c r="AL323" s="264">
        <f>IF(NFI_Expiration=1,IF($A323&lt;VLOOKUP(M$5,NFI,5,0),1,0)*Table_NFI[[#This Row],[Winter Blanket]],Table_NFI[[#This Row],[Winter Blanket]])</f>
        <v>0</v>
      </c>
      <c r="AM323" s="264">
        <f>IF(Table_NFI[[#This Row],[Winter Clothes Adult]]+Table_NFI[[#This Row],[Winter Clothes Children]]+Table_NFI[[#This Row],[Winter Items Other]]+Table_NFI[[#This Row],[Winter Blanket]]&gt;0,1,0)</f>
        <v>0</v>
      </c>
      <c r="AN323" s="296">
        <f>IF(NFI_Expiration=1,IF($A323&lt;VLOOKUP(V$5,NFI,5,0),1,0)*Table_NFI[[#This Row],[Jerry Can]],Table_NFI[Jerry Can])</f>
        <v>0</v>
      </c>
      <c r="AO323" s="296">
        <f>IF(NFI_Expiration=1,IF($A323&lt;VLOOKUP(V$5,NFI,5,0),1,0)*Table_NFI[[#This Row],[Shelter Tool kit]],Table_NFI[Shelter Tool kit])</f>
        <v>0</v>
      </c>
      <c r="AP323" s="296">
        <f>IF(NFI_Expiration=1,IF($A323&lt;VLOOKUP(V$5,NFI,5,0),1,0)*Table_NFI[[#This Row],[Tent]],Table_NFI[Tent])</f>
        <v>0</v>
      </c>
      <c r="AQ323" s="396" t="str">
        <f>IFERROR(VLOOKUP(Table_NFI[[#This Row],[Camp Name]],CL,2,0),"")</f>
        <v>MMR001CMP194</v>
      </c>
      <c r="AR323" s="702">
        <f ca="1">IF(Table_NFI[[#This Row],[Pcode]]="","",IF(OFFSET(CampList[Opening Date],MATCH(Table_NFI[[#This Row],[Pcode]],CampList[CP_Pcode],0)-1,0,1,1)&gt;=NFI_Monitor_Date,1,0))</f>
        <v>0</v>
      </c>
      <c r="AS323" s="396" t="str">
        <f>IFERROR(VLOOKUP(Table_NFI[[#This Row],[Camp Name]],CL,3,0),"")</f>
        <v>Open</v>
      </c>
      <c r="AT323" s="264" t="str">
        <f ca="1">IF(Table_NFI[[#This Row],[Pcode]]="","",OFFSET(CampList[Priority],MATCH(Table_NFI[[#This Row],[Pcode]],CampList[CP_Pcode],0)-1,0,1,1))</f>
        <v>P4</v>
      </c>
      <c r="AU323" s="263">
        <f>IFERROR(Table_NFI[[#This Row],[Kitchen Set]]/VLOOKUP(Table_NFI[[#This Row],[Camp Name]],CL,4,0),"")</f>
        <v>0</v>
      </c>
      <c r="AV323" s="394"/>
      <c r="AW323" s="397"/>
      <c r="AX323" s="399"/>
      <c r="AY323" s="399"/>
      <c r="AZ323" s="399"/>
      <c r="BA323" s="399"/>
      <c r="BB323" s="399"/>
      <c r="BC323" s="399"/>
      <c r="BD323" s="399"/>
      <c r="BE323" s="399"/>
      <c r="BF323" s="399"/>
      <c r="BG323" s="399"/>
      <c r="BH323" s="399"/>
      <c r="BI323" s="399"/>
      <c r="BJ323" s="399"/>
      <c r="BK323" s="399"/>
      <c r="BL323" s="399"/>
      <c r="BM323" s="399"/>
      <c r="BN323" s="399"/>
      <c r="BO323" s="399"/>
      <c r="BP323" s="399"/>
      <c r="BQ323" s="399"/>
      <c r="BR323" s="399"/>
      <c r="BS323" s="399"/>
      <c r="BT323" s="399"/>
      <c r="BU323" s="399"/>
      <c r="BV323" s="399"/>
      <c r="BW323" s="399"/>
      <c r="BX323" s="399"/>
      <c r="BY323" s="399"/>
      <c r="BZ323" s="399"/>
      <c r="CA323" s="399"/>
      <c r="CB323" s="399"/>
      <c r="CC323" s="399"/>
      <c r="CD323" s="399"/>
      <c r="CE323" s="399"/>
      <c r="CF323" s="399"/>
      <c r="CG323" s="399"/>
      <c r="CH323" s="399"/>
      <c r="CI323" s="399"/>
      <c r="CJ323" s="399"/>
      <c r="CK323" s="399"/>
      <c r="CL323" s="399"/>
      <c r="CM323" s="399"/>
      <c r="CN323" s="399"/>
      <c r="CO323" s="399"/>
      <c r="CP323" s="399"/>
      <c r="CQ323" s="399"/>
      <c r="CR323" s="399"/>
      <c r="CS323" s="399"/>
      <c r="CT323" s="399"/>
      <c r="CU323" s="399"/>
      <c r="CV323" s="399"/>
      <c r="CW323" s="399"/>
      <c r="CX323" s="399"/>
      <c r="CY323" s="399"/>
      <c r="CZ323" s="399"/>
      <c r="DA323" s="399"/>
      <c r="DB323" s="399"/>
      <c r="DC323" s="399"/>
      <c r="DD323" s="399"/>
      <c r="DE323" s="399"/>
      <c r="DF323" s="399"/>
      <c r="DG323" s="399"/>
      <c r="DH323" s="399"/>
      <c r="DI323" s="399"/>
      <c r="DJ323" s="399"/>
      <c r="DK323" s="399"/>
      <c r="DL323" s="399"/>
      <c r="DM323" s="399"/>
      <c r="DN323" s="399"/>
      <c r="DO323" s="399"/>
      <c r="DP323" s="399"/>
      <c r="DQ323" s="399"/>
    </row>
    <row r="324" spans="1:121" s="760" customFormat="1" ht="14.45" customHeight="1" x14ac:dyDescent="0.25">
      <c r="A324" s="266">
        <f t="shared" si="4"/>
        <v>30.633333333333333</v>
      </c>
      <c r="B324" s="389">
        <v>41937</v>
      </c>
      <c r="C324" s="390" t="s">
        <v>1089</v>
      </c>
      <c r="D324" s="390" t="s">
        <v>899</v>
      </c>
      <c r="E324" s="390" t="s">
        <v>380</v>
      </c>
      <c r="F324" s="390" t="s">
        <v>526</v>
      </c>
      <c r="G324" s="390" t="s">
        <v>62</v>
      </c>
      <c r="H324" s="261"/>
      <c r="I324" s="261"/>
      <c r="J324" s="261"/>
      <c r="K324" s="261"/>
      <c r="L324" s="261"/>
      <c r="M324" s="261"/>
      <c r="N324" s="261"/>
      <c r="O324" s="261"/>
      <c r="P324" s="261"/>
      <c r="Q324" s="261"/>
      <c r="R324" s="261">
        <v>229</v>
      </c>
      <c r="S324" s="261">
        <v>126</v>
      </c>
      <c r="T324" s="261"/>
      <c r="U324" s="261"/>
      <c r="V324" s="762"/>
      <c r="W324" s="261"/>
      <c r="X324" s="261"/>
      <c r="Y324" s="264">
        <f>IF(NFI_Expiration=1,IF($A324&lt;VLOOKUP(H$5,NFI,5,0),1,0)*Table_NFI[[#This Row],[Hygiene Kit]],Table_NFI[Hygiene Kit])</f>
        <v>0</v>
      </c>
      <c r="Z324" s="264">
        <f>IF(NFI_Expiration=1,IF($A324&lt;VLOOKUP(I$5,NFI,5,0),1,0)*Table_NFI[[#This Row],[NFI Core Kit]],Table_NFI[NFI Core Kit])</f>
        <v>0</v>
      </c>
      <c r="AA324" s="264">
        <f>IF(NFI_Expiration=1,IF($A324&lt;VLOOKUP(J$5,NFI,5,0),1,0)*Table_NFI[[#This Row],[Sanitary Kit]],Table_NFI[Sanitary Kit])</f>
        <v>0</v>
      </c>
      <c r="AB324" s="264">
        <f>IF(NFI_Expiration=1,IF($A324&lt;VLOOKUP(K$5,NFI,5,0),1,0)*Table_NFI[[#This Row],[Mosquito net]],Table_NFI[Mosquito net])</f>
        <v>0</v>
      </c>
      <c r="AC324" s="264">
        <f>IF(NFI_Expiration=1,IF($A324&lt;VLOOKUP(L$5,NFI,5,0),1,0)*Table_NFI[[#This Row],[Tarpaulin]],Table_NFI[[#This Row],[Tarpaulin]])</f>
        <v>0</v>
      </c>
      <c r="AD324" s="264">
        <f>IF(NFI_Expiration=1,IF($A324&lt;VLOOKUP(M$5,NFI,5,0),1,0)*Table_NFI[[#This Row],[Blanket]],Table_NFI[[#This Row],[Blanket]])</f>
        <v>0</v>
      </c>
      <c r="AE324" s="264">
        <f>IF(NFI_Expiration=1,IF($A324&lt;VLOOKUP(N$5,NFI,5,0),1,0)*Table_NFI[[#This Row],[Kitchen Set]],Table_NFI[Kitchen Set])</f>
        <v>0</v>
      </c>
      <c r="AF324" s="264">
        <f>IF(NFI_Expiration=1,IF($A324&lt;VLOOKUP(O$5,NFI,5,0),1,0)*Table_NFI[[#This Row],[Clothes Kit]],Table_NFI[Clothes Kit])</f>
        <v>0</v>
      </c>
      <c r="AG324" s="264">
        <f>IF(NFI_Expiration=1,IF($A324&lt;VLOOKUP(P$5,NFI,5,0),1,0)*Table_NFI[[#This Row],[Plastic Bucket]],Table_NFI[Plastic Bucket])</f>
        <v>0</v>
      </c>
      <c r="AH324" s="264">
        <f>IF(NFI_Expiration=1,IF($A324&lt;VLOOKUP(Q$5,NFI,5,0),1,0)*Table_NFI[[#This Row],[Plastic Mat]],Table_NFI[Plastic Mat])*IF(Table_NFI[[#This Row],[Distribution Date]]&gt;"2014-04-01",1,2.5)</f>
        <v>0</v>
      </c>
      <c r="AI324" s="264">
        <f>IF(NFI_Expiration=1,IF($A324&lt;VLOOKUP(R$5,NFI,5,0),1,0)*Table_NFI[[#This Row],[Winter Clothes Adult]],Table_NFI[Winter Clothes Adult])</f>
        <v>0</v>
      </c>
      <c r="AJ324" s="264">
        <f>IF(NFI_Expiration=1,IF($A324&lt;VLOOKUP(S$5,NFI,5,0),1,0)*Table_NFI[[#This Row],[Winter Clothes Children]],Table_NFI[Winter Clothes Children])</f>
        <v>0</v>
      </c>
      <c r="AK324" s="264">
        <f>IF(NFI_Expiration=1,IF($A324&lt;VLOOKUP(T$5,NFI,5,0),1,0)*Table_NFI[[#This Row],[Winter Items Other]],Table_NFI[Winter Items Other])</f>
        <v>0</v>
      </c>
      <c r="AL324" s="264">
        <f>IF(NFI_Expiration=1,IF($A324&lt;VLOOKUP(M$5,NFI,5,0),1,0)*Table_NFI[[#This Row],[Winter Blanket]],Table_NFI[[#This Row],[Winter Blanket]])</f>
        <v>0</v>
      </c>
      <c r="AM324" s="264">
        <f>IF(Table_NFI[[#This Row],[Winter Clothes Adult]]+Table_NFI[[#This Row],[Winter Clothes Children]]+Table_NFI[[#This Row],[Winter Items Other]]+Table_NFI[[#This Row],[Winter Blanket]]&gt;0,1,0)</f>
        <v>1</v>
      </c>
      <c r="AN324" s="296">
        <f>IF(NFI_Expiration=1,IF($A324&lt;VLOOKUP(V$5,NFI,5,0),1,0)*Table_NFI[[#This Row],[Jerry Can]],Table_NFI[Jerry Can])</f>
        <v>0</v>
      </c>
      <c r="AO324" s="296">
        <f>IF(NFI_Expiration=1,IF($A324&lt;VLOOKUP(V$5,NFI,5,0),1,0)*Table_NFI[[#This Row],[Shelter Tool kit]],Table_NFI[Shelter Tool kit])</f>
        <v>0</v>
      </c>
      <c r="AP324" s="296">
        <f>IF(NFI_Expiration=1,IF($A324&lt;VLOOKUP(V$5,NFI,5,0),1,0)*Table_NFI[[#This Row],[Tent]],Table_NFI[Tent])</f>
        <v>0</v>
      </c>
      <c r="AQ324" s="396" t="str">
        <f>IFERROR(VLOOKUP(Table_NFI[[#This Row],[Camp Name]],CL,2,0),"")</f>
        <v>MMR001CMP179</v>
      </c>
      <c r="AR324" s="702">
        <f ca="1">IF(Table_NFI[[#This Row],[Pcode]]="","",IF(OFFSET(CampList[Opening Date],MATCH(Table_NFI[[#This Row],[Pcode]],CampList[CP_Pcode],0)-1,0,1,1)&gt;=NFI_Monitor_Date,1,0))</f>
        <v>0</v>
      </c>
      <c r="AS324" s="396" t="str">
        <f>IFERROR(VLOOKUP(Table_NFI[[#This Row],[Camp Name]],CL,3,0),"")</f>
        <v>Closed</v>
      </c>
      <c r="AT324" s="264" t="str">
        <f ca="1">IF(Table_NFI[[#This Row],[Pcode]]="","",OFFSET(CampList[Priority],MATCH(Table_NFI[[#This Row],[Pcode]],CampList[CP_Pcode],0)-1,0,1,1))</f>
        <v>P4</v>
      </c>
      <c r="AU324" s="263">
        <f>IFERROR(Table_NFI[[#This Row],[Kitchen Set]]/VLOOKUP(Table_NFI[[#This Row],[Camp Name]],CL,4,0),"")</f>
        <v>0</v>
      </c>
      <c r="AV324" s="390"/>
      <c r="AW324" s="392"/>
      <c r="AX324" s="399"/>
      <c r="AY324" s="399"/>
      <c r="AZ324" s="399"/>
      <c r="BA324" s="399"/>
      <c r="BB324" s="399"/>
      <c r="BC324" s="399"/>
      <c r="BD324" s="399"/>
      <c r="BE324" s="399"/>
      <c r="BF324" s="399"/>
      <c r="BG324" s="399"/>
      <c r="BH324" s="399"/>
      <c r="BI324" s="399"/>
      <c r="BJ324" s="399"/>
      <c r="BK324" s="399"/>
      <c r="BL324" s="399"/>
      <c r="BM324" s="399"/>
      <c r="BN324" s="399"/>
      <c r="BO324" s="399"/>
      <c r="BP324" s="399"/>
      <c r="BQ324" s="399"/>
      <c r="BR324" s="399"/>
      <c r="BS324" s="399"/>
      <c r="BT324" s="399"/>
      <c r="BU324" s="399"/>
      <c r="BV324" s="399"/>
      <c r="BW324" s="399"/>
      <c r="BX324" s="399"/>
      <c r="BY324" s="399"/>
      <c r="BZ324" s="399"/>
      <c r="CA324" s="399"/>
      <c r="CB324" s="399"/>
      <c r="CC324" s="399"/>
      <c r="CD324" s="399"/>
      <c r="CE324" s="399"/>
      <c r="CF324" s="399"/>
      <c r="CG324" s="399"/>
      <c r="CH324" s="399"/>
      <c r="CI324" s="399"/>
      <c r="CJ324" s="399"/>
      <c r="CK324" s="399"/>
      <c r="CL324" s="399"/>
      <c r="CM324" s="399"/>
      <c r="CN324" s="399"/>
      <c r="CO324" s="399"/>
      <c r="CP324" s="399"/>
      <c r="CQ324" s="399"/>
      <c r="CR324" s="399"/>
      <c r="CS324" s="399"/>
      <c r="CT324" s="399"/>
      <c r="CU324" s="399"/>
      <c r="CV324" s="399"/>
      <c r="CW324" s="399"/>
      <c r="CX324" s="399"/>
      <c r="CY324" s="399"/>
      <c r="CZ324" s="399"/>
      <c r="DA324" s="399"/>
      <c r="DB324" s="399"/>
      <c r="DC324" s="399"/>
      <c r="DD324" s="399"/>
      <c r="DE324" s="399"/>
      <c r="DF324" s="399"/>
      <c r="DG324" s="399"/>
      <c r="DH324" s="399"/>
      <c r="DI324" s="399"/>
      <c r="DJ324" s="399"/>
      <c r="DK324" s="399"/>
      <c r="DL324" s="399"/>
      <c r="DM324" s="399"/>
      <c r="DN324" s="399"/>
      <c r="DO324" s="399"/>
      <c r="DP324" s="399"/>
      <c r="DQ324" s="399"/>
    </row>
    <row r="325" spans="1:121" s="760" customFormat="1" ht="15" customHeight="1" x14ac:dyDescent="0.25">
      <c r="A325" s="266">
        <f t="shared" si="4"/>
        <v>30.633333333333333</v>
      </c>
      <c r="B325" s="389">
        <v>41937</v>
      </c>
      <c r="C325" s="390" t="s">
        <v>1089</v>
      </c>
      <c r="D325" s="390" t="s">
        <v>899</v>
      </c>
      <c r="E325" s="390" t="s">
        <v>380</v>
      </c>
      <c r="F325" s="390" t="s">
        <v>526</v>
      </c>
      <c r="G325" s="390" t="s">
        <v>120</v>
      </c>
      <c r="H325" s="261"/>
      <c r="I325" s="261"/>
      <c r="J325" s="261"/>
      <c r="K325" s="261"/>
      <c r="L325" s="261"/>
      <c r="M325" s="261"/>
      <c r="N325" s="261"/>
      <c r="O325" s="261"/>
      <c r="P325" s="261"/>
      <c r="Q325" s="261"/>
      <c r="R325" s="261">
        <v>223</v>
      </c>
      <c r="S325" s="261">
        <v>96</v>
      </c>
      <c r="T325" s="261"/>
      <c r="U325" s="261"/>
      <c r="V325" s="762"/>
      <c r="W325" s="261"/>
      <c r="X325" s="261"/>
      <c r="Y325" s="264">
        <f>IF(NFI_Expiration=1,IF($A325&lt;VLOOKUP(H$5,NFI,5,0),1,0)*Table_NFI[[#This Row],[Hygiene Kit]],Table_NFI[Hygiene Kit])</f>
        <v>0</v>
      </c>
      <c r="Z325" s="264">
        <f>IF(NFI_Expiration=1,IF($A325&lt;VLOOKUP(I$5,NFI,5,0),1,0)*Table_NFI[[#This Row],[NFI Core Kit]],Table_NFI[NFI Core Kit])</f>
        <v>0</v>
      </c>
      <c r="AA325" s="264">
        <f>IF(NFI_Expiration=1,IF($A325&lt;VLOOKUP(J$5,NFI,5,0),1,0)*Table_NFI[[#This Row],[Sanitary Kit]],Table_NFI[Sanitary Kit])</f>
        <v>0</v>
      </c>
      <c r="AB325" s="264">
        <f>IF(NFI_Expiration=1,IF($A325&lt;VLOOKUP(K$5,NFI,5,0),1,0)*Table_NFI[[#This Row],[Mosquito net]],Table_NFI[Mosquito net])</f>
        <v>0</v>
      </c>
      <c r="AC325" s="264">
        <f>IF(NFI_Expiration=1,IF($A325&lt;VLOOKUP(L$5,NFI,5,0),1,0)*Table_NFI[[#This Row],[Tarpaulin]],Table_NFI[[#This Row],[Tarpaulin]])</f>
        <v>0</v>
      </c>
      <c r="AD325" s="264">
        <f>IF(NFI_Expiration=1,IF($A325&lt;VLOOKUP(M$5,NFI,5,0),1,0)*Table_NFI[[#This Row],[Blanket]],Table_NFI[[#This Row],[Blanket]])</f>
        <v>0</v>
      </c>
      <c r="AE325" s="264">
        <f>IF(NFI_Expiration=1,IF($A325&lt;VLOOKUP(N$5,NFI,5,0),1,0)*Table_NFI[[#This Row],[Kitchen Set]],Table_NFI[Kitchen Set])</f>
        <v>0</v>
      </c>
      <c r="AF325" s="264">
        <f>IF(NFI_Expiration=1,IF($A325&lt;VLOOKUP(O$5,NFI,5,0),1,0)*Table_NFI[[#This Row],[Clothes Kit]],Table_NFI[Clothes Kit])</f>
        <v>0</v>
      </c>
      <c r="AG325" s="264">
        <f>IF(NFI_Expiration=1,IF($A325&lt;VLOOKUP(P$5,NFI,5,0),1,0)*Table_NFI[[#This Row],[Plastic Bucket]],Table_NFI[Plastic Bucket])</f>
        <v>0</v>
      </c>
      <c r="AH325" s="264">
        <f>IF(NFI_Expiration=1,IF($A325&lt;VLOOKUP(Q$5,NFI,5,0),1,0)*Table_NFI[[#This Row],[Plastic Mat]],Table_NFI[Plastic Mat])*IF(Table_NFI[[#This Row],[Distribution Date]]&gt;"2014-04-01",1,2.5)</f>
        <v>0</v>
      </c>
      <c r="AI325" s="264">
        <f>IF(NFI_Expiration=1,IF($A325&lt;VLOOKUP(R$5,NFI,5,0),1,0)*Table_NFI[[#This Row],[Winter Clothes Adult]],Table_NFI[Winter Clothes Adult])</f>
        <v>0</v>
      </c>
      <c r="AJ325" s="264">
        <f>IF(NFI_Expiration=1,IF($A325&lt;VLOOKUP(S$5,NFI,5,0),1,0)*Table_NFI[[#This Row],[Winter Clothes Children]],Table_NFI[Winter Clothes Children])</f>
        <v>0</v>
      </c>
      <c r="AK325" s="264">
        <f>IF(NFI_Expiration=1,IF($A325&lt;VLOOKUP(T$5,NFI,5,0),1,0)*Table_NFI[[#This Row],[Winter Items Other]],Table_NFI[Winter Items Other])</f>
        <v>0</v>
      </c>
      <c r="AL325" s="264">
        <f>IF(NFI_Expiration=1,IF($A325&lt;VLOOKUP(M$5,NFI,5,0),1,0)*Table_NFI[[#This Row],[Winter Blanket]],Table_NFI[[#This Row],[Winter Blanket]])</f>
        <v>0</v>
      </c>
      <c r="AM325" s="264">
        <f>IF(Table_NFI[[#This Row],[Winter Clothes Adult]]+Table_NFI[[#This Row],[Winter Clothes Children]]+Table_NFI[[#This Row],[Winter Items Other]]+Table_NFI[[#This Row],[Winter Blanket]]&gt;0,1,0)</f>
        <v>1</v>
      </c>
      <c r="AN325" s="296">
        <f>IF(NFI_Expiration=1,IF($A325&lt;VLOOKUP(V$5,NFI,5,0),1,0)*Table_NFI[[#This Row],[Jerry Can]],Table_NFI[Jerry Can])</f>
        <v>0</v>
      </c>
      <c r="AO325" s="296">
        <f>IF(NFI_Expiration=1,IF($A325&lt;VLOOKUP(V$5,NFI,5,0),1,0)*Table_NFI[[#This Row],[Shelter Tool kit]],Table_NFI[Shelter Tool kit])</f>
        <v>0</v>
      </c>
      <c r="AP325" s="296">
        <f>IF(NFI_Expiration=1,IF($A325&lt;VLOOKUP(V$5,NFI,5,0),1,0)*Table_NFI[[#This Row],[Tent]],Table_NFI[Tent])</f>
        <v>0</v>
      </c>
      <c r="AQ325" s="396" t="str">
        <f>IFERROR(VLOOKUP(Table_NFI[[#This Row],[Camp Name]],CL,2,0),"")</f>
        <v>MMR001CMP168</v>
      </c>
      <c r="AR325" s="702">
        <f ca="1">IF(Table_NFI[[#This Row],[Pcode]]="","",IF(OFFSET(CampList[Opening Date],MATCH(Table_NFI[[#This Row],[Pcode]],CampList[CP_Pcode],0)-1,0,1,1)&gt;=NFI_Monitor_Date,1,0))</f>
        <v>0</v>
      </c>
      <c r="AS325" s="396" t="str">
        <f>IFERROR(VLOOKUP(Table_NFI[[#This Row],[Camp Name]],CL,3,0),"")</f>
        <v>Open</v>
      </c>
      <c r="AT325" s="264" t="str">
        <f ca="1">IF(Table_NFI[[#This Row],[Pcode]]="","",OFFSET(CampList[Priority],MATCH(Table_NFI[[#This Row],[Pcode]],CampList[CP_Pcode],0)-1,0,1,1))</f>
        <v>P4</v>
      </c>
      <c r="AU325" s="263">
        <f>IFERROR(Table_NFI[[#This Row],[Kitchen Set]]/VLOOKUP(Table_NFI[[#This Row],[Camp Name]],CL,4,0),"")</f>
        <v>0</v>
      </c>
      <c r="AV325" s="390"/>
      <c r="AW325" s="392"/>
      <c r="AX325" s="399"/>
      <c r="AY325" s="399"/>
      <c r="AZ325" s="399"/>
      <c r="BA325" s="399"/>
      <c r="BB325" s="399"/>
      <c r="BC325" s="399"/>
      <c r="BD325" s="399"/>
      <c r="BE325" s="399"/>
      <c r="BF325" s="399"/>
      <c r="BG325" s="399"/>
      <c r="BH325" s="399"/>
      <c r="BI325" s="399"/>
      <c r="BJ325" s="399"/>
      <c r="BK325" s="399"/>
      <c r="BL325" s="399"/>
      <c r="BM325" s="399"/>
      <c r="BN325" s="399"/>
      <c r="BO325" s="399"/>
      <c r="BP325" s="399"/>
      <c r="BQ325" s="399"/>
      <c r="BR325" s="399"/>
      <c r="BS325" s="399"/>
      <c r="BT325" s="399"/>
      <c r="BU325" s="399"/>
      <c r="BV325" s="399"/>
      <c r="BW325" s="399"/>
      <c r="BX325" s="399"/>
      <c r="BY325" s="399"/>
      <c r="BZ325" s="399"/>
      <c r="CA325" s="399"/>
      <c r="CB325" s="399"/>
      <c r="CC325" s="399"/>
      <c r="CD325" s="399"/>
      <c r="CE325" s="399"/>
      <c r="CF325" s="399"/>
      <c r="CG325" s="399"/>
      <c r="CH325" s="399"/>
      <c r="CI325" s="399"/>
      <c r="CJ325" s="399"/>
      <c r="CK325" s="399"/>
      <c r="CL325" s="399"/>
      <c r="CM325" s="399"/>
      <c r="CN325" s="399"/>
      <c r="CO325" s="399"/>
      <c r="CP325" s="399"/>
      <c r="CQ325" s="399"/>
      <c r="CR325" s="399"/>
      <c r="CS325" s="399"/>
      <c r="CT325" s="399"/>
      <c r="CU325" s="399"/>
      <c r="CV325" s="399"/>
      <c r="CW325" s="399"/>
      <c r="CX325" s="399"/>
      <c r="CY325" s="399"/>
      <c r="CZ325" s="399"/>
      <c r="DA325" s="399"/>
      <c r="DB325" s="399"/>
      <c r="DC325" s="399"/>
      <c r="DD325" s="399"/>
      <c r="DE325" s="399"/>
      <c r="DF325" s="399"/>
      <c r="DG325" s="399"/>
      <c r="DH325" s="399"/>
      <c r="DI325" s="399"/>
      <c r="DJ325" s="399"/>
      <c r="DK325" s="399"/>
      <c r="DL325" s="399"/>
      <c r="DM325" s="399"/>
      <c r="DN325" s="399"/>
      <c r="DO325" s="399"/>
      <c r="DP325" s="399"/>
      <c r="DQ325" s="399"/>
    </row>
    <row r="326" spans="1:121" s="760" customFormat="1" ht="14.45" customHeight="1" x14ac:dyDescent="0.25">
      <c r="A326" s="266">
        <f t="shared" ref="A326:A389" si="5">IF(ISBLANK(B326),"",(Report_Date-B326)/30)</f>
        <v>30.633333333333333</v>
      </c>
      <c r="B326" s="389">
        <v>41937</v>
      </c>
      <c r="C326" s="390" t="s">
        <v>1089</v>
      </c>
      <c r="D326" s="390" t="s">
        <v>899</v>
      </c>
      <c r="E326" s="390" t="s">
        <v>380</v>
      </c>
      <c r="F326" s="390" t="s">
        <v>526</v>
      </c>
      <c r="G326" s="390" t="s">
        <v>41</v>
      </c>
      <c r="H326" s="261"/>
      <c r="I326" s="261"/>
      <c r="J326" s="261"/>
      <c r="K326" s="261"/>
      <c r="L326" s="261"/>
      <c r="M326" s="261"/>
      <c r="N326" s="261"/>
      <c r="O326" s="261"/>
      <c r="P326" s="261"/>
      <c r="Q326" s="261"/>
      <c r="R326" s="261">
        <v>232</v>
      </c>
      <c r="S326" s="261">
        <v>105</v>
      </c>
      <c r="T326" s="261"/>
      <c r="U326" s="261"/>
      <c r="V326" s="762"/>
      <c r="W326" s="261"/>
      <c r="X326" s="261"/>
      <c r="Y326" s="264">
        <f>IF(NFI_Expiration=1,IF($A326&lt;VLOOKUP(H$5,NFI,5,0),1,0)*Table_NFI[[#This Row],[Hygiene Kit]],Table_NFI[Hygiene Kit])</f>
        <v>0</v>
      </c>
      <c r="Z326" s="264">
        <f>IF(NFI_Expiration=1,IF($A326&lt;VLOOKUP(I$5,NFI,5,0),1,0)*Table_NFI[[#This Row],[NFI Core Kit]],Table_NFI[NFI Core Kit])</f>
        <v>0</v>
      </c>
      <c r="AA326" s="264">
        <f>IF(NFI_Expiration=1,IF($A326&lt;VLOOKUP(J$5,NFI,5,0),1,0)*Table_NFI[[#This Row],[Sanitary Kit]],Table_NFI[Sanitary Kit])</f>
        <v>0</v>
      </c>
      <c r="AB326" s="264">
        <f>IF(NFI_Expiration=1,IF($A326&lt;VLOOKUP(K$5,NFI,5,0),1,0)*Table_NFI[[#This Row],[Mosquito net]],Table_NFI[Mosquito net])</f>
        <v>0</v>
      </c>
      <c r="AC326" s="264">
        <f>IF(NFI_Expiration=1,IF($A326&lt;VLOOKUP(L$5,NFI,5,0),1,0)*Table_NFI[[#This Row],[Tarpaulin]],Table_NFI[[#This Row],[Tarpaulin]])</f>
        <v>0</v>
      </c>
      <c r="AD326" s="264">
        <f>IF(NFI_Expiration=1,IF($A326&lt;VLOOKUP(M$5,NFI,5,0),1,0)*Table_NFI[[#This Row],[Blanket]],Table_NFI[[#This Row],[Blanket]])</f>
        <v>0</v>
      </c>
      <c r="AE326" s="264">
        <f>IF(NFI_Expiration=1,IF($A326&lt;VLOOKUP(N$5,NFI,5,0),1,0)*Table_NFI[[#This Row],[Kitchen Set]],Table_NFI[Kitchen Set])</f>
        <v>0</v>
      </c>
      <c r="AF326" s="264">
        <f>IF(NFI_Expiration=1,IF($A326&lt;VLOOKUP(O$5,NFI,5,0),1,0)*Table_NFI[[#This Row],[Clothes Kit]],Table_NFI[Clothes Kit])</f>
        <v>0</v>
      </c>
      <c r="AG326" s="264">
        <f>IF(NFI_Expiration=1,IF($A326&lt;VLOOKUP(P$5,NFI,5,0),1,0)*Table_NFI[[#This Row],[Plastic Bucket]],Table_NFI[Plastic Bucket])</f>
        <v>0</v>
      </c>
      <c r="AH326" s="264">
        <f>IF(NFI_Expiration=1,IF($A326&lt;VLOOKUP(Q$5,NFI,5,0),1,0)*Table_NFI[[#This Row],[Plastic Mat]],Table_NFI[Plastic Mat])*IF(Table_NFI[[#This Row],[Distribution Date]]&gt;"2014-04-01",1,2.5)</f>
        <v>0</v>
      </c>
      <c r="AI326" s="264">
        <f>IF(NFI_Expiration=1,IF($A326&lt;VLOOKUP(R$5,NFI,5,0),1,0)*Table_NFI[[#This Row],[Winter Clothes Adult]],Table_NFI[Winter Clothes Adult])</f>
        <v>0</v>
      </c>
      <c r="AJ326" s="264">
        <f>IF(NFI_Expiration=1,IF($A326&lt;VLOOKUP(S$5,NFI,5,0),1,0)*Table_NFI[[#This Row],[Winter Clothes Children]],Table_NFI[Winter Clothes Children])</f>
        <v>0</v>
      </c>
      <c r="AK326" s="264">
        <f>IF(NFI_Expiration=1,IF($A326&lt;VLOOKUP(T$5,NFI,5,0),1,0)*Table_NFI[[#This Row],[Winter Items Other]],Table_NFI[Winter Items Other])</f>
        <v>0</v>
      </c>
      <c r="AL326" s="264">
        <f>IF(NFI_Expiration=1,IF($A326&lt;VLOOKUP(M$5,NFI,5,0),1,0)*Table_NFI[[#This Row],[Winter Blanket]],Table_NFI[[#This Row],[Winter Blanket]])</f>
        <v>0</v>
      </c>
      <c r="AM326" s="264">
        <f>IF(Table_NFI[[#This Row],[Winter Clothes Adult]]+Table_NFI[[#This Row],[Winter Clothes Children]]+Table_NFI[[#This Row],[Winter Items Other]]+Table_NFI[[#This Row],[Winter Blanket]]&gt;0,1,0)</f>
        <v>1</v>
      </c>
      <c r="AN326" s="296">
        <f>IF(NFI_Expiration=1,IF($A326&lt;VLOOKUP(V$5,NFI,5,0),1,0)*Table_NFI[[#This Row],[Jerry Can]],Table_NFI[Jerry Can])</f>
        <v>0</v>
      </c>
      <c r="AO326" s="296">
        <f>IF(NFI_Expiration=1,IF($A326&lt;VLOOKUP(V$5,NFI,5,0),1,0)*Table_NFI[[#This Row],[Shelter Tool kit]],Table_NFI[Shelter Tool kit])</f>
        <v>0</v>
      </c>
      <c r="AP326" s="296">
        <f>IF(NFI_Expiration=1,IF($A326&lt;VLOOKUP(V$5,NFI,5,0),1,0)*Table_NFI[[#This Row],[Tent]],Table_NFI[Tent])</f>
        <v>0</v>
      </c>
      <c r="AQ326" s="396" t="str">
        <f>IFERROR(VLOOKUP(Table_NFI[[#This Row],[Camp Name]],CL,2,0),"")</f>
        <v>MMR001CMP176</v>
      </c>
      <c r="AR326" s="702">
        <f ca="1">IF(Table_NFI[[#This Row],[Pcode]]="","",IF(OFFSET(CampList[Opening Date],MATCH(Table_NFI[[#This Row],[Pcode]],CampList[CP_Pcode],0)-1,0,1,1)&gt;=NFI_Monitor_Date,1,0))</f>
        <v>0</v>
      </c>
      <c r="AS326" s="396" t="str">
        <f>IFERROR(VLOOKUP(Table_NFI[[#This Row],[Camp Name]],CL,3,0),"")</f>
        <v>Open</v>
      </c>
      <c r="AT326" s="264" t="str">
        <f ca="1">IF(Table_NFI[[#This Row],[Pcode]]="","",OFFSET(CampList[Priority],MATCH(Table_NFI[[#This Row],[Pcode]],CampList[CP_Pcode],0)-1,0,1,1))</f>
        <v>P4</v>
      </c>
      <c r="AU326" s="263">
        <f>IFERROR(Table_NFI[[#This Row],[Kitchen Set]]/VLOOKUP(Table_NFI[[#This Row],[Camp Name]],CL,4,0),"")</f>
        <v>0</v>
      </c>
      <c r="AV326" s="390"/>
      <c r="AW326" s="392"/>
      <c r="AX326" s="399"/>
      <c r="AY326" s="399"/>
      <c r="AZ326" s="399"/>
      <c r="BA326" s="399"/>
      <c r="BB326" s="399"/>
      <c r="BC326" s="399"/>
      <c r="BD326" s="399"/>
      <c r="BE326" s="399"/>
      <c r="BF326" s="399"/>
      <c r="BG326" s="399"/>
      <c r="BH326" s="399"/>
      <c r="BI326" s="399"/>
      <c r="BJ326" s="399"/>
      <c r="BK326" s="399"/>
      <c r="BL326" s="399"/>
      <c r="BM326" s="399"/>
      <c r="BN326" s="399"/>
      <c r="BO326" s="399"/>
      <c r="BP326" s="399"/>
      <c r="BQ326" s="399"/>
      <c r="BR326" s="399"/>
      <c r="BS326" s="399"/>
      <c r="BT326" s="399"/>
      <c r="BU326" s="399"/>
      <c r="BV326" s="399"/>
      <c r="BW326" s="399"/>
      <c r="BX326" s="399"/>
      <c r="BY326" s="399"/>
      <c r="BZ326" s="399"/>
      <c r="CA326" s="399"/>
      <c r="CB326" s="399"/>
      <c r="CC326" s="399"/>
      <c r="CD326" s="399"/>
      <c r="CE326" s="399"/>
      <c r="CF326" s="399"/>
      <c r="CG326" s="399"/>
      <c r="CH326" s="399"/>
      <c r="CI326" s="399"/>
      <c r="CJ326" s="399"/>
      <c r="CK326" s="399"/>
      <c r="CL326" s="399"/>
      <c r="CM326" s="399"/>
      <c r="CN326" s="399"/>
      <c r="CO326" s="399"/>
      <c r="CP326" s="399"/>
      <c r="CQ326" s="399"/>
      <c r="CR326" s="399"/>
      <c r="CS326" s="399"/>
      <c r="CT326" s="399"/>
      <c r="CU326" s="399"/>
      <c r="CV326" s="399"/>
      <c r="CW326" s="399"/>
      <c r="CX326" s="399"/>
      <c r="CY326" s="399"/>
      <c r="CZ326" s="399"/>
      <c r="DA326" s="399"/>
      <c r="DB326" s="399"/>
      <c r="DC326" s="399"/>
      <c r="DD326" s="399"/>
      <c r="DE326" s="399"/>
      <c r="DF326" s="399"/>
      <c r="DG326" s="399"/>
      <c r="DH326" s="399"/>
      <c r="DI326" s="399"/>
      <c r="DJ326" s="399"/>
      <c r="DK326" s="399"/>
      <c r="DL326" s="399"/>
      <c r="DM326" s="399"/>
      <c r="DN326" s="399"/>
      <c r="DO326" s="399"/>
      <c r="DP326" s="399"/>
      <c r="DQ326" s="399"/>
    </row>
    <row r="327" spans="1:121" s="760" customFormat="1" ht="14.45" customHeight="1" x14ac:dyDescent="0.25">
      <c r="A327" s="266">
        <f t="shared" si="5"/>
        <v>30.633333333333333</v>
      </c>
      <c r="B327" s="389">
        <v>41937</v>
      </c>
      <c r="C327" s="390" t="s">
        <v>1089</v>
      </c>
      <c r="D327" s="390" t="s">
        <v>899</v>
      </c>
      <c r="E327" s="390" t="s">
        <v>380</v>
      </c>
      <c r="F327" s="390" t="s">
        <v>526</v>
      </c>
      <c r="G327" s="390" t="s">
        <v>43</v>
      </c>
      <c r="H327" s="261"/>
      <c r="I327" s="261"/>
      <c r="J327" s="261"/>
      <c r="K327" s="261"/>
      <c r="L327" s="261"/>
      <c r="M327" s="261"/>
      <c r="N327" s="261"/>
      <c r="O327" s="261"/>
      <c r="P327" s="261"/>
      <c r="Q327" s="261"/>
      <c r="R327" s="261">
        <v>55</v>
      </c>
      <c r="S327" s="261">
        <v>27</v>
      </c>
      <c r="T327" s="261"/>
      <c r="U327" s="261"/>
      <c r="V327" s="762"/>
      <c r="W327" s="261"/>
      <c r="X327" s="261"/>
      <c r="Y327" s="264">
        <f>IF(NFI_Expiration=1,IF($A327&lt;VLOOKUP(H$5,NFI,5,0),1,0)*Table_NFI[[#This Row],[Hygiene Kit]],Table_NFI[Hygiene Kit])</f>
        <v>0</v>
      </c>
      <c r="Z327" s="264">
        <f>IF(NFI_Expiration=1,IF($A327&lt;VLOOKUP(I$5,NFI,5,0),1,0)*Table_NFI[[#This Row],[NFI Core Kit]],Table_NFI[NFI Core Kit])</f>
        <v>0</v>
      </c>
      <c r="AA327" s="264">
        <f>IF(NFI_Expiration=1,IF($A327&lt;VLOOKUP(J$5,NFI,5,0),1,0)*Table_NFI[[#This Row],[Sanitary Kit]],Table_NFI[Sanitary Kit])</f>
        <v>0</v>
      </c>
      <c r="AB327" s="264">
        <f>IF(NFI_Expiration=1,IF($A327&lt;VLOOKUP(K$5,NFI,5,0),1,0)*Table_NFI[[#This Row],[Mosquito net]],Table_NFI[Mosquito net])</f>
        <v>0</v>
      </c>
      <c r="AC327" s="264">
        <f>IF(NFI_Expiration=1,IF($A327&lt;VLOOKUP(L$5,NFI,5,0),1,0)*Table_NFI[[#This Row],[Tarpaulin]],Table_NFI[[#This Row],[Tarpaulin]])</f>
        <v>0</v>
      </c>
      <c r="AD327" s="264">
        <f>IF(NFI_Expiration=1,IF($A327&lt;VLOOKUP(M$5,NFI,5,0),1,0)*Table_NFI[[#This Row],[Blanket]],Table_NFI[[#This Row],[Blanket]])</f>
        <v>0</v>
      </c>
      <c r="AE327" s="264">
        <f>IF(NFI_Expiration=1,IF($A327&lt;VLOOKUP(N$5,NFI,5,0),1,0)*Table_NFI[[#This Row],[Kitchen Set]],Table_NFI[Kitchen Set])</f>
        <v>0</v>
      </c>
      <c r="AF327" s="264">
        <f>IF(NFI_Expiration=1,IF($A327&lt;VLOOKUP(O$5,NFI,5,0),1,0)*Table_NFI[[#This Row],[Clothes Kit]],Table_NFI[Clothes Kit])</f>
        <v>0</v>
      </c>
      <c r="AG327" s="264">
        <f>IF(NFI_Expiration=1,IF($A327&lt;VLOOKUP(P$5,NFI,5,0),1,0)*Table_NFI[[#This Row],[Plastic Bucket]],Table_NFI[Plastic Bucket])</f>
        <v>0</v>
      </c>
      <c r="AH327" s="264">
        <f>IF(NFI_Expiration=1,IF($A327&lt;VLOOKUP(Q$5,NFI,5,0),1,0)*Table_NFI[[#This Row],[Plastic Mat]],Table_NFI[Plastic Mat])*IF(Table_NFI[[#This Row],[Distribution Date]]&gt;"2014-04-01",1,2.5)</f>
        <v>0</v>
      </c>
      <c r="AI327" s="264">
        <f>IF(NFI_Expiration=1,IF($A327&lt;VLOOKUP(R$5,NFI,5,0),1,0)*Table_NFI[[#This Row],[Winter Clothes Adult]],Table_NFI[Winter Clothes Adult])</f>
        <v>0</v>
      </c>
      <c r="AJ327" s="264">
        <f>IF(NFI_Expiration=1,IF($A327&lt;VLOOKUP(S$5,NFI,5,0),1,0)*Table_NFI[[#This Row],[Winter Clothes Children]],Table_NFI[Winter Clothes Children])</f>
        <v>0</v>
      </c>
      <c r="AK327" s="264">
        <f>IF(NFI_Expiration=1,IF($A327&lt;VLOOKUP(T$5,NFI,5,0),1,0)*Table_NFI[[#This Row],[Winter Items Other]],Table_NFI[Winter Items Other])</f>
        <v>0</v>
      </c>
      <c r="AL327" s="264">
        <f>IF(NFI_Expiration=1,IF($A327&lt;VLOOKUP(M$5,NFI,5,0),1,0)*Table_NFI[[#This Row],[Winter Blanket]],Table_NFI[[#This Row],[Winter Blanket]])</f>
        <v>0</v>
      </c>
      <c r="AM327" s="264">
        <f>IF(Table_NFI[[#This Row],[Winter Clothes Adult]]+Table_NFI[[#This Row],[Winter Clothes Children]]+Table_NFI[[#This Row],[Winter Items Other]]+Table_NFI[[#This Row],[Winter Blanket]]&gt;0,1,0)</f>
        <v>1</v>
      </c>
      <c r="AN327" s="296">
        <f>IF(NFI_Expiration=1,IF($A327&lt;VLOOKUP(V$5,NFI,5,0),1,0)*Table_NFI[[#This Row],[Jerry Can]],Table_NFI[Jerry Can])</f>
        <v>0</v>
      </c>
      <c r="AO327" s="296">
        <f>IF(NFI_Expiration=1,IF($A327&lt;VLOOKUP(V$5,NFI,5,0),1,0)*Table_NFI[[#This Row],[Shelter Tool kit]],Table_NFI[Shelter Tool kit])</f>
        <v>0</v>
      </c>
      <c r="AP327" s="296">
        <f>IF(NFI_Expiration=1,IF($A327&lt;VLOOKUP(V$5,NFI,5,0),1,0)*Table_NFI[[#This Row],[Tent]],Table_NFI[Tent])</f>
        <v>0</v>
      </c>
      <c r="AQ327" s="396" t="str">
        <f>IFERROR(VLOOKUP(Table_NFI[[#This Row],[Camp Name]],CL,2,0),"")</f>
        <v>MMR001CMP190</v>
      </c>
      <c r="AR327" s="702">
        <f ca="1">IF(Table_NFI[[#This Row],[Pcode]]="","",IF(OFFSET(CampList[Opening Date],MATCH(Table_NFI[[#This Row],[Pcode]],CampList[CP_Pcode],0)-1,0,1,1)&gt;=NFI_Monitor_Date,1,0))</f>
        <v>0</v>
      </c>
      <c r="AS327" s="396" t="str">
        <f>IFERROR(VLOOKUP(Table_NFI[[#This Row],[Camp Name]],CL,3,0),"")</f>
        <v>Open</v>
      </c>
      <c r="AT327" s="264" t="str">
        <f ca="1">IF(Table_NFI[[#This Row],[Pcode]]="","",OFFSET(CampList[Priority],MATCH(Table_NFI[[#This Row],[Pcode]],CampList[CP_Pcode],0)-1,0,1,1))</f>
        <v>P4</v>
      </c>
      <c r="AU327" s="263">
        <f>IFERROR(Table_NFI[[#This Row],[Kitchen Set]]/VLOOKUP(Table_NFI[[#This Row],[Camp Name]],CL,4,0),"")</f>
        <v>0</v>
      </c>
      <c r="AV327" s="390"/>
      <c r="AW327" s="392"/>
      <c r="AX327" s="399"/>
      <c r="AY327" s="399"/>
      <c r="AZ327" s="399"/>
      <c r="BA327" s="399"/>
      <c r="BB327" s="399"/>
      <c r="BC327" s="399"/>
      <c r="BD327" s="399"/>
      <c r="BE327" s="399"/>
      <c r="BF327" s="399"/>
      <c r="BG327" s="399"/>
      <c r="BH327" s="399"/>
      <c r="BI327" s="399"/>
      <c r="BJ327" s="399"/>
      <c r="BK327" s="399"/>
      <c r="BL327" s="399"/>
      <c r="BM327" s="399"/>
      <c r="BN327" s="399"/>
      <c r="BO327" s="399"/>
      <c r="BP327" s="399"/>
      <c r="BQ327" s="399"/>
      <c r="BR327" s="399"/>
      <c r="BS327" s="399"/>
      <c r="BT327" s="399"/>
      <c r="BU327" s="399"/>
      <c r="BV327" s="399"/>
      <c r="BW327" s="399"/>
      <c r="BX327" s="399"/>
      <c r="BY327" s="399"/>
      <c r="BZ327" s="399"/>
      <c r="CA327" s="399"/>
      <c r="CB327" s="399"/>
      <c r="CC327" s="399"/>
      <c r="CD327" s="399"/>
      <c r="CE327" s="399"/>
      <c r="CF327" s="399"/>
      <c r="CG327" s="399"/>
      <c r="CH327" s="399"/>
      <c r="CI327" s="399"/>
      <c r="CJ327" s="399"/>
      <c r="CK327" s="399"/>
      <c r="CL327" s="399"/>
      <c r="CM327" s="399"/>
      <c r="CN327" s="399"/>
      <c r="CO327" s="399"/>
      <c r="CP327" s="399"/>
      <c r="CQ327" s="399"/>
      <c r="CR327" s="399"/>
      <c r="CS327" s="399"/>
      <c r="CT327" s="399"/>
      <c r="CU327" s="399"/>
      <c r="CV327" s="399"/>
      <c r="CW327" s="399"/>
      <c r="CX327" s="399"/>
      <c r="CY327" s="399"/>
      <c r="CZ327" s="399"/>
      <c r="DA327" s="399"/>
      <c r="DB327" s="399"/>
      <c r="DC327" s="399"/>
      <c r="DD327" s="399"/>
      <c r="DE327" s="399"/>
      <c r="DF327" s="399"/>
      <c r="DG327" s="399"/>
      <c r="DH327" s="399"/>
      <c r="DI327" s="399"/>
      <c r="DJ327" s="399"/>
      <c r="DK327" s="399"/>
      <c r="DL327" s="399"/>
      <c r="DM327" s="399"/>
      <c r="DN327" s="399"/>
      <c r="DO327" s="399"/>
      <c r="DP327" s="399"/>
      <c r="DQ327" s="399"/>
    </row>
    <row r="328" spans="1:121" s="760" customFormat="1" ht="14.45" customHeight="1" x14ac:dyDescent="0.25">
      <c r="A328" s="266">
        <f t="shared" si="5"/>
        <v>30.633333333333333</v>
      </c>
      <c r="B328" s="389">
        <v>41937</v>
      </c>
      <c r="C328" s="390" t="s">
        <v>1089</v>
      </c>
      <c r="D328" s="390" t="s">
        <v>899</v>
      </c>
      <c r="E328" s="390" t="s">
        <v>380</v>
      </c>
      <c r="F328" s="390" t="s">
        <v>526</v>
      </c>
      <c r="G328" s="390" t="s">
        <v>58</v>
      </c>
      <c r="H328" s="261"/>
      <c r="I328" s="261"/>
      <c r="J328" s="261"/>
      <c r="K328" s="261"/>
      <c r="L328" s="261"/>
      <c r="M328" s="261"/>
      <c r="N328" s="261"/>
      <c r="O328" s="261"/>
      <c r="P328" s="261"/>
      <c r="Q328" s="261"/>
      <c r="R328" s="261">
        <v>48</v>
      </c>
      <c r="S328" s="261">
        <v>30</v>
      </c>
      <c r="T328" s="261"/>
      <c r="U328" s="261"/>
      <c r="V328" s="762"/>
      <c r="W328" s="261"/>
      <c r="X328" s="261"/>
      <c r="Y328" s="264">
        <f>IF(NFI_Expiration=1,IF($A328&lt;VLOOKUP(H$5,NFI,5,0),1,0)*Table_NFI[[#This Row],[Hygiene Kit]],Table_NFI[Hygiene Kit])</f>
        <v>0</v>
      </c>
      <c r="Z328" s="264">
        <f>IF(NFI_Expiration=1,IF($A328&lt;VLOOKUP(I$5,NFI,5,0),1,0)*Table_NFI[[#This Row],[NFI Core Kit]],Table_NFI[NFI Core Kit])</f>
        <v>0</v>
      </c>
      <c r="AA328" s="264">
        <f>IF(NFI_Expiration=1,IF($A328&lt;VLOOKUP(J$5,NFI,5,0),1,0)*Table_NFI[[#This Row],[Sanitary Kit]],Table_NFI[Sanitary Kit])</f>
        <v>0</v>
      </c>
      <c r="AB328" s="264">
        <f>IF(NFI_Expiration=1,IF($A328&lt;VLOOKUP(K$5,NFI,5,0),1,0)*Table_NFI[[#This Row],[Mosquito net]],Table_NFI[Mosquito net])</f>
        <v>0</v>
      </c>
      <c r="AC328" s="264">
        <f>IF(NFI_Expiration=1,IF($A328&lt;VLOOKUP(L$5,NFI,5,0),1,0)*Table_NFI[[#This Row],[Tarpaulin]],Table_NFI[[#This Row],[Tarpaulin]])</f>
        <v>0</v>
      </c>
      <c r="AD328" s="264">
        <f>IF(NFI_Expiration=1,IF($A328&lt;VLOOKUP(M$5,NFI,5,0),1,0)*Table_NFI[[#This Row],[Blanket]],Table_NFI[[#This Row],[Blanket]])</f>
        <v>0</v>
      </c>
      <c r="AE328" s="264">
        <f>IF(NFI_Expiration=1,IF($A328&lt;VLOOKUP(N$5,NFI,5,0),1,0)*Table_NFI[[#This Row],[Kitchen Set]],Table_NFI[Kitchen Set])</f>
        <v>0</v>
      </c>
      <c r="AF328" s="264">
        <f>IF(NFI_Expiration=1,IF($A328&lt;VLOOKUP(O$5,NFI,5,0),1,0)*Table_NFI[[#This Row],[Clothes Kit]],Table_NFI[Clothes Kit])</f>
        <v>0</v>
      </c>
      <c r="AG328" s="264">
        <f>IF(NFI_Expiration=1,IF($A328&lt;VLOOKUP(P$5,NFI,5,0),1,0)*Table_NFI[[#This Row],[Plastic Bucket]],Table_NFI[Plastic Bucket])</f>
        <v>0</v>
      </c>
      <c r="AH328" s="264">
        <f>IF(NFI_Expiration=1,IF($A328&lt;VLOOKUP(Q$5,NFI,5,0),1,0)*Table_NFI[[#This Row],[Plastic Mat]],Table_NFI[Plastic Mat])*IF(Table_NFI[[#This Row],[Distribution Date]]&gt;"2014-04-01",1,2.5)</f>
        <v>0</v>
      </c>
      <c r="AI328" s="264">
        <f>IF(NFI_Expiration=1,IF($A328&lt;VLOOKUP(R$5,NFI,5,0),1,0)*Table_NFI[[#This Row],[Winter Clothes Adult]],Table_NFI[Winter Clothes Adult])</f>
        <v>0</v>
      </c>
      <c r="AJ328" s="264">
        <f>IF(NFI_Expiration=1,IF($A328&lt;VLOOKUP(S$5,NFI,5,0),1,0)*Table_NFI[[#This Row],[Winter Clothes Children]],Table_NFI[Winter Clothes Children])</f>
        <v>0</v>
      </c>
      <c r="AK328" s="264">
        <f>IF(NFI_Expiration=1,IF($A328&lt;VLOOKUP(T$5,NFI,5,0),1,0)*Table_NFI[[#This Row],[Winter Items Other]],Table_NFI[Winter Items Other])</f>
        <v>0</v>
      </c>
      <c r="AL328" s="264">
        <f>IF(NFI_Expiration=1,IF($A328&lt;VLOOKUP(M$5,NFI,5,0),1,0)*Table_NFI[[#This Row],[Winter Blanket]],Table_NFI[[#This Row],[Winter Blanket]])</f>
        <v>0</v>
      </c>
      <c r="AM328" s="264">
        <f>IF(Table_NFI[[#This Row],[Winter Clothes Adult]]+Table_NFI[[#This Row],[Winter Clothes Children]]+Table_NFI[[#This Row],[Winter Items Other]]+Table_NFI[[#This Row],[Winter Blanket]]&gt;0,1,0)</f>
        <v>1</v>
      </c>
      <c r="AN328" s="296">
        <f>IF(NFI_Expiration=1,IF($A328&lt;VLOOKUP(V$5,NFI,5,0),1,0)*Table_NFI[[#This Row],[Jerry Can]],Table_NFI[Jerry Can])</f>
        <v>0</v>
      </c>
      <c r="AO328" s="296">
        <f>IF(NFI_Expiration=1,IF($A328&lt;VLOOKUP(V$5,NFI,5,0),1,0)*Table_NFI[[#This Row],[Shelter Tool kit]],Table_NFI[Shelter Tool kit])</f>
        <v>0</v>
      </c>
      <c r="AP328" s="296">
        <f>IF(NFI_Expiration=1,IF($A328&lt;VLOOKUP(V$5,NFI,5,0),1,0)*Table_NFI[[#This Row],[Tent]],Table_NFI[Tent])</f>
        <v>0</v>
      </c>
      <c r="AQ328" s="396" t="str">
        <f>IFERROR(VLOOKUP(Table_NFI[[#This Row],[Camp Name]],CL,2,0),"")</f>
        <v>MMR001CMP188</v>
      </c>
      <c r="AR328" s="702">
        <f ca="1">IF(Table_NFI[[#This Row],[Pcode]]="","",IF(OFFSET(CampList[Opening Date],MATCH(Table_NFI[[#This Row],[Pcode]],CampList[CP_Pcode],0)-1,0,1,1)&gt;=NFI_Monitor_Date,1,0))</f>
        <v>0</v>
      </c>
      <c r="AS328" s="396" t="str">
        <f>IFERROR(VLOOKUP(Table_NFI[[#This Row],[Camp Name]],CL,3,0),"")</f>
        <v>Closed</v>
      </c>
      <c r="AT328" s="264" t="str">
        <f ca="1">IF(Table_NFI[[#This Row],[Pcode]]="","",OFFSET(CampList[Priority],MATCH(Table_NFI[[#This Row],[Pcode]],CampList[CP_Pcode],0)-1,0,1,1))</f>
        <v>P4</v>
      </c>
      <c r="AU328" s="263" t="str">
        <f>IFERROR(Table_NFI[[#This Row],[Kitchen Set]]/VLOOKUP(Table_NFI[[#This Row],[Camp Name]],CL,4,0),"")</f>
        <v/>
      </c>
      <c r="AV328" s="390"/>
      <c r="AW328" s="392"/>
      <c r="AX328" s="399"/>
      <c r="AY328" s="399"/>
      <c r="AZ328" s="399"/>
      <c r="BA328" s="399"/>
      <c r="BB328" s="399"/>
      <c r="BC328" s="399"/>
      <c r="BD328" s="399"/>
      <c r="BE328" s="399"/>
      <c r="BF328" s="399"/>
      <c r="BG328" s="399"/>
      <c r="BH328" s="399"/>
      <c r="BI328" s="399"/>
      <c r="BJ328" s="399"/>
      <c r="BK328" s="399"/>
      <c r="BL328" s="399"/>
      <c r="BM328" s="399"/>
      <c r="BN328" s="399"/>
      <c r="BO328" s="399"/>
      <c r="BP328" s="399"/>
      <c r="BQ328" s="399"/>
      <c r="BR328" s="399"/>
      <c r="BS328" s="399"/>
      <c r="BT328" s="399"/>
      <c r="BU328" s="399"/>
      <c r="BV328" s="399"/>
      <c r="BW328" s="399"/>
      <c r="BX328" s="399"/>
      <c r="BY328" s="399"/>
      <c r="BZ328" s="399"/>
      <c r="CA328" s="399"/>
      <c r="CB328" s="399"/>
      <c r="CC328" s="399"/>
      <c r="CD328" s="399"/>
      <c r="CE328" s="399"/>
      <c r="CF328" s="399"/>
      <c r="CG328" s="399"/>
      <c r="CH328" s="399"/>
      <c r="CI328" s="399"/>
      <c r="CJ328" s="399"/>
      <c r="CK328" s="399"/>
      <c r="CL328" s="399"/>
      <c r="CM328" s="399"/>
      <c r="CN328" s="399"/>
      <c r="CO328" s="399"/>
      <c r="CP328" s="399"/>
      <c r="CQ328" s="399"/>
      <c r="CR328" s="399"/>
      <c r="CS328" s="399"/>
      <c r="CT328" s="399"/>
      <c r="CU328" s="399"/>
      <c r="CV328" s="399"/>
      <c r="CW328" s="399"/>
      <c r="CX328" s="399"/>
      <c r="CY328" s="399"/>
      <c r="CZ328" s="399"/>
      <c r="DA328" s="399"/>
      <c r="DB328" s="399"/>
      <c r="DC328" s="399"/>
      <c r="DD328" s="399"/>
      <c r="DE328" s="399"/>
      <c r="DF328" s="399"/>
      <c r="DG328" s="399"/>
      <c r="DH328" s="399"/>
      <c r="DI328" s="399"/>
      <c r="DJ328" s="399"/>
      <c r="DK328" s="399"/>
      <c r="DL328" s="399"/>
      <c r="DM328" s="399"/>
      <c r="DN328" s="399"/>
      <c r="DO328" s="399"/>
      <c r="DP328" s="399"/>
      <c r="DQ328" s="399"/>
    </row>
    <row r="329" spans="1:121" s="760" customFormat="1" ht="15" customHeight="1" x14ac:dyDescent="0.25">
      <c r="A329" s="266">
        <f t="shared" si="5"/>
        <v>30.633333333333333</v>
      </c>
      <c r="B329" s="389">
        <v>41937</v>
      </c>
      <c r="C329" s="390" t="s">
        <v>1089</v>
      </c>
      <c r="D329" s="390" t="s">
        <v>899</v>
      </c>
      <c r="E329" s="390" t="s">
        <v>380</v>
      </c>
      <c r="F329" s="390" t="s">
        <v>526</v>
      </c>
      <c r="G329" s="390" t="s">
        <v>52</v>
      </c>
      <c r="H329" s="261"/>
      <c r="I329" s="261"/>
      <c r="J329" s="261"/>
      <c r="K329" s="261"/>
      <c r="L329" s="261"/>
      <c r="M329" s="261"/>
      <c r="N329" s="261"/>
      <c r="O329" s="261"/>
      <c r="P329" s="261"/>
      <c r="Q329" s="261"/>
      <c r="R329" s="261">
        <v>123</v>
      </c>
      <c r="S329" s="261">
        <v>104</v>
      </c>
      <c r="T329" s="261"/>
      <c r="U329" s="261"/>
      <c r="V329" s="762"/>
      <c r="W329" s="261"/>
      <c r="X329" s="261"/>
      <c r="Y329" s="264">
        <f>IF(NFI_Expiration=1,IF($A329&lt;VLOOKUP(H$5,NFI,5,0),1,0)*Table_NFI[[#This Row],[Hygiene Kit]],Table_NFI[Hygiene Kit])</f>
        <v>0</v>
      </c>
      <c r="Z329" s="264">
        <f>IF(NFI_Expiration=1,IF($A329&lt;VLOOKUP(I$5,NFI,5,0),1,0)*Table_NFI[[#This Row],[NFI Core Kit]],Table_NFI[NFI Core Kit])</f>
        <v>0</v>
      </c>
      <c r="AA329" s="264">
        <f>IF(NFI_Expiration=1,IF($A329&lt;VLOOKUP(J$5,NFI,5,0),1,0)*Table_NFI[[#This Row],[Sanitary Kit]],Table_NFI[Sanitary Kit])</f>
        <v>0</v>
      </c>
      <c r="AB329" s="264">
        <f>IF(NFI_Expiration=1,IF($A329&lt;VLOOKUP(K$5,NFI,5,0),1,0)*Table_NFI[[#This Row],[Mosquito net]],Table_NFI[Mosquito net])</f>
        <v>0</v>
      </c>
      <c r="AC329" s="264">
        <f>IF(NFI_Expiration=1,IF($A329&lt;VLOOKUP(L$5,NFI,5,0),1,0)*Table_NFI[[#This Row],[Tarpaulin]],Table_NFI[[#This Row],[Tarpaulin]])</f>
        <v>0</v>
      </c>
      <c r="AD329" s="264">
        <f>IF(NFI_Expiration=1,IF($A329&lt;VLOOKUP(M$5,NFI,5,0),1,0)*Table_NFI[[#This Row],[Blanket]],Table_NFI[[#This Row],[Blanket]])</f>
        <v>0</v>
      </c>
      <c r="AE329" s="264">
        <f>IF(NFI_Expiration=1,IF($A329&lt;VLOOKUP(N$5,NFI,5,0),1,0)*Table_NFI[[#This Row],[Kitchen Set]],Table_NFI[Kitchen Set])</f>
        <v>0</v>
      </c>
      <c r="AF329" s="264">
        <f>IF(NFI_Expiration=1,IF($A329&lt;VLOOKUP(O$5,NFI,5,0),1,0)*Table_NFI[[#This Row],[Clothes Kit]],Table_NFI[Clothes Kit])</f>
        <v>0</v>
      </c>
      <c r="AG329" s="264">
        <f>IF(NFI_Expiration=1,IF($A329&lt;VLOOKUP(P$5,NFI,5,0),1,0)*Table_NFI[[#This Row],[Plastic Bucket]],Table_NFI[Plastic Bucket])</f>
        <v>0</v>
      </c>
      <c r="AH329" s="264">
        <f>IF(NFI_Expiration=1,IF($A329&lt;VLOOKUP(Q$5,NFI,5,0),1,0)*Table_NFI[[#This Row],[Plastic Mat]],Table_NFI[Plastic Mat])*IF(Table_NFI[[#This Row],[Distribution Date]]&gt;"2014-04-01",1,2.5)</f>
        <v>0</v>
      </c>
      <c r="AI329" s="264">
        <f>IF(NFI_Expiration=1,IF($A329&lt;VLOOKUP(R$5,NFI,5,0),1,0)*Table_NFI[[#This Row],[Winter Clothes Adult]],Table_NFI[Winter Clothes Adult])</f>
        <v>0</v>
      </c>
      <c r="AJ329" s="264">
        <f>IF(NFI_Expiration=1,IF($A329&lt;VLOOKUP(S$5,NFI,5,0),1,0)*Table_NFI[[#This Row],[Winter Clothes Children]],Table_NFI[Winter Clothes Children])</f>
        <v>0</v>
      </c>
      <c r="AK329" s="264">
        <f>IF(NFI_Expiration=1,IF($A329&lt;VLOOKUP(T$5,NFI,5,0),1,0)*Table_NFI[[#This Row],[Winter Items Other]],Table_NFI[Winter Items Other])</f>
        <v>0</v>
      </c>
      <c r="AL329" s="264">
        <f>IF(NFI_Expiration=1,IF($A329&lt;VLOOKUP(M$5,NFI,5,0),1,0)*Table_NFI[[#This Row],[Winter Blanket]],Table_NFI[[#This Row],[Winter Blanket]])</f>
        <v>0</v>
      </c>
      <c r="AM329" s="264">
        <f>IF(Table_NFI[[#This Row],[Winter Clothes Adult]]+Table_NFI[[#This Row],[Winter Clothes Children]]+Table_NFI[[#This Row],[Winter Items Other]]+Table_NFI[[#This Row],[Winter Blanket]]&gt;0,1,0)</f>
        <v>1</v>
      </c>
      <c r="AN329" s="296">
        <f>IF(NFI_Expiration=1,IF($A329&lt;VLOOKUP(V$5,NFI,5,0),1,0)*Table_NFI[[#This Row],[Jerry Can]],Table_NFI[Jerry Can])</f>
        <v>0</v>
      </c>
      <c r="AO329" s="296">
        <f>IF(NFI_Expiration=1,IF($A329&lt;VLOOKUP(V$5,NFI,5,0),1,0)*Table_NFI[[#This Row],[Shelter Tool kit]],Table_NFI[Shelter Tool kit])</f>
        <v>0</v>
      </c>
      <c r="AP329" s="296">
        <f>IF(NFI_Expiration=1,IF($A329&lt;VLOOKUP(V$5,NFI,5,0),1,0)*Table_NFI[[#This Row],[Tent]],Table_NFI[Tent])</f>
        <v>0</v>
      </c>
      <c r="AQ329" s="396" t="str">
        <f>IFERROR(VLOOKUP(Table_NFI[[#This Row],[Camp Name]],CL,2,0),"")</f>
        <v>MMR001CMP169</v>
      </c>
      <c r="AR329" s="702">
        <f ca="1">IF(Table_NFI[[#This Row],[Pcode]]="","",IF(OFFSET(CampList[Opening Date],MATCH(Table_NFI[[#This Row],[Pcode]],CampList[CP_Pcode],0)-1,0,1,1)&gt;=NFI_Monitor_Date,1,0))</f>
        <v>0</v>
      </c>
      <c r="AS329" s="396" t="str">
        <f>IFERROR(VLOOKUP(Table_NFI[[#This Row],[Camp Name]],CL,3,0),"")</f>
        <v>Open</v>
      </c>
      <c r="AT329" s="264" t="str">
        <f ca="1">IF(Table_NFI[[#This Row],[Pcode]]="","",OFFSET(CampList[Priority],MATCH(Table_NFI[[#This Row],[Pcode]],CampList[CP_Pcode],0)-1,0,1,1))</f>
        <v>P4</v>
      </c>
      <c r="AU329" s="263">
        <f>IFERROR(Table_NFI[[#This Row],[Kitchen Set]]/VLOOKUP(Table_NFI[[#This Row],[Camp Name]],CL,4,0),"")</f>
        <v>0</v>
      </c>
      <c r="AV329" s="390"/>
      <c r="AW329" s="392"/>
      <c r="AX329" s="399"/>
      <c r="AY329" s="399"/>
      <c r="AZ329" s="399"/>
      <c r="BA329" s="399"/>
      <c r="BB329" s="399"/>
      <c r="BC329" s="399"/>
      <c r="BD329" s="399"/>
      <c r="BE329" s="399"/>
      <c r="BF329" s="399"/>
      <c r="BG329" s="399"/>
      <c r="BH329" s="399"/>
      <c r="BI329" s="399"/>
      <c r="BJ329" s="399"/>
      <c r="BK329" s="399"/>
      <c r="BL329" s="399"/>
      <c r="BM329" s="399"/>
      <c r="BN329" s="399"/>
      <c r="BO329" s="399"/>
      <c r="BP329" s="399"/>
      <c r="BQ329" s="399"/>
      <c r="BR329" s="399"/>
      <c r="BS329" s="399"/>
      <c r="BT329" s="399"/>
      <c r="BU329" s="399"/>
      <c r="BV329" s="399"/>
      <c r="BW329" s="399"/>
      <c r="BX329" s="399"/>
      <c r="BY329" s="399"/>
      <c r="BZ329" s="399"/>
      <c r="CA329" s="399"/>
      <c r="CB329" s="399"/>
      <c r="CC329" s="399"/>
      <c r="CD329" s="399"/>
      <c r="CE329" s="399"/>
      <c r="CF329" s="399"/>
      <c r="CG329" s="399"/>
      <c r="CH329" s="399"/>
      <c r="CI329" s="399"/>
      <c r="CJ329" s="399"/>
      <c r="CK329" s="399"/>
      <c r="CL329" s="399"/>
      <c r="CM329" s="399"/>
      <c r="CN329" s="399"/>
      <c r="CO329" s="399"/>
      <c r="CP329" s="399"/>
      <c r="CQ329" s="399"/>
      <c r="CR329" s="399"/>
      <c r="CS329" s="399"/>
      <c r="CT329" s="399"/>
      <c r="CU329" s="399"/>
      <c r="CV329" s="399"/>
      <c r="CW329" s="399"/>
      <c r="CX329" s="399"/>
      <c r="CY329" s="399"/>
      <c r="CZ329" s="399"/>
      <c r="DA329" s="399"/>
      <c r="DB329" s="399"/>
      <c r="DC329" s="399"/>
      <c r="DD329" s="399"/>
      <c r="DE329" s="399"/>
      <c r="DF329" s="399"/>
      <c r="DG329" s="399"/>
      <c r="DH329" s="399"/>
      <c r="DI329" s="399"/>
      <c r="DJ329" s="399"/>
      <c r="DK329" s="399"/>
      <c r="DL329" s="399"/>
      <c r="DM329" s="399"/>
      <c r="DN329" s="399"/>
      <c r="DO329" s="399"/>
      <c r="DP329" s="399"/>
      <c r="DQ329" s="399"/>
    </row>
    <row r="330" spans="1:121" s="760" customFormat="1" ht="14.45" customHeight="1" x14ac:dyDescent="0.25">
      <c r="A330" s="266">
        <f t="shared" si="5"/>
        <v>30.633333333333333</v>
      </c>
      <c r="B330" s="389">
        <v>41937</v>
      </c>
      <c r="C330" s="390" t="s">
        <v>1089</v>
      </c>
      <c r="D330" s="390" t="s">
        <v>899</v>
      </c>
      <c r="E330" s="390" t="s">
        <v>380</v>
      </c>
      <c r="F330" s="390" t="s">
        <v>526</v>
      </c>
      <c r="G330" s="390" t="s">
        <v>72</v>
      </c>
      <c r="H330" s="261"/>
      <c r="I330" s="261"/>
      <c r="J330" s="261"/>
      <c r="K330" s="261"/>
      <c r="L330" s="261"/>
      <c r="M330" s="261"/>
      <c r="N330" s="261"/>
      <c r="O330" s="261"/>
      <c r="P330" s="261"/>
      <c r="Q330" s="261"/>
      <c r="R330" s="261">
        <v>15</v>
      </c>
      <c r="S330" s="261">
        <v>10</v>
      </c>
      <c r="T330" s="261"/>
      <c r="U330" s="261"/>
      <c r="V330" s="762"/>
      <c r="W330" s="261"/>
      <c r="X330" s="261"/>
      <c r="Y330" s="264">
        <f>IF(NFI_Expiration=1,IF($A330&lt;VLOOKUP(H$5,NFI,5,0),1,0)*Table_NFI[[#This Row],[Hygiene Kit]],Table_NFI[Hygiene Kit])</f>
        <v>0</v>
      </c>
      <c r="Z330" s="264">
        <f>IF(NFI_Expiration=1,IF($A330&lt;VLOOKUP(I$5,NFI,5,0),1,0)*Table_NFI[[#This Row],[NFI Core Kit]],Table_NFI[NFI Core Kit])</f>
        <v>0</v>
      </c>
      <c r="AA330" s="264">
        <f>IF(NFI_Expiration=1,IF($A330&lt;VLOOKUP(J$5,NFI,5,0),1,0)*Table_NFI[[#This Row],[Sanitary Kit]],Table_NFI[Sanitary Kit])</f>
        <v>0</v>
      </c>
      <c r="AB330" s="264">
        <f>IF(NFI_Expiration=1,IF($A330&lt;VLOOKUP(K$5,NFI,5,0),1,0)*Table_NFI[[#This Row],[Mosquito net]],Table_NFI[Mosquito net])</f>
        <v>0</v>
      </c>
      <c r="AC330" s="264">
        <f>IF(NFI_Expiration=1,IF($A330&lt;VLOOKUP(L$5,NFI,5,0),1,0)*Table_NFI[[#This Row],[Tarpaulin]],Table_NFI[[#This Row],[Tarpaulin]])</f>
        <v>0</v>
      </c>
      <c r="AD330" s="264">
        <f>IF(NFI_Expiration=1,IF($A330&lt;VLOOKUP(M$5,NFI,5,0),1,0)*Table_NFI[[#This Row],[Blanket]],Table_NFI[[#This Row],[Blanket]])</f>
        <v>0</v>
      </c>
      <c r="AE330" s="264">
        <f>IF(NFI_Expiration=1,IF($A330&lt;VLOOKUP(N$5,NFI,5,0),1,0)*Table_NFI[[#This Row],[Kitchen Set]],Table_NFI[Kitchen Set])</f>
        <v>0</v>
      </c>
      <c r="AF330" s="264">
        <f>IF(NFI_Expiration=1,IF($A330&lt;VLOOKUP(O$5,NFI,5,0),1,0)*Table_NFI[[#This Row],[Clothes Kit]],Table_NFI[Clothes Kit])</f>
        <v>0</v>
      </c>
      <c r="AG330" s="264">
        <f>IF(NFI_Expiration=1,IF($A330&lt;VLOOKUP(P$5,NFI,5,0),1,0)*Table_NFI[[#This Row],[Plastic Bucket]],Table_NFI[Plastic Bucket])</f>
        <v>0</v>
      </c>
      <c r="AH330" s="264">
        <f>IF(NFI_Expiration=1,IF($A330&lt;VLOOKUP(Q$5,NFI,5,0),1,0)*Table_NFI[[#This Row],[Plastic Mat]],Table_NFI[Plastic Mat])*IF(Table_NFI[[#This Row],[Distribution Date]]&gt;"2014-04-01",1,2.5)</f>
        <v>0</v>
      </c>
      <c r="AI330" s="264">
        <f>IF(NFI_Expiration=1,IF($A330&lt;VLOOKUP(R$5,NFI,5,0),1,0)*Table_NFI[[#This Row],[Winter Clothes Adult]],Table_NFI[Winter Clothes Adult])</f>
        <v>0</v>
      </c>
      <c r="AJ330" s="264">
        <f>IF(NFI_Expiration=1,IF($A330&lt;VLOOKUP(S$5,NFI,5,0),1,0)*Table_NFI[[#This Row],[Winter Clothes Children]],Table_NFI[Winter Clothes Children])</f>
        <v>0</v>
      </c>
      <c r="AK330" s="264">
        <f>IF(NFI_Expiration=1,IF($A330&lt;VLOOKUP(T$5,NFI,5,0),1,0)*Table_NFI[[#This Row],[Winter Items Other]],Table_NFI[Winter Items Other])</f>
        <v>0</v>
      </c>
      <c r="AL330" s="264">
        <f>IF(NFI_Expiration=1,IF($A330&lt;VLOOKUP(M$5,NFI,5,0),1,0)*Table_NFI[[#This Row],[Winter Blanket]],Table_NFI[[#This Row],[Winter Blanket]])</f>
        <v>0</v>
      </c>
      <c r="AM330" s="264">
        <f>IF(Table_NFI[[#This Row],[Winter Clothes Adult]]+Table_NFI[[#This Row],[Winter Clothes Children]]+Table_NFI[[#This Row],[Winter Items Other]]+Table_NFI[[#This Row],[Winter Blanket]]&gt;0,1,0)</f>
        <v>1</v>
      </c>
      <c r="AN330" s="296">
        <f>IF(NFI_Expiration=1,IF($A330&lt;VLOOKUP(V$5,NFI,5,0),1,0)*Table_NFI[[#This Row],[Jerry Can]],Table_NFI[Jerry Can])</f>
        <v>0</v>
      </c>
      <c r="AO330" s="296">
        <f>IF(NFI_Expiration=1,IF($A330&lt;VLOOKUP(V$5,NFI,5,0),1,0)*Table_NFI[[#This Row],[Shelter Tool kit]],Table_NFI[Shelter Tool kit])</f>
        <v>0</v>
      </c>
      <c r="AP330" s="296">
        <f>IF(NFI_Expiration=1,IF($A330&lt;VLOOKUP(V$5,NFI,5,0),1,0)*Table_NFI[[#This Row],[Tent]],Table_NFI[Tent])</f>
        <v>0</v>
      </c>
      <c r="AQ330" s="396" t="str">
        <f>IFERROR(VLOOKUP(Table_NFI[[#This Row],[Camp Name]],CL,2,0),"")</f>
        <v>MMR001CMP109</v>
      </c>
      <c r="AR330" s="702">
        <f ca="1">IF(Table_NFI[[#This Row],[Pcode]]="","",IF(OFFSET(CampList[Opening Date],MATCH(Table_NFI[[#This Row],[Pcode]],CampList[CP_Pcode],0)-1,0,1,1)&gt;=NFI_Monitor_Date,1,0))</f>
        <v>0</v>
      </c>
      <c r="AS330" s="396" t="str">
        <f>IFERROR(VLOOKUP(Table_NFI[[#This Row],[Camp Name]],CL,3,0),"")</f>
        <v>Open</v>
      </c>
      <c r="AT330" s="264" t="str">
        <f ca="1">IF(Table_NFI[[#This Row],[Pcode]]="","",OFFSET(CampList[Priority],MATCH(Table_NFI[[#This Row],[Pcode]],CampList[CP_Pcode],0)-1,0,1,1))</f>
        <v>P4</v>
      </c>
      <c r="AU330" s="263">
        <f>IFERROR(Table_NFI[[#This Row],[Kitchen Set]]/VLOOKUP(Table_NFI[[#This Row],[Camp Name]],CL,4,0),"")</f>
        <v>0</v>
      </c>
      <c r="AV330" s="390"/>
      <c r="AW330" s="392"/>
      <c r="AX330" s="399"/>
      <c r="AY330" s="399"/>
      <c r="AZ330" s="399"/>
      <c r="BA330" s="399"/>
      <c r="BB330" s="399"/>
      <c r="BC330" s="399"/>
      <c r="BD330" s="399"/>
      <c r="BE330" s="399"/>
      <c r="BF330" s="399"/>
      <c r="BG330" s="399"/>
      <c r="BH330" s="399"/>
      <c r="BI330" s="399"/>
      <c r="BJ330" s="399"/>
      <c r="BK330" s="399"/>
      <c r="BL330" s="399"/>
      <c r="BM330" s="399"/>
      <c r="BN330" s="399"/>
      <c r="BO330" s="399"/>
      <c r="BP330" s="399"/>
      <c r="BQ330" s="399"/>
      <c r="BR330" s="399"/>
      <c r="BS330" s="399"/>
      <c r="BT330" s="399"/>
      <c r="BU330" s="399"/>
      <c r="BV330" s="399"/>
      <c r="BW330" s="399"/>
      <c r="BX330" s="399"/>
      <c r="BY330" s="399"/>
      <c r="BZ330" s="399"/>
      <c r="CA330" s="399"/>
      <c r="CB330" s="399"/>
      <c r="CC330" s="399"/>
      <c r="CD330" s="399"/>
      <c r="CE330" s="399"/>
      <c r="CF330" s="399"/>
      <c r="CG330" s="399"/>
      <c r="CH330" s="399"/>
      <c r="CI330" s="399"/>
      <c r="CJ330" s="399"/>
      <c r="CK330" s="399"/>
      <c r="CL330" s="399"/>
      <c r="CM330" s="399"/>
      <c r="CN330" s="399"/>
      <c r="CO330" s="399"/>
      <c r="CP330" s="399"/>
      <c r="CQ330" s="399"/>
      <c r="CR330" s="399"/>
      <c r="CS330" s="399"/>
      <c r="CT330" s="399"/>
      <c r="CU330" s="399"/>
      <c r="CV330" s="399"/>
      <c r="CW330" s="399"/>
      <c r="CX330" s="399"/>
      <c r="CY330" s="399"/>
      <c r="CZ330" s="399"/>
      <c r="DA330" s="399"/>
      <c r="DB330" s="399"/>
      <c r="DC330" s="399"/>
      <c r="DD330" s="399"/>
      <c r="DE330" s="399"/>
      <c r="DF330" s="399"/>
      <c r="DG330" s="399"/>
      <c r="DH330" s="399"/>
      <c r="DI330" s="399"/>
      <c r="DJ330" s="399"/>
      <c r="DK330" s="399"/>
      <c r="DL330" s="399"/>
      <c r="DM330" s="399"/>
      <c r="DN330" s="399"/>
      <c r="DO330" s="399"/>
      <c r="DP330" s="399"/>
      <c r="DQ330" s="399"/>
    </row>
    <row r="331" spans="1:121" s="760" customFormat="1" ht="14.45" customHeight="1" x14ac:dyDescent="0.25">
      <c r="A331" s="266">
        <f t="shared" si="5"/>
        <v>30.633333333333333</v>
      </c>
      <c r="B331" s="389">
        <v>41937</v>
      </c>
      <c r="C331" s="390" t="s">
        <v>1089</v>
      </c>
      <c r="D331" s="390" t="s">
        <v>899</v>
      </c>
      <c r="E331" s="390" t="s">
        <v>380</v>
      </c>
      <c r="F331" s="390" t="s">
        <v>526</v>
      </c>
      <c r="G331" s="390" t="s">
        <v>76</v>
      </c>
      <c r="H331" s="261"/>
      <c r="I331" s="261"/>
      <c r="J331" s="261"/>
      <c r="K331" s="261"/>
      <c r="L331" s="261"/>
      <c r="M331" s="261"/>
      <c r="N331" s="261"/>
      <c r="O331" s="261"/>
      <c r="P331" s="261"/>
      <c r="Q331" s="261"/>
      <c r="R331" s="261">
        <v>214</v>
      </c>
      <c r="S331" s="261">
        <v>112</v>
      </c>
      <c r="T331" s="261"/>
      <c r="U331" s="261"/>
      <c r="V331" s="762"/>
      <c r="W331" s="261"/>
      <c r="X331" s="261"/>
      <c r="Y331" s="264">
        <f>IF(NFI_Expiration=1,IF($A331&lt;VLOOKUP(H$5,NFI,5,0),1,0)*Table_NFI[[#This Row],[Hygiene Kit]],Table_NFI[Hygiene Kit])</f>
        <v>0</v>
      </c>
      <c r="Z331" s="264">
        <f>IF(NFI_Expiration=1,IF($A331&lt;VLOOKUP(I$5,NFI,5,0),1,0)*Table_NFI[[#This Row],[NFI Core Kit]],Table_NFI[NFI Core Kit])</f>
        <v>0</v>
      </c>
      <c r="AA331" s="264">
        <f>IF(NFI_Expiration=1,IF($A331&lt;VLOOKUP(J$5,NFI,5,0),1,0)*Table_NFI[[#This Row],[Sanitary Kit]],Table_NFI[Sanitary Kit])</f>
        <v>0</v>
      </c>
      <c r="AB331" s="264">
        <f>IF(NFI_Expiration=1,IF($A331&lt;VLOOKUP(K$5,NFI,5,0),1,0)*Table_NFI[[#This Row],[Mosquito net]],Table_NFI[Mosquito net])</f>
        <v>0</v>
      </c>
      <c r="AC331" s="264">
        <f>IF(NFI_Expiration=1,IF($A331&lt;VLOOKUP(L$5,NFI,5,0),1,0)*Table_NFI[[#This Row],[Tarpaulin]],Table_NFI[[#This Row],[Tarpaulin]])</f>
        <v>0</v>
      </c>
      <c r="AD331" s="264">
        <f>IF(NFI_Expiration=1,IF($A331&lt;VLOOKUP(M$5,NFI,5,0),1,0)*Table_NFI[[#This Row],[Blanket]],Table_NFI[[#This Row],[Blanket]])</f>
        <v>0</v>
      </c>
      <c r="AE331" s="264">
        <f>IF(NFI_Expiration=1,IF($A331&lt;VLOOKUP(N$5,NFI,5,0),1,0)*Table_NFI[[#This Row],[Kitchen Set]],Table_NFI[Kitchen Set])</f>
        <v>0</v>
      </c>
      <c r="AF331" s="264">
        <f>IF(NFI_Expiration=1,IF($A331&lt;VLOOKUP(O$5,NFI,5,0),1,0)*Table_NFI[[#This Row],[Clothes Kit]],Table_NFI[Clothes Kit])</f>
        <v>0</v>
      </c>
      <c r="AG331" s="264">
        <f>IF(NFI_Expiration=1,IF($A331&lt;VLOOKUP(P$5,NFI,5,0),1,0)*Table_NFI[[#This Row],[Plastic Bucket]],Table_NFI[Plastic Bucket])</f>
        <v>0</v>
      </c>
      <c r="AH331" s="264">
        <f>IF(NFI_Expiration=1,IF($A331&lt;VLOOKUP(Q$5,NFI,5,0),1,0)*Table_NFI[[#This Row],[Plastic Mat]],Table_NFI[Plastic Mat])*IF(Table_NFI[[#This Row],[Distribution Date]]&gt;"2014-04-01",1,2.5)</f>
        <v>0</v>
      </c>
      <c r="AI331" s="264">
        <f>IF(NFI_Expiration=1,IF($A331&lt;VLOOKUP(R$5,NFI,5,0),1,0)*Table_NFI[[#This Row],[Winter Clothes Adult]],Table_NFI[Winter Clothes Adult])</f>
        <v>0</v>
      </c>
      <c r="AJ331" s="264">
        <f>IF(NFI_Expiration=1,IF($A331&lt;VLOOKUP(S$5,NFI,5,0),1,0)*Table_NFI[[#This Row],[Winter Clothes Children]],Table_NFI[Winter Clothes Children])</f>
        <v>0</v>
      </c>
      <c r="AK331" s="264">
        <f>IF(NFI_Expiration=1,IF($A331&lt;VLOOKUP(T$5,NFI,5,0),1,0)*Table_NFI[[#This Row],[Winter Items Other]],Table_NFI[Winter Items Other])</f>
        <v>0</v>
      </c>
      <c r="AL331" s="264">
        <f>IF(NFI_Expiration=1,IF($A331&lt;VLOOKUP(M$5,NFI,5,0),1,0)*Table_NFI[[#This Row],[Winter Blanket]],Table_NFI[[#This Row],[Winter Blanket]])</f>
        <v>0</v>
      </c>
      <c r="AM331" s="264">
        <f>IF(Table_NFI[[#This Row],[Winter Clothes Adult]]+Table_NFI[[#This Row],[Winter Clothes Children]]+Table_NFI[[#This Row],[Winter Items Other]]+Table_NFI[[#This Row],[Winter Blanket]]&gt;0,1,0)</f>
        <v>1</v>
      </c>
      <c r="AN331" s="296">
        <f>IF(NFI_Expiration=1,IF($A331&lt;VLOOKUP(V$5,NFI,5,0),1,0)*Table_NFI[[#This Row],[Jerry Can]],Table_NFI[Jerry Can])</f>
        <v>0</v>
      </c>
      <c r="AO331" s="296">
        <f>IF(NFI_Expiration=1,IF($A331&lt;VLOOKUP(V$5,NFI,5,0),1,0)*Table_NFI[[#This Row],[Shelter Tool kit]],Table_NFI[Shelter Tool kit])</f>
        <v>0</v>
      </c>
      <c r="AP331" s="296">
        <f>IF(NFI_Expiration=1,IF($A331&lt;VLOOKUP(V$5,NFI,5,0),1,0)*Table_NFI[[#This Row],[Tent]],Table_NFI[Tent])</f>
        <v>0</v>
      </c>
      <c r="AQ331" s="396" t="str">
        <f>IFERROR(VLOOKUP(Table_NFI[[#This Row],[Camp Name]],CL,2,0),"")</f>
        <v>MMR001CMP174</v>
      </c>
      <c r="AR331" s="702">
        <f ca="1">IF(Table_NFI[[#This Row],[Pcode]]="","",IF(OFFSET(CampList[Opening Date],MATCH(Table_NFI[[#This Row],[Pcode]],CampList[CP_Pcode],0)-1,0,1,1)&gt;=NFI_Monitor_Date,1,0))</f>
        <v>0</v>
      </c>
      <c r="AS331" s="396" t="str">
        <f>IFERROR(VLOOKUP(Table_NFI[[#This Row],[Camp Name]],CL,3,0),"")</f>
        <v>Open</v>
      </c>
      <c r="AT331" s="264" t="str">
        <f ca="1">IF(Table_NFI[[#This Row],[Pcode]]="","",OFFSET(CampList[Priority],MATCH(Table_NFI[[#This Row],[Pcode]],CampList[CP_Pcode],0)-1,0,1,1))</f>
        <v>P4</v>
      </c>
      <c r="AU331" s="263">
        <f>IFERROR(Table_NFI[[#This Row],[Kitchen Set]]/VLOOKUP(Table_NFI[[#This Row],[Camp Name]],CL,4,0),"")</f>
        <v>0</v>
      </c>
      <c r="AV331" s="390"/>
      <c r="AW331" s="392"/>
      <c r="AX331" s="399"/>
      <c r="AY331" s="399"/>
      <c r="AZ331" s="399"/>
      <c r="BA331" s="399"/>
      <c r="BB331" s="399"/>
      <c r="BC331" s="399"/>
      <c r="BD331" s="399"/>
      <c r="BE331" s="399"/>
      <c r="BF331" s="399"/>
      <c r="BG331" s="399"/>
      <c r="BH331" s="399"/>
      <c r="BI331" s="399"/>
      <c r="BJ331" s="399"/>
      <c r="BK331" s="399"/>
      <c r="BL331" s="399"/>
      <c r="BM331" s="399"/>
      <c r="BN331" s="399"/>
      <c r="BO331" s="399"/>
      <c r="BP331" s="399"/>
      <c r="BQ331" s="399"/>
      <c r="BR331" s="399"/>
      <c r="BS331" s="399"/>
      <c r="BT331" s="399"/>
      <c r="BU331" s="399"/>
      <c r="BV331" s="399"/>
      <c r="BW331" s="399"/>
      <c r="BX331" s="399"/>
      <c r="BY331" s="399"/>
      <c r="BZ331" s="399"/>
      <c r="CA331" s="399"/>
      <c r="CB331" s="399"/>
      <c r="CC331" s="399"/>
      <c r="CD331" s="399"/>
      <c r="CE331" s="399"/>
      <c r="CF331" s="399"/>
      <c r="CG331" s="399"/>
      <c r="CH331" s="399"/>
      <c r="CI331" s="399"/>
      <c r="CJ331" s="399"/>
      <c r="CK331" s="399"/>
      <c r="CL331" s="399"/>
      <c r="CM331" s="399"/>
      <c r="CN331" s="399"/>
      <c r="CO331" s="399"/>
      <c r="CP331" s="399"/>
      <c r="CQ331" s="399"/>
      <c r="CR331" s="399"/>
      <c r="CS331" s="399"/>
      <c r="CT331" s="399"/>
      <c r="CU331" s="399"/>
      <c r="CV331" s="399"/>
      <c r="CW331" s="399"/>
      <c r="CX331" s="399"/>
      <c r="CY331" s="399"/>
      <c r="CZ331" s="399"/>
      <c r="DA331" s="399"/>
      <c r="DB331" s="399"/>
      <c r="DC331" s="399"/>
      <c r="DD331" s="399"/>
      <c r="DE331" s="399"/>
      <c r="DF331" s="399"/>
      <c r="DG331" s="399"/>
      <c r="DH331" s="399"/>
      <c r="DI331" s="399"/>
      <c r="DJ331" s="399"/>
      <c r="DK331" s="399"/>
      <c r="DL331" s="399"/>
      <c r="DM331" s="399"/>
      <c r="DN331" s="399"/>
      <c r="DO331" s="399"/>
      <c r="DP331" s="399"/>
      <c r="DQ331" s="399"/>
    </row>
    <row r="332" spans="1:121" s="393" customFormat="1" ht="15" customHeight="1" x14ac:dyDescent="0.25">
      <c r="A332" s="266">
        <f t="shared" si="5"/>
        <v>30.633333333333333</v>
      </c>
      <c r="B332" s="389">
        <v>41937</v>
      </c>
      <c r="C332" s="390" t="s">
        <v>1089</v>
      </c>
      <c r="D332" s="390" t="s">
        <v>899</v>
      </c>
      <c r="E332" s="390" t="s">
        <v>380</v>
      </c>
      <c r="F332" s="390" t="s">
        <v>526</v>
      </c>
      <c r="G332" s="390" t="s">
        <v>88</v>
      </c>
      <c r="H332" s="261"/>
      <c r="I332" s="261"/>
      <c r="J332" s="261"/>
      <c r="K332" s="261"/>
      <c r="L332" s="261"/>
      <c r="M332" s="261"/>
      <c r="N332" s="261"/>
      <c r="O332" s="261"/>
      <c r="P332" s="261"/>
      <c r="Q332" s="261"/>
      <c r="R332" s="261">
        <v>37</v>
      </c>
      <c r="S332" s="261">
        <v>24</v>
      </c>
      <c r="T332" s="261"/>
      <c r="U332" s="261"/>
      <c r="V332" s="762"/>
      <c r="W332" s="762"/>
      <c r="X332" s="762"/>
      <c r="Y332" s="264">
        <f>IF(NFI_Expiration=1,IF($A332&lt;VLOOKUP(H$5,NFI,5,0),1,0)*Table_NFI[[#This Row],[Hygiene Kit]],Table_NFI[Hygiene Kit])</f>
        <v>0</v>
      </c>
      <c r="Z332" s="264">
        <f>IF(NFI_Expiration=1,IF($A332&lt;VLOOKUP(I$5,NFI,5,0),1,0)*Table_NFI[[#This Row],[NFI Core Kit]],Table_NFI[NFI Core Kit])</f>
        <v>0</v>
      </c>
      <c r="AA332" s="264">
        <f>IF(NFI_Expiration=1,IF($A332&lt;VLOOKUP(J$5,NFI,5,0),1,0)*Table_NFI[[#This Row],[Sanitary Kit]],Table_NFI[Sanitary Kit])</f>
        <v>0</v>
      </c>
      <c r="AB332" s="264">
        <f>IF(NFI_Expiration=1,IF($A332&lt;VLOOKUP(K$5,NFI,5,0),1,0)*Table_NFI[[#This Row],[Mosquito net]],Table_NFI[Mosquito net])</f>
        <v>0</v>
      </c>
      <c r="AC332" s="264">
        <f>IF(NFI_Expiration=1,IF($A332&lt;VLOOKUP(L$5,NFI,5,0),1,0)*Table_NFI[[#This Row],[Tarpaulin]],Table_NFI[[#This Row],[Tarpaulin]])</f>
        <v>0</v>
      </c>
      <c r="AD332" s="264">
        <f>IF(NFI_Expiration=1,IF($A332&lt;VLOOKUP(M$5,NFI,5,0),1,0)*Table_NFI[[#This Row],[Blanket]],Table_NFI[[#This Row],[Blanket]])</f>
        <v>0</v>
      </c>
      <c r="AE332" s="264">
        <f>IF(NFI_Expiration=1,IF($A332&lt;VLOOKUP(N$5,NFI,5,0),1,0)*Table_NFI[[#This Row],[Kitchen Set]],Table_NFI[Kitchen Set])</f>
        <v>0</v>
      </c>
      <c r="AF332" s="264">
        <f>IF(NFI_Expiration=1,IF($A332&lt;VLOOKUP(O$5,NFI,5,0),1,0)*Table_NFI[[#This Row],[Clothes Kit]],Table_NFI[Clothes Kit])</f>
        <v>0</v>
      </c>
      <c r="AG332" s="264">
        <f>IF(NFI_Expiration=1,IF($A332&lt;VLOOKUP(P$5,NFI,5,0),1,0)*Table_NFI[[#This Row],[Plastic Bucket]],Table_NFI[Plastic Bucket])</f>
        <v>0</v>
      </c>
      <c r="AH332" s="264">
        <f>IF(NFI_Expiration=1,IF($A332&lt;VLOOKUP(Q$5,NFI,5,0),1,0)*Table_NFI[[#This Row],[Plastic Mat]],Table_NFI[Plastic Mat])*IF(Table_NFI[[#This Row],[Distribution Date]]&gt;"2014-04-01",1,2.5)</f>
        <v>0</v>
      </c>
      <c r="AI332" s="264">
        <f>IF(NFI_Expiration=1,IF($A332&lt;VLOOKUP(R$5,NFI,5,0),1,0)*Table_NFI[[#This Row],[Winter Clothes Adult]],Table_NFI[Winter Clothes Adult])</f>
        <v>0</v>
      </c>
      <c r="AJ332" s="264">
        <f>IF(NFI_Expiration=1,IF($A332&lt;VLOOKUP(S$5,NFI,5,0),1,0)*Table_NFI[[#This Row],[Winter Clothes Children]],Table_NFI[Winter Clothes Children])</f>
        <v>0</v>
      </c>
      <c r="AK332" s="264">
        <f>IF(NFI_Expiration=1,IF($A332&lt;VLOOKUP(T$5,NFI,5,0),1,0)*Table_NFI[[#This Row],[Winter Items Other]],Table_NFI[Winter Items Other])</f>
        <v>0</v>
      </c>
      <c r="AL332" s="264">
        <f>IF(NFI_Expiration=1,IF($A332&lt;VLOOKUP(M$5,NFI,5,0),1,0)*Table_NFI[[#This Row],[Winter Blanket]],Table_NFI[[#This Row],[Winter Blanket]])</f>
        <v>0</v>
      </c>
      <c r="AM332" s="264">
        <f>IF(Table_NFI[[#This Row],[Winter Clothes Adult]]+Table_NFI[[#This Row],[Winter Clothes Children]]+Table_NFI[[#This Row],[Winter Items Other]]+Table_NFI[[#This Row],[Winter Blanket]]&gt;0,1,0)</f>
        <v>1</v>
      </c>
      <c r="AN332" s="296">
        <f>IF(NFI_Expiration=1,IF($A332&lt;VLOOKUP(V$5,NFI,5,0),1,0)*Table_NFI[[#This Row],[Jerry Can]],Table_NFI[Jerry Can])</f>
        <v>0</v>
      </c>
      <c r="AO332" s="296">
        <f>IF(NFI_Expiration=1,IF($A332&lt;VLOOKUP(V$5,NFI,5,0),1,0)*Table_NFI[[#This Row],[Shelter Tool kit]],Table_NFI[Shelter Tool kit])</f>
        <v>0</v>
      </c>
      <c r="AP332" s="296">
        <f>IF(NFI_Expiration=1,IF($A332&lt;VLOOKUP(V$5,NFI,5,0),1,0)*Table_NFI[[#This Row],[Tent]],Table_NFI[Tent])</f>
        <v>0</v>
      </c>
      <c r="AQ332" s="396" t="str">
        <f>IFERROR(VLOOKUP(Table_NFI[[#This Row],[Camp Name]],CL,2,0),"")</f>
        <v>MMR001CMP148</v>
      </c>
      <c r="AR332" s="702">
        <f ca="1">IF(Table_NFI[[#This Row],[Pcode]]="","",IF(OFFSET(CampList[Opening Date],MATCH(Table_NFI[[#This Row],[Pcode]],CampList[CP_Pcode],0)-1,0,1,1)&gt;=NFI_Monitor_Date,1,0))</f>
        <v>0</v>
      </c>
      <c r="AS332" s="396" t="str">
        <f>IFERROR(VLOOKUP(Table_NFI[[#This Row],[Camp Name]],CL,3,0),"")</f>
        <v>Open</v>
      </c>
      <c r="AT332" s="264" t="str">
        <f ca="1">IF(Table_NFI[[#This Row],[Pcode]]="","",OFFSET(CampList[Priority],MATCH(Table_NFI[[#This Row],[Pcode]],CampList[CP_Pcode],0)-1,0,1,1))</f>
        <v>P4</v>
      </c>
      <c r="AU332" s="263">
        <f>IFERROR(Table_NFI[[#This Row],[Kitchen Set]]/VLOOKUP(Table_NFI[[#This Row],[Camp Name]],CL,4,0),"")</f>
        <v>0</v>
      </c>
      <c r="AV332" s="390"/>
      <c r="AW332" s="392"/>
      <c r="AX332" s="399"/>
      <c r="AY332" s="399"/>
      <c r="AZ332" s="399"/>
      <c r="BA332" s="399"/>
      <c r="BB332" s="399"/>
      <c r="BC332" s="399"/>
      <c r="BD332" s="399"/>
      <c r="BE332" s="399"/>
      <c r="BF332" s="399"/>
      <c r="BG332" s="399"/>
      <c r="BH332" s="399"/>
      <c r="BI332" s="399"/>
      <c r="BJ332" s="399"/>
      <c r="BK332" s="399"/>
      <c r="BL332" s="399"/>
      <c r="BM332" s="399"/>
      <c r="BN332" s="399"/>
      <c r="BO332" s="399"/>
      <c r="BP332" s="399"/>
      <c r="BQ332" s="399"/>
      <c r="BR332" s="399"/>
      <c r="BS332" s="399"/>
      <c r="BT332" s="399"/>
      <c r="BU332" s="399"/>
      <c r="BV332" s="399"/>
      <c r="BW332" s="399"/>
      <c r="BX332" s="399"/>
      <c r="BY332" s="399"/>
      <c r="BZ332" s="399"/>
      <c r="CA332" s="399"/>
      <c r="CB332" s="399"/>
      <c r="CC332" s="399"/>
      <c r="CD332" s="399"/>
      <c r="CE332" s="399"/>
      <c r="CF332" s="399"/>
      <c r="CG332" s="399"/>
      <c r="CH332" s="399"/>
      <c r="CI332" s="399"/>
      <c r="CJ332" s="399"/>
      <c r="CK332" s="399"/>
      <c r="CL332" s="399"/>
      <c r="CM332" s="399"/>
      <c r="CN332" s="399"/>
      <c r="CO332" s="399"/>
      <c r="CP332" s="399"/>
      <c r="CQ332" s="399"/>
      <c r="CR332" s="399"/>
      <c r="CS332" s="399"/>
      <c r="CT332" s="399"/>
      <c r="CU332" s="399"/>
      <c r="CV332" s="399"/>
      <c r="CW332" s="399"/>
      <c r="CX332" s="399"/>
      <c r="CY332" s="399"/>
      <c r="CZ332" s="399"/>
      <c r="DA332" s="399"/>
      <c r="DB332" s="399"/>
      <c r="DC332" s="399"/>
      <c r="DD332" s="399"/>
      <c r="DE332" s="399"/>
      <c r="DF332" s="399"/>
      <c r="DG332" s="399"/>
      <c r="DH332" s="399"/>
      <c r="DI332" s="399"/>
      <c r="DJ332" s="399"/>
      <c r="DK332" s="399"/>
      <c r="DL332" s="399"/>
      <c r="DM332" s="399"/>
      <c r="DN332" s="399"/>
      <c r="DO332" s="399"/>
      <c r="DP332" s="399"/>
      <c r="DQ332" s="399"/>
    </row>
    <row r="333" spans="1:121" s="393" customFormat="1" ht="15" customHeight="1" x14ac:dyDescent="0.25">
      <c r="A333" s="266">
        <f t="shared" si="5"/>
        <v>30.633333333333333</v>
      </c>
      <c r="B333" s="389">
        <v>41937</v>
      </c>
      <c r="C333" s="390" t="s">
        <v>1089</v>
      </c>
      <c r="D333" s="390" t="s">
        <v>899</v>
      </c>
      <c r="E333" s="390" t="s">
        <v>380</v>
      </c>
      <c r="F333" s="390" t="s">
        <v>526</v>
      </c>
      <c r="G333" s="390" t="s">
        <v>44</v>
      </c>
      <c r="H333" s="261"/>
      <c r="I333" s="261"/>
      <c r="J333" s="261"/>
      <c r="K333" s="261"/>
      <c r="L333" s="261"/>
      <c r="M333" s="261"/>
      <c r="N333" s="261"/>
      <c r="O333" s="261"/>
      <c r="P333" s="261"/>
      <c r="Q333" s="261"/>
      <c r="R333" s="261">
        <v>33</v>
      </c>
      <c r="S333" s="261">
        <v>24</v>
      </c>
      <c r="T333" s="261"/>
      <c r="U333" s="261"/>
      <c r="V333" s="762"/>
      <c r="W333" s="762"/>
      <c r="X333" s="762"/>
      <c r="Y333" s="264">
        <f>IF(NFI_Expiration=1,IF($A333&lt;VLOOKUP(H$5,NFI,5,0),1,0)*Table_NFI[[#This Row],[Hygiene Kit]],Table_NFI[Hygiene Kit])</f>
        <v>0</v>
      </c>
      <c r="Z333" s="264">
        <f>IF(NFI_Expiration=1,IF($A333&lt;VLOOKUP(I$5,NFI,5,0),1,0)*Table_NFI[[#This Row],[NFI Core Kit]],Table_NFI[NFI Core Kit])</f>
        <v>0</v>
      </c>
      <c r="AA333" s="264">
        <f>IF(NFI_Expiration=1,IF($A333&lt;VLOOKUP(J$5,NFI,5,0),1,0)*Table_NFI[[#This Row],[Sanitary Kit]],Table_NFI[Sanitary Kit])</f>
        <v>0</v>
      </c>
      <c r="AB333" s="264">
        <f>IF(NFI_Expiration=1,IF($A333&lt;VLOOKUP(K$5,NFI,5,0),1,0)*Table_NFI[[#This Row],[Mosquito net]],Table_NFI[Mosquito net])</f>
        <v>0</v>
      </c>
      <c r="AC333" s="264">
        <f>IF(NFI_Expiration=1,IF($A333&lt;VLOOKUP(L$5,NFI,5,0),1,0)*Table_NFI[[#This Row],[Tarpaulin]],Table_NFI[[#This Row],[Tarpaulin]])</f>
        <v>0</v>
      </c>
      <c r="AD333" s="264">
        <f>IF(NFI_Expiration=1,IF($A333&lt;VLOOKUP(M$5,NFI,5,0),1,0)*Table_NFI[[#This Row],[Blanket]],Table_NFI[[#This Row],[Blanket]])</f>
        <v>0</v>
      </c>
      <c r="AE333" s="264">
        <f>IF(NFI_Expiration=1,IF($A333&lt;VLOOKUP(N$5,NFI,5,0),1,0)*Table_NFI[[#This Row],[Kitchen Set]],Table_NFI[Kitchen Set])</f>
        <v>0</v>
      </c>
      <c r="AF333" s="264">
        <f>IF(NFI_Expiration=1,IF($A333&lt;VLOOKUP(O$5,NFI,5,0),1,0)*Table_NFI[[#This Row],[Clothes Kit]],Table_NFI[Clothes Kit])</f>
        <v>0</v>
      </c>
      <c r="AG333" s="264">
        <f>IF(NFI_Expiration=1,IF($A333&lt;VLOOKUP(P$5,NFI,5,0),1,0)*Table_NFI[[#This Row],[Plastic Bucket]],Table_NFI[Plastic Bucket])</f>
        <v>0</v>
      </c>
      <c r="AH333" s="264">
        <f>IF(NFI_Expiration=1,IF($A333&lt;VLOOKUP(Q$5,NFI,5,0),1,0)*Table_NFI[[#This Row],[Plastic Mat]],Table_NFI[Plastic Mat])*IF(Table_NFI[[#This Row],[Distribution Date]]&gt;"2014-04-01",1,2.5)</f>
        <v>0</v>
      </c>
      <c r="AI333" s="264">
        <f>IF(NFI_Expiration=1,IF($A333&lt;VLOOKUP(R$5,NFI,5,0),1,0)*Table_NFI[[#This Row],[Winter Clothes Adult]],Table_NFI[Winter Clothes Adult])</f>
        <v>0</v>
      </c>
      <c r="AJ333" s="264">
        <f>IF(NFI_Expiration=1,IF($A333&lt;VLOOKUP(S$5,NFI,5,0),1,0)*Table_NFI[[#This Row],[Winter Clothes Children]],Table_NFI[Winter Clothes Children])</f>
        <v>0</v>
      </c>
      <c r="AK333" s="264">
        <f>IF(NFI_Expiration=1,IF($A333&lt;VLOOKUP(T$5,NFI,5,0),1,0)*Table_NFI[[#This Row],[Winter Items Other]],Table_NFI[Winter Items Other])</f>
        <v>0</v>
      </c>
      <c r="AL333" s="264">
        <f>IF(NFI_Expiration=1,IF($A333&lt;VLOOKUP(M$5,NFI,5,0),1,0)*Table_NFI[[#This Row],[Winter Blanket]],Table_NFI[[#This Row],[Winter Blanket]])</f>
        <v>0</v>
      </c>
      <c r="AM333" s="264">
        <f>IF(Table_NFI[[#This Row],[Winter Clothes Adult]]+Table_NFI[[#This Row],[Winter Clothes Children]]+Table_NFI[[#This Row],[Winter Items Other]]+Table_NFI[[#This Row],[Winter Blanket]]&gt;0,1,0)</f>
        <v>1</v>
      </c>
      <c r="AN333" s="296">
        <f>IF(NFI_Expiration=1,IF($A333&lt;VLOOKUP(V$5,NFI,5,0),1,0)*Table_NFI[[#This Row],[Jerry Can]],Table_NFI[Jerry Can])</f>
        <v>0</v>
      </c>
      <c r="AO333" s="296">
        <f>IF(NFI_Expiration=1,IF($A333&lt;VLOOKUP(V$5,NFI,5,0),1,0)*Table_NFI[[#This Row],[Shelter Tool kit]],Table_NFI[Shelter Tool kit])</f>
        <v>0</v>
      </c>
      <c r="AP333" s="296">
        <f>IF(NFI_Expiration=1,IF($A333&lt;VLOOKUP(V$5,NFI,5,0),1,0)*Table_NFI[[#This Row],[Tent]],Table_NFI[Tent])</f>
        <v>0</v>
      </c>
      <c r="AQ333" s="396" t="str">
        <f>IFERROR(VLOOKUP(Table_NFI[[#This Row],[Camp Name]],CL,2,0),"")</f>
        <v>MMR001CMP191</v>
      </c>
      <c r="AR333" s="702">
        <f ca="1">IF(Table_NFI[[#This Row],[Pcode]]="","",IF(OFFSET(CampList[Opening Date],MATCH(Table_NFI[[#This Row],[Pcode]],CampList[CP_Pcode],0)-1,0,1,1)&gt;=NFI_Monitor_Date,1,0))</f>
        <v>0</v>
      </c>
      <c r="AS333" s="396" t="str">
        <f>IFERROR(VLOOKUP(Table_NFI[[#This Row],[Camp Name]],CL,3,0),"")</f>
        <v>Open</v>
      </c>
      <c r="AT333" s="264" t="str">
        <f ca="1">IF(Table_NFI[[#This Row],[Pcode]]="","",OFFSET(CampList[Priority],MATCH(Table_NFI[[#This Row],[Pcode]],CampList[CP_Pcode],0)-1,0,1,1))</f>
        <v>P4</v>
      </c>
      <c r="AU333" s="263">
        <f>IFERROR(Table_NFI[[#This Row],[Kitchen Set]]/VLOOKUP(Table_NFI[[#This Row],[Camp Name]],CL,4,0),"")</f>
        <v>0</v>
      </c>
      <c r="AV333" s="390"/>
      <c r="AW333" s="392"/>
      <c r="AX333" s="399"/>
      <c r="AY333" s="399"/>
      <c r="AZ333" s="399"/>
      <c r="BA333" s="399"/>
      <c r="BB333" s="399"/>
      <c r="BC333" s="399"/>
      <c r="BD333" s="399"/>
      <c r="BE333" s="399"/>
      <c r="BF333" s="399"/>
      <c r="BG333" s="399"/>
      <c r="BH333" s="399"/>
      <c r="BI333" s="399"/>
      <c r="BJ333" s="399"/>
      <c r="BK333" s="399"/>
      <c r="BL333" s="399"/>
      <c r="BM333" s="399"/>
      <c r="BN333" s="399"/>
      <c r="BO333" s="399"/>
      <c r="BP333" s="399"/>
      <c r="BQ333" s="399"/>
      <c r="BR333" s="399"/>
      <c r="BS333" s="399"/>
      <c r="BT333" s="399"/>
      <c r="BU333" s="399"/>
      <c r="BV333" s="399"/>
      <c r="BW333" s="399"/>
      <c r="BX333" s="399"/>
      <c r="BY333" s="399"/>
      <c r="BZ333" s="399"/>
      <c r="CA333" s="399"/>
      <c r="CB333" s="399"/>
      <c r="CC333" s="399"/>
      <c r="CD333" s="399"/>
      <c r="CE333" s="399"/>
      <c r="CF333" s="399"/>
      <c r="CG333" s="399"/>
      <c r="CH333" s="399"/>
      <c r="CI333" s="399"/>
      <c r="CJ333" s="399"/>
      <c r="CK333" s="399"/>
      <c r="CL333" s="399"/>
      <c r="CM333" s="399"/>
      <c r="CN333" s="399"/>
      <c r="CO333" s="399"/>
      <c r="CP333" s="399"/>
      <c r="CQ333" s="399"/>
      <c r="CR333" s="399"/>
      <c r="CS333" s="399"/>
      <c r="CT333" s="399"/>
      <c r="CU333" s="399"/>
      <c r="CV333" s="399"/>
      <c r="CW333" s="399"/>
      <c r="CX333" s="399"/>
      <c r="CY333" s="399"/>
      <c r="CZ333" s="399"/>
      <c r="DA333" s="399"/>
      <c r="DB333" s="399"/>
      <c r="DC333" s="399"/>
      <c r="DD333" s="399"/>
      <c r="DE333" s="399"/>
      <c r="DF333" s="399"/>
      <c r="DG333" s="399"/>
      <c r="DH333" s="399"/>
      <c r="DI333" s="399"/>
      <c r="DJ333" s="399"/>
      <c r="DK333" s="399"/>
      <c r="DL333" s="399"/>
      <c r="DM333" s="399"/>
      <c r="DN333" s="399"/>
      <c r="DO333" s="399"/>
      <c r="DP333" s="399"/>
      <c r="DQ333" s="399"/>
    </row>
    <row r="334" spans="1:121" s="760" customFormat="1" ht="15" customHeight="1" x14ac:dyDescent="0.25">
      <c r="A334" s="266">
        <f t="shared" si="5"/>
        <v>30.633333333333333</v>
      </c>
      <c r="B334" s="389">
        <v>41937</v>
      </c>
      <c r="C334" s="390" t="s">
        <v>1089</v>
      </c>
      <c r="D334" s="390" t="s">
        <v>899</v>
      </c>
      <c r="E334" s="390" t="s">
        <v>380</v>
      </c>
      <c r="F334" s="390" t="s">
        <v>526</v>
      </c>
      <c r="G334" s="390" t="s">
        <v>1061</v>
      </c>
      <c r="H334" s="261"/>
      <c r="I334" s="261"/>
      <c r="J334" s="261"/>
      <c r="K334" s="261"/>
      <c r="L334" s="261"/>
      <c r="M334" s="261"/>
      <c r="N334" s="261"/>
      <c r="O334" s="261"/>
      <c r="P334" s="261"/>
      <c r="Q334" s="261"/>
      <c r="R334" s="261">
        <v>186</v>
      </c>
      <c r="S334" s="261">
        <v>125</v>
      </c>
      <c r="T334" s="261"/>
      <c r="U334" s="261"/>
      <c r="V334" s="762"/>
      <c r="W334" s="762"/>
      <c r="X334" s="762"/>
      <c r="Y334" s="264">
        <f>IF(NFI_Expiration=1,IF($A334&lt;VLOOKUP(H$5,NFI,5,0),1,0)*Table_NFI[[#This Row],[Hygiene Kit]],Table_NFI[Hygiene Kit])</f>
        <v>0</v>
      </c>
      <c r="Z334" s="264">
        <f>IF(NFI_Expiration=1,IF($A334&lt;VLOOKUP(I$5,NFI,5,0),1,0)*Table_NFI[[#This Row],[NFI Core Kit]],Table_NFI[NFI Core Kit])</f>
        <v>0</v>
      </c>
      <c r="AA334" s="264">
        <f>IF(NFI_Expiration=1,IF($A334&lt;VLOOKUP(J$5,NFI,5,0),1,0)*Table_NFI[[#This Row],[Sanitary Kit]],Table_NFI[Sanitary Kit])</f>
        <v>0</v>
      </c>
      <c r="AB334" s="264">
        <f>IF(NFI_Expiration=1,IF($A334&lt;VLOOKUP(K$5,NFI,5,0),1,0)*Table_NFI[[#This Row],[Mosquito net]],Table_NFI[Mosquito net])</f>
        <v>0</v>
      </c>
      <c r="AC334" s="264">
        <f>IF(NFI_Expiration=1,IF($A334&lt;VLOOKUP(L$5,NFI,5,0),1,0)*Table_NFI[[#This Row],[Tarpaulin]],Table_NFI[[#This Row],[Tarpaulin]])</f>
        <v>0</v>
      </c>
      <c r="AD334" s="264">
        <f>IF(NFI_Expiration=1,IF($A334&lt;VLOOKUP(M$5,NFI,5,0),1,0)*Table_NFI[[#This Row],[Blanket]],Table_NFI[[#This Row],[Blanket]])</f>
        <v>0</v>
      </c>
      <c r="AE334" s="264">
        <f>IF(NFI_Expiration=1,IF($A334&lt;VLOOKUP(N$5,NFI,5,0),1,0)*Table_NFI[[#This Row],[Kitchen Set]],Table_NFI[Kitchen Set])</f>
        <v>0</v>
      </c>
      <c r="AF334" s="264">
        <f>IF(NFI_Expiration=1,IF($A334&lt;VLOOKUP(O$5,NFI,5,0),1,0)*Table_NFI[[#This Row],[Clothes Kit]],Table_NFI[Clothes Kit])</f>
        <v>0</v>
      </c>
      <c r="AG334" s="264">
        <f>IF(NFI_Expiration=1,IF($A334&lt;VLOOKUP(P$5,NFI,5,0),1,0)*Table_NFI[[#This Row],[Plastic Bucket]],Table_NFI[Plastic Bucket])</f>
        <v>0</v>
      </c>
      <c r="AH334" s="264">
        <f>IF(NFI_Expiration=1,IF($A334&lt;VLOOKUP(Q$5,NFI,5,0),1,0)*Table_NFI[[#This Row],[Plastic Mat]],Table_NFI[Plastic Mat])*IF(Table_NFI[[#This Row],[Distribution Date]]&gt;"2014-04-01",1,2.5)</f>
        <v>0</v>
      </c>
      <c r="AI334" s="264">
        <f>IF(NFI_Expiration=1,IF($A334&lt;VLOOKUP(R$5,NFI,5,0),1,0)*Table_NFI[[#This Row],[Winter Clothes Adult]],Table_NFI[Winter Clothes Adult])</f>
        <v>0</v>
      </c>
      <c r="AJ334" s="264">
        <f>IF(NFI_Expiration=1,IF($A334&lt;VLOOKUP(S$5,NFI,5,0),1,0)*Table_NFI[[#This Row],[Winter Clothes Children]],Table_NFI[Winter Clothes Children])</f>
        <v>0</v>
      </c>
      <c r="AK334" s="264">
        <f>IF(NFI_Expiration=1,IF($A334&lt;VLOOKUP(T$5,NFI,5,0),1,0)*Table_NFI[[#This Row],[Winter Items Other]],Table_NFI[Winter Items Other])</f>
        <v>0</v>
      </c>
      <c r="AL334" s="264">
        <f>IF(NFI_Expiration=1,IF($A334&lt;VLOOKUP(M$5,NFI,5,0),1,0)*Table_NFI[[#This Row],[Winter Blanket]],Table_NFI[[#This Row],[Winter Blanket]])</f>
        <v>0</v>
      </c>
      <c r="AM334" s="264">
        <f>IF(Table_NFI[[#This Row],[Winter Clothes Adult]]+Table_NFI[[#This Row],[Winter Clothes Children]]+Table_NFI[[#This Row],[Winter Items Other]]+Table_NFI[[#This Row],[Winter Blanket]]&gt;0,1,0)</f>
        <v>1</v>
      </c>
      <c r="AN334" s="296">
        <f>IF(NFI_Expiration=1,IF($A334&lt;VLOOKUP(V$5,NFI,5,0),1,0)*Table_NFI[[#This Row],[Jerry Can]],Table_NFI[Jerry Can])</f>
        <v>0</v>
      </c>
      <c r="AO334" s="296">
        <f>IF(NFI_Expiration=1,IF($A334&lt;VLOOKUP(V$5,NFI,5,0),1,0)*Table_NFI[[#This Row],[Shelter Tool kit]],Table_NFI[Shelter Tool kit])</f>
        <v>0</v>
      </c>
      <c r="AP334" s="296">
        <f>IF(NFI_Expiration=1,IF($A334&lt;VLOOKUP(V$5,NFI,5,0),1,0)*Table_NFI[[#This Row],[Tent]],Table_NFI[Tent])</f>
        <v>0</v>
      </c>
      <c r="AQ334" s="396" t="str">
        <f>IFERROR(VLOOKUP(Table_NFI[[#This Row],[Camp Name]],CL,2,0),"")</f>
        <v>MMR001CMP229</v>
      </c>
      <c r="AR334" s="702">
        <f ca="1">IF(Table_NFI[[#This Row],[Pcode]]="","",IF(OFFSET(CampList[Opening Date],MATCH(Table_NFI[[#This Row],[Pcode]],CampList[CP_Pcode],0)-1,0,1,1)&gt;=NFI_Monitor_Date,1,0))</f>
        <v>0</v>
      </c>
      <c r="AS334" s="396" t="str">
        <f>IFERROR(VLOOKUP(Table_NFI[[#This Row],[Camp Name]],CL,3,0),"")</f>
        <v>Open</v>
      </c>
      <c r="AT334" s="264" t="str">
        <f ca="1">IF(Table_NFI[[#This Row],[Pcode]]="","",OFFSET(CampList[Priority],MATCH(Table_NFI[[#This Row],[Pcode]],CampList[CP_Pcode],0)-1,0,1,1))</f>
        <v>P4</v>
      </c>
      <c r="AU334" s="263">
        <f>IFERROR(Table_NFI[[#This Row],[Kitchen Set]]/VLOOKUP(Table_NFI[[#This Row],[Camp Name]],CL,4,0),"")</f>
        <v>0</v>
      </c>
      <c r="AV334" s="390"/>
      <c r="AW334" s="392"/>
      <c r="AX334" s="399"/>
      <c r="AY334" s="399"/>
      <c r="AZ334" s="399"/>
      <c r="BA334" s="399"/>
      <c r="BB334" s="399"/>
      <c r="BC334" s="399"/>
      <c r="BD334" s="399"/>
      <c r="BE334" s="399"/>
      <c r="BF334" s="399"/>
      <c r="BG334" s="399"/>
      <c r="BH334" s="399"/>
      <c r="BI334" s="399"/>
      <c r="BJ334" s="399"/>
      <c r="BK334" s="399"/>
      <c r="BL334" s="399"/>
      <c r="BM334" s="399"/>
      <c r="BN334" s="399"/>
      <c r="BO334" s="399"/>
      <c r="BP334" s="399"/>
      <c r="BQ334" s="399"/>
      <c r="BR334" s="399"/>
      <c r="BS334" s="399"/>
      <c r="BT334" s="399"/>
      <c r="BU334" s="399"/>
      <c r="BV334" s="399"/>
      <c r="BW334" s="399"/>
      <c r="BX334" s="399"/>
      <c r="BY334" s="399"/>
      <c r="BZ334" s="399"/>
      <c r="CA334" s="399"/>
      <c r="CB334" s="399"/>
      <c r="CC334" s="399"/>
      <c r="CD334" s="399"/>
      <c r="CE334" s="399"/>
      <c r="CF334" s="399"/>
      <c r="CG334" s="399"/>
      <c r="CH334" s="399"/>
      <c r="CI334" s="399"/>
      <c r="CJ334" s="399"/>
      <c r="CK334" s="399"/>
      <c r="CL334" s="399"/>
      <c r="CM334" s="399"/>
      <c r="CN334" s="399"/>
      <c r="CO334" s="399"/>
      <c r="CP334" s="399"/>
      <c r="CQ334" s="399"/>
      <c r="CR334" s="399"/>
      <c r="CS334" s="399"/>
      <c r="CT334" s="399"/>
      <c r="CU334" s="399"/>
      <c r="CV334" s="399"/>
      <c r="CW334" s="399"/>
      <c r="CX334" s="399"/>
      <c r="CY334" s="399"/>
      <c r="CZ334" s="399"/>
      <c r="DA334" s="399"/>
      <c r="DB334" s="399"/>
      <c r="DC334" s="399"/>
      <c r="DD334" s="399"/>
      <c r="DE334" s="399"/>
      <c r="DF334" s="399"/>
      <c r="DG334" s="399"/>
      <c r="DH334" s="399"/>
      <c r="DI334" s="399"/>
      <c r="DJ334" s="399"/>
      <c r="DK334" s="399"/>
      <c r="DL334" s="399"/>
      <c r="DM334" s="399"/>
      <c r="DN334" s="399"/>
      <c r="DO334" s="399"/>
      <c r="DP334" s="399"/>
      <c r="DQ334" s="399"/>
    </row>
    <row r="335" spans="1:121" s="760" customFormat="1" ht="15" customHeight="1" x14ac:dyDescent="0.25">
      <c r="A335" s="266">
        <f t="shared" si="5"/>
        <v>30.633333333333333</v>
      </c>
      <c r="B335" s="389">
        <v>41937</v>
      </c>
      <c r="C335" s="390" t="s">
        <v>1089</v>
      </c>
      <c r="D335" s="390" t="s">
        <v>899</v>
      </c>
      <c r="E335" s="390" t="s">
        <v>380</v>
      </c>
      <c r="F335" s="390" t="s">
        <v>526</v>
      </c>
      <c r="G335" s="390" t="s">
        <v>90</v>
      </c>
      <c r="H335" s="261"/>
      <c r="I335" s="261"/>
      <c r="J335" s="261"/>
      <c r="K335" s="261"/>
      <c r="L335" s="261"/>
      <c r="M335" s="261"/>
      <c r="N335" s="261"/>
      <c r="O335" s="261"/>
      <c r="P335" s="261"/>
      <c r="Q335" s="261"/>
      <c r="R335" s="261">
        <v>90</v>
      </c>
      <c r="S335" s="261">
        <v>39</v>
      </c>
      <c r="T335" s="261"/>
      <c r="U335" s="261"/>
      <c r="V335" s="762"/>
      <c r="W335" s="762"/>
      <c r="X335" s="762"/>
      <c r="Y335" s="264">
        <f>IF(NFI_Expiration=1,IF($A335&lt;VLOOKUP(H$5,NFI,5,0),1,0)*Table_NFI[[#This Row],[Hygiene Kit]],Table_NFI[Hygiene Kit])</f>
        <v>0</v>
      </c>
      <c r="Z335" s="264">
        <f>IF(NFI_Expiration=1,IF($A335&lt;VLOOKUP(I$5,NFI,5,0),1,0)*Table_NFI[[#This Row],[NFI Core Kit]],Table_NFI[NFI Core Kit])</f>
        <v>0</v>
      </c>
      <c r="AA335" s="264">
        <f>IF(NFI_Expiration=1,IF($A335&lt;VLOOKUP(J$5,NFI,5,0),1,0)*Table_NFI[[#This Row],[Sanitary Kit]],Table_NFI[Sanitary Kit])</f>
        <v>0</v>
      </c>
      <c r="AB335" s="264">
        <f>IF(NFI_Expiration=1,IF($A335&lt;VLOOKUP(K$5,NFI,5,0),1,0)*Table_NFI[[#This Row],[Mosquito net]],Table_NFI[Mosquito net])</f>
        <v>0</v>
      </c>
      <c r="AC335" s="264">
        <f>IF(NFI_Expiration=1,IF($A335&lt;VLOOKUP(L$5,NFI,5,0),1,0)*Table_NFI[[#This Row],[Tarpaulin]],Table_NFI[[#This Row],[Tarpaulin]])</f>
        <v>0</v>
      </c>
      <c r="AD335" s="264">
        <f>IF(NFI_Expiration=1,IF($A335&lt;VLOOKUP(M$5,NFI,5,0),1,0)*Table_NFI[[#This Row],[Blanket]],Table_NFI[[#This Row],[Blanket]])</f>
        <v>0</v>
      </c>
      <c r="AE335" s="264">
        <f>IF(NFI_Expiration=1,IF($A335&lt;VLOOKUP(N$5,NFI,5,0),1,0)*Table_NFI[[#This Row],[Kitchen Set]],Table_NFI[Kitchen Set])</f>
        <v>0</v>
      </c>
      <c r="AF335" s="264">
        <f>IF(NFI_Expiration=1,IF($A335&lt;VLOOKUP(O$5,NFI,5,0),1,0)*Table_NFI[[#This Row],[Clothes Kit]],Table_NFI[Clothes Kit])</f>
        <v>0</v>
      </c>
      <c r="AG335" s="264">
        <f>IF(NFI_Expiration=1,IF($A335&lt;VLOOKUP(P$5,NFI,5,0),1,0)*Table_NFI[[#This Row],[Plastic Bucket]],Table_NFI[Plastic Bucket])</f>
        <v>0</v>
      </c>
      <c r="AH335" s="264">
        <f>IF(NFI_Expiration=1,IF($A335&lt;VLOOKUP(Q$5,NFI,5,0),1,0)*Table_NFI[[#This Row],[Plastic Mat]],Table_NFI[Plastic Mat])*IF(Table_NFI[[#This Row],[Distribution Date]]&gt;"2014-04-01",1,2.5)</f>
        <v>0</v>
      </c>
      <c r="AI335" s="264">
        <f>IF(NFI_Expiration=1,IF($A335&lt;VLOOKUP(R$5,NFI,5,0),1,0)*Table_NFI[[#This Row],[Winter Clothes Adult]],Table_NFI[Winter Clothes Adult])</f>
        <v>0</v>
      </c>
      <c r="AJ335" s="264">
        <f>IF(NFI_Expiration=1,IF($A335&lt;VLOOKUP(S$5,NFI,5,0),1,0)*Table_NFI[[#This Row],[Winter Clothes Children]],Table_NFI[Winter Clothes Children])</f>
        <v>0</v>
      </c>
      <c r="AK335" s="264">
        <f>IF(NFI_Expiration=1,IF($A335&lt;VLOOKUP(T$5,NFI,5,0),1,0)*Table_NFI[[#This Row],[Winter Items Other]],Table_NFI[Winter Items Other])</f>
        <v>0</v>
      </c>
      <c r="AL335" s="264">
        <f>IF(NFI_Expiration=1,IF($A335&lt;VLOOKUP(M$5,NFI,5,0),1,0)*Table_NFI[[#This Row],[Winter Blanket]],Table_NFI[[#This Row],[Winter Blanket]])</f>
        <v>0</v>
      </c>
      <c r="AM335" s="264">
        <f>IF(Table_NFI[[#This Row],[Winter Clothes Adult]]+Table_NFI[[#This Row],[Winter Clothes Children]]+Table_NFI[[#This Row],[Winter Items Other]]+Table_NFI[[#This Row],[Winter Blanket]]&gt;0,1,0)</f>
        <v>1</v>
      </c>
      <c r="AN335" s="296">
        <f>IF(NFI_Expiration=1,IF($A335&lt;VLOOKUP(V$5,NFI,5,0),1,0)*Table_NFI[[#This Row],[Jerry Can]],Table_NFI[Jerry Can])</f>
        <v>0</v>
      </c>
      <c r="AO335" s="296">
        <f>IF(NFI_Expiration=1,IF($A335&lt;VLOOKUP(V$5,NFI,5,0),1,0)*Table_NFI[[#This Row],[Shelter Tool kit]],Table_NFI[Shelter Tool kit])</f>
        <v>0</v>
      </c>
      <c r="AP335" s="296">
        <f>IF(NFI_Expiration=1,IF($A335&lt;VLOOKUP(V$5,NFI,5,0),1,0)*Table_NFI[[#This Row],[Tent]],Table_NFI[Tent])</f>
        <v>0</v>
      </c>
      <c r="AQ335" s="396" t="str">
        <f>IFERROR(VLOOKUP(Table_NFI[[#This Row],[Camp Name]],CL,2,0),"")</f>
        <v>MMR001CMP181</v>
      </c>
      <c r="AR335" s="702">
        <f ca="1">IF(Table_NFI[[#This Row],[Pcode]]="","",IF(OFFSET(CampList[Opening Date],MATCH(Table_NFI[[#This Row],[Pcode]],CampList[CP_Pcode],0)-1,0,1,1)&gt;=NFI_Monitor_Date,1,0))</f>
        <v>0</v>
      </c>
      <c r="AS335" s="396" t="str">
        <f>IFERROR(VLOOKUP(Table_NFI[[#This Row],[Camp Name]],CL,3,0),"")</f>
        <v>Open</v>
      </c>
      <c r="AT335" s="264" t="str">
        <f ca="1">IF(Table_NFI[[#This Row],[Pcode]]="","",OFFSET(CampList[Priority],MATCH(Table_NFI[[#This Row],[Pcode]],CampList[CP_Pcode],0)-1,0,1,1))</f>
        <v>P4</v>
      </c>
      <c r="AU335" s="263">
        <f>IFERROR(Table_NFI[[#This Row],[Kitchen Set]]/VLOOKUP(Table_NFI[[#This Row],[Camp Name]],CL,4,0),"")</f>
        <v>0</v>
      </c>
      <c r="AV335" s="390"/>
      <c r="AW335" s="392"/>
      <c r="AX335" s="399"/>
      <c r="AY335" s="399"/>
      <c r="AZ335" s="399"/>
      <c r="BA335" s="399"/>
      <c r="BB335" s="399"/>
      <c r="BC335" s="399"/>
      <c r="BD335" s="399"/>
      <c r="BE335" s="399"/>
      <c r="BF335" s="399"/>
      <c r="BG335" s="399"/>
      <c r="BH335" s="399"/>
      <c r="BI335" s="399"/>
      <c r="BJ335" s="399"/>
      <c r="BK335" s="399"/>
      <c r="BL335" s="399"/>
      <c r="BM335" s="399"/>
      <c r="BN335" s="399"/>
      <c r="BO335" s="399"/>
      <c r="BP335" s="399"/>
      <c r="BQ335" s="399"/>
      <c r="BR335" s="399"/>
      <c r="BS335" s="399"/>
      <c r="BT335" s="399"/>
      <c r="BU335" s="399"/>
      <c r="BV335" s="399"/>
      <c r="BW335" s="399"/>
      <c r="BX335" s="399"/>
      <c r="BY335" s="399"/>
      <c r="BZ335" s="399"/>
      <c r="CA335" s="399"/>
      <c r="CB335" s="399"/>
      <c r="CC335" s="399"/>
      <c r="CD335" s="399"/>
      <c r="CE335" s="399"/>
      <c r="CF335" s="399"/>
      <c r="CG335" s="399"/>
      <c r="CH335" s="399"/>
      <c r="CI335" s="399"/>
      <c r="CJ335" s="399"/>
      <c r="CK335" s="399"/>
      <c r="CL335" s="399"/>
      <c r="CM335" s="399"/>
      <c r="CN335" s="399"/>
      <c r="CO335" s="399"/>
      <c r="CP335" s="399"/>
      <c r="CQ335" s="399"/>
      <c r="CR335" s="399"/>
      <c r="CS335" s="399"/>
      <c r="CT335" s="399"/>
      <c r="CU335" s="399"/>
      <c r="CV335" s="399"/>
      <c r="CW335" s="399"/>
      <c r="CX335" s="399"/>
      <c r="CY335" s="399"/>
      <c r="CZ335" s="399"/>
      <c r="DA335" s="399"/>
      <c r="DB335" s="399"/>
      <c r="DC335" s="399"/>
      <c r="DD335" s="399"/>
      <c r="DE335" s="399"/>
      <c r="DF335" s="399"/>
      <c r="DG335" s="399"/>
      <c r="DH335" s="399"/>
      <c r="DI335" s="399"/>
      <c r="DJ335" s="399"/>
      <c r="DK335" s="399"/>
      <c r="DL335" s="399"/>
      <c r="DM335" s="399"/>
      <c r="DN335" s="399"/>
      <c r="DO335" s="399"/>
      <c r="DP335" s="399"/>
      <c r="DQ335" s="399"/>
    </row>
    <row r="336" spans="1:121" s="760" customFormat="1" ht="15" customHeight="1" x14ac:dyDescent="0.25">
      <c r="A336" s="266">
        <f t="shared" si="5"/>
        <v>30.633333333333333</v>
      </c>
      <c r="B336" s="389">
        <v>41937</v>
      </c>
      <c r="C336" s="390" t="s">
        <v>1089</v>
      </c>
      <c r="D336" s="390" t="s">
        <v>899</v>
      </c>
      <c r="E336" s="390" t="s">
        <v>380</v>
      </c>
      <c r="F336" s="390" t="s">
        <v>526</v>
      </c>
      <c r="G336" s="390" t="s">
        <v>92</v>
      </c>
      <c r="H336" s="261"/>
      <c r="I336" s="261"/>
      <c r="J336" s="261"/>
      <c r="K336" s="261"/>
      <c r="L336" s="261"/>
      <c r="M336" s="261"/>
      <c r="N336" s="261"/>
      <c r="O336" s="261"/>
      <c r="P336" s="261"/>
      <c r="Q336" s="261"/>
      <c r="R336" s="261">
        <v>48</v>
      </c>
      <c r="S336" s="261">
        <v>23</v>
      </c>
      <c r="T336" s="261"/>
      <c r="U336" s="261"/>
      <c r="V336" s="762"/>
      <c r="W336" s="762"/>
      <c r="X336" s="762"/>
      <c r="Y336" s="264">
        <f>IF(NFI_Expiration=1,IF($A336&lt;VLOOKUP(H$5,NFI,5,0),1,0)*Table_NFI[[#This Row],[Hygiene Kit]],Table_NFI[Hygiene Kit])</f>
        <v>0</v>
      </c>
      <c r="Z336" s="264">
        <f>IF(NFI_Expiration=1,IF($A336&lt;VLOOKUP(I$5,NFI,5,0),1,0)*Table_NFI[[#This Row],[NFI Core Kit]],Table_NFI[NFI Core Kit])</f>
        <v>0</v>
      </c>
      <c r="AA336" s="264">
        <f>IF(NFI_Expiration=1,IF($A336&lt;VLOOKUP(J$5,NFI,5,0),1,0)*Table_NFI[[#This Row],[Sanitary Kit]],Table_NFI[Sanitary Kit])</f>
        <v>0</v>
      </c>
      <c r="AB336" s="264">
        <f>IF(NFI_Expiration=1,IF($A336&lt;VLOOKUP(K$5,NFI,5,0),1,0)*Table_NFI[[#This Row],[Mosquito net]],Table_NFI[Mosquito net])</f>
        <v>0</v>
      </c>
      <c r="AC336" s="264">
        <f>IF(NFI_Expiration=1,IF($A336&lt;VLOOKUP(L$5,NFI,5,0),1,0)*Table_NFI[[#This Row],[Tarpaulin]],Table_NFI[[#This Row],[Tarpaulin]])</f>
        <v>0</v>
      </c>
      <c r="AD336" s="264">
        <f>IF(NFI_Expiration=1,IF($A336&lt;VLOOKUP(M$5,NFI,5,0),1,0)*Table_NFI[[#This Row],[Blanket]],Table_NFI[[#This Row],[Blanket]])</f>
        <v>0</v>
      </c>
      <c r="AE336" s="264">
        <f>IF(NFI_Expiration=1,IF($A336&lt;VLOOKUP(N$5,NFI,5,0),1,0)*Table_NFI[[#This Row],[Kitchen Set]],Table_NFI[Kitchen Set])</f>
        <v>0</v>
      </c>
      <c r="AF336" s="264">
        <f>IF(NFI_Expiration=1,IF($A336&lt;VLOOKUP(O$5,NFI,5,0),1,0)*Table_NFI[[#This Row],[Clothes Kit]],Table_NFI[Clothes Kit])</f>
        <v>0</v>
      </c>
      <c r="AG336" s="264">
        <f>IF(NFI_Expiration=1,IF($A336&lt;VLOOKUP(P$5,NFI,5,0),1,0)*Table_NFI[[#This Row],[Plastic Bucket]],Table_NFI[Plastic Bucket])</f>
        <v>0</v>
      </c>
      <c r="AH336" s="264">
        <f>IF(NFI_Expiration=1,IF($A336&lt;VLOOKUP(Q$5,NFI,5,0),1,0)*Table_NFI[[#This Row],[Plastic Mat]],Table_NFI[Plastic Mat])*IF(Table_NFI[[#This Row],[Distribution Date]]&gt;"2014-04-01",1,2.5)</f>
        <v>0</v>
      </c>
      <c r="AI336" s="264">
        <f>IF(NFI_Expiration=1,IF($A336&lt;VLOOKUP(R$5,NFI,5,0),1,0)*Table_NFI[[#This Row],[Winter Clothes Adult]],Table_NFI[Winter Clothes Adult])</f>
        <v>0</v>
      </c>
      <c r="AJ336" s="264">
        <f>IF(NFI_Expiration=1,IF($A336&lt;VLOOKUP(S$5,NFI,5,0),1,0)*Table_NFI[[#This Row],[Winter Clothes Children]],Table_NFI[Winter Clothes Children])</f>
        <v>0</v>
      </c>
      <c r="AK336" s="264">
        <f>IF(NFI_Expiration=1,IF($A336&lt;VLOOKUP(T$5,NFI,5,0),1,0)*Table_NFI[[#This Row],[Winter Items Other]],Table_NFI[Winter Items Other])</f>
        <v>0</v>
      </c>
      <c r="AL336" s="264">
        <f>IF(NFI_Expiration=1,IF($A336&lt;VLOOKUP(M$5,NFI,5,0),1,0)*Table_NFI[[#This Row],[Winter Blanket]],Table_NFI[[#This Row],[Winter Blanket]])</f>
        <v>0</v>
      </c>
      <c r="AM336" s="264">
        <f>IF(Table_NFI[[#This Row],[Winter Clothes Adult]]+Table_NFI[[#This Row],[Winter Clothes Children]]+Table_NFI[[#This Row],[Winter Items Other]]+Table_NFI[[#This Row],[Winter Blanket]]&gt;0,1,0)</f>
        <v>1</v>
      </c>
      <c r="AN336" s="296">
        <f>IF(NFI_Expiration=1,IF($A336&lt;VLOOKUP(V$5,NFI,5,0),1,0)*Table_NFI[[#This Row],[Jerry Can]],Table_NFI[Jerry Can])</f>
        <v>0</v>
      </c>
      <c r="AO336" s="296">
        <f>IF(NFI_Expiration=1,IF($A336&lt;VLOOKUP(V$5,NFI,5,0),1,0)*Table_NFI[[#This Row],[Shelter Tool kit]],Table_NFI[Shelter Tool kit])</f>
        <v>0</v>
      </c>
      <c r="AP336" s="296">
        <f>IF(NFI_Expiration=1,IF($A336&lt;VLOOKUP(V$5,NFI,5,0),1,0)*Table_NFI[[#This Row],[Tent]],Table_NFI[Tent])</f>
        <v>0</v>
      </c>
      <c r="AQ336" s="396" t="str">
        <f>IFERROR(VLOOKUP(Table_NFI[[#This Row],[Camp Name]],CL,2,0),"")</f>
        <v>MMR001CMP167</v>
      </c>
      <c r="AR336" s="702">
        <f ca="1">IF(Table_NFI[[#This Row],[Pcode]]="","",IF(OFFSET(CampList[Opening Date],MATCH(Table_NFI[[#This Row],[Pcode]],CampList[CP_Pcode],0)-1,0,1,1)&gt;=NFI_Monitor_Date,1,0))</f>
        <v>0</v>
      </c>
      <c r="AS336" s="396" t="str">
        <f>IFERROR(VLOOKUP(Table_NFI[[#This Row],[Camp Name]],CL,3,0),"")</f>
        <v>Open</v>
      </c>
      <c r="AT336" s="264" t="str">
        <f ca="1">IF(Table_NFI[[#This Row],[Pcode]]="","",OFFSET(CampList[Priority],MATCH(Table_NFI[[#This Row],[Pcode]],CampList[CP_Pcode],0)-1,0,1,1))</f>
        <v>P4</v>
      </c>
      <c r="AU336" s="263">
        <f>IFERROR(Table_NFI[[#This Row],[Kitchen Set]]/VLOOKUP(Table_NFI[[#This Row],[Camp Name]],CL,4,0),"")</f>
        <v>0</v>
      </c>
      <c r="AV336" s="390"/>
      <c r="AW336" s="392"/>
      <c r="AX336" s="399"/>
      <c r="AY336" s="399"/>
      <c r="AZ336" s="399"/>
      <c r="BA336" s="399"/>
      <c r="BB336" s="399"/>
      <c r="BC336" s="399"/>
      <c r="BD336" s="399"/>
      <c r="BE336" s="399"/>
      <c r="BF336" s="399"/>
      <c r="BG336" s="399"/>
      <c r="BH336" s="399"/>
      <c r="BI336" s="399"/>
      <c r="BJ336" s="399"/>
      <c r="BK336" s="399"/>
      <c r="BL336" s="399"/>
      <c r="BM336" s="399"/>
      <c r="BN336" s="399"/>
      <c r="BO336" s="399"/>
      <c r="BP336" s="399"/>
      <c r="BQ336" s="399"/>
      <c r="BR336" s="399"/>
      <c r="BS336" s="399"/>
      <c r="BT336" s="399"/>
      <c r="BU336" s="399"/>
      <c r="BV336" s="399"/>
      <c r="BW336" s="399"/>
      <c r="BX336" s="399"/>
      <c r="BY336" s="399"/>
      <c r="BZ336" s="399"/>
      <c r="CA336" s="399"/>
      <c r="CB336" s="399"/>
      <c r="CC336" s="399"/>
      <c r="CD336" s="399"/>
      <c r="CE336" s="399"/>
      <c r="CF336" s="399"/>
      <c r="CG336" s="399"/>
      <c r="CH336" s="399"/>
      <c r="CI336" s="399"/>
      <c r="CJ336" s="399"/>
      <c r="CK336" s="399"/>
      <c r="CL336" s="399"/>
      <c r="CM336" s="399"/>
      <c r="CN336" s="399"/>
      <c r="CO336" s="399"/>
      <c r="CP336" s="399"/>
      <c r="CQ336" s="399"/>
      <c r="CR336" s="399"/>
      <c r="CS336" s="399"/>
      <c r="CT336" s="399"/>
      <c r="CU336" s="399"/>
      <c r="CV336" s="399"/>
      <c r="CW336" s="399"/>
      <c r="CX336" s="399"/>
      <c r="CY336" s="399"/>
      <c r="CZ336" s="399"/>
      <c r="DA336" s="399"/>
      <c r="DB336" s="399"/>
      <c r="DC336" s="399"/>
      <c r="DD336" s="399"/>
      <c r="DE336" s="399"/>
      <c r="DF336" s="399"/>
      <c r="DG336" s="399"/>
      <c r="DH336" s="399"/>
      <c r="DI336" s="399"/>
      <c r="DJ336" s="399"/>
      <c r="DK336" s="399"/>
      <c r="DL336" s="399"/>
      <c r="DM336" s="399"/>
      <c r="DN336" s="399"/>
      <c r="DO336" s="399"/>
      <c r="DP336" s="399"/>
      <c r="DQ336" s="399"/>
    </row>
    <row r="337" spans="1:121" s="760" customFormat="1" ht="15" customHeight="1" x14ac:dyDescent="0.25">
      <c r="A337" s="266">
        <f t="shared" si="5"/>
        <v>30.633333333333333</v>
      </c>
      <c r="B337" s="389">
        <v>41937</v>
      </c>
      <c r="C337" s="390" t="s">
        <v>1089</v>
      </c>
      <c r="D337" s="390" t="s">
        <v>899</v>
      </c>
      <c r="E337" s="390" t="s">
        <v>380</v>
      </c>
      <c r="F337" s="390" t="s">
        <v>185</v>
      </c>
      <c r="G337" s="390" t="s">
        <v>186</v>
      </c>
      <c r="H337" s="261"/>
      <c r="I337" s="261"/>
      <c r="J337" s="261"/>
      <c r="K337" s="261"/>
      <c r="L337" s="261"/>
      <c r="M337" s="261"/>
      <c r="N337" s="261"/>
      <c r="O337" s="261"/>
      <c r="P337" s="261"/>
      <c r="Q337" s="261"/>
      <c r="R337" s="261">
        <v>112</v>
      </c>
      <c r="S337" s="261">
        <v>59</v>
      </c>
      <c r="T337" s="261"/>
      <c r="U337" s="261">
        <v>74</v>
      </c>
      <c r="V337" s="762"/>
      <c r="W337" s="762"/>
      <c r="X337" s="762"/>
      <c r="Y337" s="264">
        <f>IF(NFI_Expiration=1,IF($A337&lt;VLOOKUP(H$5,NFI,5,0),1,0)*Table_NFI[[#This Row],[Hygiene Kit]],Table_NFI[Hygiene Kit])</f>
        <v>0</v>
      </c>
      <c r="Z337" s="264">
        <f>IF(NFI_Expiration=1,IF($A337&lt;VLOOKUP(I$5,NFI,5,0),1,0)*Table_NFI[[#This Row],[NFI Core Kit]],Table_NFI[NFI Core Kit])</f>
        <v>0</v>
      </c>
      <c r="AA337" s="264">
        <f>IF(NFI_Expiration=1,IF($A337&lt;VLOOKUP(J$5,NFI,5,0),1,0)*Table_NFI[[#This Row],[Sanitary Kit]],Table_NFI[Sanitary Kit])</f>
        <v>0</v>
      </c>
      <c r="AB337" s="264">
        <f>IF(NFI_Expiration=1,IF($A337&lt;VLOOKUP(K$5,NFI,5,0),1,0)*Table_NFI[[#This Row],[Mosquito net]],Table_NFI[Mosquito net])</f>
        <v>0</v>
      </c>
      <c r="AC337" s="264">
        <f>IF(NFI_Expiration=1,IF($A337&lt;VLOOKUP(L$5,NFI,5,0),1,0)*Table_NFI[[#This Row],[Tarpaulin]],Table_NFI[[#This Row],[Tarpaulin]])</f>
        <v>0</v>
      </c>
      <c r="AD337" s="264">
        <f>IF(NFI_Expiration=1,IF($A337&lt;VLOOKUP(M$5,NFI,5,0),1,0)*Table_NFI[[#This Row],[Blanket]],Table_NFI[[#This Row],[Blanket]])</f>
        <v>0</v>
      </c>
      <c r="AE337" s="264">
        <f>IF(NFI_Expiration=1,IF($A337&lt;VLOOKUP(N$5,NFI,5,0),1,0)*Table_NFI[[#This Row],[Kitchen Set]],Table_NFI[Kitchen Set])</f>
        <v>0</v>
      </c>
      <c r="AF337" s="264">
        <f>IF(NFI_Expiration=1,IF($A337&lt;VLOOKUP(O$5,NFI,5,0),1,0)*Table_NFI[[#This Row],[Clothes Kit]],Table_NFI[Clothes Kit])</f>
        <v>0</v>
      </c>
      <c r="AG337" s="264">
        <f>IF(NFI_Expiration=1,IF($A337&lt;VLOOKUP(P$5,NFI,5,0),1,0)*Table_NFI[[#This Row],[Plastic Bucket]],Table_NFI[Plastic Bucket])</f>
        <v>0</v>
      </c>
      <c r="AH337" s="264">
        <f>IF(NFI_Expiration=1,IF($A337&lt;VLOOKUP(Q$5,NFI,5,0),1,0)*Table_NFI[[#This Row],[Plastic Mat]],Table_NFI[Plastic Mat])*IF(Table_NFI[[#This Row],[Distribution Date]]&gt;"2014-04-01",1,2.5)</f>
        <v>0</v>
      </c>
      <c r="AI337" s="264">
        <f>IF(NFI_Expiration=1,IF($A337&lt;VLOOKUP(R$5,NFI,5,0),1,0)*Table_NFI[[#This Row],[Winter Clothes Adult]],Table_NFI[Winter Clothes Adult])</f>
        <v>0</v>
      </c>
      <c r="AJ337" s="264">
        <f>IF(NFI_Expiration=1,IF($A337&lt;VLOOKUP(S$5,NFI,5,0),1,0)*Table_NFI[[#This Row],[Winter Clothes Children]],Table_NFI[Winter Clothes Children])</f>
        <v>0</v>
      </c>
      <c r="AK337" s="264">
        <f>IF(NFI_Expiration=1,IF($A337&lt;VLOOKUP(T$5,NFI,5,0),1,0)*Table_NFI[[#This Row],[Winter Items Other]],Table_NFI[Winter Items Other])</f>
        <v>0</v>
      </c>
      <c r="AL337" s="264">
        <f>IF(NFI_Expiration=1,IF($A337&lt;VLOOKUP(M$5,NFI,5,0),1,0)*Table_NFI[[#This Row],[Winter Blanket]],Table_NFI[[#This Row],[Winter Blanket]])</f>
        <v>0</v>
      </c>
      <c r="AM337" s="264">
        <f>IF(Table_NFI[[#This Row],[Winter Clothes Adult]]+Table_NFI[[#This Row],[Winter Clothes Children]]+Table_NFI[[#This Row],[Winter Items Other]]+Table_NFI[[#This Row],[Winter Blanket]]&gt;0,1,0)</f>
        <v>1</v>
      </c>
      <c r="AN337" s="296">
        <f>IF(NFI_Expiration=1,IF($A337&lt;VLOOKUP(V$5,NFI,5,0),1,0)*Table_NFI[[#This Row],[Jerry Can]],Table_NFI[Jerry Can])</f>
        <v>0</v>
      </c>
      <c r="AO337" s="296">
        <f>IF(NFI_Expiration=1,IF($A337&lt;VLOOKUP(V$5,NFI,5,0),1,0)*Table_NFI[[#This Row],[Shelter Tool kit]],Table_NFI[Shelter Tool kit])</f>
        <v>0</v>
      </c>
      <c r="AP337" s="296">
        <f>IF(NFI_Expiration=1,IF($A337&lt;VLOOKUP(V$5,NFI,5,0),1,0)*Table_NFI[[#This Row],[Tent]],Table_NFI[Tent])</f>
        <v>0</v>
      </c>
      <c r="AQ337" s="396" t="str">
        <f>IFERROR(VLOOKUP(Table_NFI[[#This Row],[Camp Name]],CL,2,0),"")</f>
        <v>MMR001CMP071</v>
      </c>
      <c r="AR337" s="702">
        <f ca="1">IF(Table_NFI[[#This Row],[Pcode]]="","",IF(OFFSET(CampList[Opening Date],MATCH(Table_NFI[[#This Row],[Pcode]],CampList[CP_Pcode],0)-1,0,1,1)&gt;=NFI_Monitor_Date,1,0))</f>
        <v>0</v>
      </c>
      <c r="AS337" s="396" t="str">
        <f>IFERROR(VLOOKUP(Table_NFI[[#This Row],[Camp Name]],CL,3,0),"")</f>
        <v>Open</v>
      </c>
      <c r="AT337" s="264" t="str">
        <f ca="1">IF(Table_NFI[[#This Row],[Pcode]]="","",OFFSET(CampList[Priority],MATCH(Table_NFI[[#This Row],[Pcode]],CampList[CP_Pcode],0)-1,0,1,1))</f>
        <v>P3</v>
      </c>
      <c r="AU337" s="263">
        <f>IFERROR(Table_NFI[[#This Row],[Kitchen Set]]/VLOOKUP(Table_NFI[[#This Row],[Camp Name]],CL,4,0),"")</f>
        <v>0</v>
      </c>
      <c r="AV337" s="390"/>
      <c r="AW337" s="392"/>
      <c r="AX337" s="399"/>
      <c r="AY337" s="399"/>
      <c r="AZ337" s="399"/>
      <c r="BA337" s="399"/>
      <c r="BB337" s="399"/>
      <c r="BC337" s="399"/>
      <c r="BD337" s="399"/>
      <c r="BE337" s="399"/>
      <c r="BF337" s="399"/>
      <c r="BG337" s="399"/>
      <c r="BH337" s="399"/>
      <c r="BI337" s="399"/>
      <c r="BJ337" s="399"/>
      <c r="BK337" s="399"/>
      <c r="BL337" s="399"/>
      <c r="BM337" s="399"/>
      <c r="BN337" s="399"/>
      <c r="BO337" s="399"/>
      <c r="BP337" s="399"/>
      <c r="BQ337" s="399"/>
      <c r="BR337" s="399"/>
      <c r="BS337" s="399"/>
      <c r="BT337" s="399"/>
      <c r="BU337" s="399"/>
      <c r="BV337" s="399"/>
      <c r="BW337" s="399"/>
      <c r="BX337" s="399"/>
      <c r="BY337" s="399"/>
      <c r="BZ337" s="399"/>
      <c r="CA337" s="399"/>
      <c r="CB337" s="399"/>
      <c r="CC337" s="399"/>
      <c r="CD337" s="399"/>
      <c r="CE337" s="399"/>
      <c r="CF337" s="399"/>
      <c r="CG337" s="399"/>
      <c r="CH337" s="399"/>
      <c r="CI337" s="399"/>
      <c r="CJ337" s="399"/>
      <c r="CK337" s="399"/>
      <c r="CL337" s="399"/>
      <c r="CM337" s="399"/>
      <c r="CN337" s="399"/>
      <c r="CO337" s="399"/>
      <c r="CP337" s="399"/>
      <c r="CQ337" s="399"/>
      <c r="CR337" s="399"/>
      <c r="CS337" s="399"/>
      <c r="CT337" s="399"/>
      <c r="CU337" s="399"/>
      <c r="CV337" s="399"/>
      <c r="CW337" s="399"/>
      <c r="CX337" s="399"/>
      <c r="CY337" s="399"/>
      <c r="CZ337" s="399"/>
      <c r="DA337" s="399"/>
      <c r="DB337" s="399"/>
      <c r="DC337" s="399"/>
      <c r="DD337" s="399"/>
      <c r="DE337" s="399"/>
      <c r="DF337" s="399"/>
      <c r="DG337" s="399"/>
      <c r="DH337" s="399"/>
      <c r="DI337" s="399"/>
      <c r="DJ337" s="399"/>
      <c r="DK337" s="399"/>
      <c r="DL337" s="399"/>
      <c r="DM337" s="399"/>
      <c r="DN337" s="399"/>
      <c r="DO337" s="399"/>
      <c r="DP337" s="399"/>
      <c r="DQ337" s="399"/>
    </row>
    <row r="338" spans="1:121" s="760" customFormat="1" ht="15" customHeight="1" x14ac:dyDescent="0.25">
      <c r="A338" s="266">
        <f t="shared" si="5"/>
        <v>30.633333333333333</v>
      </c>
      <c r="B338" s="389">
        <v>41937</v>
      </c>
      <c r="C338" s="390" t="s">
        <v>1089</v>
      </c>
      <c r="D338" s="390" t="s">
        <v>899</v>
      </c>
      <c r="E338" s="390" t="s">
        <v>380</v>
      </c>
      <c r="F338" s="390" t="s">
        <v>185</v>
      </c>
      <c r="G338" s="390" t="s">
        <v>223</v>
      </c>
      <c r="H338" s="261"/>
      <c r="I338" s="261"/>
      <c r="J338" s="261"/>
      <c r="K338" s="261"/>
      <c r="L338" s="261"/>
      <c r="M338" s="261"/>
      <c r="N338" s="261"/>
      <c r="O338" s="261"/>
      <c r="P338" s="261"/>
      <c r="Q338" s="261"/>
      <c r="R338" s="261">
        <v>203</v>
      </c>
      <c r="S338" s="261">
        <v>102</v>
      </c>
      <c r="T338" s="261"/>
      <c r="U338" s="261">
        <v>138</v>
      </c>
      <c r="V338" s="762"/>
      <c r="W338" s="762"/>
      <c r="X338" s="762"/>
      <c r="Y338" s="264">
        <f>IF(NFI_Expiration=1,IF($A338&lt;VLOOKUP(H$5,NFI,5,0),1,0)*Table_NFI[[#This Row],[Hygiene Kit]],Table_NFI[Hygiene Kit])</f>
        <v>0</v>
      </c>
      <c r="Z338" s="264">
        <f>IF(NFI_Expiration=1,IF($A338&lt;VLOOKUP(I$5,NFI,5,0),1,0)*Table_NFI[[#This Row],[NFI Core Kit]],Table_NFI[NFI Core Kit])</f>
        <v>0</v>
      </c>
      <c r="AA338" s="264">
        <f>IF(NFI_Expiration=1,IF($A338&lt;VLOOKUP(J$5,NFI,5,0),1,0)*Table_NFI[[#This Row],[Sanitary Kit]],Table_NFI[Sanitary Kit])</f>
        <v>0</v>
      </c>
      <c r="AB338" s="264">
        <f>IF(NFI_Expiration=1,IF($A338&lt;VLOOKUP(K$5,NFI,5,0),1,0)*Table_NFI[[#This Row],[Mosquito net]],Table_NFI[Mosquito net])</f>
        <v>0</v>
      </c>
      <c r="AC338" s="264">
        <f>IF(NFI_Expiration=1,IF($A338&lt;VLOOKUP(L$5,NFI,5,0),1,0)*Table_NFI[[#This Row],[Tarpaulin]],Table_NFI[[#This Row],[Tarpaulin]])</f>
        <v>0</v>
      </c>
      <c r="AD338" s="264">
        <f>IF(NFI_Expiration=1,IF($A338&lt;VLOOKUP(M$5,NFI,5,0),1,0)*Table_NFI[[#This Row],[Blanket]],Table_NFI[[#This Row],[Blanket]])</f>
        <v>0</v>
      </c>
      <c r="AE338" s="264">
        <f>IF(NFI_Expiration=1,IF($A338&lt;VLOOKUP(N$5,NFI,5,0),1,0)*Table_NFI[[#This Row],[Kitchen Set]],Table_NFI[Kitchen Set])</f>
        <v>0</v>
      </c>
      <c r="AF338" s="264">
        <f>IF(NFI_Expiration=1,IF($A338&lt;VLOOKUP(O$5,NFI,5,0),1,0)*Table_NFI[[#This Row],[Clothes Kit]],Table_NFI[Clothes Kit])</f>
        <v>0</v>
      </c>
      <c r="AG338" s="264">
        <f>IF(NFI_Expiration=1,IF($A338&lt;VLOOKUP(P$5,NFI,5,0),1,0)*Table_NFI[[#This Row],[Plastic Bucket]],Table_NFI[Plastic Bucket])</f>
        <v>0</v>
      </c>
      <c r="AH338" s="264">
        <f>IF(NFI_Expiration=1,IF($A338&lt;VLOOKUP(Q$5,NFI,5,0),1,0)*Table_NFI[[#This Row],[Plastic Mat]],Table_NFI[Plastic Mat])*IF(Table_NFI[[#This Row],[Distribution Date]]&gt;"2014-04-01",1,2.5)</f>
        <v>0</v>
      </c>
      <c r="AI338" s="264">
        <f>IF(NFI_Expiration=1,IF($A338&lt;VLOOKUP(R$5,NFI,5,0),1,0)*Table_NFI[[#This Row],[Winter Clothes Adult]],Table_NFI[Winter Clothes Adult])</f>
        <v>0</v>
      </c>
      <c r="AJ338" s="264">
        <f>IF(NFI_Expiration=1,IF($A338&lt;VLOOKUP(S$5,NFI,5,0),1,0)*Table_NFI[[#This Row],[Winter Clothes Children]],Table_NFI[Winter Clothes Children])</f>
        <v>0</v>
      </c>
      <c r="AK338" s="264">
        <f>IF(NFI_Expiration=1,IF($A338&lt;VLOOKUP(T$5,NFI,5,0),1,0)*Table_NFI[[#This Row],[Winter Items Other]],Table_NFI[Winter Items Other])</f>
        <v>0</v>
      </c>
      <c r="AL338" s="264">
        <f>IF(NFI_Expiration=1,IF($A338&lt;VLOOKUP(M$5,NFI,5,0),1,0)*Table_NFI[[#This Row],[Winter Blanket]],Table_NFI[[#This Row],[Winter Blanket]])</f>
        <v>0</v>
      </c>
      <c r="AM338" s="264">
        <f>IF(Table_NFI[[#This Row],[Winter Clothes Adult]]+Table_NFI[[#This Row],[Winter Clothes Children]]+Table_NFI[[#This Row],[Winter Items Other]]+Table_NFI[[#This Row],[Winter Blanket]]&gt;0,1,0)</f>
        <v>1</v>
      </c>
      <c r="AN338" s="296">
        <f>IF(NFI_Expiration=1,IF($A338&lt;VLOOKUP(V$5,NFI,5,0),1,0)*Table_NFI[[#This Row],[Jerry Can]],Table_NFI[Jerry Can])</f>
        <v>0</v>
      </c>
      <c r="AO338" s="296">
        <f>IF(NFI_Expiration=1,IF($A338&lt;VLOOKUP(V$5,NFI,5,0),1,0)*Table_NFI[[#This Row],[Shelter Tool kit]],Table_NFI[Shelter Tool kit])</f>
        <v>0</v>
      </c>
      <c r="AP338" s="296">
        <f>IF(NFI_Expiration=1,IF($A338&lt;VLOOKUP(V$5,NFI,5,0),1,0)*Table_NFI[[#This Row],[Tent]],Table_NFI[Tent])</f>
        <v>0</v>
      </c>
      <c r="AQ338" s="396" t="str">
        <f>IFERROR(VLOOKUP(Table_NFI[[#This Row],[Camp Name]],CL,2,0),"")</f>
        <v>MMR001CMP069</v>
      </c>
      <c r="AR338" s="702">
        <f ca="1">IF(Table_NFI[[#This Row],[Pcode]]="","",IF(OFFSET(CampList[Opening Date],MATCH(Table_NFI[[#This Row],[Pcode]],CampList[CP_Pcode],0)-1,0,1,1)&gt;=NFI_Monitor_Date,1,0))</f>
        <v>0</v>
      </c>
      <c r="AS338" s="396" t="str">
        <f>IFERROR(VLOOKUP(Table_NFI[[#This Row],[Camp Name]],CL,3,0),"")</f>
        <v>Open</v>
      </c>
      <c r="AT338" s="264" t="str">
        <f ca="1">IF(Table_NFI[[#This Row],[Pcode]]="","",OFFSET(CampList[Priority],MATCH(Table_NFI[[#This Row],[Pcode]],CampList[CP_Pcode],0)-1,0,1,1))</f>
        <v>P3</v>
      </c>
      <c r="AU338" s="263">
        <f>IFERROR(Table_NFI[[#This Row],[Kitchen Set]]/VLOOKUP(Table_NFI[[#This Row],[Camp Name]],CL,4,0),"")</f>
        <v>0</v>
      </c>
      <c r="AV338" s="390"/>
      <c r="AW338" s="392"/>
      <c r="AX338" s="399"/>
      <c r="AY338" s="399"/>
      <c r="AZ338" s="399"/>
      <c r="BA338" s="399"/>
      <c r="BB338" s="399"/>
      <c r="BC338" s="399"/>
      <c r="BD338" s="399"/>
      <c r="BE338" s="399"/>
      <c r="BF338" s="399"/>
      <c r="BG338" s="399"/>
      <c r="BH338" s="399"/>
      <c r="BI338" s="399"/>
      <c r="BJ338" s="399"/>
      <c r="BK338" s="399"/>
      <c r="BL338" s="399"/>
      <c r="BM338" s="399"/>
      <c r="BN338" s="399"/>
      <c r="BO338" s="399"/>
      <c r="BP338" s="399"/>
      <c r="BQ338" s="399"/>
      <c r="BR338" s="399"/>
      <c r="BS338" s="399"/>
      <c r="BT338" s="399"/>
      <c r="BU338" s="399"/>
      <c r="BV338" s="399"/>
      <c r="BW338" s="399"/>
      <c r="BX338" s="399"/>
      <c r="BY338" s="399"/>
      <c r="BZ338" s="399"/>
      <c r="CA338" s="399"/>
      <c r="CB338" s="399"/>
      <c r="CC338" s="399"/>
      <c r="CD338" s="399"/>
      <c r="CE338" s="399"/>
      <c r="CF338" s="399"/>
      <c r="CG338" s="399"/>
      <c r="CH338" s="399"/>
      <c r="CI338" s="399"/>
      <c r="CJ338" s="399"/>
      <c r="CK338" s="399"/>
      <c r="CL338" s="399"/>
      <c r="CM338" s="399"/>
      <c r="CN338" s="399"/>
      <c r="CO338" s="399"/>
      <c r="CP338" s="399"/>
      <c r="CQ338" s="399"/>
      <c r="CR338" s="399"/>
      <c r="CS338" s="399"/>
      <c r="CT338" s="399"/>
      <c r="CU338" s="399"/>
      <c r="CV338" s="399"/>
      <c r="CW338" s="399"/>
      <c r="CX338" s="399"/>
      <c r="CY338" s="399"/>
      <c r="CZ338" s="399"/>
      <c r="DA338" s="399"/>
      <c r="DB338" s="399"/>
      <c r="DC338" s="399"/>
      <c r="DD338" s="399"/>
      <c r="DE338" s="399"/>
      <c r="DF338" s="399"/>
      <c r="DG338" s="399"/>
      <c r="DH338" s="399"/>
      <c r="DI338" s="399"/>
      <c r="DJ338" s="399"/>
      <c r="DK338" s="399"/>
      <c r="DL338" s="399"/>
      <c r="DM338" s="399"/>
      <c r="DN338" s="399"/>
      <c r="DO338" s="399"/>
      <c r="DP338" s="399"/>
      <c r="DQ338" s="399"/>
    </row>
    <row r="339" spans="1:121" s="760" customFormat="1" ht="15" customHeight="1" x14ac:dyDescent="0.25">
      <c r="A339" s="266">
        <f t="shared" si="5"/>
        <v>30.633333333333333</v>
      </c>
      <c r="B339" s="389">
        <v>41937</v>
      </c>
      <c r="C339" s="390" t="s">
        <v>1089</v>
      </c>
      <c r="D339" s="390" t="s">
        <v>899</v>
      </c>
      <c r="E339" s="390" t="s">
        <v>380</v>
      </c>
      <c r="F339" s="390" t="s">
        <v>185</v>
      </c>
      <c r="G339" s="390" t="s">
        <v>190</v>
      </c>
      <c r="H339" s="261"/>
      <c r="I339" s="261"/>
      <c r="J339" s="261"/>
      <c r="K339" s="261"/>
      <c r="L339" s="261"/>
      <c r="M339" s="261"/>
      <c r="N339" s="261"/>
      <c r="O339" s="261"/>
      <c r="P339" s="261"/>
      <c r="Q339" s="261"/>
      <c r="R339" s="261">
        <v>591</v>
      </c>
      <c r="S339" s="261">
        <v>347</v>
      </c>
      <c r="T339" s="261"/>
      <c r="U339" s="261">
        <v>311</v>
      </c>
      <c r="V339" s="762"/>
      <c r="W339" s="762"/>
      <c r="X339" s="762"/>
      <c r="Y339" s="264">
        <f>IF(NFI_Expiration=1,IF($A339&lt;VLOOKUP(H$5,NFI,5,0),1,0)*Table_NFI[[#This Row],[Hygiene Kit]],Table_NFI[Hygiene Kit])</f>
        <v>0</v>
      </c>
      <c r="Z339" s="264">
        <f>IF(NFI_Expiration=1,IF($A339&lt;VLOOKUP(I$5,NFI,5,0),1,0)*Table_NFI[[#This Row],[NFI Core Kit]],Table_NFI[NFI Core Kit])</f>
        <v>0</v>
      </c>
      <c r="AA339" s="264">
        <f>IF(NFI_Expiration=1,IF($A339&lt;VLOOKUP(J$5,NFI,5,0),1,0)*Table_NFI[[#This Row],[Sanitary Kit]],Table_NFI[Sanitary Kit])</f>
        <v>0</v>
      </c>
      <c r="AB339" s="264">
        <f>IF(NFI_Expiration=1,IF($A339&lt;VLOOKUP(K$5,NFI,5,0),1,0)*Table_NFI[[#This Row],[Mosquito net]],Table_NFI[Mosquito net])</f>
        <v>0</v>
      </c>
      <c r="AC339" s="264">
        <f>IF(NFI_Expiration=1,IF($A339&lt;VLOOKUP(L$5,NFI,5,0),1,0)*Table_NFI[[#This Row],[Tarpaulin]],Table_NFI[[#This Row],[Tarpaulin]])</f>
        <v>0</v>
      </c>
      <c r="AD339" s="264">
        <f>IF(NFI_Expiration=1,IF($A339&lt;VLOOKUP(M$5,NFI,5,0),1,0)*Table_NFI[[#This Row],[Blanket]],Table_NFI[[#This Row],[Blanket]])</f>
        <v>0</v>
      </c>
      <c r="AE339" s="264">
        <f>IF(NFI_Expiration=1,IF($A339&lt;VLOOKUP(N$5,NFI,5,0),1,0)*Table_NFI[[#This Row],[Kitchen Set]],Table_NFI[Kitchen Set])</f>
        <v>0</v>
      </c>
      <c r="AF339" s="264">
        <f>IF(NFI_Expiration=1,IF($A339&lt;VLOOKUP(O$5,NFI,5,0),1,0)*Table_NFI[[#This Row],[Clothes Kit]],Table_NFI[Clothes Kit])</f>
        <v>0</v>
      </c>
      <c r="AG339" s="264">
        <f>IF(NFI_Expiration=1,IF($A339&lt;VLOOKUP(P$5,NFI,5,0),1,0)*Table_NFI[[#This Row],[Plastic Bucket]],Table_NFI[Plastic Bucket])</f>
        <v>0</v>
      </c>
      <c r="AH339" s="264">
        <f>IF(NFI_Expiration=1,IF($A339&lt;VLOOKUP(Q$5,NFI,5,0),1,0)*Table_NFI[[#This Row],[Plastic Mat]],Table_NFI[Plastic Mat])*IF(Table_NFI[[#This Row],[Distribution Date]]&gt;"2014-04-01",1,2.5)</f>
        <v>0</v>
      </c>
      <c r="AI339" s="264">
        <f>IF(NFI_Expiration=1,IF($A339&lt;VLOOKUP(R$5,NFI,5,0),1,0)*Table_NFI[[#This Row],[Winter Clothes Adult]],Table_NFI[Winter Clothes Adult])</f>
        <v>0</v>
      </c>
      <c r="AJ339" s="264">
        <f>IF(NFI_Expiration=1,IF($A339&lt;VLOOKUP(S$5,NFI,5,0),1,0)*Table_NFI[[#This Row],[Winter Clothes Children]],Table_NFI[Winter Clothes Children])</f>
        <v>0</v>
      </c>
      <c r="AK339" s="264">
        <f>IF(NFI_Expiration=1,IF($A339&lt;VLOOKUP(T$5,NFI,5,0),1,0)*Table_NFI[[#This Row],[Winter Items Other]],Table_NFI[Winter Items Other])</f>
        <v>0</v>
      </c>
      <c r="AL339" s="264">
        <f>IF(NFI_Expiration=1,IF($A339&lt;VLOOKUP(M$5,NFI,5,0),1,0)*Table_NFI[[#This Row],[Winter Blanket]],Table_NFI[[#This Row],[Winter Blanket]])</f>
        <v>0</v>
      </c>
      <c r="AM339" s="264">
        <f>IF(Table_NFI[[#This Row],[Winter Clothes Adult]]+Table_NFI[[#This Row],[Winter Clothes Children]]+Table_NFI[[#This Row],[Winter Items Other]]+Table_NFI[[#This Row],[Winter Blanket]]&gt;0,1,0)</f>
        <v>1</v>
      </c>
      <c r="AN339" s="296">
        <f>IF(NFI_Expiration=1,IF($A339&lt;VLOOKUP(V$5,NFI,5,0),1,0)*Table_NFI[[#This Row],[Jerry Can]],Table_NFI[Jerry Can])</f>
        <v>0</v>
      </c>
      <c r="AO339" s="296">
        <f>IF(NFI_Expiration=1,IF($A339&lt;VLOOKUP(V$5,NFI,5,0),1,0)*Table_NFI[[#This Row],[Shelter Tool kit]],Table_NFI[Shelter Tool kit])</f>
        <v>0</v>
      </c>
      <c r="AP339" s="296">
        <f>IF(NFI_Expiration=1,IF($A339&lt;VLOOKUP(V$5,NFI,5,0),1,0)*Table_NFI[[#This Row],[Tent]],Table_NFI[Tent])</f>
        <v>0</v>
      </c>
      <c r="AQ339" s="396" t="str">
        <f>IFERROR(VLOOKUP(Table_NFI[[#This Row],[Camp Name]],CL,2,0),"")</f>
        <v>MMR001CMP070</v>
      </c>
      <c r="AR339" s="702">
        <f ca="1">IF(Table_NFI[[#This Row],[Pcode]]="","",IF(OFFSET(CampList[Opening Date],MATCH(Table_NFI[[#This Row],[Pcode]],CampList[CP_Pcode],0)-1,0,1,1)&gt;=NFI_Monitor_Date,1,0))</f>
        <v>0</v>
      </c>
      <c r="AS339" s="396" t="str">
        <f>IFERROR(VLOOKUP(Table_NFI[[#This Row],[Camp Name]],CL,3,0),"")</f>
        <v>Open</v>
      </c>
      <c r="AT339" s="264" t="str">
        <f ca="1">IF(Table_NFI[[#This Row],[Pcode]]="","",OFFSET(CampList[Priority],MATCH(Table_NFI[[#This Row],[Pcode]],CampList[CP_Pcode],0)-1,0,1,1))</f>
        <v>P3</v>
      </c>
      <c r="AU339" s="263">
        <f>IFERROR(Table_NFI[[#This Row],[Kitchen Set]]/VLOOKUP(Table_NFI[[#This Row],[Camp Name]],CL,4,0),"")</f>
        <v>0</v>
      </c>
      <c r="AV339" s="390"/>
      <c r="AW339" s="392"/>
      <c r="AX339" s="399"/>
      <c r="AY339" s="399"/>
      <c r="AZ339" s="399"/>
      <c r="BA339" s="399"/>
      <c r="BB339" s="399"/>
      <c r="BC339" s="399"/>
      <c r="BD339" s="399"/>
      <c r="BE339" s="399"/>
      <c r="BF339" s="399"/>
      <c r="BG339" s="399"/>
      <c r="BH339" s="399"/>
      <c r="BI339" s="399"/>
      <c r="BJ339" s="399"/>
      <c r="BK339" s="399"/>
      <c r="BL339" s="399"/>
      <c r="BM339" s="399"/>
      <c r="BN339" s="399"/>
      <c r="BO339" s="399"/>
      <c r="BP339" s="399"/>
      <c r="BQ339" s="399"/>
      <c r="BR339" s="399"/>
      <c r="BS339" s="399"/>
      <c r="BT339" s="399"/>
      <c r="BU339" s="399"/>
      <c r="BV339" s="399"/>
      <c r="BW339" s="399"/>
      <c r="BX339" s="399"/>
      <c r="BY339" s="399"/>
      <c r="BZ339" s="399"/>
      <c r="CA339" s="399"/>
      <c r="CB339" s="399"/>
      <c r="CC339" s="399"/>
      <c r="CD339" s="399"/>
      <c r="CE339" s="399"/>
      <c r="CF339" s="399"/>
      <c r="CG339" s="399"/>
      <c r="CH339" s="399"/>
      <c r="CI339" s="399"/>
      <c r="CJ339" s="399"/>
      <c r="CK339" s="399"/>
      <c r="CL339" s="399"/>
      <c r="CM339" s="399"/>
      <c r="CN339" s="399"/>
      <c r="CO339" s="399"/>
      <c r="CP339" s="399"/>
      <c r="CQ339" s="399"/>
      <c r="CR339" s="399"/>
      <c r="CS339" s="399"/>
      <c r="CT339" s="399"/>
      <c r="CU339" s="399"/>
      <c r="CV339" s="399"/>
      <c r="CW339" s="399"/>
      <c r="CX339" s="399"/>
      <c r="CY339" s="399"/>
      <c r="CZ339" s="399"/>
      <c r="DA339" s="399"/>
      <c r="DB339" s="399"/>
      <c r="DC339" s="399"/>
      <c r="DD339" s="399"/>
      <c r="DE339" s="399"/>
      <c r="DF339" s="399"/>
      <c r="DG339" s="399"/>
      <c r="DH339" s="399"/>
      <c r="DI339" s="399"/>
      <c r="DJ339" s="399"/>
      <c r="DK339" s="399"/>
      <c r="DL339" s="399"/>
      <c r="DM339" s="399"/>
      <c r="DN339" s="399"/>
      <c r="DO339" s="399"/>
      <c r="DP339" s="399"/>
      <c r="DQ339" s="399"/>
    </row>
    <row r="340" spans="1:121" s="760" customFormat="1" ht="15" customHeight="1" x14ac:dyDescent="0.25">
      <c r="A340" s="266">
        <f t="shared" si="5"/>
        <v>31.066666666666666</v>
      </c>
      <c r="B340" s="389">
        <v>41924</v>
      </c>
      <c r="C340" s="390" t="s">
        <v>451</v>
      </c>
      <c r="D340" s="390"/>
      <c r="E340" s="390" t="s">
        <v>380</v>
      </c>
      <c r="F340" s="390" t="s">
        <v>185</v>
      </c>
      <c r="G340" s="390" t="s">
        <v>202</v>
      </c>
      <c r="H340" s="261"/>
      <c r="I340" s="261"/>
      <c r="J340" s="261"/>
      <c r="K340" s="261"/>
      <c r="L340" s="261">
        <v>25</v>
      </c>
      <c r="M340" s="261"/>
      <c r="N340" s="261"/>
      <c r="O340" s="261"/>
      <c r="P340" s="261"/>
      <c r="Q340" s="261"/>
      <c r="R340" s="261"/>
      <c r="S340" s="261"/>
      <c r="T340" s="261"/>
      <c r="U340" s="261"/>
      <c r="V340" s="762"/>
      <c r="W340" s="762"/>
      <c r="X340" s="762"/>
      <c r="Y340" s="264">
        <f>IF(NFI_Expiration=1,IF($A340&lt;VLOOKUP(H$5,NFI,5,0),1,0)*Table_NFI[[#This Row],[Hygiene Kit]],Table_NFI[Hygiene Kit])</f>
        <v>0</v>
      </c>
      <c r="Z340" s="264">
        <f>IF(NFI_Expiration=1,IF($A340&lt;VLOOKUP(I$5,NFI,5,0),1,0)*Table_NFI[[#This Row],[NFI Core Kit]],Table_NFI[NFI Core Kit])</f>
        <v>0</v>
      </c>
      <c r="AA340" s="264">
        <f>IF(NFI_Expiration=1,IF($A340&lt;VLOOKUP(J$5,NFI,5,0),1,0)*Table_NFI[[#This Row],[Sanitary Kit]],Table_NFI[Sanitary Kit])</f>
        <v>0</v>
      </c>
      <c r="AB340" s="264">
        <f>IF(NFI_Expiration=1,IF($A340&lt;VLOOKUP(K$5,NFI,5,0),1,0)*Table_NFI[[#This Row],[Mosquito net]],Table_NFI[Mosquito net])</f>
        <v>0</v>
      </c>
      <c r="AC340" s="264">
        <f>IF(NFI_Expiration=1,IF($A340&lt;VLOOKUP(L$5,NFI,5,0),1,0)*Table_NFI[[#This Row],[Tarpaulin]],Table_NFI[[#This Row],[Tarpaulin]])</f>
        <v>0</v>
      </c>
      <c r="AD340" s="264">
        <f>IF(NFI_Expiration=1,IF($A340&lt;VLOOKUP(M$5,NFI,5,0),1,0)*Table_NFI[[#This Row],[Blanket]],Table_NFI[[#This Row],[Blanket]])</f>
        <v>0</v>
      </c>
      <c r="AE340" s="264">
        <f>IF(NFI_Expiration=1,IF($A340&lt;VLOOKUP(N$5,NFI,5,0),1,0)*Table_NFI[[#This Row],[Kitchen Set]],Table_NFI[Kitchen Set])</f>
        <v>0</v>
      </c>
      <c r="AF340" s="264">
        <f>IF(NFI_Expiration=1,IF($A340&lt;VLOOKUP(O$5,NFI,5,0),1,0)*Table_NFI[[#This Row],[Clothes Kit]],Table_NFI[Clothes Kit])</f>
        <v>0</v>
      </c>
      <c r="AG340" s="264">
        <f>IF(NFI_Expiration=1,IF($A340&lt;VLOOKUP(P$5,NFI,5,0),1,0)*Table_NFI[[#This Row],[Plastic Bucket]],Table_NFI[Plastic Bucket])</f>
        <v>0</v>
      </c>
      <c r="AH340" s="264">
        <f>IF(NFI_Expiration=1,IF($A340&lt;VLOOKUP(Q$5,NFI,5,0),1,0)*Table_NFI[[#This Row],[Plastic Mat]],Table_NFI[Plastic Mat])*IF(Table_NFI[[#This Row],[Distribution Date]]&gt;"2014-04-01",1,2.5)</f>
        <v>0</v>
      </c>
      <c r="AI340" s="264">
        <f>IF(NFI_Expiration=1,IF($A340&lt;VLOOKUP(R$5,NFI,5,0),1,0)*Table_NFI[[#This Row],[Winter Clothes Adult]],Table_NFI[Winter Clothes Adult])</f>
        <v>0</v>
      </c>
      <c r="AJ340" s="264">
        <f>IF(NFI_Expiration=1,IF($A340&lt;VLOOKUP(S$5,NFI,5,0),1,0)*Table_NFI[[#This Row],[Winter Clothes Children]],Table_NFI[Winter Clothes Children])</f>
        <v>0</v>
      </c>
      <c r="AK340" s="264">
        <f>IF(NFI_Expiration=1,IF($A340&lt;VLOOKUP(T$5,NFI,5,0),1,0)*Table_NFI[[#This Row],[Winter Items Other]],Table_NFI[Winter Items Other])</f>
        <v>0</v>
      </c>
      <c r="AL340" s="264">
        <f>IF(NFI_Expiration=1,IF($A340&lt;VLOOKUP(M$5,NFI,5,0),1,0)*Table_NFI[[#This Row],[Winter Blanket]],Table_NFI[[#This Row],[Winter Blanket]])</f>
        <v>0</v>
      </c>
      <c r="AM340" s="264">
        <f>IF(Table_NFI[[#This Row],[Winter Clothes Adult]]+Table_NFI[[#This Row],[Winter Clothes Children]]+Table_NFI[[#This Row],[Winter Items Other]]+Table_NFI[[#This Row],[Winter Blanket]]&gt;0,1,0)</f>
        <v>0</v>
      </c>
      <c r="AN340" s="296">
        <f>IF(NFI_Expiration=1,IF($A340&lt;VLOOKUP(V$5,NFI,5,0),1,0)*Table_NFI[[#This Row],[Jerry Can]],Table_NFI[Jerry Can])</f>
        <v>0</v>
      </c>
      <c r="AO340" s="296">
        <f>IF(NFI_Expiration=1,IF($A340&lt;VLOOKUP(V$5,NFI,5,0),1,0)*Table_NFI[[#This Row],[Shelter Tool kit]],Table_NFI[Shelter Tool kit])</f>
        <v>0</v>
      </c>
      <c r="AP340" s="296">
        <f>IF(NFI_Expiration=1,IF($A340&lt;VLOOKUP(V$5,NFI,5,0),1,0)*Table_NFI[[#This Row],[Tent]],Table_NFI[Tent])</f>
        <v>0</v>
      </c>
      <c r="AQ340" s="396" t="str">
        <f>IFERROR(VLOOKUP(Table_NFI[[#This Row],[Camp Name]],CL,2,0),"")</f>
        <v>MMR001CMP062</v>
      </c>
      <c r="AR340" s="702">
        <f ca="1">IF(Table_NFI[[#This Row],[Pcode]]="","",IF(OFFSET(CampList[Opening Date],MATCH(Table_NFI[[#This Row],[Pcode]],CampList[CP_Pcode],0)-1,0,1,1)&gt;=NFI_Monitor_Date,1,0))</f>
        <v>0</v>
      </c>
      <c r="AS340" s="396" t="str">
        <f>IFERROR(VLOOKUP(Table_NFI[[#This Row],[Camp Name]],CL,3,0),"")</f>
        <v>Open</v>
      </c>
      <c r="AT340" s="264" t="str">
        <f ca="1">IF(Table_NFI[[#This Row],[Pcode]]="","",OFFSET(CampList[Priority],MATCH(Table_NFI[[#This Row],[Pcode]],CampList[CP_Pcode],0)-1,0,1,1))</f>
        <v>P4</v>
      </c>
      <c r="AU340" s="263">
        <f>IFERROR(Table_NFI[[#This Row],[Kitchen Set]]/VLOOKUP(Table_NFI[[#This Row],[Camp Name]],CL,4,0),"")</f>
        <v>0</v>
      </c>
      <c r="AV340" s="390"/>
      <c r="AW340" s="392"/>
      <c r="AX340" s="399"/>
      <c r="AY340" s="399"/>
      <c r="AZ340" s="399"/>
      <c r="BA340" s="399"/>
      <c r="BB340" s="399"/>
      <c r="BC340" s="399"/>
      <c r="BD340" s="399"/>
      <c r="BE340" s="399"/>
      <c r="BF340" s="399"/>
      <c r="BG340" s="399"/>
      <c r="BH340" s="399"/>
      <c r="BI340" s="399"/>
      <c r="BJ340" s="399"/>
      <c r="BK340" s="399"/>
      <c r="BL340" s="399"/>
      <c r="BM340" s="399"/>
      <c r="BN340" s="399"/>
      <c r="BO340" s="399"/>
      <c r="BP340" s="399"/>
      <c r="BQ340" s="399"/>
      <c r="BR340" s="399"/>
      <c r="BS340" s="399"/>
      <c r="BT340" s="399"/>
      <c r="BU340" s="399"/>
      <c r="BV340" s="399"/>
      <c r="BW340" s="399"/>
      <c r="BX340" s="399"/>
      <c r="BY340" s="399"/>
      <c r="BZ340" s="399"/>
      <c r="CA340" s="399"/>
      <c r="CB340" s="399"/>
      <c r="CC340" s="399"/>
      <c r="CD340" s="399"/>
      <c r="CE340" s="399"/>
      <c r="CF340" s="399"/>
      <c r="CG340" s="399"/>
      <c r="CH340" s="399"/>
      <c r="CI340" s="399"/>
      <c r="CJ340" s="399"/>
      <c r="CK340" s="399"/>
      <c r="CL340" s="399"/>
      <c r="CM340" s="399"/>
      <c r="CN340" s="399"/>
      <c r="CO340" s="399"/>
      <c r="CP340" s="399"/>
      <c r="CQ340" s="399"/>
      <c r="CR340" s="399"/>
      <c r="CS340" s="399"/>
      <c r="CT340" s="399"/>
      <c r="CU340" s="399"/>
      <c r="CV340" s="399"/>
      <c r="CW340" s="399"/>
      <c r="CX340" s="399"/>
      <c r="CY340" s="399"/>
      <c r="CZ340" s="399"/>
      <c r="DA340" s="399"/>
      <c r="DB340" s="399"/>
      <c r="DC340" s="399"/>
      <c r="DD340" s="399"/>
      <c r="DE340" s="399"/>
      <c r="DF340" s="399"/>
      <c r="DG340" s="399"/>
      <c r="DH340" s="399"/>
      <c r="DI340" s="399"/>
      <c r="DJ340" s="399"/>
      <c r="DK340" s="399"/>
      <c r="DL340" s="399"/>
      <c r="DM340" s="399"/>
      <c r="DN340" s="399"/>
      <c r="DO340" s="399"/>
      <c r="DP340" s="399"/>
      <c r="DQ340" s="399"/>
    </row>
    <row r="341" spans="1:121" s="760" customFormat="1" ht="15" customHeight="1" x14ac:dyDescent="0.25">
      <c r="A341" s="266">
        <f t="shared" si="5"/>
        <v>31.133333333333333</v>
      </c>
      <c r="B341" s="389">
        <v>41922</v>
      </c>
      <c r="C341" s="390" t="s">
        <v>451</v>
      </c>
      <c r="D341" s="390"/>
      <c r="E341" s="390" t="s">
        <v>380</v>
      </c>
      <c r="F341" s="390" t="s">
        <v>185</v>
      </c>
      <c r="G341" s="390" t="s">
        <v>186</v>
      </c>
      <c r="H341" s="261"/>
      <c r="I341" s="261"/>
      <c r="J341" s="261"/>
      <c r="K341" s="261"/>
      <c r="L341" s="261">
        <v>60</v>
      </c>
      <c r="M341" s="261"/>
      <c r="N341" s="261"/>
      <c r="O341" s="261"/>
      <c r="P341" s="261"/>
      <c r="Q341" s="261"/>
      <c r="R341" s="261"/>
      <c r="S341" s="261"/>
      <c r="T341" s="261"/>
      <c r="U341" s="261"/>
      <c r="V341" s="762"/>
      <c r="W341" s="762"/>
      <c r="X341" s="762"/>
      <c r="Y341" s="264">
        <f>IF(NFI_Expiration=1,IF($A341&lt;VLOOKUP(H$5,NFI,5,0),1,0)*Table_NFI[[#This Row],[Hygiene Kit]],Table_NFI[Hygiene Kit])</f>
        <v>0</v>
      </c>
      <c r="Z341" s="264">
        <f>IF(NFI_Expiration=1,IF($A341&lt;VLOOKUP(I$5,NFI,5,0),1,0)*Table_NFI[[#This Row],[NFI Core Kit]],Table_NFI[NFI Core Kit])</f>
        <v>0</v>
      </c>
      <c r="AA341" s="264">
        <f>IF(NFI_Expiration=1,IF($A341&lt;VLOOKUP(J$5,NFI,5,0),1,0)*Table_NFI[[#This Row],[Sanitary Kit]],Table_NFI[Sanitary Kit])</f>
        <v>0</v>
      </c>
      <c r="AB341" s="264">
        <f>IF(NFI_Expiration=1,IF($A341&lt;VLOOKUP(K$5,NFI,5,0),1,0)*Table_NFI[[#This Row],[Mosquito net]],Table_NFI[Mosquito net])</f>
        <v>0</v>
      </c>
      <c r="AC341" s="264">
        <f>IF(NFI_Expiration=1,IF($A341&lt;VLOOKUP(L$5,NFI,5,0),1,0)*Table_NFI[[#This Row],[Tarpaulin]],Table_NFI[[#This Row],[Tarpaulin]])</f>
        <v>0</v>
      </c>
      <c r="AD341" s="264">
        <f>IF(NFI_Expiration=1,IF($A341&lt;VLOOKUP(M$5,NFI,5,0),1,0)*Table_NFI[[#This Row],[Blanket]],Table_NFI[[#This Row],[Blanket]])</f>
        <v>0</v>
      </c>
      <c r="AE341" s="264">
        <f>IF(NFI_Expiration=1,IF($A341&lt;VLOOKUP(N$5,NFI,5,0),1,0)*Table_NFI[[#This Row],[Kitchen Set]],Table_NFI[Kitchen Set])</f>
        <v>0</v>
      </c>
      <c r="AF341" s="264">
        <f>IF(NFI_Expiration=1,IF($A341&lt;VLOOKUP(O$5,NFI,5,0),1,0)*Table_NFI[[#This Row],[Clothes Kit]],Table_NFI[Clothes Kit])</f>
        <v>0</v>
      </c>
      <c r="AG341" s="264">
        <f>IF(NFI_Expiration=1,IF($A341&lt;VLOOKUP(P$5,NFI,5,0),1,0)*Table_NFI[[#This Row],[Plastic Bucket]],Table_NFI[Plastic Bucket])</f>
        <v>0</v>
      </c>
      <c r="AH341" s="264">
        <f>IF(NFI_Expiration=1,IF($A341&lt;VLOOKUP(Q$5,NFI,5,0),1,0)*Table_NFI[[#This Row],[Plastic Mat]],Table_NFI[Plastic Mat])*IF(Table_NFI[[#This Row],[Distribution Date]]&gt;"2014-04-01",1,2.5)</f>
        <v>0</v>
      </c>
      <c r="AI341" s="264">
        <f>IF(NFI_Expiration=1,IF($A341&lt;VLOOKUP(R$5,NFI,5,0),1,0)*Table_NFI[[#This Row],[Winter Clothes Adult]],Table_NFI[Winter Clothes Adult])</f>
        <v>0</v>
      </c>
      <c r="AJ341" s="264">
        <f>IF(NFI_Expiration=1,IF($A341&lt;VLOOKUP(S$5,NFI,5,0),1,0)*Table_NFI[[#This Row],[Winter Clothes Children]],Table_NFI[Winter Clothes Children])</f>
        <v>0</v>
      </c>
      <c r="AK341" s="264">
        <f>IF(NFI_Expiration=1,IF($A341&lt;VLOOKUP(T$5,NFI,5,0),1,0)*Table_NFI[[#This Row],[Winter Items Other]],Table_NFI[Winter Items Other])</f>
        <v>0</v>
      </c>
      <c r="AL341" s="264">
        <f>IF(NFI_Expiration=1,IF($A341&lt;VLOOKUP(M$5,NFI,5,0),1,0)*Table_NFI[[#This Row],[Winter Blanket]],Table_NFI[[#This Row],[Winter Blanket]])</f>
        <v>0</v>
      </c>
      <c r="AM341" s="264">
        <f>IF(Table_NFI[[#This Row],[Winter Clothes Adult]]+Table_NFI[[#This Row],[Winter Clothes Children]]+Table_NFI[[#This Row],[Winter Items Other]]+Table_NFI[[#This Row],[Winter Blanket]]&gt;0,1,0)</f>
        <v>0</v>
      </c>
      <c r="AN341" s="296">
        <f>IF(NFI_Expiration=1,IF($A341&lt;VLOOKUP(V$5,NFI,5,0),1,0)*Table_NFI[[#This Row],[Jerry Can]],Table_NFI[Jerry Can])</f>
        <v>0</v>
      </c>
      <c r="AO341" s="296">
        <f>IF(NFI_Expiration=1,IF($A341&lt;VLOOKUP(V$5,NFI,5,0),1,0)*Table_NFI[[#This Row],[Shelter Tool kit]],Table_NFI[Shelter Tool kit])</f>
        <v>0</v>
      </c>
      <c r="AP341" s="296">
        <f>IF(NFI_Expiration=1,IF($A341&lt;VLOOKUP(V$5,NFI,5,0),1,0)*Table_NFI[[#This Row],[Tent]],Table_NFI[Tent])</f>
        <v>0</v>
      </c>
      <c r="AQ341" s="396" t="str">
        <f>IFERROR(VLOOKUP(Table_NFI[[#This Row],[Camp Name]],CL,2,0),"")</f>
        <v>MMR001CMP071</v>
      </c>
      <c r="AR341" s="702">
        <f ca="1">IF(Table_NFI[[#This Row],[Pcode]]="","",IF(OFFSET(CampList[Opening Date],MATCH(Table_NFI[[#This Row],[Pcode]],CampList[CP_Pcode],0)-1,0,1,1)&gt;=NFI_Monitor_Date,1,0))</f>
        <v>0</v>
      </c>
      <c r="AS341" s="396" t="str">
        <f>IFERROR(VLOOKUP(Table_NFI[[#This Row],[Camp Name]],CL,3,0),"")</f>
        <v>Open</v>
      </c>
      <c r="AT341" s="264" t="str">
        <f ca="1">IF(Table_NFI[[#This Row],[Pcode]]="","",OFFSET(CampList[Priority],MATCH(Table_NFI[[#This Row],[Pcode]],CampList[CP_Pcode],0)-1,0,1,1))</f>
        <v>P3</v>
      </c>
      <c r="AU341" s="263">
        <f>IFERROR(Table_NFI[[#This Row],[Kitchen Set]]/VLOOKUP(Table_NFI[[#This Row],[Camp Name]],CL,4,0),"")</f>
        <v>0</v>
      </c>
      <c r="AV341" s="390"/>
      <c r="AW341" s="392"/>
      <c r="AX341" s="399"/>
      <c r="AY341" s="399"/>
      <c r="AZ341" s="399"/>
      <c r="BA341" s="399"/>
      <c r="BB341" s="399"/>
      <c r="BC341" s="399"/>
      <c r="BD341" s="399"/>
      <c r="BE341" s="399"/>
      <c r="BF341" s="399"/>
      <c r="BG341" s="399"/>
      <c r="BH341" s="399"/>
      <c r="BI341" s="399"/>
      <c r="BJ341" s="399"/>
      <c r="BK341" s="399"/>
      <c r="BL341" s="399"/>
      <c r="BM341" s="399"/>
      <c r="BN341" s="399"/>
      <c r="BO341" s="399"/>
      <c r="BP341" s="399"/>
      <c r="BQ341" s="399"/>
      <c r="BR341" s="399"/>
      <c r="BS341" s="399"/>
      <c r="BT341" s="399"/>
      <c r="BU341" s="399"/>
      <c r="BV341" s="399"/>
      <c r="BW341" s="399"/>
      <c r="BX341" s="399"/>
      <c r="BY341" s="399"/>
      <c r="BZ341" s="399"/>
      <c r="CA341" s="399"/>
      <c r="CB341" s="399"/>
      <c r="CC341" s="399"/>
      <c r="CD341" s="399"/>
      <c r="CE341" s="399"/>
      <c r="CF341" s="399"/>
      <c r="CG341" s="399"/>
      <c r="CH341" s="399"/>
      <c r="CI341" s="399"/>
      <c r="CJ341" s="399"/>
      <c r="CK341" s="399"/>
      <c r="CL341" s="399"/>
      <c r="CM341" s="399"/>
      <c r="CN341" s="399"/>
      <c r="CO341" s="399"/>
      <c r="CP341" s="399"/>
      <c r="CQ341" s="399"/>
      <c r="CR341" s="399"/>
      <c r="CS341" s="399"/>
      <c r="CT341" s="399"/>
      <c r="CU341" s="399"/>
      <c r="CV341" s="399"/>
      <c r="CW341" s="399"/>
      <c r="CX341" s="399"/>
      <c r="CY341" s="399"/>
      <c r="CZ341" s="399"/>
      <c r="DA341" s="399"/>
      <c r="DB341" s="399"/>
      <c r="DC341" s="399"/>
      <c r="DD341" s="399"/>
      <c r="DE341" s="399"/>
      <c r="DF341" s="399"/>
      <c r="DG341" s="399"/>
      <c r="DH341" s="399"/>
      <c r="DI341" s="399"/>
      <c r="DJ341" s="399"/>
      <c r="DK341" s="399"/>
      <c r="DL341" s="399"/>
      <c r="DM341" s="399"/>
      <c r="DN341" s="399"/>
      <c r="DO341" s="399"/>
      <c r="DP341" s="399"/>
      <c r="DQ341" s="399"/>
    </row>
    <row r="342" spans="1:121" s="760" customFormat="1" ht="15" customHeight="1" x14ac:dyDescent="0.25">
      <c r="A342" s="266">
        <f t="shared" si="5"/>
        <v>31.133333333333333</v>
      </c>
      <c r="B342" s="389">
        <v>41922</v>
      </c>
      <c r="C342" s="390" t="s">
        <v>451</v>
      </c>
      <c r="D342" s="390"/>
      <c r="E342" s="390" t="s">
        <v>380</v>
      </c>
      <c r="F342" s="390" t="s">
        <v>185</v>
      </c>
      <c r="G342" s="390" t="s">
        <v>190</v>
      </c>
      <c r="H342" s="261"/>
      <c r="I342" s="261"/>
      <c r="J342" s="261"/>
      <c r="K342" s="261"/>
      <c r="L342" s="261">
        <v>30</v>
      </c>
      <c r="M342" s="261"/>
      <c r="N342" s="261"/>
      <c r="O342" s="261"/>
      <c r="P342" s="261"/>
      <c r="Q342" s="261"/>
      <c r="R342" s="261"/>
      <c r="S342" s="261"/>
      <c r="T342" s="261"/>
      <c r="U342" s="261"/>
      <c r="V342" s="762"/>
      <c r="W342" s="762"/>
      <c r="X342" s="762"/>
      <c r="Y342" s="264">
        <f>IF(NFI_Expiration=1,IF($A342&lt;VLOOKUP(H$5,NFI,5,0),1,0)*Table_NFI[[#This Row],[Hygiene Kit]],Table_NFI[Hygiene Kit])</f>
        <v>0</v>
      </c>
      <c r="Z342" s="264">
        <f>IF(NFI_Expiration=1,IF($A342&lt;VLOOKUP(I$5,NFI,5,0),1,0)*Table_NFI[[#This Row],[NFI Core Kit]],Table_NFI[NFI Core Kit])</f>
        <v>0</v>
      </c>
      <c r="AA342" s="264">
        <f>IF(NFI_Expiration=1,IF($A342&lt;VLOOKUP(J$5,NFI,5,0),1,0)*Table_NFI[[#This Row],[Sanitary Kit]],Table_NFI[Sanitary Kit])</f>
        <v>0</v>
      </c>
      <c r="AB342" s="264">
        <f>IF(NFI_Expiration=1,IF($A342&lt;VLOOKUP(K$5,NFI,5,0),1,0)*Table_NFI[[#This Row],[Mosquito net]],Table_NFI[Mosquito net])</f>
        <v>0</v>
      </c>
      <c r="AC342" s="264">
        <f>IF(NFI_Expiration=1,IF($A342&lt;VLOOKUP(L$5,NFI,5,0),1,0)*Table_NFI[[#This Row],[Tarpaulin]],Table_NFI[[#This Row],[Tarpaulin]])</f>
        <v>0</v>
      </c>
      <c r="AD342" s="264">
        <f>IF(NFI_Expiration=1,IF($A342&lt;VLOOKUP(M$5,NFI,5,0),1,0)*Table_NFI[[#This Row],[Blanket]],Table_NFI[[#This Row],[Blanket]])</f>
        <v>0</v>
      </c>
      <c r="AE342" s="264">
        <f>IF(NFI_Expiration=1,IF($A342&lt;VLOOKUP(N$5,NFI,5,0),1,0)*Table_NFI[[#This Row],[Kitchen Set]],Table_NFI[Kitchen Set])</f>
        <v>0</v>
      </c>
      <c r="AF342" s="264">
        <f>IF(NFI_Expiration=1,IF($A342&lt;VLOOKUP(O$5,NFI,5,0),1,0)*Table_NFI[[#This Row],[Clothes Kit]],Table_NFI[Clothes Kit])</f>
        <v>0</v>
      </c>
      <c r="AG342" s="264">
        <f>IF(NFI_Expiration=1,IF($A342&lt;VLOOKUP(P$5,NFI,5,0),1,0)*Table_NFI[[#This Row],[Plastic Bucket]],Table_NFI[Plastic Bucket])</f>
        <v>0</v>
      </c>
      <c r="AH342" s="264">
        <f>IF(NFI_Expiration=1,IF($A342&lt;VLOOKUP(Q$5,NFI,5,0),1,0)*Table_NFI[[#This Row],[Plastic Mat]],Table_NFI[Plastic Mat])*IF(Table_NFI[[#This Row],[Distribution Date]]&gt;"2014-04-01",1,2.5)</f>
        <v>0</v>
      </c>
      <c r="AI342" s="264">
        <f>IF(NFI_Expiration=1,IF($A342&lt;VLOOKUP(R$5,NFI,5,0),1,0)*Table_NFI[[#This Row],[Winter Clothes Adult]],Table_NFI[Winter Clothes Adult])</f>
        <v>0</v>
      </c>
      <c r="AJ342" s="264">
        <f>IF(NFI_Expiration=1,IF($A342&lt;VLOOKUP(S$5,NFI,5,0),1,0)*Table_NFI[[#This Row],[Winter Clothes Children]],Table_NFI[Winter Clothes Children])</f>
        <v>0</v>
      </c>
      <c r="AK342" s="264">
        <f>IF(NFI_Expiration=1,IF($A342&lt;VLOOKUP(T$5,NFI,5,0),1,0)*Table_NFI[[#This Row],[Winter Items Other]],Table_NFI[Winter Items Other])</f>
        <v>0</v>
      </c>
      <c r="AL342" s="264">
        <f>IF(NFI_Expiration=1,IF($A342&lt;VLOOKUP(M$5,NFI,5,0),1,0)*Table_NFI[[#This Row],[Winter Blanket]],Table_NFI[[#This Row],[Winter Blanket]])</f>
        <v>0</v>
      </c>
      <c r="AM342" s="264">
        <f>IF(Table_NFI[[#This Row],[Winter Clothes Adult]]+Table_NFI[[#This Row],[Winter Clothes Children]]+Table_NFI[[#This Row],[Winter Items Other]]+Table_NFI[[#This Row],[Winter Blanket]]&gt;0,1,0)</f>
        <v>0</v>
      </c>
      <c r="AN342" s="296">
        <f>IF(NFI_Expiration=1,IF($A342&lt;VLOOKUP(V$5,NFI,5,0),1,0)*Table_NFI[[#This Row],[Jerry Can]],Table_NFI[Jerry Can])</f>
        <v>0</v>
      </c>
      <c r="AO342" s="296">
        <f>IF(NFI_Expiration=1,IF($A342&lt;VLOOKUP(V$5,NFI,5,0),1,0)*Table_NFI[[#This Row],[Shelter Tool kit]],Table_NFI[Shelter Tool kit])</f>
        <v>0</v>
      </c>
      <c r="AP342" s="296">
        <f>IF(NFI_Expiration=1,IF($A342&lt;VLOOKUP(V$5,NFI,5,0),1,0)*Table_NFI[[#This Row],[Tent]],Table_NFI[Tent])</f>
        <v>0</v>
      </c>
      <c r="AQ342" s="396" t="str">
        <f>IFERROR(VLOOKUP(Table_NFI[[#This Row],[Camp Name]],CL,2,0),"")</f>
        <v>MMR001CMP070</v>
      </c>
      <c r="AR342" s="702">
        <f ca="1">IF(Table_NFI[[#This Row],[Pcode]]="","",IF(OFFSET(CampList[Opening Date],MATCH(Table_NFI[[#This Row],[Pcode]],CampList[CP_Pcode],0)-1,0,1,1)&gt;=NFI_Monitor_Date,1,0))</f>
        <v>0</v>
      </c>
      <c r="AS342" s="396" t="str">
        <f>IFERROR(VLOOKUP(Table_NFI[[#This Row],[Camp Name]],CL,3,0),"")</f>
        <v>Open</v>
      </c>
      <c r="AT342" s="264" t="str">
        <f ca="1">IF(Table_NFI[[#This Row],[Pcode]]="","",OFFSET(CampList[Priority],MATCH(Table_NFI[[#This Row],[Pcode]],CampList[CP_Pcode],0)-1,0,1,1))</f>
        <v>P3</v>
      </c>
      <c r="AU342" s="263">
        <f>IFERROR(Table_NFI[[#This Row],[Kitchen Set]]/VLOOKUP(Table_NFI[[#This Row],[Camp Name]],CL,4,0),"")</f>
        <v>0</v>
      </c>
      <c r="AV342" s="390"/>
      <c r="AW342" s="392"/>
      <c r="AX342" s="399"/>
      <c r="AY342" s="399"/>
      <c r="AZ342" s="399"/>
      <c r="BA342" s="399"/>
      <c r="BB342" s="399"/>
      <c r="BC342" s="399"/>
      <c r="BD342" s="399"/>
      <c r="BE342" s="399"/>
      <c r="BF342" s="399"/>
      <c r="BG342" s="399"/>
      <c r="BH342" s="399"/>
      <c r="BI342" s="399"/>
      <c r="BJ342" s="399"/>
      <c r="BK342" s="399"/>
      <c r="BL342" s="399"/>
      <c r="BM342" s="399"/>
      <c r="BN342" s="399"/>
      <c r="BO342" s="399"/>
      <c r="BP342" s="399"/>
      <c r="BQ342" s="399"/>
      <c r="BR342" s="399"/>
      <c r="BS342" s="399"/>
      <c r="BT342" s="399"/>
      <c r="BU342" s="399"/>
      <c r="BV342" s="399"/>
      <c r="BW342" s="399"/>
      <c r="BX342" s="399"/>
      <c r="BY342" s="399"/>
      <c r="BZ342" s="399"/>
      <c r="CA342" s="399"/>
      <c r="CB342" s="399"/>
      <c r="CC342" s="399"/>
      <c r="CD342" s="399"/>
      <c r="CE342" s="399"/>
      <c r="CF342" s="399"/>
      <c r="CG342" s="399"/>
      <c r="CH342" s="399"/>
      <c r="CI342" s="399"/>
      <c r="CJ342" s="399"/>
      <c r="CK342" s="399"/>
      <c r="CL342" s="399"/>
      <c r="CM342" s="399"/>
      <c r="CN342" s="399"/>
      <c r="CO342" s="399"/>
      <c r="CP342" s="399"/>
      <c r="CQ342" s="399"/>
      <c r="CR342" s="399"/>
      <c r="CS342" s="399"/>
      <c r="CT342" s="399"/>
      <c r="CU342" s="399"/>
      <c r="CV342" s="399"/>
      <c r="CW342" s="399"/>
      <c r="CX342" s="399"/>
      <c r="CY342" s="399"/>
      <c r="CZ342" s="399"/>
      <c r="DA342" s="399"/>
      <c r="DB342" s="399"/>
      <c r="DC342" s="399"/>
      <c r="DD342" s="399"/>
      <c r="DE342" s="399"/>
      <c r="DF342" s="399"/>
      <c r="DG342" s="399"/>
      <c r="DH342" s="399"/>
      <c r="DI342" s="399"/>
      <c r="DJ342" s="399"/>
      <c r="DK342" s="399"/>
      <c r="DL342" s="399"/>
      <c r="DM342" s="399"/>
      <c r="DN342" s="399"/>
      <c r="DO342" s="399"/>
      <c r="DP342" s="399"/>
      <c r="DQ342" s="399"/>
    </row>
    <row r="343" spans="1:121" s="760" customFormat="1" ht="15" customHeight="1" x14ac:dyDescent="0.25">
      <c r="A343" s="266">
        <f t="shared" si="5"/>
        <v>31.133333333333333</v>
      </c>
      <c r="B343" s="389">
        <v>41922</v>
      </c>
      <c r="C343" s="390" t="s">
        <v>451</v>
      </c>
      <c r="D343" s="390"/>
      <c r="E343" s="390" t="s">
        <v>380</v>
      </c>
      <c r="F343" s="390" t="s">
        <v>185</v>
      </c>
      <c r="G343" s="390" t="s">
        <v>229</v>
      </c>
      <c r="H343" s="261"/>
      <c r="I343" s="261"/>
      <c r="J343" s="261"/>
      <c r="K343" s="261"/>
      <c r="L343" s="261">
        <v>60</v>
      </c>
      <c r="M343" s="261"/>
      <c r="N343" s="261"/>
      <c r="O343" s="261"/>
      <c r="P343" s="261"/>
      <c r="Q343" s="261"/>
      <c r="R343" s="261"/>
      <c r="S343" s="261"/>
      <c r="T343" s="261"/>
      <c r="U343" s="261"/>
      <c r="V343" s="762"/>
      <c r="W343" s="261"/>
      <c r="X343" s="261"/>
      <c r="Y343" s="264">
        <f>IF(NFI_Expiration=1,IF($A343&lt;VLOOKUP(H$5,NFI,5,0),1,0)*Table_NFI[[#This Row],[Hygiene Kit]],Table_NFI[Hygiene Kit])</f>
        <v>0</v>
      </c>
      <c r="Z343" s="264">
        <f>IF(NFI_Expiration=1,IF($A343&lt;VLOOKUP(I$5,NFI,5,0),1,0)*Table_NFI[[#This Row],[NFI Core Kit]],Table_NFI[NFI Core Kit])</f>
        <v>0</v>
      </c>
      <c r="AA343" s="264">
        <f>IF(NFI_Expiration=1,IF($A343&lt;VLOOKUP(J$5,NFI,5,0),1,0)*Table_NFI[[#This Row],[Sanitary Kit]],Table_NFI[Sanitary Kit])</f>
        <v>0</v>
      </c>
      <c r="AB343" s="264">
        <f>IF(NFI_Expiration=1,IF($A343&lt;VLOOKUP(K$5,NFI,5,0),1,0)*Table_NFI[[#This Row],[Mosquito net]],Table_NFI[Mosquito net])</f>
        <v>0</v>
      </c>
      <c r="AC343" s="264">
        <f>IF(NFI_Expiration=1,IF($A343&lt;VLOOKUP(L$5,NFI,5,0),1,0)*Table_NFI[[#This Row],[Tarpaulin]],Table_NFI[[#This Row],[Tarpaulin]])</f>
        <v>0</v>
      </c>
      <c r="AD343" s="264">
        <f>IF(NFI_Expiration=1,IF($A343&lt;VLOOKUP(M$5,NFI,5,0),1,0)*Table_NFI[[#This Row],[Blanket]],Table_NFI[[#This Row],[Blanket]])</f>
        <v>0</v>
      </c>
      <c r="AE343" s="264">
        <f>IF(NFI_Expiration=1,IF($A343&lt;VLOOKUP(N$5,NFI,5,0),1,0)*Table_NFI[[#This Row],[Kitchen Set]],Table_NFI[Kitchen Set])</f>
        <v>0</v>
      </c>
      <c r="AF343" s="264">
        <f>IF(NFI_Expiration=1,IF($A343&lt;VLOOKUP(O$5,NFI,5,0),1,0)*Table_NFI[[#This Row],[Clothes Kit]],Table_NFI[Clothes Kit])</f>
        <v>0</v>
      </c>
      <c r="AG343" s="264">
        <f>IF(NFI_Expiration=1,IF($A343&lt;VLOOKUP(P$5,NFI,5,0),1,0)*Table_NFI[[#This Row],[Plastic Bucket]],Table_NFI[Plastic Bucket])</f>
        <v>0</v>
      </c>
      <c r="AH343" s="264">
        <f>IF(NFI_Expiration=1,IF($A343&lt;VLOOKUP(Q$5,NFI,5,0),1,0)*Table_NFI[[#This Row],[Plastic Mat]],Table_NFI[Plastic Mat])*IF(Table_NFI[[#This Row],[Distribution Date]]&gt;"2014-04-01",1,2.5)</f>
        <v>0</v>
      </c>
      <c r="AI343" s="264">
        <f>IF(NFI_Expiration=1,IF($A343&lt;VLOOKUP(R$5,NFI,5,0),1,0)*Table_NFI[[#This Row],[Winter Clothes Adult]],Table_NFI[Winter Clothes Adult])</f>
        <v>0</v>
      </c>
      <c r="AJ343" s="264">
        <f>IF(NFI_Expiration=1,IF($A343&lt;VLOOKUP(S$5,NFI,5,0),1,0)*Table_NFI[[#This Row],[Winter Clothes Children]],Table_NFI[Winter Clothes Children])</f>
        <v>0</v>
      </c>
      <c r="AK343" s="264">
        <f>IF(NFI_Expiration=1,IF($A343&lt;VLOOKUP(T$5,NFI,5,0),1,0)*Table_NFI[[#This Row],[Winter Items Other]],Table_NFI[Winter Items Other])</f>
        <v>0</v>
      </c>
      <c r="AL343" s="264">
        <f>IF(NFI_Expiration=1,IF($A343&lt;VLOOKUP(M$5,NFI,5,0),1,0)*Table_NFI[[#This Row],[Winter Blanket]],Table_NFI[[#This Row],[Winter Blanket]])</f>
        <v>0</v>
      </c>
      <c r="AM343" s="264">
        <f>IF(Table_NFI[[#This Row],[Winter Clothes Adult]]+Table_NFI[[#This Row],[Winter Clothes Children]]+Table_NFI[[#This Row],[Winter Items Other]]+Table_NFI[[#This Row],[Winter Blanket]]&gt;0,1,0)</f>
        <v>0</v>
      </c>
      <c r="AN343" s="296">
        <f>IF(NFI_Expiration=1,IF($A343&lt;VLOOKUP(V$5,NFI,5,0),1,0)*Table_NFI[[#This Row],[Jerry Can]],Table_NFI[Jerry Can])</f>
        <v>0</v>
      </c>
      <c r="AO343" s="296">
        <f>IF(NFI_Expiration=1,IF($A343&lt;VLOOKUP(V$5,NFI,5,0),1,0)*Table_NFI[[#This Row],[Shelter Tool kit]],Table_NFI[Shelter Tool kit])</f>
        <v>0</v>
      </c>
      <c r="AP343" s="296">
        <f>IF(NFI_Expiration=1,IF($A343&lt;VLOOKUP(V$5,NFI,5,0),1,0)*Table_NFI[[#This Row],[Tent]],Table_NFI[Tent])</f>
        <v>0</v>
      </c>
      <c r="AQ343" s="396" t="str">
        <f>IFERROR(VLOOKUP(Table_NFI[[#This Row],[Camp Name]],CL,2,0),"")</f>
        <v>MMR001CMP072</v>
      </c>
      <c r="AR343" s="702">
        <f ca="1">IF(Table_NFI[[#This Row],[Pcode]]="","",IF(OFFSET(CampList[Opening Date],MATCH(Table_NFI[[#This Row],[Pcode]],CampList[CP_Pcode],0)-1,0,1,1)&gt;=NFI_Monitor_Date,1,0))</f>
        <v>0</v>
      </c>
      <c r="AS343" s="396" t="str">
        <f>IFERROR(VLOOKUP(Table_NFI[[#This Row],[Camp Name]],CL,3,0),"")</f>
        <v>Open</v>
      </c>
      <c r="AT343" s="264" t="str">
        <f ca="1">IF(Table_NFI[[#This Row],[Pcode]]="","",OFFSET(CampList[Priority],MATCH(Table_NFI[[#This Row],[Pcode]],CampList[CP_Pcode],0)-1,0,1,1))</f>
        <v>P3</v>
      </c>
      <c r="AU343" s="263">
        <f>IFERROR(Table_NFI[[#This Row],[Kitchen Set]]/VLOOKUP(Table_NFI[[#This Row],[Camp Name]],CL,4,0),"")</f>
        <v>0</v>
      </c>
      <c r="AV343" s="390"/>
      <c r="AW343" s="392"/>
      <c r="AX343" s="399"/>
      <c r="AY343" s="399"/>
      <c r="AZ343" s="399"/>
      <c r="BA343" s="399"/>
      <c r="BB343" s="399"/>
      <c r="BC343" s="399"/>
      <c r="BD343" s="399"/>
      <c r="BE343" s="399"/>
      <c r="BF343" s="399"/>
      <c r="BG343" s="399"/>
      <c r="BH343" s="399"/>
      <c r="BI343" s="399"/>
      <c r="BJ343" s="399"/>
      <c r="BK343" s="399"/>
      <c r="BL343" s="399"/>
      <c r="BM343" s="399"/>
      <c r="BN343" s="399"/>
      <c r="BO343" s="399"/>
      <c r="BP343" s="399"/>
      <c r="BQ343" s="399"/>
      <c r="BR343" s="399"/>
      <c r="BS343" s="399"/>
      <c r="BT343" s="399"/>
      <c r="BU343" s="399"/>
      <c r="BV343" s="399"/>
      <c r="BW343" s="399"/>
      <c r="BX343" s="399"/>
      <c r="BY343" s="399"/>
      <c r="BZ343" s="399"/>
      <c r="CA343" s="399"/>
      <c r="CB343" s="399"/>
      <c r="CC343" s="399"/>
      <c r="CD343" s="399"/>
      <c r="CE343" s="399"/>
      <c r="CF343" s="399"/>
      <c r="CG343" s="399"/>
      <c r="CH343" s="399"/>
      <c r="CI343" s="399"/>
      <c r="CJ343" s="399"/>
      <c r="CK343" s="399"/>
      <c r="CL343" s="399"/>
      <c r="CM343" s="399"/>
      <c r="CN343" s="399"/>
      <c r="CO343" s="399"/>
      <c r="CP343" s="399"/>
      <c r="CQ343" s="399"/>
      <c r="CR343" s="399"/>
      <c r="CS343" s="399"/>
      <c r="CT343" s="399"/>
      <c r="CU343" s="399"/>
      <c r="CV343" s="399"/>
      <c r="CW343" s="399"/>
      <c r="CX343" s="399"/>
      <c r="CY343" s="399"/>
      <c r="CZ343" s="399"/>
      <c r="DA343" s="399"/>
      <c r="DB343" s="399"/>
      <c r="DC343" s="399"/>
      <c r="DD343" s="399"/>
      <c r="DE343" s="399"/>
      <c r="DF343" s="399"/>
      <c r="DG343" s="399"/>
      <c r="DH343" s="399"/>
      <c r="DI343" s="399"/>
      <c r="DJ343" s="399"/>
      <c r="DK343" s="399"/>
      <c r="DL343" s="399"/>
      <c r="DM343" s="399"/>
      <c r="DN343" s="399"/>
      <c r="DO343" s="399"/>
      <c r="DP343" s="399"/>
      <c r="DQ343" s="399"/>
    </row>
    <row r="344" spans="1:121" s="760" customFormat="1" ht="14.45" customHeight="1" x14ac:dyDescent="0.25">
      <c r="A344" s="266">
        <f t="shared" si="5"/>
        <v>31.433333333333334</v>
      </c>
      <c r="B344" s="389">
        <v>41913</v>
      </c>
      <c r="C344" s="390" t="s">
        <v>451</v>
      </c>
      <c r="D344" s="394" t="s">
        <v>505</v>
      </c>
      <c r="E344" s="394" t="s">
        <v>380</v>
      </c>
      <c r="F344" s="394" t="s">
        <v>526</v>
      </c>
      <c r="G344" s="394" t="s">
        <v>120</v>
      </c>
      <c r="H344" s="261"/>
      <c r="I344" s="261"/>
      <c r="J344" s="261"/>
      <c r="K344" s="261">
        <v>156</v>
      </c>
      <c r="L344" s="261"/>
      <c r="M344" s="261"/>
      <c r="N344" s="261"/>
      <c r="O344" s="261"/>
      <c r="P344" s="261"/>
      <c r="Q344" s="261"/>
      <c r="R344" s="261"/>
      <c r="S344" s="261"/>
      <c r="T344" s="261"/>
      <c r="U344" s="261"/>
      <c r="V344" s="762"/>
      <c r="W344" s="261"/>
      <c r="X344" s="261"/>
      <c r="Y344" s="264">
        <f>IF(NFI_Expiration=1,IF($A344&lt;VLOOKUP(H$5,NFI,5,0),1,0)*Table_NFI[[#This Row],[Hygiene Kit]],Table_NFI[Hygiene Kit])</f>
        <v>0</v>
      </c>
      <c r="Z344" s="264">
        <f>IF(NFI_Expiration=1,IF($A344&lt;VLOOKUP(I$5,NFI,5,0),1,0)*Table_NFI[[#This Row],[NFI Core Kit]],Table_NFI[NFI Core Kit])</f>
        <v>0</v>
      </c>
      <c r="AA344" s="264">
        <f>IF(NFI_Expiration=1,IF($A344&lt;VLOOKUP(J$5,NFI,5,0),1,0)*Table_NFI[[#This Row],[Sanitary Kit]],Table_NFI[Sanitary Kit])</f>
        <v>0</v>
      </c>
      <c r="AB344" s="264">
        <f>IF(NFI_Expiration=1,IF($A344&lt;VLOOKUP(K$5,NFI,5,0),1,0)*Table_NFI[[#This Row],[Mosquito net]],Table_NFI[Mosquito net])</f>
        <v>0</v>
      </c>
      <c r="AC344" s="264">
        <f>IF(NFI_Expiration=1,IF($A344&lt;VLOOKUP(L$5,NFI,5,0),1,0)*Table_NFI[[#This Row],[Tarpaulin]],Table_NFI[[#This Row],[Tarpaulin]])</f>
        <v>0</v>
      </c>
      <c r="AD344" s="264">
        <f>IF(NFI_Expiration=1,IF($A344&lt;VLOOKUP(M$5,NFI,5,0),1,0)*Table_NFI[[#This Row],[Blanket]],Table_NFI[[#This Row],[Blanket]])</f>
        <v>0</v>
      </c>
      <c r="AE344" s="264">
        <f>IF(NFI_Expiration=1,IF($A344&lt;VLOOKUP(N$5,NFI,5,0),1,0)*Table_NFI[[#This Row],[Kitchen Set]],Table_NFI[Kitchen Set])</f>
        <v>0</v>
      </c>
      <c r="AF344" s="264">
        <f>IF(NFI_Expiration=1,IF($A344&lt;VLOOKUP(O$5,NFI,5,0),1,0)*Table_NFI[[#This Row],[Clothes Kit]],Table_NFI[Clothes Kit])</f>
        <v>0</v>
      </c>
      <c r="AG344" s="264">
        <f>IF(NFI_Expiration=1,IF($A344&lt;VLOOKUP(P$5,NFI,5,0),1,0)*Table_NFI[[#This Row],[Plastic Bucket]],Table_NFI[Plastic Bucket])</f>
        <v>0</v>
      </c>
      <c r="AH344" s="264">
        <f>IF(NFI_Expiration=1,IF($A344&lt;VLOOKUP(Q$5,NFI,5,0),1,0)*Table_NFI[[#This Row],[Plastic Mat]],Table_NFI[Plastic Mat])*IF(Table_NFI[[#This Row],[Distribution Date]]&gt;"2014-04-01",1,2.5)</f>
        <v>0</v>
      </c>
      <c r="AI344" s="264">
        <f>IF(NFI_Expiration=1,IF($A344&lt;VLOOKUP(R$5,NFI,5,0),1,0)*Table_NFI[[#This Row],[Winter Clothes Adult]],Table_NFI[Winter Clothes Adult])</f>
        <v>0</v>
      </c>
      <c r="AJ344" s="264">
        <f>IF(NFI_Expiration=1,IF($A344&lt;VLOOKUP(S$5,NFI,5,0),1,0)*Table_NFI[[#This Row],[Winter Clothes Children]],Table_NFI[Winter Clothes Children])</f>
        <v>0</v>
      </c>
      <c r="AK344" s="264">
        <f>IF(NFI_Expiration=1,IF($A344&lt;VLOOKUP(T$5,NFI,5,0),1,0)*Table_NFI[[#This Row],[Winter Items Other]],Table_NFI[Winter Items Other])</f>
        <v>0</v>
      </c>
      <c r="AL344" s="264">
        <f>IF(NFI_Expiration=1,IF($A344&lt;VLOOKUP(M$5,NFI,5,0),1,0)*Table_NFI[[#This Row],[Winter Blanket]],Table_NFI[[#This Row],[Winter Blanket]])</f>
        <v>0</v>
      </c>
      <c r="AM344" s="264">
        <f>IF(Table_NFI[[#This Row],[Winter Clothes Adult]]+Table_NFI[[#This Row],[Winter Clothes Children]]+Table_NFI[[#This Row],[Winter Items Other]]+Table_NFI[[#This Row],[Winter Blanket]]&gt;0,1,0)</f>
        <v>0</v>
      </c>
      <c r="AN344" s="296">
        <f>IF(NFI_Expiration=1,IF($A344&lt;VLOOKUP(V$5,NFI,5,0),1,0)*Table_NFI[[#This Row],[Jerry Can]],Table_NFI[Jerry Can])</f>
        <v>0</v>
      </c>
      <c r="AO344" s="296">
        <f>IF(NFI_Expiration=1,IF($A344&lt;VLOOKUP(V$5,NFI,5,0),1,0)*Table_NFI[[#This Row],[Shelter Tool kit]],Table_NFI[Shelter Tool kit])</f>
        <v>0</v>
      </c>
      <c r="AP344" s="296">
        <f>IF(NFI_Expiration=1,IF($A344&lt;VLOOKUP(V$5,NFI,5,0),1,0)*Table_NFI[[#This Row],[Tent]],Table_NFI[Tent])</f>
        <v>0</v>
      </c>
      <c r="AQ344" s="396" t="str">
        <f>IFERROR(VLOOKUP(Table_NFI[[#This Row],[Camp Name]],CL,2,0),"")</f>
        <v>MMR001CMP168</v>
      </c>
      <c r="AR344" s="702">
        <f ca="1">IF(Table_NFI[[#This Row],[Pcode]]="","",IF(OFFSET(CampList[Opening Date],MATCH(Table_NFI[[#This Row],[Pcode]],CampList[CP_Pcode],0)-1,0,1,1)&gt;=NFI_Monitor_Date,1,0))</f>
        <v>0</v>
      </c>
      <c r="AS344" s="396" t="str">
        <f>IFERROR(VLOOKUP(Table_NFI[[#This Row],[Camp Name]],CL,3,0),"")</f>
        <v>Open</v>
      </c>
      <c r="AT344" s="264" t="str">
        <f ca="1">IF(Table_NFI[[#This Row],[Pcode]]="","",OFFSET(CampList[Priority],MATCH(Table_NFI[[#This Row],[Pcode]],CampList[CP_Pcode],0)-1,0,1,1))</f>
        <v>P4</v>
      </c>
      <c r="AU344" s="263">
        <f>IFERROR(Table_NFI[[#This Row],[Kitchen Set]]/VLOOKUP(Table_NFI[[#This Row],[Camp Name]],CL,4,0),"")</f>
        <v>0</v>
      </c>
      <c r="AV344" s="394"/>
      <c r="AW344" s="397"/>
      <c r="AX344" s="399"/>
      <c r="AY344" s="399"/>
      <c r="AZ344" s="399"/>
      <c r="BA344" s="399"/>
      <c r="BB344" s="399"/>
      <c r="BC344" s="399"/>
      <c r="BD344" s="399"/>
      <c r="BE344" s="399"/>
      <c r="BF344" s="399"/>
      <c r="BG344" s="399"/>
      <c r="BH344" s="399"/>
      <c r="BI344" s="399"/>
      <c r="BJ344" s="399"/>
      <c r="BK344" s="399"/>
      <c r="BL344" s="399"/>
      <c r="BM344" s="399"/>
      <c r="BN344" s="399"/>
      <c r="BO344" s="399"/>
      <c r="BP344" s="399"/>
      <c r="BQ344" s="399"/>
      <c r="BR344" s="399"/>
      <c r="BS344" s="399"/>
      <c r="BT344" s="399"/>
      <c r="BU344" s="399"/>
      <c r="BV344" s="399"/>
      <c r="BW344" s="399"/>
      <c r="BX344" s="399"/>
      <c r="BY344" s="399"/>
      <c r="BZ344" s="399"/>
      <c r="CA344" s="399"/>
      <c r="CB344" s="399"/>
      <c r="CC344" s="399"/>
      <c r="CD344" s="399"/>
      <c r="CE344" s="399"/>
      <c r="CF344" s="399"/>
      <c r="CG344" s="399"/>
      <c r="CH344" s="399"/>
      <c r="CI344" s="399"/>
      <c r="CJ344" s="399"/>
      <c r="CK344" s="399"/>
      <c r="CL344" s="399"/>
      <c r="CM344" s="399"/>
      <c r="CN344" s="399"/>
      <c r="CO344" s="399"/>
      <c r="CP344" s="399"/>
      <c r="CQ344" s="399"/>
      <c r="CR344" s="399"/>
      <c r="CS344" s="399"/>
      <c r="CT344" s="399"/>
      <c r="CU344" s="399"/>
      <c r="CV344" s="399"/>
      <c r="CW344" s="399"/>
      <c r="CX344" s="399"/>
      <c r="CY344" s="399"/>
      <c r="CZ344" s="399"/>
      <c r="DA344" s="399"/>
      <c r="DB344" s="399"/>
      <c r="DC344" s="399"/>
      <c r="DD344" s="399"/>
      <c r="DE344" s="399"/>
      <c r="DF344" s="399"/>
      <c r="DG344" s="399"/>
      <c r="DH344" s="399"/>
      <c r="DI344" s="399"/>
      <c r="DJ344" s="399"/>
      <c r="DK344" s="399"/>
      <c r="DL344" s="399"/>
      <c r="DM344" s="399"/>
      <c r="DN344" s="399"/>
      <c r="DO344" s="399"/>
      <c r="DP344" s="399"/>
      <c r="DQ344" s="399"/>
    </row>
    <row r="345" spans="1:121" s="760" customFormat="1" ht="14.45" customHeight="1" x14ac:dyDescent="0.25">
      <c r="A345" s="266">
        <f t="shared" si="5"/>
        <v>31.433333333333334</v>
      </c>
      <c r="B345" s="389">
        <v>41913</v>
      </c>
      <c r="C345" s="390" t="s">
        <v>451</v>
      </c>
      <c r="D345" s="394" t="s">
        <v>504</v>
      </c>
      <c r="E345" s="394" t="s">
        <v>380</v>
      </c>
      <c r="F345" s="394" t="s">
        <v>526</v>
      </c>
      <c r="G345" s="394" t="s">
        <v>41</v>
      </c>
      <c r="H345" s="261"/>
      <c r="I345" s="261"/>
      <c r="J345" s="261"/>
      <c r="K345" s="261">
        <v>130</v>
      </c>
      <c r="L345" s="261"/>
      <c r="M345" s="261"/>
      <c r="N345" s="261"/>
      <c r="O345" s="261"/>
      <c r="P345" s="261"/>
      <c r="Q345" s="261"/>
      <c r="R345" s="261"/>
      <c r="S345" s="261"/>
      <c r="T345" s="261"/>
      <c r="U345" s="261"/>
      <c r="V345" s="762"/>
      <c r="W345" s="261"/>
      <c r="X345" s="261"/>
      <c r="Y345" s="264">
        <f>IF(NFI_Expiration=1,IF($A345&lt;VLOOKUP(H$5,NFI,5,0),1,0)*Table_NFI[[#This Row],[Hygiene Kit]],Table_NFI[Hygiene Kit])</f>
        <v>0</v>
      </c>
      <c r="Z345" s="264">
        <f>IF(NFI_Expiration=1,IF($A345&lt;VLOOKUP(I$5,NFI,5,0),1,0)*Table_NFI[[#This Row],[NFI Core Kit]],Table_NFI[NFI Core Kit])</f>
        <v>0</v>
      </c>
      <c r="AA345" s="264">
        <f>IF(NFI_Expiration=1,IF($A345&lt;VLOOKUP(J$5,NFI,5,0),1,0)*Table_NFI[[#This Row],[Sanitary Kit]],Table_NFI[Sanitary Kit])</f>
        <v>0</v>
      </c>
      <c r="AB345" s="264">
        <f>IF(NFI_Expiration=1,IF($A345&lt;VLOOKUP(K$5,NFI,5,0),1,0)*Table_NFI[[#This Row],[Mosquito net]],Table_NFI[Mosquito net])</f>
        <v>0</v>
      </c>
      <c r="AC345" s="264">
        <f>IF(NFI_Expiration=1,IF($A345&lt;VLOOKUP(L$5,NFI,5,0),1,0)*Table_NFI[[#This Row],[Tarpaulin]],Table_NFI[[#This Row],[Tarpaulin]])</f>
        <v>0</v>
      </c>
      <c r="AD345" s="264">
        <f>IF(NFI_Expiration=1,IF($A345&lt;VLOOKUP(M$5,NFI,5,0),1,0)*Table_NFI[[#This Row],[Blanket]],Table_NFI[[#This Row],[Blanket]])</f>
        <v>0</v>
      </c>
      <c r="AE345" s="264">
        <f>IF(NFI_Expiration=1,IF($A345&lt;VLOOKUP(N$5,NFI,5,0),1,0)*Table_NFI[[#This Row],[Kitchen Set]],Table_NFI[Kitchen Set])</f>
        <v>0</v>
      </c>
      <c r="AF345" s="264">
        <f>IF(NFI_Expiration=1,IF($A345&lt;VLOOKUP(O$5,NFI,5,0),1,0)*Table_NFI[[#This Row],[Clothes Kit]],Table_NFI[Clothes Kit])</f>
        <v>0</v>
      </c>
      <c r="AG345" s="264">
        <f>IF(NFI_Expiration=1,IF($A345&lt;VLOOKUP(P$5,NFI,5,0),1,0)*Table_NFI[[#This Row],[Plastic Bucket]],Table_NFI[Plastic Bucket])</f>
        <v>0</v>
      </c>
      <c r="AH345" s="264">
        <f>IF(NFI_Expiration=1,IF($A345&lt;VLOOKUP(Q$5,NFI,5,0),1,0)*Table_NFI[[#This Row],[Plastic Mat]],Table_NFI[Plastic Mat])*IF(Table_NFI[[#This Row],[Distribution Date]]&gt;"2014-04-01",1,2.5)</f>
        <v>0</v>
      </c>
      <c r="AI345" s="264">
        <f>IF(NFI_Expiration=1,IF($A345&lt;VLOOKUP(R$5,NFI,5,0),1,0)*Table_NFI[[#This Row],[Winter Clothes Adult]],Table_NFI[Winter Clothes Adult])</f>
        <v>0</v>
      </c>
      <c r="AJ345" s="264">
        <f>IF(NFI_Expiration=1,IF($A345&lt;VLOOKUP(S$5,NFI,5,0),1,0)*Table_NFI[[#This Row],[Winter Clothes Children]],Table_NFI[Winter Clothes Children])</f>
        <v>0</v>
      </c>
      <c r="AK345" s="264">
        <f>IF(NFI_Expiration=1,IF($A345&lt;VLOOKUP(T$5,NFI,5,0),1,0)*Table_NFI[[#This Row],[Winter Items Other]],Table_NFI[Winter Items Other])</f>
        <v>0</v>
      </c>
      <c r="AL345" s="264">
        <f>IF(NFI_Expiration=1,IF($A345&lt;VLOOKUP(M$5,NFI,5,0),1,0)*Table_NFI[[#This Row],[Winter Blanket]],Table_NFI[[#This Row],[Winter Blanket]])</f>
        <v>0</v>
      </c>
      <c r="AM345" s="264">
        <f>IF(Table_NFI[[#This Row],[Winter Clothes Adult]]+Table_NFI[[#This Row],[Winter Clothes Children]]+Table_NFI[[#This Row],[Winter Items Other]]+Table_NFI[[#This Row],[Winter Blanket]]&gt;0,1,0)</f>
        <v>0</v>
      </c>
      <c r="AN345" s="296">
        <f>IF(NFI_Expiration=1,IF($A345&lt;VLOOKUP(V$5,NFI,5,0),1,0)*Table_NFI[[#This Row],[Jerry Can]],Table_NFI[Jerry Can])</f>
        <v>0</v>
      </c>
      <c r="AO345" s="296">
        <f>IF(NFI_Expiration=1,IF($A345&lt;VLOOKUP(V$5,NFI,5,0),1,0)*Table_NFI[[#This Row],[Shelter Tool kit]],Table_NFI[Shelter Tool kit])</f>
        <v>0</v>
      </c>
      <c r="AP345" s="296">
        <f>IF(NFI_Expiration=1,IF($A345&lt;VLOOKUP(V$5,NFI,5,0),1,0)*Table_NFI[[#This Row],[Tent]],Table_NFI[Tent])</f>
        <v>0</v>
      </c>
      <c r="AQ345" s="396" t="str">
        <f>IFERROR(VLOOKUP(Table_NFI[[#This Row],[Camp Name]],CL,2,0),"")</f>
        <v>MMR001CMP176</v>
      </c>
      <c r="AR345" s="702">
        <f ca="1">IF(Table_NFI[[#This Row],[Pcode]]="","",IF(OFFSET(CampList[Opening Date],MATCH(Table_NFI[[#This Row],[Pcode]],CampList[CP_Pcode],0)-1,0,1,1)&gt;=NFI_Monitor_Date,1,0))</f>
        <v>0</v>
      </c>
      <c r="AS345" s="396" t="str">
        <f>IFERROR(VLOOKUP(Table_NFI[[#This Row],[Camp Name]],CL,3,0),"")</f>
        <v>Open</v>
      </c>
      <c r="AT345" s="264" t="str">
        <f ca="1">IF(Table_NFI[[#This Row],[Pcode]]="","",OFFSET(CampList[Priority],MATCH(Table_NFI[[#This Row],[Pcode]],CampList[CP_Pcode],0)-1,0,1,1))</f>
        <v>P4</v>
      </c>
      <c r="AU345" s="263">
        <f>IFERROR(Table_NFI[[#This Row],[Kitchen Set]]/VLOOKUP(Table_NFI[[#This Row],[Camp Name]],CL,4,0),"")</f>
        <v>0</v>
      </c>
      <c r="AV345" s="394"/>
      <c r="AW345" s="397"/>
      <c r="AX345" s="399"/>
      <c r="AY345" s="399"/>
      <c r="AZ345" s="399"/>
      <c r="BA345" s="399"/>
      <c r="BB345" s="399"/>
      <c r="BC345" s="399"/>
      <c r="BD345" s="399"/>
      <c r="BE345" s="399"/>
      <c r="BF345" s="399"/>
      <c r="BG345" s="399"/>
      <c r="BH345" s="399"/>
      <c r="BI345" s="399"/>
      <c r="BJ345" s="399"/>
      <c r="BK345" s="399"/>
      <c r="BL345" s="399"/>
      <c r="BM345" s="399"/>
      <c r="BN345" s="399"/>
      <c r="BO345" s="399"/>
      <c r="BP345" s="399"/>
      <c r="BQ345" s="399"/>
      <c r="BR345" s="399"/>
      <c r="BS345" s="399"/>
      <c r="BT345" s="399"/>
      <c r="BU345" s="399"/>
      <c r="BV345" s="399"/>
      <c r="BW345" s="399"/>
      <c r="BX345" s="399"/>
      <c r="BY345" s="399"/>
      <c r="BZ345" s="399"/>
      <c r="CA345" s="399"/>
      <c r="CB345" s="399"/>
      <c r="CC345" s="399"/>
      <c r="CD345" s="399"/>
      <c r="CE345" s="399"/>
      <c r="CF345" s="399"/>
      <c r="CG345" s="399"/>
      <c r="CH345" s="399"/>
      <c r="CI345" s="399"/>
      <c r="CJ345" s="399"/>
      <c r="CK345" s="399"/>
      <c r="CL345" s="399"/>
      <c r="CM345" s="399"/>
      <c r="CN345" s="399"/>
      <c r="CO345" s="399"/>
      <c r="CP345" s="399"/>
      <c r="CQ345" s="399"/>
      <c r="CR345" s="399"/>
      <c r="CS345" s="399"/>
      <c r="CT345" s="399"/>
      <c r="CU345" s="399"/>
      <c r="CV345" s="399"/>
      <c r="CW345" s="399"/>
      <c r="CX345" s="399"/>
      <c r="CY345" s="399"/>
      <c r="CZ345" s="399"/>
      <c r="DA345" s="399"/>
      <c r="DB345" s="399"/>
      <c r="DC345" s="399"/>
      <c r="DD345" s="399"/>
      <c r="DE345" s="399"/>
      <c r="DF345" s="399"/>
      <c r="DG345" s="399"/>
      <c r="DH345" s="399"/>
      <c r="DI345" s="399"/>
      <c r="DJ345" s="399"/>
      <c r="DK345" s="399"/>
      <c r="DL345" s="399"/>
      <c r="DM345" s="399"/>
      <c r="DN345" s="399"/>
      <c r="DO345" s="399"/>
      <c r="DP345" s="399"/>
      <c r="DQ345" s="399"/>
    </row>
    <row r="346" spans="1:121" s="760" customFormat="1" ht="14.45" customHeight="1" x14ac:dyDescent="0.25">
      <c r="A346" s="266">
        <f t="shared" si="5"/>
        <v>31.433333333333334</v>
      </c>
      <c r="B346" s="389">
        <v>41913</v>
      </c>
      <c r="C346" s="390" t="s">
        <v>451</v>
      </c>
      <c r="D346" s="394" t="s">
        <v>504</v>
      </c>
      <c r="E346" s="394" t="s">
        <v>380</v>
      </c>
      <c r="F346" s="394" t="s">
        <v>526</v>
      </c>
      <c r="G346" s="394" t="s">
        <v>43</v>
      </c>
      <c r="H346" s="261"/>
      <c r="I346" s="261"/>
      <c r="J346" s="261"/>
      <c r="K346" s="261">
        <v>30</v>
      </c>
      <c r="L346" s="261"/>
      <c r="M346" s="261"/>
      <c r="N346" s="261"/>
      <c r="O346" s="261"/>
      <c r="P346" s="261"/>
      <c r="Q346" s="261"/>
      <c r="R346" s="261"/>
      <c r="S346" s="261"/>
      <c r="T346" s="261"/>
      <c r="U346" s="261"/>
      <c r="V346" s="762"/>
      <c r="W346" s="261"/>
      <c r="X346" s="261"/>
      <c r="Y346" s="264">
        <f>IF(NFI_Expiration=1,IF($A346&lt;VLOOKUP(H$5,NFI,5,0),1,0)*Table_NFI[[#This Row],[Hygiene Kit]],Table_NFI[Hygiene Kit])</f>
        <v>0</v>
      </c>
      <c r="Z346" s="264">
        <f>IF(NFI_Expiration=1,IF($A346&lt;VLOOKUP(I$5,NFI,5,0),1,0)*Table_NFI[[#This Row],[NFI Core Kit]],Table_NFI[NFI Core Kit])</f>
        <v>0</v>
      </c>
      <c r="AA346" s="264">
        <f>IF(NFI_Expiration=1,IF($A346&lt;VLOOKUP(J$5,NFI,5,0),1,0)*Table_NFI[[#This Row],[Sanitary Kit]],Table_NFI[Sanitary Kit])</f>
        <v>0</v>
      </c>
      <c r="AB346" s="264">
        <f>IF(NFI_Expiration=1,IF($A346&lt;VLOOKUP(K$5,NFI,5,0),1,0)*Table_NFI[[#This Row],[Mosquito net]],Table_NFI[Mosquito net])</f>
        <v>0</v>
      </c>
      <c r="AC346" s="264">
        <f>IF(NFI_Expiration=1,IF($A346&lt;VLOOKUP(L$5,NFI,5,0),1,0)*Table_NFI[[#This Row],[Tarpaulin]],Table_NFI[[#This Row],[Tarpaulin]])</f>
        <v>0</v>
      </c>
      <c r="AD346" s="264">
        <f>IF(NFI_Expiration=1,IF($A346&lt;VLOOKUP(M$5,NFI,5,0),1,0)*Table_NFI[[#This Row],[Blanket]],Table_NFI[[#This Row],[Blanket]])</f>
        <v>0</v>
      </c>
      <c r="AE346" s="264">
        <f>IF(NFI_Expiration=1,IF($A346&lt;VLOOKUP(N$5,NFI,5,0),1,0)*Table_NFI[[#This Row],[Kitchen Set]],Table_NFI[Kitchen Set])</f>
        <v>0</v>
      </c>
      <c r="AF346" s="264">
        <f>IF(NFI_Expiration=1,IF($A346&lt;VLOOKUP(O$5,NFI,5,0),1,0)*Table_NFI[[#This Row],[Clothes Kit]],Table_NFI[Clothes Kit])</f>
        <v>0</v>
      </c>
      <c r="AG346" s="264">
        <f>IF(NFI_Expiration=1,IF($A346&lt;VLOOKUP(P$5,NFI,5,0),1,0)*Table_NFI[[#This Row],[Plastic Bucket]],Table_NFI[Plastic Bucket])</f>
        <v>0</v>
      </c>
      <c r="AH346" s="264">
        <f>IF(NFI_Expiration=1,IF($A346&lt;VLOOKUP(Q$5,NFI,5,0),1,0)*Table_NFI[[#This Row],[Plastic Mat]],Table_NFI[Plastic Mat])*IF(Table_NFI[[#This Row],[Distribution Date]]&gt;"2014-04-01",1,2.5)</f>
        <v>0</v>
      </c>
      <c r="AI346" s="264">
        <f>IF(NFI_Expiration=1,IF($A346&lt;VLOOKUP(R$5,NFI,5,0),1,0)*Table_NFI[[#This Row],[Winter Clothes Adult]],Table_NFI[Winter Clothes Adult])</f>
        <v>0</v>
      </c>
      <c r="AJ346" s="264">
        <f>IF(NFI_Expiration=1,IF($A346&lt;VLOOKUP(S$5,NFI,5,0),1,0)*Table_NFI[[#This Row],[Winter Clothes Children]],Table_NFI[Winter Clothes Children])</f>
        <v>0</v>
      </c>
      <c r="AK346" s="264">
        <f>IF(NFI_Expiration=1,IF($A346&lt;VLOOKUP(T$5,NFI,5,0),1,0)*Table_NFI[[#This Row],[Winter Items Other]],Table_NFI[Winter Items Other])</f>
        <v>0</v>
      </c>
      <c r="AL346" s="264">
        <f>IF(NFI_Expiration=1,IF($A346&lt;VLOOKUP(M$5,NFI,5,0),1,0)*Table_NFI[[#This Row],[Winter Blanket]],Table_NFI[[#This Row],[Winter Blanket]])</f>
        <v>0</v>
      </c>
      <c r="AM346" s="264">
        <f>IF(Table_NFI[[#This Row],[Winter Clothes Adult]]+Table_NFI[[#This Row],[Winter Clothes Children]]+Table_NFI[[#This Row],[Winter Items Other]]+Table_NFI[[#This Row],[Winter Blanket]]&gt;0,1,0)</f>
        <v>0</v>
      </c>
      <c r="AN346" s="296">
        <f>IF(NFI_Expiration=1,IF($A346&lt;VLOOKUP(V$5,NFI,5,0),1,0)*Table_NFI[[#This Row],[Jerry Can]],Table_NFI[Jerry Can])</f>
        <v>0</v>
      </c>
      <c r="AO346" s="296">
        <f>IF(NFI_Expiration=1,IF($A346&lt;VLOOKUP(V$5,NFI,5,0),1,0)*Table_NFI[[#This Row],[Shelter Tool kit]],Table_NFI[Shelter Tool kit])</f>
        <v>0</v>
      </c>
      <c r="AP346" s="296">
        <f>IF(NFI_Expiration=1,IF($A346&lt;VLOOKUP(V$5,NFI,5,0),1,0)*Table_NFI[[#This Row],[Tent]],Table_NFI[Tent])</f>
        <v>0</v>
      </c>
      <c r="AQ346" s="396" t="str">
        <f>IFERROR(VLOOKUP(Table_NFI[[#This Row],[Camp Name]],CL,2,0),"")</f>
        <v>MMR001CMP190</v>
      </c>
      <c r="AR346" s="702">
        <f ca="1">IF(Table_NFI[[#This Row],[Pcode]]="","",IF(OFFSET(CampList[Opening Date],MATCH(Table_NFI[[#This Row],[Pcode]],CampList[CP_Pcode],0)-1,0,1,1)&gt;=NFI_Monitor_Date,1,0))</f>
        <v>0</v>
      </c>
      <c r="AS346" s="396" t="str">
        <f>IFERROR(VLOOKUP(Table_NFI[[#This Row],[Camp Name]],CL,3,0),"")</f>
        <v>Open</v>
      </c>
      <c r="AT346" s="264" t="str">
        <f ca="1">IF(Table_NFI[[#This Row],[Pcode]]="","",OFFSET(CampList[Priority],MATCH(Table_NFI[[#This Row],[Pcode]],CampList[CP_Pcode],0)-1,0,1,1))</f>
        <v>P4</v>
      </c>
      <c r="AU346" s="263">
        <f>IFERROR(Table_NFI[[#This Row],[Kitchen Set]]/VLOOKUP(Table_NFI[[#This Row],[Camp Name]],CL,4,0),"")</f>
        <v>0</v>
      </c>
      <c r="AV346" s="394"/>
      <c r="AW346" s="397"/>
      <c r="AX346" s="399"/>
      <c r="AY346" s="399"/>
      <c r="AZ346" s="399"/>
      <c r="BA346" s="399"/>
      <c r="BB346" s="399"/>
      <c r="BC346" s="399"/>
      <c r="BD346" s="399"/>
      <c r="BE346" s="399"/>
      <c r="BF346" s="399"/>
      <c r="BG346" s="399"/>
      <c r="BH346" s="399"/>
      <c r="BI346" s="399"/>
      <c r="BJ346" s="399"/>
      <c r="BK346" s="399"/>
      <c r="BL346" s="399"/>
      <c r="BM346" s="399"/>
      <c r="BN346" s="399"/>
      <c r="BO346" s="399"/>
      <c r="BP346" s="399"/>
      <c r="BQ346" s="399"/>
      <c r="BR346" s="399"/>
      <c r="BS346" s="399"/>
      <c r="BT346" s="399"/>
      <c r="BU346" s="399"/>
      <c r="BV346" s="399"/>
      <c r="BW346" s="399"/>
      <c r="BX346" s="399"/>
      <c r="BY346" s="399"/>
      <c r="BZ346" s="399"/>
      <c r="CA346" s="399"/>
      <c r="CB346" s="399"/>
      <c r="CC346" s="399"/>
      <c r="CD346" s="399"/>
      <c r="CE346" s="399"/>
      <c r="CF346" s="399"/>
      <c r="CG346" s="399"/>
      <c r="CH346" s="399"/>
      <c r="CI346" s="399"/>
      <c r="CJ346" s="399"/>
      <c r="CK346" s="399"/>
      <c r="CL346" s="399"/>
      <c r="CM346" s="399"/>
      <c r="CN346" s="399"/>
      <c r="CO346" s="399"/>
      <c r="CP346" s="399"/>
      <c r="CQ346" s="399"/>
      <c r="CR346" s="399"/>
      <c r="CS346" s="399"/>
      <c r="CT346" s="399"/>
      <c r="CU346" s="399"/>
      <c r="CV346" s="399"/>
      <c r="CW346" s="399"/>
      <c r="CX346" s="399"/>
      <c r="CY346" s="399"/>
      <c r="CZ346" s="399"/>
      <c r="DA346" s="399"/>
      <c r="DB346" s="399"/>
      <c r="DC346" s="399"/>
      <c r="DD346" s="399"/>
      <c r="DE346" s="399"/>
      <c r="DF346" s="399"/>
      <c r="DG346" s="399"/>
      <c r="DH346" s="399"/>
      <c r="DI346" s="399"/>
      <c r="DJ346" s="399"/>
      <c r="DK346" s="399"/>
      <c r="DL346" s="399"/>
      <c r="DM346" s="399"/>
      <c r="DN346" s="399"/>
      <c r="DO346" s="399"/>
      <c r="DP346" s="399"/>
      <c r="DQ346" s="399"/>
    </row>
    <row r="347" spans="1:121" s="760" customFormat="1" ht="15" customHeight="1" x14ac:dyDescent="0.25">
      <c r="A347" s="266">
        <f t="shared" si="5"/>
        <v>31.433333333333334</v>
      </c>
      <c r="B347" s="389">
        <v>41913</v>
      </c>
      <c r="C347" s="390" t="s">
        <v>451</v>
      </c>
      <c r="D347" s="394" t="s">
        <v>504</v>
      </c>
      <c r="E347" s="394" t="s">
        <v>380</v>
      </c>
      <c r="F347" s="394" t="s">
        <v>526</v>
      </c>
      <c r="G347" s="394" t="s">
        <v>58</v>
      </c>
      <c r="H347" s="261"/>
      <c r="I347" s="261"/>
      <c r="J347" s="261"/>
      <c r="K347" s="261">
        <v>30</v>
      </c>
      <c r="L347" s="261"/>
      <c r="M347" s="261"/>
      <c r="N347" s="261"/>
      <c r="O347" s="261"/>
      <c r="P347" s="261"/>
      <c r="Q347" s="261"/>
      <c r="R347" s="261"/>
      <c r="S347" s="261"/>
      <c r="T347" s="261"/>
      <c r="U347" s="261"/>
      <c r="V347" s="762"/>
      <c r="W347" s="261"/>
      <c r="X347" s="261"/>
      <c r="Y347" s="264">
        <f>IF(NFI_Expiration=1,IF($A347&lt;VLOOKUP(H$5,NFI,5,0),1,0)*Table_NFI[[#This Row],[Hygiene Kit]],Table_NFI[Hygiene Kit])</f>
        <v>0</v>
      </c>
      <c r="Z347" s="264">
        <f>IF(NFI_Expiration=1,IF($A347&lt;VLOOKUP(I$5,NFI,5,0),1,0)*Table_NFI[[#This Row],[NFI Core Kit]],Table_NFI[NFI Core Kit])</f>
        <v>0</v>
      </c>
      <c r="AA347" s="264">
        <f>IF(NFI_Expiration=1,IF($A347&lt;VLOOKUP(J$5,NFI,5,0),1,0)*Table_NFI[[#This Row],[Sanitary Kit]],Table_NFI[Sanitary Kit])</f>
        <v>0</v>
      </c>
      <c r="AB347" s="264">
        <f>IF(NFI_Expiration=1,IF($A347&lt;VLOOKUP(K$5,NFI,5,0),1,0)*Table_NFI[[#This Row],[Mosquito net]],Table_NFI[Mosquito net])</f>
        <v>0</v>
      </c>
      <c r="AC347" s="264">
        <f>IF(NFI_Expiration=1,IF($A347&lt;VLOOKUP(L$5,NFI,5,0),1,0)*Table_NFI[[#This Row],[Tarpaulin]],Table_NFI[[#This Row],[Tarpaulin]])</f>
        <v>0</v>
      </c>
      <c r="AD347" s="264">
        <f>IF(NFI_Expiration=1,IF($A347&lt;VLOOKUP(M$5,NFI,5,0),1,0)*Table_NFI[[#This Row],[Blanket]],Table_NFI[[#This Row],[Blanket]])</f>
        <v>0</v>
      </c>
      <c r="AE347" s="264">
        <f>IF(NFI_Expiration=1,IF($A347&lt;VLOOKUP(N$5,NFI,5,0),1,0)*Table_NFI[[#This Row],[Kitchen Set]],Table_NFI[Kitchen Set])</f>
        <v>0</v>
      </c>
      <c r="AF347" s="264">
        <f>IF(NFI_Expiration=1,IF($A347&lt;VLOOKUP(O$5,NFI,5,0),1,0)*Table_NFI[[#This Row],[Clothes Kit]],Table_NFI[Clothes Kit])</f>
        <v>0</v>
      </c>
      <c r="AG347" s="264">
        <f>IF(NFI_Expiration=1,IF($A347&lt;VLOOKUP(P$5,NFI,5,0),1,0)*Table_NFI[[#This Row],[Plastic Bucket]],Table_NFI[Plastic Bucket])</f>
        <v>0</v>
      </c>
      <c r="AH347" s="264">
        <f>IF(NFI_Expiration=1,IF($A347&lt;VLOOKUP(Q$5,NFI,5,0),1,0)*Table_NFI[[#This Row],[Plastic Mat]],Table_NFI[Plastic Mat])*IF(Table_NFI[[#This Row],[Distribution Date]]&gt;"2014-04-01",1,2.5)</f>
        <v>0</v>
      </c>
      <c r="AI347" s="264">
        <f>IF(NFI_Expiration=1,IF($A347&lt;VLOOKUP(R$5,NFI,5,0),1,0)*Table_NFI[[#This Row],[Winter Clothes Adult]],Table_NFI[Winter Clothes Adult])</f>
        <v>0</v>
      </c>
      <c r="AJ347" s="264">
        <f>IF(NFI_Expiration=1,IF($A347&lt;VLOOKUP(S$5,NFI,5,0),1,0)*Table_NFI[[#This Row],[Winter Clothes Children]],Table_NFI[Winter Clothes Children])</f>
        <v>0</v>
      </c>
      <c r="AK347" s="264">
        <f>IF(NFI_Expiration=1,IF($A347&lt;VLOOKUP(T$5,NFI,5,0),1,0)*Table_NFI[[#This Row],[Winter Items Other]],Table_NFI[Winter Items Other])</f>
        <v>0</v>
      </c>
      <c r="AL347" s="264">
        <f>IF(NFI_Expiration=1,IF($A347&lt;VLOOKUP(M$5,NFI,5,0),1,0)*Table_NFI[[#This Row],[Winter Blanket]],Table_NFI[[#This Row],[Winter Blanket]])</f>
        <v>0</v>
      </c>
      <c r="AM347" s="264">
        <f>IF(Table_NFI[[#This Row],[Winter Clothes Adult]]+Table_NFI[[#This Row],[Winter Clothes Children]]+Table_NFI[[#This Row],[Winter Items Other]]+Table_NFI[[#This Row],[Winter Blanket]]&gt;0,1,0)</f>
        <v>0</v>
      </c>
      <c r="AN347" s="296">
        <f>IF(NFI_Expiration=1,IF($A347&lt;VLOOKUP(V$5,NFI,5,0),1,0)*Table_NFI[[#This Row],[Jerry Can]],Table_NFI[Jerry Can])</f>
        <v>0</v>
      </c>
      <c r="AO347" s="296">
        <f>IF(NFI_Expiration=1,IF($A347&lt;VLOOKUP(V$5,NFI,5,0),1,0)*Table_NFI[[#This Row],[Shelter Tool kit]],Table_NFI[Shelter Tool kit])</f>
        <v>0</v>
      </c>
      <c r="AP347" s="296">
        <f>IF(NFI_Expiration=1,IF($A347&lt;VLOOKUP(V$5,NFI,5,0),1,0)*Table_NFI[[#This Row],[Tent]],Table_NFI[Tent])</f>
        <v>0</v>
      </c>
      <c r="AQ347" s="396" t="str">
        <f>IFERROR(VLOOKUP(Table_NFI[[#This Row],[Camp Name]],CL,2,0),"")</f>
        <v>MMR001CMP188</v>
      </c>
      <c r="AR347" s="702">
        <f ca="1">IF(Table_NFI[[#This Row],[Pcode]]="","",IF(OFFSET(CampList[Opening Date],MATCH(Table_NFI[[#This Row],[Pcode]],CampList[CP_Pcode],0)-1,0,1,1)&gt;=NFI_Monitor_Date,1,0))</f>
        <v>0</v>
      </c>
      <c r="AS347" s="396" t="str">
        <f>IFERROR(VLOOKUP(Table_NFI[[#This Row],[Camp Name]],CL,3,0),"")</f>
        <v>Closed</v>
      </c>
      <c r="AT347" s="264" t="str">
        <f ca="1">IF(Table_NFI[[#This Row],[Pcode]]="","",OFFSET(CampList[Priority],MATCH(Table_NFI[[#This Row],[Pcode]],CampList[CP_Pcode],0)-1,0,1,1))</f>
        <v>P4</v>
      </c>
      <c r="AU347" s="263" t="str">
        <f>IFERROR(Table_NFI[[#This Row],[Kitchen Set]]/VLOOKUP(Table_NFI[[#This Row],[Camp Name]],CL,4,0),"")</f>
        <v/>
      </c>
      <c r="AV347" s="394"/>
      <c r="AW347" s="397"/>
      <c r="AX347" s="399"/>
      <c r="AY347" s="399"/>
      <c r="AZ347" s="399"/>
      <c r="BA347" s="399"/>
      <c r="BB347" s="399"/>
      <c r="BC347" s="399"/>
      <c r="BD347" s="399"/>
      <c r="BE347" s="399"/>
      <c r="BF347" s="399"/>
      <c r="BG347" s="399"/>
      <c r="BH347" s="399"/>
      <c r="BI347" s="399"/>
      <c r="BJ347" s="399"/>
      <c r="BK347" s="399"/>
      <c r="BL347" s="399"/>
      <c r="BM347" s="399"/>
      <c r="BN347" s="399"/>
      <c r="BO347" s="399"/>
      <c r="BP347" s="399"/>
      <c r="BQ347" s="399"/>
      <c r="BR347" s="399"/>
      <c r="BS347" s="399"/>
      <c r="BT347" s="399"/>
      <c r="BU347" s="399"/>
      <c r="BV347" s="399"/>
      <c r="BW347" s="399"/>
      <c r="BX347" s="399"/>
      <c r="BY347" s="399"/>
      <c r="BZ347" s="399"/>
      <c r="CA347" s="399"/>
      <c r="CB347" s="399"/>
      <c r="CC347" s="399"/>
      <c r="CD347" s="399"/>
      <c r="CE347" s="399"/>
      <c r="CF347" s="399"/>
      <c r="CG347" s="399"/>
      <c r="CH347" s="399"/>
      <c r="CI347" s="399"/>
      <c r="CJ347" s="399"/>
      <c r="CK347" s="399"/>
      <c r="CL347" s="399"/>
      <c r="CM347" s="399"/>
      <c r="CN347" s="399"/>
      <c r="CO347" s="399"/>
      <c r="CP347" s="399"/>
      <c r="CQ347" s="399"/>
      <c r="CR347" s="399"/>
      <c r="CS347" s="399"/>
      <c r="CT347" s="399"/>
      <c r="CU347" s="399"/>
      <c r="CV347" s="399"/>
      <c r="CW347" s="399"/>
      <c r="CX347" s="399"/>
      <c r="CY347" s="399"/>
      <c r="CZ347" s="399"/>
      <c r="DA347" s="399"/>
      <c r="DB347" s="399"/>
      <c r="DC347" s="399"/>
      <c r="DD347" s="399"/>
      <c r="DE347" s="399"/>
      <c r="DF347" s="399"/>
      <c r="DG347" s="399"/>
      <c r="DH347" s="399"/>
      <c r="DI347" s="399"/>
      <c r="DJ347" s="399"/>
      <c r="DK347" s="399"/>
      <c r="DL347" s="399"/>
      <c r="DM347" s="399"/>
      <c r="DN347" s="399"/>
      <c r="DO347" s="399"/>
      <c r="DP347" s="399"/>
      <c r="DQ347" s="399"/>
    </row>
    <row r="348" spans="1:121" s="760" customFormat="1" ht="14.45" customHeight="1" x14ac:dyDescent="0.25">
      <c r="A348" s="266">
        <f t="shared" si="5"/>
        <v>31.433333333333334</v>
      </c>
      <c r="B348" s="389">
        <v>41913</v>
      </c>
      <c r="C348" s="390" t="s">
        <v>451</v>
      </c>
      <c r="D348" s="394" t="s">
        <v>504</v>
      </c>
      <c r="E348" s="394" t="s">
        <v>380</v>
      </c>
      <c r="F348" s="394" t="s">
        <v>237</v>
      </c>
      <c r="G348" s="394" t="s">
        <v>267</v>
      </c>
      <c r="H348" s="261"/>
      <c r="I348" s="261"/>
      <c r="J348" s="261"/>
      <c r="K348" s="261">
        <v>24</v>
      </c>
      <c r="L348" s="261"/>
      <c r="M348" s="261"/>
      <c r="N348" s="261"/>
      <c r="O348" s="261"/>
      <c r="P348" s="261"/>
      <c r="Q348" s="261"/>
      <c r="R348" s="261"/>
      <c r="S348" s="261"/>
      <c r="T348" s="261"/>
      <c r="U348" s="261"/>
      <c r="V348" s="762"/>
      <c r="W348" s="261"/>
      <c r="X348" s="261"/>
      <c r="Y348" s="264">
        <f>IF(NFI_Expiration=1,IF($A348&lt;VLOOKUP(H$5,NFI,5,0),1,0)*Table_NFI[[#This Row],[Hygiene Kit]],Table_NFI[Hygiene Kit])</f>
        <v>0</v>
      </c>
      <c r="Z348" s="264">
        <f>IF(NFI_Expiration=1,IF($A348&lt;VLOOKUP(I$5,NFI,5,0),1,0)*Table_NFI[[#This Row],[NFI Core Kit]],Table_NFI[NFI Core Kit])</f>
        <v>0</v>
      </c>
      <c r="AA348" s="264">
        <f>IF(NFI_Expiration=1,IF($A348&lt;VLOOKUP(J$5,NFI,5,0),1,0)*Table_NFI[[#This Row],[Sanitary Kit]],Table_NFI[Sanitary Kit])</f>
        <v>0</v>
      </c>
      <c r="AB348" s="264">
        <f>IF(NFI_Expiration=1,IF($A348&lt;VLOOKUP(K$5,NFI,5,0),1,0)*Table_NFI[[#This Row],[Mosquito net]],Table_NFI[Mosquito net])</f>
        <v>0</v>
      </c>
      <c r="AC348" s="264">
        <f>IF(NFI_Expiration=1,IF($A348&lt;VLOOKUP(L$5,NFI,5,0),1,0)*Table_NFI[[#This Row],[Tarpaulin]],Table_NFI[[#This Row],[Tarpaulin]])</f>
        <v>0</v>
      </c>
      <c r="AD348" s="264">
        <f>IF(NFI_Expiration=1,IF($A348&lt;VLOOKUP(M$5,NFI,5,0),1,0)*Table_NFI[[#This Row],[Blanket]],Table_NFI[[#This Row],[Blanket]])</f>
        <v>0</v>
      </c>
      <c r="AE348" s="264">
        <f>IF(NFI_Expiration=1,IF($A348&lt;VLOOKUP(N$5,NFI,5,0),1,0)*Table_NFI[[#This Row],[Kitchen Set]],Table_NFI[Kitchen Set])</f>
        <v>0</v>
      </c>
      <c r="AF348" s="264">
        <f>IF(NFI_Expiration=1,IF($A348&lt;VLOOKUP(O$5,NFI,5,0),1,0)*Table_NFI[[#This Row],[Clothes Kit]],Table_NFI[Clothes Kit])</f>
        <v>0</v>
      </c>
      <c r="AG348" s="264">
        <f>IF(NFI_Expiration=1,IF($A348&lt;VLOOKUP(P$5,NFI,5,0),1,0)*Table_NFI[[#This Row],[Plastic Bucket]],Table_NFI[Plastic Bucket])</f>
        <v>0</v>
      </c>
      <c r="AH348" s="264">
        <f>IF(NFI_Expiration=1,IF($A348&lt;VLOOKUP(Q$5,NFI,5,0),1,0)*Table_NFI[[#This Row],[Plastic Mat]],Table_NFI[Plastic Mat])*IF(Table_NFI[[#This Row],[Distribution Date]]&gt;"2014-04-01",1,2.5)</f>
        <v>0</v>
      </c>
      <c r="AI348" s="264">
        <f>IF(NFI_Expiration=1,IF($A348&lt;VLOOKUP(R$5,NFI,5,0),1,0)*Table_NFI[[#This Row],[Winter Clothes Adult]],Table_NFI[Winter Clothes Adult])</f>
        <v>0</v>
      </c>
      <c r="AJ348" s="264">
        <f>IF(NFI_Expiration=1,IF($A348&lt;VLOOKUP(S$5,NFI,5,0),1,0)*Table_NFI[[#This Row],[Winter Clothes Children]],Table_NFI[Winter Clothes Children])</f>
        <v>0</v>
      </c>
      <c r="AK348" s="264">
        <f>IF(NFI_Expiration=1,IF($A348&lt;VLOOKUP(T$5,NFI,5,0),1,0)*Table_NFI[[#This Row],[Winter Items Other]],Table_NFI[Winter Items Other])</f>
        <v>0</v>
      </c>
      <c r="AL348" s="264">
        <f>IF(NFI_Expiration=1,IF($A348&lt;VLOOKUP(M$5,NFI,5,0),1,0)*Table_NFI[[#This Row],[Winter Blanket]],Table_NFI[[#This Row],[Winter Blanket]])</f>
        <v>0</v>
      </c>
      <c r="AM348" s="264">
        <f>IF(Table_NFI[[#This Row],[Winter Clothes Adult]]+Table_NFI[[#This Row],[Winter Clothes Children]]+Table_NFI[[#This Row],[Winter Items Other]]+Table_NFI[[#This Row],[Winter Blanket]]&gt;0,1,0)</f>
        <v>0</v>
      </c>
      <c r="AN348" s="296">
        <f>IF(NFI_Expiration=1,IF($A348&lt;VLOOKUP(V$5,NFI,5,0),1,0)*Table_NFI[[#This Row],[Jerry Can]],Table_NFI[Jerry Can])</f>
        <v>0</v>
      </c>
      <c r="AO348" s="296">
        <f>IF(NFI_Expiration=1,IF($A348&lt;VLOOKUP(V$5,NFI,5,0),1,0)*Table_NFI[[#This Row],[Shelter Tool kit]],Table_NFI[Shelter Tool kit])</f>
        <v>0</v>
      </c>
      <c r="AP348" s="296">
        <f>IF(NFI_Expiration=1,IF($A348&lt;VLOOKUP(V$5,NFI,5,0),1,0)*Table_NFI[[#This Row],[Tent]],Table_NFI[Tent])</f>
        <v>0</v>
      </c>
      <c r="AQ348" s="396" t="str">
        <f>IFERROR(VLOOKUP(Table_NFI[[#This Row],[Camp Name]],CL,2,0),"")</f>
        <v>MMR001CMP017</v>
      </c>
      <c r="AR348" s="702">
        <f ca="1">IF(Table_NFI[[#This Row],[Pcode]]="","",IF(OFFSET(CampList[Opening Date],MATCH(Table_NFI[[#This Row],[Pcode]],CampList[CP_Pcode],0)-1,0,1,1)&gt;=NFI_Monitor_Date,1,0))</f>
        <v>0</v>
      </c>
      <c r="AS348" s="396" t="str">
        <f>IFERROR(VLOOKUP(Table_NFI[[#This Row],[Camp Name]],CL,3,0),"")</f>
        <v>Closed</v>
      </c>
      <c r="AT348" s="264" t="str">
        <f ca="1">IF(Table_NFI[[#This Row],[Pcode]]="","",OFFSET(CampList[Priority],MATCH(Table_NFI[[#This Row],[Pcode]],CampList[CP_Pcode],0)-1,0,1,1))</f>
        <v>P4</v>
      </c>
      <c r="AU348" s="263">
        <f>IFERROR(Table_NFI[[#This Row],[Kitchen Set]]/VLOOKUP(Table_NFI[[#This Row],[Camp Name]],CL,4,0),"")</f>
        <v>0</v>
      </c>
      <c r="AV348" s="394"/>
      <c r="AW348" s="397"/>
      <c r="AX348" s="399"/>
      <c r="AY348" s="399"/>
      <c r="AZ348" s="399"/>
      <c r="BA348" s="399"/>
      <c r="BB348" s="399"/>
      <c r="BC348" s="399"/>
      <c r="BD348" s="399"/>
      <c r="BE348" s="399"/>
      <c r="BF348" s="399"/>
      <c r="BG348" s="399"/>
      <c r="BH348" s="399"/>
      <c r="BI348" s="399"/>
      <c r="BJ348" s="399"/>
      <c r="BK348" s="399"/>
      <c r="BL348" s="399"/>
      <c r="BM348" s="399"/>
      <c r="BN348" s="399"/>
      <c r="BO348" s="399"/>
      <c r="BP348" s="399"/>
      <c r="BQ348" s="399"/>
      <c r="BR348" s="399"/>
      <c r="BS348" s="399"/>
      <c r="BT348" s="399"/>
      <c r="BU348" s="399"/>
      <c r="BV348" s="399"/>
      <c r="BW348" s="399"/>
      <c r="BX348" s="399"/>
      <c r="BY348" s="399"/>
      <c r="BZ348" s="399"/>
      <c r="CA348" s="399"/>
      <c r="CB348" s="399"/>
      <c r="CC348" s="399"/>
      <c r="CD348" s="399"/>
      <c r="CE348" s="399"/>
      <c r="CF348" s="399"/>
      <c r="CG348" s="399"/>
      <c r="CH348" s="399"/>
      <c r="CI348" s="399"/>
      <c r="CJ348" s="399"/>
      <c r="CK348" s="399"/>
      <c r="CL348" s="399"/>
      <c r="CM348" s="399"/>
      <c r="CN348" s="399"/>
      <c r="CO348" s="399"/>
      <c r="CP348" s="399"/>
      <c r="CQ348" s="399"/>
      <c r="CR348" s="399"/>
      <c r="CS348" s="399"/>
      <c r="CT348" s="399"/>
      <c r="CU348" s="399"/>
      <c r="CV348" s="399"/>
      <c r="CW348" s="399"/>
      <c r="CX348" s="399"/>
      <c r="CY348" s="399"/>
      <c r="CZ348" s="399"/>
      <c r="DA348" s="399"/>
      <c r="DB348" s="399"/>
      <c r="DC348" s="399"/>
      <c r="DD348" s="399"/>
      <c r="DE348" s="399"/>
      <c r="DF348" s="399"/>
      <c r="DG348" s="399"/>
      <c r="DH348" s="399"/>
      <c r="DI348" s="399"/>
      <c r="DJ348" s="399"/>
      <c r="DK348" s="399"/>
      <c r="DL348" s="399"/>
      <c r="DM348" s="399"/>
      <c r="DN348" s="399"/>
      <c r="DO348" s="399"/>
      <c r="DP348" s="399"/>
      <c r="DQ348" s="399"/>
    </row>
    <row r="349" spans="1:121" s="393" customFormat="1" ht="14.45" customHeight="1" x14ac:dyDescent="0.25">
      <c r="A349" s="266">
        <f t="shared" si="5"/>
        <v>31.433333333333334</v>
      </c>
      <c r="B349" s="389">
        <v>41913</v>
      </c>
      <c r="C349" s="390" t="s">
        <v>451</v>
      </c>
      <c r="D349" s="394" t="s">
        <v>504</v>
      </c>
      <c r="E349" s="394" t="s">
        <v>380</v>
      </c>
      <c r="F349" s="394" t="s">
        <v>526</v>
      </c>
      <c r="G349" s="394" t="s">
        <v>72</v>
      </c>
      <c r="H349" s="261"/>
      <c r="I349" s="261"/>
      <c r="J349" s="261"/>
      <c r="K349" s="261">
        <v>8</v>
      </c>
      <c r="L349" s="261"/>
      <c r="M349" s="261"/>
      <c r="N349" s="261"/>
      <c r="O349" s="261"/>
      <c r="P349" s="261"/>
      <c r="Q349" s="261"/>
      <c r="R349" s="261"/>
      <c r="S349" s="261"/>
      <c r="T349" s="261"/>
      <c r="U349" s="261"/>
      <c r="V349" s="762"/>
      <c r="W349" s="261"/>
      <c r="X349" s="261"/>
      <c r="Y349" s="264">
        <f>IF(NFI_Expiration=1,IF($A349&lt;VLOOKUP(H$5,NFI,5,0),1,0)*Table_NFI[[#This Row],[Hygiene Kit]],Table_NFI[Hygiene Kit])</f>
        <v>0</v>
      </c>
      <c r="Z349" s="264">
        <f>IF(NFI_Expiration=1,IF($A349&lt;VLOOKUP(I$5,NFI,5,0),1,0)*Table_NFI[[#This Row],[NFI Core Kit]],Table_NFI[NFI Core Kit])</f>
        <v>0</v>
      </c>
      <c r="AA349" s="264">
        <f>IF(NFI_Expiration=1,IF($A349&lt;VLOOKUP(J$5,NFI,5,0),1,0)*Table_NFI[[#This Row],[Sanitary Kit]],Table_NFI[Sanitary Kit])</f>
        <v>0</v>
      </c>
      <c r="AB349" s="264">
        <f>IF(NFI_Expiration=1,IF($A349&lt;VLOOKUP(K$5,NFI,5,0),1,0)*Table_NFI[[#This Row],[Mosquito net]],Table_NFI[Mosquito net])</f>
        <v>0</v>
      </c>
      <c r="AC349" s="264">
        <f>IF(NFI_Expiration=1,IF($A349&lt;VLOOKUP(L$5,NFI,5,0),1,0)*Table_NFI[[#This Row],[Tarpaulin]],Table_NFI[[#This Row],[Tarpaulin]])</f>
        <v>0</v>
      </c>
      <c r="AD349" s="264">
        <f>IF(NFI_Expiration=1,IF($A349&lt;VLOOKUP(M$5,NFI,5,0),1,0)*Table_NFI[[#This Row],[Blanket]],Table_NFI[[#This Row],[Blanket]])</f>
        <v>0</v>
      </c>
      <c r="AE349" s="264">
        <f>IF(NFI_Expiration=1,IF($A349&lt;VLOOKUP(N$5,NFI,5,0),1,0)*Table_NFI[[#This Row],[Kitchen Set]],Table_NFI[Kitchen Set])</f>
        <v>0</v>
      </c>
      <c r="AF349" s="264">
        <f>IF(NFI_Expiration=1,IF($A349&lt;VLOOKUP(O$5,NFI,5,0),1,0)*Table_NFI[[#This Row],[Clothes Kit]],Table_NFI[Clothes Kit])</f>
        <v>0</v>
      </c>
      <c r="AG349" s="264">
        <f>IF(NFI_Expiration=1,IF($A349&lt;VLOOKUP(P$5,NFI,5,0),1,0)*Table_NFI[[#This Row],[Plastic Bucket]],Table_NFI[Plastic Bucket])</f>
        <v>0</v>
      </c>
      <c r="AH349" s="264">
        <f>IF(NFI_Expiration=1,IF($A349&lt;VLOOKUP(Q$5,NFI,5,0),1,0)*Table_NFI[[#This Row],[Plastic Mat]],Table_NFI[Plastic Mat])*IF(Table_NFI[[#This Row],[Distribution Date]]&gt;"2014-04-01",1,2.5)</f>
        <v>0</v>
      </c>
      <c r="AI349" s="264">
        <f>IF(NFI_Expiration=1,IF($A349&lt;VLOOKUP(R$5,NFI,5,0),1,0)*Table_NFI[[#This Row],[Winter Clothes Adult]],Table_NFI[Winter Clothes Adult])</f>
        <v>0</v>
      </c>
      <c r="AJ349" s="264">
        <f>IF(NFI_Expiration=1,IF($A349&lt;VLOOKUP(S$5,NFI,5,0),1,0)*Table_NFI[[#This Row],[Winter Clothes Children]],Table_NFI[Winter Clothes Children])</f>
        <v>0</v>
      </c>
      <c r="AK349" s="264">
        <f>IF(NFI_Expiration=1,IF($A349&lt;VLOOKUP(T$5,NFI,5,0),1,0)*Table_NFI[[#This Row],[Winter Items Other]],Table_NFI[Winter Items Other])</f>
        <v>0</v>
      </c>
      <c r="AL349" s="264">
        <f>IF(NFI_Expiration=1,IF($A349&lt;VLOOKUP(M$5,NFI,5,0),1,0)*Table_NFI[[#This Row],[Winter Blanket]],Table_NFI[[#This Row],[Winter Blanket]])</f>
        <v>0</v>
      </c>
      <c r="AM349" s="264">
        <f>IF(Table_NFI[[#This Row],[Winter Clothes Adult]]+Table_NFI[[#This Row],[Winter Clothes Children]]+Table_NFI[[#This Row],[Winter Items Other]]+Table_NFI[[#This Row],[Winter Blanket]]&gt;0,1,0)</f>
        <v>0</v>
      </c>
      <c r="AN349" s="296">
        <f>IF(NFI_Expiration=1,IF($A349&lt;VLOOKUP(V$5,NFI,5,0),1,0)*Table_NFI[[#This Row],[Jerry Can]],Table_NFI[Jerry Can])</f>
        <v>0</v>
      </c>
      <c r="AO349" s="296">
        <f>IF(NFI_Expiration=1,IF($A349&lt;VLOOKUP(V$5,NFI,5,0),1,0)*Table_NFI[[#This Row],[Shelter Tool kit]],Table_NFI[Shelter Tool kit])</f>
        <v>0</v>
      </c>
      <c r="AP349" s="296">
        <f>IF(NFI_Expiration=1,IF($A349&lt;VLOOKUP(V$5,NFI,5,0),1,0)*Table_NFI[[#This Row],[Tent]],Table_NFI[Tent])</f>
        <v>0</v>
      </c>
      <c r="AQ349" s="396" t="str">
        <f>IFERROR(VLOOKUP(Table_NFI[[#This Row],[Camp Name]],CL,2,0),"")</f>
        <v>MMR001CMP109</v>
      </c>
      <c r="AR349" s="702">
        <f ca="1">IF(Table_NFI[[#This Row],[Pcode]]="","",IF(OFFSET(CampList[Opening Date],MATCH(Table_NFI[[#This Row],[Pcode]],CampList[CP_Pcode],0)-1,0,1,1)&gt;=NFI_Monitor_Date,1,0))</f>
        <v>0</v>
      </c>
      <c r="AS349" s="396" t="str">
        <f>IFERROR(VLOOKUP(Table_NFI[[#This Row],[Camp Name]],CL,3,0),"")</f>
        <v>Open</v>
      </c>
      <c r="AT349" s="264" t="str">
        <f ca="1">IF(Table_NFI[[#This Row],[Pcode]]="","",OFFSET(CampList[Priority],MATCH(Table_NFI[[#This Row],[Pcode]],CampList[CP_Pcode],0)-1,0,1,1))</f>
        <v>P4</v>
      </c>
      <c r="AU349" s="263">
        <f>IFERROR(Table_NFI[[#This Row],[Kitchen Set]]/VLOOKUP(Table_NFI[[#This Row],[Camp Name]],CL,4,0),"")</f>
        <v>0</v>
      </c>
      <c r="AV349" s="394"/>
      <c r="AW349" s="397"/>
      <c r="AX349" s="399"/>
      <c r="AY349" s="399"/>
      <c r="AZ349" s="399"/>
      <c r="BA349" s="399"/>
      <c r="BB349" s="399"/>
      <c r="BC349" s="399"/>
      <c r="BD349" s="399"/>
      <c r="BE349" s="399"/>
      <c r="BF349" s="399"/>
      <c r="BG349" s="399"/>
      <c r="BH349" s="399"/>
      <c r="BI349" s="399"/>
      <c r="BJ349" s="399"/>
      <c r="BK349" s="399"/>
      <c r="BL349" s="399"/>
      <c r="BM349" s="399"/>
      <c r="BN349" s="399"/>
      <c r="BO349" s="399"/>
      <c r="BP349" s="399"/>
      <c r="BQ349" s="399"/>
      <c r="BR349" s="399"/>
      <c r="BS349" s="399"/>
      <c r="BT349" s="399"/>
      <c r="BU349" s="399"/>
      <c r="BV349" s="399"/>
      <c r="BW349" s="399"/>
      <c r="BX349" s="399"/>
      <c r="BY349" s="399"/>
      <c r="BZ349" s="399"/>
      <c r="CA349" s="399"/>
      <c r="CB349" s="399"/>
      <c r="CC349" s="399"/>
      <c r="CD349" s="399"/>
      <c r="CE349" s="399"/>
      <c r="CF349" s="399"/>
      <c r="CG349" s="399"/>
      <c r="CH349" s="399"/>
      <c r="CI349" s="399"/>
      <c r="CJ349" s="399"/>
      <c r="CK349" s="399"/>
      <c r="CL349" s="399"/>
      <c r="CM349" s="399"/>
      <c r="CN349" s="399"/>
      <c r="CO349" s="399"/>
      <c r="CP349" s="399"/>
      <c r="CQ349" s="399"/>
      <c r="CR349" s="399"/>
      <c r="CS349" s="399"/>
      <c r="CT349" s="399"/>
      <c r="CU349" s="399"/>
      <c r="CV349" s="399"/>
      <c r="CW349" s="399"/>
      <c r="CX349" s="399"/>
      <c r="CY349" s="399"/>
      <c r="CZ349" s="399"/>
      <c r="DA349" s="399"/>
      <c r="DB349" s="399"/>
      <c r="DC349" s="399"/>
      <c r="DD349" s="399"/>
      <c r="DE349" s="399"/>
      <c r="DF349" s="399"/>
      <c r="DG349" s="399"/>
      <c r="DH349" s="399"/>
      <c r="DI349" s="399"/>
      <c r="DJ349" s="399"/>
      <c r="DK349" s="399"/>
      <c r="DL349" s="399"/>
      <c r="DM349" s="399"/>
      <c r="DN349" s="399"/>
      <c r="DO349" s="399"/>
      <c r="DP349" s="399"/>
      <c r="DQ349" s="399"/>
    </row>
    <row r="350" spans="1:121" s="760" customFormat="1" ht="15" customHeight="1" x14ac:dyDescent="0.25">
      <c r="A350" s="266">
        <f t="shared" si="5"/>
        <v>31.433333333333334</v>
      </c>
      <c r="B350" s="389">
        <v>41913</v>
      </c>
      <c r="C350" s="390" t="s">
        <v>451</v>
      </c>
      <c r="D350" s="394" t="s">
        <v>504</v>
      </c>
      <c r="E350" s="394" t="s">
        <v>380</v>
      </c>
      <c r="F350" s="394" t="s">
        <v>27</v>
      </c>
      <c r="G350" s="394" t="s">
        <v>28</v>
      </c>
      <c r="H350" s="261"/>
      <c r="I350" s="261"/>
      <c r="J350" s="261"/>
      <c r="K350" s="261">
        <v>214</v>
      </c>
      <c r="L350" s="261"/>
      <c r="M350" s="261"/>
      <c r="N350" s="261"/>
      <c r="O350" s="261"/>
      <c r="P350" s="261"/>
      <c r="Q350" s="261"/>
      <c r="R350" s="261"/>
      <c r="S350" s="261"/>
      <c r="T350" s="261"/>
      <c r="U350" s="261">
        <v>214</v>
      </c>
      <c r="V350" s="762"/>
      <c r="W350" s="762"/>
      <c r="X350" s="762"/>
      <c r="Y350" s="264">
        <f>IF(NFI_Expiration=1,IF($A350&lt;VLOOKUP(H$5,NFI,5,0),1,0)*Table_NFI[[#This Row],[Hygiene Kit]],Table_NFI[Hygiene Kit])</f>
        <v>0</v>
      </c>
      <c r="Z350" s="264">
        <f>IF(NFI_Expiration=1,IF($A350&lt;VLOOKUP(I$5,NFI,5,0),1,0)*Table_NFI[[#This Row],[NFI Core Kit]],Table_NFI[NFI Core Kit])</f>
        <v>0</v>
      </c>
      <c r="AA350" s="264">
        <f>IF(NFI_Expiration=1,IF($A350&lt;VLOOKUP(J$5,NFI,5,0),1,0)*Table_NFI[[#This Row],[Sanitary Kit]],Table_NFI[Sanitary Kit])</f>
        <v>0</v>
      </c>
      <c r="AB350" s="264">
        <f>IF(NFI_Expiration=1,IF($A350&lt;VLOOKUP(K$5,NFI,5,0),1,0)*Table_NFI[[#This Row],[Mosquito net]],Table_NFI[Mosquito net])</f>
        <v>0</v>
      </c>
      <c r="AC350" s="264">
        <f>IF(NFI_Expiration=1,IF($A350&lt;VLOOKUP(L$5,NFI,5,0),1,0)*Table_NFI[[#This Row],[Tarpaulin]],Table_NFI[[#This Row],[Tarpaulin]])</f>
        <v>0</v>
      </c>
      <c r="AD350" s="264">
        <f>IF(NFI_Expiration=1,IF($A350&lt;VLOOKUP(M$5,NFI,5,0),1,0)*Table_NFI[[#This Row],[Blanket]],Table_NFI[[#This Row],[Blanket]])</f>
        <v>0</v>
      </c>
      <c r="AE350" s="264">
        <f>IF(NFI_Expiration=1,IF($A350&lt;VLOOKUP(N$5,NFI,5,0),1,0)*Table_NFI[[#This Row],[Kitchen Set]],Table_NFI[Kitchen Set])</f>
        <v>0</v>
      </c>
      <c r="AF350" s="264">
        <f>IF(NFI_Expiration=1,IF($A350&lt;VLOOKUP(O$5,NFI,5,0),1,0)*Table_NFI[[#This Row],[Clothes Kit]],Table_NFI[Clothes Kit])</f>
        <v>0</v>
      </c>
      <c r="AG350" s="264">
        <f>IF(NFI_Expiration=1,IF($A350&lt;VLOOKUP(P$5,NFI,5,0),1,0)*Table_NFI[[#This Row],[Plastic Bucket]],Table_NFI[Plastic Bucket])</f>
        <v>0</v>
      </c>
      <c r="AH350" s="264">
        <f>IF(NFI_Expiration=1,IF($A350&lt;VLOOKUP(Q$5,NFI,5,0),1,0)*Table_NFI[[#This Row],[Plastic Mat]],Table_NFI[Plastic Mat])*IF(Table_NFI[[#This Row],[Distribution Date]]&gt;"2014-04-01",1,2.5)</f>
        <v>0</v>
      </c>
      <c r="AI350" s="264">
        <f>IF(NFI_Expiration=1,IF($A350&lt;VLOOKUP(R$5,NFI,5,0),1,0)*Table_NFI[[#This Row],[Winter Clothes Adult]],Table_NFI[Winter Clothes Adult])</f>
        <v>0</v>
      </c>
      <c r="AJ350" s="264">
        <f>IF(NFI_Expiration=1,IF($A350&lt;VLOOKUP(S$5,NFI,5,0),1,0)*Table_NFI[[#This Row],[Winter Clothes Children]],Table_NFI[Winter Clothes Children])</f>
        <v>0</v>
      </c>
      <c r="AK350" s="264">
        <f>IF(NFI_Expiration=1,IF($A350&lt;VLOOKUP(T$5,NFI,5,0),1,0)*Table_NFI[[#This Row],[Winter Items Other]],Table_NFI[Winter Items Other])</f>
        <v>0</v>
      </c>
      <c r="AL350" s="264">
        <f>IF(NFI_Expiration=1,IF($A350&lt;VLOOKUP(M$5,NFI,5,0),1,0)*Table_NFI[[#This Row],[Winter Blanket]],Table_NFI[[#This Row],[Winter Blanket]])</f>
        <v>0</v>
      </c>
      <c r="AM350" s="264">
        <f>IF(Table_NFI[[#This Row],[Winter Clothes Adult]]+Table_NFI[[#This Row],[Winter Clothes Children]]+Table_NFI[[#This Row],[Winter Items Other]]+Table_NFI[[#This Row],[Winter Blanket]]&gt;0,1,0)</f>
        <v>1</v>
      </c>
      <c r="AN350" s="296">
        <f>IF(NFI_Expiration=1,IF($A350&lt;VLOOKUP(V$5,NFI,5,0),1,0)*Table_NFI[[#This Row],[Jerry Can]],Table_NFI[Jerry Can])</f>
        <v>0</v>
      </c>
      <c r="AO350" s="296">
        <f>IF(NFI_Expiration=1,IF($A350&lt;VLOOKUP(V$5,NFI,5,0),1,0)*Table_NFI[[#This Row],[Shelter Tool kit]],Table_NFI[Shelter Tool kit])</f>
        <v>0</v>
      </c>
      <c r="AP350" s="296">
        <f>IF(NFI_Expiration=1,IF($A350&lt;VLOOKUP(V$5,NFI,5,0),1,0)*Table_NFI[[#This Row],[Tent]],Table_NFI[Tent])</f>
        <v>0</v>
      </c>
      <c r="AQ350" s="396" t="str">
        <f>IFERROR(VLOOKUP(Table_NFI[[#This Row],[Camp Name]],CL,2,0),"")</f>
        <v>MMR001CMP042</v>
      </c>
      <c r="AR350" s="702">
        <f ca="1">IF(Table_NFI[[#This Row],[Pcode]]="","",IF(OFFSET(CampList[Opening Date],MATCH(Table_NFI[[#This Row],[Pcode]],CampList[CP_Pcode],0)-1,0,1,1)&gt;=NFI_Monitor_Date,1,0))</f>
        <v>0</v>
      </c>
      <c r="AS350" s="396" t="str">
        <f>IFERROR(VLOOKUP(Table_NFI[[#This Row],[Camp Name]],CL,3,0),"")</f>
        <v>Open</v>
      </c>
      <c r="AT350" s="264" t="str">
        <f ca="1">IF(Table_NFI[[#This Row],[Pcode]]="","",OFFSET(CampList[Priority],MATCH(Table_NFI[[#This Row],[Pcode]],CampList[CP_Pcode],0)-1,0,1,1))</f>
        <v>P1</v>
      </c>
      <c r="AU350" s="263">
        <f>IFERROR(Table_NFI[[#This Row],[Kitchen Set]]/VLOOKUP(Table_NFI[[#This Row],[Camp Name]],CL,4,0),"")</f>
        <v>0</v>
      </c>
      <c r="AV350" s="394"/>
      <c r="AW350" s="397"/>
      <c r="AX350" s="399"/>
      <c r="AY350" s="399"/>
      <c r="AZ350" s="399"/>
      <c r="BA350" s="399"/>
      <c r="BB350" s="399"/>
      <c r="BC350" s="399"/>
      <c r="BD350" s="399"/>
      <c r="BE350" s="399"/>
      <c r="BF350" s="399"/>
      <c r="BG350" s="399"/>
      <c r="BH350" s="399"/>
      <c r="BI350" s="399"/>
      <c r="BJ350" s="399"/>
      <c r="BK350" s="399"/>
      <c r="BL350" s="399"/>
      <c r="BM350" s="399"/>
      <c r="BN350" s="399"/>
      <c r="BO350" s="399"/>
      <c r="BP350" s="399"/>
      <c r="BQ350" s="399"/>
      <c r="BR350" s="399"/>
      <c r="BS350" s="399"/>
      <c r="BT350" s="399"/>
      <c r="BU350" s="399"/>
      <c r="BV350" s="399"/>
      <c r="BW350" s="399"/>
      <c r="BX350" s="399"/>
      <c r="BY350" s="399"/>
      <c r="BZ350" s="399"/>
      <c r="CA350" s="399"/>
      <c r="CB350" s="399"/>
      <c r="CC350" s="399"/>
      <c r="CD350" s="399"/>
      <c r="CE350" s="399"/>
      <c r="CF350" s="399"/>
      <c r="CG350" s="399"/>
      <c r="CH350" s="399"/>
      <c r="CI350" s="399"/>
      <c r="CJ350" s="399"/>
      <c r="CK350" s="399"/>
      <c r="CL350" s="399"/>
      <c r="CM350" s="399"/>
      <c r="CN350" s="399"/>
      <c r="CO350" s="399"/>
      <c r="CP350" s="399"/>
      <c r="CQ350" s="399"/>
      <c r="CR350" s="399"/>
      <c r="CS350" s="399"/>
      <c r="CT350" s="399"/>
      <c r="CU350" s="399"/>
      <c r="CV350" s="399"/>
      <c r="CW350" s="399"/>
      <c r="CX350" s="399"/>
      <c r="CY350" s="399"/>
      <c r="CZ350" s="399"/>
      <c r="DA350" s="399"/>
      <c r="DB350" s="399"/>
      <c r="DC350" s="399"/>
      <c r="DD350" s="399"/>
      <c r="DE350" s="399"/>
      <c r="DF350" s="399"/>
      <c r="DG350" s="399"/>
      <c r="DH350" s="399"/>
      <c r="DI350" s="399"/>
      <c r="DJ350" s="399"/>
      <c r="DK350" s="399"/>
      <c r="DL350" s="399"/>
      <c r="DM350" s="399"/>
      <c r="DN350" s="399"/>
      <c r="DO350" s="399"/>
      <c r="DP350" s="399"/>
      <c r="DQ350" s="399"/>
    </row>
    <row r="351" spans="1:121" s="760" customFormat="1" ht="15" customHeight="1" x14ac:dyDescent="0.25">
      <c r="A351" s="266">
        <f t="shared" si="5"/>
        <v>31.433333333333334</v>
      </c>
      <c r="B351" s="389">
        <v>41913</v>
      </c>
      <c r="C351" s="390" t="s">
        <v>451</v>
      </c>
      <c r="D351" s="394" t="s">
        <v>504</v>
      </c>
      <c r="E351" s="394" t="s">
        <v>380</v>
      </c>
      <c r="F351" s="394" t="s">
        <v>526</v>
      </c>
      <c r="G351" s="394" t="s">
        <v>76</v>
      </c>
      <c r="H351" s="261"/>
      <c r="I351" s="261"/>
      <c r="J351" s="261"/>
      <c r="K351" s="261">
        <v>130</v>
      </c>
      <c r="L351" s="261"/>
      <c r="M351" s="261"/>
      <c r="N351" s="261"/>
      <c r="O351" s="261"/>
      <c r="P351" s="261"/>
      <c r="Q351" s="261"/>
      <c r="R351" s="261"/>
      <c r="S351" s="261"/>
      <c r="T351" s="261"/>
      <c r="U351" s="261"/>
      <c r="V351" s="762"/>
      <c r="W351" s="762"/>
      <c r="X351" s="762"/>
      <c r="Y351" s="264">
        <f>IF(NFI_Expiration=1,IF($A351&lt;VLOOKUP(H$5,NFI,5,0),1,0)*Table_NFI[[#This Row],[Hygiene Kit]],Table_NFI[Hygiene Kit])</f>
        <v>0</v>
      </c>
      <c r="Z351" s="264">
        <f>IF(NFI_Expiration=1,IF($A351&lt;VLOOKUP(I$5,NFI,5,0),1,0)*Table_NFI[[#This Row],[NFI Core Kit]],Table_NFI[NFI Core Kit])</f>
        <v>0</v>
      </c>
      <c r="AA351" s="264">
        <f>IF(NFI_Expiration=1,IF($A351&lt;VLOOKUP(J$5,NFI,5,0),1,0)*Table_NFI[[#This Row],[Sanitary Kit]],Table_NFI[Sanitary Kit])</f>
        <v>0</v>
      </c>
      <c r="AB351" s="264">
        <f>IF(NFI_Expiration=1,IF($A351&lt;VLOOKUP(K$5,NFI,5,0),1,0)*Table_NFI[[#This Row],[Mosquito net]],Table_NFI[Mosquito net])</f>
        <v>0</v>
      </c>
      <c r="AC351" s="264">
        <f>IF(NFI_Expiration=1,IF($A351&lt;VLOOKUP(L$5,NFI,5,0),1,0)*Table_NFI[[#This Row],[Tarpaulin]],Table_NFI[[#This Row],[Tarpaulin]])</f>
        <v>0</v>
      </c>
      <c r="AD351" s="264">
        <f>IF(NFI_Expiration=1,IF($A351&lt;VLOOKUP(M$5,NFI,5,0),1,0)*Table_NFI[[#This Row],[Blanket]],Table_NFI[[#This Row],[Blanket]])</f>
        <v>0</v>
      </c>
      <c r="AE351" s="264">
        <f>IF(NFI_Expiration=1,IF($A351&lt;VLOOKUP(N$5,NFI,5,0),1,0)*Table_NFI[[#This Row],[Kitchen Set]],Table_NFI[Kitchen Set])</f>
        <v>0</v>
      </c>
      <c r="AF351" s="264">
        <f>IF(NFI_Expiration=1,IF($A351&lt;VLOOKUP(O$5,NFI,5,0),1,0)*Table_NFI[[#This Row],[Clothes Kit]],Table_NFI[Clothes Kit])</f>
        <v>0</v>
      </c>
      <c r="AG351" s="264">
        <f>IF(NFI_Expiration=1,IF($A351&lt;VLOOKUP(P$5,NFI,5,0),1,0)*Table_NFI[[#This Row],[Plastic Bucket]],Table_NFI[Plastic Bucket])</f>
        <v>0</v>
      </c>
      <c r="AH351" s="264">
        <f>IF(NFI_Expiration=1,IF($A351&lt;VLOOKUP(Q$5,NFI,5,0),1,0)*Table_NFI[[#This Row],[Plastic Mat]],Table_NFI[Plastic Mat])*IF(Table_NFI[[#This Row],[Distribution Date]]&gt;"2014-04-01",1,2.5)</f>
        <v>0</v>
      </c>
      <c r="AI351" s="264">
        <f>IF(NFI_Expiration=1,IF($A351&lt;VLOOKUP(R$5,NFI,5,0),1,0)*Table_NFI[[#This Row],[Winter Clothes Adult]],Table_NFI[Winter Clothes Adult])</f>
        <v>0</v>
      </c>
      <c r="AJ351" s="264">
        <f>IF(NFI_Expiration=1,IF($A351&lt;VLOOKUP(S$5,NFI,5,0),1,0)*Table_NFI[[#This Row],[Winter Clothes Children]],Table_NFI[Winter Clothes Children])</f>
        <v>0</v>
      </c>
      <c r="AK351" s="264">
        <f>IF(NFI_Expiration=1,IF($A351&lt;VLOOKUP(T$5,NFI,5,0),1,0)*Table_NFI[[#This Row],[Winter Items Other]],Table_NFI[Winter Items Other])</f>
        <v>0</v>
      </c>
      <c r="AL351" s="264">
        <f>IF(NFI_Expiration=1,IF($A351&lt;VLOOKUP(M$5,NFI,5,0),1,0)*Table_NFI[[#This Row],[Winter Blanket]],Table_NFI[[#This Row],[Winter Blanket]])</f>
        <v>0</v>
      </c>
      <c r="AM351" s="264">
        <f>IF(Table_NFI[[#This Row],[Winter Clothes Adult]]+Table_NFI[[#This Row],[Winter Clothes Children]]+Table_NFI[[#This Row],[Winter Items Other]]+Table_NFI[[#This Row],[Winter Blanket]]&gt;0,1,0)</f>
        <v>0</v>
      </c>
      <c r="AN351" s="296">
        <f>IF(NFI_Expiration=1,IF($A351&lt;VLOOKUP(V$5,NFI,5,0),1,0)*Table_NFI[[#This Row],[Jerry Can]],Table_NFI[Jerry Can])</f>
        <v>0</v>
      </c>
      <c r="AO351" s="296">
        <f>IF(NFI_Expiration=1,IF($A351&lt;VLOOKUP(V$5,NFI,5,0),1,0)*Table_NFI[[#This Row],[Shelter Tool kit]],Table_NFI[Shelter Tool kit])</f>
        <v>0</v>
      </c>
      <c r="AP351" s="296">
        <f>IF(NFI_Expiration=1,IF($A351&lt;VLOOKUP(V$5,NFI,5,0),1,0)*Table_NFI[[#This Row],[Tent]],Table_NFI[Tent])</f>
        <v>0</v>
      </c>
      <c r="AQ351" s="396" t="str">
        <f>IFERROR(VLOOKUP(Table_NFI[[#This Row],[Camp Name]],CL,2,0),"")</f>
        <v>MMR001CMP174</v>
      </c>
      <c r="AR351" s="702">
        <f ca="1">IF(Table_NFI[[#This Row],[Pcode]]="","",IF(OFFSET(CampList[Opening Date],MATCH(Table_NFI[[#This Row],[Pcode]],CampList[CP_Pcode],0)-1,0,1,1)&gt;=NFI_Monitor_Date,1,0))</f>
        <v>0</v>
      </c>
      <c r="AS351" s="396" t="str">
        <f>IFERROR(VLOOKUP(Table_NFI[[#This Row],[Camp Name]],CL,3,0),"")</f>
        <v>Open</v>
      </c>
      <c r="AT351" s="264" t="str">
        <f ca="1">IF(Table_NFI[[#This Row],[Pcode]]="","",OFFSET(CampList[Priority],MATCH(Table_NFI[[#This Row],[Pcode]],CampList[CP_Pcode],0)-1,0,1,1))</f>
        <v>P4</v>
      </c>
      <c r="AU351" s="263">
        <f>IFERROR(Table_NFI[[#This Row],[Kitchen Set]]/VLOOKUP(Table_NFI[[#This Row],[Camp Name]],CL,4,0),"")</f>
        <v>0</v>
      </c>
      <c r="AV351" s="394"/>
      <c r="AW351" s="397"/>
      <c r="AX351" s="399"/>
      <c r="AY351" s="399"/>
      <c r="AZ351" s="399"/>
      <c r="BA351" s="399"/>
      <c r="BB351" s="399"/>
      <c r="BC351" s="399"/>
      <c r="BD351" s="399"/>
      <c r="BE351" s="399"/>
      <c r="BF351" s="399"/>
      <c r="BG351" s="399"/>
      <c r="BH351" s="399"/>
      <c r="BI351" s="399"/>
      <c r="BJ351" s="399"/>
      <c r="BK351" s="399"/>
      <c r="BL351" s="399"/>
      <c r="BM351" s="399"/>
      <c r="BN351" s="399"/>
      <c r="BO351" s="399"/>
      <c r="BP351" s="399"/>
      <c r="BQ351" s="399"/>
      <c r="BR351" s="399"/>
      <c r="BS351" s="399"/>
      <c r="BT351" s="399"/>
      <c r="BU351" s="399"/>
      <c r="BV351" s="399"/>
      <c r="BW351" s="399"/>
      <c r="BX351" s="399"/>
      <c r="BY351" s="399"/>
      <c r="BZ351" s="399"/>
      <c r="CA351" s="399"/>
      <c r="CB351" s="399"/>
      <c r="CC351" s="399"/>
      <c r="CD351" s="399"/>
      <c r="CE351" s="399"/>
      <c r="CF351" s="399"/>
      <c r="CG351" s="399"/>
      <c r="CH351" s="399"/>
      <c r="CI351" s="399"/>
      <c r="CJ351" s="399"/>
      <c r="CK351" s="399"/>
      <c r="CL351" s="399"/>
      <c r="CM351" s="399"/>
      <c r="CN351" s="399"/>
      <c r="CO351" s="399"/>
      <c r="CP351" s="399"/>
      <c r="CQ351" s="399"/>
      <c r="CR351" s="399"/>
      <c r="CS351" s="399"/>
      <c r="CT351" s="399"/>
      <c r="CU351" s="399"/>
      <c r="CV351" s="399"/>
      <c r="CW351" s="399"/>
      <c r="CX351" s="399"/>
      <c r="CY351" s="399"/>
      <c r="CZ351" s="399"/>
      <c r="DA351" s="399"/>
      <c r="DB351" s="399"/>
      <c r="DC351" s="399"/>
      <c r="DD351" s="399"/>
      <c r="DE351" s="399"/>
      <c r="DF351" s="399"/>
      <c r="DG351" s="399"/>
      <c r="DH351" s="399"/>
      <c r="DI351" s="399"/>
      <c r="DJ351" s="399"/>
      <c r="DK351" s="399"/>
      <c r="DL351" s="399"/>
      <c r="DM351" s="399"/>
      <c r="DN351" s="399"/>
      <c r="DO351" s="399"/>
      <c r="DP351" s="399"/>
      <c r="DQ351" s="399"/>
    </row>
    <row r="352" spans="1:121" s="760" customFormat="1" ht="15" customHeight="1" x14ac:dyDescent="0.25">
      <c r="A352" s="266">
        <f t="shared" si="5"/>
        <v>31.433333333333334</v>
      </c>
      <c r="B352" s="389">
        <v>41913</v>
      </c>
      <c r="C352" s="390" t="s">
        <v>451</v>
      </c>
      <c r="D352" s="394" t="s">
        <v>505</v>
      </c>
      <c r="E352" s="394" t="s">
        <v>380</v>
      </c>
      <c r="F352" s="394" t="s">
        <v>185</v>
      </c>
      <c r="G352" s="394" t="s">
        <v>192</v>
      </c>
      <c r="H352" s="261"/>
      <c r="I352" s="261"/>
      <c r="J352" s="261"/>
      <c r="K352" s="261">
        <v>238</v>
      </c>
      <c r="L352" s="261"/>
      <c r="M352" s="261"/>
      <c r="N352" s="261"/>
      <c r="O352" s="261"/>
      <c r="P352" s="261"/>
      <c r="Q352" s="261"/>
      <c r="R352" s="261"/>
      <c r="S352" s="261"/>
      <c r="T352" s="261"/>
      <c r="U352" s="261">
        <v>238</v>
      </c>
      <c r="V352" s="762"/>
      <c r="W352" s="762"/>
      <c r="X352" s="762"/>
      <c r="Y352" s="264">
        <f>IF(NFI_Expiration=1,IF($A352&lt;VLOOKUP(H$5,NFI,5,0),1,0)*Table_NFI[[#This Row],[Hygiene Kit]],Table_NFI[Hygiene Kit])</f>
        <v>0</v>
      </c>
      <c r="Z352" s="264">
        <f>IF(NFI_Expiration=1,IF($A352&lt;VLOOKUP(I$5,NFI,5,0),1,0)*Table_NFI[[#This Row],[NFI Core Kit]],Table_NFI[NFI Core Kit])</f>
        <v>0</v>
      </c>
      <c r="AA352" s="264">
        <f>IF(NFI_Expiration=1,IF($A352&lt;VLOOKUP(J$5,NFI,5,0),1,0)*Table_NFI[[#This Row],[Sanitary Kit]],Table_NFI[Sanitary Kit])</f>
        <v>0</v>
      </c>
      <c r="AB352" s="264">
        <f>IF(NFI_Expiration=1,IF($A352&lt;VLOOKUP(K$5,NFI,5,0),1,0)*Table_NFI[[#This Row],[Mosquito net]],Table_NFI[Mosquito net])</f>
        <v>0</v>
      </c>
      <c r="AC352" s="264">
        <f>IF(NFI_Expiration=1,IF($A352&lt;VLOOKUP(L$5,NFI,5,0),1,0)*Table_NFI[[#This Row],[Tarpaulin]],Table_NFI[[#This Row],[Tarpaulin]])</f>
        <v>0</v>
      </c>
      <c r="AD352" s="264">
        <f>IF(NFI_Expiration=1,IF($A352&lt;VLOOKUP(M$5,NFI,5,0),1,0)*Table_NFI[[#This Row],[Blanket]],Table_NFI[[#This Row],[Blanket]])</f>
        <v>0</v>
      </c>
      <c r="AE352" s="264">
        <f>IF(NFI_Expiration=1,IF($A352&lt;VLOOKUP(N$5,NFI,5,0),1,0)*Table_NFI[[#This Row],[Kitchen Set]],Table_NFI[Kitchen Set])</f>
        <v>0</v>
      </c>
      <c r="AF352" s="264">
        <f>IF(NFI_Expiration=1,IF($A352&lt;VLOOKUP(O$5,NFI,5,0),1,0)*Table_NFI[[#This Row],[Clothes Kit]],Table_NFI[Clothes Kit])</f>
        <v>0</v>
      </c>
      <c r="AG352" s="264">
        <f>IF(NFI_Expiration=1,IF($A352&lt;VLOOKUP(P$5,NFI,5,0),1,0)*Table_NFI[[#This Row],[Plastic Bucket]],Table_NFI[Plastic Bucket])</f>
        <v>0</v>
      </c>
      <c r="AH352" s="264">
        <f>IF(NFI_Expiration=1,IF($A352&lt;VLOOKUP(Q$5,NFI,5,0),1,0)*Table_NFI[[#This Row],[Plastic Mat]],Table_NFI[Plastic Mat])*IF(Table_NFI[[#This Row],[Distribution Date]]&gt;"2014-04-01",1,2.5)</f>
        <v>0</v>
      </c>
      <c r="AI352" s="264">
        <f>IF(NFI_Expiration=1,IF($A352&lt;VLOOKUP(R$5,NFI,5,0),1,0)*Table_NFI[[#This Row],[Winter Clothes Adult]],Table_NFI[Winter Clothes Adult])</f>
        <v>0</v>
      </c>
      <c r="AJ352" s="264">
        <f>IF(NFI_Expiration=1,IF($A352&lt;VLOOKUP(S$5,NFI,5,0),1,0)*Table_NFI[[#This Row],[Winter Clothes Children]],Table_NFI[Winter Clothes Children])</f>
        <v>0</v>
      </c>
      <c r="AK352" s="264">
        <f>IF(NFI_Expiration=1,IF($A352&lt;VLOOKUP(T$5,NFI,5,0),1,0)*Table_NFI[[#This Row],[Winter Items Other]],Table_NFI[Winter Items Other])</f>
        <v>0</v>
      </c>
      <c r="AL352" s="264">
        <f>IF(NFI_Expiration=1,IF($A352&lt;VLOOKUP(M$5,NFI,5,0),1,0)*Table_NFI[[#This Row],[Winter Blanket]],Table_NFI[[#This Row],[Winter Blanket]])</f>
        <v>0</v>
      </c>
      <c r="AM352" s="264">
        <f>IF(Table_NFI[[#This Row],[Winter Clothes Adult]]+Table_NFI[[#This Row],[Winter Clothes Children]]+Table_NFI[[#This Row],[Winter Items Other]]+Table_NFI[[#This Row],[Winter Blanket]]&gt;0,1,0)</f>
        <v>1</v>
      </c>
      <c r="AN352" s="296">
        <f>IF(NFI_Expiration=1,IF($A352&lt;VLOOKUP(V$5,NFI,5,0),1,0)*Table_NFI[[#This Row],[Jerry Can]],Table_NFI[Jerry Can])</f>
        <v>0</v>
      </c>
      <c r="AO352" s="296">
        <f>IF(NFI_Expiration=1,IF($A352&lt;VLOOKUP(V$5,NFI,5,0),1,0)*Table_NFI[[#This Row],[Shelter Tool kit]],Table_NFI[Shelter Tool kit])</f>
        <v>0</v>
      </c>
      <c r="AP352" s="296">
        <f>IF(NFI_Expiration=1,IF($A352&lt;VLOOKUP(V$5,NFI,5,0),1,0)*Table_NFI[[#This Row],[Tent]],Table_NFI[Tent])</f>
        <v>0</v>
      </c>
      <c r="AQ352" s="396" t="str">
        <f>IFERROR(VLOOKUP(Table_NFI[[#This Row],[Camp Name]],CL,2,0),"")</f>
        <v>MMR001CMP123</v>
      </c>
      <c r="AR352" s="702">
        <f ca="1">IF(Table_NFI[[#This Row],[Pcode]]="","",IF(OFFSET(CampList[Opening Date],MATCH(Table_NFI[[#This Row],[Pcode]],CampList[CP_Pcode],0)-1,0,1,1)&gt;=NFI_Monitor_Date,1,0))</f>
        <v>0</v>
      </c>
      <c r="AS352" s="396" t="str">
        <f>IFERROR(VLOOKUP(Table_NFI[[#This Row],[Camp Name]],CL,3,0),"")</f>
        <v>Open</v>
      </c>
      <c r="AT352" s="264" t="str">
        <f ca="1">IF(Table_NFI[[#This Row],[Pcode]]="","",OFFSET(CampList[Priority],MATCH(Table_NFI[[#This Row],[Pcode]],CampList[CP_Pcode],0)-1,0,1,1))</f>
        <v>P2</v>
      </c>
      <c r="AU352" s="263">
        <f>IFERROR(Table_NFI[[#This Row],[Kitchen Set]]/VLOOKUP(Table_NFI[[#This Row],[Camp Name]],CL,4,0),"")</f>
        <v>0</v>
      </c>
      <c r="AV352" s="394"/>
      <c r="AW352" s="397"/>
      <c r="AX352" s="399"/>
      <c r="AY352" s="399"/>
      <c r="AZ352" s="399"/>
      <c r="BA352" s="399"/>
      <c r="BB352" s="399"/>
      <c r="BC352" s="399"/>
      <c r="BD352" s="399"/>
      <c r="BE352" s="399"/>
      <c r="BF352" s="399"/>
      <c r="BG352" s="399"/>
      <c r="BH352" s="399"/>
      <c r="BI352" s="399"/>
      <c r="BJ352" s="399"/>
      <c r="BK352" s="399"/>
      <c r="BL352" s="399"/>
      <c r="BM352" s="399"/>
      <c r="BN352" s="399"/>
      <c r="BO352" s="399"/>
      <c r="BP352" s="399"/>
      <c r="BQ352" s="399"/>
      <c r="BR352" s="399"/>
      <c r="BS352" s="399"/>
      <c r="BT352" s="399"/>
      <c r="BU352" s="399"/>
      <c r="BV352" s="399"/>
      <c r="BW352" s="399"/>
      <c r="BX352" s="399"/>
      <c r="BY352" s="399"/>
      <c r="BZ352" s="399"/>
      <c r="CA352" s="399"/>
      <c r="CB352" s="399"/>
      <c r="CC352" s="399"/>
      <c r="CD352" s="399"/>
      <c r="CE352" s="399"/>
      <c r="CF352" s="399"/>
      <c r="CG352" s="399"/>
      <c r="CH352" s="399"/>
      <c r="CI352" s="399"/>
      <c r="CJ352" s="399"/>
      <c r="CK352" s="399"/>
      <c r="CL352" s="399"/>
      <c r="CM352" s="399"/>
      <c r="CN352" s="399"/>
      <c r="CO352" s="399"/>
      <c r="CP352" s="399"/>
      <c r="CQ352" s="399"/>
      <c r="CR352" s="399"/>
      <c r="CS352" s="399"/>
      <c r="CT352" s="399"/>
      <c r="CU352" s="399"/>
      <c r="CV352" s="399"/>
      <c r="CW352" s="399"/>
      <c r="CX352" s="399"/>
      <c r="CY352" s="399"/>
      <c r="CZ352" s="399"/>
      <c r="DA352" s="399"/>
      <c r="DB352" s="399"/>
      <c r="DC352" s="399"/>
      <c r="DD352" s="399"/>
      <c r="DE352" s="399"/>
      <c r="DF352" s="399"/>
      <c r="DG352" s="399"/>
      <c r="DH352" s="399"/>
      <c r="DI352" s="399"/>
      <c r="DJ352" s="399"/>
      <c r="DK352" s="399"/>
      <c r="DL352" s="399"/>
      <c r="DM352" s="399"/>
      <c r="DN352" s="399"/>
      <c r="DO352" s="399"/>
      <c r="DP352" s="399"/>
      <c r="DQ352" s="399"/>
    </row>
    <row r="353" spans="1:121" s="760" customFormat="1" ht="15" customHeight="1" x14ac:dyDescent="0.25">
      <c r="A353" s="266">
        <f t="shared" si="5"/>
        <v>31.433333333333334</v>
      </c>
      <c r="B353" s="389">
        <v>41913</v>
      </c>
      <c r="C353" s="390" t="s">
        <v>451</v>
      </c>
      <c r="D353" s="394" t="s">
        <v>504</v>
      </c>
      <c r="E353" s="394" t="s">
        <v>380</v>
      </c>
      <c r="F353" s="394" t="s">
        <v>310</v>
      </c>
      <c r="G353" s="394" t="s">
        <v>313</v>
      </c>
      <c r="H353" s="261"/>
      <c r="I353" s="261"/>
      <c r="J353" s="261"/>
      <c r="K353" s="261">
        <v>268</v>
      </c>
      <c r="L353" s="261"/>
      <c r="M353" s="261"/>
      <c r="N353" s="261"/>
      <c r="O353" s="261"/>
      <c r="P353" s="261"/>
      <c r="Q353" s="261"/>
      <c r="R353" s="261"/>
      <c r="S353" s="261"/>
      <c r="T353" s="261"/>
      <c r="U353" s="261"/>
      <c r="V353" s="762"/>
      <c r="W353" s="762"/>
      <c r="X353" s="762"/>
      <c r="Y353" s="264">
        <f>IF(NFI_Expiration=1,IF($A353&lt;VLOOKUP(H$5,NFI,5,0),1,0)*Table_NFI[[#This Row],[Hygiene Kit]],Table_NFI[Hygiene Kit])</f>
        <v>0</v>
      </c>
      <c r="Z353" s="264">
        <f>IF(NFI_Expiration=1,IF($A353&lt;VLOOKUP(I$5,NFI,5,0),1,0)*Table_NFI[[#This Row],[NFI Core Kit]],Table_NFI[NFI Core Kit])</f>
        <v>0</v>
      </c>
      <c r="AA353" s="264">
        <f>IF(NFI_Expiration=1,IF($A353&lt;VLOOKUP(J$5,NFI,5,0),1,0)*Table_NFI[[#This Row],[Sanitary Kit]],Table_NFI[Sanitary Kit])</f>
        <v>0</v>
      </c>
      <c r="AB353" s="264">
        <f>IF(NFI_Expiration=1,IF($A353&lt;VLOOKUP(K$5,NFI,5,0),1,0)*Table_NFI[[#This Row],[Mosquito net]],Table_NFI[Mosquito net])</f>
        <v>0</v>
      </c>
      <c r="AC353" s="264">
        <f>IF(NFI_Expiration=1,IF($A353&lt;VLOOKUP(L$5,NFI,5,0),1,0)*Table_NFI[[#This Row],[Tarpaulin]],Table_NFI[[#This Row],[Tarpaulin]])</f>
        <v>0</v>
      </c>
      <c r="AD353" s="264">
        <f>IF(NFI_Expiration=1,IF($A353&lt;VLOOKUP(M$5,NFI,5,0),1,0)*Table_NFI[[#This Row],[Blanket]],Table_NFI[[#This Row],[Blanket]])</f>
        <v>0</v>
      </c>
      <c r="AE353" s="264">
        <f>IF(NFI_Expiration=1,IF($A353&lt;VLOOKUP(N$5,NFI,5,0),1,0)*Table_NFI[[#This Row],[Kitchen Set]],Table_NFI[Kitchen Set])</f>
        <v>0</v>
      </c>
      <c r="AF353" s="264">
        <f>IF(NFI_Expiration=1,IF($A353&lt;VLOOKUP(O$5,NFI,5,0),1,0)*Table_NFI[[#This Row],[Clothes Kit]],Table_NFI[Clothes Kit])</f>
        <v>0</v>
      </c>
      <c r="AG353" s="264">
        <f>IF(NFI_Expiration=1,IF($A353&lt;VLOOKUP(P$5,NFI,5,0),1,0)*Table_NFI[[#This Row],[Plastic Bucket]],Table_NFI[Plastic Bucket])</f>
        <v>0</v>
      </c>
      <c r="AH353" s="264">
        <f>IF(NFI_Expiration=1,IF($A353&lt;VLOOKUP(Q$5,NFI,5,0),1,0)*Table_NFI[[#This Row],[Plastic Mat]],Table_NFI[Plastic Mat])*IF(Table_NFI[[#This Row],[Distribution Date]]&gt;"2014-04-01",1,2.5)</f>
        <v>0</v>
      </c>
      <c r="AI353" s="264">
        <f>IF(NFI_Expiration=1,IF($A353&lt;VLOOKUP(R$5,NFI,5,0),1,0)*Table_NFI[[#This Row],[Winter Clothes Adult]],Table_NFI[Winter Clothes Adult])</f>
        <v>0</v>
      </c>
      <c r="AJ353" s="264">
        <f>IF(NFI_Expiration=1,IF($A353&lt;VLOOKUP(S$5,NFI,5,0),1,0)*Table_NFI[[#This Row],[Winter Clothes Children]],Table_NFI[Winter Clothes Children])</f>
        <v>0</v>
      </c>
      <c r="AK353" s="264">
        <f>IF(NFI_Expiration=1,IF($A353&lt;VLOOKUP(T$5,NFI,5,0),1,0)*Table_NFI[[#This Row],[Winter Items Other]],Table_NFI[Winter Items Other])</f>
        <v>0</v>
      </c>
      <c r="AL353" s="264">
        <f>IF(NFI_Expiration=1,IF($A353&lt;VLOOKUP(M$5,NFI,5,0),1,0)*Table_NFI[[#This Row],[Winter Blanket]],Table_NFI[[#This Row],[Winter Blanket]])</f>
        <v>0</v>
      </c>
      <c r="AM353" s="264">
        <f>IF(Table_NFI[[#This Row],[Winter Clothes Adult]]+Table_NFI[[#This Row],[Winter Clothes Children]]+Table_NFI[[#This Row],[Winter Items Other]]+Table_NFI[[#This Row],[Winter Blanket]]&gt;0,1,0)</f>
        <v>0</v>
      </c>
      <c r="AN353" s="296">
        <f>IF(NFI_Expiration=1,IF($A353&lt;VLOOKUP(V$5,NFI,5,0),1,0)*Table_NFI[[#This Row],[Jerry Can]],Table_NFI[Jerry Can])</f>
        <v>0</v>
      </c>
      <c r="AO353" s="296">
        <f>IF(NFI_Expiration=1,IF($A353&lt;VLOOKUP(V$5,NFI,5,0),1,0)*Table_NFI[[#This Row],[Shelter Tool kit]],Table_NFI[Shelter Tool kit])</f>
        <v>0</v>
      </c>
      <c r="AP353" s="296">
        <f>IF(NFI_Expiration=1,IF($A353&lt;VLOOKUP(V$5,NFI,5,0),1,0)*Table_NFI[[#This Row],[Tent]],Table_NFI[Tent])</f>
        <v>0</v>
      </c>
      <c r="AQ353" s="396" t="str">
        <f>IFERROR(VLOOKUP(Table_NFI[[#This Row],[Camp Name]],CL,2,0),"")</f>
        <v>MMR001CMP028</v>
      </c>
      <c r="AR353" s="702">
        <f ca="1">IF(Table_NFI[[#This Row],[Pcode]]="","",IF(OFFSET(CampList[Opening Date],MATCH(Table_NFI[[#This Row],[Pcode]],CampList[CP_Pcode],0)-1,0,1,1)&gt;=NFI_Monitor_Date,1,0))</f>
        <v>0</v>
      </c>
      <c r="AS353" s="396" t="str">
        <f>IFERROR(VLOOKUP(Table_NFI[[#This Row],[Camp Name]],CL,3,0),"")</f>
        <v>Open</v>
      </c>
      <c r="AT353" s="264" t="str">
        <f ca="1">IF(Table_NFI[[#This Row],[Pcode]]="","",OFFSET(CampList[Priority],MATCH(Table_NFI[[#This Row],[Pcode]],CampList[CP_Pcode],0)-1,0,1,1))</f>
        <v>P4</v>
      </c>
      <c r="AU353" s="263">
        <f>IFERROR(Table_NFI[[#This Row],[Kitchen Set]]/VLOOKUP(Table_NFI[[#This Row],[Camp Name]],CL,4,0),"")</f>
        <v>0</v>
      </c>
      <c r="AV353" s="394"/>
      <c r="AW353" s="397"/>
      <c r="AX353" s="399"/>
      <c r="AY353" s="399"/>
      <c r="AZ353" s="399"/>
      <c r="BA353" s="399"/>
      <c r="BB353" s="399"/>
      <c r="BC353" s="399"/>
      <c r="BD353" s="399"/>
      <c r="BE353" s="399"/>
      <c r="BF353" s="399"/>
      <c r="BG353" s="399"/>
      <c r="BH353" s="399"/>
      <c r="BI353" s="399"/>
      <c r="BJ353" s="399"/>
      <c r="BK353" s="399"/>
      <c r="BL353" s="399"/>
      <c r="BM353" s="399"/>
      <c r="BN353" s="399"/>
      <c r="BO353" s="399"/>
      <c r="BP353" s="399"/>
      <c r="BQ353" s="399"/>
      <c r="BR353" s="399"/>
      <c r="BS353" s="399"/>
      <c r="BT353" s="399"/>
      <c r="BU353" s="399"/>
      <c r="BV353" s="399"/>
      <c r="BW353" s="399"/>
      <c r="BX353" s="399"/>
      <c r="BY353" s="399"/>
      <c r="BZ353" s="399"/>
      <c r="CA353" s="399"/>
      <c r="CB353" s="399"/>
      <c r="CC353" s="399"/>
      <c r="CD353" s="399"/>
      <c r="CE353" s="399"/>
      <c r="CF353" s="399"/>
      <c r="CG353" s="399"/>
      <c r="CH353" s="399"/>
      <c r="CI353" s="399"/>
      <c r="CJ353" s="399"/>
      <c r="CK353" s="399"/>
      <c r="CL353" s="399"/>
      <c r="CM353" s="399"/>
      <c r="CN353" s="399"/>
      <c r="CO353" s="399"/>
      <c r="CP353" s="399"/>
      <c r="CQ353" s="399"/>
      <c r="CR353" s="399"/>
      <c r="CS353" s="399"/>
      <c r="CT353" s="399"/>
      <c r="CU353" s="399"/>
      <c r="CV353" s="399"/>
      <c r="CW353" s="399"/>
      <c r="CX353" s="399"/>
      <c r="CY353" s="399"/>
      <c r="CZ353" s="399"/>
      <c r="DA353" s="399"/>
      <c r="DB353" s="399"/>
      <c r="DC353" s="399"/>
      <c r="DD353" s="399"/>
      <c r="DE353" s="399"/>
      <c r="DF353" s="399"/>
      <c r="DG353" s="399"/>
      <c r="DH353" s="399"/>
      <c r="DI353" s="399"/>
      <c r="DJ353" s="399"/>
      <c r="DK353" s="399"/>
      <c r="DL353" s="399"/>
      <c r="DM353" s="399"/>
      <c r="DN353" s="399"/>
      <c r="DO353" s="399"/>
      <c r="DP353" s="399"/>
      <c r="DQ353" s="399"/>
    </row>
    <row r="354" spans="1:121" s="760" customFormat="1" ht="15" customHeight="1" x14ac:dyDescent="0.25">
      <c r="A354" s="266">
        <f t="shared" si="5"/>
        <v>31.433333333333334</v>
      </c>
      <c r="B354" s="389">
        <v>41913</v>
      </c>
      <c r="C354" s="390" t="s">
        <v>451</v>
      </c>
      <c r="D354" s="394" t="s">
        <v>504</v>
      </c>
      <c r="E354" s="394" t="s">
        <v>380</v>
      </c>
      <c r="F354" s="394" t="s">
        <v>526</v>
      </c>
      <c r="G354" s="394" t="s">
        <v>44</v>
      </c>
      <c r="H354" s="261"/>
      <c r="I354" s="261"/>
      <c r="J354" s="261"/>
      <c r="K354" s="261">
        <v>20</v>
      </c>
      <c r="L354" s="261"/>
      <c r="M354" s="261"/>
      <c r="N354" s="261"/>
      <c r="O354" s="261"/>
      <c r="P354" s="261"/>
      <c r="Q354" s="261"/>
      <c r="R354" s="261"/>
      <c r="S354" s="261"/>
      <c r="T354" s="261"/>
      <c r="U354" s="261"/>
      <c r="V354" s="765"/>
      <c r="W354" s="762"/>
      <c r="X354" s="762"/>
      <c r="Y354" s="264">
        <f>IF(NFI_Expiration=1,IF($A354&lt;VLOOKUP(H$5,NFI,5,0),1,0)*Table_NFI[[#This Row],[Hygiene Kit]],Table_NFI[Hygiene Kit])</f>
        <v>0</v>
      </c>
      <c r="Z354" s="264">
        <f>IF(NFI_Expiration=1,IF($A354&lt;VLOOKUP(I$5,NFI,5,0),1,0)*Table_NFI[[#This Row],[NFI Core Kit]],Table_NFI[NFI Core Kit])</f>
        <v>0</v>
      </c>
      <c r="AA354" s="264">
        <f>IF(NFI_Expiration=1,IF($A354&lt;VLOOKUP(J$5,NFI,5,0),1,0)*Table_NFI[[#This Row],[Sanitary Kit]],Table_NFI[Sanitary Kit])</f>
        <v>0</v>
      </c>
      <c r="AB354" s="264">
        <f>IF(NFI_Expiration=1,IF($A354&lt;VLOOKUP(K$5,NFI,5,0),1,0)*Table_NFI[[#This Row],[Mosquito net]],Table_NFI[Mosquito net])</f>
        <v>0</v>
      </c>
      <c r="AC354" s="264">
        <f>IF(NFI_Expiration=1,IF($A354&lt;VLOOKUP(L$5,NFI,5,0),1,0)*Table_NFI[[#This Row],[Tarpaulin]],Table_NFI[[#This Row],[Tarpaulin]])</f>
        <v>0</v>
      </c>
      <c r="AD354" s="264">
        <f>IF(NFI_Expiration=1,IF($A354&lt;VLOOKUP(M$5,NFI,5,0),1,0)*Table_NFI[[#This Row],[Blanket]],Table_NFI[[#This Row],[Blanket]])</f>
        <v>0</v>
      </c>
      <c r="AE354" s="264">
        <f>IF(NFI_Expiration=1,IF($A354&lt;VLOOKUP(N$5,NFI,5,0),1,0)*Table_NFI[[#This Row],[Kitchen Set]],Table_NFI[Kitchen Set])</f>
        <v>0</v>
      </c>
      <c r="AF354" s="264">
        <f>IF(NFI_Expiration=1,IF($A354&lt;VLOOKUP(O$5,NFI,5,0),1,0)*Table_NFI[[#This Row],[Clothes Kit]],Table_NFI[Clothes Kit])</f>
        <v>0</v>
      </c>
      <c r="AG354" s="264">
        <f>IF(NFI_Expiration=1,IF($A354&lt;VLOOKUP(P$5,NFI,5,0),1,0)*Table_NFI[[#This Row],[Plastic Bucket]],Table_NFI[Plastic Bucket])</f>
        <v>0</v>
      </c>
      <c r="AH354" s="264">
        <f>IF(NFI_Expiration=1,IF($A354&lt;VLOOKUP(Q$5,NFI,5,0),1,0)*Table_NFI[[#This Row],[Plastic Mat]],Table_NFI[Plastic Mat])*IF(Table_NFI[[#This Row],[Distribution Date]]&gt;"2014-04-01",1,2.5)</f>
        <v>0</v>
      </c>
      <c r="AI354" s="264">
        <f>IF(NFI_Expiration=1,IF($A354&lt;VLOOKUP(R$5,NFI,5,0),1,0)*Table_NFI[[#This Row],[Winter Clothes Adult]],Table_NFI[Winter Clothes Adult])</f>
        <v>0</v>
      </c>
      <c r="AJ354" s="264">
        <f>IF(NFI_Expiration=1,IF($A354&lt;VLOOKUP(S$5,NFI,5,0),1,0)*Table_NFI[[#This Row],[Winter Clothes Children]],Table_NFI[Winter Clothes Children])</f>
        <v>0</v>
      </c>
      <c r="AK354" s="264">
        <f>IF(NFI_Expiration=1,IF($A354&lt;VLOOKUP(T$5,NFI,5,0),1,0)*Table_NFI[[#This Row],[Winter Items Other]],Table_NFI[Winter Items Other])</f>
        <v>0</v>
      </c>
      <c r="AL354" s="264">
        <f>IF(NFI_Expiration=1,IF($A354&lt;VLOOKUP(M$5,NFI,5,0),1,0)*Table_NFI[[#This Row],[Winter Blanket]],Table_NFI[[#This Row],[Winter Blanket]])</f>
        <v>0</v>
      </c>
      <c r="AM354" s="264">
        <f>IF(Table_NFI[[#This Row],[Winter Clothes Adult]]+Table_NFI[[#This Row],[Winter Clothes Children]]+Table_NFI[[#This Row],[Winter Items Other]]+Table_NFI[[#This Row],[Winter Blanket]]&gt;0,1,0)</f>
        <v>0</v>
      </c>
      <c r="AN354" s="296">
        <f>IF(NFI_Expiration=1,IF($A354&lt;VLOOKUP(V$5,NFI,5,0),1,0)*Table_NFI[[#This Row],[Jerry Can]],Table_NFI[Jerry Can])</f>
        <v>0</v>
      </c>
      <c r="AO354" s="296">
        <f>IF(NFI_Expiration=1,IF($A354&lt;VLOOKUP(V$5,NFI,5,0),1,0)*Table_NFI[[#This Row],[Shelter Tool kit]],Table_NFI[Shelter Tool kit])</f>
        <v>0</v>
      </c>
      <c r="AP354" s="296">
        <f>IF(NFI_Expiration=1,IF($A354&lt;VLOOKUP(V$5,NFI,5,0),1,0)*Table_NFI[[#This Row],[Tent]],Table_NFI[Tent])</f>
        <v>0</v>
      </c>
      <c r="AQ354" s="396" t="str">
        <f>IFERROR(VLOOKUP(Table_NFI[[#This Row],[Camp Name]],CL,2,0),"")</f>
        <v>MMR001CMP191</v>
      </c>
      <c r="AR354" s="702">
        <f ca="1">IF(Table_NFI[[#This Row],[Pcode]]="","",IF(OFFSET(CampList[Opening Date],MATCH(Table_NFI[[#This Row],[Pcode]],CampList[CP_Pcode],0)-1,0,1,1)&gt;=NFI_Monitor_Date,1,0))</f>
        <v>0</v>
      </c>
      <c r="AS354" s="396" t="str">
        <f>IFERROR(VLOOKUP(Table_NFI[[#This Row],[Camp Name]],CL,3,0),"")</f>
        <v>Open</v>
      </c>
      <c r="AT354" s="264" t="str">
        <f ca="1">IF(Table_NFI[[#This Row],[Pcode]]="","",OFFSET(CampList[Priority],MATCH(Table_NFI[[#This Row],[Pcode]],CampList[CP_Pcode],0)-1,0,1,1))</f>
        <v>P4</v>
      </c>
      <c r="AU354" s="263">
        <f>IFERROR(Table_NFI[[#This Row],[Kitchen Set]]/VLOOKUP(Table_NFI[[#This Row],[Camp Name]],CL,4,0),"")</f>
        <v>0</v>
      </c>
      <c r="AV354" s="394"/>
      <c r="AW354" s="397"/>
      <c r="AX354" s="399"/>
      <c r="AY354" s="399"/>
      <c r="AZ354" s="399"/>
      <c r="BA354" s="399"/>
      <c r="BB354" s="399"/>
      <c r="BC354" s="399"/>
      <c r="BD354" s="399"/>
      <c r="BE354" s="399"/>
      <c r="BF354" s="399"/>
      <c r="BG354" s="399"/>
      <c r="BH354" s="399"/>
      <c r="BI354" s="399"/>
      <c r="BJ354" s="399"/>
      <c r="BK354" s="399"/>
      <c r="BL354" s="399"/>
      <c r="BM354" s="399"/>
      <c r="BN354" s="399"/>
      <c r="BO354" s="399"/>
      <c r="BP354" s="399"/>
      <c r="BQ354" s="399"/>
      <c r="BR354" s="399"/>
      <c r="BS354" s="399"/>
      <c r="BT354" s="399"/>
      <c r="BU354" s="399"/>
      <c r="BV354" s="399"/>
      <c r="BW354" s="399"/>
      <c r="BX354" s="399"/>
      <c r="BY354" s="399"/>
      <c r="BZ354" s="399"/>
      <c r="CA354" s="399"/>
      <c r="CB354" s="399"/>
      <c r="CC354" s="399"/>
      <c r="CD354" s="399"/>
      <c r="CE354" s="399"/>
      <c r="CF354" s="399"/>
      <c r="CG354" s="399"/>
      <c r="CH354" s="399"/>
      <c r="CI354" s="399"/>
      <c r="CJ354" s="399"/>
      <c r="CK354" s="399"/>
      <c r="CL354" s="399"/>
      <c r="CM354" s="399"/>
      <c r="CN354" s="399"/>
      <c r="CO354" s="399"/>
      <c r="CP354" s="399"/>
      <c r="CQ354" s="399"/>
      <c r="CR354" s="399"/>
      <c r="CS354" s="399"/>
      <c r="CT354" s="399"/>
      <c r="CU354" s="399"/>
      <c r="CV354" s="399"/>
      <c r="CW354" s="399"/>
      <c r="CX354" s="399"/>
      <c r="CY354" s="399"/>
      <c r="CZ354" s="399"/>
      <c r="DA354" s="399"/>
      <c r="DB354" s="399"/>
      <c r="DC354" s="399"/>
      <c r="DD354" s="399"/>
      <c r="DE354" s="399"/>
      <c r="DF354" s="399"/>
      <c r="DG354" s="399"/>
      <c r="DH354" s="399"/>
      <c r="DI354" s="399"/>
      <c r="DJ354" s="399"/>
      <c r="DK354" s="399"/>
      <c r="DL354" s="399"/>
      <c r="DM354" s="399"/>
      <c r="DN354" s="399"/>
      <c r="DO354" s="399"/>
      <c r="DP354" s="399"/>
      <c r="DQ354" s="399"/>
    </row>
    <row r="355" spans="1:121" s="760" customFormat="1" ht="15" customHeight="1" x14ac:dyDescent="0.25">
      <c r="A355" s="266">
        <f t="shared" si="5"/>
        <v>31.433333333333334</v>
      </c>
      <c r="B355" s="389">
        <v>41913</v>
      </c>
      <c r="C355" s="390" t="s">
        <v>451</v>
      </c>
      <c r="D355" s="394" t="s">
        <v>505</v>
      </c>
      <c r="E355" s="394" t="s">
        <v>380</v>
      </c>
      <c r="F355" s="394" t="s">
        <v>237</v>
      </c>
      <c r="G355" s="394" t="s">
        <v>255</v>
      </c>
      <c r="H355" s="261"/>
      <c r="I355" s="261"/>
      <c r="J355" s="261"/>
      <c r="K355" s="261">
        <v>218</v>
      </c>
      <c r="L355" s="261"/>
      <c r="M355" s="261"/>
      <c r="N355" s="261"/>
      <c r="O355" s="261"/>
      <c r="P355" s="261"/>
      <c r="Q355" s="261"/>
      <c r="R355" s="261"/>
      <c r="S355" s="261"/>
      <c r="T355" s="261"/>
      <c r="U355" s="261"/>
      <c r="V355" s="765"/>
      <c r="W355" s="762"/>
      <c r="X355" s="762"/>
      <c r="Y355" s="264">
        <f>IF(NFI_Expiration=1,IF($A355&lt;VLOOKUP(H$5,NFI,5,0),1,0)*Table_NFI[[#This Row],[Hygiene Kit]],Table_NFI[Hygiene Kit])</f>
        <v>0</v>
      </c>
      <c r="Z355" s="264">
        <f>IF(NFI_Expiration=1,IF($A355&lt;VLOOKUP(I$5,NFI,5,0),1,0)*Table_NFI[[#This Row],[NFI Core Kit]],Table_NFI[NFI Core Kit])</f>
        <v>0</v>
      </c>
      <c r="AA355" s="264">
        <f>IF(NFI_Expiration=1,IF($A355&lt;VLOOKUP(J$5,NFI,5,0),1,0)*Table_NFI[[#This Row],[Sanitary Kit]],Table_NFI[Sanitary Kit])</f>
        <v>0</v>
      </c>
      <c r="AB355" s="264">
        <f>IF(NFI_Expiration=1,IF($A355&lt;VLOOKUP(K$5,NFI,5,0),1,0)*Table_NFI[[#This Row],[Mosquito net]],Table_NFI[Mosquito net])</f>
        <v>0</v>
      </c>
      <c r="AC355" s="264">
        <f>IF(NFI_Expiration=1,IF($A355&lt;VLOOKUP(L$5,NFI,5,0),1,0)*Table_NFI[[#This Row],[Tarpaulin]],Table_NFI[[#This Row],[Tarpaulin]])</f>
        <v>0</v>
      </c>
      <c r="AD355" s="264">
        <f>IF(NFI_Expiration=1,IF($A355&lt;VLOOKUP(M$5,NFI,5,0),1,0)*Table_NFI[[#This Row],[Blanket]],Table_NFI[[#This Row],[Blanket]])</f>
        <v>0</v>
      </c>
      <c r="AE355" s="264">
        <f>IF(NFI_Expiration=1,IF($A355&lt;VLOOKUP(N$5,NFI,5,0),1,0)*Table_NFI[[#This Row],[Kitchen Set]],Table_NFI[Kitchen Set])</f>
        <v>0</v>
      </c>
      <c r="AF355" s="264">
        <f>IF(NFI_Expiration=1,IF($A355&lt;VLOOKUP(O$5,NFI,5,0),1,0)*Table_NFI[[#This Row],[Clothes Kit]],Table_NFI[Clothes Kit])</f>
        <v>0</v>
      </c>
      <c r="AG355" s="264">
        <f>IF(NFI_Expiration=1,IF($A355&lt;VLOOKUP(P$5,NFI,5,0),1,0)*Table_NFI[[#This Row],[Plastic Bucket]],Table_NFI[Plastic Bucket])</f>
        <v>0</v>
      </c>
      <c r="AH355" s="264">
        <f>IF(NFI_Expiration=1,IF($A355&lt;VLOOKUP(Q$5,NFI,5,0),1,0)*Table_NFI[[#This Row],[Plastic Mat]],Table_NFI[Plastic Mat])*IF(Table_NFI[[#This Row],[Distribution Date]]&gt;"2014-04-01",1,2.5)</f>
        <v>0</v>
      </c>
      <c r="AI355" s="264">
        <f>IF(NFI_Expiration=1,IF($A355&lt;VLOOKUP(R$5,NFI,5,0),1,0)*Table_NFI[[#This Row],[Winter Clothes Adult]],Table_NFI[Winter Clothes Adult])</f>
        <v>0</v>
      </c>
      <c r="AJ355" s="264">
        <f>IF(NFI_Expiration=1,IF($A355&lt;VLOOKUP(S$5,NFI,5,0),1,0)*Table_NFI[[#This Row],[Winter Clothes Children]],Table_NFI[Winter Clothes Children])</f>
        <v>0</v>
      </c>
      <c r="AK355" s="264">
        <f>IF(NFI_Expiration=1,IF($A355&lt;VLOOKUP(T$5,NFI,5,0),1,0)*Table_NFI[[#This Row],[Winter Items Other]],Table_NFI[Winter Items Other])</f>
        <v>0</v>
      </c>
      <c r="AL355" s="264">
        <f>IF(NFI_Expiration=1,IF($A355&lt;VLOOKUP(M$5,NFI,5,0),1,0)*Table_NFI[[#This Row],[Winter Blanket]],Table_NFI[[#This Row],[Winter Blanket]])</f>
        <v>0</v>
      </c>
      <c r="AM355" s="264">
        <f>IF(Table_NFI[[#This Row],[Winter Clothes Adult]]+Table_NFI[[#This Row],[Winter Clothes Children]]+Table_NFI[[#This Row],[Winter Items Other]]+Table_NFI[[#This Row],[Winter Blanket]]&gt;0,1,0)</f>
        <v>0</v>
      </c>
      <c r="AN355" s="296">
        <f>IF(NFI_Expiration=1,IF($A355&lt;VLOOKUP(V$5,NFI,5,0),1,0)*Table_NFI[[#This Row],[Jerry Can]],Table_NFI[Jerry Can])</f>
        <v>0</v>
      </c>
      <c r="AO355" s="296">
        <f>IF(NFI_Expiration=1,IF($A355&lt;VLOOKUP(V$5,NFI,5,0),1,0)*Table_NFI[[#This Row],[Shelter Tool kit]],Table_NFI[Shelter Tool kit])</f>
        <v>0</v>
      </c>
      <c r="AP355" s="296">
        <f>IF(NFI_Expiration=1,IF($A355&lt;VLOOKUP(V$5,NFI,5,0),1,0)*Table_NFI[[#This Row],[Tent]],Table_NFI[Tent])</f>
        <v>0</v>
      </c>
      <c r="AQ355" s="396" t="str">
        <f>IFERROR(VLOOKUP(Table_NFI[[#This Row],[Camp Name]],CL,2,0),"")</f>
        <v>MMR001CMP019</v>
      </c>
      <c r="AR355" s="702">
        <f ca="1">IF(Table_NFI[[#This Row],[Pcode]]="","",IF(OFFSET(CampList[Opening Date],MATCH(Table_NFI[[#This Row],[Pcode]],CampList[CP_Pcode],0)-1,0,1,1)&gt;=NFI_Monitor_Date,1,0))</f>
        <v>0</v>
      </c>
      <c r="AS355" s="396" t="str">
        <f>IFERROR(VLOOKUP(Table_NFI[[#This Row],[Camp Name]],CL,3,0),"")</f>
        <v>Open</v>
      </c>
      <c r="AT355" s="264" t="str">
        <f ca="1">IF(Table_NFI[[#This Row],[Pcode]]="","",OFFSET(CampList[Priority],MATCH(Table_NFI[[#This Row],[Pcode]],CampList[CP_Pcode],0)-1,0,1,1))</f>
        <v>P4</v>
      </c>
      <c r="AU355" s="263">
        <f>IFERROR(Table_NFI[[#This Row],[Kitchen Set]]/VLOOKUP(Table_NFI[[#This Row],[Camp Name]],CL,4,0),"")</f>
        <v>0</v>
      </c>
      <c r="AV355" s="394"/>
      <c r="AW355" s="397"/>
      <c r="AX355" s="399"/>
      <c r="AY355" s="399"/>
      <c r="AZ355" s="399"/>
      <c r="BA355" s="399"/>
      <c r="BB355" s="399"/>
      <c r="BC355" s="399"/>
      <c r="BD355" s="399"/>
      <c r="BE355" s="399"/>
      <c r="BF355" s="399"/>
      <c r="BG355" s="399"/>
      <c r="BH355" s="399"/>
      <c r="BI355" s="399"/>
      <c r="BJ355" s="399"/>
      <c r="BK355" s="399"/>
      <c r="BL355" s="399"/>
      <c r="BM355" s="399"/>
      <c r="BN355" s="399"/>
      <c r="BO355" s="399"/>
      <c r="BP355" s="399"/>
      <c r="BQ355" s="399"/>
      <c r="BR355" s="399"/>
      <c r="BS355" s="399"/>
      <c r="BT355" s="399"/>
      <c r="BU355" s="399"/>
      <c r="BV355" s="399"/>
      <c r="BW355" s="399"/>
      <c r="BX355" s="399"/>
      <c r="BY355" s="399"/>
      <c r="BZ355" s="399"/>
      <c r="CA355" s="399"/>
      <c r="CB355" s="399"/>
      <c r="CC355" s="399"/>
      <c r="CD355" s="399"/>
      <c r="CE355" s="399"/>
      <c r="CF355" s="399"/>
      <c r="CG355" s="399"/>
      <c r="CH355" s="399"/>
      <c r="CI355" s="399"/>
      <c r="CJ355" s="399"/>
      <c r="CK355" s="399"/>
      <c r="CL355" s="399"/>
      <c r="CM355" s="399"/>
      <c r="CN355" s="399"/>
      <c r="CO355" s="399"/>
      <c r="CP355" s="399"/>
      <c r="CQ355" s="399"/>
      <c r="CR355" s="399"/>
      <c r="CS355" s="399"/>
      <c r="CT355" s="399"/>
      <c r="CU355" s="399"/>
      <c r="CV355" s="399"/>
      <c r="CW355" s="399"/>
      <c r="CX355" s="399"/>
      <c r="CY355" s="399"/>
      <c r="CZ355" s="399"/>
      <c r="DA355" s="399"/>
      <c r="DB355" s="399"/>
      <c r="DC355" s="399"/>
      <c r="DD355" s="399"/>
      <c r="DE355" s="399"/>
      <c r="DF355" s="399"/>
      <c r="DG355" s="399"/>
      <c r="DH355" s="399"/>
      <c r="DI355" s="399"/>
      <c r="DJ355" s="399"/>
      <c r="DK355" s="399"/>
      <c r="DL355" s="399"/>
      <c r="DM355" s="399"/>
      <c r="DN355" s="399"/>
      <c r="DO355" s="399"/>
      <c r="DP355" s="399"/>
      <c r="DQ355" s="399"/>
    </row>
    <row r="356" spans="1:121" s="760" customFormat="1" ht="15" customHeight="1" x14ac:dyDescent="0.25">
      <c r="A356" s="266">
        <f t="shared" si="5"/>
        <v>31.433333333333334</v>
      </c>
      <c r="B356" s="389">
        <v>41913</v>
      </c>
      <c r="C356" s="390" t="s">
        <v>451</v>
      </c>
      <c r="D356" s="394" t="s">
        <v>504</v>
      </c>
      <c r="E356" s="394" t="s">
        <v>380</v>
      </c>
      <c r="F356" s="394" t="s">
        <v>27</v>
      </c>
      <c r="G356" s="394" t="s">
        <v>365</v>
      </c>
      <c r="H356" s="261"/>
      <c r="I356" s="261"/>
      <c r="J356" s="261"/>
      <c r="K356" s="261">
        <v>278</v>
      </c>
      <c r="L356" s="261"/>
      <c r="M356" s="261"/>
      <c r="N356" s="261"/>
      <c r="O356" s="261"/>
      <c r="P356" s="261"/>
      <c r="Q356" s="261"/>
      <c r="R356" s="261"/>
      <c r="S356" s="261"/>
      <c r="T356" s="261"/>
      <c r="U356" s="261">
        <v>278</v>
      </c>
      <c r="V356" s="762"/>
      <c r="W356" s="762"/>
      <c r="X356" s="762"/>
      <c r="Y356" s="264">
        <f>IF(NFI_Expiration=1,IF($A356&lt;VLOOKUP(H$5,NFI,5,0),1,0)*Table_NFI[[#This Row],[Hygiene Kit]],Table_NFI[Hygiene Kit])</f>
        <v>0</v>
      </c>
      <c r="Z356" s="264">
        <f>IF(NFI_Expiration=1,IF($A356&lt;VLOOKUP(I$5,NFI,5,0),1,0)*Table_NFI[[#This Row],[NFI Core Kit]],Table_NFI[NFI Core Kit])</f>
        <v>0</v>
      </c>
      <c r="AA356" s="264">
        <f>IF(NFI_Expiration=1,IF($A356&lt;VLOOKUP(J$5,NFI,5,0),1,0)*Table_NFI[[#This Row],[Sanitary Kit]],Table_NFI[Sanitary Kit])</f>
        <v>0</v>
      </c>
      <c r="AB356" s="264">
        <f>IF(NFI_Expiration=1,IF($A356&lt;VLOOKUP(K$5,NFI,5,0),1,0)*Table_NFI[[#This Row],[Mosquito net]],Table_NFI[Mosquito net])</f>
        <v>0</v>
      </c>
      <c r="AC356" s="264">
        <f>IF(NFI_Expiration=1,IF($A356&lt;VLOOKUP(L$5,NFI,5,0),1,0)*Table_NFI[[#This Row],[Tarpaulin]],Table_NFI[[#This Row],[Tarpaulin]])</f>
        <v>0</v>
      </c>
      <c r="AD356" s="264">
        <f>IF(NFI_Expiration=1,IF($A356&lt;VLOOKUP(M$5,NFI,5,0),1,0)*Table_NFI[[#This Row],[Blanket]],Table_NFI[[#This Row],[Blanket]])</f>
        <v>0</v>
      </c>
      <c r="AE356" s="264">
        <f>IF(NFI_Expiration=1,IF($A356&lt;VLOOKUP(N$5,NFI,5,0),1,0)*Table_NFI[[#This Row],[Kitchen Set]],Table_NFI[Kitchen Set])</f>
        <v>0</v>
      </c>
      <c r="AF356" s="264">
        <f>IF(NFI_Expiration=1,IF($A356&lt;VLOOKUP(O$5,NFI,5,0),1,0)*Table_NFI[[#This Row],[Clothes Kit]],Table_NFI[Clothes Kit])</f>
        <v>0</v>
      </c>
      <c r="AG356" s="264">
        <f>IF(NFI_Expiration=1,IF($A356&lt;VLOOKUP(P$5,NFI,5,0),1,0)*Table_NFI[[#This Row],[Plastic Bucket]],Table_NFI[Plastic Bucket])</f>
        <v>0</v>
      </c>
      <c r="AH356" s="264">
        <f>IF(NFI_Expiration=1,IF($A356&lt;VLOOKUP(Q$5,NFI,5,0),1,0)*Table_NFI[[#This Row],[Plastic Mat]],Table_NFI[Plastic Mat])*IF(Table_NFI[[#This Row],[Distribution Date]]&gt;"2014-04-01",1,2.5)</f>
        <v>0</v>
      </c>
      <c r="AI356" s="264">
        <f>IF(NFI_Expiration=1,IF($A356&lt;VLOOKUP(R$5,NFI,5,0),1,0)*Table_NFI[[#This Row],[Winter Clothes Adult]],Table_NFI[Winter Clothes Adult])</f>
        <v>0</v>
      </c>
      <c r="AJ356" s="264">
        <f>IF(NFI_Expiration=1,IF($A356&lt;VLOOKUP(S$5,NFI,5,0),1,0)*Table_NFI[[#This Row],[Winter Clothes Children]],Table_NFI[Winter Clothes Children])</f>
        <v>0</v>
      </c>
      <c r="AK356" s="264">
        <f>IF(NFI_Expiration=1,IF($A356&lt;VLOOKUP(T$5,NFI,5,0),1,0)*Table_NFI[[#This Row],[Winter Items Other]],Table_NFI[Winter Items Other])</f>
        <v>0</v>
      </c>
      <c r="AL356" s="264">
        <f>IF(NFI_Expiration=1,IF($A356&lt;VLOOKUP(M$5,NFI,5,0),1,0)*Table_NFI[[#This Row],[Winter Blanket]],Table_NFI[[#This Row],[Winter Blanket]])</f>
        <v>0</v>
      </c>
      <c r="AM356" s="264">
        <f>IF(Table_NFI[[#This Row],[Winter Clothes Adult]]+Table_NFI[[#This Row],[Winter Clothes Children]]+Table_NFI[[#This Row],[Winter Items Other]]+Table_NFI[[#This Row],[Winter Blanket]]&gt;0,1,0)</f>
        <v>1</v>
      </c>
      <c r="AN356" s="296">
        <f>IF(NFI_Expiration=1,IF($A356&lt;VLOOKUP(V$5,NFI,5,0),1,0)*Table_NFI[[#This Row],[Jerry Can]],Table_NFI[Jerry Can])</f>
        <v>0</v>
      </c>
      <c r="AO356" s="296">
        <f>IF(NFI_Expiration=1,IF($A356&lt;VLOOKUP(V$5,NFI,5,0),1,0)*Table_NFI[[#This Row],[Shelter Tool kit]],Table_NFI[Shelter Tool kit])</f>
        <v>0</v>
      </c>
      <c r="AP356" s="296">
        <f>IF(NFI_Expiration=1,IF($A356&lt;VLOOKUP(V$5,NFI,5,0),1,0)*Table_NFI[[#This Row],[Tent]],Table_NFI[Tent])</f>
        <v>0</v>
      </c>
      <c r="AQ356" s="396" t="str">
        <f>IFERROR(VLOOKUP(Table_NFI[[#This Row],[Camp Name]],CL,2,0),"")</f>
        <v>MMR001CMP195</v>
      </c>
      <c r="AR356" s="702">
        <f ca="1">IF(Table_NFI[[#This Row],[Pcode]]="","",IF(OFFSET(CampList[Opening Date],MATCH(Table_NFI[[#This Row],[Pcode]],CampList[CP_Pcode],0)-1,0,1,1)&gt;=NFI_Monitor_Date,1,0))</f>
        <v>0</v>
      </c>
      <c r="AS356" s="396" t="str">
        <f>IFERROR(VLOOKUP(Table_NFI[[#This Row],[Camp Name]],CL,3,0),"")</f>
        <v>Open</v>
      </c>
      <c r="AT356" s="264" t="str">
        <f ca="1">IF(Table_NFI[[#This Row],[Pcode]]="","",OFFSET(CampList[Priority],MATCH(Table_NFI[[#This Row],[Pcode]],CampList[CP_Pcode],0)-1,0,1,1))</f>
        <v>P1</v>
      </c>
      <c r="AU356" s="263">
        <f>IFERROR(Table_NFI[[#This Row],[Kitchen Set]]/VLOOKUP(Table_NFI[[#This Row],[Camp Name]],CL,4,0),"")</f>
        <v>0</v>
      </c>
      <c r="AV356" s="394"/>
      <c r="AW356" s="397"/>
      <c r="AX356" s="399"/>
      <c r="AY356" s="399"/>
      <c r="AZ356" s="399"/>
      <c r="BA356" s="399"/>
      <c r="BB356" s="399"/>
      <c r="BC356" s="399"/>
      <c r="BD356" s="399"/>
      <c r="BE356" s="399"/>
      <c r="BF356" s="399"/>
      <c r="BG356" s="399"/>
      <c r="BH356" s="399"/>
      <c r="BI356" s="399"/>
      <c r="BJ356" s="399"/>
      <c r="BK356" s="399"/>
      <c r="BL356" s="399"/>
      <c r="BM356" s="399"/>
      <c r="BN356" s="399"/>
      <c r="BO356" s="399"/>
      <c r="BP356" s="399"/>
      <c r="BQ356" s="399"/>
      <c r="BR356" s="399"/>
      <c r="BS356" s="399"/>
      <c r="BT356" s="399"/>
      <c r="BU356" s="399"/>
      <c r="BV356" s="399"/>
      <c r="BW356" s="399"/>
      <c r="BX356" s="399"/>
      <c r="BY356" s="399"/>
      <c r="BZ356" s="399"/>
      <c r="CA356" s="399"/>
      <c r="CB356" s="399"/>
      <c r="CC356" s="399"/>
      <c r="CD356" s="399"/>
      <c r="CE356" s="399"/>
      <c r="CF356" s="399"/>
      <c r="CG356" s="399"/>
      <c r="CH356" s="399"/>
      <c r="CI356" s="399"/>
      <c r="CJ356" s="399"/>
      <c r="CK356" s="399"/>
      <c r="CL356" s="399"/>
      <c r="CM356" s="399"/>
      <c r="CN356" s="399"/>
      <c r="CO356" s="399"/>
      <c r="CP356" s="399"/>
      <c r="CQ356" s="399"/>
      <c r="CR356" s="399"/>
      <c r="CS356" s="399"/>
      <c r="CT356" s="399"/>
      <c r="CU356" s="399"/>
      <c r="CV356" s="399"/>
      <c r="CW356" s="399"/>
      <c r="CX356" s="399"/>
      <c r="CY356" s="399"/>
      <c r="CZ356" s="399"/>
      <c r="DA356" s="399"/>
      <c r="DB356" s="399"/>
      <c r="DC356" s="399"/>
      <c r="DD356" s="399"/>
      <c r="DE356" s="399"/>
      <c r="DF356" s="399"/>
      <c r="DG356" s="399"/>
      <c r="DH356" s="399"/>
      <c r="DI356" s="399"/>
      <c r="DJ356" s="399"/>
      <c r="DK356" s="399"/>
      <c r="DL356" s="399"/>
      <c r="DM356" s="399"/>
      <c r="DN356" s="399"/>
      <c r="DO356" s="399"/>
      <c r="DP356" s="399"/>
      <c r="DQ356" s="399"/>
    </row>
    <row r="357" spans="1:121" s="760" customFormat="1" ht="15" customHeight="1" x14ac:dyDescent="0.25">
      <c r="A357" s="266">
        <f t="shared" si="5"/>
        <v>31.433333333333334</v>
      </c>
      <c r="B357" s="389">
        <v>41913</v>
      </c>
      <c r="C357" s="390" t="s">
        <v>451</v>
      </c>
      <c r="D357" s="394" t="s">
        <v>504</v>
      </c>
      <c r="E357" s="394" t="s">
        <v>380</v>
      </c>
      <c r="F357" s="394" t="s">
        <v>526</v>
      </c>
      <c r="G357" s="394" t="s">
        <v>90</v>
      </c>
      <c r="H357" s="261"/>
      <c r="I357" s="261"/>
      <c r="J357" s="261"/>
      <c r="K357" s="261">
        <v>40</v>
      </c>
      <c r="L357" s="261"/>
      <c r="M357" s="261"/>
      <c r="N357" s="261"/>
      <c r="O357" s="261"/>
      <c r="P357" s="261"/>
      <c r="Q357" s="261"/>
      <c r="R357" s="261"/>
      <c r="S357" s="261"/>
      <c r="T357" s="261"/>
      <c r="U357" s="261"/>
      <c r="V357" s="762"/>
      <c r="W357" s="762"/>
      <c r="X357" s="762"/>
      <c r="Y357" s="264">
        <f>IF(NFI_Expiration=1,IF($A357&lt;VLOOKUP(H$5,NFI,5,0),1,0)*Table_NFI[[#This Row],[Hygiene Kit]],Table_NFI[Hygiene Kit])</f>
        <v>0</v>
      </c>
      <c r="Z357" s="264">
        <f>IF(NFI_Expiration=1,IF($A357&lt;VLOOKUP(I$5,NFI,5,0),1,0)*Table_NFI[[#This Row],[NFI Core Kit]],Table_NFI[NFI Core Kit])</f>
        <v>0</v>
      </c>
      <c r="AA357" s="264">
        <f>IF(NFI_Expiration=1,IF($A357&lt;VLOOKUP(J$5,NFI,5,0),1,0)*Table_NFI[[#This Row],[Sanitary Kit]],Table_NFI[Sanitary Kit])</f>
        <v>0</v>
      </c>
      <c r="AB357" s="264">
        <f>IF(NFI_Expiration=1,IF($A357&lt;VLOOKUP(K$5,NFI,5,0),1,0)*Table_NFI[[#This Row],[Mosquito net]],Table_NFI[Mosquito net])</f>
        <v>0</v>
      </c>
      <c r="AC357" s="264">
        <f>IF(NFI_Expiration=1,IF($A357&lt;VLOOKUP(L$5,NFI,5,0),1,0)*Table_NFI[[#This Row],[Tarpaulin]],Table_NFI[[#This Row],[Tarpaulin]])</f>
        <v>0</v>
      </c>
      <c r="AD357" s="264">
        <f>IF(NFI_Expiration=1,IF($A357&lt;VLOOKUP(M$5,NFI,5,0),1,0)*Table_NFI[[#This Row],[Blanket]],Table_NFI[[#This Row],[Blanket]])</f>
        <v>0</v>
      </c>
      <c r="AE357" s="264">
        <f>IF(NFI_Expiration=1,IF($A357&lt;VLOOKUP(N$5,NFI,5,0),1,0)*Table_NFI[[#This Row],[Kitchen Set]],Table_NFI[Kitchen Set])</f>
        <v>0</v>
      </c>
      <c r="AF357" s="264">
        <f>IF(NFI_Expiration=1,IF($A357&lt;VLOOKUP(O$5,NFI,5,0),1,0)*Table_NFI[[#This Row],[Clothes Kit]],Table_NFI[Clothes Kit])</f>
        <v>0</v>
      </c>
      <c r="AG357" s="264">
        <f>IF(NFI_Expiration=1,IF($A357&lt;VLOOKUP(P$5,NFI,5,0),1,0)*Table_NFI[[#This Row],[Plastic Bucket]],Table_NFI[Plastic Bucket])</f>
        <v>0</v>
      </c>
      <c r="AH357" s="264">
        <f>IF(NFI_Expiration=1,IF($A357&lt;VLOOKUP(Q$5,NFI,5,0),1,0)*Table_NFI[[#This Row],[Plastic Mat]],Table_NFI[Plastic Mat])*IF(Table_NFI[[#This Row],[Distribution Date]]&gt;"2014-04-01",1,2.5)</f>
        <v>0</v>
      </c>
      <c r="AI357" s="264">
        <f>IF(NFI_Expiration=1,IF($A357&lt;VLOOKUP(R$5,NFI,5,0),1,0)*Table_NFI[[#This Row],[Winter Clothes Adult]],Table_NFI[Winter Clothes Adult])</f>
        <v>0</v>
      </c>
      <c r="AJ357" s="264">
        <f>IF(NFI_Expiration=1,IF($A357&lt;VLOOKUP(S$5,NFI,5,0),1,0)*Table_NFI[[#This Row],[Winter Clothes Children]],Table_NFI[Winter Clothes Children])</f>
        <v>0</v>
      </c>
      <c r="AK357" s="264">
        <f>IF(NFI_Expiration=1,IF($A357&lt;VLOOKUP(T$5,NFI,5,0),1,0)*Table_NFI[[#This Row],[Winter Items Other]],Table_NFI[Winter Items Other])</f>
        <v>0</v>
      </c>
      <c r="AL357" s="264">
        <f>IF(NFI_Expiration=1,IF($A357&lt;VLOOKUP(M$5,NFI,5,0),1,0)*Table_NFI[[#This Row],[Winter Blanket]],Table_NFI[[#This Row],[Winter Blanket]])</f>
        <v>0</v>
      </c>
      <c r="AM357" s="264">
        <f>IF(Table_NFI[[#This Row],[Winter Clothes Adult]]+Table_NFI[[#This Row],[Winter Clothes Children]]+Table_NFI[[#This Row],[Winter Items Other]]+Table_NFI[[#This Row],[Winter Blanket]]&gt;0,1,0)</f>
        <v>0</v>
      </c>
      <c r="AN357" s="296">
        <f>IF(NFI_Expiration=1,IF($A357&lt;VLOOKUP(V$5,NFI,5,0),1,0)*Table_NFI[[#This Row],[Jerry Can]],Table_NFI[Jerry Can])</f>
        <v>0</v>
      </c>
      <c r="AO357" s="296">
        <f>IF(NFI_Expiration=1,IF($A357&lt;VLOOKUP(V$5,NFI,5,0),1,0)*Table_NFI[[#This Row],[Shelter Tool kit]],Table_NFI[Shelter Tool kit])</f>
        <v>0</v>
      </c>
      <c r="AP357" s="296">
        <f>IF(NFI_Expiration=1,IF($A357&lt;VLOOKUP(V$5,NFI,5,0),1,0)*Table_NFI[[#This Row],[Tent]],Table_NFI[Tent])</f>
        <v>0</v>
      </c>
      <c r="AQ357" s="396" t="str">
        <f>IFERROR(VLOOKUP(Table_NFI[[#This Row],[Camp Name]],CL,2,0),"")</f>
        <v>MMR001CMP181</v>
      </c>
      <c r="AR357" s="702">
        <f ca="1">IF(Table_NFI[[#This Row],[Pcode]]="","",IF(OFFSET(CampList[Opening Date],MATCH(Table_NFI[[#This Row],[Pcode]],CampList[CP_Pcode],0)-1,0,1,1)&gt;=NFI_Monitor_Date,1,0))</f>
        <v>0</v>
      </c>
      <c r="AS357" s="396" t="str">
        <f>IFERROR(VLOOKUP(Table_NFI[[#This Row],[Camp Name]],CL,3,0),"")</f>
        <v>Open</v>
      </c>
      <c r="AT357" s="264" t="str">
        <f ca="1">IF(Table_NFI[[#This Row],[Pcode]]="","",OFFSET(CampList[Priority],MATCH(Table_NFI[[#This Row],[Pcode]],CampList[CP_Pcode],0)-1,0,1,1))</f>
        <v>P4</v>
      </c>
      <c r="AU357" s="263">
        <f>IFERROR(Table_NFI[[#This Row],[Kitchen Set]]/VLOOKUP(Table_NFI[[#This Row],[Camp Name]],CL,4,0),"")</f>
        <v>0</v>
      </c>
      <c r="AV357" s="394"/>
      <c r="AW357" s="397"/>
      <c r="AX357" s="399"/>
      <c r="AY357" s="399"/>
      <c r="AZ357" s="399"/>
      <c r="BA357" s="399"/>
      <c r="BB357" s="399"/>
      <c r="BC357" s="399"/>
      <c r="BD357" s="399"/>
      <c r="BE357" s="399"/>
      <c r="BF357" s="399"/>
      <c r="BG357" s="399"/>
      <c r="BH357" s="399"/>
      <c r="BI357" s="399"/>
      <c r="BJ357" s="399"/>
      <c r="BK357" s="399"/>
      <c r="BL357" s="399"/>
      <c r="BM357" s="399"/>
      <c r="BN357" s="399"/>
      <c r="BO357" s="399"/>
      <c r="BP357" s="399"/>
      <c r="BQ357" s="399"/>
      <c r="BR357" s="399"/>
      <c r="BS357" s="399"/>
      <c r="BT357" s="399"/>
      <c r="BU357" s="399"/>
      <c r="BV357" s="399"/>
      <c r="BW357" s="399"/>
      <c r="BX357" s="399"/>
      <c r="BY357" s="399"/>
      <c r="BZ357" s="399"/>
      <c r="CA357" s="399"/>
      <c r="CB357" s="399"/>
      <c r="CC357" s="399"/>
      <c r="CD357" s="399"/>
      <c r="CE357" s="399"/>
      <c r="CF357" s="399"/>
      <c r="CG357" s="399"/>
      <c r="CH357" s="399"/>
      <c r="CI357" s="399"/>
      <c r="CJ357" s="399"/>
      <c r="CK357" s="399"/>
      <c r="CL357" s="399"/>
      <c r="CM357" s="399"/>
      <c r="CN357" s="399"/>
      <c r="CO357" s="399"/>
      <c r="CP357" s="399"/>
      <c r="CQ357" s="399"/>
      <c r="CR357" s="399"/>
      <c r="CS357" s="399"/>
      <c r="CT357" s="399"/>
      <c r="CU357" s="399"/>
      <c r="CV357" s="399"/>
      <c r="CW357" s="399"/>
      <c r="CX357" s="399"/>
      <c r="CY357" s="399"/>
      <c r="CZ357" s="399"/>
      <c r="DA357" s="399"/>
      <c r="DB357" s="399"/>
      <c r="DC357" s="399"/>
      <c r="DD357" s="399"/>
      <c r="DE357" s="399"/>
      <c r="DF357" s="399"/>
      <c r="DG357" s="399"/>
      <c r="DH357" s="399"/>
      <c r="DI357" s="399"/>
      <c r="DJ357" s="399"/>
      <c r="DK357" s="399"/>
      <c r="DL357" s="399"/>
      <c r="DM357" s="399"/>
      <c r="DN357" s="399"/>
      <c r="DO357" s="399"/>
      <c r="DP357" s="399"/>
      <c r="DQ357" s="399"/>
    </row>
    <row r="358" spans="1:121" s="760" customFormat="1" ht="15" customHeight="1" x14ac:dyDescent="0.25">
      <c r="A358" s="266">
        <f t="shared" si="5"/>
        <v>31.433333333333334</v>
      </c>
      <c r="B358" s="389">
        <v>41913</v>
      </c>
      <c r="C358" s="390" t="s">
        <v>451</v>
      </c>
      <c r="D358" s="394" t="s">
        <v>504</v>
      </c>
      <c r="E358" s="394" t="s">
        <v>380</v>
      </c>
      <c r="F358" s="394" t="s">
        <v>526</v>
      </c>
      <c r="G358" s="394" t="s">
        <v>92</v>
      </c>
      <c r="H358" s="261"/>
      <c r="I358" s="261"/>
      <c r="J358" s="261"/>
      <c r="K358" s="261">
        <v>16</v>
      </c>
      <c r="L358" s="261"/>
      <c r="M358" s="261"/>
      <c r="N358" s="261"/>
      <c r="O358" s="261"/>
      <c r="P358" s="261"/>
      <c r="Q358" s="261"/>
      <c r="R358" s="261"/>
      <c r="S358" s="261"/>
      <c r="T358" s="261"/>
      <c r="U358" s="261"/>
      <c r="V358" s="762"/>
      <c r="W358" s="762"/>
      <c r="X358" s="762"/>
      <c r="Y358" s="264">
        <f>IF(NFI_Expiration=1,IF($A358&lt;VLOOKUP(H$5,NFI,5,0),1,0)*Table_NFI[[#This Row],[Hygiene Kit]],Table_NFI[Hygiene Kit])</f>
        <v>0</v>
      </c>
      <c r="Z358" s="264">
        <f>IF(NFI_Expiration=1,IF($A358&lt;VLOOKUP(I$5,NFI,5,0),1,0)*Table_NFI[[#This Row],[NFI Core Kit]],Table_NFI[NFI Core Kit])</f>
        <v>0</v>
      </c>
      <c r="AA358" s="264">
        <f>IF(NFI_Expiration=1,IF($A358&lt;VLOOKUP(J$5,NFI,5,0),1,0)*Table_NFI[[#This Row],[Sanitary Kit]],Table_NFI[Sanitary Kit])</f>
        <v>0</v>
      </c>
      <c r="AB358" s="264">
        <f>IF(NFI_Expiration=1,IF($A358&lt;VLOOKUP(K$5,NFI,5,0),1,0)*Table_NFI[[#This Row],[Mosquito net]],Table_NFI[Mosquito net])</f>
        <v>0</v>
      </c>
      <c r="AC358" s="264">
        <f>IF(NFI_Expiration=1,IF($A358&lt;VLOOKUP(L$5,NFI,5,0),1,0)*Table_NFI[[#This Row],[Tarpaulin]],Table_NFI[[#This Row],[Tarpaulin]])</f>
        <v>0</v>
      </c>
      <c r="AD358" s="264">
        <f>IF(NFI_Expiration=1,IF($A358&lt;VLOOKUP(M$5,NFI,5,0),1,0)*Table_NFI[[#This Row],[Blanket]],Table_NFI[[#This Row],[Blanket]])</f>
        <v>0</v>
      </c>
      <c r="AE358" s="264">
        <f>IF(NFI_Expiration=1,IF($A358&lt;VLOOKUP(N$5,NFI,5,0),1,0)*Table_NFI[[#This Row],[Kitchen Set]],Table_NFI[Kitchen Set])</f>
        <v>0</v>
      </c>
      <c r="AF358" s="264">
        <f>IF(NFI_Expiration=1,IF($A358&lt;VLOOKUP(O$5,NFI,5,0),1,0)*Table_NFI[[#This Row],[Clothes Kit]],Table_NFI[Clothes Kit])</f>
        <v>0</v>
      </c>
      <c r="AG358" s="264">
        <f>IF(NFI_Expiration=1,IF($A358&lt;VLOOKUP(P$5,NFI,5,0),1,0)*Table_NFI[[#This Row],[Plastic Bucket]],Table_NFI[Plastic Bucket])</f>
        <v>0</v>
      </c>
      <c r="AH358" s="264">
        <f>IF(NFI_Expiration=1,IF($A358&lt;VLOOKUP(Q$5,NFI,5,0),1,0)*Table_NFI[[#This Row],[Plastic Mat]],Table_NFI[Plastic Mat])*IF(Table_NFI[[#This Row],[Distribution Date]]&gt;"2014-04-01",1,2.5)</f>
        <v>0</v>
      </c>
      <c r="AI358" s="264">
        <f>IF(NFI_Expiration=1,IF($A358&lt;VLOOKUP(R$5,NFI,5,0),1,0)*Table_NFI[[#This Row],[Winter Clothes Adult]],Table_NFI[Winter Clothes Adult])</f>
        <v>0</v>
      </c>
      <c r="AJ358" s="264">
        <f>IF(NFI_Expiration=1,IF($A358&lt;VLOOKUP(S$5,NFI,5,0),1,0)*Table_NFI[[#This Row],[Winter Clothes Children]],Table_NFI[Winter Clothes Children])</f>
        <v>0</v>
      </c>
      <c r="AK358" s="264">
        <f>IF(NFI_Expiration=1,IF($A358&lt;VLOOKUP(T$5,NFI,5,0),1,0)*Table_NFI[[#This Row],[Winter Items Other]],Table_NFI[Winter Items Other])</f>
        <v>0</v>
      </c>
      <c r="AL358" s="264">
        <f>IF(NFI_Expiration=1,IF($A358&lt;VLOOKUP(M$5,NFI,5,0),1,0)*Table_NFI[[#This Row],[Winter Blanket]],Table_NFI[[#This Row],[Winter Blanket]])</f>
        <v>0</v>
      </c>
      <c r="AM358" s="264">
        <f>IF(Table_NFI[[#This Row],[Winter Clothes Adult]]+Table_NFI[[#This Row],[Winter Clothes Children]]+Table_NFI[[#This Row],[Winter Items Other]]+Table_NFI[[#This Row],[Winter Blanket]]&gt;0,1,0)</f>
        <v>0</v>
      </c>
      <c r="AN358" s="296">
        <f>IF(NFI_Expiration=1,IF($A358&lt;VLOOKUP(V$5,NFI,5,0),1,0)*Table_NFI[[#This Row],[Jerry Can]],Table_NFI[Jerry Can])</f>
        <v>0</v>
      </c>
      <c r="AO358" s="296">
        <f>IF(NFI_Expiration=1,IF($A358&lt;VLOOKUP(V$5,NFI,5,0),1,0)*Table_NFI[[#This Row],[Shelter Tool kit]],Table_NFI[Shelter Tool kit])</f>
        <v>0</v>
      </c>
      <c r="AP358" s="296">
        <f>IF(NFI_Expiration=1,IF($A358&lt;VLOOKUP(V$5,NFI,5,0),1,0)*Table_NFI[[#This Row],[Tent]],Table_NFI[Tent])</f>
        <v>0</v>
      </c>
      <c r="AQ358" s="396" t="str">
        <f>IFERROR(VLOOKUP(Table_NFI[[#This Row],[Camp Name]],CL,2,0),"")</f>
        <v>MMR001CMP167</v>
      </c>
      <c r="AR358" s="702">
        <f ca="1">IF(Table_NFI[[#This Row],[Pcode]]="","",IF(OFFSET(CampList[Opening Date],MATCH(Table_NFI[[#This Row],[Pcode]],CampList[CP_Pcode],0)-1,0,1,1)&gt;=NFI_Monitor_Date,1,0))</f>
        <v>0</v>
      </c>
      <c r="AS358" s="396" t="str">
        <f>IFERROR(VLOOKUP(Table_NFI[[#This Row],[Camp Name]],CL,3,0),"")</f>
        <v>Open</v>
      </c>
      <c r="AT358" s="264" t="str">
        <f ca="1">IF(Table_NFI[[#This Row],[Pcode]]="","",OFFSET(CampList[Priority],MATCH(Table_NFI[[#This Row],[Pcode]],CampList[CP_Pcode],0)-1,0,1,1))</f>
        <v>P4</v>
      </c>
      <c r="AU358" s="263">
        <f>IFERROR(Table_NFI[[#This Row],[Kitchen Set]]/VLOOKUP(Table_NFI[[#This Row],[Camp Name]],CL,4,0),"")</f>
        <v>0</v>
      </c>
      <c r="AV358" s="394"/>
      <c r="AW358" s="397"/>
      <c r="AX358" s="399"/>
      <c r="AY358" s="399"/>
      <c r="AZ358" s="399"/>
      <c r="BA358" s="399"/>
      <c r="BB358" s="399"/>
      <c r="BC358" s="399"/>
      <c r="BD358" s="399"/>
      <c r="BE358" s="399"/>
      <c r="BF358" s="399"/>
      <c r="BG358" s="399"/>
      <c r="BH358" s="399"/>
      <c r="BI358" s="399"/>
      <c r="BJ358" s="399"/>
      <c r="BK358" s="399"/>
      <c r="BL358" s="399"/>
      <c r="BM358" s="399"/>
      <c r="BN358" s="399"/>
      <c r="BO358" s="399"/>
      <c r="BP358" s="399"/>
      <c r="BQ358" s="399"/>
      <c r="BR358" s="399"/>
      <c r="BS358" s="399"/>
      <c r="BT358" s="399"/>
      <c r="BU358" s="399"/>
      <c r="BV358" s="399"/>
      <c r="BW358" s="399"/>
      <c r="BX358" s="399"/>
      <c r="BY358" s="399"/>
      <c r="BZ358" s="399"/>
      <c r="CA358" s="399"/>
      <c r="CB358" s="399"/>
      <c r="CC358" s="399"/>
      <c r="CD358" s="399"/>
      <c r="CE358" s="399"/>
      <c r="CF358" s="399"/>
      <c r="CG358" s="399"/>
      <c r="CH358" s="399"/>
      <c r="CI358" s="399"/>
      <c r="CJ358" s="399"/>
      <c r="CK358" s="399"/>
      <c r="CL358" s="399"/>
      <c r="CM358" s="399"/>
      <c r="CN358" s="399"/>
      <c r="CO358" s="399"/>
      <c r="CP358" s="399"/>
      <c r="CQ358" s="399"/>
      <c r="CR358" s="399"/>
      <c r="CS358" s="399"/>
      <c r="CT358" s="399"/>
      <c r="CU358" s="399"/>
      <c r="CV358" s="399"/>
      <c r="CW358" s="399"/>
      <c r="CX358" s="399"/>
      <c r="CY358" s="399"/>
      <c r="CZ358" s="399"/>
      <c r="DA358" s="399"/>
      <c r="DB358" s="399"/>
      <c r="DC358" s="399"/>
      <c r="DD358" s="399"/>
      <c r="DE358" s="399"/>
      <c r="DF358" s="399"/>
      <c r="DG358" s="399"/>
      <c r="DH358" s="399"/>
      <c r="DI358" s="399"/>
      <c r="DJ358" s="399"/>
      <c r="DK358" s="399"/>
      <c r="DL358" s="399"/>
      <c r="DM358" s="399"/>
      <c r="DN358" s="399"/>
      <c r="DO358" s="399"/>
      <c r="DP358" s="399"/>
      <c r="DQ358" s="399"/>
    </row>
    <row r="359" spans="1:121" s="393" customFormat="1" ht="15" customHeight="1" x14ac:dyDescent="0.25">
      <c r="A359" s="266">
        <f t="shared" si="5"/>
        <v>31.433333333333334</v>
      </c>
      <c r="B359" s="389">
        <v>41913</v>
      </c>
      <c r="C359" s="390" t="s">
        <v>451</v>
      </c>
      <c r="D359" s="394" t="s">
        <v>505</v>
      </c>
      <c r="E359" s="394" t="s">
        <v>380</v>
      </c>
      <c r="F359" s="394" t="s">
        <v>310</v>
      </c>
      <c r="G359" s="394" t="s">
        <v>322</v>
      </c>
      <c r="H359" s="261"/>
      <c r="I359" s="261"/>
      <c r="J359" s="261"/>
      <c r="K359" s="261">
        <v>1248</v>
      </c>
      <c r="L359" s="261"/>
      <c r="M359" s="261"/>
      <c r="N359" s="261"/>
      <c r="O359" s="261"/>
      <c r="P359" s="261"/>
      <c r="Q359" s="261"/>
      <c r="R359" s="261"/>
      <c r="S359" s="261"/>
      <c r="T359" s="261"/>
      <c r="U359" s="261">
        <v>1248</v>
      </c>
      <c r="V359" s="762"/>
      <c r="W359" s="762"/>
      <c r="X359" s="762"/>
      <c r="Y359" s="264">
        <f>IF(NFI_Expiration=1,IF($A359&lt;VLOOKUP(H$5,NFI,5,0),1,0)*Table_NFI[[#This Row],[Hygiene Kit]],Table_NFI[Hygiene Kit])</f>
        <v>0</v>
      </c>
      <c r="Z359" s="264">
        <f>IF(NFI_Expiration=1,IF($A359&lt;VLOOKUP(I$5,NFI,5,0),1,0)*Table_NFI[[#This Row],[NFI Core Kit]],Table_NFI[NFI Core Kit])</f>
        <v>0</v>
      </c>
      <c r="AA359" s="264">
        <f>IF(NFI_Expiration=1,IF($A359&lt;VLOOKUP(J$5,NFI,5,0),1,0)*Table_NFI[[#This Row],[Sanitary Kit]],Table_NFI[Sanitary Kit])</f>
        <v>0</v>
      </c>
      <c r="AB359" s="264">
        <f>IF(NFI_Expiration=1,IF($A359&lt;VLOOKUP(K$5,NFI,5,0),1,0)*Table_NFI[[#This Row],[Mosquito net]],Table_NFI[Mosquito net])</f>
        <v>0</v>
      </c>
      <c r="AC359" s="264">
        <f>IF(NFI_Expiration=1,IF($A359&lt;VLOOKUP(L$5,NFI,5,0),1,0)*Table_NFI[[#This Row],[Tarpaulin]],Table_NFI[[#This Row],[Tarpaulin]])</f>
        <v>0</v>
      </c>
      <c r="AD359" s="264">
        <f>IF(NFI_Expiration=1,IF($A359&lt;VLOOKUP(M$5,NFI,5,0),1,0)*Table_NFI[[#This Row],[Blanket]],Table_NFI[[#This Row],[Blanket]])</f>
        <v>0</v>
      </c>
      <c r="AE359" s="264">
        <f>IF(NFI_Expiration=1,IF($A359&lt;VLOOKUP(N$5,NFI,5,0),1,0)*Table_NFI[[#This Row],[Kitchen Set]],Table_NFI[Kitchen Set])</f>
        <v>0</v>
      </c>
      <c r="AF359" s="264">
        <f>IF(NFI_Expiration=1,IF($A359&lt;VLOOKUP(O$5,NFI,5,0),1,0)*Table_NFI[[#This Row],[Clothes Kit]],Table_NFI[Clothes Kit])</f>
        <v>0</v>
      </c>
      <c r="AG359" s="264">
        <f>IF(NFI_Expiration=1,IF($A359&lt;VLOOKUP(P$5,NFI,5,0),1,0)*Table_NFI[[#This Row],[Plastic Bucket]],Table_NFI[Plastic Bucket])</f>
        <v>0</v>
      </c>
      <c r="AH359" s="264">
        <f>IF(NFI_Expiration=1,IF($A359&lt;VLOOKUP(Q$5,NFI,5,0),1,0)*Table_NFI[[#This Row],[Plastic Mat]],Table_NFI[Plastic Mat])*IF(Table_NFI[[#This Row],[Distribution Date]]&gt;"2014-04-01",1,2.5)</f>
        <v>0</v>
      </c>
      <c r="AI359" s="264">
        <f>IF(NFI_Expiration=1,IF($A359&lt;VLOOKUP(R$5,NFI,5,0),1,0)*Table_NFI[[#This Row],[Winter Clothes Adult]],Table_NFI[Winter Clothes Adult])</f>
        <v>0</v>
      </c>
      <c r="AJ359" s="264">
        <f>IF(NFI_Expiration=1,IF($A359&lt;VLOOKUP(S$5,NFI,5,0),1,0)*Table_NFI[[#This Row],[Winter Clothes Children]],Table_NFI[Winter Clothes Children])</f>
        <v>0</v>
      </c>
      <c r="AK359" s="264">
        <f>IF(NFI_Expiration=1,IF($A359&lt;VLOOKUP(T$5,NFI,5,0),1,0)*Table_NFI[[#This Row],[Winter Items Other]],Table_NFI[Winter Items Other])</f>
        <v>0</v>
      </c>
      <c r="AL359" s="264">
        <f>IF(NFI_Expiration=1,IF($A359&lt;VLOOKUP(M$5,NFI,5,0),1,0)*Table_NFI[[#This Row],[Winter Blanket]],Table_NFI[[#This Row],[Winter Blanket]])</f>
        <v>0</v>
      </c>
      <c r="AM359" s="264">
        <f>IF(Table_NFI[[#This Row],[Winter Clothes Adult]]+Table_NFI[[#This Row],[Winter Clothes Children]]+Table_NFI[[#This Row],[Winter Items Other]]+Table_NFI[[#This Row],[Winter Blanket]]&gt;0,1,0)</f>
        <v>1</v>
      </c>
      <c r="AN359" s="296">
        <f>IF(NFI_Expiration=1,IF($A359&lt;VLOOKUP(V$5,NFI,5,0),1,0)*Table_NFI[[#This Row],[Jerry Can]],Table_NFI[Jerry Can])</f>
        <v>0</v>
      </c>
      <c r="AO359" s="296">
        <f>IF(NFI_Expiration=1,IF($A359&lt;VLOOKUP(V$5,NFI,5,0),1,0)*Table_NFI[[#This Row],[Shelter Tool kit]],Table_NFI[Shelter Tool kit])</f>
        <v>0</v>
      </c>
      <c r="AP359" s="296">
        <f>IF(NFI_Expiration=1,IF($A359&lt;VLOOKUP(V$5,NFI,5,0),1,0)*Table_NFI[[#This Row],[Tent]],Table_NFI[Tent])</f>
        <v>0</v>
      </c>
      <c r="AQ359" s="396" t="str">
        <f>IFERROR(VLOOKUP(Table_NFI[[#This Row],[Camp Name]],CL,2,0),"")</f>
        <v>MMR001CMP119</v>
      </c>
      <c r="AR359" s="702">
        <f ca="1">IF(Table_NFI[[#This Row],[Pcode]]="","",IF(OFFSET(CampList[Opening Date],MATCH(Table_NFI[[#This Row],[Pcode]],CampList[CP_Pcode],0)-1,0,1,1)&gt;=NFI_Monitor_Date,1,0))</f>
        <v>0</v>
      </c>
      <c r="AS359" s="396" t="str">
        <f>IFERROR(VLOOKUP(Table_NFI[[#This Row],[Camp Name]],CL,3,0),"")</f>
        <v>Open</v>
      </c>
      <c r="AT359" s="264" t="str">
        <f ca="1">IF(Table_NFI[[#This Row],[Pcode]]="","",OFFSET(CampList[Priority],MATCH(Table_NFI[[#This Row],[Pcode]],CampList[CP_Pcode],0)-1,0,1,1))</f>
        <v>P2</v>
      </c>
      <c r="AU359" s="263">
        <f>IFERROR(Table_NFI[[#This Row],[Kitchen Set]]/VLOOKUP(Table_NFI[[#This Row],[Camp Name]],CL,4,0),"")</f>
        <v>0</v>
      </c>
      <c r="AV359" s="394"/>
      <c r="AW359" s="397"/>
      <c r="AX359" s="399"/>
      <c r="AY359" s="399"/>
      <c r="AZ359" s="399"/>
      <c r="BA359" s="399"/>
      <c r="BB359" s="399"/>
      <c r="BC359" s="399"/>
      <c r="BD359" s="399"/>
      <c r="BE359" s="399"/>
      <c r="BF359" s="399"/>
      <c r="BG359" s="399"/>
      <c r="BH359" s="399"/>
      <c r="BI359" s="399"/>
      <c r="BJ359" s="399"/>
      <c r="BK359" s="399"/>
      <c r="BL359" s="399"/>
      <c r="BM359" s="399"/>
      <c r="BN359" s="399"/>
      <c r="BO359" s="399"/>
      <c r="BP359" s="399"/>
      <c r="BQ359" s="399"/>
      <c r="BR359" s="399"/>
      <c r="BS359" s="399"/>
      <c r="BT359" s="399"/>
      <c r="BU359" s="399"/>
      <c r="BV359" s="399"/>
      <c r="BW359" s="399"/>
      <c r="BX359" s="399"/>
      <c r="BY359" s="399"/>
      <c r="BZ359" s="399"/>
      <c r="CA359" s="399"/>
      <c r="CB359" s="399"/>
      <c r="CC359" s="399"/>
      <c r="CD359" s="399"/>
      <c r="CE359" s="399"/>
      <c r="CF359" s="399"/>
      <c r="CG359" s="399"/>
      <c r="CH359" s="399"/>
      <c r="CI359" s="399"/>
      <c r="CJ359" s="399"/>
      <c r="CK359" s="399"/>
      <c r="CL359" s="399"/>
      <c r="CM359" s="399"/>
      <c r="CN359" s="399"/>
      <c r="CO359" s="399"/>
      <c r="CP359" s="399"/>
      <c r="CQ359" s="399"/>
      <c r="CR359" s="399"/>
      <c r="CS359" s="399"/>
      <c r="CT359" s="399"/>
      <c r="CU359" s="399"/>
      <c r="CV359" s="399"/>
      <c r="CW359" s="399"/>
      <c r="CX359" s="399"/>
      <c r="CY359" s="399"/>
      <c r="CZ359" s="399"/>
      <c r="DA359" s="399"/>
      <c r="DB359" s="399"/>
      <c r="DC359" s="399"/>
      <c r="DD359" s="399"/>
      <c r="DE359" s="399"/>
      <c r="DF359" s="399"/>
      <c r="DG359" s="399"/>
      <c r="DH359" s="399"/>
      <c r="DI359" s="399"/>
      <c r="DJ359" s="399"/>
      <c r="DK359" s="399"/>
      <c r="DL359" s="399"/>
      <c r="DM359" s="399"/>
      <c r="DN359" s="399"/>
      <c r="DO359" s="399"/>
      <c r="DP359" s="399"/>
      <c r="DQ359" s="399"/>
    </row>
    <row r="360" spans="1:121" s="760" customFormat="1" ht="15" customHeight="1" x14ac:dyDescent="0.25">
      <c r="A360" s="266">
        <f t="shared" si="5"/>
        <v>31.433333333333334</v>
      </c>
      <c r="B360" s="389">
        <v>41913</v>
      </c>
      <c r="C360" s="390" t="s">
        <v>451</v>
      </c>
      <c r="D360" s="394" t="s">
        <v>504</v>
      </c>
      <c r="E360" s="394" t="s">
        <v>380</v>
      </c>
      <c r="F360" s="394" t="s">
        <v>310</v>
      </c>
      <c r="G360" s="394" t="s">
        <v>328</v>
      </c>
      <c r="H360" s="261"/>
      <c r="I360" s="261"/>
      <c r="J360" s="261"/>
      <c r="K360" s="261">
        <v>286</v>
      </c>
      <c r="L360" s="261"/>
      <c r="M360" s="261"/>
      <c r="N360" s="261"/>
      <c r="O360" s="261"/>
      <c r="P360" s="261"/>
      <c r="Q360" s="261"/>
      <c r="R360" s="261"/>
      <c r="S360" s="261"/>
      <c r="T360" s="261"/>
      <c r="U360" s="261"/>
      <c r="V360" s="762"/>
      <c r="W360" s="762"/>
      <c r="X360" s="762"/>
      <c r="Y360" s="264">
        <f>IF(NFI_Expiration=1,IF($A360&lt;VLOOKUP(H$5,NFI,5,0),1,0)*Table_NFI[[#This Row],[Hygiene Kit]],Table_NFI[Hygiene Kit])</f>
        <v>0</v>
      </c>
      <c r="Z360" s="264">
        <f>IF(NFI_Expiration=1,IF($A360&lt;VLOOKUP(I$5,NFI,5,0),1,0)*Table_NFI[[#This Row],[NFI Core Kit]],Table_NFI[NFI Core Kit])</f>
        <v>0</v>
      </c>
      <c r="AA360" s="264">
        <f>IF(NFI_Expiration=1,IF($A360&lt;VLOOKUP(J$5,NFI,5,0),1,0)*Table_NFI[[#This Row],[Sanitary Kit]],Table_NFI[Sanitary Kit])</f>
        <v>0</v>
      </c>
      <c r="AB360" s="264">
        <f>IF(NFI_Expiration=1,IF($A360&lt;VLOOKUP(K$5,NFI,5,0),1,0)*Table_NFI[[#This Row],[Mosquito net]],Table_NFI[Mosquito net])</f>
        <v>0</v>
      </c>
      <c r="AC360" s="264">
        <f>IF(NFI_Expiration=1,IF($A360&lt;VLOOKUP(L$5,NFI,5,0),1,0)*Table_NFI[[#This Row],[Tarpaulin]],Table_NFI[[#This Row],[Tarpaulin]])</f>
        <v>0</v>
      </c>
      <c r="AD360" s="264">
        <f>IF(NFI_Expiration=1,IF($A360&lt;VLOOKUP(M$5,NFI,5,0),1,0)*Table_NFI[[#This Row],[Blanket]],Table_NFI[[#This Row],[Blanket]])</f>
        <v>0</v>
      </c>
      <c r="AE360" s="264">
        <f>IF(NFI_Expiration=1,IF($A360&lt;VLOOKUP(N$5,NFI,5,0),1,0)*Table_NFI[[#This Row],[Kitchen Set]],Table_NFI[Kitchen Set])</f>
        <v>0</v>
      </c>
      <c r="AF360" s="264">
        <f>IF(NFI_Expiration=1,IF($A360&lt;VLOOKUP(O$5,NFI,5,0),1,0)*Table_NFI[[#This Row],[Clothes Kit]],Table_NFI[Clothes Kit])</f>
        <v>0</v>
      </c>
      <c r="AG360" s="264">
        <f>IF(NFI_Expiration=1,IF($A360&lt;VLOOKUP(P$5,NFI,5,0),1,0)*Table_NFI[[#This Row],[Plastic Bucket]],Table_NFI[Plastic Bucket])</f>
        <v>0</v>
      </c>
      <c r="AH360" s="264">
        <f>IF(NFI_Expiration=1,IF($A360&lt;VLOOKUP(Q$5,NFI,5,0),1,0)*Table_NFI[[#This Row],[Plastic Mat]],Table_NFI[Plastic Mat])*IF(Table_NFI[[#This Row],[Distribution Date]]&gt;"2014-04-01",1,2.5)</f>
        <v>0</v>
      </c>
      <c r="AI360" s="264">
        <f>IF(NFI_Expiration=1,IF($A360&lt;VLOOKUP(R$5,NFI,5,0),1,0)*Table_NFI[[#This Row],[Winter Clothes Adult]],Table_NFI[Winter Clothes Adult])</f>
        <v>0</v>
      </c>
      <c r="AJ360" s="264">
        <f>IF(NFI_Expiration=1,IF($A360&lt;VLOOKUP(S$5,NFI,5,0),1,0)*Table_NFI[[#This Row],[Winter Clothes Children]],Table_NFI[Winter Clothes Children])</f>
        <v>0</v>
      </c>
      <c r="AK360" s="264">
        <f>IF(NFI_Expiration=1,IF($A360&lt;VLOOKUP(T$5,NFI,5,0),1,0)*Table_NFI[[#This Row],[Winter Items Other]],Table_NFI[Winter Items Other])</f>
        <v>0</v>
      </c>
      <c r="AL360" s="264">
        <f>IF(NFI_Expiration=1,IF($A360&lt;VLOOKUP(M$5,NFI,5,0),1,0)*Table_NFI[[#This Row],[Winter Blanket]],Table_NFI[[#This Row],[Winter Blanket]])</f>
        <v>0</v>
      </c>
      <c r="AM360" s="264">
        <f>IF(Table_NFI[[#This Row],[Winter Clothes Adult]]+Table_NFI[[#This Row],[Winter Clothes Children]]+Table_NFI[[#This Row],[Winter Items Other]]+Table_NFI[[#This Row],[Winter Blanket]]&gt;0,1,0)</f>
        <v>0</v>
      </c>
      <c r="AN360" s="296">
        <f>IF(NFI_Expiration=1,IF($A360&lt;VLOOKUP(V$5,NFI,5,0),1,0)*Table_NFI[[#This Row],[Jerry Can]],Table_NFI[Jerry Can])</f>
        <v>0</v>
      </c>
      <c r="AO360" s="296">
        <f>IF(NFI_Expiration=1,IF($A360&lt;VLOOKUP(V$5,NFI,5,0),1,0)*Table_NFI[[#This Row],[Shelter Tool kit]],Table_NFI[Shelter Tool kit])</f>
        <v>0</v>
      </c>
      <c r="AP360" s="296">
        <f>IF(NFI_Expiration=1,IF($A360&lt;VLOOKUP(V$5,NFI,5,0),1,0)*Table_NFI[[#This Row],[Tent]],Table_NFI[Tent])</f>
        <v>0</v>
      </c>
      <c r="AQ360" s="396" t="str">
        <f>IFERROR(VLOOKUP(Table_NFI[[#This Row],[Camp Name]],CL,2,0),"")</f>
        <v>MMR001CMP031</v>
      </c>
      <c r="AR360" s="702">
        <f ca="1">IF(Table_NFI[[#This Row],[Pcode]]="","",IF(OFFSET(CampList[Opening Date],MATCH(Table_NFI[[#This Row],[Pcode]],CampList[CP_Pcode],0)-1,0,1,1)&gt;=NFI_Monitor_Date,1,0))</f>
        <v>0</v>
      </c>
      <c r="AS360" s="396" t="str">
        <f>IFERROR(VLOOKUP(Table_NFI[[#This Row],[Camp Name]],CL,3,0),"")</f>
        <v>Open</v>
      </c>
      <c r="AT360" s="264" t="str">
        <f ca="1">IF(Table_NFI[[#This Row],[Pcode]]="","",OFFSET(CampList[Priority],MATCH(Table_NFI[[#This Row],[Pcode]],CampList[CP_Pcode],0)-1,0,1,1))</f>
        <v>P4</v>
      </c>
      <c r="AU360" s="263">
        <f>IFERROR(Table_NFI[[#This Row],[Kitchen Set]]/VLOOKUP(Table_NFI[[#This Row],[Camp Name]],CL,4,0),"")</f>
        <v>0</v>
      </c>
      <c r="AV360" s="394"/>
      <c r="AW360" s="397"/>
      <c r="AX360" s="399"/>
      <c r="AY360" s="399"/>
      <c r="AZ360" s="399"/>
      <c r="BA360" s="399"/>
      <c r="BB360" s="399"/>
      <c r="BC360" s="399"/>
      <c r="BD360" s="399"/>
      <c r="BE360" s="399"/>
      <c r="BF360" s="399"/>
      <c r="BG360" s="399"/>
      <c r="BH360" s="399"/>
      <c r="BI360" s="399"/>
      <c r="BJ360" s="399"/>
      <c r="BK360" s="399"/>
      <c r="BL360" s="399"/>
      <c r="BM360" s="399"/>
      <c r="BN360" s="399"/>
      <c r="BO360" s="399"/>
      <c r="BP360" s="399"/>
      <c r="BQ360" s="399"/>
      <c r="BR360" s="399"/>
      <c r="BS360" s="399"/>
      <c r="BT360" s="399"/>
      <c r="BU360" s="399"/>
      <c r="BV360" s="399"/>
      <c r="BW360" s="399"/>
      <c r="BX360" s="399"/>
      <c r="BY360" s="399"/>
      <c r="BZ360" s="399"/>
      <c r="CA360" s="399"/>
      <c r="CB360" s="399"/>
      <c r="CC360" s="399"/>
      <c r="CD360" s="399"/>
      <c r="CE360" s="399"/>
      <c r="CF360" s="399"/>
      <c r="CG360" s="399"/>
      <c r="CH360" s="399"/>
      <c r="CI360" s="399"/>
      <c r="CJ360" s="399"/>
      <c r="CK360" s="399"/>
      <c r="CL360" s="399"/>
      <c r="CM360" s="399"/>
      <c r="CN360" s="399"/>
      <c r="CO360" s="399"/>
      <c r="CP360" s="399"/>
      <c r="CQ360" s="399"/>
      <c r="CR360" s="399"/>
      <c r="CS360" s="399"/>
      <c r="CT360" s="399"/>
      <c r="CU360" s="399"/>
      <c r="CV360" s="399"/>
      <c r="CW360" s="399"/>
      <c r="CX360" s="399"/>
      <c r="CY360" s="399"/>
      <c r="CZ360" s="399"/>
      <c r="DA360" s="399"/>
      <c r="DB360" s="399"/>
      <c r="DC360" s="399"/>
      <c r="DD360" s="399"/>
      <c r="DE360" s="399"/>
      <c r="DF360" s="399"/>
      <c r="DG360" s="399"/>
      <c r="DH360" s="399"/>
      <c r="DI360" s="399"/>
      <c r="DJ360" s="399"/>
      <c r="DK360" s="399"/>
      <c r="DL360" s="399"/>
      <c r="DM360" s="399"/>
      <c r="DN360" s="399"/>
      <c r="DO360" s="399"/>
      <c r="DP360" s="399"/>
      <c r="DQ360" s="399"/>
    </row>
    <row r="361" spans="1:121" s="760" customFormat="1" ht="15" customHeight="1" x14ac:dyDescent="0.25">
      <c r="A361" s="266">
        <f t="shared" si="5"/>
        <v>31.433333333333334</v>
      </c>
      <c r="B361" s="389">
        <v>41913</v>
      </c>
      <c r="C361" s="390" t="s">
        <v>451</v>
      </c>
      <c r="D361" s="394" t="s">
        <v>505</v>
      </c>
      <c r="E361" s="394" t="s">
        <v>380</v>
      </c>
      <c r="F361" s="394" t="s">
        <v>310</v>
      </c>
      <c r="G361" s="394" t="s">
        <v>330</v>
      </c>
      <c r="H361" s="261"/>
      <c r="I361" s="261"/>
      <c r="J361" s="261"/>
      <c r="K361" s="261">
        <v>462</v>
      </c>
      <c r="L361" s="261"/>
      <c r="M361" s="261"/>
      <c r="N361" s="261"/>
      <c r="O361" s="261"/>
      <c r="P361" s="261"/>
      <c r="Q361" s="261"/>
      <c r="R361" s="261"/>
      <c r="S361" s="261"/>
      <c r="T361" s="261"/>
      <c r="U361" s="261"/>
      <c r="V361" s="762"/>
      <c r="W361" s="762"/>
      <c r="X361" s="762"/>
      <c r="Y361" s="264">
        <f>IF(NFI_Expiration=1,IF($A361&lt;VLOOKUP(H$5,NFI,5,0),1,0)*Table_NFI[[#This Row],[Hygiene Kit]],Table_NFI[Hygiene Kit])</f>
        <v>0</v>
      </c>
      <c r="Z361" s="264">
        <f>IF(NFI_Expiration=1,IF($A361&lt;VLOOKUP(I$5,NFI,5,0),1,0)*Table_NFI[[#This Row],[NFI Core Kit]],Table_NFI[NFI Core Kit])</f>
        <v>0</v>
      </c>
      <c r="AA361" s="264">
        <f>IF(NFI_Expiration=1,IF($A361&lt;VLOOKUP(J$5,NFI,5,0),1,0)*Table_NFI[[#This Row],[Sanitary Kit]],Table_NFI[Sanitary Kit])</f>
        <v>0</v>
      </c>
      <c r="AB361" s="264">
        <f>IF(NFI_Expiration=1,IF($A361&lt;VLOOKUP(K$5,NFI,5,0),1,0)*Table_NFI[[#This Row],[Mosquito net]],Table_NFI[Mosquito net])</f>
        <v>0</v>
      </c>
      <c r="AC361" s="264">
        <f>IF(NFI_Expiration=1,IF($A361&lt;VLOOKUP(L$5,NFI,5,0),1,0)*Table_NFI[[#This Row],[Tarpaulin]],Table_NFI[[#This Row],[Tarpaulin]])</f>
        <v>0</v>
      </c>
      <c r="AD361" s="264">
        <f>IF(NFI_Expiration=1,IF($A361&lt;VLOOKUP(M$5,NFI,5,0),1,0)*Table_NFI[[#This Row],[Blanket]],Table_NFI[[#This Row],[Blanket]])</f>
        <v>0</v>
      </c>
      <c r="AE361" s="264">
        <f>IF(NFI_Expiration=1,IF($A361&lt;VLOOKUP(N$5,NFI,5,0),1,0)*Table_NFI[[#This Row],[Kitchen Set]],Table_NFI[Kitchen Set])</f>
        <v>0</v>
      </c>
      <c r="AF361" s="264">
        <f>IF(NFI_Expiration=1,IF($A361&lt;VLOOKUP(O$5,NFI,5,0),1,0)*Table_NFI[[#This Row],[Clothes Kit]],Table_NFI[Clothes Kit])</f>
        <v>0</v>
      </c>
      <c r="AG361" s="264">
        <f>IF(NFI_Expiration=1,IF($A361&lt;VLOOKUP(P$5,NFI,5,0),1,0)*Table_NFI[[#This Row],[Plastic Bucket]],Table_NFI[Plastic Bucket])</f>
        <v>0</v>
      </c>
      <c r="AH361" s="264">
        <f>IF(NFI_Expiration=1,IF($A361&lt;VLOOKUP(Q$5,NFI,5,0),1,0)*Table_NFI[[#This Row],[Plastic Mat]],Table_NFI[Plastic Mat])*IF(Table_NFI[[#This Row],[Distribution Date]]&gt;"2014-04-01",1,2.5)</f>
        <v>0</v>
      </c>
      <c r="AI361" s="264">
        <f>IF(NFI_Expiration=1,IF($A361&lt;VLOOKUP(R$5,NFI,5,0),1,0)*Table_NFI[[#This Row],[Winter Clothes Adult]],Table_NFI[Winter Clothes Adult])</f>
        <v>0</v>
      </c>
      <c r="AJ361" s="264">
        <f>IF(NFI_Expiration=1,IF($A361&lt;VLOOKUP(S$5,NFI,5,0),1,0)*Table_NFI[[#This Row],[Winter Clothes Children]],Table_NFI[Winter Clothes Children])</f>
        <v>0</v>
      </c>
      <c r="AK361" s="264">
        <f>IF(NFI_Expiration=1,IF($A361&lt;VLOOKUP(T$5,NFI,5,0),1,0)*Table_NFI[[#This Row],[Winter Items Other]],Table_NFI[Winter Items Other])</f>
        <v>0</v>
      </c>
      <c r="AL361" s="264">
        <f>IF(NFI_Expiration=1,IF($A361&lt;VLOOKUP(M$5,NFI,5,0),1,0)*Table_NFI[[#This Row],[Winter Blanket]],Table_NFI[[#This Row],[Winter Blanket]])</f>
        <v>0</v>
      </c>
      <c r="AM361" s="264">
        <f>IF(Table_NFI[[#This Row],[Winter Clothes Adult]]+Table_NFI[[#This Row],[Winter Clothes Children]]+Table_NFI[[#This Row],[Winter Items Other]]+Table_NFI[[#This Row],[Winter Blanket]]&gt;0,1,0)</f>
        <v>0</v>
      </c>
      <c r="AN361" s="296">
        <f>IF(NFI_Expiration=1,IF($A361&lt;VLOOKUP(V$5,NFI,5,0),1,0)*Table_NFI[[#This Row],[Jerry Can]],Table_NFI[Jerry Can])</f>
        <v>0</v>
      </c>
      <c r="AO361" s="296">
        <f>IF(NFI_Expiration=1,IF($A361&lt;VLOOKUP(V$5,NFI,5,0),1,0)*Table_NFI[[#This Row],[Shelter Tool kit]],Table_NFI[Shelter Tool kit])</f>
        <v>0</v>
      </c>
      <c r="AP361" s="296">
        <f>IF(NFI_Expiration=1,IF($A361&lt;VLOOKUP(V$5,NFI,5,0),1,0)*Table_NFI[[#This Row],[Tent]],Table_NFI[Tent])</f>
        <v>0</v>
      </c>
      <c r="AQ361" s="396" t="str">
        <f>IFERROR(VLOOKUP(Table_NFI[[#This Row],[Camp Name]],CL,2,0),"")</f>
        <v>MMR001CMP029</v>
      </c>
      <c r="AR361" s="702">
        <f ca="1">IF(Table_NFI[[#This Row],[Pcode]]="","",IF(OFFSET(CampList[Opening Date],MATCH(Table_NFI[[#This Row],[Pcode]],CampList[CP_Pcode],0)-1,0,1,1)&gt;=NFI_Monitor_Date,1,0))</f>
        <v>0</v>
      </c>
      <c r="AS361" s="396" t="str">
        <f>IFERROR(VLOOKUP(Table_NFI[[#This Row],[Camp Name]],CL,3,0),"")</f>
        <v>Open</v>
      </c>
      <c r="AT361" s="264" t="str">
        <f ca="1">IF(Table_NFI[[#This Row],[Pcode]]="","",OFFSET(CampList[Priority],MATCH(Table_NFI[[#This Row],[Pcode]],CampList[CP_Pcode],0)-1,0,1,1))</f>
        <v>P4</v>
      </c>
      <c r="AU361" s="263">
        <f>IFERROR(Table_NFI[[#This Row],[Kitchen Set]]/VLOOKUP(Table_NFI[[#This Row],[Camp Name]],CL,4,0),"")</f>
        <v>0</v>
      </c>
      <c r="AV361" s="394"/>
      <c r="AW361" s="397"/>
      <c r="AX361" s="399"/>
      <c r="AY361" s="399"/>
      <c r="AZ361" s="399"/>
      <c r="BA361" s="399"/>
      <c r="BB361" s="399"/>
      <c r="BC361" s="399"/>
      <c r="BD361" s="399"/>
      <c r="BE361" s="399"/>
      <c r="BF361" s="399"/>
      <c r="BG361" s="399"/>
      <c r="BH361" s="399"/>
      <c r="BI361" s="399"/>
      <c r="BJ361" s="399"/>
      <c r="BK361" s="399"/>
      <c r="BL361" s="399"/>
      <c r="BM361" s="399"/>
      <c r="BN361" s="399"/>
      <c r="BO361" s="399"/>
      <c r="BP361" s="399"/>
      <c r="BQ361" s="399"/>
      <c r="BR361" s="399"/>
      <c r="BS361" s="399"/>
      <c r="BT361" s="399"/>
      <c r="BU361" s="399"/>
      <c r="BV361" s="399"/>
      <c r="BW361" s="399"/>
      <c r="BX361" s="399"/>
      <c r="BY361" s="399"/>
      <c r="BZ361" s="399"/>
      <c r="CA361" s="399"/>
      <c r="CB361" s="399"/>
      <c r="CC361" s="399"/>
      <c r="CD361" s="399"/>
      <c r="CE361" s="399"/>
      <c r="CF361" s="399"/>
      <c r="CG361" s="399"/>
      <c r="CH361" s="399"/>
      <c r="CI361" s="399"/>
      <c r="CJ361" s="399"/>
      <c r="CK361" s="399"/>
      <c r="CL361" s="399"/>
      <c r="CM361" s="399"/>
      <c r="CN361" s="399"/>
      <c r="CO361" s="399"/>
      <c r="CP361" s="399"/>
      <c r="CQ361" s="399"/>
      <c r="CR361" s="399"/>
      <c r="CS361" s="399"/>
      <c r="CT361" s="399"/>
      <c r="CU361" s="399"/>
      <c r="CV361" s="399"/>
      <c r="CW361" s="399"/>
      <c r="CX361" s="399"/>
      <c r="CY361" s="399"/>
      <c r="CZ361" s="399"/>
      <c r="DA361" s="399"/>
      <c r="DB361" s="399"/>
      <c r="DC361" s="399"/>
      <c r="DD361" s="399"/>
      <c r="DE361" s="399"/>
      <c r="DF361" s="399"/>
      <c r="DG361" s="399"/>
      <c r="DH361" s="399"/>
      <c r="DI361" s="399"/>
      <c r="DJ361" s="399"/>
      <c r="DK361" s="399"/>
      <c r="DL361" s="399"/>
      <c r="DM361" s="399"/>
      <c r="DN361" s="399"/>
      <c r="DO361" s="399"/>
      <c r="DP361" s="399"/>
      <c r="DQ361" s="399"/>
    </row>
    <row r="362" spans="1:121" s="760" customFormat="1" ht="15" customHeight="1" x14ac:dyDescent="0.25">
      <c r="A362" s="266">
        <f t="shared" si="5"/>
        <v>31.433333333333334</v>
      </c>
      <c r="B362" s="389">
        <v>41913</v>
      </c>
      <c r="C362" s="390" t="s">
        <v>451</v>
      </c>
      <c r="D362" s="394" t="s">
        <v>504</v>
      </c>
      <c r="E362" s="394" t="s">
        <v>380</v>
      </c>
      <c r="F362" s="394" t="s">
        <v>237</v>
      </c>
      <c r="G362" s="394" t="s">
        <v>263</v>
      </c>
      <c r="H362" s="261"/>
      <c r="I362" s="261"/>
      <c r="J362" s="261"/>
      <c r="K362" s="261">
        <v>52</v>
      </c>
      <c r="L362" s="261"/>
      <c r="M362" s="261"/>
      <c r="N362" s="261"/>
      <c r="O362" s="261"/>
      <c r="P362" s="261"/>
      <c r="Q362" s="261"/>
      <c r="R362" s="261"/>
      <c r="S362" s="261"/>
      <c r="T362" s="261"/>
      <c r="U362" s="261"/>
      <c r="V362" s="762"/>
      <c r="W362" s="762"/>
      <c r="X362" s="762"/>
      <c r="Y362" s="264">
        <f>IF(NFI_Expiration=1,IF($A362&lt;VLOOKUP(H$5,NFI,5,0),1,0)*Table_NFI[[#This Row],[Hygiene Kit]],Table_NFI[Hygiene Kit])</f>
        <v>0</v>
      </c>
      <c r="Z362" s="264">
        <f>IF(NFI_Expiration=1,IF($A362&lt;VLOOKUP(I$5,NFI,5,0),1,0)*Table_NFI[[#This Row],[NFI Core Kit]],Table_NFI[NFI Core Kit])</f>
        <v>0</v>
      </c>
      <c r="AA362" s="264">
        <f>IF(NFI_Expiration=1,IF($A362&lt;VLOOKUP(J$5,NFI,5,0),1,0)*Table_NFI[[#This Row],[Sanitary Kit]],Table_NFI[Sanitary Kit])</f>
        <v>0</v>
      </c>
      <c r="AB362" s="264">
        <f>IF(NFI_Expiration=1,IF($A362&lt;VLOOKUP(K$5,NFI,5,0),1,0)*Table_NFI[[#This Row],[Mosquito net]],Table_NFI[Mosquito net])</f>
        <v>0</v>
      </c>
      <c r="AC362" s="264">
        <f>IF(NFI_Expiration=1,IF($A362&lt;VLOOKUP(L$5,NFI,5,0),1,0)*Table_NFI[[#This Row],[Tarpaulin]],Table_NFI[[#This Row],[Tarpaulin]])</f>
        <v>0</v>
      </c>
      <c r="AD362" s="264">
        <f>IF(NFI_Expiration=1,IF($A362&lt;VLOOKUP(M$5,NFI,5,0),1,0)*Table_NFI[[#This Row],[Blanket]],Table_NFI[[#This Row],[Blanket]])</f>
        <v>0</v>
      </c>
      <c r="AE362" s="264">
        <f>IF(NFI_Expiration=1,IF($A362&lt;VLOOKUP(N$5,NFI,5,0),1,0)*Table_NFI[[#This Row],[Kitchen Set]],Table_NFI[Kitchen Set])</f>
        <v>0</v>
      </c>
      <c r="AF362" s="264">
        <f>IF(NFI_Expiration=1,IF($A362&lt;VLOOKUP(O$5,NFI,5,0),1,0)*Table_NFI[[#This Row],[Clothes Kit]],Table_NFI[Clothes Kit])</f>
        <v>0</v>
      </c>
      <c r="AG362" s="264">
        <f>IF(NFI_Expiration=1,IF($A362&lt;VLOOKUP(P$5,NFI,5,0),1,0)*Table_NFI[[#This Row],[Plastic Bucket]],Table_NFI[Plastic Bucket])</f>
        <v>0</v>
      </c>
      <c r="AH362" s="264">
        <f>IF(NFI_Expiration=1,IF($A362&lt;VLOOKUP(Q$5,NFI,5,0),1,0)*Table_NFI[[#This Row],[Plastic Mat]],Table_NFI[Plastic Mat])*IF(Table_NFI[[#This Row],[Distribution Date]]&gt;"2014-04-01",1,2.5)</f>
        <v>0</v>
      </c>
      <c r="AI362" s="264">
        <f>IF(NFI_Expiration=1,IF($A362&lt;VLOOKUP(R$5,NFI,5,0),1,0)*Table_NFI[[#This Row],[Winter Clothes Adult]],Table_NFI[Winter Clothes Adult])</f>
        <v>0</v>
      </c>
      <c r="AJ362" s="264">
        <f>IF(NFI_Expiration=1,IF($A362&lt;VLOOKUP(S$5,NFI,5,0),1,0)*Table_NFI[[#This Row],[Winter Clothes Children]],Table_NFI[Winter Clothes Children])</f>
        <v>0</v>
      </c>
      <c r="AK362" s="264">
        <f>IF(NFI_Expiration=1,IF($A362&lt;VLOOKUP(T$5,NFI,5,0),1,0)*Table_NFI[[#This Row],[Winter Items Other]],Table_NFI[Winter Items Other])</f>
        <v>0</v>
      </c>
      <c r="AL362" s="264">
        <f>IF(NFI_Expiration=1,IF($A362&lt;VLOOKUP(M$5,NFI,5,0),1,0)*Table_NFI[[#This Row],[Winter Blanket]],Table_NFI[[#This Row],[Winter Blanket]])</f>
        <v>0</v>
      </c>
      <c r="AM362" s="264">
        <f>IF(Table_NFI[[#This Row],[Winter Clothes Adult]]+Table_NFI[[#This Row],[Winter Clothes Children]]+Table_NFI[[#This Row],[Winter Items Other]]+Table_NFI[[#This Row],[Winter Blanket]]&gt;0,1,0)</f>
        <v>0</v>
      </c>
      <c r="AN362" s="296">
        <f>IF(NFI_Expiration=1,IF($A362&lt;VLOOKUP(V$5,NFI,5,0),1,0)*Table_NFI[[#This Row],[Jerry Can]],Table_NFI[Jerry Can])</f>
        <v>0</v>
      </c>
      <c r="AO362" s="296">
        <f>IF(NFI_Expiration=1,IF($A362&lt;VLOOKUP(V$5,NFI,5,0),1,0)*Table_NFI[[#This Row],[Shelter Tool kit]],Table_NFI[Shelter Tool kit])</f>
        <v>0</v>
      </c>
      <c r="AP362" s="296">
        <f>IF(NFI_Expiration=1,IF($A362&lt;VLOOKUP(V$5,NFI,5,0),1,0)*Table_NFI[[#This Row],[Tent]],Table_NFI[Tent])</f>
        <v>0</v>
      </c>
      <c r="AQ362" s="396" t="str">
        <f>IFERROR(VLOOKUP(Table_NFI[[#This Row],[Camp Name]],CL,2,0),"")</f>
        <v>MMR001CMP020</v>
      </c>
      <c r="AR362" s="702">
        <f ca="1">IF(Table_NFI[[#This Row],[Pcode]]="","",IF(OFFSET(CampList[Opening Date],MATCH(Table_NFI[[#This Row],[Pcode]],CampList[CP_Pcode],0)-1,0,1,1)&gt;=NFI_Monitor_Date,1,0))</f>
        <v>0</v>
      </c>
      <c r="AS362" s="396" t="str">
        <f>IFERROR(VLOOKUP(Table_NFI[[#This Row],[Camp Name]],CL,3,0),"")</f>
        <v>Open</v>
      </c>
      <c r="AT362" s="264" t="str">
        <f ca="1">IF(Table_NFI[[#This Row],[Pcode]]="","",OFFSET(CampList[Priority],MATCH(Table_NFI[[#This Row],[Pcode]],CampList[CP_Pcode],0)-1,0,1,1))</f>
        <v>P4</v>
      </c>
      <c r="AU362" s="263">
        <f>IFERROR(Table_NFI[[#This Row],[Kitchen Set]]/VLOOKUP(Table_NFI[[#This Row],[Camp Name]],CL,4,0),"")</f>
        <v>0</v>
      </c>
      <c r="AV362" s="394"/>
      <c r="AW362" s="397"/>
      <c r="AX362" s="399"/>
      <c r="AY362" s="399"/>
      <c r="AZ362" s="399"/>
      <c r="BA362" s="399"/>
      <c r="BB362" s="399"/>
      <c r="BC362" s="399"/>
      <c r="BD362" s="399"/>
      <c r="BE362" s="399"/>
      <c r="BF362" s="399"/>
      <c r="BG362" s="399"/>
      <c r="BH362" s="399"/>
      <c r="BI362" s="399"/>
      <c r="BJ362" s="399"/>
      <c r="BK362" s="399"/>
      <c r="BL362" s="399"/>
      <c r="BM362" s="399"/>
      <c r="BN362" s="399"/>
      <c r="BO362" s="399"/>
      <c r="BP362" s="399"/>
      <c r="BQ362" s="399"/>
      <c r="BR362" s="399"/>
      <c r="BS362" s="399"/>
      <c r="BT362" s="399"/>
      <c r="BU362" s="399"/>
      <c r="BV362" s="399"/>
      <c r="BW362" s="399"/>
      <c r="BX362" s="399"/>
      <c r="BY362" s="399"/>
      <c r="BZ362" s="399"/>
      <c r="CA362" s="399"/>
      <c r="CB362" s="399"/>
      <c r="CC362" s="399"/>
      <c r="CD362" s="399"/>
      <c r="CE362" s="399"/>
      <c r="CF362" s="399"/>
      <c r="CG362" s="399"/>
      <c r="CH362" s="399"/>
      <c r="CI362" s="399"/>
      <c r="CJ362" s="399"/>
      <c r="CK362" s="399"/>
      <c r="CL362" s="399"/>
      <c r="CM362" s="399"/>
      <c r="CN362" s="399"/>
      <c r="CO362" s="399"/>
      <c r="CP362" s="399"/>
      <c r="CQ362" s="399"/>
      <c r="CR362" s="399"/>
      <c r="CS362" s="399"/>
      <c r="CT362" s="399"/>
      <c r="CU362" s="399"/>
      <c r="CV362" s="399"/>
      <c r="CW362" s="399"/>
      <c r="CX362" s="399"/>
      <c r="CY362" s="399"/>
      <c r="CZ362" s="399"/>
      <c r="DA362" s="399"/>
      <c r="DB362" s="399"/>
      <c r="DC362" s="399"/>
      <c r="DD362" s="399"/>
      <c r="DE362" s="399"/>
      <c r="DF362" s="399"/>
      <c r="DG362" s="399"/>
      <c r="DH362" s="399"/>
      <c r="DI362" s="399"/>
      <c r="DJ362" s="399"/>
      <c r="DK362" s="399"/>
      <c r="DL362" s="399"/>
      <c r="DM362" s="399"/>
      <c r="DN362" s="399"/>
      <c r="DO362" s="399"/>
      <c r="DP362" s="399"/>
      <c r="DQ362" s="399"/>
    </row>
    <row r="363" spans="1:121" s="760" customFormat="1" ht="15" customHeight="1" x14ac:dyDescent="0.25">
      <c r="A363" s="266">
        <f t="shared" si="5"/>
        <v>31.433333333333334</v>
      </c>
      <c r="B363" s="389">
        <v>41913</v>
      </c>
      <c r="C363" s="390" t="s">
        <v>451</v>
      </c>
      <c r="D363" s="394" t="s">
        <v>504</v>
      </c>
      <c r="E363" s="394" t="s">
        <v>380</v>
      </c>
      <c r="F363" s="394" t="s">
        <v>237</v>
      </c>
      <c r="G363" s="394" t="s">
        <v>265</v>
      </c>
      <c r="H363" s="261"/>
      <c r="I363" s="261"/>
      <c r="J363" s="261"/>
      <c r="K363" s="261">
        <v>42</v>
      </c>
      <c r="L363" s="261"/>
      <c r="M363" s="261"/>
      <c r="N363" s="261"/>
      <c r="O363" s="261"/>
      <c r="P363" s="261"/>
      <c r="Q363" s="261"/>
      <c r="R363" s="261"/>
      <c r="S363" s="261"/>
      <c r="T363" s="261"/>
      <c r="U363" s="261"/>
      <c r="V363" s="762"/>
      <c r="W363" s="762"/>
      <c r="X363" s="762"/>
      <c r="Y363" s="264">
        <f>IF(NFI_Expiration=1,IF($A363&lt;VLOOKUP(H$5,NFI,5,0),1,0)*Table_NFI[[#This Row],[Hygiene Kit]],Table_NFI[Hygiene Kit])</f>
        <v>0</v>
      </c>
      <c r="Z363" s="264">
        <f>IF(NFI_Expiration=1,IF($A363&lt;VLOOKUP(I$5,NFI,5,0),1,0)*Table_NFI[[#This Row],[NFI Core Kit]],Table_NFI[NFI Core Kit])</f>
        <v>0</v>
      </c>
      <c r="AA363" s="264">
        <f>IF(NFI_Expiration=1,IF($A363&lt;VLOOKUP(J$5,NFI,5,0),1,0)*Table_NFI[[#This Row],[Sanitary Kit]],Table_NFI[Sanitary Kit])</f>
        <v>0</v>
      </c>
      <c r="AB363" s="264">
        <f>IF(NFI_Expiration=1,IF($A363&lt;VLOOKUP(K$5,NFI,5,0),1,0)*Table_NFI[[#This Row],[Mosquito net]],Table_NFI[Mosquito net])</f>
        <v>0</v>
      </c>
      <c r="AC363" s="264">
        <f>IF(NFI_Expiration=1,IF($A363&lt;VLOOKUP(L$5,NFI,5,0),1,0)*Table_NFI[[#This Row],[Tarpaulin]],Table_NFI[[#This Row],[Tarpaulin]])</f>
        <v>0</v>
      </c>
      <c r="AD363" s="264">
        <f>IF(NFI_Expiration=1,IF($A363&lt;VLOOKUP(M$5,NFI,5,0),1,0)*Table_NFI[[#This Row],[Blanket]],Table_NFI[[#This Row],[Blanket]])</f>
        <v>0</v>
      </c>
      <c r="AE363" s="264">
        <f>IF(NFI_Expiration=1,IF($A363&lt;VLOOKUP(N$5,NFI,5,0),1,0)*Table_NFI[[#This Row],[Kitchen Set]],Table_NFI[Kitchen Set])</f>
        <v>0</v>
      </c>
      <c r="AF363" s="264">
        <f>IF(NFI_Expiration=1,IF($A363&lt;VLOOKUP(O$5,NFI,5,0),1,0)*Table_NFI[[#This Row],[Clothes Kit]],Table_NFI[Clothes Kit])</f>
        <v>0</v>
      </c>
      <c r="AG363" s="264">
        <f>IF(NFI_Expiration=1,IF($A363&lt;VLOOKUP(P$5,NFI,5,0),1,0)*Table_NFI[[#This Row],[Plastic Bucket]],Table_NFI[Plastic Bucket])</f>
        <v>0</v>
      </c>
      <c r="AH363" s="264">
        <f>IF(NFI_Expiration=1,IF($A363&lt;VLOOKUP(Q$5,NFI,5,0),1,0)*Table_NFI[[#This Row],[Plastic Mat]],Table_NFI[Plastic Mat])*IF(Table_NFI[[#This Row],[Distribution Date]]&gt;"2014-04-01",1,2.5)</f>
        <v>0</v>
      </c>
      <c r="AI363" s="264">
        <f>IF(NFI_Expiration=1,IF($A363&lt;VLOOKUP(R$5,NFI,5,0),1,0)*Table_NFI[[#This Row],[Winter Clothes Adult]],Table_NFI[Winter Clothes Adult])</f>
        <v>0</v>
      </c>
      <c r="AJ363" s="264">
        <f>IF(NFI_Expiration=1,IF($A363&lt;VLOOKUP(S$5,NFI,5,0),1,0)*Table_NFI[[#This Row],[Winter Clothes Children]],Table_NFI[Winter Clothes Children])</f>
        <v>0</v>
      </c>
      <c r="AK363" s="264">
        <f>IF(NFI_Expiration=1,IF($A363&lt;VLOOKUP(T$5,NFI,5,0),1,0)*Table_NFI[[#This Row],[Winter Items Other]],Table_NFI[Winter Items Other])</f>
        <v>0</v>
      </c>
      <c r="AL363" s="264">
        <f>IF(NFI_Expiration=1,IF($A363&lt;VLOOKUP(M$5,NFI,5,0),1,0)*Table_NFI[[#This Row],[Winter Blanket]],Table_NFI[[#This Row],[Winter Blanket]])</f>
        <v>0</v>
      </c>
      <c r="AM363" s="264">
        <f>IF(Table_NFI[[#This Row],[Winter Clothes Adult]]+Table_NFI[[#This Row],[Winter Clothes Children]]+Table_NFI[[#This Row],[Winter Items Other]]+Table_NFI[[#This Row],[Winter Blanket]]&gt;0,1,0)</f>
        <v>0</v>
      </c>
      <c r="AN363" s="296">
        <f>IF(NFI_Expiration=1,IF($A363&lt;VLOOKUP(V$5,NFI,5,0),1,0)*Table_NFI[[#This Row],[Jerry Can]],Table_NFI[Jerry Can])</f>
        <v>0</v>
      </c>
      <c r="AO363" s="296">
        <f>IF(NFI_Expiration=1,IF($A363&lt;VLOOKUP(V$5,NFI,5,0),1,0)*Table_NFI[[#This Row],[Shelter Tool kit]],Table_NFI[Shelter Tool kit])</f>
        <v>0</v>
      </c>
      <c r="AP363" s="296">
        <f>IF(NFI_Expiration=1,IF($A363&lt;VLOOKUP(V$5,NFI,5,0),1,0)*Table_NFI[[#This Row],[Tent]],Table_NFI[Tent])</f>
        <v>0</v>
      </c>
      <c r="AQ363" s="396" t="str">
        <f>IFERROR(VLOOKUP(Table_NFI[[#This Row],[Camp Name]],CL,2,0),"")</f>
        <v>MMR001CMP021</v>
      </c>
      <c r="AR363" s="702">
        <f ca="1">IF(Table_NFI[[#This Row],[Pcode]]="","",IF(OFFSET(CampList[Opening Date],MATCH(Table_NFI[[#This Row],[Pcode]],CampList[CP_Pcode],0)-1,0,1,1)&gt;=NFI_Monitor_Date,1,0))</f>
        <v>0</v>
      </c>
      <c r="AS363" s="396" t="str">
        <f>IFERROR(VLOOKUP(Table_NFI[[#This Row],[Camp Name]],CL,3,0),"")</f>
        <v>Open</v>
      </c>
      <c r="AT363" s="264" t="str">
        <f ca="1">IF(Table_NFI[[#This Row],[Pcode]]="","",OFFSET(CampList[Priority],MATCH(Table_NFI[[#This Row],[Pcode]],CampList[CP_Pcode],0)-1,0,1,1))</f>
        <v>P4</v>
      </c>
      <c r="AU363" s="263">
        <f>IFERROR(Table_NFI[[#This Row],[Kitchen Set]]/VLOOKUP(Table_NFI[[#This Row],[Camp Name]],CL,4,0),"")</f>
        <v>0</v>
      </c>
      <c r="AV363" s="394"/>
      <c r="AW363" s="397"/>
      <c r="AX363" s="399"/>
      <c r="AY363" s="399"/>
      <c r="AZ363" s="399"/>
      <c r="BA363" s="399"/>
      <c r="BB363" s="399"/>
      <c r="BC363" s="399"/>
      <c r="BD363" s="399"/>
      <c r="BE363" s="399"/>
      <c r="BF363" s="399"/>
      <c r="BG363" s="399"/>
      <c r="BH363" s="399"/>
      <c r="BI363" s="399"/>
      <c r="BJ363" s="399"/>
      <c r="BK363" s="399"/>
      <c r="BL363" s="399"/>
      <c r="BM363" s="399"/>
      <c r="BN363" s="399"/>
      <c r="BO363" s="399"/>
      <c r="BP363" s="399"/>
      <c r="BQ363" s="399"/>
      <c r="BR363" s="399"/>
      <c r="BS363" s="399"/>
      <c r="BT363" s="399"/>
      <c r="BU363" s="399"/>
      <c r="BV363" s="399"/>
      <c r="BW363" s="399"/>
      <c r="BX363" s="399"/>
      <c r="BY363" s="399"/>
      <c r="BZ363" s="399"/>
      <c r="CA363" s="399"/>
      <c r="CB363" s="399"/>
      <c r="CC363" s="399"/>
      <c r="CD363" s="399"/>
      <c r="CE363" s="399"/>
      <c r="CF363" s="399"/>
      <c r="CG363" s="399"/>
      <c r="CH363" s="399"/>
      <c r="CI363" s="399"/>
      <c r="CJ363" s="399"/>
      <c r="CK363" s="399"/>
      <c r="CL363" s="399"/>
      <c r="CM363" s="399"/>
      <c r="CN363" s="399"/>
      <c r="CO363" s="399"/>
      <c r="CP363" s="399"/>
      <c r="CQ363" s="399"/>
      <c r="CR363" s="399"/>
      <c r="CS363" s="399"/>
      <c r="CT363" s="399"/>
      <c r="CU363" s="399"/>
      <c r="CV363" s="399"/>
      <c r="CW363" s="399"/>
      <c r="CX363" s="399"/>
      <c r="CY363" s="399"/>
      <c r="CZ363" s="399"/>
      <c r="DA363" s="399"/>
      <c r="DB363" s="399"/>
      <c r="DC363" s="399"/>
      <c r="DD363" s="399"/>
      <c r="DE363" s="399"/>
      <c r="DF363" s="399"/>
      <c r="DG363" s="399"/>
      <c r="DH363" s="399"/>
      <c r="DI363" s="399"/>
      <c r="DJ363" s="399"/>
      <c r="DK363" s="399"/>
      <c r="DL363" s="399"/>
      <c r="DM363" s="399"/>
      <c r="DN363" s="399"/>
      <c r="DO363" s="399"/>
      <c r="DP363" s="399"/>
      <c r="DQ363" s="399"/>
    </row>
    <row r="364" spans="1:121" s="393" customFormat="1" ht="15" customHeight="1" x14ac:dyDescent="0.25">
      <c r="A364" s="266">
        <f t="shared" si="5"/>
        <v>31.433333333333334</v>
      </c>
      <c r="B364" s="389">
        <v>41913</v>
      </c>
      <c r="C364" s="390" t="s">
        <v>451</v>
      </c>
      <c r="D364" s="394" t="s">
        <v>504</v>
      </c>
      <c r="E364" s="394" t="s">
        <v>380</v>
      </c>
      <c r="F364" s="394" t="s">
        <v>526</v>
      </c>
      <c r="G364" s="394" t="s">
        <v>100</v>
      </c>
      <c r="H364" s="261"/>
      <c r="I364" s="261"/>
      <c r="J364" s="261"/>
      <c r="K364" s="261">
        <v>10</v>
      </c>
      <c r="L364" s="261"/>
      <c r="M364" s="261"/>
      <c r="N364" s="261"/>
      <c r="O364" s="261"/>
      <c r="P364" s="261"/>
      <c r="Q364" s="261"/>
      <c r="R364" s="261"/>
      <c r="S364" s="261"/>
      <c r="T364" s="261"/>
      <c r="U364" s="261"/>
      <c r="V364" s="762"/>
      <c r="W364" s="762"/>
      <c r="X364" s="762"/>
      <c r="Y364" s="264">
        <f>IF(NFI_Expiration=1,IF($A364&lt;VLOOKUP(H$5,NFI,5,0),1,0)*Table_NFI[[#This Row],[Hygiene Kit]],Table_NFI[Hygiene Kit])</f>
        <v>0</v>
      </c>
      <c r="Z364" s="264">
        <f>IF(NFI_Expiration=1,IF($A364&lt;VLOOKUP(I$5,NFI,5,0),1,0)*Table_NFI[[#This Row],[NFI Core Kit]],Table_NFI[NFI Core Kit])</f>
        <v>0</v>
      </c>
      <c r="AA364" s="264">
        <f>IF(NFI_Expiration=1,IF($A364&lt;VLOOKUP(J$5,NFI,5,0),1,0)*Table_NFI[[#This Row],[Sanitary Kit]],Table_NFI[Sanitary Kit])</f>
        <v>0</v>
      </c>
      <c r="AB364" s="264">
        <f>IF(NFI_Expiration=1,IF($A364&lt;VLOOKUP(K$5,NFI,5,0),1,0)*Table_NFI[[#This Row],[Mosquito net]],Table_NFI[Mosquito net])</f>
        <v>0</v>
      </c>
      <c r="AC364" s="264">
        <f>IF(NFI_Expiration=1,IF($A364&lt;VLOOKUP(L$5,NFI,5,0),1,0)*Table_NFI[[#This Row],[Tarpaulin]],Table_NFI[[#This Row],[Tarpaulin]])</f>
        <v>0</v>
      </c>
      <c r="AD364" s="264">
        <f>IF(NFI_Expiration=1,IF($A364&lt;VLOOKUP(M$5,NFI,5,0),1,0)*Table_NFI[[#This Row],[Blanket]],Table_NFI[[#This Row],[Blanket]])</f>
        <v>0</v>
      </c>
      <c r="AE364" s="264">
        <f>IF(NFI_Expiration=1,IF($A364&lt;VLOOKUP(N$5,NFI,5,0),1,0)*Table_NFI[[#This Row],[Kitchen Set]],Table_NFI[Kitchen Set])</f>
        <v>0</v>
      </c>
      <c r="AF364" s="264">
        <f>IF(NFI_Expiration=1,IF($A364&lt;VLOOKUP(O$5,NFI,5,0),1,0)*Table_NFI[[#This Row],[Clothes Kit]],Table_NFI[Clothes Kit])</f>
        <v>0</v>
      </c>
      <c r="AG364" s="264">
        <f>IF(NFI_Expiration=1,IF($A364&lt;VLOOKUP(P$5,NFI,5,0),1,0)*Table_NFI[[#This Row],[Plastic Bucket]],Table_NFI[Plastic Bucket])</f>
        <v>0</v>
      </c>
      <c r="AH364" s="264">
        <f>IF(NFI_Expiration=1,IF($A364&lt;VLOOKUP(Q$5,NFI,5,0),1,0)*Table_NFI[[#This Row],[Plastic Mat]],Table_NFI[Plastic Mat])*IF(Table_NFI[[#This Row],[Distribution Date]]&gt;"2014-04-01",1,2.5)</f>
        <v>0</v>
      </c>
      <c r="AI364" s="264">
        <f>IF(NFI_Expiration=1,IF($A364&lt;VLOOKUP(R$5,NFI,5,0),1,0)*Table_NFI[[#This Row],[Winter Clothes Adult]],Table_NFI[Winter Clothes Adult])</f>
        <v>0</v>
      </c>
      <c r="AJ364" s="264">
        <f>IF(NFI_Expiration=1,IF($A364&lt;VLOOKUP(S$5,NFI,5,0),1,0)*Table_NFI[[#This Row],[Winter Clothes Children]],Table_NFI[Winter Clothes Children])</f>
        <v>0</v>
      </c>
      <c r="AK364" s="264">
        <f>IF(NFI_Expiration=1,IF($A364&lt;VLOOKUP(T$5,NFI,5,0),1,0)*Table_NFI[[#This Row],[Winter Items Other]],Table_NFI[Winter Items Other])</f>
        <v>0</v>
      </c>
      <c r="AL364" s="264">
        <f>IF(NFI_Expiration=1,IF($A364&lt;VLOOKUP(M$5,NFI,5,0),1,0)*Table_NFI[[#This Row],[Winter Blanket]],Table_NFI[[#This Row],[Winter Blanket]])</f>
        <v>0</v>
      </c>
      <c r="AM364" s="264">
        <f>IF(Table_NFI[[#This Row],[Winter Clothes Adult]]+Table_NFI[[#This Row],[Winter Clothes Children]]+Table_NFI[[#This Row],[Winter Items Other]]+Table_NFI[[#This Row],[Winter Blanket]]&gt;0,1,0)</f>
        <v>0</v>
      </c>
      <c r="AN364" s="296">
        <f>IF(NFI_Expiration=1,IF($A364&lt;VLOOKUP(V$5,NFI,5,0),1,0)*Table_NFI[[#This Row],[Jerry Can]],Table_NFI[Jerry Can])</f>
        <v>0</v>
      </c>
      <c r="AO364" s="296">
        <f>IF(NFI_Expiration=1,IF($A364&lt;VLOOKUP(V$5,NFI,5,0),1,0)*Table_NFI[[#This Row],[Shelter Tool kit]],Table_NFI[Shelter Tool kit])</f>
        <v>0</v>
      </c>
      <c r="AP364" s="296">
        <f>IF(NFI_Expiration=1,IF($A364&lt;VLOOKUP(V$5,NFI,5,0),1,0)*Table_NFI[[#This Row],[Tent]],Table_NFI[Tent])</f>
        <v>0</v>
      </c>
      <c r="AQ364" s="396" t="str">
        <f>IFERROR(VLOOKUP(Table_NFI[[#This Row],[Camp Name]],CL,2,0),"")</f>
        <v>MMR001CMP091</v>
      </c>
      <c r="AR364" s="702">
        <f ca="1">IF(Table_NFI[[#This Row],[Pcode]]="","",IF(OFFSET(CampList[Opening Date],MATCH(Table_NFI[[#This Row],[Pcode]],CampList[CP_Pcode],0)-1,0,1,1)&gt;=NFI_Monitor_Date,1,0))</f>
        <v>0</v>
      </c>
      <c r="AS364" s="396" t="str">
        <f>IFERROR(VLOOKUP(Table_NFI[[#This Row],[Camp Name]],CL,3,0),"")</f>
        <v>Open</v>
      </c>
      <c r="AT364" s="264" t="str">
        <f ca="1">IF(Table_NFI[[#This Row],[Pcode]]="","",OFFSET(CampList[Priority],MATCH(Table_NFI[[#This Row],[Pcode]],CampList[CP_Pcode],0)-1,0,1,1))</f>
        <v>P4</v>
      </c>
      <c r="AU364" s="263">
        <f>IFERROR(Table_NFI[[#This Row],[Kitchen Set]]/VLOOKUP(Table_NFI[[#This Row],[Camp Name]],CL,4,0),"")</f>
        <v>0</v>
      </c>
      <c r="AV364" s="394"/>
      <c r="AW364" s="397"/>
      <c r="AX364" s="399"/>
      <c r="AY364" s="399"/>
      <c r="AZ364" s="399"/>
      <c r="BA364" s="399"/>
      <c r="BB364" s="399"/>
      <c r="BC364" s="399"/>
      <c r="BD364" s="399"/>
      <c r="BE364" s="399"/>
      <c r="BF364" s="399"/>
      <c r="BG364" s="399"/>
      <c r="BH364" s="399"/>
      <c r="BI364" s="399"/>
      <c r="BJ364" s="399"/>
      <c r="BK364" s="399"/>
      <c r="BL364" s="399"/>
      <c r="BM364" s="399"/>
      <c r="BN364" s="399"/>
      <c r="BO364" s="399"/>
      <c r="BP364" s="399"/>
      <c r="BQ364" s="399"/>
      <c r="BR364" s="399"/>
      <c r="BS364" s="399"/>
      <c r="BT364" s="399"/>
      <c r="BU364" s="399"/>
      <c r="BV364" s="399"/>
      <c r="BW364" s="399"/>
      <c r="BX364" s="399"/>
      <c r="BY364" s="399"/>
      <c r="BZ364" s="399"/>
      <c r="CA364" s="399"/>
      <c r="CB364" s="399"/>
      <c r="CC364" s="399"/>
      <c r="CD364" s="399"/>
      <c r="CE364" s="399"/>
      <c r="CF364" s="399"/>
      <c r="CG364" s="399"/>
      <c r="CH364" s="399"/>
      <c r="CI364" s="399"/>
      <c r="CJ364" s="399"/>
      <c r="CK364" s="399"/>
      <c r="CL364" s="399"/>
      <c r="CM364" s="399"/>
      <c r="CN364" s="399"/>
      <c r="CO364" s="399"/>
      <c r="CP364" s="399"/>
      <c r="CQ364" s="399"/>
      <c r="CR364" s="399"/>
      <c r="CS364" s="399"/>
      <c r="CT364" s="399"/>
      <c r="CU364" s="399"/>
      <c r="CV364" s="399"/>
      <c r="CW364" s="399"/>
      <c r="CX364" s="399"/>
      <c r="CY364" s="399"/>
      <c r="CZ364" s="399"/>
      <c r="DA364" s="399"/>
      <c r="DB364" s="399"/>
      <c r="DC364" s="399"/>
      <c r="DD364" s="399"/>
      <c r="DE364" s="399"/>
      <c r="DF364" s="399"/>
      <c r="DG364" s="399"/>
      <c r="DH364" s="399"/>
      <c r="DI364" s="399"/>
      <c r="DJ364" s="399"/>
      <c r="DK364" s="399"/>
      <c r="DL364" s="399"/>
      <c r="DM364" s="399"/>
      <c r="DN364" s="399"/>
      <c r="DO364" s="399"/>
      <c r="DP364" s="399"/>
      <c r="DQ364" s="399"/>
    </row>
    <row r="365" spans="1:121" s="393" customFormat="1" ht="15" customHeight="1" x14ac:dyDescent="0.25">
      <c r="A365" s="266">
        <f t="shared" si="5"/>
        <v>31.433333333333334</v>
      </c>
      <c r="B365" s="389">
        <v>41913</v>
      </c>
      <c r="C365" s="390" t="s">
        <v>451</v>
      </c>
      <c r="D365" s="394" t="s">
        <v>504</v>
      </c>
      <c r="E365" s="394" t="s">
        <v>380</v>
      </c>
      <c r="F365" s="394" t="s">
        <v>526</v>
      </c>
      <c r="G365" s="394" t="s">
        <v>610</v>
      </c>
      <c r="H365" s="261"/>
      <c r="I365" s="261"/>
      <c r="J365" s="261"/>
      <c r="K365" s="261">
        <v>36</v>
      </c>
      <c r="L365" s="261"/>
      <c r="M365" s="261"/>
      <c r="N365" s="261"/>
      <c r="O365" s="261"/>
      <c r="P365" s="261"/>
      <c r="Q365" s="261"/>
      <c r="R365" s="261"/>
      <c r="S365" s="261"/>
      <c r="T365" s="261"/>
      <c r="U365" s="261"/>
      <c r="V365" s="762"/>
      <c r="W365" s="762"/>
      <c r="X365" s="762"/>
      <c r="Y365" s="264">
        <f>IF(NFI_Expiration=1,IF($A365&lt;VLOOKUP(H$5,NFI,5,0),1,0)*Table_NFI[[#This Row],[Hygiene Kit]],Table_NFI[Hygiene Kit])</f>
        <v>0</v>
      </c>
      <c r="Z365" s="264">
        <f>IF(NFI_Expiration=1,IF($A365&lt;VLOOKUP(I$5,NFI,5,0),1,0)*Table_NFI[[#This Row],[NFI Core Kit]],Table_NFI[NFI Core Kit])</f>
        <v>0</v>
      </c>
      <c r="AA365" s="264">
        <f>IF(NFI_Expiration=1,IF($A365&lt;VLOOKUP(J$5,NFI,5,0),1,0)*Table_NFI[[#This Row],[Sanitary Kit]],Table_NFI[Sanitary Kit])</f>
        <v>0</v>
      </c>
      <c r="AB365" s="264">
        <f>IF(NFI_Expiration=1,IF($A365&lt;VLOOKUP(K$5,NFI,5,0),1,0)*Table_NFI[[#This Row],[Mosquito net]],Table_NFI[Mosquito net])</f>
        <v>0</v>
      </c>
      <c r="AC365" s="264">
        <f>IF(NFI_Expiration=1,IF($A365&lt;VLOOKUP(L$5,NFI,5,0),1,0)*Table_NFI[[#This Row],[Tarpaulin]],Table_NFI[[#This Row],[Tarpaulin]])</f>
        <v>0</v>
      </c>
      <c r="AD365" s="264">
        <f>IF(NFI_Expiration=1,IF($A365&lt;VLOOKUP(M$5,NFI,5,0),1,0)*Table_NFI[[#This Row],[Blanket]],Table_NFI[[#This Row],[Blanket]])</f>
        <v>0</v>
      </c>
      <c r="AE365" s="264">
        <f>IF(NFI_Expiration=1,IF($A365&lt;VLOOKUP(N$5,NFI,5,0),1,0)*Table_NFI[[#This Row],[Kitchen Set]],Table_NFI[Kitchen Set])</f>
        <v>0</v>
      </c>
      <c r="AF365" s="264">
        <f>IF(NFI_Expiration=1,IF($A365&lt;VLOOKUP(O$5,NFI,5,0),1,0)*Table_NFI[[#This Row],[Clothes Kit]],Table_NFI[Clothes Kit])</f>
        <v>0</v>
      </c>
      <c r="AG365" s="264">
        <f>IF(NFI_Expiration=1,IF($A365&lt;VLOOKUP(P$5,NFI,5,0),1,0)*Table_NFI[[#This Row],[Plastic Bucket]],Table_NFI[Plastic Bucket])</f>
        <v>0</v>
      </c>
      <c r="AH365" s="264">
        <f>IF(NFI_Expiration=1,IF($A365&lt;VLOOKUP(Q$5,NFI,5,0),1,0)*Table_NFI[[#This Row],[Plastic Mat]],Table_NFI[Plastic Mat])*IF(Table_NFI[[#This Row],[Distribution Date]]&gt;"2014-04-01",1,2.5)</f>
        <v>0</v>
      </c>
      <c r="AI365" s="264">
        <f>IF(NFI_Expiration=1,IF($A365&lt;VLOOKUP(R$5,NFI,5,0),1,0)*Table_NFI[[#This Row],[Winter Clothes Adult]],Table_NFI[Winter Clothes Adult])</f>
        <v>0</v>
      </c>
      <c r="AJ365" s="264">
        <f>IF(NFI_Expiration=1,IF($A365&lt;VLOOKUP(S$5,NFI,5,0),1,0)*Table_NFI[[#This Row],[Winter Clothes Children]],Table_NFI[Winter Clothes Children])</f>
        <v>0</v>
      </c>
      <c r="AK365" s="264">
        <f>IF(NFI_Expiration=1,IF($A365&lt;VLOOKUP(T$5,NFI,5,0),1,0)*Table_NFI[[#This Row],[Winter Items Other]],Table_NFI[Winter Items Other])</f>
        <v>0</v>
      </c>
      <c r="AL365" s="264">
        <f>IF(NFI_Expiration=1,IF($A365&lt;VLOOKUP(M$5,NFI,5,0),1,0)*Table_NFI[[#This Row],[Winter Blanket]],Table_NFI[[#This Row],[Winter Blanket]])</f>
        <v>0</v>
      </c>
      <c r="AM365" s="264">
        <f>IF(Table_NFI[[#This Row],[Winter Clothes Adult]]+Table_NFI[[#This Row],[Winter Clothes Children]]+Table_NFI[[#This Row],[Winter Items Other]]+Table_NFI[[#This Row],[Winter Blanket]]&gt;0,1,0)</f>
        <v>0</v>
      </c>
      <c r="AN365" s="296">
        <f>IF(NFI_Expiration=1,IF($A365&lt;VLOOKUP(V$5,NFI,5,0),1,0)*Table_NFI[[#This Row],[Jerry Can]],Table_NFI[Jerry Can])</f>
        <v>0</v>
      </c>
      <c r="AO365" s="296">
        <f>IF(NFI_Expiration=1,IF($A365&lt;VLOOKUP(V$5,NFI,5,0),1,0)*Table_NFI[[#This Row],[Shelter Tool kit]],Table_NFI[Shelter Tool kit])</f>
        <v>0</v>
      </c>
      <c r="AP365" s="296">
        <f>IF(NFI_Expiration=1,IF($A365&lt;VLOOKUP(V$5,NFI,5,0),1,0)*Table_NFI[[#This Row],[Tent]],Table_NFI[Tent])</f>
        <v>0</v>
      </c>
      <c r="AQ365" s="396" t="str">
        <f>IFERROR(VLOOKUP(Table_NFI[[#This Row],[Camp Name]],CL,2,0),"")</f>
        <v>MMR001CMP192</v>
      </c>
      <c r="AR365" s="702">
        <f ca="1">IF(Table_NFI[[#This Row],[Pcode]]="","",IF(OFFSET(CampList[Opening Date],MATCH(Table_NFI[[#This Row],[Pcode]],CampList[CP_Pcode],0)-1,0,1,1)&gt;=NFI_Monitor_Date,1,0))</f>
        <v>0</v>
      </c>
      <c r="AS365" s="396" t="str">
        <f>IFERROR(VLOOKUP(Table_NFI[[#This Row],[Camp Name]],CL,3,0),"")</f>
        <v>Open</v>
      </c>
      <c r="AT365" s="264" t="str">
        <f ca="1">IF(Table_NFI[[#This Row],[Pcode]]="","",OFFSET(CampList[Priority],MATCH(Table_NFI[[#This Row],[Pcode]],CampList[CP_Pcode],0)-1,0,1,1))</f>
        <v>P4</v>
      </c>
      <c r="AU365" s="263">
        <f>IFERROR(Table_NFI[[#This Row],[Kitchen Set]]/VLOOKUP(Table_NFI[[#This Row],[Camp Name]],CL,4,0),"")</f>
        <v>0</v>
      </c>
      <c r="AV365" s="394"/>
      <c r="AW365" s="397"/>
      <c r="AX365" s="399"/>
      <c r="AY365" s="399"/>
      <c r="AZ365" s="399"/>
      <c r="BA365" s="399"/>
      <c r="BB365" s="399"/>
      <c r="BC365" s="399"/>
      <c r="BD365" s="399"/>
      <c r="BE365" s="399"/>
      <c r="BF365" s="399"/>
      <c r="BG365" s="399"/>
      <c r="BH365" s="399"/>
      <c r="BI365" s="399"/>
      <c r="BJ365" s="399"/>
      <c r="BK365" s="399"/>
      <c r="BL365" s="399"/>
      <c r="BM365" s="399"/>
      <c r="BN365" s="399"/>
      <c r="BO365" s="399"/>
      <c r="BP365" s="399"/>
      <c r="BQ365" s="399"/>
      <c r="BR365" s="399"/>
      <c r="BS365" s="399"/>
      <c r="BT365" s="399"/>
      <c r="BU365" s="399"/>
      <c r="BV365" s="399"/>
      <c r="BW365" s="399"/>
      <c r="BX365" s="399"/>
      <c r="BY365" s="399"/>
      <c r="BZ365" s="399"/>
      <c r="CA365" s="399"/>
      <c r="CB365" s="399"/>
      <c r="CC365" s="399"/>
      <c r="CD365" s="399"/>
      <c r="CE365" s="399"/>
      <c r="CF365" s="399"/>
      <c r="CG365" s="399"/>
      <c r="CH365" s="399"/>
      <c r="CI365" s="399"/>
      <c r="CJ365" s="399"/>
      <c r="CK365" s="399"/>
      <c r="CL365" s="399"/>
      <c r="CM365" s="399"/>
      <c r="CN365" s="399"/>
      <c r="CO365" s="399"/>
      <c r="CP365" s="399"/>
      <c r="CQ365" s="399"/>
      <c r="CR365" s="399"/>
      <c r="CS365" s="399"/>
      <c r="CT365" s="399"/>
      <c r="CU365" s="399"/>
      <c r="CV365" s="399"/>
      <c r="CW365" s="399"/>
      <c r="CX365" s="399"/>
      <c r="CY365" s="399"/>
      <c r="CZ365" s="399"/>
      <c r="DA365" s="399"/>
      <c r="DB365" s="399"/>
      <c r="DC365" s="399"/>
      <c r="DD365" s="399"/>
      <c r="DE365" s="399"/>
      <c r="DF365" s="399"/>
      <c r="DG365" s="399"/>
      <c r="DH365" s="399"/>
      <c r="DI365" s="399"/>
      <c r="DJ365" s="399"/>
      <c r="DK365" s="399"/>
      <c r="DL365" s="399"/>
      <c r="DM365" s="399"/>
      <c r="DN365" s="399"/>
      <c r="DO365" s="399"/>
      <c r="DP365" s="399"/>
      <c r="DQ365" s="399"/>
    </row>
    <row r="366" spans="1:121" s="393" customFormat="1" ht="15" customHeight="1" x14ac:dyDescent="0.25">
      <c r="A366" s="266">
        <f t="shared" si="5"/>
        <v>31.433333333333334</v>
      </c>
      <c r="B366" s="389">
        <v>41913</v>
      </c>
      <c r="C366" s="390" t="s">
        <v>451</v>
      </c>
      <c r="D366" s="394" t="s">
        <v>505</v>
      </c>
      <c r="E366" s="394" t="s">
        <v>380</v>
      </c>
      <c r="F366" s="394" t="s">
        <v>237</v>
      </c>
      <c r="G366" s="394" t="s">
        <v>271</v>
      </c>
      <c r="H366" s="261"/>
      <c r="I366" s="261"/>
      <c r="J366" s="261"/>
      <c r="K366" s="261">
        <v>144</v>
      </c>
      <c r="L366" s="261"/>
      <c r="M366" s="261"/>
      <c r="N366" s="261"/>
      <c r="O366" s="261"/>
      <c r="P366" s="261"/>
      <c r="Q366" s="261"/>
      <c r="R366" s="261"/>
      <c r="S366" s="261"/>
      <c r="T366" s="261"/>
      <c r="U366" s="261"/>
      <c r="V366" s="762"/>
      <c r="W366" s="261"/>
      <c r="X366" s="261"/>
      <c r="Y366" s="264">
        <f>IF(NFI_Expiration=1,IF($A366&lt;VLOOKUP(H$5,NFI,5,0),1,0)*Table_NFI[[#This Row],[Hygiene Kit]],Table_NFI[Hygiene Kit])</f>
        <v>0</v>
      </c>
      <c r="Z366" s="264">
        <f>IF(NFI_Expiration=1,IF($A366&lt;VLOOKUP(I$5,NFI,5,0),1,0)*Table_NFI[[#This Row],[NFI Core Kit]],Table_NFI[NFI Core Kit])</f>
        <v>0</v>
      </c>
      <c r="AA366" s="264">
        <f>IF(NFI_Expiration=1,IF($A366&lt;VLOOKUP(J$5,NFI,5,0),1,0)*Table_NFI[[#This Row],[Sanitary Kit]],Table_NFI[Sanitary Kit])</f>
        <v>0</v>
      </c>
      <c r="AB366" s="264">
        <f>IF(NFI_Expiration=1,IF($A366&lt;VLOOKUP(K$5,NFI,5,0),1,0)*Table_NFI[[#This Row],[Mosquito net]],Table_NFI[Mosquito net])</f>
        <v>0</v>
      </c>
      <c r="AC366" s="264">
        <f>IF(NFI_Expiration=1,IF($A366&lt;VLOOKUP(L$5,NFI,5,0),1,0)*Table_NFI[[#This Row],[Tarpaulin]],Table_NFI[[#This Row],[Tarpaulin]])</f>
        <v>0</v>
      </c>
      <c r="AD366" s="264">
        <f>IF(NFI_Expiration=1,IF($A366&lt;VLOOKUP(M$5,NFI,5,0),1,0)*Table_NFI[[#This Row],[Blanket]],Table_NFI[[#This Row],[Blanket]])</f>
        <v>0</v>
      </c>
      <c r="AE366" s="264">
        <f>IF(NFI_Expiration=1,IF($A366&lt;VLOOKUP(N$5,NFI,5,0),1,0)*Table_NFI[[#This Row],[Kitchen Set]],Table_NFI[Kitchen Set])</f>
        <v>0</v>
      </c>
      <c r="AF366" s="264">
        <f>IF(NFI_Expiration=1,IF($A366&lt;VLOOKUP(O$5,NFI,5,0),1,0)*Table_NFI[[#This Row],[Clothes Kit]],Table_NFI[Clothes Kit])</f>
        <v>0</v>
      </c>
      <c r="AG366" s="264">
        <f>IF(NFI_Expiration=1,IF($A366&lt;VLOOKUP(P$5,NFI,5,0),1,0)*Table_NFI[[#This Row],[Plastic Bucket]],Table_NFI[Plastic Bucket])</f>
        <v>0</v>
      </c>
      <c r="AH366" s="264">
        <f>IF(NFI_Expiration=1,IF($A366&lt;VLOOKUP(Q$5,NFI,5,0),1,0)*Table_NFI[[#This Row],[Plastic Mat]],Table_NFI[Plastic Mat])*IF(Table_NFI[[#This Row],[Distribution Date]]&gt;"2014-04-01",1,2.5)</f>
        <v>0</v>
      </c>
      <c r="AI366" s="264">
        <f>IF(NFI_Expiration=1,IF($A366&lt;VLOOKUP(R$5,NFI,5,0),1,0)*Table_NFI[[#This Row],[Winter Clothes Adult]],Table_NFI[Winter Clothes Adult])</f>
        <v>0</v>
      </c>
      <c r="AJ366" s="264">
        <f>IF(NFI_Expiration=1,IF($A366&lt;VLOOKUP(S$5,NFI,5,0),1,0)*Table_NFI[[#This Row],[Winter Clothes Children]],Table_NFI[Winter Clothes Children])</f>
        <v>0</v>
      </c>
      <c r="AK366" s="264">
        <f>IF(NFI_Expiration=1,IF($A366&lt;VLOOKUP(T$5,NFI,5,0),1,0)*Table_NFI[[#This Row],[Winter Items Other]],Table_NFI[Winter Items Other])</f>
        <v>0</v>
      </c>
      <c r="AL366" s="264">
        <f>IF(NFI_Expiration=1,IF($A366&lt;VLOOKUP(M$5,NFI,5,0),1,0)*Table_NFI[[#This Row],[Winter Blanket]],Table_NFI[[#This Row],[Winter Blanket]])</f>
        <v>0</v>
      </c>
      <c r="AM366" s="264">
        <f>IF(Table_NFI[[#This Row],[Winter Clothes Adult]]+Table_NFI[[#This Row],[Winter Clothes Children]]+Table_NFI[[#This Row],[Winter Items Other]]+Table_NFI[[#This Row],[Winter Blanket]]&gt;0,1,0)</f>
        <v>0</v>
      </c>
      <c r="AN366" s="296">
        <f>IF(NFI_Expiration=1,IF($A366&lt;VLOOKUP(V$5,NFI,5,0),1,0)*Table_NFI[[#This Row],[Jerry Can]],Table_NFI[Jerry Can])</f>
        <v>0</v>
      </c>
      <c r="AO366" s="296">
        <f>IF(NFI_Expiration=1,IF($A366&lt;VLOOKUP(V$5,NFI,5,0),1,0)*Table_NFI[[#This Row],[Shelter Tool kit]],Table_NFI[Shelter Tool kit])</f>
        <v>0</v>
      </c>
      <c r="AP366" s="296">
        <f>IF(NFI_Expiration=1,IF($A366&lt;VLOOKUP(V$5,NFI,5,0),1,0)*Table_NFI[[#This Row],[Tent]],Table_NFI[Tent])</f>
        <v>0</v>
      </c>
      <c r="AQ366" s="396" t="str">
        <f>IFERROR(VLOOKUP(Table_NFI[[#This Row],[Camp Name]],CL,2,0),"")</f>
        <v>MMR001CMP024</v>
      </c>
      <c r="AR366" s="702">
        <f ca="1">IF(Table_NFI[[#This Row],[Pcode]]="","",IF(OFFSET(CampList[Opening Date],MATCH(Table_NFI[[#This Row],[Pcode]],CampList[CP_Pcode],0)-1,0,1,1)&gt;=NFI_Monitor_Date,1,0))</f>
        <v>0</v>
      </c>
      <c r="AS366" s="396" t="str">
        <f>IFERROR(VLOOKUP(Table_NFI[[#This Row],[Camp Name]],CL,3,0),"")</f>
        <v>Open</v>
      </c>
      <c r="AT366" s="264" t="str">
        <f ca="1">IF(Table_NFI[[#This Row],[Pcode]]="","",OFFSET(CampList[Priority],MATCH(Table_NFI[[#This Row],[Pcode]],CampList[CP_Pcode],0)-1,0,1,1))</f>
        <v>P4</v>
      </c>
      <c r="AU366" s="263">
        <f>IFERROR(Table_NFI[[#This Row],[Kitchen Set]]/VLOOKUP(Table_NFI[[#This Row],[Camp Name]],CL,4,0),"")</f>
        <v>0</v>
      </c>
      <c r="AV366" s="394"/>
      <c r="AW366" s="397"/>
      <c r="AX366" s="399"/>
      <c r="AY366" s="399"/>
      <c r="AZ366" s="399"/>
      <c r="BA366" s="399"/>
      <c r="BB366" s="399"/>
      <c r="BC366" s="399"/>
      <c r="BD366" s="399"/>
      <c r="BE366" s="399"/>
      <c r="BF366" s="399"/>
      <c r="BG366" s="399"/>
      <c r="BH366" s="399"/>
      <c r="BI366" s="399"/>
      <c r="BJ366" s="399"/>
      <c r="BK366" s="399"/>
      <c r="BL366" s="399"/>
      <c r="BM366" s="399"/>
      <c r="BN366" s="399"/>
      <c r="BO366" s="399"/>
      <c r="BP366" s="399"/>
      <c r="BQ366" s="399"/>
      <c r="BR366" s="399"/>
      <c r="BS366" s="399"/>
      <c r="BT366" s="399"/>
      <c r="BU366" s="399"/>
      <c r="BV366" s="399"/>
      <c r="BW366" s="399"/>
      <c r="BX366" s="399"/>
      <c r="BY366" s="399"/>
      <c r="BZ366" s="399"/>
      <c r="CA366" s="399"/>
      <c r="CB366" s="399"/>
      <c r="CC366" s="399"/>
      <c r="CD366" s="399"/>
      <c r="CE366" s="399"/>
      <c r="CF366" s="399"/>
      <c r="CG366" s="399"/>
      <c r="CH366" s="399"/>
      <c r="CI366" s="399"/>
      <c r="CJ366" s="399"/>
      <c r="CK366" s="399"/>
      <c r="CL366" s="399"/>
      <c r="CM366" s="399"/>
      <c r="CN366" s="399"/>
      <c r="CO366" s="399"/>
      <c r="CP366" s="399"/>
      <c r="CQ366" s="399"/>
      <c r="CR366" s="399"/>
      <c r="CS366" s="399"/>
      <c r="CT366" s="399"/>
      <c r="CU366" s="399"/>
      <c r="CV366" s="399"/>
      <c r="CW366" s="399"/>
      <c r="CX366" s="399"/>
      <c r="CY366" s="399"/>
      <c r="CZ366" s="399"/>
      <c r="DA366" s="399"/>
      <c r="DB366" s="399"/>
      <c r="DC366" s="399"/>
      <c r="DD366" s="399"/>
      <c r="DE366" s="399"/>
      <c r="DF366" s="399"/>
      <c r="DG366" s="399"/>
      <c r="DH366" s="399"/>
      <c r="DI366" s="399"/>
      <c r="DJ366" s="399"/>
      <c r="DK366" s="399"/>
      <c r="DL366" s="399"/>
      <c r="DM366" s="399"/>
      <c r="DN366" s="399"/>
      <c r="DO366" s="399"/>
      <c r="DP366" s="399"/>
      <c r="DQ366" s="399"/>
    </row>
    <row r="367" spans="1:121" s="393" customFormat="1" ht="14.45" customHeight="1" x14ac:dyDescent="0.25">
      <c r="A367" s="266">
        <f t="shared" si="5"/>
        <v>31.433333333333334</v>
      </c>
      <c r="B367" s="389">
        <v>41913</v>
      </c>
      <c r="C367" s="390" t="s">
        <v>451</v>
      </c>
      <c r="D367" s="394" t="s">
        <v>505</v>
      </c>
      <c r="E367" s="394" t="s">
        <v>380</v>
      </c>
      <c r="F367" s="394" t="s">
        <v>526</v>
      </c>
      <c r="G367" s="394" t="s">
        <v>108</v>
      </c>
      <c r="H367" s="261"/>
      <c r="I367" s="261"/>
      <c r="J367" s="261"/>
      <c r="K367" s="261">
        <v>80</v>
      </c>
      <c r="L367" s="261"/>
      <c r="M367" s="261"/>
      <c r="N367" s="261"/>
      <c r="O367" s="261"/>
      <c r="P367" s="261"/>
      <c r="Q367" s="261"/>
      <c r="R367" s="261"/>
      <c r="S367" s="261"/>
      <c r="T367" s="261"/>
      <c r="U367" s="261"/>
      <c r="V367" s="762"/>
      <c r="W367" s="261"/>
      <c r="X367" s="261"/>
      <c r="Y367" s="264">
        <f>IF(NFI_Expiration=1,IF($A367&lt;VLOOKUP(H$5,NFI,5,0),1,0)*Table_NFI[[#This Row],[Hygiene Kit]],Table_NFI[Hygiene Kit])</f>
        <v>0</v>
      </c>
      <c r="Z367" s="264">
        <f>IF(NFI_Expiration=1,IF($A367&lt;VLOOKUP(I$5,NFI,5,0),1,0)*Table_NFI[[#This Row],[NFI Core Kit]],Table_NFI[NFI Core Kit])</f>
        <v>0</v>
      </c>
      <c r="AA367" s="264">
        <f>IF(NFI_Expiration=1,IF($A367&lt;VLOOKUP(J$5,NFI,5,0),1,0)*Table_NFI[[#This Row],[Sanitary Kit]],Table_NFI[Sanitary Kit])</f>
        <v>0</v>
      </c>
      <c r="AB367" s="264">
        <f>IF(NFI_Expiration=1,IF($A367&lt;VLOOKUP(K$5,NFI,5,0),1,0)*Table_NFI[[#This Row],[Mosquito net]],Table_NFI[Mosquito net])</f>
        <v>0</v>
      </c>
      <c r="AC367" s="264">
        <f>IF(NFI_Expiration=1,IF($A367&lt;VLOOKUP(L$5,NFI,5,0),1,0)*Table_NFI[[#This Row],[Tarpaulin]],Table_NFI[[#This Row],[Tarpaulin]])</f>
        <v>0</v>
      </c>
      <c r="AD367" s="264">
        <f>IF(NFI_Expiration=1,IF($A367&lt;VLOOKUP(M$5,NFI,5,0),1,0)*Table_NFI[[#This Row],[Blanket]],Table_NFI[[#This Row],[Blanket]])</f>
        <v>0</v>
      </c>
      <c r="AE367" s="264">
        <f>IF(NFI_Expiration=1,IF($A367&lt;VLOOKUP(N$5,NFI,5,0),1,0)*Table_NFI[[#This Row],[Kitchen Set]],Table_NFI[Kitchen Set])</f>
        <v>0</v>
      </c>
      <c r="AF367" s="264">
        <f>IF(NFI_Expiration=1,IF($A367&lt;VLOOKUP(O$5,NFI,5,0),1,0)*Table_NFI[[#This Row],[Clothes Kit]],Table_NFI[Clothes Kit])</f>
        <v>0</v>
      </c>
      <c r="AG367" s="264">
        <f>IF(NFI_Expiration=1,IF($A367&lt;VLOOKUP(P$5,NFI,5,0),1,0)*Table_NFI[[#This Row],[Plastic Bucket]],Table_NFI[Plastic Bucket])</f>
        <v>0</v>
      </c>
      <c r="AH367" s="264">
        <f>IF(NFI_Expiration=1,IF($A367&lt;VLOOKUP(Q$5,NFI,5,0),1,0)*Table_NFI[[#This Row],[Plastic Mat]],Table_NFI[Plastic Mat])*IF(Table_NFI[[#This Row],[Distribution Date]]&gt;"2014-04-01",1,2.5)</f>
        <v>0</v>
      </c>
      <c r="AI367" s="264">
        <f>IF(NFI_Expiration=1,IF($A367&lt;VLOOKUP(R$5,NFI,5,0),1,0)*Table_NFI[[#This Row],[Winter Clothes Adult]],Table_NFI[Winter Clothes Adult])</f>
        <v>0</v>
      </c>
      <c r="AJ367" s="264">
        <f>IF(NFI_Expiration=1,IF($A367&lt;VLOOKUP(S$5,NFI,5,0),1,0)*Table_NFI[[#This Row],[Winter Clothes Children]],Table_NFI[Winter Clothes Children])</f>
        <v>0</v>
      </c>
      <c r="AK367" s="264">
        <f>IF(NFI_Expiration=1,IF($A367&lt;VLOOKUP(T$5,NFI,5,0),1,0)*Table_NFI[[#This Row],[Winter Items Other]],Table_NFI[Winter Items Other])</f>
        <v>0</v>
      </c>
      <c r="AL367" s="264">
        <f>IF(NFI_Expiration=1,IF($A367&lt;VLOOKUP(M$5,NFI,5,0),1,0)*Table_NFI[[#This Row],[Winter Blanket]],Table_NFI[[#This Row],[Winter Blanket]])</f>
        <v>0</v>
      </c>
      <c r="AM367" s="264">
        <f>IF(Table_NFI[[#This Row],[Winter Clothes Adult]]+Table_NFI[[#This Row],[Winter Clothes Children]]+Table_NFI[[#This Row],[Winter Items Other]]+Table_NFI[[#This Row],[Winter Blanket]]&gt;0,1,0)</f>
        <v>0</v>
      </c>
      <c r="AN367" s="296">
        <f>IF(NFI_Expiration=1,IF($A367&lt;VLOOKUP(V$5,NFI,5,0),1,0)*Table_NFI[[#This Row],[Jerry Can]],Table_NFI[Jerry Can])</f>
        <v>0</v>
      </c>
      <c r="AO367" s="296">
        <f>IF(NFI_Expiration=1,IF($A367&lt;VLOOKUP(V$5,NFI,5,0),1,0)*Table_NFI[[#This Row],[Shelter Tool kit]],Table_NFI[Shelter Tool kit])</f>
        <v>0</v>
      </c>
      <c r="AP367" s="296">
        <f>IF(NFI_Expiration=1,IF($A367&lt;VLOOKUP(V$5,NFI,5,0),1,0)*Table_NFI[[#This Row],[Tent]],Table_NFI[Tent])</f>
        <v>0</v>
      </c>
      <c r="AQ367" s="396" t="str">
        <f>IFERROR(VLOOKUP(Table_NFI[[#This Row],[Camp Name]],CL,2,0),"")</f>
        <v>MMR001CMP103</v>
      </c>
      <c r="AR367" s="702">
        <f ca="1">IF(Table_NFI[[#This Row],[Pcode]]="","",IF(OFFSET(CampList[Opening Date],MATCH(Table_NFI[[#This Row],[Pcode]],CampList[CP_Pcode],0)-1,0,1,1)&gt;=NFI_Monitor_Date,1,0))</f>
        <v>0</v>
      </c>
      <c r="AS367" s="396" t="str">
        <f>IFERROR(VLOOKUP(Table_NFI[[#This Row],[Camp Name]],CL,3,0),"")</f>
        <v>Open</v>
      </c>
      <c r="AT367" s="264" t="str">
        <f ca="1">IF(Table_NFI[[#This Row],[Pcode]]="","",OFFSET(CampList[Priority],MATCH(Table_NFI[[#This Row],[Pcode]],CampList[CP_Pcode],0)-1,0,1,1))</f>
        <v>P4</v>
      </c>
      <c r="AU367" s="263">
        <f>IFERROR(Table_NFI[[#This Row],[Kitchen Set]]/VLOOKUP(Table_NFI[[#This Row],[Camp Name]],CL,4,0),"")</f>
        <v>0</v>
      </c>
      <c r="AV367" s="394"/>
      <c r="AW367" s="397"/>
      <c r="AX367" s="399"/>
      <c r="AY367" s="399"/>
      <c r="AZ367" s="399"/>
      <c r="BA367" s="399"/>
      <c r="BB367" s="399"/>
      <c r="BC367" s="399"/>
      <c r="BD367" s="399"/>
      <c r="BE367" s="399"/>
      <c r="BF367" s="399"/>
      <c r="BG367" s="399"/>
      <c r="BH367" s="399"/>
      <c r="BI367" s="399"/>
      <c r="BJ367" s="399"/>
      <c r="BK367" s="399"/>
      <c r="BL367" s="399"/>
      <c r="BM367" s="399"/>
      <c r="BN367" s="399"/>
      <c r="BO367" s="399"/>
      <c r="BP367" s="399"/>
      <c r="BQ367" s="399"/>
      <c r="BR367" s="399"/>
      <c r="BS367" s="399"/>
      <c r="BT367" s="399"/>
      <c r="BU367" s="399"/>
      <c r="BV367" s="399"/>
      <c r="BW367" s="399"/>
      <c r="BX367" s="399"/>
      <c r="BY367" s="399"/>
      <c r="BZ367" s="399"/>
      <c r="CA367" s="399"/>
      <c r="CB367" s="399"/>
      <c r="CC367" s="399"/>
      <c r="CD367" s="399"/>
      <c r="CE367" s="399"/>
      <c r="CF367" s="399"/>
      <c r="CG367" s="399"/>
      <c r="CH367" s="399"/>
      <c r="CI367" s="399"/>
      <c r="CJ367" s="399"/>
      <c r="CK367" s="399"/>
      <c r="CL367" s="399"/>
      <c r="CM367" s="399"/>
      <c r="CN367" s="399"/>
      <c r="CO367" s="399"/>
      <c r="CP367" s="399"/>
      <c r="CQ367" s="399"/>
      <c r="CR367" s="399"/>
      <c r="CS367" s="399"/>
      <c r="CT367" s="399"/>
      <c r="CU367" s="399"/>
      <c r="CV367" s="399"/>
      <c r="CW367" s="399"/>
      <c r="CX367" s="399"/>
      <c r="CY367" s="399"/>
      <c r="CZ367" s="399"/>
      <c r="DA367" s="399"/>
      <c r="DB367" s="399"/>
      <c r="DC367" s="399"/>
      <c r="DD367" s="399"/>
      <c r="DE367" s="399"/>
      <c r="DF367" s="399"/>
      <c r="DG367" s="399"/>
      <c r="DH367" s="399"/>
      <c r="DI367" s="399"/>
      <c r="DJ367" s="399"/>
      <c r="DK367" s="399"/>
      <c r="DL367" s="399"/>
      <c r="DM367" s="399"/>
      <c r="DN367" s="399"/>
      <c r="DO367" s="399"/>
      <c r="DP367" s="399"/>
      <c r="DQ367" s="399"/>
    </row>
    <row r="368" spans="1:121" s="393" customFormat="1" ht="14.45" customHeight="1" x14ac:dyDescent="0.25">
      <c r="A368" s="266">
        <f t="shared" si="5"/>
        <v>31.433333333333334</v>
      </c>
      <c r="B368" s="389">
        <v>41913</v>
      </c>
      <c r="C368" s="390" t="s">
        <v>451</v>
      </c>
      <c r="D368" s="394" t="s">
        <v>504</v>
      </c>
      <c r="E368" s="394" t="s">
        <v>380</v>
      </c>
      <c r="F368" s="394" t="s">
        <v>310</v>
      </c>
      <c r="G368" s="394" t="s">
        <v>344</v>
      </c>
      <c r="H368" s="261"/>
      <c r="I368" s="261"/>
      <c r="J368" s="261"/>
      <c r="K368" s="261">
        <v>36</v>
      </c>
      <c r="L368" s="261"/>
      <c r="M368" s="261"/>
      <c r="N368" s="261"/>
      <c r="O368" s="261"/>
      <c r="P368" s="261"/>
      <c r="Q368" s="261"/>
      <c r="R368" s="261"/>
      <c r="S368" s="261"/>
      <c r="T368" s="261"/>
      <c r="U368" s="261"/>
      <c r="V368" s="762"/>
      <c r="W368" s="261"/>
      <c r="X368" s="261"/>
      <c r="Y368" s="264">
        <f>IF(NFI_Expiration=1,IF($A368&lt;VLOOKUP(H$5,NFI,5,0),1,0)*Table_NFI[[#This Row],[Hygiene Kit]],Table_NFI[Hygiene Kit])</f>
        <v>0</v>
      </c>
      <c r="Z368" s="264">
        <f>IF(NFI_Expiration=1,IF($A368&lt;VLOOKUP(I$5,NFI,5,0),1,0)*Table_NFI[[#This Row],[NFI Core Kit]],Table_NFI[NFI Core Kit])</f>
        <v>0</v>
      </c>
      <c r="AA368" s="264">
        <f>IF(NFI_Expiration=1,IF($A368&lt;VLOOKUP(J$5,NFI,5,0),1,0)*Table_NFI[[#This Row],[Sanitary Kit]],Table_NFI[Sanitary Kit])</f>
        <v>0</v>
      </c>
      <c r="AB368" s="264">
        <f>IF(NFI_Expiration=1,IF($A368&lt;VLOOKUP(K$5,NFI,5,0),1,0)*Table_NFI[[#This Row],[Mosquito net]],Table_NFI[Mosquito net])</f>
        <v>0</v>
      </c>
      <c r="AC368" s="264">
        <f>IF(NFI_Expiration=1,IF($A368&lt;VLOOKUP(L$5,NFI,5,0),1,0)*Table_NFI[[#This Row],[Tarpaulin]],Table_NFI[[#This Row],[Tarpaulin]])</f>
        <v>0</v>
      </c>
      <c r="AD368" s="264">
        <f>IF(NFI_Expiration=1,IF($A368&lt;VLOOKUP(M$5,NFI,5,0),1,0)*Table_NFI[[#This Row],[Blanket]],Table_NFI[[#This Row],[Blanket]])</f>
        <v>0</v>
      </c>
      <c r="AE368" s="264">
        <f>IF(NFI_Expiration=1,IF($A368&lt;VLOOKUP(N$5,NFI,5,0),1,0)*Table_NFI[[#This Row],[Kitchen Set]],Table_NFI[Kitchen Set])</f>
        <v>0</v>
      </c>
      <c r="AF368" s="264">
        <f>IF(NFI_Expiration=1,IF($A368&lt;VLOOKUP(O$5,NFI,5,0),1,0)*Table_NFI[[#This Row],[Clothes Kit]],Table_NFI[Clothes Kit])</f>
        <v>0</v>
      </c>
      <c r="AG368" s="264">
        <f>IF(NFI_Expiration=1,IF($A368&lt;VLOOKUP(P$5,NFI,5,0),1,0)*Table_NFI[[#This Row],[Plastic Bucket]],Table_NFI[Plastic Bucket])</f>
        <v>0</v>
      </c>
      <c r="AH368" s="264">
        <f>IF(NFI_Expiration=1,IF($A368&lt;VLOOKUP(Q$5,NFI,5,0),1,0)*Table_NFI[[#This Row],[Plastic Mat]],Table_NFI[Plastic Mat])*IF(Table_NFI[[#This Row],[Distribution Date]]&gt;"2014-04-01",1,2.5)</f>
        <v>0</v>
      </c>
      <c r="AI368" s="264">
        <f>IF(NFI_Expiration=1,IF($A368&lt;VLOOKUP(R$5,NFI,5,0),1,0)*Table_NFI[[#This Row],[Winter Clothes Adult]],Table_NFI[Winter Clothes Adult])</f>
        <v>0</v>
      </c>
      <c r="AJ368" s="264">
        <f>IF(NFI_Expiration=1,IF($A368&lt;VLOOKUP(S$5,NFI,5,0),1,0)*Table_NFI[[#This Row],[Winter Clothes Children]],Table_NFI[Winter Clothes Children])</f>
        <v>0</v>
      </c>
      <c r="AK368" s="264">
        <f>IF(NFI_Expiration=1,IF($A368&lt;VLOOKUP(T$5,NFI,5,0),1,0)*Table_NFI[[#This Row],[Winter Items Other]],Table_NFI[Winter Items Other])</f>
        <v>0</v>
      </c>
      <c r="AL368" s="264">
        <f>IF(NFI_Expiration=1,IF($A368&lt;VLOOKUP(M$5,NFI,5,0),1,0)*Table_NFI[[#This Row],[Winter Blanket]],Table_NFI[[#This Row],[Winter Blanket]])</f>
        <v>0</v>
      </c>
      <c r="AM368" s="264">
        <f>IF(Table_NFI[[#This Row],[Winter Clothes Adult]]+Table_NFI[[#This Row],[Winter Clothes Children]]+Table_NFI[[#This Row],[Winter Items Other]]+Table_NFI[[#This Row],[Winter Blanket]]&gt;0,1,0)</f>
        <v>0</v>
      </c>
      <c r="AN368" s="296">
        <f>IF(NFI_Expiration=1,IF($A368&lt;VLOOKUP(V$5,NFI,5,0),1,0)*Table_NFI[[#This Row],[Jerry Can]],Table_NFI[Jerry Can])</f>
        <v>0</v>
      </c>
      <c r="AO368" s="296">
        <f>IF(NFI_Expiration=1,IF($A368&lt;VLOOKUP(V$5,NFI,5,0),1,0)*Table_NFI[[#This Row],[Shelter Tool kit]],Table_NFI[Shelter Tool kit])</f>
        <v>0</v>
      </c>
      <c r="AP368" s="296">
        <f>IF(NFI_Expiration=1,IF($A368&lt;VLOOKUP(V$5,NFI,5,0),1,0)*Table_NFI[[#This Row],[Tent]],Table_NFI[Tent])</f>
        <v>0</v>
      </c>
      <c r="AQ368" s="396" t="str">
        <f>IFERROR(VLOOKUP(Table_NFI[[#This Row],[Camp Name]],CL,2,0),"")</f>
        <v>MMR001CMP033</v>
      </c>
      <c r="AR368" s="702">
        <f ca="1">IF(Table_NFI[[#This Row],[Pcode]]="","",IF(OFFSET(CampList[Opening Date],MATCH(Table_NFI[[#This Row],[Pcode]],CampList[CP_Pcode],0)-1,0,1,1)&gt;=NFI_Monitor_Date,1,0))</f>
        <v>0</v>
      </c>
      <c r="AS368" s="396" t="str">
        <f>IFERROR(VLOOKUP(Table_NFI[[#This Row],[Camp Name]],CL,3,0),"")</f>
        <v>Open</v>
      </c>
      <c r="AT368" s="264" t="str">
        <f ca="1">IF(Table_NFI[[#This Row],[Pcode]]="","",OFFSET(CampList[Priority],MATCH(Table_NFI[[#This Row],[Pcode]],CampList[CP_Pcode],0)-1,0,1,1))</f>
        <v>P4</v>
      </c>
      <c r="AU368" s="263">
        <f>IFERROR(Table_NFI[[#This Row],[Kitchen Set]]/VLOOKUP(Table_NFI[[#This Row],[Camp Name]],CL,4,0),"")</f>
        <v>0</v>
      </c>
      <c r="AV368" s="394"/>
      <c r="AW368" s="397"/>
      <c r="AX368" s="399"/>
      <c r="AY368" s="399"/>
      <c r="AZ368" s="399"/>
      <c r="BA368" s="399"/>
      <c r="BB368" s="399"/>
      <c r="BC368" s="399"/>
      <c r="BD368" s="399"/>
      <c r="BE368" s="399"/>
      <c r="BF368" s="399"/>
      <c r="BG368" s="399"/>
      <c r="BH368" s="399"/>
      <c r="BI368" s="399"/>
      <c r="BJ368" s="399"/>
      <c r="BK368" s="399"/>
      <c r="BL368" s="399"/>
      <c r="BM368" s="399"/>
      <c r="BN368" s="399"/>
      <c r="BO368" s="399"/>
      <c r="BP368" s="399"/>
      <c r="BQ368" s="399"/>
      <c r="BR368" s="399"/>
      <c r="BS368" s="399"/>
      <c r="BT368" s="399"/>
      <c r="BU368" s="399"/>
      <c r="BV368" s="399"/>
      <c r="BW368" s="399"/>
      <c r="BX368" s="399"/>
      <c r="BY368" s="399"/>
      <c r="BZ368" s="399"/>
      <c r="CA368" s="399"/>
      <c r="CB368" s="399"/>
      <c r="CC368" s="399"/>
      <c r="CD368" s="399"/>
      <c r="CE368" s="399"/>
      <c r="CF368" s="399"/>
      <c r="CG368" s="399"/>
      <c r="CH368" s="399"/>
      <c r="CI368" s="399"/>
      <c r="CJ368" s="399"/>
      <c r="CK368" s="399"/>
      <c r="CL368" s="399"/>
      <c r="CM368" s="399"/>
      <c r="CN368" s="399"/>
      <c r="CO368" s="399"/>
      <c r="CP368" s="399"/>
      <c r="CQ368" s="399"/>
      <c r="CR368" s="399"/>
      <c r="CS368" s="399"/>
      <c r="CT368" s="399"/>
      <c r="CU368" s="399"/>
      <c r="CV368" s="399"/>
      <c r="CW368" s="399"/>
      <c r="CX368" s="399"/>
      <c r="CY368" s="399"/>
      <c r="CZ368" s="399"/>
      <c r="DA368" s="399"/>
      <c r="DB368" s="399"/>
      <c r="DC368" s="399"/>
      <c r="DD368" s="399"/>
      <c r="DE368" s="399"/>
      <c r="DF368" s="399"/>
      <c r="DG368" s="399"/>
      <c r="DH368" s="399"/>
      <c r="DI368" s="399"/>
      <c r="DJ368" s="399"/>
      <c r="DK368" s="399"/>
      <c r="DL368" s="399"/>
      <c r="DM368" s="399"/>
      <c r="DN368" s="399"/>
      <c r="DO368" s="399"/>
      <c r="DP368" s="399"/>
      <c r="DQ368" s="399"/>
    </row>
    <row r="369" spans="1:121" s="393" customFormat="1" ht="14.45" customHeight="1" x14ac:dyDescent="0.25">
      <c r="A369" s="266">
        <f t="shared" si="5"/>
        <v>31.433333333333334</v>
      </c>
      <c r="B369" s="389">
        <v>41913</v>
      </c>
      <c r="C369" s="390" t="s">
        <v>451</v>
      </c>
      <c r="D369" s="394" t="s">
        <v>505</v>
      </c>
      <c r="E369" s="394" t="s">
        <v>380</v>
      </c>
      <c r="F369" s="394" t="s">
        <v>237</v>
      </c>
      <c r="G369" s="394" t="s">
        <v>273</v>
      </c>
      <c r="H369" s="261"/>
      <c r="I369" s="261"/>
      <c r="J369" s="261"/>
      <c r="K369" s="261">
        <v>62</v>
      </c>
      <c r="L369" s="261"/>
      <c r="M369" s="261"/>
      <c r="N369" s="261"/>
      <c r="O369" s="261"/>
      <c r="P369" s="261"/>
      <c r="Q369" s="261"/>
      <c r="R369" s="261"/>
      <c r="S369" s="261"/>
      <c r="T369" s="261"/>
      <c r="U369" s="261"/>
      <c r="V369" s="762"/>
      <c r="W369" s="261"/>
      <c r="X369" s="261"/>
      <c r="Y369" s="264">
        <f>IF(NFI_Expiration=1,IF($A369&lt;VLOOKUP(H$5,NFI,5,0),1,0)*Table_NFI[[#This Row],[Hygiene Kit]],Table_NFI[Hygiene Kit])</f>
        <v>0</v>
      </c>
      <c r="Z369" s="264">
        <f>IF(NFI_Expiration=1,IF($A369&lt;VLOOKUP(I$5,NFI,5,0),1,0)*Table_NFI[[#This Row],[NFI Core Kit]],Table_NFI[NFI Core Kit])</f>
        <v>0</v>
      </c>
      <c r="AA369" s="264">
        <f>IF(NFI_Expiration=1,IF($A369&lt;VLOOKUP(J$5,NFI,5,0),1,0)*Table_NFI[[#This Row],[Sanitary Kit]],Table_NFI[Sanitary Kit])</f>
        <v>0</v>
      </c>
      <c r="AB369" s="264">
        <f>IF(NFI_Expiration=1,IF($A369&lt;VLOOKUP(K$5,NFI,5,0),1,0)*Table_NFI[[#This Row],[Mosquito net]],Table_NFI[Mosquito net])</f>
        <v>0</v>
      </c>
      <c r="AC369" s="264">
        <f>IF(NFI_Expiration=1,IF($A369&lt;VLOOKUP(L$5,NFI,5,0),1,0)*Table_NFI[[#This Row],[Tarpaulin]],Table_NFI[[#This Row],[Tarpaulin]])</f>
        <v>0</v>
      </c>
      <c r="AD369" s="264">
        <f>IF(NFI_Expiration=1,IF($A369&lt;VLOOKUP(M$5,NFI,5,0),1,0)*Table_NFI[[#This Row],[Blanket]],Table_NFI[[#This Row],[Blanket]])</f>
        <v>0</v>
      </c>
      <c r="AE369" s="264">
        <f>IF(NFI_Expiration=1,IF($A369&lt;VLOOKUP(N$5,NFI,5,0),1,0)*Table_NFI[[#This Row],[Kitchen Set]],Table_NFI[Kitchen Set])</f>
        <v>0</v>
      </c>
      <c r="AF369" s="264">
        <f>IF(NFI_Expiration=1,IF($A369&lt;VLOOKUP(O$5,NFI,5,0),1,0)*Table_NFI[[#This Row],[Clothes Kit]],Table_NFI[Clothes Kit])</f>
        <v>0</v>
      </c>
      <c r="AG369" s="264">
        <f>IF(NFI_Expiration=1,IF($A369&lt;VLOOKUP(P$5,NFI,5,0),1,0)*Table_NFI[[#This Row],[Plastic Bucket]],Table_NFI[Plastic Bucket])</f>
        <v>0</v>
      </c>
      <c r="AH369" s="264">
        <f>IF(NFI_Expiration=1,IF($A369&lt;VLOOKUP(Q$5,NFI,5,0),1,0)*Table_NFI[[#This Row],[Plastic Mat]],Table_NFI[Plastic Mat])*IF(Table_NFI[[#This Row],[Distribution Date]]&gt;"2014-04-01",1,2.5)</f>
        <v>0</v>
      </c>
      <c r="AI369" s="264">
        <f>IF(NFI_Expiration=1,IF($A369&lt;VLOOKUP(R$5,NFI,5,0),1,0)*Table_NFI[[#This Row],[Winter Clothes Adult]],Table_NFI[Winter Clothes Adult])</f>
        <v>0</v>
      </c>
      <c r="AJ369" s="264">
        <f>IF(NFI_Expiration=1,IF($A369&lt;VLOOKUP(S$5,NFI,5,0),1,0)*Table_NFI[[#This Row],[Winter Clothes Children]],Table_NFI[Winter Clothes Children])</f>
        <v>0</v>
      </c>
      <c r="AK369" s="264">
        <f>IF(NFI_Expiration=1,IF($A369&lt;VLOOKUP(T$5,NFI,5,0),1,0)*Table_NFI[[#This Row],[Winter Items Other]],Table_NFI[Winter Items Other])</f>
        <v>0</v>
      </c>
      <c r="AL369" s="264">
        <f>IF(NFI_Expiration=1,IF($A369&lt;VLOOKUP(M$5,NFI,5,0),1,0)*Table_NFI[[#This Row],[Winter Blanket]],Table_NFI[[#This Row],[Winter Blanket]])</f>
        <v>0</v>
      </c>
      <c r="AM369" s="264">
        <f>IF(Table_NFI[[#This Row],[Winter Clothes Adult]]+Table_NFI[[#This Row],[Winter Clothes Children]]+Table_NFI[[#This Row],[Winter Items Other]]+Table_NFI[[#This Row],[Winter Blanket]]&gt;0,1,0)</f>
        <v>0</v>
      </c>
      <c r="AN369" s="296">
        <f>IF(NFI_Expiration=1,IF($A369&lt;VLOOKUP(V$5,NFI,5,0),1,0)*Table_NFI[[#This Row],[Jerry Can]],Table_NFI[Jerry Can])</f>
        <v>0</v>
      </c>
      <c r="AO369" s="296">
        <f>IF(NFI_Expiration=1,IF($A369&lt;VLOOKUP(V$5,NFI,5,0),1,0)*Table_NFI[[#This Row],[Shelter Tool kit]],Table_NFI[Shelter Tool kit])</f>
        <v>0</v>
      </c>
      <c r="AP369" s="296">
        <f>IF(NFI_Expiration=1,IF($A369&lt;VLOOKUP(V$5,NFI,5,0),1,0)*Table_NFI[[#This Row],[Tent]],Table_NFI[Tent])</f>
        <v>0</v>
      </c>
      <c r="AQ369" s="396" t="str">
        <f>IFERROR(VLOOKUP(Table_NFI[[#This Row],[Camp Name]],CL,2,0),"")</f>
        <v>MMR001CMP162</v>
      </c>
      <c r="AR369" s="702">
        <f ca="1">IF(Table_NFI[[#This Row],[Pcode]]="","",IF(OFFSET(CampList[Opening Date],MATCH(Table_NFI[[#This Row],[Pcode]],CampList[CP_Pcode],0)-1,0,1,1)&gt;=NFI_Monitor_Date,1,0))</f>
        <v>0</v>
      </c>
      <c r="AS369" s="396" t="str">
        <f>IFERROR(VLOOKUP(Table_NFI[[#This Row],[Camp Name]],CL,3,0),"")</f>
        <v>Open</v>
      </c>
      <c r="AT369" s="264" t="str">
        <f ca="1">IF(Table_NFI[[#This Row],[Pcode]]="","",OFFSET(CampList[Priority],MATCH(Table_NFI[[#This Row],[Pcode]],CampList[CP_Pcode],0)-1,0,1,1))</f>
        <v>P4</v>
      </c>
      <c r="AU369" s="263">
        <f>IFERROR(Table_NFI[[#This Row],[Kitchen Set]]/VLOOKUP(Table_NFI[[#This Row],[Camp Name]],CL,4,0),"")</f>
        <v>0</v>
      </c>
      <c r="AV369" s="394"/>
      <c r="AW369" s="397"/>
      <c r="AX369" s="399"/>
      <c r="AY369" s="399"/>
      <c r="AZ369" s="399"/>
      <c r="BA369" s="399"/>
      <c r="BB369" s="399"/>
      <c r="BC369" s="399"/>
      <c r="BD369" s="399"/>
      <c r="BE369" s="399"/>
      <c r="BF369" s="399"/>
      <c r="BG369" s="399"/>
      <c r="BH369" s="399"/>
      <c r="BI369" s="399"/>
      <c r="BJ369" s="399"/>
      <c r="BK369" s="399"/>
      <c r="BL369" s="399"/>
      <c r="BM369" s="399"/>
      <c r="BN369" s="399"/>
      <c r="BO369" s="399"/>
      <c r="BP369" s="399"/>
      <c r="BQ369" s="399"/>
      <c r="BR369" s="399"/>
      <c r="BS369" s="399"/>
      <c r="BT369" s="399"/>
      <c r="BU369" s="399"/>
      <c r="BV369" s="399"/>
      <c r="BW369" s="399"/>
      <c r="BX369" s="399"/>
      <c r="BY369" s="399"/>
      <c r="BZ369" s="399"/>
      <c r="CA369" s="399"/>
      <c r="CB369" s="399"/>
      <c r="CC369" s="399"/>
      <c r="CD369" s="399"/>
      <c r="CE369" s="399"/>
      <c r="CF369" s="399"/>
      <c r="CG369" s="399"/>
      <c r="CH369" s="399"/>
      <c r="CI369" s="399"/>
      <c r="CJ369" s="399"/>
      <c r="CK369" s="399"/>
      <c r="CL369" s="399"/>
      <c r="CM369" s="399"/>
      <c r="CN369" s="399"/>
      <c r="CO369" s="399"/>
      <c r="CP369" s="399"/>
      <c r="CQ369" s="399"/>
      <c r="CR369" s="399"/>
      <c r="CS369" s="399"/>
      <c r="CT369" s="399"/>
      <c r="CU369" s="399"/>
      <c r="CV369" s="399"/>
      <c r="CW369" s="399"/>
      <c r="CX369" s="399"/>
      <c r="CY369" s="399"/>
      <c r="CZ369" s="399"/>
      <c r="DA369" s="399"/>
      <c r="DB369" s="399"/>
      <c r="DC369" s="399"/>
      <c r="DD369" s="399"/>
      <c r="DE369" s="399"/>
      <c r="DF369" s="399"/>
      <c r="DG369" s="399"/>
      <c r="DH369" s="399"/>
      <c r="DI369" s="399"/>
      <c r="DJ369" s="399"/>
      <c r="DK369" s="399"/>
      <c r="DL369" s="399"/>
      <c r="DM369" s="399"/>
      <c r="DN369" s="399"/>
      <c r="DO369" s="399"/>
      <c r="DP369" s="399"/>
      <c r="DQ369" s="399"/>
    </row>
    <row r="370" spans="1:121" s="760" customFormat="1" ht="14.45" customHeight="1" x14ac:dyDescent="0.25">
      <c r="A370" s="266">
        <f t="shared" si="5"/>
        <v>31.433333333333334</v>
      </c>
      <c r="B370" s="389">
        <v>41913</v>
      </c>
      <c r="C370" s="390" t="s">
        <v>451</v>
      </c>
      <c r="D370" s="394" t="s">
        <v>505</v>
      </c>
      <c r="E370" s="394" t="s">
        <v>380</v>
      </c>
      <c r="F370" s="394" t="s">
        <v>27</v>
      </c>
      <c r="G370" s="394" t="s">
        <v>863</v>
      </c>
      <c r="H370" s="261"/>
      <c r="I370" s="261"/>
      <c r="J370" s="261"/>
      <c r="K370" s="261">
        <v>130</v>
      </c>
      <c r="L370" s="261"/>
      <c r="M370" s="261"/>
      <c r="N370" s="261"/>
      <c r="O370" s="261"/>
      <c r="P370" s="261"/>
      <c r="Q370" s="261"/>
      <c r="R370" s="261"/>
      <c r="S370" s="261"/>
      <c r="T370" s="261"/>
      <c r="U370" s="261">
        <v>130</v>
      </c>
      <c r="V370" s="762"/>
      <c r="W370" s="261"/>
      <c r="X370" s="261"/>
      <c r="Y370" s="264">
        <f>IF(NFI_Expiration=1,IF($A370&lt;VLOOKUP(H$5,NFI,5,0),1,0)*Table_NFI[[#This Row],[Hygiene Kit]],Table_NFI[Hygiene Kit])</f>
        <v>0</v>
      </c>
      <c r="Z370" s="264">
        <f>IF(NFI_Expiration=1,IF($A370&lt;VLOOKUP(I$5,NFI,5,0),1,0)*Table_NFI[[#This Row],[NFI Core Kit]],Table_NFI[NFI Core Kit])</f>
        <v>0</v>
      </c>
      <c r="AA370" s="264">
        <f>IF(NFI_Expiration=1,IF($A370&lt;VLOOKUP(J$5,NFI,5,0),1,0)*Table_NFI[[#This Row],[Sanitary Kit]],Table_NFI[Sanitary Kit])</f>
        <v>0</v>
      </c>
      <c r="AB370" s="264">
        <f>IF(NFI_Expiration=1,IF($A370&lt;VLOOKUP(K$5,NFI,5,0),1,0)*Table_NFI[[#This Row],[Mosquito net]],Table_NFI[Mosquito net])</f>
        <v>0</v>
      </c>
      <c r="AC370" s="264">
        <f>IF(NFI_Expiration=1,IF($A370&lt;VLOOKUP(L$5,NFI,5,0),1,0)*Table_NFI[[#This Row],[Tarpaulin]],Table_NFI[[#This Row],[Tarpaulin]])</f>
        <v>0</v>
      </c>
      <c r="AD370" s="264">
        <f>IF(NFI_Expiration=1,IF($A370&lt;VLOOKUP(M$5,NFI,5,0),1,0)*Table_NFI[[#This Row],[Blanket]],Table_NFI[[#This Row],[Blanket]])</f>
        <v>0</v>
      </c>
      <c r="AE370" s="264">
        <f>IF(NFI_Expiration=1,IF($A370&lt;VLOOKUP(N$5,NFI,5,0),1,0)*Table_NFI[[#This Row],[Kitchen Set]],Table_NFI[Kitchen Set])</f>
        <v>0</v>
      </c>
      <c r="AF370" s="264">
        <f>IF(NFI_Expiration=1,IF($A370&lt;VLOOKUP(O$5,NFI,5,0),1,0)*Table_NFI[[#This Row],[Clothes Kit]],Table_NFI[Clothes Kit])</f>
        <v>0</v>
      </c>
      <c r="AG370" s="264">
        <f>IF(NFI_Expiration=1,IF($A370&lt;VLOOKUP(P$5,NFI,5,0),1,0)*Table_NFI[[#This Row],[Plastic Bucket]],Table_NFI[Plastic Bucket])</f>
        <v>0</v>
      </c>
      <c r="AH370" s="264">
        <f>IF(NFI_Expiration=1,IF($A370&lt;VLOOKUP(Q$5,NFI,5,0),1,0)*Table_NFI[[#This Row],[Plastic Mat]],Table_NFI[Plastic Mat])*IF(Table_NFI[[#This Row],[Distribution Date]]&gt;"2014-04-01",1,2.5)</f>
        <v>0</v>
      </c>
      <c r="AI370" s="264">
        <f>IF(NFI_Expiration=1,IF($A370&lt;VLOOKUP(R$5,NFI,5,0),1,0)*Table_NFI[[#This Row],[Winter Clothes Adult]],Table_NFI[Winter Clothes Adult])</f>
        <v>0</v>
      </c>
      <c r="AJ370" s="264">
        <f>IF(NFI_Expiration=1,IF($A370&lt;VLOOKUP(S$5,NFI,5,0),1,0)*Table_NFI[[#This Row],[Winter Clothes Children]],Table_NFI[Winter Clothes Children])</f>
        <v>0</v>
      </c>
      <c r="AK370" s="264">
        <f>IF(NFI_Expiration=1,IF($A370&lt;VLOOKUP(T$5,NFI,5,0),1,0)*Table_NFI[[#This Row],[Winter Items Other]],Table_NFI[Winter Items Other])</f>
        <v>0</v>
      </c>
      <c r="AL370" s="264">
        <f>IF(NFI_Expiration=1,IF($A370&lt;VLOOKUP(M$5,NFI,5,0),1,0)*Table_NFI[[#This Row],[Winter Blanket]],Table_NFI[[#This Row],[Winter Blanket]])</f>
        <v>0</v>
      </c>
      <c r="AM370" s="264">
        <f>IF(Table_NFI[[#This Row],[Winter Clothes Adult]]+Table_NFI[[#This Row],[Winter Clothes Children]]+Table_NFI[[#This Row],[Winter Items Other]]+Table_NFI[[#This Row],[Winter Blanket]]&gt;0,1,0)</f>
        <v>1</v>
      </c>
      <c r="AN370" s="296">
        <f>IF(NFI_Expiration=1,IF($A370&lt;VLOOKUP(V$5,NFI,5,0),1,0)*Table_NFI[[#This Row],[Jerry Can]],Table_NFI[Jerry Can])</f>
        <v>0</v>
      </c>
      <c r="AO370" s="296">
        <f>IF(NFI_Expiration=1,IF($A370&lt;VLOOKUP(V$5,NFI,5,0),1,0)*Table_NFI[[#This Row],[Shelter Tool kit]],Table_NFI[Shelter Tool kit])</f>
        <v>0</v>
      </c>
      <c r="AP370" s="296">
        <f>IF(NFI_Expiration=1,IF($A370&lt;VLOOKUP(V$5,NFI,5,0),1,0)*Table_NFI[[#This Row],[Tent]],Table_NFI[Tent])</f>
        <v>0</v>
      </c>
      <c r="AQ370" s="396" t="str">
        <f>IFERROR(VLOOKUP(Table_NFI[[#This Row],[Camp Name]],CL,2,0),"")</f>
        <v>MMR001CMP210</v>
      </c>
      <c r="AR370" s="702">
        <f ca="1">IF(Table_NFI[[#This Row],[Pcode]]="","",IF(OFFSET(CampList[Opening Date],MATCH(Table_NFI[[#This Row],[Pcode]],CampList[CP_Pcode],0)-1,0,1,1)&gt;=NFI_Monitor_Date,1,0))</f>
        <v>0</v>
      </c>
      <c r="AS370" s="396" t="str">
        <f>IFERROR(VLOOKUP(Table_NFI[[#This Row],[Camp Name]],CL,3,0),"")</f>
        <v>Open</v>
      </c>
      <c r="AT370" s="264" t="str">
        <f ca="1">IF(Table_NFI[[#This Row],[Pcode]]="","",OFFSET(CampList[Priority],MATCH(Table_NFI[[#This Row],[Pcode]],CampList[CP_Pcode],0)-1,0,1,1))</f>
        <v>P1</v>
      </c>
      <c r="AU370" s="263">
        <f>IFERROR(Table_NFI[[#This Row],[Kitchen Set]]/VLOOKUP(Table_NFI[[#This Row],[Camp Name]],CL,4,0),"")</f>
        <v>0</v>
      </c>
      <c r="AV370" s="394"/>
      <c r="AW370" s="397"/>
      <c r="AX370" s="399"/>
      <c r="AY370" s="399"/>
      <c r="AZ370" s="399"/>
      <c r="BA370" s="399"/>
      <c r="BB370" s="399"/>
      <c r="BC370" s="399"/>
      <c r="BD370" s="399"/>
      <c r="BE370" s="399"/>
      <c r="BF370" s="399"/>
      <c r="BG370" s="399"/>
      <c r="BH370" s="399"/>
      <c r="BI370" s="399"/>
      <c r="BJ370" s="399"/>
      <c r="BK370" s="399"/>
      <c r="BL370" s="399"/>
      <c r="BM370" s="399"/>
      <c r="BN370" s="399"/>
      <c r="BO370" s="399"/>
      <c r="BP370" s="399"/>
      <c r="BQ370" s="399"/>
      <c r="BR370" s="399"/>
      <c r="BS370" s="399"/>
      <c r="BT370" s="399"/>
      <c r="BU370" s="399"/>
      <c r="BV370" s="399"/>
      <c r="BW370" s="399"/>
      <c r="BX370" s="399"/>
      <c r="BY370" s="399"/>
      <c r="BZ370" s="399"/>
      <c r="CA370" s="399"/>
      <c r="CB370" s="399"/>
      <c r="CC370" s="399"/>
      <c r="CD370" s="399"/>
      <c r="CE370" s="399"/>
      <c r="CF370" s="399"/>
      <c r="CG370" s="399"/>
      <c r="CH370" s="399"/>
      <c r="CI370" s="399"/>
      <c r="CJ370" s="399"/>
      <c r="CK370" s="399"/>
      <c r="CL370" s="399"/>
      <c r="CM370" s="399"/>
      <c r="CN370" s="399"/>
      <c r="CO370" s="399"/>
      <c r="CP370" s="399"/>
      <c r="CQ370" s="399"/>
      <c r="CR370" s="399"/>
      <c r="CS370" s="399"/>
      <c r="CT370" s="399"/>
      <c r="CU370" s="399"/>
      <c r="CV370" s="399"/>
      <c r="CW370" s="399"/>
      <c r="CX370" s="399"/>
      <c r="CY370" s="399"/>
      <c r="CZ370" s="399"/>
      <c r="DA370" s="399"/>
      <c r="DB370" s="399"/>
      <c r="DC370" s="399"/>
      <c r="DD370" s="399"/>
      <c r="DE370" s="399"/>
      <c r="DF370" s="399"/>
      <c r="DG370" s="399"/>
      <c r="DH370" s="399"/>
      <c r="DI370" s="399"/>
      <c r="DJ370" s="399"/>
      <c r="DK370" s="399"/>
      <c r="DL370" s="399"/>
      <c r="DM370" s="399"/>
      <c r="DN370" s="399"/>
      <c r="DO370" s="399"/>
      <c r="DP370" s="399"/>
      <c r="DQ370" s="399"/>
    </row>
    <row r="371" spans="1:121" s="760" customFormat="1" ht="14.45" customHeight="1" x14ac:dyDescent="0.25">
      <c r="A371" s="266">
        <f t="shared" si="5"/>
        <v>31.433333333333334</v>
      </c>
      <c r="B371" s="389">
        <v>41913</v>
      </c>
      <c r="C371" s="390" t="s">
        <v>451</v>
      </c>
      <c r="D371" s="394" t="s">
        <v>504</v>
      </c>
      <c r="E371" s="394" t="s">
        <v>380</v>
      </c>
      <c r="F371" s="394" t="s">
        <v>310</v>
      </c>
      <c r="G371" s="394" t="s">
        <v>318</v>
      </c>
      <c r="H371" s="261"/>
      <c r="I371" s="261"/>
      <c r="J371" s="261"/>
      <c r="K371" s="261">
        <v>240</v>
      </c>
      <c r="L371" s="261"/>
      <c r="M371" s="261"/>
      <c r="N371" s="261"/>
      <c r="O371" s="261"/>
      <c r="P371" s="261"/>
      <c r="Q371" s="261"/>
      <c r="R371" s="261"/>
      <c r="S371" s="261"/>
      <c r="T371" s="261"/>
      <c r="U371" s="261"/>
      <c r="V371" s="762"/>
      <c r="W371" s="261"/>
      <c r="X371" s="261"/>
      <c r="Y371" s="264">
        <f>IF(NFI_Expiration=1,IF($A371&lt;VLOOKUP(H$5,NFI,5,0),1,0)*Table_NFI[[#This Row],[Hygiene Kit]],Table_NFI[Hygiene Kit])</f>
        <v>0</v>
      </c>
      <c r="Z371" s="264">
        <f>IF(NFI_Expiration=1,IF($A371&lt;VLOOKUP(I$5,NFI,5,0),1,0)*Table_NFI[[#This Row],[NFI Core Kit]],Table_NFI[NFI Core Kit])</f>
        <v>0</v>
      </c>
      <c r="AA371" s="264">
        <f>IF(NFI_Expiration=1,IF($A371&lt;VLOOKUP(J$5,NFI,5,0),1,0)*Table_NFI[[#This Row],[Sanitary Kit]],Table_NFI[Sanitary Kit])</f>
        <v>0</v>
      </c>
      <c r="AB371" s="264">
        <f>IF(NFI_Expiration=1,IF($A371&lt;VLOOKUP(K$5,NFI,5,0),1,0)*Table_NFI[[#This Row],[Mosquito net]],Table_NFI[Mosquito net])</f>
        <v>0</v>
      </c>
      <c r="AC371" s="264">
        <f>IF(NFI_Expiration=1,IF($A371&lt;VLOOKUP(L$5,NFI,5,0),1,0)*Table_NFI[[#This Row],[Tarpaulin]],Table_NFI[[#This Row],[Tarpaulin]])</f>
        <v>0</v>
      </c>
      <c r="AD371" s="264">
        <f>IF(NFI_Expiration=1,IF($A371&lt;VLOOKUP(M$5,NFI,5,0),1,0)*Table_NFI[[#This Row],[Blanket]],Table_NFI[[#This Row],[Blanket]])</f>
        <v>0</v>
      </c>
      <c r="AE371" s="264">
        <f>IF(NFI_Expiration=1,IF($A371&lt;VLOOKUP(N$5,NFI,5,0),1,0)*Table_NFI[[#This Row],[Kitchen Set]],Table_NFI[Kitchen Set])</f>
        <v>0</v>
      </c>
      <c r="AF371" s="264">
        <f>IF(NFI_Expiration=1,IF($A371&lt;VLOOKUP(O$5,NFI,5,0),1,0)*Table_NFI[[#This Row],[Clothes Kit]],Table_NFI[Clothes Kit])</f>
        <v>0</v>
      </c>
      <c r="AG371" s="264">
        <f>IF(NFI_Expiration=1,IF($A371&lt;VLOOKUP(P$5,NFI,5,0),1,0)*Table_NFI[[#This Row],[Plastic Bucket]],Table_NFI[Plastic Bucket])</f>
        <v>0</v>
      </c>
      <c r="AH371" s="264">
        <f>IF(NFI_Expiration=1,IF($A371&lt;VLOOKUP(Q$5,NFI,5,0),1,0)*Table_NFI[[#This Row],[Plastic Mat]],Table_NFI[Plastic Mat])*IF(Table_NFI[[#This Row],[Distribution Date]]&gt;"2014-04-01",1,2.5)</f>
        <v>0</v>
      </c>
      <c r="AI371" s="264">
        <f>IF(NFI_Expiration=1,IF($A371&lt;VLOOKUP(R$5,NFI,5,0),1,0)*Table_NFI[[#This Row],[Winter Clothes Adult]],Table_NFI[Winter Clothes Adult])</f>
        <v>0</v>
      </c>
      <c r="AJ371" s="264">
        <f>IF(NFI_Expiration=1,IF($A371&lt;VLOOKUP(S$5,NFI,5,0),1,0)*Table_NFI[[#This Row],[Winter Clothes Children]],Table_NFI[Winter Clothes Children])</f>
        <v>0</v>
      </c>
      <c r="AK371" s="264">
        <f>IF(NFI_Expiration=1,IF($A371&lt;VLOOKUP(T$5,NFI,5,0),1,0)*Table_NFI[[#This Row],[Winter Items Other]],Table_NFI[Winter Items Other])</f>
        <v>0</v>
      </c>
      <c r="AL371" s="264">
        <f>IF(NFI_Expiration=1,IF($A371&lt;VLOOKUP(M$5,NFI,5,0),1,0)*Table_NFI[[#This Row],[Winter Blanket]],Table_NFI[[#This Row],[Winter Blanket]])</f>
        <v>0</v>
      </c>
      <c r="AM371" s="264">
        <f>IF(Table_NFI[[#This Row],[Winter Clothes Adult]]+Table_NFI[[#This Row],[Winter Clothes Children]]+Table_NFI[[#This Row],[Winter Items Other]]+Table_NFI[[#This Row],[Winter Blanket]]&gt;0,1,0)</f>
        <v>0</v>
      </c>
      <c r="AN371" s="296">
        <f>IF(NFI_Expiration=1,IF($A371&lt;VLOOKUP(V$5,NFI,5,0),1,0)*Table_NFI[[#This Row],[Jerry Can]],Table_NFI[Jerry Can])</f>
        <v>0</v>
      </c>
      <c r="AO371" s="296">
        <f>IF(NFI_Expiration=1,IF($A371&lt;VLOOKUP(V$5,NFI,5,0),1,0)*Table_NFI[[#This Row],[Shelter Tool kit]],Table_NFI[Shelter Tool kit])</f>
        <v>0</v>
      </c>
      <c r="AP371" s="296">
        <f>IF(NFI_Expiration=1,IF($A371&lt;VLOOKUP(V$5,NFI,5,0),1,0)*Table_NFI[[#This Row],[Tent]],Table_NFI[Tent])</f>
        <v>0</v>
      </c>
      <c r="AQ371" s="396" t="str">
        <f>IFERROR(VLOOKUP(Table_NFI[[#This Row],[Camp Name]],CL,2,0),"")</f>
        <v>MMR001CMP032</v>
      </c>
      <c r="AR371" s="702">
        <f ca="1">IF(Table_NFI[[#This Row],[Pcode]]="","",IF(OFFSET(CampList[Opening Date],MATCH(Table_NFI[[#This Row],[Pcode]],CampList[CP_Pcode],0)-1,0,1,1)&gt;=NFI_Monitor_Date,1,0))</f>
        <v>0</v>
      </c>
      <c r="AS371" s="396" t="str">
        <f>IFERROR(VLOOKUP(Table_NFI[[#This Row],[Camp Name]],CL,3,0),"")</f>
        <v>Open</v>
      </c>
      <c r="AT371" s="264" t="str">
        <f ca="1">IF(Table_NFI[[#This Row],[Pcode]]="","",OFFSET(CampList[Priority],MATCH(Table_NFI[[#This Row],[Pcode]],CampList[CP_Pcode],0)-1,0,1,1))</f>
        <v>P4</v>
      </c>
      <c r="AU371" s="263">
        <f>IFERROR(Table_NFI[[#This Row],[Kitchen Set]]/VLOOKUP(Table_NFI[[#This Row],[Camp Name]],CL,4,0),"")</f>
        <v>0</v>
      </c>
      <c r="AV371" s="394"/>
      <c r="AW371" s="397"/>
      <c r="AX371" s="399"/>
      <c r="AY371" s="399"/>
      <c r="AZ371" s="399"/>
      <c r="BA371" s="399"/>
      <c r="BB371" s="399"/>
      <c r="BC371" s="399"/>
      <c r="BD371" s="399"/>
      <c r="BE371" s="399"/>
      <c r="BF371" s="399"/>
      <c r="BG371" s="399"/>
      <c r="BH371" s="399"/>
      <c r="BI371" s="399"/>
      <c r="BJ371" s="399"/>
      <c r="BK371" s="399"/>
      <c r="BL371" s="399"/>
      <c r="BM371" s="399"/>
      <c r="BN371" s="399"/>
      <c r="BO371" s="399"/>
      <c r="BP371" s="399"/>
      <c r="BQ371" s="399"/>
      <c r="BR371" s="399"/>
      <c r="BS371" s="399"/>
      <c r="BT371" s="399"/>
      <c r="BU371" s="399"/>
      <c r="BV371" s="399"/>
      <c r="BW371" s="399"/>
      <c r="BX371" s="399"/>
      <c r="BY371" s="399"/>
      <c r="BZ371" s="399"/>
      <c r="CA371" s="399"/>
      <c r="CB371" s="399"/>
      <c r="CC371" s="399"/>
      <c r="CD371" s="399"/>
      <c r="CE371" s="399"/>
      <c r="CF371" s="399"/>
      <c r="CG371" s="399"/>
      <c r="CH371" s="399"/>
      <c r="CI371" s="399"/>
      <c r="CJ371" s="399"/>
      <c r="CK371" s="399"/>
      <c r="CL371" s="399"/>
      <c r="CM371" s="399"/>
      <c r="CN371" s="399"/>
      <c r="CO371" s="399"/>
      <c r="CP371" s="399"/>
      <c r="CQ371" s="399"/>
      <c r="CR371" s="399"/>
      <c r="CS371" s="399"/>
      <c r="CT371" s="399"/>
      <c r="CU371" s="399"/>
      <c r="CV371" s="399"/>
      <c r="CW371" s="399"/>
      <c r="CX371" s="399"/>
      <c r="CY371" s="399"/>
      <c r="CZ371" s="399"/>
      <c r="DA371" s="399"/>
      <c r="DB371" s="399"/>
      <c r="DC371" s="399"/>
      <c r="DD371" s="399"/>
      <c r="DE371" s="399"/>
      <c r="DF371" s="399"/>
      <c r="DG371" s="399"/>
      <c r="DH371" s="399"/>
      <c r="DI371" s="399"/>
      <c r="DJ371" s="399"/>
      <c r="DK371" s="399"/>
      <c r="DL371" s="399"/>
      <c r="DM371" s="399"/>
      <c r="DN371" s="399"/>
      <c r="DO371" s="399"/>
      <c r="DP371" s="399"/>
      <c r="DQ371" s="399"/>
    </row>
    <row r="372" spans="1:121" s="760" customFormat="1" ht="14.45" customHeight="1" x14ac:dyDescent="0.25">
      <c r="A372" s="266">
        <f t="shared" si="5"/>
        <v>31.433333333333334</v>
      </c>
      <c r="B372" s="389">
        <v>41913</v>
      </c>
      <c r="C372" s="390" t="s">
        <v>451</v>
      </c>
      <c r="D372" s="394" t="s">
        <v>504</v>
      </c>
      <c r="E372" s="394" t="s">
        <v>380</v>
      </c>
      <c r="F372" s="394" t="s">
        <v>310</v>
      </c>
      <c r="G372" s="394" t="s">
        <v>338</v>
      </c>
      <c r="H372" s="261"/>
      <c r="I372" s="261"/>
      <c r="J372" s="261"/>
      <c r="K372" s="261">
        <v>46</v>
      </c>
      <c r="L372" s="261"/>
      <c r="M372" s="261"/>
      <c r="N372" s="261"/>
      <c r="O372" s="261"/>
      <c r="P372" s="261"/>
      <c r="Q372" s="261"/>
      <c r="R372" s="261"/>
      <c r="S372" s="261"/>
      <c r="T372" s="261"/>
      <c r="U372" s="261"/>
      <c r="V372" s="762"/>
      <c r="W372" s="261"/>
      <c r="X372" s="261"/>
      <c r="Y372" s="264">
        <f>IF(NFI_Expiration=1,IF($A372&lt;VLOOKUP(H$5,NFI,5,0),1,0)*Table_NFI[[#This Row],[Hygiene Kit]],Table_NFI[Hygiene Kit])</f>
        <v>0</v>
      </c>
      <c r="Z372" s="264">
        <f>IF(NFI_Expiration=1,IF($A372&lt;VLOOKUP(I$5,NFI,5,0),1,0)*Table_NFI[[#This Row],[NFI Core Kit]],Table_NFI[NFI Core Kit])</f>
        <v>0</v>
      </c>
      <c r="AA372" s="264">
        <f>IF(NFI_Expiration=1,IF($A372&lt;VLOOKUP(J$5,NFI,5,0),1,0)*Table_NFI[[#This Row],[Sanitary Kit]],Table_NFI[Sanitary Kit])</f>
        <v>0</v>
      </c>
      <c r="AB372" s="264">
        <f>IF(NFI_Expiration=1,IF($A372&lt;VLOOKUP(K$5,NFI,5,0),1,0)*Table_NFI[[#This Row],[Mosquito net]],Table_NFI[Mosquito net])</f>
        <v>0</v>
      </c>
      <c r="AC372" s="264">
        <f>IF(NFI_Expiration=1,IF($A372&lt;VLOOKUP(L$5,NFI,5,0),1,0)*Table_NFI[[#This Row],[Tarpaulin]],Table_NFI[[#This Row],[Tarpaulin]])</f>
        <v>0</v>
      </c>
      <c r="AD372" s="264">
        <f>IF(NFI_Expiration=1,IF($A372&lt;VLOOKUP(M$5,NFI,5,0),1,0)*Table_NFI[[#This Row],[Blanket]],Table_NFI[[#This Row],[Blanket]])</f>
        <v>0</v>
      </c>
      <c r="AE372" s="264">
        <f>IF(NFI_Expiration=1,IF($A372&lt;VLOOKUP(N$5,NFI,5,0),1,0)*Table_NFI[[#This Row],[Kitchen Set]],Table_NFI[Kitchen Set])</f>
        <v>0</v>
      </c>
      <c r="AF372" s="264">
        <f>IF(NFI_Expiration=1,IF($A372&lt;VLOOKUP(O$5,NFI,5,0),1,0)*Table_NFI[[#This Row],[Clothes Kit]],Table_NFI[Clothes Kit])</f>
        <v>0</v>
      </c>
      <c r="AG372" s="264">
        <f>IF(NFI_Expiration=1,IF($A372&lt;VLOOKUP(P$5,NFI,5,0),1,0)*Table_NFI[[#This Row],[Plastic Bucket]],Table_NFI[Plastic Bucket])</f>
        <v>0</v>
      </c>
      <c r="AH372" s="264">
        <f>IF(NFI_Expiration=1,IF($A372&lt;VLOOKUP(Q$5,NFI,5,0),1,0)*Table_NFI[[#This Row],[Plastic Mat]],Table_NFI[Plastic Mat])*IF(Table_NFI[[#This Row],[Distribution Date]]&gt;"2014-04-01",1,2.5)</f>
        <v>0</v>
      </c>
      <c r="AI372" s="264">
        <f>IF(NFI_Expiration=1,IF($A372&lt;VLOOKUP(R$5,NFI,5,0),1,0)*Table_NFI[[#This Row],[Winter Clothes Adult]],Table_NFI[Winter Clothes Adult])</f>
        <v>0</v>
      </c>
      <c r="AJ372" s="264">
        <f>IF(NFI_Expiration=1,IF($A372&lt;VLOOKUP(S$5,NFI,5,0),1,0)*Table_NFI[[#This Row],[Winter Clothes Children]],Table_NFI[Winter Clothes Children])</f>
        <v>0</v>
      </c>
      <c r="AK372" s="264">
        <f>IF(NFI_Expiration=1,IF($A372&lt;VLOOKUP(T$5,NFI,5,0),1,0)*Table_NFI[[#This Row],[Winter Items Other]],Table_NFI[Winter Items Other])</f>
        <v>0</v>
      </c>
      <c r="AL372" s="264">
        <f>IF(NFI_Expiration=1,IF($A372&lt;VLOOKUP(M$5,NFI,5,0),1,0)*Table_NFI[[#This Row],[Winter Blanket]],Table_NFI[[#This Row],[Winter Blanket]])</f>
        <v>0</v>
      </c>
      <c r="AM372" s="264">
        <f>IF(Table_NFI[[#This Row],[Winter Clothes Adult]]+Table_NFI[[#This Row],[Winter Clothes Children]]+Table_NFI[[#This Row],[Winter Items Other]]+Table_NFI[[#This Row],[Winter Blanket]]&gt;0,1,0)</f>
        <v>0</v>
      </c>
      <c r="AN372" s="296">
        <f>IF(NFI_Expiration=1,IF($A372&lt;VLOOKUP(V$5,NFI,5,0),1,0)*Table_NFI[[#This Row],[Jerry Can]],Table_NFI[Jerry Can])</f>
        <v>0</v>
      </c>
      <c r="AO372" s="296">
        <f>IF(NFI_Expiration=1,IF($A372&lt;VLOOKUP(V$5,NFI,5,0),1,0)*Table_NFI[[#This Row],[Shelter Tool kit]],Table_NFI[Shelter Tool kit])</f>
        <v>0</v>
      </c>
      <c r="AP372" s="296">
        <f>IF(NFI_Expiration=1,IF($A372&lt;VLOOKUP(V$5,NFI,5,0),1,0)*Table_NFI[[#This Row],[Tent]],Table_NFI[Tent])</f>
        <v>0</v>
      </c>
      <c r="AQ372" s="396" t="str">
        <f>IFERROR(VLOOKUP(Table_NFI[[#This Row],[Camp Name]],CL,2,0),"")</f>
        <v>MMR001CMP030</v>
      </c>
      <c r="AR372" s="702">
        <f ca="1">IF(Table_NFI[[#This Row],[Pcode]]="","",IF(OFFSET(CampList[Opening Date],MATCH(Table_NFI[[#This Row],[Pcode]],CampList[CP_Pcode],0)-1,0,1,1)&gt;=NFI_Monitor_Date,1,0))</f>
        <v>0</v>
      </c>
      <c r="AS372" s="396" t="str">
        <f>IFERROR(VLOOKUP(Table_NFI[[#This Row],[Camp Name]],CL,3,0),"")</f>
        <v>Open</v>
      </c>
      <c r="AT372" s="264" t="str">
        <f ca="1">IF(Table_NFI[[#This Row],[Pcode]]="","",OFFSET(CampList[Priority],MATCH(Table_NFI[[#This Row],[Pcode]],CampList[CP_Pcode],0)-1,0,1,1))</f>
        <v>P4</v>
      </c>
      <c r="AU372" s="263">
        <f>IFERROR(Table_NFI[[#This Row],[Kitchen Set]]/VLOOKUP(Table_NFI[[#This Row],[Camp Name]],CL,4,0),"")</f>
        <v>0</v>
      </c>
      <c r="AV372" s="394"/>
      <c r="AW372" s="397"/>
      <c r="AX372" s="399"/>
      <c r="AY372" s="399"/>
      <c r="AZ372" s="399"/>
      <c r="BA372" s="399"/>
      <c r="BB372" s="399"/>
      <c r="BC372" s="399"/>
      <c r="BD372" s="399"/>
      <c r="BE372" s="399"/>
      <c r="BF372" s="399"/>
      <c r="BG372" s="399"/>
      <c r="BH372" s="399"/>
      <c r="BI372" s="399"/>
      <c r="BJ372" s="399"/>
      <c r="BK372" s="399"/>
      <c r="BL372" s="399"/>
      <c r="BM372" s="399"/>
      <c r="BN372" s="399"/>
      <c r="BO372" s="399"/>
      <c r="BP372" s="399"/>
      <c r="BQ372" s="399"/>
      <c r="BR372" s="399"/>
      <c r="BS372" s="399"/>
      <c r="BT372" s="399"/>
      <c r="BU372" s="399"/>
      <c r="BV372" s="399"/>
      <c r="BW372" s="399"/>
      <c r="BX372" s="399"/>
      <c r="BY372" s="399"/>
      <c r="BZ372" s="399"/>
      <c r="CA372" s="399"/>
      <c r="CB372" s="399"/>
      <c r="CC372" s="399"/>
      <c r="CD372" s="399"/>
      <c r="CE372" s="399"/>
      <c r="CF372" s="399"/>
      <c r="CG372" s="399"/>
      <c r="CH372" s="399"/>
      <c r="CI372" s="399"/>
      <c r="CJ372" s="399"/>
      <c r="CK372" s="399"/>
      <c r="CL372" s="399"/>
      <c r="CM372" s="399"/>
      <c r="CN372" s="399"/>
      <c r="CO372" s="399"/>
      <c r="CP372" s="399"/>
      <c r="CQ372" s="399"/>
      <c r="CR372" s="399"/>
      <c r="CS372" s="399"/>
      <c r="CT372" s="399"/>
      <c r="CU372" s="399"/>
      <c r="CV372" s="399"/>
      <c r="CW372" s="399"/>
      <c r="CX372" s="399"/>
      <c r="CY372" s="399"/>
      <c r="CZ372" s="399"/>
      <c r="DA372" s="399"/>
      <c r="DB372" s="399"/>
      <c r="DC372" s="399"/>
      <c r="DD372" s="399"/>
      <c r="DE372" s="399"/>
      <c r="DF372" s="399"/>
      <c r="DG372" s="399"/>
      <c r="DH372" s="399"/>
      <c r="DI372" s="399"/>
      <c r="DJ372" s="399"/>
      <c r="DK372" s="399"/>
      <c r="DL372" s="399"/>
      <c r="DM372" s="399"/>
      <c r="DN372" s="399"/>
      <c r="DO372" s="399"/>
      <c r="DP372" s="399"/>
      <c r="DQ372" s="399"/>
    </row>
    <row r="373" spans="1:121" s="760" customFormat="1" ht="15" customHeight="1" x14ac:dyDescent="0.25">
      <c r="A373" s="266">
        <f t="shared" si="5"/>
        <v>31.433333333333334</v>
      </c>
      <c r="B373" s="389">
        <v>41913</v>
      </c>
      <c r="C373" s="390" t="s">
        <v>451</v>
      </c>
      <c r="D373" s="394" t="s">
        <v>504</v>
      </c>
      <c r="E373" s="394" t="s">
        <v>380</v>
      </c>
      <c r="F373" s="394" t="s">
        <v>310</v>
      </c>
      <c r="G373" s="394" t="s">
        <v>351</v>
      </c>
      <c r="H373" s="261"/>
      <c r="I373" s="261"/>
      <c r="J373" s="261"/>
      <c r="K373" s="261">
        <v>204</v>
      </c>
      <c r="L373" s="261"/>
      <c r="M373" s="261"/>
      <c r="N373" s="261"/>
      <c r="O373" s="261"/>
      <c r="P373" s="261"/>
      <c r="Q373" s="261"/>
      <c r="R373" s="261"/>
      <c r="S373" s="261"/>
      <c r="T373" s="261"/>
      <c r="U373" s="261"/>
      <c r="V373" s="762"/>
      <c r="W373" s="762"/>
      <c r="X373" s="762"/>
      <c r="Y373" s="264">
        <f>IF(NFI_Expiration=1,IF($A373&lt;VLOOKUP(H$5,NFI,5,0),1,0)*Table_NFI[[#This Row],[Hygiene Kit]],Table_NFI[Hygiene Kit])</f>
        <v>0</v>
      </c>
      <c r="Z373" s="264">
        <f>IF(NFI_Expiration=1,IF($A373&lt;VLOOKUP(I$5,NFI,5,0),1,0)*Table_NFI[[#This Row],[NFI Core Kit]],Table_NFI[NFI Core Kit])</f>
        <v>0</v>
      </c>
      <c r="AA373" s="264">
        <f>IF(NFI_Expiration=1,IF($A373&lt;VLOOKUP(J$5,NFI,5,0),1,0)*Table_NFI[[#This Row],[Sanitary Kit]],Table_NFI[Sanitary Kit])</f>
        <v>0</v>
      </c>
      <c r="AB373" s="264">
        <f>IF(NFI_Expiration=1,IF($A373&lt;VLOOKUP(K$5,NFI,5,0),1,0)*Table_NFI[[#This Row],[Mosquito net]],Table_NFI[Mosquito net])</f>
        <v>0</v>
      </c>
      <c r="AC373" s="264">
        <f>IF(NFI_Expiration=1,IF($A373&lt;VLOOKUP(L$5,NFI,5,0),1,0)*Table_NFI[[#This Row],[Tarpaulin]],Table_NFI[[#This Row],[Tarpaulin]])</f>
        <v>0</v>
      </c>
      <c r="AD373" s="264">
        <f>IF(NFI_Expiration=1,IF($A373&lt;VLOOKUP(M$5,NFI,5,0),1,0)*Table_NFI[[#This Row],[Blanket]],Table_NFI[[#This Row],[Blanket]])</f>
        <v>0</v>
      </c>
      <c r="AE373" s="264">
        <f>IF(NFI_Expiration=1,IF($A373&lt;VLOOKUP(N$5,NFI,5,0),1,0)*Table_NFI[[#This Row],[Kitchen Set]],Table_NFI[Kitchen Set])</f>
        <v>0</v>
      </c>
      <c r="AF373" s="264">
        <f>IF(NFI_Expiration=1,IF($A373&lt;VLOOKUP(O$5,NFI,5,0),1,0)*Table_NFI[[#This Row],[Clothes Kit]],Table_NFI[Clothes Kit])</f>
        <v>0</v>
      </c>
      <c r="AG373" s="264">
        <f>IF(NFI_Expiration=1,IF($A373&lt;VLOOKUP(P$5,NFI,5,0),1,0)*Table_NFI[[#This Row],[Plastic Bucket]],Table_NFI[Plastic Bucket])</f>
        <v>0</v>
      </c>
      <c r="AH373" s="264">
        <f>IF(NFI_Expiration=1,IF($A373&lt;VLOOKUP(Q$5,NFI,5,0),1,0)*Table_NFI[[#This Row],[Plastic Mat]],Table_NFI[Plastic Mat])*IF(Table_NFI[[#This Row],[Distribution Date]]&gt;"2014-04-01",1,2.5)</f>
        <v>0</v>
      </c>
      <c r="AI373" s="264">
        <f>IF(NFI_Expiration=1,IF($A373&lt;VLOOKUP(R$5,NFI,5,0),1,0)*Table_NFI[[#This Row],[Winter Clothes Adult]],Table_NFI[Winter Clothes Adult])</f>
        <v>0</v>
      </c>
      <c r="AJ373" s="264">
        <f>IF(NFI_Expiration=1,IF($A373&lt;VLOOKUP(S$5,NFI,5,0),1,0)*Table_NFI[[#This Row],[Winter Clothes Children]],Table_NFI[Winter Clothes Children])</f>
        <v>0</v>
      </c>
      <c r="AK373" s="264">
        <f>IF(NFI_Expiration=1,IF($A373&lt;VLOOKUP(T$5,NFI,5,0),1,0)*Table_NFI[[#This Row],[Winter Items Other]],Table_NFI[Winter Items Other])</f>
        <v>0</v>
      </c>
      <c r="AL373" s="264">
        <f>IF(NFI_Expiration=1,IF($A373&lt;VLOOKUP(M$5,NFI,5,0),1,0)*Table_NFI[[#This Row],[Winter Blanket]],Table_NFI[[#This Row],[Winter Blanket]])</f>
        <v>0</v>
      </c>
      <c r="AM373" s="264">
        <f>IF(Table_NFI[[#This Row],[Winter Clothes Adult]]+Table_NFI[[#This Row],[Winter Clothes Children]]+Table_NFI[[#This Row],[Winter Items Other]]+Table_NFI[[#This Row],[Winter Blanket]]&gt;0,1,0)</f>
        <v>0</v>
      </c>
      <c r="AN373" s="296">
        <f>IF(NFI_Expiration=1,IF($A373&lt;VLOOKUP(V$5,NFI,5,0),1,0)*Table_NFI[[#This Row],[Jerry Can]],Table_NFI[Jerry Can])</f>
        <v>0</v>
      </c>
      <c r="AO373" s="296">
        <f>IF(NFI_Expiration=1,IF($A373&lt;VLOOKUP(V$5,NFI,5,0),1,0)*Table_NFI[[#This Row],[Shelter Tool kit]],Table_NFI[Shelter Tool kit])</f>
        <v>0</v>
      </c>
      <c r="AP373" s="296">
        <f>IF(NFI_Expiration=1,IF($A373&lt;VLOOKUP(V$5,NFI,5,0),1,0)*Table_NFI[[#This Row],[Tent]],Table_NFI[Tent])</f>
        <v>0</v>
      </c>
      <c r="AQ373" s="396" t="str">
        <f>IFERROR(VLOOKUP(Table_NFI[[#This Row],[Camp Name]],CL,2,0),"")</f>
        <v>MMR001CMP026</v>
      </c>
      <c r="AR373" s="702">
        <f ca="1">IF(Table_NFI[[#This Row],[Pcode]]="","",IF(OFFSET(CampList[Opening Date],MATCH(Table_NFI[[#This Row],[Pcode]],CampList[CP_Pcode],0)-1,0,1,1)&gt;=NFI_Monitor_Date,1,0))</f>
        <v>0</v>
      </c>
      <c r="AS373" s="396" t="str">
        <f>IFERROR(VLOOKUP(Table_NFI[[#This Row],[Camp Name]],CL,3,0),"")</f>
        <v>Open</v>
      </c>
      <c r="AT373" s="264" t="str">
        <f ca="1">IF(Table_NFI[[#This Row],[Pcode]]="","",OFFSET(CampList[Priority],MATCH(Table_NFI[[#This Row],[Pcode]],CampList[CP_Pcode],0)-1,0,1,1))</f>
        <v>P4</v>
      </c>
      <c r="AU373" s="263">
        <f>IFERROR(Table_NFI[[#This Row],[Kitchen Set]]/VLOOKUP(Table_NFI[[#This Row],[Camp Name]],CL,4,0),"")</f>
        <v>0</v>
      </c>
      <c r="AV373" s="394"/>
      <c r="AW373" s="397"/>
      <c r="AX373" s="399"/>
      <c r="AY373" s="399"/>
      <c r="AZ373" s="399"/>
      <c r="BA373" s="399"/>
      <c r="BB373" s="399"/>
      <c r="BC373" s="399"/>
      <c r="BD373" s="399"/>
      <c r="BE373" s="399"/>
      <c r="BF373" s="399"/>
      <c r="BG373" s="399"/>
      <c r="BH373" s="399"/>
      <c r="BI373" s="399"/>
      <c r="BJ373" s="399"/>
      <c r="BK373" s="399"/>
      <c r="BL373" s="399"/>
      <c r="BM373" s="399"/>
      <c r="BN373" s="399"/>
      <c r="BO373" s="399"/>
      <c r="BP373" s="399"/>
      <c r="BQ373" s="399"/>
      <c r="BR373" s="399"/>
      <c r="BS373" s="399"/>
      <c r="BT373" s="399"/>
      <c r="BU373" s="399"/>
      <c r="BV373" s="399"/>
      <c r="BW373" s="399"/>
      <c r="BX373" s="399"/>
      <c r="BY373" s="399"/>
      <c r="BZ373" s="399"/>
      <c r="CA373" s="399"/>
      <c r="CB373" s="399"/>
      <c r="CC373" s="399"/>
      <c r="CD373" s="399"/>
      <c r="CE373" s="399"/>
      <c r="CF373" s="399"/>
      <c r="CG373" s="399"/>
      <c r="CH373" s="399"/>
      <c r="CI373" s="399"/>
      <c r="CJ373" s="399"/>
      <c r="CK373" s="399"/>
      <c r="CL373" s="399"/>
      <c r="CM373" s="399"/>
      <c r="CN373" s="399"/>
      <c r="CO373" s="399"/>
      <c r="CP373" s="399"/>
      <c r="CQ373" s="399"/>
      <c r="CR373" s="399"/>
      <c r="CS373" s="399"/>
      <c r="CT373" s="399"/>
      <c r="CU373" s="399"/>
      <c r="CV373" s="399"/>
      <c r="CW373" s="399"/>
      <c r="CX373" s="399"/>
      <c r="CY373" s="399"/>
      <c r="CZ373" s="399"/>
      <c r="DA373" s="399"/>
      <c r="DB373" s="399"/>
      <c r="DC373" s="399"/>
      <c r="DD373" s="399"/>
      <c r="DE373" s="399"/>
      <c r="DF373" s="399"/>
      <c r="DG373" s="399"/>
      <c r="DH373" s="399"/>
      <c r="DI373" s="399"/>
      <c r="DJ373" s="399"/>
      <c r="DK373" s="399"/>
      <c r="DL373" s="399"/>
      <c r="DM373" s="399"/>
      <c r="DN373" s="399"/>
      <c r="DO373" s="399"/>
      <c r="DP373" s="399"/>
      <c r="DQ373" s="399"/>
    </row>
    <row r="374" spans="1:121" s="760" customFormat="1" ht="15" customHeight="1" x14ac:dyDescent="0.25">
      <c r="A374" s="266">
        <f t="shared" si="5"/>
        <v>31.433333333333334</v>
      </c>
      <c r="B374" s="389">
        <v>41913</v>
      </c>
      <c r="C374" s="390" t="s">
        <v>451</v>
      </c>
      <c r="D374" s="394" t="s">
        <v>504</v>
      </c>
      <c r="E374" s="394" t="s">
        <v>380</v>
      </c>
      <c r="F374" s="394" t="s">
        <v>526</v>
      </c>
      <c r="G374" s="394" t="s">
        <v>118</v>
      </c>
      <c r="H374" s="261"/>
      <c r="I374" s="261"/>
      <c r="J374" s="261"/>
      <c r="K374" s="261">
        <v>24</v>
      </c>
      <c r="L374" s="261"/>
      <c r="M374" s="261"/>
      <c r="N374" s="261"/>
      <c r="O374" s="261"/>
      <c r="P374" s="261"/>
      <c r="Q374" s="261"/>
      <c r="R374" s="261"/>
      <c r="S374" s="261"/>
      <c r="T374" s="261"/>
      <c r="U374" s="261"/>
      <c r="V374" s="762"/>
      <c r="W374" s="762"/>
      <c r="X374" s="762"/>
      <c r="Y374" s="264">
        <f>IF(NFI_Expiration=1,IF($A374&lt;VLOOKUP(H$5,NFI,5,0),1,0)*Table_NFI[[#This Row],[Hygiene Kit]],Table_NFI[Hygiene Kit])</f>
        <v>0</v>
      </c>
      <c r="Z374" s="264">
        <f>IF(NFI_Expiration=1,IF($A374&lt;VLOOKUP(I$5,NFI,5,0),1,0)*Table_NFI[[#This Row],[NFI Core Kit]],Table_NFI[NFI Core Kit])</f>
        <v>0</v>
      </c>
      <c r="AA374" s="264">
        <f>IF(NFI_Expiration=1,IF($A374&lt;VLOOKUP(J$5,NFI,5,0),1,0)*Table_NFI[[#This Row],[Sanitary Kit]],Table_NFI[Sanitary Kit])</f>
        <v>0</v>
      </c>
      <c r="AB374" s="264">
        <f>IF(NFI_Expiration=1,IF($A374&lt;VLOOKUP(K$5,NFI,5,0),1,0)*Table_NFI[[#This Row],[Mosquito net]],Table_NFI[Mosquito net])</f>
        <v>0</v>
      </c>
      <c r="AC374" s="264">
        <f>IF(NFI_Expiration=1,IF($A374&lt;VLOOKUP(L$5,NFI,5,0),1,0)*Table_NFI[[#This Row],[Tarpaulin]],Table_NFI[[#This Row],[Tarpaulin]])</f>
        <v>0</v>
      </c>
      <c r="AD374" s="264">
        <f>IF(NFI_Expiration=1,IF($A374&lt;VLOOKUP(M$5,NFI,5,0),1,0)*Table_NFI[[#This Row],[Blanket]],Table_NFI[[#This Row],[Blanket]])</f>
        <v>0</v>
      </c>
      <c r="AE374" s="264">
        <f>IF(NFI_Expiration=1,IF($A374&lt;VLOOKUP(N$5,NFI,5,0),1,0)*Table_NFI[[#This Row],[Kitchen Set]],Table_NFI[Kitchen Set])</f>
        <v>0</v>
      </c>
      <c r="AF374" s="264">
        <f>IF(NFI_Expiration=1,IF($A374&lt;VLOOKUP(O$5,NFI,5,0),1,0)*Table_NFI[[#This Row],[Clothes Kit]],Table_NFI[Clothes Kit])</f>
        <v>0</v>
      </c>
      <c r="AG374" s="264">
        <f>IF(NFI_Expiration=1,IF($A374&lt;VLOOKUP(P$5,NFI,5,0),1,0)*Table_NFI[[#This Row],[Plastic Bucket]],Table_NFI[Plastic Bucket])</f>
        <v>0</v>
      </c>
      <c r="AH374" s="264">
        <f>IF(NFI_Expiration=1,IF($A374&lt;VLOOKUP(Q$5,NFI,5,0),1,0)*Table_NFI[[#This Row],[Plastic Mat]],Table_NFI[Plastic Mat])*IF(Table_NFI[[#This Row],[Distribution Date]]&gt;"2014-04-01",1,2.5)</f>
        <v>0</v>
      </c>
      <c r="AI374" s="264">
        <f>IF(NFI_Expiration=1,IF($A374&lt;VLOOKUP(R$5,NFI,5,0),1,0)*Table_NFI[[#This Row],[Winter Clothes Adult]],Table_NFI[Winter Clothes Adult])</f>
        <v>0</v>
      </c>
      <c r="AJ374" s="264">
        <f>IF(NFI_Expiration=1,IF($A374&lt;VLOOKUP(S$5,NFI,5,0),1,0)*Table_NFI[[#This Row],[Winter Clothes Children]],Table_NFI[Winter Clothes Children])</f>
        <v>0</v>
      </c>
      <c r="AK374" s="264">
        <f>IF(NFI_Expiration=1,IF($A374&lt;VLOOKUP(T$5,NFI,5,0),1,0)*Table_NFI[[#This Row],[Winter Items Other]],Table_NFI[Winter Items Other])</f>
        <v>0</v>
      </c>
      <c r="AL374" s="264">
        <f>IF(NFI_Expiration=1,IF($A374&lt;VLOOKUP(M$5,NFI,5,0),1,0)*Table_NFI[[#This Row],[Winter Blanket]],Table_NFI[[#This Row],[Winter Blanket]])</f>
        <v>0</v>
      </c>
      <c r="AM374" s="264">
        <f>IF(Table_NFI[[#This Row],[Winter Clothes Adult]]+Table_NFI[[#This Row],[Winter Clothes Children]]+Table_NFI[[#This Row],[Winter Items Other]]+Table_NFI[[#This Row],[Winter Blanket]]&gt;0,1,0)</f>
        <v>0</v>
      </c>
      <c r="AN374" s="296">
        <f>IF(NFI_Expiration=1,IF($A374&lt;VLOOKUP(V$5,NFI,5,0),1,0)*Table_NFI[[#This Row],[Jerry Can]],Table_NFI[Jerry Can])</f>
        <v>0</v>
      </c>
      <c r="AO374" s="296">
        <f>IF(NFI_Expiration=1,IF($A374&lt;VLOOKUP(V$5,NFI,5,0),1,0)*Table_NFI[[#This Row],[Shelter Tool kit]],Table_NFI[Shelter Tool kit])</f>
        <v>0</v>
      </c>
      <c r="AP374" s="296">
        <f>IF(NFI_Expiration=1,IF($A374&lt;VLOOKUP(V$5,NFI,5,0),1,0)*Table_NFI[[#This Row],[Tent]],Table_NFI[Tent])</f>
        <v>0</v>
      </c>
      <c r="AQ374" s="396" t="str">
        <f>IFERROR(VLOOKUP(Table_NFI[[#This Row],[Camp Name]],CL,2,0),"")</f>
        <v>MMR001CMP182</v>
      </c>
      <c r="AR374" s="702">
        <f ca="1">IF(Table_NFI[[#This Row],[Pcode]]="","",IF(OFFSET(CampList[Opening Date],MATCH(Table_NFI[[#This Row],[Pcode]],CampList[CP_Pcode],0)-1,0,1,1)&gt;=NFI_Monitor_Date,1,0))</f>
        <v>0</v>
      </c>
      <c r="AS374" s="396" t="str">
        <f>IFERROR(VLOOKUP(Table_NFI[[#This Row],[Camp Name]],CL,3,0),"")</f>
        <v>Open</v>
      </c>
      <c r="AT374" s="264" t="str">
        <f ca="1">IF(Table_NFI[[#This Row],[Pcode]]="","",OFFSET(CampList[Priority],MATCH(Table_NFI[[#This Row],[Pcode]],CampList[CP_Pcode],0)-1,0,1,1))</f>
        <v>P4</v>
      </c>
      <c r="AU374" s="263">
        <f>IFERROR(Table_NFI[[#This Row],[Kitchen Set]]/VLOOKUP(Table_NFI[[#This Row],[Camp Name]],CL,4,0),"")</f>
        <v>0</v>
      </c>
      <c r="AV374" s="394"/>
      <c r="AW374" s="397"/>
      <c r="AX374" s="399"/>
      <c r="AY374" s="399"/>
      <c r="AZ374" s="399"/>
      <c r="BA374" s="399"/>
      <c r="BB374" s="399"/>
      <c r="BC374" s="399"/>
      <c r="BD374" s="399"/>
      <c r="BE374" s="399"/>
      <c r="BF374" s="399"/>
      <c r="BG374" s="399"/>
      <c r="BH374" s="399"/>
      <c r="BI374" s="399"/>
      <c r="BJ374" s="399"/>
      <c r="BK374" s="399"/>
      <c r="BL374" s="399"/>
      <c r="BM374" s="399"/>
      <c r="BN374" s="399"/>
      <c r="BO374" s="399"/>
      <c r="BP374" s="399"/>
      <c r="BQ374" s="399"/>
      <c r="BR374" s="399"/>
      <c r="BS374" s="399"/>
      <c r="BT374" s="399"/>
      <c r="BU374" s="399"/>
      <c r="BV374" s="399"/>
      <c r="BW374" s="399"/>
      <c r="BX374" s="399"/>
      <c r="BY374" s="399"/>
      <c r="BZ374" s="399"/>
      <c r="CA374" s="399"/>
      <c r="CB374" s="399"/>
      <c r="CC374" s="399"/>
      <c r="CD374" s="399"/>
      <c r="CE374" s="399"/>
      <c r="CF374" s="399"/>
      <c r="CG374" s="399"/>
      <c r="CH374" s="399"/>
      <c r="CI374" s="399"/>
      <c r="CJ374" s="399"/>
      <c r="CK374" s="399"/>
      <c r="CL374" s="399"/>
      <c r="CM374" s="399"/>
      <c r="CN374" s="399"/>
      <c r="CO374" s="399"/>
      <c r="CP374" s="399"/>
      <c r="CQ374" s="399"/>
      <c r="CR374" s="399"/>
      <c r="CS374" s="399"/>
      <c r="CT374" s="399"/>
      <c r="CU374" s="399"/>
      <c r="CV374" s="399"/>
      <c r="CW374" s="399"/>
      <c r="CX374" s="399"/>
      <c r="CY374" s="399"/>
      <c r="CZ374" s="399"/>
      <c r="DA374" s="399"/>
      <c r="DB374" s="399"/>
      <c r="DC374" s="399"/>
      <c r="DD374" s="399"/>
      <c r="DE374" s="399"/>
      <c r="DF374" s="399"/>
      <c r="DG374" s="399"/>
      <c r="DH374" s="399"/>
      <c r="DI374" s="399"/>
      <c r="DJ374" s="399"/>
      <c r="DK374" s="399"/>
      <c r="DL374" s="399"/>
      <c r="DM374" s="399"/>
      <c r="DN374" s="399"/>
      <c r="DO374" s="399"/>
      <c r="DP374" s="399"/>
      <c r="DQ374" s="399"/>
    </row>
    <row r="375" spans="1:121" s="393" customFormat="1" ht="15" customHeight="1" x14ac:dyDescent="0.25">
      <c r="A375" s="266">
        <f t="shared" si="5"/>
        <v>31.433333333333334</v>
      </c>
      <c r="B375" s="389">
        <v>41913</v>
      </c>
      <c r="C375" s="390" t="s">
        <v>451</v>
      </c>
      <c r="D375" s="394" t="s">
        <v>505</v>
      </c>
      <c r="E375" s="394" t="s">
        <v>380</v>
      </c>
      <c r="F375" s="394" t="s">
        <v>27</v>
      </c>
      <c r="G375" s="394" t="s">
        <v>1017</v>
      </c>
      <c r="H375" s="261"/>
      <c r="I375" s="261"/>
      <c r="J375" s="261"/>
      <c r="K375" s="261">
        <v>56</v>
      </c>
      <c r="L375" s="261"/>
      <c r="M375" s="261"/>
      <c r="N375" s="261"/>
      <c r="O375" s="261"/>
      <c r="P375" s="261"/>
      <c r="Q375" s="261"/>
      <c r="R375" s="261"/>
      <c r="S375" s="261"/>
      <c r="T375" s="261"/>
      <c r="U375" s="261">
        <v>56</v>
      </c>
      <c r="V375" s="765"/>
      <c r="W375" s="762"/>
      <c r="X375" s="762"/>
      <c r="Y375" s="264">
        <f>IF(NFI_Expiration=1,IF($A375&lt;VLOOKUP(H$5,NFI,5,0),1,0)*Table_NFI[[#This Row],[Hygiene Kit]],Table_NFI[Hygiene Kit])</f>
        <v>0</v>
      </c>
      <c r="Z375" s="264">
        <f>IF(NFI_Expiration=1,IF($A375&lt;VLOOKUP(I$5,NFI,5,0),1,0)*Table_NFI[[#This Row],[NFI Core Kit]],Table_NFI[NFI Core Kit])</f>
        <v>0</v>
      </c>
      <c r="AA375" s="264">
        <f>IF(NFI_Expiration=1,IF($A375&lt;VLOOKUP(J$5,NFI,5,0),1,0)*Table_NFI[[#This Row],[Sanitary Kit]],Table_NFI[Sanitary Kit])</f>
        <v>0</v>
      </c>
      <c r="AB375" s="264">
        <f>IF(NFI_Expiration=1,IF($A375&lt;VLOOKUP(K$5,NFI,5,0),1,0)*Table_NFI[[#This Row],[Mosquito net]],Table_NFI[Mosquito net])</f>
        <v>0</v>
      </c>
      <c r="AC375" s="264">
        <f>IF(NFI_Expiration=1,IF($A375&lt;VLOOKUP(L$5,NFI,5,0),1,0)*Table_NFI[[#This Row],[Tarpaulin]],Table_NFI[[#This Row],[Tarpaulin]])</f>
        <v>0</v>
      </c>
      <c r="AD375" s="264">
        <f>IF(NFI_Expiration=1,IF($A375&lt;VLOOKUP(M$5,NFI,5,0),1,0)*Table_NFI[[#This Row],[Blanket]],Table_NFI[[#This Row],[Blanket]])</f>
        <v>0</v>
      </c>
      <c r="AE375" s="264">
        <f>IF(NFI_Expiration=1,IF($A375&lt;VLOOKUP(N$5,NFI,5,0),1,0)*Table_NFI[[#This Row],[Kitchen Set]],Table_NFI[Kitchen Set])</f>
        <v>0</v>
      </c>
      <c r="AF375" s="264">
        <f>IF(NFI_Expiration=1,IF($A375&lt;VLOOKUP(O$5,NFI,5,0),1,0)*Table_NFI[[#This Row],[Clothes Kit]],Table_NFI[Clothes Kit])</f>
        <v>0</v>
      </c>
      <c r="AG375" s="264">
        <f>IF(NFI_Expiration=1,IF($A375&lt;VLOOKUP(P$5,NFI,5,0),1,0)*Table_NFI[[#This Row],[Plastic Bucket]],Table_NFI[Plastic Bucket])</f>
        <v>0</v>
      </c>
      <c r="AH375" s="264">
        <f>IF(NFI_Expiration=1,IF($A375&lt;VLOOKUP(Q$5,NFI,5,0),1,0)*Table_NFI[[#This Row],[Plastic Mat]],Table_NFI[Plastic Mat])*IF(Table_NFI[[#This Row],[Distribution Date]]&gt;"2014-04-01",1,2.5)</f>
        <v>0</v>
      </c>
      <c r="AI375" s="264">
        <f>IF(NFI_Expiration=1,IF($A375&lt;VLOOKUP(R$5,NFI,5,0),1,0)*Table_NFI[[#This Row],[Winter Clothes Adult]],Table_NFI[Winter Clothes Adult])</f>
        <v>0</v>
      </c>
      <c r="AJ375" s="264">
        <f>IF(NFI_Expiration=1,IF($A375&lt;VLOOKUP(S$5,NFI,5,0),1,0)*Table_NFI[[#This Row],[Winter Clothes Children]],Table_NFI[Winter Clothes Children])</f>
        <v>0</v>
      </c>
      <c r="AK375" s="264">
        <f>IF(NFI_Expiration=1,IF($A375&lt;VLOOKUP(T$5,NFI,5,0),1,0)*Table_NFI[[#This Row],[Winter Items Other]],Table_NFI[Winter Items Other])</f>
        <v>0</v>
      </c>
      <c r="AL375" s="264">
        <f>IF(NFI_Expiration=1,IF($A375&lt;VLOOKUP(M$5,NFI,5,0),1,0)*Table_NFI[[#This Row],[Winter Blanket]],Table_NFI[[#This Row],[Winter Blanket]])</f>
        <v>0</v>
      </c>
      <c r="AM375" s="264">
        <f>IF(Table_NFI[[#This Row],[Winter Clothes Adult]]+Table_NFI[[#This Row],[Winter Clothes Children]]+Table_NFI[[#This Row],[Winter Items Other]]+Table_NFI[[#This Row],[Winter Blanket]]&gt;0,1,0)</f>
        <v>1</v>
      </c>
      <c r="AN375" s="296">
        <f>IF(NFI_Expiration=1,IF($A375&lt;VLOOKUP(V$5,NFI,5,0),1,0)*Table_NFI[[#This Row],[Jerry Can]],Table_NFI[Jerry Can])</f>
        <v>0</v>
      </c>
      <c r="AO375" s="296">
        <f>IF(NFI_Expiration=1,IF($A375&lt;VLOOKUP(V$5,NFI,5,0),1,0)*Table_NFI[[#This Row],[Shelter Tool kit]],Table_NFI[Shelter Tool kit])</f>
        <v>0</v>
      </c>
      <c r="AP375" s="296">
        <f>IF(NFI_Expiration=1,IF($A375&lt;VLOOKUP(V$5,NFI,5,0),1,0)*Table_NFI[[#This Row],[Tent]],Table_NFI[Tent])</f>
        <v>0</v>
      </c>
      <c r="AQ375" s="396" t="str">
        <f>IFERROR(VLOOKUP(Table_NFI[[#This Row],[Camp Name]],CL,2,0),"")</f>
        <v>MMR001CMP225</v>
      </c>
      <c r="AR375" s="702">
        <f ca="1">IF(Table_NFI[[#This Row],[Pcode]]="","",IF(OFFSET(CampList[Opening Date],MATCH(Table_NFI[[#This Row],[Pcode]],CampList[CP_Pcode],0)-1,0,1,1)&gt;=NFI_Monitor_Date,1,0))</f>
        <v>0</v>
      </c>
      <c r="AS375" s="396" t="str">
        <f>IFERROR(VLOOKUP(Table_NFI[[#This Row],[Camp Name]],CL,3,0),"")</f>
        <v>Open</v>
      </c>
      <c r="AT375" s="264" t="str">
        <f ca="1">IF(Table_NFI[[#This Row],[Pcode]]="","",OFFSET(CampList[Priority],MATCH(Table_NFI[[#This Row],[Pcode]],CampList[CP_Pcode],0)-1,0,1,1))</f>
        <v>P1</v>
      </c>
      <c r="AU375" s="263">
        <f>IFERROR(Table_NFI[[#This Row],[Kitchen Set]]/VLOOKUP(Table_NFI[[#This Row],[Camp Name]],CL,4,0),"")</f>
        <v>0</v>
      </c>
      <c r="AV375" s="394"/>
      <c r="AW375" s="397"/>
      <c r="AX375" s="399"/>
      <c r="AY375" s="399"/>
      <c r="AZ375" s="399"/>
      <c r="BA375" s="399"/>
      <c r="BB375" s="399"/>
      <c r="BC375" s="399"/>
      <c r="BD375" s="399"/>
      <c r="BE375" s="399"/>
      <c r="BF375" s="399"/>
      <c r="BG375" s="399"/>
      <c r="BH375" s="399"/>
      <c r="BI375" s="399"/>
      <c r="BJ375" s="399"/>
      <c r="BK375" s="399"/>
      <c r="BL375" s="399"/>
      <c r="BM375" s="399"/>
      <c r="BN375" s="399"/>
      <c r="BO375" s="399"/>
      <c r="BP375" s="399"/>
      <c r="BQ375" s="399"/>
      <c r="BR375" s="399"/>
      <c r="BS375" s="399"/>
      <c r="BT375" s="399"/>
      <c r="BU375" s="399"/>
      <c r="BV375" s="399"/>
      <c r="BW375" s="399"/>
      <c r="BX375" s="399"/>
      <c r="BY375" s="399"/>
      <c r="BZ375" s="399"/>
      <c r="CA375" s="399"/>
      <c r="CB375" s="399"/>
      <c r="CC375" s="399"/>
      <c r="CD375" s="399"/>
      <c r="CE375" s="399"/>
      <c r="CF375" s="399"/>
      <c r="CG375" s="399"/>
      <c r="CH375" s="399"/>
      <c r="CI375" s="399"/>
      <c r="CJ375" s="399"/>
      <c r="CK375" s="399"/>
      <c r="CL375" s="399"/>
      <c r="CM375" s="399"/>
      <c r="CN375" s="399"/>
      <c r="CO375" s="399"/>
      <c r="CP375" s="399"/>
      <c r="CQ375" s="399"/>
      <c r="CR375" s="399"/>
      <c r="CS375" s="399"/>
      <c r="CT375" s="399"/>
      <c r="CU375" s="399"/>
      <c r="CV375" s="399"/>
      <c r="CW375" s="399"/>
      <c r="CX375" s="399"/>
      <c r="CY375" s="399"/>
      <c r="CZ375" s="399"/>
      <c r="DA375" s="399"/>
      <c r="DB375" s="399"/>
      <c r="DC375" s="399"/>
      <c r="DD375" s="399"/>
      <c r="DE375" s="399"/>
      <c r="DF375" s="399"/>
      <c r="DG375" s="399"/>
      <c r="DH375" s="399"/>
      <c r="DI375" s="399"/>
      <c r="DJ375" s="399"/>
      <c r="DK375" s="399"/>
      <c r="DL375" s="399"/>
      <c r="DM375" s="399"/>
      <c r="DN375" s="399"/>
      <c r="DO375" s="399"/>
      <c r="DP375" s="399"/>
      <c r="DQ375" s="399"/>
    </row>
    <row r="376" spans="1:121" s="393" customFormat="1" ht="15" customHeight="1" x14ac:dyDescent="0.25">
      <c r="A376" s="266">
        <f t="shared" si="5"/>
        <v>31.433333333333334</v>
      </c>
      <c r="B376" s="389">
        <v>41913</v>
      </c>
      <c r="C376" s="390" t="s">
        <v>451</v>
      </c>
      <c r="D376" s="394" t="s">
        <v>504</v>
      </c>
      <c r="E376" s="394" t="s">
        <v>380</v>
      </c>
      <c r="F376" s="394" t="s">
        <v>237</v>
      </c>
      <c r="G376" s="394" t="s">
        <v>279</v>
      </c>
      <c r="H376" s="261"/>
      <c r="I376" s="261"/>
      <c r="J376" s="261"/>
      <c r="K376" s="261">
        <v>30</v>
      </c>
      <c r="L376" s="261"/>
      <c r="M376" s="261"/>
      <c r="N376" s="261"/>
      <c r="O376" s="261"/>
      <c r="P376" s="261"/>
      <c r="Q376" s="261"/>
      <c r="R376" s="261"/>
      <c r="S376" s="261"/>
      <c r="T376" s="261"/>
      <c r="U376" s="261"/>
      <c r="V376" s="762"/>
      <c r="W376" s="762"/>
      <c r="X376" s="762"/>
      <c r="Y376" s="264">
        <f>IF(NFI_Expiration=1,IF($A376&lt;VLOOKUP(H$5,NFI,5,0),1,0)*Table_NFI[[#This Row],[Hygiene Kit]],Table_NFI[Hygiene Kit])</f>
        <v>0</v>
      </c>
      <c r="Z376" s="264">
        <f>IF(NFI_Expiration=1,IF($A376&lt;VLOOKUP(I$5,NFI,5,0),1,0)*Table_NFI[[#This Row],[NFI Core Kit]],Table_NFI[NFI Core Kit])</f>
        <v>0</v>
      </c>
      <c r="AA376" s="264">
        <f>IF(NFI_Expiration=1,IF($A376&lt;VLOOKUP(J$5,NFI,5,0),1,0)*Table_NFI[[#This Row],[Sanitary Kit]],Table_NFI[Sanitary Kit])</f>
        <v>0</v>
      </c>
      <c r="AB376" s="264">
        <f>IF(NFI_Expiration=1,IF($A376&lt;VLOOKUP(K$5,NFI,5,0),1,0)*Table_NFI[[#This Row],[Mosquito net]],Table_NFI[Mosquito net])</f>
        <v>0</v>
      </c>
      <c r="AC376" s="264">
        <f>IF(NFI_Expiration=1,IF($A376&lt;VLOOKUP(L$5,NFI,5,0),1,0)*Table_NFI[[#This Row],[Tarpaulin]],Table_NFI[[#This Row],[Tarpaulin]])</f>
        <v>0</v>
      </c>
      <c r="AD376" s="264">
        <f>IF(NFI_Expiration=1,IF($A376&lt;VLOOKUP(M$5,NFI,5,0),1,0)*Table_NFI[[#This Row],[Blanket]],Table_NFI[[#This Row],[Blanket]])</f>
        <v>0</v>
      </c>
      <c r="AE376" s="264">
        <f>IF(NFI_Expiration=1,IF($A376&lt;VLOOKUP(N$5,NFI,5,0),1,0)*Table_NFI[[#This Row],[Kitchen Set]],Table_NFI[Kitchen Set])</f>
        <v>0</v>
      </c>
      <c r="AF376" s="264">
        <f>IF(NFI_Expiration=1,IF($A376&lt;VLOOKUP(O$5,NFI,5,0),1,0)*Table_NFI[[#This Row],[Clothes Kit]],Table_NFI[Clothes Kit])</f>
        <v>0</v>
      </c>
      <c r="AG376" s="264">
        <f>IF(NFI_Expiration=1,IF($A376&lt;VLOOKUP(P$5,NFI,5,0),1,0)*Table_NFI[[#This Row],[Plastic Bucket]],Table_NFI[Plastic Bucket])</f>
        <v>0</v>
      </c>
      <c r="AH376" s="264">
        <f>IF(NFI_Expiration=1,IF($A376&lt;VLOOKUP(Q$5,NFI,5,0),1,0)*Table_NFI[[#This Row],[Plastic Mat]],Table_NFI[Plastic Mat])*IF(Table_NFI[[#This Row],[Distribution Date]]&gt;"2014-04-01",1,2.5)</f>
        <v>0</v>
      </c>
      <c r="AI376" s="264">
        <f>IF(NFI_Expiration=1,IF($A376&lt;VLOOKUP(R$5,NFI,5,0),1,0)*Table_NFI[[#This Row],[Winter Clothes Adult]],Table_NFI[Winter Clothes Adult])</f>
        <v>0</v>
      </c>
      <c r="AJ376" s="264">
        <f>IF(NFI_Expiration=1,IF($A376&lt;VLOOKUP(S$5,NFI,5,0),1,0)*Table_NFI[[#This Row],[Winter Clothes Children]],Table_NFI[Winter Clothes Children])</f>
        <v>0</v>
      </c>
      <c r="AK376" s="264">
        <f>IF(NFI_Expiration=1,IF($A376&lt;VLOOKUP(T$5,NFI,5,0),1,0)*Table_NFI[[#This Row],[Winter Items Other]],Table_NFI[Winter Items Other])</f>
        <v>0</v>
      </c>
      <c r="AL376" s="264">
        <f>IF(NFI_Expiration=1,IF($A376&lt;VLOOKUP(M$5,NFI,5,0),1,0)*Table_NFI[[#This Row],[Winter Blanket]],Table_NFI[[#This Row],[Winter Blanket]])</f>
        <v>0</v>
      </c>
      <c r="AM376" s="264">
        <f>IF(Table_NFI[[#This Row],[Winter Clothes Adult]]+Table_NFI[[#This Row],[Winter Clothes Children]]+Table_NFI[[#This Row],[Winter Items Other]]+Table_NFI[[#This Row],[Winter Blanket]]&gt;0,1,0)</f>
        <v>0</v>
      </c>
      <c r="AN376" s="296">
        <f>IF(NFI_Expiration=1,IF($A376&lt;VLOOKUP(V$5,NFI,5,0),1,0)*Table_NFI[[#This Row],[Jerry Can]],Table_NFI[Jerry Can])</f>
        <v>0</v>
      </c>
      <c r="AO376" s="296">
        <f>IF(NFI_Expiration=1,IF($A376&lt;VLOOKUP(V$5,NFI,5,0),1,0)*Table_NFI[[#This Row],[Shelter Tool kit]],Table_NFI[Shelter Tool kit])</f>
        <v>0</v>
      </c>
      <c r="AP376" s="296">
        <f>IF(NFI_Expiration=1,IF($A376&lt;VLOOKUP(V$5,NFI,5,0),1,0)*Table_NFI[[#This Row],[Tent]],Table_NFI[Tent])</f>
        <v>0</v>
      </c>
      <c r="AQ376" s="396" t="str">
        <f>IFERROR(VLOOKUP(Table_NFI[[#This Row],[Camp Name]],CL,2,0),"")</f>
        <v>MMR001CMP007</v>
      </c>
      <c r="AR376" s="702">
        <f ca="1">IF(Table_NFI[[#This Row],[Pcode]]="","",IF(OFFSET(CampList[Opening Date],MATCH(Table_NFI[[#This Row],[Pcode]],CampList[CP_Pcode],0)-1,0,1,1)&gt;=NFI_Monitor_Date,1,0))</f>
        <v>0</v>
      </c>
      <c r="AS376" s="396" t="str">
        <f>IFERROR(VLOOKUP(Table_NFI[[#This Row],[Camp Name]],CL,3,0),"")</f>
        <v>Open</v>
      </c>
      <c r="AT376" s="264" t="str">
        <f ca="1">IF(Table_NFI[[#This Row],[Pcode]]="","",OFFSET(CampList[Priority],MATCH(Table_NFI[[#This Row],[Pcode]],CampList[CP_Pcode],0)-1,0,1,1))</f>
        <v>P4</v>
      </c>
      <c r="AU376" s="263">
        <f>IFERROR(Table_NFI[[#This Row],[Kitchen Set]]/VLOOKUP(Table_NFI[[#This Row],[Camp Name]],CL,4,0),"")</f>
        <v>0</v>
      </c>
      <c r="AV376" s="394"/>
      <c r="AW376" s="397"/>
      <c r="AX376" s="399"/>
      <c r="AY376" s="399"/>
      <c r="AZ376" s="399"/>
      <c r="BA376" s="399"/>
      <c r="BB376" s="399"/>
      <c r="BC376" s="399"/>
      <c r="BD376" s="399"/>
      <c r="BE376" s="399"/>
      <c r="BF376" s="399"/>
      <c r="BG376" s="399"/>
      <c r="BH376" s="399"/>
      <c r="BI376" s="399"/>
      <c r="BJ376" s="399"/>
      <c r="BK376" s="399"/>
      <c r="BL376" s="399"/>
      <c r="BM376" s="399"/>
      <c r="BN376" s="399"/>
      <c r="BO376" s="399"/>
      <c r="BP376" s="399"/>
      <c r="BQ376" s="399"/>
      <c r="BR376" s="399"/>
      <c r="BS376" s="399"/>
      <c r="BT376" s="399"/>
      <c r="BU376" s="399"/>
      <c r="BV376" s="399"/>
      <c r="BW376" s="399"/>
      <c r="BX376" s="399"/>
      <c r="BY376" s="399"/>
      <c r="BZ376" s="399"/>
      <c r="CA376" s="399"/>
      <c r="CB376" s="399"/>
      <c r="CC376" s="399"/>
      <c r="CD376" s="399"/>
      <c r="CE376" s="399"/>
      <c r="CF376" s="399"/>
      <c r="CG376" s="399"/>
      <c r="CH376" s="399"/>
      <c r="CI376" s="399"/>
      <c r="CJ376" s="399"/>
      <c r="CK376" s="399"/>
      <c r="CL376" s="399"/>
      <c r="CM376" s="399"/>
      <c r="CN376" s="399"/>
      <c r="CO376" s="399"/>
      <c r="CP376" s="399"/>
      <c r="CQ376" s="399"/>
      <c r="CR376" s="399"/>
      <c r="CS376" s="399"/>
      <c r="CT376" s="399"/>
      <c r="CU376" s="399"/>
      <c r="CV376" s="399"/>
      <c r="CW376" s="399"/>
      <c r="CX376" s="399"/>
      <c r="CY376" s="399"/>
      <c r="CZ376" s="399"/>
      <c r="DA376" s="399"/>
      <c r="DB376" s="399"/>
      <c r="DC376" s="399"/>
      <c r="DD376" s="399"/>
      <c r="DE376" s="399"/>
      <c r="DF376" s="399"/>
      <c r="DG376" s="399"/>
      <c r="DH376" s="399"/>
      <c r="DI376" s="399"/>
      <c r="DJ376" s="399"/>
      <c r="DK376" s="399"/>
      <c r="DL376" s="399"/>
      <c r="DM376" s="399"/>
      <c r="DN376" s="399"/>
      <c r="DO376" s="399"/>
      <c r="DP376" s="399"/>
      <c r="DQ376" s="399"/>
    </row>
    <row r="377" spans="1:121" s="393" customFormat="1" ht="15" customHeight="1" x14ac:dyDescent="0.25">
      <c r="A377" s="266">
        <f t="shared" si="5"/>
        <v>31.433333333333334</v>
      </c>
      <c r="B377" s="389">
        <v>41913</v>
      </c>
      <c r="C377" s="390" t="s">
        <v>451</v>
      </c>
      <c r="D377" s="394" t="s">
        <v>505</v>
      </c>
      <c r="E377" s="394" t="s">
        <v>380</v>
      </c>
      <c r="F377" s="394" t="s">
        <v>180</v>
      </c>
      <c r="G377" s="394" t="s">
        <v>181</v>
      </c>
      <c r="H377" s="261"/>
      <c r="I377" s="261"/>
      <c r="J377" s="261"/>
      <c r="K377" s="261">
        <v>24</v>
      </c>
      <c r="L377" s="261"/>
      <c r="M377" s="261"/>
      <c r="N377" s="261"/>
      <c r="O377" s="261"/>
      <c r="P377" s="261"/>
      <c r="Q377" s="261"/>
      <c r="R377" s="261"/>
      <c r="S377" s="261"/>
      <c r="T377" s="261"/>
      <c r="U377" s="261"/>
      <c r="V377" s="762"/>
      <c r="W377" s="762"/>
      <c r="X377" s="762"/>
      <c r="Y377" s="264">
        <f>IF(NFI_Expiration=1,IF($A377&lt;VLOOKUP(H$5,NFI,5,0),1,0)*Table_NFI[[#This Row],[Hygiene Kit]],Table_NFI[Hygiene Kit])</f>
        <v>0</v>
      </c>
      <c r="Z377" s="264">
        <f>IF(NFI_Expiration=1,IF($A377&lt;VLOOKUP(I$5,NFI,5,0),1,0)*Table_NFI[[#This Row],[NFI Core Kit]],Table_NFI[NFI Core Kit])</f>
        <v>0</v>
      </c>
      <c r="AA377" s="264">
        <f>IF(NFI_Expiration=1,IF($A377&lt;VLOOKUP(J$5,NFI,5,0),1,0)*Table_NFI[[#This Row],[Sanitary Kit]],Table_NFI[Sanitary Kit])</f>
        <v>0</v>
      </c>
      <c r="AB377" s="264">
        <f>IF(NFI_Expiration=1,IF($A377&lt;VLOOKUP(K$5,NFI,5,0),1,0)*Table_NFI[[#This Row],[Mosquito net]],Table_NFI[Mosquito net])</f>
        <v>0</v>
      </c>
      <c r="AC377" s="264">
        <f>IF(NFI_Expiration=1,IF($A377&lt;VLOOKUP(L$5,NFI,5,0),1,0)*Table_NFI[[#This Row],[Tarpaulin]],Table_NFI[[#This Row],[Tarpaulin]])</f>
        <v>0</v>
      </c>
      <c r="AD377" s="264">
        <f>IF(NFI_Expiration=1,IF($A377&lt;VLOOKUP(M$5,NFI,5,0),1,0)*Table_NFI[[#This Row],[Blanket]],Table_NFI[[#This Row],[Blanket]])</f>
        <v>0</v>
      </c>
      <c r="AE377" s="264">
        <f>IF(NFI_Expiration=1,IF($A377&lt;VLOOKUP(N$5,NFI,5,0),1,0)*Table_NFI[[#This Row],[Kitchen Set]],Table_NFI[Kitchen Set])</f>
        <v>0</v>
      </c>
      <c r="AF377" s="264">
        <f>IF(NFI_Expiration=1,IF($A377&lt;VLOOKUP(O$5,NFI,5,0),1,0)*Table_NFI[[#This Row],[Clothes Kit]],Table_NFI[Clothes Kit])</f>
        <v>0</v>
      </c>
      <c r="AG377" s="264">
        <f>IF(NFI_Expiration=1,IF($A377&lt;VLOOKUP(P$5,NFI,5,0),1,0)*Table_NFI[[#This Row],[Plastic Bucket]],Table_NFI[Plastic Bucket])</f>
        <v>0</v>
      </c>
      <c r="AH377" s="264">
        <f>IF(NFI_Expiration=1,IF($A377&lt;VLOOKUP(Q$5,NFI,5,0),1,0)*Table_NFI[[#This Row],[Plastic Mat]],Table_NFI[Plastic Mat])*IF(Table_NFI[[#This Row],[Distribution Date]]&gt;"2014-04-01",1,2.5)</f>
        <v>0</v>
      </c>
      <c r="AI377" s="264">
        <f>IF(NFI_Expiration=1,IF($A377&lt;VLOOKUP(R$5,NFI,5,0),1,0)*Table_NFI[[#This Row],[Winter Clothes Adult]],Table_NFI[Winter Clothes Adult])</f>
        <v>0</v>
      </c>
      <c r="AJ377" s="264">
        <f>IF(NFI_Expiration=1,IF($A377&lt;VLOOKUP(S$5,NFI,5,0),1,0)*Table_NFI[[#This Row],[Winter Clothes Children]],Table_NFI[Winter Clothes Children])</f>
        <v>0</v>
      </c>
      <c r="AK377" s="264">
        <f>IF(NFI_Expiration=1,IF($A377&lt;VLOOKUP(T$5,NFI,5,0),1,0)*Table_NFI[[#This Row],[Winter Items Other]],Table_NFI[Winter Items Other])</f>
        <v>0</v>
      </c>
      <c r="AL377" s="264">
        <f>IF(NFI_Expiration=1,IF($A377&lt;VLOOKUP(M$5,NFI,5,0),1,0)*Table_NFI[[#This Row],[Winter Blanket]],Table_NFI[[#This Row],[Winter Blanket]])</f>
        <v>0</v>
      </c>
      <c r="AM377" s="264">
        <f>IF(Table_NFI[[#This Row],[Winter Clothes Adult]]+Table_NFI[[#This Row],[Winter Clothes Children]]+Table_NFI[[#This Row],[Winter Items Other]]+Table_NFI[[#This Row],[Winter Blanket]]&gt;0,1,0)</f>
        <v>0</v>
      </c>
      <c r="AN377" s="296">
        <f>IF(NFI_Expiration=1,IF($A377&lt;VLOOKUP(V$5,NFI,5,0),1,0)*Table_NFI[[#This Row],[Jerry Can]],Table_NFI[Jerry Can])</f>
        <v>0</v>
      </c>
      <c r="AO377" s="296">
        <f>IF(NFI_Expiration=1,IF($A377&lt;VLOOKUP(V$5,NFI,5,0),1,0)*Table_NFI[[#This Row],[Shelter Tool kit]],Table_NFI[Shelter Tool kit])</f>
        <v>0</v>
      </c>
      <c r="AP377" s="296">
        <f>IF(NFI_Expiration=1,IF($A377&lt;VLOOKUP(V$5,NFI,5,0),1,0)*Table_NFI[[#This Row],[Tent]],Table_NFI[Tent])</f>
        <v>0</v>
      </c>
      <c r="AQ377" s="396" t="str">
        <f>IFERROR(VLOOKUP(Table_NFI[[#This Row],[Camp Name]],CL,2,0),"")</f>
        <v>MMR001CMP080</v>
      </c>
      <c r="AR377" s="702">
        <f ca="1">IF(Table_NFI[[#This Row],[Pcode]]="","",IF(OFFSET(CampList[Opening Date],MATCH(Table_NFI[[#This Row],[Pcode]],CampList[CP_Pcode],0)-1,0,1,1)&gt;=NFI_Monitor_Date,1,0))</f>
        <v>0</v>
      </c>
      <c r="AS377" s="396" t="str">
        <f>IFERROR(VLOOKUP(Table_NFI[[#This Row],[Camp Name]],CL,3,0),"")</f>
        <v>Open</v>
      </c>
      <c r="AT377" s="264" t="str">
        <f ca="1">IF(Table_NFI[[#This Row],[Pcode]]="","",OFFSET(CampList[Priority],MATCH(Table_NFI[[#This Row],[Pcode]],CampList[CP_Pcode],0)-1,0,1,1))</f>
        <v>P4</v>
      </c>
      <c r="AU377" s="263">
        <f>IFERROR(Table_NFI[[#This Row],[Kitchen Set]]/VLOOKUP(Table_NFI[[#This Row],[Camp Name]],CL,4,0),"")</f>
        <v>0</v>
      </c>
      <c r="AV377" s="394"/>
      <c r="AW377" s="397"/>
      <c r="AX377" s="399"/>
      <c r="AY377" s="399"/>
      <c r="AZ377" s="399"/>
      <c r="BA377" s="399"/>
      <c r="BB377" s="399"/>
      <c r="BC377" s="399"/>
      <c r="BD377" s="399"/>
      <c r="BE377" s="399"/>
      <c r="BF377" s="399"/>
      <c r="BG377" s="399"/>
      <c r="BH377" s="399"/>
      <c r="BI377" s="399"/>
      <c r="BJ377" s="399"/>
      <c r="BK377" s="399"/>
      <c r="BL377" s="399"/>
      <c r="BM377" s="399"/>
      <c r="BN377" s="399"/>
      <c r="BO377" s="399"/>
      <c r="BP377" s="399"/>
      <c r="BQ377" s="399"/>
      <c r="BR377" s="399"/>
      <c r="BS377" s="399"/>
      <c r="BT377" s="399"/>
      <c r="BU377" s="399"/>
      <c r="BV377" s="399"/>
      <c r="BW377" s="399"/>
      <c r="BX377" s="399"/>
      <c r="BY377" s="399"/>
      <c r="BZ377" s="399"/>
      <c r="CA377" s="399"/>
      <c r="CB377" s="399"/>
      <c r="CC377" s="399"/>
      <c r="CD377" s="399"/>
      <c r="CE377" s="399"/>
      <c r="CF377" s="399"/>
      <c r="CG377" s="399"/>
      <c r="CH377" s="399"/>
      <c r="CI377" s="399"/>
      <c r="CJ377" s="399"/>
      <c r="CK377" s="399"/>
      <c r="CL377" s="399"/>
      <c r="CM377" s="399"/>
      <c r="CN377" s="399"/>
      <c r="CO377" s="399"/>
      <c r="CP377" s="399"/>
      <c r="CQ377" s="399"/>
      <c r="CR377" s="399"/>
      <c r="CS377" s="399"/>
      <c r="CT377" s="399"/>
      <c r="CU377" s="399"/>
      <c r="CV377" s="399"/>
      <c r="CW377" s="399"/>
      <c r="CX377" s="399"/>
      <c r="CY377" s="399"/>
      <c r="CZ377" s="399"/>
      <c r="DA377" s="399"/>
      <c r="DB377" s="399"/>
      <c r="DC377" s="399"/>
      <c r="DD377" s="399"/>
      <c r="DE377" s="399"/>
      <c r="DF377" s="399"/>
      <c r="DG377" s="399"/>
      <c r="DH377" s="399"/>
      <c r="DI377" s="399"/>
      <c r="DJ377" s="399"/>
      <c r="DK377" s="399"/>
      <c r="DL377" s="399"/>
      <c r="DM377" s="399"/>
      <c r="DN377" s="399"/>
      <c r="DO377" s="399"/>
      <c r="DP377" s="399"/>
      <c r="DQ377" s="399"/>
    </row>
    <row r="378" spans="1:121" s="393" customFormat="1" ht="15" customHeight="1" x14ac:dyDescent="0.25">
      <c r="A378" s="266">
        <f t="shared" si="5"/>
        <v>31.433333333333334</v>
      </c>
      <c r="B378" s="389">
        <v>41913</v>
      </c>
      <c r="C378" s="390" t="s">
        <v>451</v>
      </c>
      <c r="D378" s="394" t="s">
        <v>504</v>
      </c>
      <c r="E378" s="394" t="s">
        <v>380</v>
      </c>
      <c r="F378" s="394" t="s">
        <v>237</v>
      </c>
      <c r="G378" s="394" t="s">
        <v>249</v>
      </c>
      <c r="H378" s="261"/>
      <c r="I378" s="261"/>
      <c r="J378" s="261"/>
      <c r="K378" s="261">
        <v>26</v>
      </c>
      <c r="L378" s="261"/>
      <c r="M378" s="261"/>
      <c r="N378" s="261"/>
      <c r="O378" s="261"/>
      <c r="P378" s="261"/>
      <c r="Q378" s="261"/>
      <c r="R378" s="261"/>
      <c r="S378" s="261"/>
      <c r="T378" s="261"/>
      <c r="U378" s="261"/>
      <c r="V378" s="762"/>
      <c r="W378" s="762"/>
      <c r="X378" s="762"/>
      <c r="Y378" s="264">
        <f>IF(NFI_Expiration=1,IF($A378&lt;VLOOKUP(H$5,NFI,5,0),1,0)*Table_NFI[[#This Row],[Hygiene Kit]],Table_NFI[Hygiene Kit])</f>
        <v>0</v>
      </c>
      <c r="Z378" s="264">
        <f>IF(NFI_Expiration=1,IF($A378&lt;VLOOKUP(I$5,NFI,5,0),1,0)*Table_NFI[[#This Row],[NFI Core Kit]],Table_NFI[NFI Core Kit])</f>
        <v>0</v>
      </c>
      <c r="AA378" s="264">
        <f>IF(NFI_Expiration=1,IF($A378&lt;VLOOKUP(J$5,NFI,5,0),1,0)*Table_NFI[[#This Row],[Sanitary Kit]],Table_NFI[Sanitary Kit])</f>
        <v>0</v>
      </c>
      <c r="AB378" s="264">
        <f>IF(NFI_Expiration=1,IF($A378&lt;VLOOKUP(K$5,NFI,5,0),1,0)*Table_NFI[[#This Row],[Mosquito net]],Table_NFI[Mosquito net])</f>
        <v>0</v>
      </c>
      <c r="AC378" s="264">
        <f>IF(NFI_Expiration=1,IF($A378&lt;VLOOKUP(L$5,NFI,5,0),1,0)*Table_NFI[[#This Row],[Tarpaulin]],Table_NFI[[#This Row],[Tarpaulin]])</f>
        <v>0</v>
      </c>
      <c r="AD378" s="264">
        <f>IF(NFI_Expiration=1,IF($A378&lt;VLOOKUP(M$5,NFI,5,0),1,0)*Table_NFI[[#This Row],[Blanket]],Table_NFI[[#This Row],[Blanket]])</f>
        <v>0</v>
      </c>
      <c r="AE378" s="264">
        <f>IF(NFI_Expiration=1,IF($A378&lt;VLOOKUP(N$5,NFI,5,0),1,0)*Table_NFI[[#This Row],[Kitchen Set]],Table_NFI[Kitchen Set])</f>
        <v>0</v>
      </c>
      <c r="AF378" s="264">
        <f>IF(NFI_Expiration=1,IF($A378&lt;VLOOKUP(O$5,NFI,5,0),1,0)*Table_NFI[[#This Row],[Clothes Kit]],Table_NFI[Clothes Kit])</f>
        <v>0</v>
      </c>
      <c r="AG378" s="264">
        <f>IF(NFI_Expiration=1,IF($A378&lt;VLOOKUP(P$5,NFI,5,0),1,0)*Table_NFI[[#This Row],[Plastic Bucket]],Table_NFI[Plastic Bucket])</f>
        <v>0</v>
      </c>
      <c r="AH378" s="264">
        <f>IF(NFI_Expiration=1,IF($A378&lt;VLOOKUP(Q$5,NFI,5,0),1,0)*Table_NFI[[#This Row],[Plastic Mat]],Table_NFI[Plastic Mat])*IF(Table_NFI[[#This Row],[Distribution Date]]&gt;"2014-04-01",1,2.5)</f>
        <v>0</v>
      </c>
      <c r="AI378" s="264">
        <f>IF(NFI_Expiration=1,IF($A378&lt;VLOOKUP(R$5,NFI,5,0),1,0)*Table_NFI[[#This Row],[Winter Clothes Adult]],Table_NFI[Winter Clothes Adult])</f>
        <v>0</v>
      </c>
      <c r="AJ378" s="264">
        <f>IF(NFI_Expiration=1,IF($A378&lt;VLOOKUP(S$5,NFI,5,0),1,0)*Table_NFI[[#This Row],[Winter Clothes Children]],Table_NFI[Winter Clothes Children])</f>
        <v>0</v>
      </c>
      <c r="AK378" s="264">
        <f>IF(NFI_Expiration=1,IF($A378&lt;VLOOKUP(T$5,NFI,5,0),1,0)*Table_NFI[[#This Row],[Winter Items Other]],Table_NFI[Winter Items Other])</f>
        <v>0</v>
      </c>
      <c r="AL378" s="264">
        <f>IF(NFI_Expiration=1,IF($A378&lt;VLOOKUP(M$5,NFI,5,0),1,0)*Table_NFI[[#This Row],[Winter Blanket]],Table_NFI[[#This Row],[Winter Blanket]])</f>
        <v>0</v>
      </c>
      <c r="AM378" s="264">
        <f>IF(Table_NFI[[#This Row],[Winter Clothes Adult]]+Table_NFI[[#This Row],[Winter Clothes Children]]+Table_NFI[[#This Row],[Winter Items Other]]+Table_NFI[[#This Row],[Winter Blanket]]&gt;0,1,0)</f>
        <v>0</v>
      </c>
      <c r="AN378" s="296">
        <f>IF(NFI_Expiration=1,IF($A378&lt;VLOOKUP(V$5,NFI,5,0),1,0)*Table_NFI[[#This Row],[Jerry Can]],Table_NFI[Jerry Can])</f>
        <v>0</v>
      </c>
      <c r="AO378" s="296">
        <f>IF(NFI_Expiration=1,IF($A378&lt;VLOOKUP(V$5,NFI,5,0),1,0)*Table_NFI[[#This Row],[Shelter Tool kit]],Table_NFI[Shelter Tool kit])</f>
        <v>0</v>
      </c>
      <c r="AP378" s="296">
        <f>IF(NFI_Expiration=1,IF($A378&lt;VLOOKUP(V$5,NFI,5,0),1,0)*Table_NFI[[#This Row],[Tent]],Table_NFI[Tent])</f>
        <v>0</v>
      </c>
      <c r="AQ378" s="396" t="str">
        <f>IFERROR(VLOOKUP(Table_NFI[[#This Row],[Camp Name]],CL,2,0),"")</f>
        <v>MMR001CMP004</v>
      </c>
      <c r="AR378" s="702">
        <f ca="1">IF(Table_NFI[[#This Row],[Pcode]]="","",IF(OFFSET(CampList[Opening Date],MATCH(Table_NFI[[#This Row],[Pcode]],CampList[CP_Pcode],0)-1,0,1,1)&gt;=NFI_Monitor_Date,1,0))</f>
        <v>0</v>
      </c>
      <c r="AS378" s="396" t="str">
        <f>IFERROR(VLOOKUP(Table_NFI[[#This Row],[Camp Name]],CL,3,0),"")</f>
        <v>Open</v>
      </c>
      <c r="AT378" s="264" t="str">
        <f ca="1">IF(Table_NFI[[#This Row],[Pcode]]="","",OFFSET(CampList[Priority],MATCH(Table_NFI[[#This Row],[Pcode]],CampList[CP_Pcode],0)-1,0,1,1))</f>
        <v>P4</v>
      </c>
      <c r="AU378" s="263">
        <f>IFERROR(Table_NFI[[#This Row],[Kitchen Set]]/VLOOKUP(Table_NFI[[#This Row],[Camp Name]],CL,4,0),"")</f>
        <v>0</v>
      </c>
      <c r="AV378" s="394"/>
      <c r="AW378" s="397"/>
      <c r="AX378" s="399"/>
      <c r="AY378" s="399"/>
      <c r="AZ378" s="399"/>
      <c r="BA378" s="399"/>
      <c r="BB378" s="399"/>
      <c r="BC378" s="399"/>
      <c r="BD378" s="399"/>
      <c r="BE378" s="399"/>
      <c r="BF378" s="399"/>
      <c r="BG378" s="399"/>
      <c r="BH378" s="399"/>
      <c r="BI378" s="399"/>
      <c r="BJ378" s="399"/>
      <c r="BK378" s="399"/>
      <c r="BL378" s="399"/>
      <c r="BM378" s="399"/>
      <c r="BN378" s="399"/>
      <c r="BO378" s="399"/>
      <c r="BP378" s="399"/>
      <c r="BQ378" s="399"/>
      <c r="BR378" s="399"/>
      <c r="BS378" s="399"/>
      <c r="BT378" s="399"/>
      <c r="BU378" s="399"/>
      <c r="BV378" s="399"/>
      <c r="BW378" s="399"/>
      <c r="BX378" s="399"/>
      <c r="BY378" s="399"/>
      <c r="BZ378" s="399"/>
      <c r="CA378" s="399"/>
      <c r="CB378" s="399"/>
      <c r="CC378" s="399"/>
      <c r="CD378" s="399"/>
      <c r="CE378" s="399"/>
      <c r="CF378" s="399"/>
      <c r="CG378" s="399"/>
      <c r="CH378" s="399"/>
      <c r="CI378" s="399"/>
      <c r="CJ378" s="399"/>
      <c r="CK378" s="399"/>
      <c r="CL378" s="399"/>
      <c r="CM378" s="399"/>
      <c r="CN378" s="399"/>
      <c r="CO378" s="399"/>
      <c r="CP378" s="399"/>
      <c r="CQ378" s="399"/>
      <c r="CR378" s="399"/>
      <c r="CS378" s="399"/>
      <c r="CT378" s="399"/>
      <c r="CU378" s="399"/>
      <c r="CV378" s="399"/>
      <c r="CW378" s="399"/>
      <c r="CX378" s="399"/>
      <c r="CY378" s="399"/>
      <c r="CZ378" s="399"/>
      <c r="DA378" s="399"/>
      <c r="DB378" s="399"/>
      <c r="DC378" s="399"/>
      <c r="DD378" s="399"/>
      <c r="DE378" s="399"/>
      <c r="DF378" s="399"/>
      <c r="DG378" s="399"/>
      <c r="DH378" s="399"/>
      <c r="DI378" s="399"/>
      <c r="DJ378" s="399"/>
      <c r="DK378" s="399"/>
      <c r="DL378" s="399"/>
      <c r="DM378" s="399"/>
      <c r="DN378" s="399"/>
      <c r="DO378" s="399"/>
      <c r="DP378" s="399"/>
      <c r="DQ378" s="399"/>
    </row>
    <row r="379" spans="1:121" s="393" customFormat="1" ht="15" customHeight="1" x14ac:dyDescent="0.25">
      <c r="A379" s="266">
        <f t="shared" si="5"/>
        <v>31.433333333333334</v>
      </c>
      <c r="B379" s="389">
        <v>41913</v>
      </c>
      <c r="C379" s="390" t="s">
        <v>451</v>
      </c>
      <c r="D379" s="394" t="s">
        <v>504</v>
      </c>
      <c r="E379" s="394" t="s">
        <v>380</v>
      </c>
      <c r="F379" s="394" t="s">
        <v>310</v>
      </c>
      <c r="G379" s="394" t="s">
        <v>349</v>
      </c>
      <c r="H379" s="261"/>
      <c r="I379" s="261"/>
      <c r="J379" s="261"/>
      <c r="K379" s="261">
        <v>144</v>
      </c>
      <c r="L379" s="261"/>
      <c r="M379" s="261"/>
      <c r="N379" s="261"/>
      <c r="O379" s="261"/>
      <c r="P379" s="261"/>
      <c r="Q379" s="261"/>
      <c r="R379" s="261"/>
      <c r="S379" s="261"/>
      <c r="T379" s="261"/>
      <c r="U379" s="261"/>
      <c r="V379" s="762"/>
      <c r="W379" s="762"/>
      <c r="X379" s="762"/>
      <c r="Y379" s="264">
        <f>IF(NFI_Expiration=1,IF($A379&lt;VLOOKUP(H$5,NFI,5,0),1,0)*Table_NFI[[#This Row],[Hygiene Kit]],Table_NFI[Hygiene Kit])</f>
        <v>0</v>
      </c>
      <c r="Z379" s="264">
        <f>IF(NFI_Expiration=1,IF($A379&lt;VLOOKUP(I$5,NFI,5,0),1,0)*Table_NFI[[#This Row],[NFI Core Kit]],Table_NFI[NFI Core Kit])</f>
        <v>0</v>
      </c>
      <c r="AA379" s="264">
        <f>IF(NFI_Expiration=1,IF($A379&lt;VLOOKUP(J$5,NFI,5,0),1,0)*Table_NFI[[#This Row],[Sanitary Kit]],Table_NFI[Sanitary Kit])</f>
        <v>0</v>
      </c>
      <c r="AB379" s="264">
        <f>IF(NFI_Expiration=1,IF($A379&lt;VLOOKUP(K$5,NFI,5,0),1,0)*Table_NFI[[#This Row],[Mosquito net]],Table_NFI[Mosquito net])</f>
        <v>0</v>
      </c>
      <c r="AC379" s="264">
        <f>IF(NFI_Expiration=1,IF($A379&lt;VLOOKUP(L$5,NFI,5,0),1,0)*Table_NFI[[#This Row],[Tarpaulin]],Table_NFI[[#This Row],[Tarpaulin]])</f>
        <v>0</v>
      </c>
      <c r="AD379" s="264">
        <f>IF(NFI_Expiration=1,IF($A379&lt;VLOOKUP(M$5,NFI,5,0),1,0)*Table_NFI[[#This Row],[Blanket]],Table_NFI[[#This Row],[Blanket]])</f>
        <v>0</v>
      </c>
      <c r="AE379" s="264">
        <f>IF(NFI_Expiration=1,IF($A379&lt;VLOOKUP(N$5,NFI,5,0),1,0)*Table_NFI[[#This Row],[Kitchen Set]],Table_NFI[Kitchen Set])</f>
        <v>0</v>
      </c>
      <c r="AF379" s="264">
        <f>IF(NFI_Expiration=1,IF($A379&lt;VLOOKUP(O$5,NFI,5,0),1,0)*Table_NFI[[#This Row],[Clothes Kit]],Table_NFI[Clothes Kit])</f>
        <v>0</v>
      </c>
      <c r="AG379" s="264">
        <f>IF(NFI_Expiration=1,IF($A379&lt;VLOOKUP(P$5,NFI,5,0),1,0)*Table_NFI[[#This Row],[Plastic Bucket]],Table_NFI[Plastic Bucket])</f>
        <v>0</v>
      </c>
      <c r="AH379" s="264">
        <f>IF(NFI_Expiration=1,IF($A379&lt;VLOOKUP(Q$5,NFI,5,0),1,0)*Table_NFI[[#This Row],[Plastic Mat]],Table_NFI[Plastic Mat])*IF(Table_NFI[[#This Row],[Distribution Date]]&gt;"2014-04-01",1,2.5)</f>
        <v>0</v>
      </c>
      <c r="AI379" s="264">
        <f>IF(NFI_Expiration=1,IF($A379&lt;VLOOKUP(R$5,NFI,5,0),1,0)*Table_NFI[[#This Row],[Winter Clothes Adult]],Table_NFI[Winter Clothes Adult])</f>
        <v>0</v>
      </c>
      <c r="AJ379" s="264">
        <f>IF(NFI_Expiration=1,IF($A379&lt;VLOOKUP(S$5,NFI,5,0),1,0)*Table_NFI[[#This Row],[Winter Clothes Children]],Table_NFI[Winter Clothes Children])</f>
        <v>0</v>
      </c>
      <c r="AK379" s="264">
        <f>IF(NFI_Expiration=1,IF($A379&lt;VLOOKUP(T$5,NFI,5,0),1,0)*Table_NFI[[#This Row],[Winter Items Other]],Table_NFI[Winter Items Other])</f>
        <v>0</v>
      </c>
      <c r="AL379" s="264">
        <f>IF(NFI_Expiration=1,IF($A379&lt;VLOOKUP(M$5,NFI,5,0),1,0)*Table_NFI[[#This Row],[Winter Blanket]],Table_NFI[[#This Row],[Winter Blanket]])</f>
        <v>0</v>
      </c>
      <c r="AM379" s="264">
        <f>IF(Table_NFI[[#This Row],[Winter Clothes Adult]]+Table_NFI[[#This Row],[Winter Clothes Children]]+Table_NFI[[#This Row],[Winter Items Other]]+Table_NFI[[#This Row],[Winter Blanket]]&gt;0,1,0)</f>
        <v>0</v>
      </c>
      <c r="AN379" s="296">
        <f>IF(NFI_Expiration=1,IF($A379&lt;VLOOKUP(V$5,NFI,5,0),1,0)*Table_NFI[[#This Row],[Jerry Can]],Table_NFI[Jerry Can])</f>
        <v>0</v>
      </c>
      <c r="AO379" s="296">
        <f>IF(NFI_Expiration=1,IF($A379&lt;VLOOKUP(V$5,NFI,5,0),1,0)*Table_NFI[[#This Row],[Shelter Tool kit]],Table_NFI[Shelter Tool kit])</f>
        <v>0</v>
      </c>
      <c r="AP379" s="296">
        <f>IF(NFI_Expiration=1,IF($A379&lt;VLOOKUP(V$5,NFI,5,0),1,0)*Table_NFI[[#This Row],[Tent]],Table_NFI[Tent])</f>
        <v>0</v>
      </c>
      <c r="AQ379" s="396" t="str">
        <f>IFERROR(VLOOKUP(Table_NFI[[#This Row],[Camp Name]],CL,2,0),"")</f>
        <v>MMR001CMP037</v>
      </c>
      <c r="AR379" s="702">
        <f ca="1">IF(Table_NFI[[#This Row],[Pcode]]="","",IF(OFFSET(CampList[Opening Date],MATCH(Table_NFI[[#This Row],[Pcode]],CampList[CP_Pcode],0)-1,0,1,1)&gt;=NFI_Monitor_Date,1,0))</f>
        <v>0</v>
      </c>
      <c r="AS379" s="396" t="str">
        <f>IFERROR(VLOOKUP(Table_NFI[[#This Row],[Camp Name]],CL,3,0),"")</f>
        <v>Open</v>
      </c>
      <c r="AT379" s="264" t="str">
        <f ca="1">IF(Table_NFI[[#This Row],[Pcode]]="","",OFFSET(CampList[Priority],MATCH(Table_NFI[[#This Row],[Pcode]],CampList[CP_Pcode],0)-1,0,1,1))</f>
        <v>P4</v>
      </c>
      <c r="AU379" s="263">
        <f>IFERROR(Table_NFI[[#This Row],[Kitchen Set]]/VLOOKUP(Table_NFI[[#This Row],[Camp Name]],CL,4,0),"")</f>
        <v>0</v>
      </c>
      <c r="AV379" s="394"/>
      <c r="AW379" s="397"/>
      <c r="AX379" s="399"/>
      <c r="AY379" s="399"/>
      <c r="AZ379" s="399"/>
      <c r="BA379" s="399"/>
      <c r="BB379" s="399"/>
      <c r="BC379" s="399"/>
      <c r="BD379" s="399"/>
      <c r="BE379" s="399"/>
      <c r="BF379" s="399"/>
      <c r="BG379" s="399"/>
      <c r="BH379" s="399"/>
      <c r="BI379" s="399"/>
      <c r="BJ379" s="399"/>
      <c r="BK379" s="399"/>
      <c r="BL379" s="399"/>
      <c r="BM379" s="399"/>
      <c r="BN379" s="399"/>
      <c r="BO379" s="399"/>
      <c r="BP379" s="399"/>
      <c r="BQ379" s="399"/>
      <c r="BR379" s="399"/>
      <c r="BS379" s="399"/>
      <c r="BT379" s="399"/>
      <c r="BU379" s="399"/>
      <c r="BV379" s="399"/>
      <c r="BW379" s="399"/>
      <c r="BX379" s="399"/>
      <c r="BY379" s="399"/>
      <c r="BZ379" s="399"/>
      <c r="CA379" s="399"/>
      <c r="CB379" s="399"/>
      <c r="CC379" s="399"/>
      <c r="CD379" s="399"/>
      <c r="CE379" s="399"/>
      <c r="CF379" s="399"/>
      <c r="CG379" s="399"/>
      <c r="CH379" s="399"/>
      <c r="CI379" s="399"/>
      <c r="CJ379" s="399"/>
      <c r="CK379" s="399"/>
      <c r="CL379" s="399"/>
      <c r="CM379" s="399"/>
      <c r="CN379" s="399"/>
      <c r="CO379" s="399"/>
      <c r="CP379" s="399"/>
      <c r="CQ379" s="399"/>
      <c r="CR379" s="399"/>
      <c r="CS379" s="399"/>
      <c r="CT379" s="399"/>
      <c r="CU379" s="399"/>
      <c r="CV379" s="399"/>
      <c r="CW379" s="399"/>
      <c r="CX379" s="399"/>
      <c r="CY379" s="399"/>
      <c r="CZ379" s="399"/>
      <c r="DA379" s="399"/>
      <c r="DB379" s="399"/>
      <c r="DC379" s="399"/>
      <c r="DD379" s="399"/>
      <c r="DE379" s="399"/>
      <c r="DF379" s="399"/>
      <c r="DG379" s="399"/>
      <c r="DH379" s="399"/>
      <c r="DI379" s="399"/>
      <c r="DJ379" s="399"/>
      <c r="DK379" s="399"/>
      <c r="DL379" s="399"/>
      <c r="DM379" s="399"/>
      <c r="DN379" s="399"/>
      <c r="DO379" s="399"/>
      <c r="DP379" s="399"/>
      <c r="DQ379" s="399"/>
    </row>
    <row r="380" spans="1:121" s="393" customFormat="1" ht="15" customHeight="1" x14ac:dyDescent="0.25">
      <c r="A380" s="266">
        <f t="shared" si="5"/>
        <v>31.433333333333334</v>
      </c>
      <c r="B380" s="389">
        <v>41913</v>
      </c>
      <c r="C380" s="390" t="s">
        <v>451</v>
      </c>
      <c r="D380" s="394" t="s">
        <v>504</v>
      </c>
      <c r="E380" s="394" t="s">
        <v>380</v>
      </c>
      <c r="F380" s="394" t="s">
        <v>310</v>
      </c>
      <c r="G380" s="394" t="s">
        <v>316</v>
      </c>
      <c r="H380" s="261"/>
      <c r="I380" s="261"/>
      <c r="J380" s="261"/>
      <c r="K380" s="261">
        <v>150</v>
      </c>
      <c r="L380" s="261"/>
      <c r="M380" s="261"/>
      <c r="N380" s="261"/>
      <c r="O380" s="261"/>
      <c r="P380" s="261"/>
      <c r="Q380" s="261"/>
      <c r="R380" s="261"/>
      <c r="S380" s="261"/>
      <c r="T380" s="261"/>
      <c r="U380" s="261"/>
      <c r="V380" s="762"/>
      <c r="W380" s="762"/>
      <c r="X380" s="762"/>
      <c r="Y380" s="264">
        <f>IF(NFI_Expiration=1,IF($A380&lt;VLOOKUP(H$5,NFI,5,0),1,0)*Table_NFI[[#This Row],[Hygiene Kit]],Table_NFI[Hygiene Kit])</f>
        <v>0</v>
      </c>
      <c r="Z380" s="264">
        <f>IF(NFI_Expiration=1,IF($A380&lt;VLOOKUP(I$5,NFI,5,0),1,0)*Table_NFI[[#This Row],[NFI Core Kit]],Table_NFI[NFI Core Kit])</f>
        <v>0</v>
      </c>
      <c r="AA380" s="264">
        <f>IF(NFI_Expiration=1,IF($A380&lt;VLOOKUP(J$5,NFI,5,0),1,0)*Table_NFI[[#This Row],[Sanitary Kit]],Table_NFI[Sanitary Kit])</f>
        <v>0</v>
      </c>
      <c r="AB380" s="264">
        <f>IF(NFI_Expiration=1,IF($A380&lt;VLOOKUP(K$5,NFI,5,0),1,0)*Table_NFI[[#This Row],[Mosquito net]],Table_NFI[Mosquito net])</f>
        <v>0</v>
      </c>
      <c r="AC380" s="264">
        <f>IF(NFI_Expiration=1,IF($A380&lt;VLOOKUP(L$5,NFI,5,0),1,0)*Table_NFI[[#This Row],[Tarpaulin]],Table_NFI[[#This Row],[Tarpaulin]])</f>
        <v>0</v>
      </c>
      <c r="AD380" s="264">
        <f>IF(NFI_Expiration=1,IF($A380&lt;VLOOKUP(M$5,NFI,5,0),1,0)*Table_NFI[[#This Row],[Blanket]],Table_NFI[[#This Row],[Blanket]])</f>
        <v>0</v>
      </c>
      <c r="AE380" s="264">
        <f>IF(NFI_Expiration=1,IF($A380&lt;VLOOKUP(N$5,NFI,5,0),1,0)*Table_NFI[[#This Row],[Kitchen Set]],Table_NFI[Kitchen Set])</f>
        <v>0</v>
      </c>
      <c r="AF380" s="264">
        <f>IF(NFI_Expiration=1,IF($A380&lt;VLOOKUP(O$5,NFI,5,0),1,0)*Table_NFI[[#This Row],[Clothes Kit]],Table_NFI[Clothes Kit])</f>
        <v>0</v>
      </c>
      <c r="AG380" s="264">
        <f>IF(NFI_Expiration=1,IF($A380&lt;VLOOKUP(P$5,NFI,5,0),1,0)*Table_NFI[[#This Row],[Plastic Bucket]],Table_NFI[Plastic Bucket])</f>
        <v>0</v>
      </c>
      <c r="AH380" s="264">
        <f>IF(NFI_Expiration=1,IF($A380&lt;VLOOKUP(Q$5,NFI,5,0),1,0)*Table_NFI[[#This Row],[Plastic Mat]],Table_NFI[Plastic Mat])*IF(Table_NFI[[#This Row],[Distribution Date]]&gt;"2014-04-01",1,2.5)</f>
        <v>0</v>
      </c>
      <c r="AI380" s="264">
        <f>IF(NFI_Expiration=1,IF($A380&lt;VLOOKUP(R$5,NFI,5,0),1,0)*Table_NFI[[#This Row],[Winter Clothes Adult]],Table_NFI[Winter Clothes Adult])</f>
        <v>0</v>
      </c>
      <c r="AJ380" s="264">
        <f>IF(NFI_Expiration=1,IF($A380&lt;VLOOKUP(S$5,NFI,5,0),1,0)*Table_NFI[[#This Row],[Winter Clothes Children]],Table_NFI[Winter Clothes Children])</f>
        <v>0</v>
      </c>
      <c r="AK380" s="264">
        <f>IF(NFI_Expiration=1,IF($A380&lt;VLOOKUP(T$5,NFI,5,0),1,0)*Table_NFI[[#This Row],[Winter Items Other]],Table_NFI[Winter Items Other])</f>
        <v>0</v>
      </c>
      <c r="AL380" s="264">
        <f>IF(NFI_Expiration=1,IF($A380&lt;VLOOKUP(M$5,NFI,5,0),1,0)*Table_NFI[[#This Row],[Winter Blanket]],Table_NFI[[#This Row],[Winter Blanket]])</f>
        <v>0</v>
      </c>
      <c r="AM380" s="264">
        <f>IF(Table_NFI[[#This Row],[Winter Clothes Adult]]+Table_NFI[[#This Row],[Winter Clothes Children]]+Table_NFI[[#This Row],[Winter Items Other]]+Table_NFI[[#This Row],[Winter Blanket]]&gt;0,1,0)</f>
        <v>0</v>
      </c>
      <c r="AN380" s="296">
        <f>IF(NFI_Expiration=1,IF($A380&lt;VLOOKUP(V$5,NFI,5,0),1,0)*Table_NFI[[#This Row],[Jerry Can]],Table_NFI[Jerry Can])</f>
        <v>0</v>
      </c>
      <c r="AO380" s="296">
        <f>IF(NFI_Expiration=1,IF($A380&lt;VLOOKUP(V$5,NFI,5,0),1,0)*Table_NFI[[#This Row],[Shelter Tool kit]],Table_NFI[Shelter Tool kit])</f>
        <v>0</v>
      </c>
      <c r="AP380" s="296">
        <f>IF(NFI_Expiration=1,IF($A380&lt;VLOOKUP(V$5,NFI,5,0),1,0)*Table_NFI[[#This Row],[Tent]],Table_NFI[Tent])</f>
        <v>0</v>
      </c>
      <c r="AQ380" s="396" t="str">
        <f>IFERROR(VLOOKUP(Table_NFI[[#This Row],[Camp Name]],CL,2,0),"")</f>
        <v>MMR001CMP038</v>
      </c>
      <c r="AR380" s="702">
        <f ca="1">IF(Table_NFI[[#This Row],[Pcode]]="","",IF(OFFSET(CampList[Opening Date],MATCH(Table_NFI[[#This Row],[Pcode]],CampList[CP_Pcode],0)-1,0,1,1)&gt;=NFI_Monitor_Date,1,0))</f>
        <v>0</v>
      </c>
      <c r="AS380" s="396" t="str">
        <f>IFERROR(VLOOKUP(Table_NFI[[#This Row],[Camp Name]],CL,3,0),"")</f>
        <v>Open</v>
      </c>
      <c r="AT380" s="264" t="str">
        <f ca="1">IF(Table_NFI[[#This Row],[Pcode]]="","",OFFSET(CampList[Priority],MATCH(Table_NFI[[#This Row],[Pcode]],CampList[CP_Pcode],0)-1,0,1,1))</f>
        <v>P4</v>
      </c>
      <c r="AU380" s="263">
        <f>IFERROR(Table_NFI[[#This Row],[Kitchen Set]]/VLOOKUP(Table_NFI[[#This Row],[Camp Name]],CL,4,0),"")</f>
        <v>0</v>
      </c>
      <c r="AV380" s="394"/>
      <c r="AW380" s="397"/>
      <c r="AX380" s="399"/>
      <c r="AY380" s="399"/>
      <c r="AZ380" s="399"/>
      <c r="BA380" s="399"/>
      <c r="BB380" s="399"/>
      <c r="BC380" s="399"/>
      <c r="BD380" s="399"/>
      <c r="BE380" s="399"/>
      <c r="BF380" s="399"/>
      <c r="BG380" s="399"/>
      <c r="BH380" s="399"/>
      <c r="BI380" s="399"/>
      <c r="BJ380" s="399"/>
      <c r="BK380" s="399"/>
      <c r="BL380" s="399"/>
      <c r="BM380" s="399"/>
      <c r="BN380" s="399"/>
      <c r="BO380" s="399"/>
      <c r="BP380" s="399"/>
      <c r="BQ380" s="399"/>
      <c r="BR380" s="399"/>
      <c r="BS380" s="399"/>
      <c r="BT380" s="399"/>
      <c r="BU380" s="399"/>
      <c r="BV380" s="399"/>
      <c r="BW380" s="399"/>
      <c r="BX380" s="399"/>
      <c r="BY380" s="399"/>
      <c r="BZ380" s="399"/>
      <c r="CA380" s="399"/>
      <c r="CB380" s="399"/>
      <c r="CC380" s="399"/>
      <c r="CD380" s="399"/>
      <c r="CE380" s="399"/>
      <c r="CF380" s="399"/>
      <c r="CG380" s="399"/>
      <c r="CH380" s="399"/>
      <c r="CI380" s="399"/>
      <c r="CJ380" s="399"/>
      <c r="CK380" s="399"/>
      <c r="CL380" s="399"/>
      <c r="CM380" s="399"/>
      <c r="CN380" s="399"/>
      <c r="CO380" s="399"/>
      <c r="CP380" s="399"/>
      <c r="CQ380" s="399"/>
      <c r="CR380" s="399"/>
      <c r="CS380" s="399"/>
      <c r="CT380" s="399"/>
      <c r="CU380" s="399"/>
      <c r="CV380" s="399"/>
      <c r="CW380" s="399"/>
      <c r="CX380" s="399"/>
      <c r="CY380" s="399"/>
      <c r="CZ380" s="399"/>
      <c r="DA380" s="399"/>
      <c r="DB380" s="399"/>
      <c r="DC380" s="399"/>
      <c r="DD380" s="399"/>
      <c r="DE380" s="399"/>
      <c r="DF380" s="399"/>
      <c r="DG380" s="399"/>
      <c r="DH380" s="399"/>
      <c r="DI380" s="399"/>
      <c r="DJ380" s="399"/>
      <c r="DK380" s="399"/>
      <c r="DL380" s="399"/>
      <c r="DM380" s="399"/>
      <c r="DN380" s="399"/>
      <c r="DO380" s="399"/>
      <c r="DP380" s="399"/>
      <c r="DQ380" s="399"/>
    </row>
    <row r="381" spans="1:121" s="393" customFormat="1" ht="15" customHeight="1" x14ac:dyDescent="0.25">
      <c r="A381" s="266">
        <f t="shared" si="5"/>
        <v>31.433333333333334</v>
      </c>
      <c r="B381" s="389">
        <v>41913</v>
      </c>
      <c r="C381" s="390" t="s">
        <v>451</v>
      </c>
      <c r="D381" s="394" t="s">
        <v>504</v>
      </c>
      <c r="E381" s="394" t="s">
        <v>380</v>
      </c>
      <c r="F381" s="394" t="s">
        <v>237</v>
      </c>
      <c r="G381" s="394" t="s">
        <v>283</v>
      </c>
      <c r="H381" s="261"/>
      <c r="I381" s="261"/>
      <c r="J381" s="261"/>
      <c r="K381" s="261">
        <v>12</v>
      </c>
      <c r="L381" s="261"/>
      <c r="M381" s="261"/>
      <c r="N381" s="261"/>
      <c r="O381" s="261"/>
      <c r="P381" s="261"/>
      <c r="Q381" s="261"/>
      <c r="R381" s="261"/>
      <c r="S381" s="261"/>
      <c r="T381" s="261"/>
      <c r="U381" s="261"/>
      <c r="V381" s="762"/>
      <c r="W381" s="762"/>
      <c r="X381" s="762"/>
      <c r="Y381" s="264">
        <f>IF(NFI_Expiration=1,IF($A381&lt;VLOOKUP(H$5,NFI,5,0),1,0)*Table_NFI[[#This Row],[Hygiene Kit]],Table_NFI[Hygiene Kit])</f>
        <v>0</v>
      </c>
      <c r="Z381" s="264">
        <f>IF(NFI_Expiration=1,IF($A381&lt;VLOOKUP(I$5,NFI,5,0),1,0)*Table_NFI[[#This Row],[NFI Core Kit]],Table_NFI[NFI Core Kit])</f>
        <v>0</v>
      </c>
      <c r="AA381" s="264">
        <f>IF(NFI_Expiration=1,IF($A381&lt;VLOOKUP(J$5,NFI,5,0),1,0)*Table_NFI[[#This Row],[Sanitary Kit]],Table_NFI[Sanitary Kit])</f>
        <v>0</v>
      </c>
      <c r="AB381" s="264">
        <f>IF(NFI_Expiration=1,IF($A381&lt;VLOOKUP(K$5,NFI,5,0),1,0)*Table_NFI[[#This Row],[Mosquito net]],Table_NFI[Mosquito net])</f>
        <v>0</v>
      </c>
      <c r="AC381" s="264">
        <f>IF(NFI_Expiration=1,IF($A381&lt;VLOOKUP(L$5,NFI,5,0),1,0)*Table_NFI[[#This Row],[Tarpaulin]],Table_NFI[[#This Row],[Tarpaulin]])</f>
        <v>0</v>
      </c>
      <c r="AD381" s="264">
        <f>IF(NFI_Expiration=1,IF($A381&lt;VLOOKUP(M$5,NFI,5,0),1,0)*Table_NFI[[#This Row],[Blanket]],Table_NFI[[#This Row],[Blanket]])</f>
        <v>0</v>
      </c>
      <c r="AE381" s="264">
        <f>IF(NFI_Expiration=1,IF($A381&lt;VLOOKUP(N$5,NFI,5,0),1,0)*Table_NFI[[#This Row],[Kitchen Set]],Table_NFI[Kitchen Set])</f>
        <v>0</v>
      </c>
      <c r="AF381" s="264">
        <f>IF(NFI_Expiration=1,IF($A381&lt;VLOOKUP(O$5,NFI,5,0),1,0)*Table_NFI[[#This Row],[Clothes Kit]],Table_NFI[Clothes Kit])</f>
        <v>0</v>
      </c>
      <c r="AG381" s="264">
        <f>IF(NFI_Expiration=1,IF($A381&lt;VLOOKUP(P$5,NFI,5,0),1,0)*Table_NFI[[#This Row],[Plastic Bucket]],Table_NFI[Plastic Bucket])</f>
        <v>0</v>
      </c>
      <c r="AH381" s="264">
        <f>IF(NFI_Expiration=1,IF($A381&lt;VLOOKUP(Q$5,NFI,5,0),1,0)*Table_NFI[[#This Row],[Plastic Mat]],Table_NFI[Plastic Mat])*IF(Table_NFI[[#This Row],[Distribution Date]]&gt;"2014-04-01",1,2.5)</f>
        <v>0</v>
      </c>
      <c r="AI381" s="264">
        <f>IF(NFI_Expiration=1,IF($A381&lt;VLOOKUP(R$5,NFI,5,0),1,0)*Table_NFI[[#This Row],[Winter Clothes Adult]],Table_NFI[Winter Clothes Adult])</f>
        <v>0</v>
      </c>
      <c r="AJ381" s="264">
        <f>IF(NFI_Expiration=1,IF($A381&lt;VLOOKUP(S$5,NFI,5,0),1,0)*Table_NFI[[#This Row],[Winter Clothes Children]],Table_NFI[Winter Clothes Children])</f>
        <v>0</v>
      </c>
      <c r="AK381" s="264">
        <f>IF(NFI_Expiration=1,IF($A381&lt;VLOOKUP(T$5,NFI,5,0),1,0)*Table_NFI[[#This Row],[Winter Items Other]],Table_NFI[Winter Items Other])</f>
        <v>0</v>
      </c>
      <c r="AL381" s="264">
        <f>IF(NFI_Expiration=1,IF($A381&lt;VLOOKUP(M$5,NFI,5,0),1,0)*Table_NFI[[#This Row],[Winter Blanket]],Table_NFI[[#This Row],[Winter Blanket]])</f>
        <v>0</v>
      </c>
      <c r="AM381" s="264">
        <f>IF(Table_NFI[[#This Row],[Winter Clothes Adult]]+Table_NFI[[#This Row],[Winter Clothes Children]]+Table_NFI[[#This Row],[Winter Items Other]]+Table_NFI[[#This Row],[Winter Blanket]]&gt;0,1,0)</f>
        <v>0</v>
      </c>
      <c r="AN381" s="296">
        <f>IF(NFI_Expiration=1,IF($A381&lt;VLOOKUP(V$5,NFI,5,0),1,0)*Table_NFI[[#This Row],[Jerry Can]],Table_NFI[Jerry Can])</f>
        <v>0</v>
      </c>
      <c r="AO381" s="296">
        <f>IF(NFI_Expiration=1,IF($A381&lt;VLOOKUP(V$5,NFI,5,0),1,0)*Table_NFI[[#This Row],[Shelter Tool kit]],Table_NFI[Shelter Tool kit])</f>
        <v>0</v>
      </c>
      <c r="AP381" s="296">
        <f>IF(NFI_Expiration=1,IF($A381&lt;VLOOKUP(V$5,NFI,5,0),1,0)*Table_NFI[[#This Row],[Tent]],Table_NFI[Tent])</f>
        <v>0</v>
      </c>
      <c r="AQ381" s="396" t="str">
        <f>IFERROR(VLOOKUP(Table_NFI[[#This Row],[Camp Name]],CL,2,0),"")</f>
        <v>MMR001CMP022</v>
      </c>
      <c r="AR381" s="702">
        <f ca="1">IF(Table_NFI[[#This Row],[Pcode]]="","",IF(OFFSET(CampList[Opening Date],MATCH(Table_NFI[[#This Row],[Pcode]],CampList[CP_Pcode],0)-1,0,1,1)&gt;=NFI_Monitor_Date,1,0))</f>
        <v>0</v>
      </c>
      <c r="AS381" s="396" t="str">
        <f>IFERROR(VLOOKUP(Table_NFI[[#This Row],[Camp Name]],CL,3,0),"")</f>
        <v>Open</v>
      </c>
      <c r="AT381" s="264" t="str">
        <f ca="1">IF(Table_NFI[[#This Row],[Pcode]]="","",OFFSET(CampList[Priority],MATCH(Table_NFI[[#This Row],[Pcode]],CampList[CP_Pcode],0)-1,0,1,1))</f>
        <v>P4</v>
      </c>
      <c r="AU381" s="263">
        <f>IFERROR(Table_NFI[[#This Row],[Kitchen Set]]/VLOOKUP(Table_NFI[[#This Row],[Camp Name]],CL,4,0),"")</f>
        <v>0</v>
      </c>
      <c r="AV381" s="394"/>
      <c r="AW381" s="397"/>
      <c r="AX381" s="399"/>
      <c r="AY381" s="399"/>
      <c r="AZ381" s="399"/>
      <c r="BA381" s="399"/>
      <c r="BB381" s="399"/>
      <c r="BC381" s="399"/>
      <c r="BD381" s="399"/>
      <c r="BE381" s="399"/>
      <c r="BF381" s="399"/>
      <c r="BG381" s="399"/>
      <c r="BH381" s="399"/>
      <c r="BI381" s="399"/>
      <c r="BJ381" s="399"/>
      <c r="BK381" s="399"/>
      <c r="BL381" s="399"/>
      <c r="BM381" s="399"/>
      <c r="BN381" s="399"/>
      <c r="BO381" s="399"/>
      <c r="BP381" s="399"/>
      <c r="BQ381" s="399"/>
      <c r="BR381" s="399"/>
      <c r="BS381" s="399"/>
      <c r="BT381" s="399"/>
      <c r="BU381" s="399"/>
      <c r="BV381" s="399"/>
      <c r="BW381" s="399"/>
      <c r="BX381" s="399"/>
      <c r="BY381" s="399"/>
      <c r="BZ381" s="399"/>
      <c r="CA381" s="399"/>
      <c r="CB381" s="399"/>
      <c r="CC381" s="399"/>
      <c r="CD381" s="399"/>
      <c r="CE381" s="399"/>
      <c r="CF381" s="399"/>
      <c r="CG381" s="399"/>
      <c r="CH381" s="399"/>
      <c r="CI381" s="399"/>
      <c r="CJ381" s="399"/>
      <c r="CK381" s="399"/>
      <c r="CL381" s="399"/>
      <c r="CM381" s="399"/>
      <c r="CN381" s="399"/>
      <c r="CO381" s="399"/>
      <c r="CP381" s="399"/>
      <c r="CQ381" s="399"/>
      <c r="CR381" s="399"/>
      <c r="CS381" s="399"/>
      <c r="CT381" s="399"/>
      <c r="CU381" s="399"/>
      <c r="CV381" s="399"/>
      <c r="CW381" s="399"/>
      <c r="CX381" s="399"/>
      <c r="CY381" s="399"/>
      <c r="CZ381" s="399"/>
      <c r="DA381" s="399"/>
      <c r="DB381" s="399"/>
      <c r="DC381" s="399"/>
      <c r="DD381" s="399"/>
      <c r="DE381" s="399"/>
      <c r="DF381" s="399"/>
      <c r="DG381" s="399"/>
      <c r="DH381" s="399"/>
      <c r="DI381" s="399"/>
      <c r="DJ381" s="399"/>
      <c r="DK381" s="399"/>
      <c r="DL381" s="399"/>
      <c r="DM381" s="399"/>
      <c r="DN381" s="399"/>
      <c r="DO381" s="399"/>
      <c r="DP381" s="399"/>
      <c r="DQ381" s="399"/>
    </row>
    <row r="382" spans="1:121" s="393" customFormat="1" ht="15" customHeight="1" x14ac:dyDescent="0.25">
      <c r="A382" s="266">
        <f t="shared" si="5"/>
        <v>31.766666666666666</v>
      </c>
      <c r="B382" s="389">
        <v>41903</v>
      </c>
      <c r="C382" s="390" t="s">
        <v>451</v>
      </c>
      <c r="D382" s="390"/>
      <c r="E382" s="390" t="s">
        <v>380</v>
      </c>
      <c r="F382" s="390" t="s">
        <v>185</v>
      </c>
      <c r="G382" s="390" t="s">
        <v>215</v>
      </c>
      <c r="H382" s="261"/>
      <c r="I382" s="261"/>
      <c r="J382" s="261"/>
      <c r="K382" s="261">
        <v>604</v>
      </c>
      <c r="L382" s="261"/>
      <c r="M382" s="261"/>
      <c r="N382" s="261"/>
      <c r="O382" s="261"/>
      <c r="P382" s="261"/>
      <c r="Q382" s="261"/>
      <c r="R382" s="261"/>
      <c r="S382" s="261"/>
      <c r="T382" s="261"/>
      <c r="U382" s="261">
        <v>784</v>
      </c>
      <c r="V382" s="765"/>
      <c r="W382" s="762"/>
      <c r="X382" s="762"/>
      <c r="Y382" s="264">
        <f>IF(NFI_Expiration=1,IF($A382&lt;VLOOKUP(H$5,NFI,5,0),1,0)*Table_NFI[[#This Row],[Hygiene Kit]],Table_NFI[Hygiene Kit])</f>
        <v>0</v>
      </c>
      <c r="Z382" s="264">
        <f>IF(NFI_Expiration=1,IF($A382&lt;VLOOKUP(I$5,NFI,5,0),1,0)*Table_NFI[[#This Row],[NFI Core Kit]],Table_NFI[NFI Core Kit])</f>
        <v>0</v>
      </c>
      <c r="AA382" s="264">
        <f>IF(NFI_Expiration=1,IF($A382&lt;VLOOKUP(J$5,NFI,5,0),1,0)*Table_NFI[[#This Row],[Sanitary Kit]],Table_NFI[Sanitary Kit])</f>
        <v>0</v>
      </c>
      <c r="AB382" s="264">
        <f>IF(NFI_Expiration=1,IF($A382&lt;VLOOKUP(K$5,NFI,5,0),1,0)*Table_NFI[[#This Row],[Mosquito net]],Table_NFI[Mosquito net])</f>
        <v>0</v>
      </c>
      <c r="AC382" s="264">
        <f>IF(NFI_Expiration=1,IF($A382&lt;VLOOKUP(L$5,NFI,5,0),1,0)*Table_NFI[[#This Row],[Tarpaulin]],Table_NFI[[#This Row],[Tarpaulin]])</f>
        <v>0</v>
      </c>
      <c r="AD382" s="264">
        <f>IF(NFI_Expiration=1,IF($A382&lt;VLOOKUP(M$5,NFI,5,0),1,0)*Table_NFI[[#This Row],[Blanket]],Table_NFI[[#This Row],[Blanket]])</f>
        <v>0</v>
      </c>
      <c r="AE382" s="264">
        <f>IF(NFI_Expiration=1,IF($A382&lt;VLOOKUP(N$5,NFI,5,0),1,0)*Table_NFI[[#This Row],[Kitchen Set]],Table_NFI[Kitchen Set])</f>
        <v>0</v>
      </c>
      <c r="AF382" s="264">
        <f>IF(NFI_Expiration=1,IF($A382&lt;VLOOKUP(O$5,NFI,5,0),1,0)*Table_NFI[[#This Row],[Clothes Kit]],Table_NFI[Clothes Kit])</f>
        <v>0</v>
      </c>
      <c r="AG382" s="264">
        <f>IF(NFI_Expiration=1,IF($A382&lt;VLOOKUP(P$5,NFI,5,0),1,0)*Table_NFI[[#This Row],[Plastic Bucket]],Table_NFI[Plastic Bucket])</f>
        <v>0</v>
      </c>
      <c r="AH382" s="264">
        <f>IF(NFI_Expiration=1,IF($A382&lt;VLOOKUP(Q$5,NFI,5,0),1,0)*Table_NFI[[#This Row],[Plastic Mat]],Table_NFI[Plastic Mat])*IF(Table_NFI[[#This Row],[Distribution Date]]&gt;"2014-04-01",1,2.5)</f>
        <v>0</v>
      </c>
      <c r="AI382" s="264">
        <f>IF(NFI_Expiration=1,IF($A382&lt;VLOOKUP(R$5,NFI,5,0),1,0)*Table_NFI[[#This Row],[Winter Clothes Adult]],Table_NFI[Winter Clothes Adult])</f>
        <v>0</v>
      </c>
      <c r="AJ382" s="264">
        <f>IF(NFI_Expiration=1,IF($A382&lt;VLOOKUP(S$5,NFI,5,0),1,0)*Table_NFI[[#This Row],[Winter Clothes Children]],Table_NFI[Winter Clothes Children])</f>
        <v>0</v>
      </c>
      <c r="AK382" s="264">
        <f>IF(NFI_Expiration=1,IF($A382&lt;VLOOKUP(T$5,NFI,5,0),1,0)*Table_NFI[[#This Row],[Winter Items Other]],Table_NFI[Winter Items Other])</f>
        <v>0</v>
      </c>
      <c r="AL382" s="264">
        <f>IF(NFI_Expiration=1,IF($A382&lt;VLOOKUP(M$5,NFI,5,0),1,0)*Table_NFI[[#This Row],[Winter Blanket]],Table_NFI[[#This Row],[Winter Blanket]])</f>
        <v>0</v>
      </c>
      <c r="AM382" s="264">
        <f>IF(Table_NFI[[#This Row],[Winter Clothes Adult]]+Table_NFI[[#This Row],[Winter Clothes Children]]+Table_NFI[[#This Row],[Winter Items Other]]+Table_NFI[[#This Row],[Winter Blanket]]&gt;0,1,0)</f>
        <v>1</v>
      </c>
      <c r="AN382" s="296">
        <f>IF(NFI_Expiration=1,IF($A382&lt;VLOOKUP(V$5,NFI,5,0),1,0)*Table_NFI[[#This Row],[Jerry Can]],Table_NFI[Jerry Can])</f>
        <v>0</v>
      </c>
      <c r="AO382" s="296">
        <f>IF(NFI_Expiration=1,IF($A382&lt;VLOOKUP(V$5,NFI,5,0),1,0)*Table_NFI[[#This Row],[Shelter Tool kit]],Table_NFI[Shelter Tool kit])</f>
        <v>0</v>
      </c>
      <c r="AP382" s="296">
        <f>IF(NFI_Expiration=1,IF($A382&lt;VLOOKUP(V$5,NFI,5,0),1,0)*Table_NFI[[#This Row],[Tent]],Table_NFI[Tent])</f>
        <v>0</v>
      </c>
      <c r="AQ382" s="396" t="str">
        <f>IFERROR(VLOOKUP(Table_NFI[[#This Row],[Camp Name]],CL,2,0),"")</f>
        <v>MMR001CMP131</v>
      </c>
      <c r="AR382" s="702">
        <f ca="1">IF(Table_NFI[[#This Row],[Pcode]]="","",IF(OFFSET(CampList[Opening Date],MATCH(Table_NFI[[#This Row],[Pcode]],CampList[CP_Pcode],0)-1,0,1,1)&gt;=NFI_Monitor_Date,1,0))</f>
        <v>0</v>
      </c>
      <c r="AS382" s="396" t="str">
        <f>IFERROR(VLOOKUP(Table_NFI[[#This Row],[Camp Name]],CL,3,0),"")</f>
        <v>Open</v>
      </c>
      <c r="AT382" s="264" t="str">
        <f ca="1">IF(Table_NFI[[#This Row],[Pcode]]="","",OFFSET(CampList[Priority],MATCH(Table_NFI[[#This Row],[Pcode]],CampList[CP_Pcode],0)-1,0,1,1))</f>
        <v>P1</v>
      </c>
      <c r="AU382" s="263">
        <f>IFERROR(Table_NFI[[#This Row],[Kitchen Set]]/VLOOKUP(Table_NFI[[#This Row],[Camp Name]],CL,4,0),"")</f>
        <v>0</v>
      </c>
      <c r="AV382" s="390"/>
      <c r="AW382" s="392"/>
      <c r="AX382" s="399"/>
      <c r="AY382" s="399"/>
      <c r="AZ382" s="399"/>
      <c r="BA382" s="399"/>
      <c r="BB382" s="399"/>
      <c r="BC382" s="399"/>
      <c r="BD382" s="399"/>
      <c r="BE382" s="399"/>
      <c r="BF382" s="399"/>
      <c r="BG382" s="399"/>
      <c r="BH382" s="399"/>
      <c r="BI382" s="399"/>
      <c r="BJ382" s="399"/>
      <c r="BK382" s="399"/>
      <c r="BL382" s="399"/>
      <c r="BM382" s="399"/>
      <c r="BN382" s="399"/>
      <c r="BO382" s="399"/>
      <c r="BP382" s="399"/>
      <c r="BQ382" s="399"/>
      <c r="BR382" s="399"/>
      <c r="BS382" s="399"/>
      <c r="BT382" s="399"/>
      <c r="BU382" s="399"/>
      <c r="BV382" s="399"/>
      <c r="BW382" s="399"/>
      <c r="BX382" s="399"/>
      <c r="BY382" s="399"/>
      <c r="BZ382" s="399"/>
      <c r="CA382" s="399"/>
      <c r="CB382" s="399"/>
      <c r="CC382" s="399"/>
      <c r="CD382" s="399"/>
      <c r="CE382" s="399"/>
      <c r="CF382" s="399"/>
      <c r="CG382" s="399"/>
      <c r="CH382" s="399"/>
      <c r="CI382" s="399"/>
      <c r="CJ382" s="399"/>
      <c r="CK382" s="399"/>
      <c r="CL382" s="399"/>
      <c r="CM382" s="399"/>
      <c r="CN382" s="399"/>
      <c r="CO382" s="399"/>
      <c r="CP382" s="399"/>
      <c r="CQ382" s="399"/>
      <c r="CR382" s="399"/>
      <c r="CS382" s="399"/>
      <c r="CT382" s="399"/>
      <c r="CU382" s="399"/>
      <c r="CV382" s="399"/>
      <c r="CW382" s="399"/>
      <c r="CX382" s="399"/>
      <c r="CY382" s="399"/>
      <c r="CZ382" s="399"/>
      <c r="DA382" s="399"/>
      <c r="DB382" s="399"/>
      <c r="DC382" s="399"/>
      <c r="DD382" s="399"/>
      <c r="DE382" s="399"/>
      <c r="DF382" s="399"/>
      <c r="DG382" s="399"/>
      <c r="DH382" s="399"/>
      <c r="DI382" s="399"/>
      <c r="DJ382" s="399"/>
      <c r="DK382" s="399"/>
      <c r="DL382" s="399"/>
      <c r="DM382" s="399"/>
      <c r="DN382" s="399"/>
      <c r="DO382" s="399"/>
      <c r="DP382" s="399"/>
      <c r="DQ382" s="399"/>
    </row>
    <row r="383" spans="1:121" s="760" customFormat="1" x14ac:dyDescent="0.25">
      <c r="A383" s="266">
        <f t="shared" si="5"/>
        <v>31.8</v>
      </c>
      <c r="B383" s="389">
        <v>41902</v>
      </c>
      <c r="C383" s="390" t="s">
        <v>451</v>
      </c>
      <c r="D383" s="390"/>
      <c r="E383" s="390" t="s">
        <v>380</v>
      </c>
      <c r="F383" s="390" t="s">
        <v>185</v>
      </c>
      <c r="G383" s="390" t="s">
        <v>219</v>
      </c>
      <c r="H383" s="261"/>
      <c r="I383" s="261"/>
      <c r="J383" s="261"/>
      <c r="K383" s="261">
        <v>1238</v>
      </c>
      <c r="L383" s="261"/>
      <c r="M383" s="261"/>
      <c r="N383" s="261"/>
      <c r="O383" s="261"/>
      <c r="P383" s="261"/>
      <c r="Q383" s="261"/>
      <c r="R383" s="261"/>
      <c r="S383" s="261"/>
      <c r="T383" s="261"/>
      <c r="U383" s="261">
        <v>1761</v>
      </c>
      <c r="V383" s="762"/>
      <c r="W383" s="762"/>
      <c r="X383" s="762"/>
      <c r="Y383" s="264">
        <f>IF(NFI_Expiration=1,IF($A383&lt;VLOOKUP(H$5,NFI,5,0),1,0)*Table_NFI[[#This Row],[Hygiene Kit]],Table_NFI[Hygiene Kit])</f>
        <v>0</v>
      </c>
      <c r="Z383" s="264">
        <f>IF(NFI_Expiration=1,IF($A383&lt;VLOOKUP(I$5,NFI,5,0),1,0)*Table_NFI[[#This Row],[NFI Core Kit]],Table_NFI[NFI Core Kit])</f>
        <v>0</v>
      </c>
      <c r="AA383" s="264">
        <f>IF(NFI_Expiration=1,IF($A383&lt;VLOOKUP(J$5,NFI,5,0),1,0)*Table_NFI[[#This Row],[Sanitary Kit]],Table_NFI[Sanitary Kit])</f>
        <v>0</v>
      </c>
      <c r="AB383" s="264">
        <f>IF(NFI_Expiration=1,IF($A383&lt;VLOOKUP(K$5,NFI,5,0),1,0)*Table_NFI[[#This Row],[Mosquito net]],Table_NFI[Mosquito net])</f>
        <v>0</v>
      </c>
      <c r="AC383" s="264">
        <f>IF(NFI_Expiration=1,IF($A383&lt;VLOOKUP(L$5,NFI,5,0),1,0)*Table_NFI[[#This Row],[Tarpaulin]],Table_NFI[[#This Row],[Tarpaulin]])</f>
        <v>0</v>
      </c>
      <c r="AD383" s="264">
        <f>IF(NFI_Expiration=1,IF($A383&lt;VLOOKUP(M$5,NFI,5,0),1,0)*Table_NFI[[#This Row],[Blanket]],Table_NFI[[#This Row],[Blanket]])</f>
        <v>0</v>
      </c>
      <c r="AE383" s="264">
        <f>IF(NFI_Expiration=1,IF($A383&lt;VLOOKUP(N$5,NFI,5,0),1,0)*Table_NFI[[#This Row],[Kitchen Set]],Table_NFI[Kitchen Set])</f>
        <v>0</v>
      </c>
      <c r="AF383" s="264">
        <f>IF(NFI_Expiration=1,IF($A383&lt;VLOOKUP(O$5,NFI,5,0),1,0)*Table_NFI[[#This Row],[Clothes Kit]],Table_NFI[Clothes Kit])</f>
        <v>0</v>
      </c>
      <c r="AG383" s="264">
        <f>IF(NFI_Expiration=1,IF($A383&lt;VLOOKUP(P$5,NFI,5,0),1,0)*Table_NFI[[#This Row],[Plastic Bucket]],Table_NFI[Plastic Bucket])</f>
        <v>0</v>
      </c>
      <c r="AH383" s="264">
        <f>IF(NFI_Expiration=1,IF($A383&lt;VLOOKUP(Q$5,NFI,5,0),1,0)*Table_NFI[[#This Row],[Plastic Mat]],Table_NFI[Plastic Mat])*IF(Table_NFI[[#This Row],[Distribution Date]]&gt;"2014-04-01",1,2.5)</f>
        <v>0</v>
      </c>
      <c r="AI383" s="264">
        <f>IF(NFI_Expiration=1,IF($A383&lt;VLOOKUP(R$5,NFI,5,0),1,0)*Table_NFI[[#This Row],[Winter Clothes Adult]],Table_NFI[Winter Clothes Adult])</f>
        <v>0</v>
      </c>
      <c r="AJ383" s="264">
        <f>IF(NFI_Expiration=1,IF($A383&lt;VLOOKUP(S$5,NFI,5,0),1,0)*Table_NFI[[#This Row],[Winter Clothes Children]],Table_NFI[Winter Clothes Children])</f>
        <v>0</v>
      </c>
      <c r="AK383" s="264">
        <f>IF(NFI_Expiration=1,IF($A383&lt;VLOOKUP(T$5,NFI,5,0),1,0)*Table_NFI[[#This Row],[Winter Items Other]],Table_NFI[Winter Items Other])</f>
        <v>0</v>
      </c>
      <c r="AL383" s="264">
        <f>IF(NFI_Expiration=1,IF($A383&lt;VLOOKUP(M$5,NFI,5,0),1,0)*Table_NFI[[#This Row],[Winter Blanket]],Table_NFI[[#This Row],[Winter Blanket]])</f>
        <v>0</v>
      </c>
      <c r="AM383" s="264">
        <f>IF(Table_NFI[[#This Row],[Winter Clothes Adult]]+Table_NFI[[#This Row],[Winter Clothes Children]]+Table_NFI[[#This Row],[Winter Items Other]]+Table_NFI[[#This Row],[Winter Blanket]]&gt;0,1,0)</f>
        <v>1</v>
      </c>
      <c r="AN383" s="296">
        <f>IF(NFI_Expiration=1,IF($A383&lt;VLOOKUP(V$5,NFI,5,0),1,0)*Table_NFI[[#This Row],[Jerry Can]],Table_NFI[Jerry Can])</f>
        <v>0</v>
      </c>
      <c r="AO383" s="296">
        <f>IF(NFI_Expiration=1,IF($A383&lt;VLOOKUP(V$5,NFI,5,0),1,0)*Table_NFI[[#This Row],[Shelter Tool kit]],Table_NFI[Shelter Tool kit])</f>
        <v>0</v>
      </c>
      <c r="AP383" s="296">
        <f>IF(NFI_Expiration=1,IF($A383&lt;VLOOKUP(V$5,NFI,5,0),1,0)*Table_NFI[[#This Row],[Tent]],Table_NFI[Tent])</f>
        <v>0</v>
      </c>
      <c r="AQ383" s="396" t="str">
        <f>IFERROR(VLOOKUP(Table_NFI[[#This Row],[Camp Name]],CL,2,0),"")</f>
        <v>MMR001CMP126</v>
      </c>
      <c r="AR383" s="702">
        <f ca="1">IF(Table_NFI[[#This Row],[Pcode]]="","",IF(OFFSET(CampList[Opening Date],MATCH(Table_NFI[[#This Row],[Pcode]],CampList[CP_Pcode],0)-1,0,1,1)&gt;=NFI_Monitor_Date,1,0))</f>
        <v>0</v>
      </c>
      <c r="AS383" s="396" t="str">
        <f>IFERROR(VLOOKUP(Table_NFI[[#This Row],[Camp Name]],CL,3,0),"")</f>
        <v>Open</v>
      </c>
      <c r="AT383" s="264" t="str">
        <f ca="1">IF(Table_NFI[[#This Row],[Pcode]]="","",OFFSET(CampList[Priority],MATCH(Table_NFI[[#This Row],[Pcode]],CampList[CP_Pcode],0)-1,0,1,1))</f>
        <v>P2</v>
      </c>
      <c r="AU383" s="263">
        <f>IFERROR(Table_NFI[[#This Row],[Kitchen Set]]/VLOOKUP(Table_NFI[[#This Row],[Camp Name]],CL,4,0),"")</f>
        <v>0</v>
      </c>
      <c r="AV383" s="390"/>
      <c r="AW383" s="392"/>
      <c r="AX383" s="399"/>
      <c r="AY383" s="399"/>
      <c r="AZ383" s="399"/>
      <c r="BA383" s="399"/>
      <c r="BB383" s="399"/>
      <c r="BC383" s="399"/>
      <c r="BD383" s="399"/>
      <c r="BE383" s="399"/>
      <c r="BF383" s="399"/>
      <c r="BG383" s="399"/>
      <c r="BH383" s="399"/>
      <c r="BI383" s="399"/>
      <c r="BJ383" s="399"/>
      <c r="BK383" s="399"/>
      <c r="BL383" s="399"/>
      <c r="BM383" s="399"/>
      <c r="BN383" s="399"/>
      <c r="BO383" s="399"/>
      <c r="BP383" s="399"/>
      <c r="BQ383" s="399"/>
      <c r="BR383" s="399"/>
      <c r="BS383" s="399"/>
      <c r="BT383" s="399"/>
      <c r="BU383" s="399"/>
      <c r="BV383" s="399"/>
      <c r="BW383" s="399"/>
      <c r="BX383" s="399"/>
      <c r="BY383" s="399"/>
      <c r="BZ383" s="399"/>
      <c r="CA383" s="399"/>
      <c r="CB383" s="399"/>
      <c r="CC383" s="399"/>
      <c r="CD383" s="399"/>
      <c r="CE383" s="399"/>
      <c r="CF383" s="399"/>
      <c r="CG383" s="399"/>
      <c r="CH383" s="399"/>
      <c r="CI383" s="399"/>
      <c r="CJ383" s="399"/>
      <c r="CK383" s="399"/>
      <c r="CL383" s="399"/>
      <c r="CM383" s="399"/>
      <c r="CN383" s="399"/>
      <c r="CO383" s="399"/>
      <c r="CP383" s="399"/>
      <c r="CQ383" s="399"/>
      <c r="CR383" s="399"/>
      <c r="CS383" s="399"/>
      <c r="CT383" s="399"/>
      <c r="CU383" s="399"/>
      <c r="CV383" s="399"/>
      <c r="CW383" s="399"/>
      <c r="CX383" s="399"/>
      <c r="CY383" s="399"/>
      <c r="CZ383" s="399"/>
      <c r="DA383" s="399"/>
      <c r="DB383" s="399"/>
      <c r="DC383" s="399"/>
      <c r="DD383" s="399"/>
      <c r="DE383" s="399"/>
      <c r="DF383" s="399"/>
      <c r="DG383" s="399"/>
      <c r="DH383" s="399"/>
      <c r="DI383" s="399"/>
      <c r="DJ383" s="399"/>
      <c r="DK383" s="399"/>
      <c r="DL383" s="399"/>
      <c r="DM383" s="399"/>
      <c r="DN383" s="399"/>
      <c r="DO383" s="399"/>
      <c r="DP383" s="399"/>
      <c r="DQ383" s="399"/>
    </row>
    <row r="384" spans="1:121" s="760" customFormat="1" ht="15" customHeight="1" x14ac:dyDescent="0.25">
      <c r="A384" s="266">
        <f t="shared" si="5"/>
        <v>32.43333333333333</v>
      </c>
      <c r="B384" s="389">
        <v>41883</v>
      </c>
      <c r="C384" s="394" t="s">
        <v>1034</v>
      </c>
      <c r="D384" s="394"/>
      <c r="E384" s="394" t="s">
        <v>380</v>
      </c>
      <c r="F384" s="394" t="s">
        <v>310</v>
      </c>
      <c r="G384" s="394" t="s">
        <v>336</v>
      </c>
      <c r="H384" s="261"/>
      <c r="I384" s="261"/>
      <c r="J384" s="261"/>
      <c r="K384" s="261"/>
      <c r="L384" s="261"/>
      <c r="M384" s="261"/>
      <c r="N384" s="261"/>
      <c r="O384" s="261"/>
      <c r="P384" s="261"/>
      <c r="Q384" s="261"/>
      <c r="R384" s="261"/>
      <c r="S384" s="261">
        <v>407</v>
      </c>
      <c r="T384" s="261"/>
      <c r="U384" s="261"/>
      <c r="V384" s="762"/>
      <c r="W384" s="261"/>
      <c r="X384" s="261"/>
      <c r="Y384" s="264">
        <f>IF(NFI_Expiration=1,IF($A384&lt;VLOOKUP(H$5,NFI,5,0),1,0)*Table_NFI[[#This Row],[Hygiene Kit]],Table_NFI[Hygiene Kit])</f>
        <v>0</v>
      </c>
      <c r="Z384" s="264">
        <f>IF(NFI_Expiration=1,IF($A384&lt;VLOOKUP(I$5,NFI,5,0),1,0)*Table_NFI[[#This Row],[NFI Core Kit]],Table_NFI[NFI Core Kit])</f>
        <v>0</v>
      </c>
      <c r="AA384" s="264">
        <f>IF(NFI_Expiration=1,IF($A384&lt;VLOOKUP(J$5,NFI,5,0),1,0)*Table_NFI[[#This Row],[Sanitary Kit]],Table_NFI[Sanitary Kit])</f>
        <v>0</v>
      </c>
      <c r="AB384" s="264">
        <f>IF(NFI_Expiration=1,IF($A384&lt;VLOOKUP(K$5,NFI,5,0),1,0)*Table_NFI[[#This Row],[Mosquito net]],Table_NFI[Mosquito net])</f>
        <v>0</v>
      </c>
      <c r="AC384" s="264">
        <f>IF(NFI_Expiration=1,IF($A384&lt;VLOOKUP(L$5,NFI,5,0),1,0)*Table_NFI[[#This Row],[Tarpaulin]],Table_NFI[[#This Row],[Tarpaulin]])</f>
        <v>0</v>
      </c>
      <c r="AD384" s="264">
        <f>IF(NFI_Expiration=1,IF($A384&lt;VLOOKUP(M$5,NFI,5,0),1,0)*Table_NFI[[#This Row],[Blanket]],Table_NFI[[#This Row],[Blanket]])</f>
        <v>0</v>
      </c>
      <c r="AE384" s="264">
        <f>IF(NFI_Expiration=1,IF($A384&lt;VLOOKUP(N$5,NFI,5,0),1,0)*Table_NFI[[#This Row],[Kitchen Set]],Table_NFI[Kitchen Set])</f>
        <v>0</v>
      </c>
      <c r="AF384" s="264">
        <f>IF(NFI_Expiration=1,IF($A384&lt;VLOOKUP(O$5,NFI,5,0),1,0)*Table_NFI[[#This Row],[Clothes Kit]],Table_NFI[Clothes Kit])</f>
        <v>0</v>
      </c>
      <c r="AG384" s="264">
        <f>IF(NFI_Expiration=1,IF($A384&lt;VLOOKUP(P$5,NFI,5,0),1,0)*Table_NFI[[#This Row],[Plastic Bucket]],Table_NFI[Plastic Bucket])</f>
        <v>0</v>
      </c>
      <c r="AH384" s="264">
        <f>IF(NFI_Expiration=1,IF($A384&lt;VLOOKUP(Q$5,NFI,5,0),1,0)*Table_NFI[[#This Row],[Plastic Mat]],Table_NFI[Plastic Mat])*IF(Table_NFI[[#This Row],[Distribution Date]]&gt;"2014-04-01",1,2.5)</f>
        <v>0</v>
      </c>
      <c r="AI384" s="264">
        <f>IF(NFI_Expiration=1,IF($A384&lt;VLOOKUP(R$5,NFI,5,0),1,0)*Table_NFI[[#This Row],[Winter Clothes Adult]],Table_NFI[Winter Clothes Adult])</f>
        <v>0</v>
      </c>
      <c r="AJ384" s="264">
        <f>IF(NFI_Expiration=1,IF($A384&lt;VLOOKUP(S$5,NFI,5,0),1,0)*Table_NFI[[#This Row],[Winter Clothes Children]],Table_NFI[Winter Clothes Children])</f>
        <v>0</v>
      </c>
      <c r="AK384" s="264">
        <f>IF(NFI_Expiration=1,IF($A384&lt;VLOOKUP(T$5,NFI,5,0),1,0)*Table_NFI[[#This Row],[Winter Items Other]],Table_NFI[Winter Items Other])</f>
        <v>0</v>
      </c>
      <c r="AL384" s="264">
        <f>IF(NFI_Expiration=1,IF($A384&lt;VLOOKUP(M$5,NFI,5,0),1,0)*Table_NFI[[#This Row],[Winter Blanket]],Table_NFI[[#This Row],[Winter Blanket]])</f>
        <v>0</v>
      </c>
      <c r="AM384" s="264">
        <f>IF(Table_NFI[[#This Row],[Winter Clothes Adult]]+Table_NFI[[#This Row],[Winter Clothes Children]]+Table_NFI[[#This Row],[Winter Items Other]]+Table_NFI[[#This Row],[Winter Blanket]]&gt;0,1,0)</f>
        <v>1</v>
      </c>
      <c r="AN384" s="296">
        <f>IF(NFI_Expiration=1,IF($A384&lt;VLOOKUP(V$5,NFI,5,0),1,0)*Table_NFI[[#This Row],[Jerry Can]],Table_NFI[Jerry Can])</f>
        <v>0</v>
      </c>
      <c r="AO384" s="296">
        <f>IF(NFI_Expiration=1,IF($A384&lt;VLOOKUP(V$5,NFI,5,0),1,0)*Table_NFI[[#This Row],[Shelter Tool kit]],Table_NFI[Shelter Tool kit])</f>
        <v>0</v>
      </c>
      <c r="AP384" s="296">
        <f>IF(NFI_Expiration=1,IF($A384&lt;VLOOKUP(V$5,NFI,5,0),1,0)*Table_NFI[[#This Row],[Tent]],Table_NFI[Tent])</f>
        <v>0</v>
      </c>
      <c r="AQ384" s="396" t="str">
        <f>IFERROR(VLOOKUP(Table_NFI[[#This Row],[Camp Name]],CL,2,0),"")</f>
        <v>MMR001CMP115</v>
      </c>
      <c r="AR384" s="702">
        <f ca="1">IF(Table_NFI[[#This Row],[Pcode]]="","",IF(OFFSET(CampList[Opening Date],MATCH(Table_NFI[[#This Row],[Pcode]],CampList[CP_Pcode],0)-1,0,1,1)&gt;=NFI_Monitor_Date,1,0))</f>
        <v>0</v>
      </c>
      <c r="AS384" s="396" t="str">
        <f>IFERROR(VLOOKUP(Table_NFI[[#This Row],[Camp Name]],CL,3,0),"")</f>
        <v>Open</v>
      </c>
      <c r="AT384" s="264" t="str">
        <f ca="1">IF(Table_NFI[[#This Row],[Pcode]]="","",OFFSET(CampList[Priority],MATCH(Table_NFI[[#This Row],[Pcode]],CampList[CP_Pcode],0)-1,0,1,1))</f>
        <v>P1</v>
      </c>
      <c r="AU384" s="263">
        <f>IFERROR(Table_NFI[[#This Row],[Kitchen Set]]/VLOOKUP(Table_NFI[[#This Row],[Camp Name]],CL,4,0),"")</f>
        <v>0</v>
      </c>
      <c r="AV384" s="394"/>
      <c r="AW384" s="397"/>
      <c r="AX384" s="399"/>
      <c r="AY384" s="399"/>
      <c r="AZ384" s="399"/>
      <c r="BA384" s="399"/>
      <c r="BB384" s="399"/>
      <c r="BC384" s="399"/>
      <c r="BD384" s="399"/>
      <c r="BE384" s="399"/>
      <c r="BF384" s="399"/>
      <c r="BG384" s="399"/>
      <c r="BH384" s="399"/>
      <c r="BI384" s="399"/>
      <c r="BJ384" s="399"/>
      <c r="BK384" s="399"/>
      <c r="BL384" s="399"/>
      <c r="BM384" s="399"/>
      <c r="BN384" s="399"/>
      <c r="BO384" s="399"/>
      <c r="BP384" s="399"/>
      <c r="BQ384" s="399"/>
      <c r="BR384" s="399"/>
      <c r="BS384" s="399"/>
      <c r="BT384" s="399"/>
      <c r="BU384" s="399"/>
      <c r="BV384" s="399"/>
      <c r="BW384" s="399"/>
      <c r="BX384" s="399"/>
      <c r="BY384" s="399"/>
      <c r="BZ384" s="399"/>
      <c r="CA384" s="399"/>
      <c r="CB384" s="399"/>
      <c r="CC384" s="399"/>
      <c r="CD384" s="399"/>
      <c r="CE384" s="399"/>
      <c r="CF384" s="399"/>
      <c r="CG384" s="399"/>
      <c r="CH384" s="399"/>
      <c r="CI384" s="399"/>
      <c r="CJ384" s="399"/>
      <c r="CK384" s="399"/>
      <c r="CL384" s="399"/>
      <c r="CM384" s="399"/>
      <c r="CN384" s="399"/>
      <c r="CO384" s="399"/>
      <c r="CP384" s="399"/>
      <c r="CQ384" s="399"/>
      <c r="CR384" s="399"/>
      <c r="CS384" s="399"/>
      <c r="CT384" s="399"/>
      <c r="CU384" s="399"/>
      <c r="CV384" s="399"/>
      <c r="CW384" s="399"/>
      <c r="CX384" s="399"/>
      <c r="CY384" s="399"/>
      <c r="CZ384" s="399"/>
      <c r="DA384" s="399"/>
      <c r="DB384" s="399"/>
      <c r="DC384" s="399"/>
      <c r="DD384" s="399"/>
      <c r="DE384" s="399"/>
      <c r="DF384" s="399"/>
      <c r="DG384" s="399"/>
      <c r="DH384" s="399"/>
      <c r="DI384" s="399"/>
      <c r="DJ384" s="399"/>
      <c r="DK384" s="399"/>
      <c r="DL384" s="399"/>
      <c r="DM384" s="399"/>
      <c r="DN384" s="399"/>
      <c r="DO384" s="399"/>
      <c r="DP384" s="399"/>
      <c r="DQ384" s="399"/>
    </row>
    <row r="385" spans="1:121" s="760" customFormat="1" ht="14.45" customHeight="1" x14ac:dyDescent="0.25">
      <c r="A385" s="266">
        <f t="shared" si="5"/>
        <v>32.43333333333333</v>
      </c>
      <c r="B385" s="389">
        <v>41883</v>
      </c>
      <c r="C385" s="394" t="s">
        <v>1034</v>
      </c>
      <c r="D385" s="394"/>
      <c r="E385" s="394" t="s">
        <v>380</v>
      </c>
      <c r="F385" s="394" t="s">
        <v>27</v>
      </c>
      <c r="G385" s="394" t="s">
        <v>364</v>
      </c>
      <c r="H385" s="261"/>
      <c r="I385" s="261"/>
      <c r="J385" s="261"/>
      <c r="K385" s="261"/>
      <c r="L385" s="261"/>
      <c r="M385" s="261"/>
      <c r="N385" s="261"/>
      <c r="O385" s="261"/>
      <c r="P385" s="261"/>
      <c r="Q385" s="261"/>
      <c r="R385" s="261"/>
      <c r="S385" s="261">
        <v>347</v>
      </c>
      <c r="T385" s="261"/>
      <c r="U385" s="261"/>
      <c r="V385" s="762"/>
      <c r="W385" s="261"/>
      <c r="X385" s="261"/>
      <c r="Y385" s="264">
        <f>IF(NFI_Expiration=1,IF($A385&lt;VLOOKUP(H$5,NFI,5,0),1,0)*Table_NFI[[#This Row],[Hygiene Kit]],Table_NFI[Hygiene Kit])</f>
        <v>0</v>
      </c>
      <c r="Z385" s="264">
        <f>IF(NFI_Expiration=1,IF($A385&lt;VLOOKUP(I$5,NFI,5,0),1,0)*Table_NFI[[#This Row],[NFI Core Kit]],Table_NFI[NFI Core Kit])</f>
        <v>0</v>
      </c>
      <c r="AA385" s="264">
        <f>IF(NFI_Expiration=1,IF($A385&lt;VLOOKUP(J$5,NFI,5,0),1,0)*Table_NFI[[#This Row],[Sanitary Kit]],Table_NFI[Sanitary Kit])</f>
        <v>0</v>
      </c>
      <c r="AB385" s="264">
        <f>IF(NFI_Expiration=1,IF($A385&lt;VLOOKUP(K$5,NFI,5,0),1,0)*Table_NFI[[#This Row],[Mosquito net]],Table_NFI[Mosquito net])</f>
        <v>0</v>
      </c>
      <c r="AC385" s="264">
        <f>IF(NFI_Expiration=1,IF($A385&lt;VLOOKUP(L$5,NFI,5,0),1,0)*Table_NFI[[#This Row],[Tarpaulin]],Table_NFI[[#This Row],[Tarpaulin]])</f>
        <v>0</v>
      </c>
      <c r="AD385" s="264">
        <f>IF(NFI_Expiration=1,IF($A385&lt;VLOOKUP(M$5,NFI,5,0),1,0)*Table_NFI[[#This Row],[Blanket]],Table_NFI[[#This Row],[Blanket]])</f>
        <v>0</v>
      </c>
      <c r="AE385" s="264">
        <f>IF(NFI_Expiration=1,IF($A385&lt;VLOOKUP(N$5,NFI,5,0),1,0)*Table_NFI[[#This Row],[Kitchen Set]],Table_NFI[Kitchen Set])</f>
        <v>0</v>
      </c>
      <c r="AF385" s="264">
        <f>IF(NFI_Expiration=1,IF($A385&lt;VLOOKUP(O$5,NFI,5,0),1,0)*Table_NFI[[#This Row],[Clothes Kit]],Table_NFI[Clothes Kit])</f>
        <v>0</v>
      </c>
      <c r="AG385" s="264">
        <f>IF(NFI_Expiration=1,IF($A385&lt;VLOOKUP(P$5,NFI,5,0),1,0)*Table_NFI[[#This Row],[Plastic Bucket]],Table_NFI[Plastic Bucket])</f>
        <v>0</v>
      </c>
      <c r="AH385" s="264">
        <f>IF(NFI_Expiration=1,IF($A385&lt;VLOOKUP(Q$5,NFI,5,0),1,0)*Table_NFI[[#This Row],[Plastic Mat]],Table_NFI[Plastic Mat])*IF(Table_NFI[[#This Row],[Distribution Date]]&gt;"2014-04-01",1,2.5)</f>
        <v>0</v>
      </c>
      <c r="AI385" s="264">
        <f>IF(NFI_Expiration=1,IF($A385&lt;VLOOKUP(R$5,NFI,5,0),1,0)*Table_NFI[[#This Row],[Winter Clothes Adult]],Table_NFI[Winter Clothes Adult])</f>
        <v>0</v>
      </c>
      <c r="AJ385" s="264">
        <f>IF(NFI_Expiration=1,IF($A385&lt;VLOOKUP(S$5,NFI,5,0),1,0)*Table_NFI[[#This Row],[Winter Clothes Children]],Table_NFI[Winter Clothes Children])</f>
        <v>0</v>
      </c>
      <c r="AK385" s="264">
        <f>IF(NFI_Expiration=1,IF($A385&lt;VLOOKUP(T$5,NFI,5,0),1,0)*Table_NFI[[#This Row],[Winter Items Other]],Table_NFI[Winter Items Other])</f>
        <v>0</v>
      </c>
      <c r="AL385" s="264">
        <f>IF(NFI_Expiration=1,IF($A385&lt;VLOOKUP(M$5,NFI,5,0),1,0)*Table_NFI[[#This Row],[Winter Blanket]],Table_NFI[[#This Row],[Winter Blanket]])</f>
        <v>0</v>
      </c>
      <c r="AM385" s="264">
        <f>IF(Table_NFI[[#This Row],[Winter Clothes Adult]]+Table_NFI[[#This Row],[Winter Clothes Children]]+Table_NFI[[#This Row],[Winter Items Other]]+Table_NFI[[#This Row],[Winter Blanket]]&gt;0,1,0)</f>
        <v>1</v>
      </c>
      <c r="AN385" s="296">
        <f>IF(NFI_Expiration=1,IF($A385&lt;VLOOKUP(V$5,NFI,5,0),1,0)*Table_NFI[[#This Row],[Jerry Can]],Table_NFI[Jerry Can])</f>
        <v>0</v>
      </c>
      <c r="AO385" s="296">
        <f>IF(NFI_Expiration=1,IF($A385&lt;VLOOKUP(V$5,NFI,5,0),1,0)*Table_NFI[[#This Row],[Shelter Tool kit]],Table_NFI[Shelter Tool kit])</f>
        <v>0</v>
      </c>
      <c r="AP385" s="296">
        <f>IF(NFI_Expiration=1,IF($A385&lt;VLOOKUP(V$5,NFI,5,0),1,0)*Table_NFI[[#This Row],[Tent]],Table_NFI[Tent])</f>
        <v>0</v>
      </c>
      <c r="AQ385" s="396" t="str">
        <f>IFERROR(VLOOKUP(Table_NFI[[#This Row],[Camp Name]],CL,2,0),"")</f>
        <v>MMR001CMP043</v>
      </c>
      <c r="AR385" s="702">
        <f ca="1">IF(Table_NFI[[#This Row],[Pcode]]="","",IF(OFFSET(CampList[Opening Date],MATCH(Table_NFI[[#This Row],[Pcode]],CampList[CP_Pcode],0)-1,0,1,1)&gt;=NFI_Monitor_Date,1,0))</f>
        <v>0</v>
      </c>
      <c r="AS385" s="396" t="str">
        <f>IFERROR(VLOOKUP(Table_NFI[[#This Row],[Camp Name]],CL,3,0),"")</f>
        <v>Open</v>
      </c>
      <c r="AT385" s="264" t="str">
        <f ca="1">IF(Table_NFI[[#This Row],[Pcode]]="","",OFFSET(CampList[Priority],MATCH(Table_NFI[[#This Row],[Pcode]],CampList[CP_Pcode],0)-1,0,1,1))</f>
        <v>P1</v>
      </c>
      <c r="AU385" s="263">
        <f>IFERROR(Table_NFI[[#This Row],[Kitchen Set]]/VLOOKUP(Table_NFI[[#This Row],[Camp Name]],CL,4,0),"")</f>
        <v>0</v>
      </c>
      <c r="AV385" s="394"/>
      <c r="AW385" s="397"/>
      <c r="AX385" s="399"/>
      <c r="AY385" s="399"/>
      <c r="AZ385" s="399"/>
      <c r="BA385" s="399"/>
      <c r="BB385" s="399"/>
      <c r="BC385" s="399"/>
      <c r="BD385" s="399"/>
      <c r="BE385" s="399"/>
      <c r="BF385" s="399"/>
      <c r="BG385" s="399"/>
      <c r="BH385" s="399"/>
      <c r="BI385" s="399"/>
      <c r="BJ385" s="399"/>
      <c r="BK385" s="399"/>
      <c r="BL385" s="399"/>
      <c r="BM385" s="399"/>
      <c r="BN385" s="399"/>
      <c r="BO385" s="399"/>
      <c r="BP385" s="399"/>
      <c r="BQ385" s="399"/>
      <c r="BR385" s="399"/>
      <c r="BS385" s="399"/>
      <c r="BT385" s="399"/>
      <c r="BU385" s="399"/>
      <c r="BV385" s="399"/>
      <c r="BW385" s="399"/>
      <c r="BX385" s="399"/>
      <c r="BY385" s="399"/>
      <c r="BZ385" s="399"/>
      <c r="CA385" s="399"/>
      <c r="CB385" s="399"/>
      <c r="CC385" s="399"/>
      <c r="CD385" s="399"/>
      <c r="CE385" s="399"/>
      <c r="CF385" s="399"/>
      <c r="CG385" s="399"/>
      <c r="CH385" s="399"/>
      <c r="CI385" s="399"/>
      <c r="CJ385" s="399"/>
      <c r="CK385" s="399"/>
      <c r="CL385" s="399"/>
      <c r="CM385" s="399"/>
      <c r="CN385" s="399"/>
      <c r="CO385" s="399"/>
      <c r="CP385" s="399"/>
      <c r="CQ385" s="399"/>
      <c r="CR385" s="399"/>
      <c r="CS385" s="399"/>
      <c r="CT385" s="399"/>
      <c r="CU385" s="399"/>
      <c r="CV385" s="399"/>
      <c r="CW385" s="399"/>
      <c r="CX385" s="399"/>
      <c r="CY385" s="399"/>
      <c r="CZ385" s="399"/>
      <c r="DA385" s="399"/>
      <c r="DB385" s="399"/>
      <c r="DC385" s="399"/>
      <c r="DD385" s="399"/>
      <c r="DE385" s="399"/>
      <c r="DF385" s="399"/>
      <c r="DG385" s="399"/>
      <c r="DH385" s="399"/>
      <c r="DI385" s="399"/>
      <c r="DJ385" s="399"/>
      <c r="DK385" s="399"/>
      <c r="DL385" s="399"/>
      <c r="DM385" s="399"/>
      <c r="DN385" s="399"/>
      <c r="DO385" s="399"/>
      <c r="DP385" s="399"/>
      <c r="DQ385" s="399"/>
    </row>
    <row r="386" spans="1:121" s="760" customFormat="1" ht="14.45" customHeight="1" x14ac:dyDescent="0.25">
      <c r="A386" s="266">
        <f t="shared" si="5"/>
        <v>32.43333333333333</v>
      </c>
      <c r="B386" s="389">
        <v>41883</v>
      </c>
      <c r="C386" s="394" t="s">
        <v>1034</v>
      </c>
      <c r="D386" s="394"/>
      <c r="E386" s="394" t="s">
        <v>380</v>
      </c>
      <c r="F386" s="394" t="s">
        <v>310</v>
      </c>
      <c r="G386" s="394" t="s">
        <v>322</v>
      </c>
      <c r="H386" s="261"/>
      <c r="I386" s="261"/>
      <c r="J386" s="261"/>
      <c r="K386" s="261"/>
      <c r="L386" s="261"/>
      <c r="M386" s="261"/>
      <c r="N386" s="261"/>
      <c r="O386" s="261"/>
      <c r="P386" s="261"/>
      <c r="Q386" s="261"/>
      <c r="R386" s="261"/>
      <c r="S386" s="261">
        <v>917</v>
      </c>
      <c r="T386" s="261"/>
      <c r="U386" s="261"/>
      <c r="V386" s="762"/>
      <c r="W386" s="261"/>
      <c r="X386" s="261"/>
      <c r="Y386" s="264">
        <f>IF(NFI_Expiration=1,IF($A386&lt;VLOOKUP(H$5,NFI,5,0),1,0)*Table_NFI[[#This Row],[Hygiene Kit]],Table_NFI[Hygiene Kit])</f>
        <v>0</v>
      </c>
      <c r="Z386" s="264">
        <f>IF(NFI_Expiration=1,IF($A386&lt;VLOOKUP(I$5,NFI,5,0),1,0)*Table_NFI[[#This Row],[NFI Core Kit]],Table_NFI[NFI Core Kit])</f>
        <v>0</v>
      </c>
      <c r="AA386" s="264">
        <f>IF(NFI_Expiration=1,IF($A386&lt;VLOOKUP(J$5,NFI,5,0),1,0)*Table_NFI[[#This Row],[Sanitary Kit]],Table_NFI[Sanitary Kit])</f>
        <v>0</v>
      </c>
      <c r="AB386" s="264">
        <f>IF(NFI_Expiration=1,IF($A386&lt;VLOOKUP(K$5,NFI,5,0),1,0)*Table_NFI[[#This Row],[Mosquito net]],Table_NFI[Mosquito net])</f>
        <v>0</v>
      </c>
      <c r="AC386" s="264">
        <f>IF(NFI_Expiration=1,IF($A386&lt;VLOOKUP(L$5,NFI,5,0),1,0)*Table_NFI[[#This Row],[Tarpaulin]],Table_NFI[[#This Row],[Tarpaulin]])</f>
        <v>0</v>
      </c>
      <c r="AD386" s="264">
        <f>IF(NFI_Expiration=1,IF($A386&lt;VLOOKUP(M$5,NFI,5,0),1,0)*Table_NFI[[#This Row],[Blanket]],Table_NFI[[#This Row],[Blanket]])</f>
        <v>0</v>
      </c>
      <c r="AE386" s="264">
        <f>IF(NFI_Expiration=1,IF($A386&lt;VLOOKUP(N$5,NFI,5,0),1,0)*Table_NFI[[#This Row],[Kitchen Set]],Table_NFI[Kitchen Set])</f>
        <v>0</v>
      </c>
      <c r="AF386" s="264">
        <f>IF(NFI_Expiration=1,IF($A386&lt;VLOOKUP(O$5,NFI,5,0),1,0)*Table_NFI[[#This Row],[Clothes Kit]],Table_NFI[Clothes Kit])</f>
        <v>0</v>
      </c>
      <c r="AG386" s="264">
        <f>IF(NFI_Expiration=1,IF($A386&lt;VLOOKUP(P$5,NFI,5,0),1,0)*Table_NFI[[#This Row],[Plastic Bucket]],Table_NFI[Plastic Bucket])</f>
        <v>0</v>
      </c>
      <c r="AH386" s="264">
        <f>IF(NFI_Expiration=1,IF($A386&lt;VLOOKUP(Q$5,NFI,5,0),1,0)*Table_NFI[[#This Row],[Plastic Mat]],Table_NFI[Plastic Mat])*IF(Table_NFI[[#This Row],[Distribution Date]]&gt;"2014-04-01",1,2.5)</f>
        <v>0</v>
      </c>
      <c r="AI386" s="264">
        <f>IF(NFI_Expiration=1,IF($A386&lt;VLOOKUP(R$5,NFI,5,0),1,0)*Table_NFI[[#This Row],[Winter Clothes Adult]],Table_NFI[Winter Clothes Adult])</f>
        <v>0</v>
      </c>
      <c r="AJ386" s="264">
        <f>IF(NFI_Expiration=1,IF($A386&lt;VLOOKUP(S$5,NFI,5,0),1,0)*Table_NFI[[#This Row],[Winter Clothes Children]],Table_NFI[Winter Clothes Children])</f>
        <v>0</v>
      </c>
      <c r="AK386" s="264">
        <f>IF(NFI_Expiration=1,IF($A386&lt;VLOOKUP(T$5,NFI,5,0),1,0)*Table_NFI[[#This Row],[Winter Items Other]],Table_NFI[Winter Items Other])</f>
        <v>0</v>
      </c>
      <c r="AL386" s="264">
        <f>IF(NFI_Expiration=1,IF($A386&lt;VLOOKUP(M$5,NFI,5,0),1,0)*Table_NFI[[#This Row],[Winter Blanket]],Table_NFI[[#This Row],[Winter Blanket]])</f>
        <v>0</v>
      </c>
      <c r="AM386" s="264">
        <f>IF(Table_NFI[[#This Row],[Winter Clothes Adult]]+Table_NFI[[#This Row],[Winter Clothes Children]]+Table_NFI[[#This Row],[Winter Items Other]]+Table_NFI[[#This Row],[Winter Blanket]]&gt;0,1,0)</f>
        <v>1</v>
      </c>
      <c r="AN386" s="296">
        <f>IF(NFI_Expiration=1,IF($A386&lt;VLOOKUP(V$5,NFI,5,0),1,0)*Table_NFI[[#This Row],[Jerry Can]],Table_NFI[Jerry Can])</f>
        <v>0</v>
      </c>
      <c r="AO386" s="296">
        <f>IF(NFI_Expiration=1,IF($A386&lt;VLOOKUP(V$5,NFI,5,0),1,0)*Table_NFI[[#This Row],[Shelter Tool kit]],Table_NFI[Shelter Tool kit])</f>
        <v>0</v>
      </c>
      <c r="AP386" s="296">
        <f>IF(NFI_Expiration=1,IF($A386&lt;VLOOKUP(V$5,NFI,5,0),1,0)*Table_NFI[[#This Row],[Tent]],Table_NFI[Tent])</f>
        <v>0</v>
      </c>
      <c r="AQ386" s="396" t="str">
        <f>IFERROR(VLOOKUP(Table_NFI[[#This Row],[Camp Name]],CL,2,0),"")</f>
        <v>MMR001CMP119</v>
      </c>
      <c r="AR386" s="702">
        <f ca="1">IF(Table_NFI[[#This Row],[Pcode]]="","",IF(OFFSET(CampList[Opening Date],MATCH(Table_NFI[[#This Row],[Pcode]],CampList[CP_Pcode],0)-1,0,1,1)&gt;=NFI_Monitor_Date,1,0))</f>
        <v>0</v>
      </c>
      <c r="AS386" s="396" t="str">
        <f>IFERROR(VLOOKUP(Table_NFI[[#This Row],[Camp Name]],CL,3,0),"")</f>
        <v>Open</v>
      </c>
      <c r="AT386" s="264" t="str">
        <f ca="1">IF(Table_NFI[[#This Row],[Pcode]]="","",OFFSET(CampList[Priority],MATCH(Table_NFI[[#This Row],[Pcode]],CampList[CP_Pcode],0)-1,0,1,1))</f>
        <v>P2</v>
      </c>
      <c r="AU386" s="263">
        <f>IFERROR(Table_NFI[[#This Row],[Kitchen Set]]/VLOOKUP(Table_NFI[[#This Row],[Camp Name]],CL,4,0),"")</f>
        <v>0</v>
      </c>
      <c r="AV386" s="394"/>
      <c r="AW386" s="397"/>
      <c r="AX386" s="399"/>
      <c r="AY386" s="399"/>
      <c r="AZ386" s="399"/>
      <c r="BA386" s="399"/>
      <c r="BB386" s="399"/>
      <c r="BC386" s="399"/>
      <c r="BD386" s="399"/>
      <c r="BE386" s="399"/>
      <c r="BF386" s="399"/>
      <c r="BG386" s="399"/>
      <c r="BH386" s="399"/>
      <c r="BI386" s="399"/>
      <c r="BJ386" s="399"/>
      <c r="BK386" s="399"/>
      <c r="BL386" s="399"/>
      <c r="BM386" s="399"/>
      <c r="BN386" s="399"/>
      <c r="BO386" s="399"/>
      <c r="BP386" s="399"/>
      <c r="BQ386" s="399"/>
      <c r="BR386" s="399"/>
      <c r="BS386" s="399"/>
      <c r="BT386" s="399"/>
      <c r="BU386" s="399"/>
      <c r="BV386" s="399"/>
      <c r="BW386" s="399"/>
      <c r="BX386" s="399"/>
      <c r="BY386" s="399"/>
      <c r="BZ386" s="399"/>
      <c r="CA386" s="399"/>
      <c r="CB386" s="399"/>
      <c r="CC386" s="399"/>
      <c r="CD386" s="399"/>
      <c r="CE386" s="399"/>
      <c r="CF386" s="399"/>
      <c r="CG386" s="399"/>
      <c r="CH386" s="399"/>
      <c r="CI386" s="399"/>
      <c r="CJ386" s="399"/>
      <c r="CK386" s="399"/>
      <c r="CL386" s="399"/>
      <c r="CM386" s="399"/>
      <c r="CN386" s="399"/>
      <c r="CO386" s="399"/>
      <c r="CP386" s="399"/>
      <c r="CQ386" s="399"/>
      <c r="CR386" s="399"/>
      <c r="CS386" s="399"/>
      <c r="CT386" s="399"/>
      <c r="CU386" s="399"/>
      <c r="CV386" s="399"/>
      <c r="CW386" s="399"/>
      <c r="CX386" s="399"/>
      <c r="CY386" s="399"/>
      <c r="CZ386" s="399"/>
      <c r="DA386" s="399"/>
      <c r="DB386" s="399"/>
      <c r="DC386" s="399"/>
      <c r="DD386" s="399"/>
      <c r="DE386" s="399"/>
      <c r="DF386" s="399"/>
      <c r="DG386" s="399"/>
      <c r="DH386" s="399"/>
      <c r="DI386" s="399"/>
      <c r="DJ386" s="399"/>
      <c r="DK386" s="399"/>
      <c r="DL386" s="399"/>
      <c r="DM386" s="399"/>
      <c r="DN386" s="399"/>
      <c r="DO386" s="399"/>
      <c r="DP386" s="399"/>
      <c r="DQ386" s="399"/>
    </row>
    <row r="387" spans="1:121" s="760" customFormat="1" ht="14.45" customHeight="1" x14ac:dyDescent="0.25">
      <c r="A387" s="266">
        <f t="shared" si="5"/>
        <v>32.43333333333333</v>
      </c>
      <c r="B387" s="389">
        <v>41883</v>
      </c>
      <c r="C387" s="394" t="s">
        <v>1034</v>
      </c>
      <c r="D387" s="394"/>
      <c r="E387" s="394" t="s">
        <v>380</v>
      </c>
      <c r="F387" s="394" t="s">
        <v>310</v>
      </c>
      <c r="G387" s="394" t="s">
        <v>1231</v>
      </c>
      <c r="H387" s="261"/>
      <c r="I387" s="261"/>
      <c r="J387" s="261"/>
      <c r="K387" s="261"/>
      <c r="L387" s="261"/>
      <c r="M387" s="261"/>
      <c r="N387" s="261"/>
      <c r="O387" s="261"/>
      <c r="P387" s="261"/>
      <c r="Q387" s="261"/>
      <c r="R387" s="261"/>
      <c r="S387" s="261">
        <v>291</v>
      </c>
      <c r="T387" s="261"/>
      <c r="U387" s="261"/>
      <c r="V387" s="762"/>
      <c r="W387" s="261"/>
      <c r="X387" s="261"/>
      <c r="Y387" s="264">
        <f>IF(NFI_Expiration=1,IF($A387&lt;VLOOKUP(H$5,NFI,5,0),1,0)*Table_NFI[[#This Row],[Hygiene Kit]],Table_NFI[Hygiene Kit])</f>
        <v>0</v>
      </c>
      <c r="Z387" s="264">
        <f>IF(NFI_Expiration=1,IF($A387&lt;VLOOKUP(I$5,NFI,5,0),1,0)*Table_NFI[[#This Row],[NFI Core Kit]],Table_NFI[NFI Core Kit])</f>
        <v>0</v>
      </c>
      <c r="AA387" s="264">
        <f>IF(NFI_Expiration=1,IF($A387&lt;VLOOKUP(J$5,NFI,5,0),1,0)*Table_NFI[[#This Row],[Sanitary Kit]],Table_NFI[Sanitary Kit])</f>
        <v>0</v>
      </c>
      <c r="AB387" s="264">
        <f>IF(NFI_Expiration=1,IF($A387&lt;VLOOKUP(K$5,NFI,5,0),1,0)*Table_NFI[[#This Row],[Mosquito net]],Table_NFI[Mosquito net])</f>
        <v>0</v>
      </c>
      <c r="AC387" s="264">
        <f>IF(NFI_Expiration=1,IF($A387&lt;VLOOKUP(L$5,NFI,5,0),1,0)*Table_NFI[[#This Row],[Tarpaulin]],Table_NFI[[#This Row],[Tarpaulin]])</f>
        <v>0</v>
      </c>
      <c r="AD387" s="264">
        <f>IF(NFI_Expiration=1,IF($A387&lt;VLOOKUP(M$5,NFI,5,0),1,0)*Table_NFI[[#This Row],[Blanket]],Table_NFI[[#This Row],[Blanket]])</f>
        <v>0</v>
      </c>
      <c r="AE387" s="264">
        <f>IF(NFI_Expiration=1,IF($A387&lt;VLOOKUP(N$5,NFI,5,0),1,0)*Table_NFI[[#This Row],[Kitchen Set]],Table_NFI[Kitchen Set])</f>
        <v>0</v>
      </c>
      <c r="AF387" s="264">
        <f>IF(NFI_Expiration=1,IF($A387&lt;VLOOKUP(O$5,NFI,5,0),1,0)*Table_NFI[[#This Row],[Clothes Kit]],Table_NFI[Clothes Kit])</f>
        <v>0</v>
      </c>
      <c r="AG387" s="264">
        <f>IF(NFI_Expiration=1,IF($A387&lt;VLOOKUP(P$5,NFI,5,0),1,0)*Table_NFI[[#This Row],[Plastic Bucket]],Table_NFI[Plastic Bucket])</f>
        <v>0</v>
      </c>
      <c r="AH387" s="264">
        <f>IF(NFI_Expiration=1,IF($A387&lt;VLOOKUP(Q$5,NFI,5,0),1,0)*Table_NFI[[#This Row],[Plastic Mat]],Table_NFI[Plastic Mat])*IF(Table_NFI[[#This Row],[Distribution Date]]&gt;"2014-04-01",1,2.5)</f>
        <v>0</v>
      </c>
      <c r="AI387" s="264">
        <f>IF(NFI_Expiration=1,IF($A387&lt;VLOOKUP(R$5,NFI,5,0),1,0)*Table_NFI[[#This Row],[Winter Clothes Adult]],Table_NFI[Winter Clothes Adult])</f>
        <v>0</v>
      </c>
      <c r="AJ387" s="264">
        <f>IF(NFI_Expiration=1,IF($A387&lt;VLOOKUP(S$5,NFI,5,0),1,0)*Table_NFI[[#This Row],[Winter Clothes Children]],Table_NFI[Winter Clothes Children])</f>
        <v>0</v>
      </c>
      <c r="AK387" s="264">
        <f>IF(NFI_Expiration=1,IF($A387&lt;VLOOKUP(T$5,NFI,5,0),1,0)*Table_NFI[[#This Row],[Winter Items Other]],Table_NFI[Winter Items Other])</f>
        <v>0</v>
      </c>
      <c r="AL387" s="264">
        <f>IF(NFI_Expiration=1,IF($A387&lt;VLOOKUP(M$5,NFI,5,0),1,0)*Table_NFI[[#This Row],[Winter Blanket]],Table_NFI[[#This Row],[Winter Blanket]])</f>
        <v>0</v>
      </c>
      <c r="AM387" s="264">
        <f>IF(Table_NFI[[#This Row],[Winter Clothes Adult]]+Table_NFI[[#This Row],[Winter Clothes Children]]+Table_NFI[[#This Row],[Winter Items Other]]+Table_NFI[[#This Row],[Winter Blanket]]&gt;0,1,0)</f>
        <v>1</v>
      </c>
      <c r="AN387" s="296">
        <f>IF(NFI_Expiration=1,IF($A387&lt;VLOOKUP(V$5,NFI,5,0),1,0)*Table_NFI[[#This Row],[Jerry Can]],Table_NFI[Jerry Can])</f>
        <v>0</v>
      </c>
      <c r="AO387" s="296">
        <f>IF(NFI_Expiration=1,IF($A387&lt;VLOOKUP(V$5,NFI,5,0),1,0)*Table_NFI[[#This Row],[Shelter Tool kit]],Table_NFI[Shelter Tool kit])</f>
        <v>0</v>
      </c>
      <c r="AP387" s="296">
        <f>IF(NFI_Expiration=1,IF($A387&lt;VLOOKUP(V$5,NFI,5,0),1,0)*Table_NFI[[#This Row],[Tent]],Table_NFI[Tent])</f>
        <v>0</v>
      </c>
      <c r="AQ387" s="396" t="str">
        <f>IFERROR(VLOOKUP(Table_NFI[[#This Row],[Camp Name]],CL,2,0),"")</f>
        <v>MMR001CMP120</v>
      </c>
      <c r="AR387" s="702">
        <f ca="1">IF(Table_NFI[[#This Row],[Pcode]]="","",IF(OFFSET(CampList[Opening Date],MATCH(Table_NFI[[#This Row],[Pcode]],CampList[CP_Pcode],0)-1,0,1,1)&gt;=NFI_Monitor_Date,1,0))</f>
        <v>0</v>
      </c>
      <c r="AS387" s="396" t="str">
        <f>IFERROR(VLOOKUP(Table_NFI[[#This Row],[Camp Name]],CL,3,0),"")</f>
        <v>Open</v>
      </c>
      <c r="AT387" s="264" t="str">
        <f ca="1">IF(Table_NFI[[#This Row],[Pcode]]="","",OFFSET(CampList[Priority],MATCH(Table_NFI[[#This Row],[Pcode]],CampList[CP_Pcode],0)-1,0,1,1))</f>
        <v>P1</v>
      </c>
      <c r="AU387" s="263">
        <f>IFERROR(Table_NFI[[#This Row],[Kitchen Set]]/VLOOKUP(Table_NFI[[#This Row],[Camp Name]],CL,4,0),"")</f>
        <v>0</v>
      </c>
      <c r="AV387" s="394"/>
      <c r="AW387" s="397"/>
      <c r="AX387" s="399"/>
      <c r="AY387" s="399"/>
      <c r="AZ387" s="399"/>
      <c r="BA387" s="399"/>
      <c r="BB387" s="399"/>
      <c r="BC387" s="399"/>
      <c r="BD387" s="399"/>
      <c r="BE387" s="399"/>
      <c r="BF387" s="399"/>
      <c r="BG387" s="399"/>
      <c r="BH387" s="399"/>
      <c r="BI387" s="399"/>
      <c r="BJ387" s="399"/>
      <c r="BK387" s="399"/>
      <c r="BL387" s="399"/>
      <c r="BM387" s="399"/>
      <c r="BN387" s="399"/>
      <c r="BO387" s="399"/>
      <c r="BP387" s="399"/>
      <c r="BQ387" s="399"/>
      <c r="BR387" s="399"/>
      <c r="BS387" s="399"/>
      <c r="BT387" s="399"/>
      <c r="BU387" s="399"/>
      <c r="BV387" s="399"/>
      <c r="BW387" s="399"/>
      <c r="BX387" s="399"/>
      <c r="BY387" s="399"/>
      <c r="BZ387" s="399"/>
      <c r="CA387" s="399"/>
      <c r="CB387" s="399"/>
      <c r="CC387" s="399"/>
      <c r="CD387" s="399"/>
      <c r="CE387" s="399"/>
      <c r="CF387" s="399"/>
      <c r="CG387" s="399"/>
      <c r="CH387" s="399"/>
      <c r="CI387" s="399"/>
      <c r="CJ387" s="399"/>
      <c r="CK387" s="399"/>
      <c r="CL387" s="399"/>
      <c r="CM387" s="399"/>
      <c r="CN387" s="399"/>
      <c r="CO387" s="399"/>
      <c r="CP387" s="399"/>
      <c r="CQ387" s="399"/>
      <c r="CR387" s="399"/>
      <c r="CS387" s="399"/>
      <c r="CT387" s="399"/>
      <c r="CU387" s="399"/>
      <c r="CV387" s="399"/>
      <c r="CW387" s="399"/>
      <c r="CX387" s="399"/>
      <c r="CY387" s="399"/>
      <c r="CZ387" s="399"/>
      <c r="DA387" s="399"/>
      <c r="DB387" s="399"/>
      <c r="DC387" s="399"/>
      <c r="DD387" s="399"/>
      <c r="DE387" s="399"/>
      <c r="DF387" s="399"/>
      <c r="DG387" s="399"/>
      <c r="DH387" s="399"/>
      <c r="DI387" s="399"/>
      <c r="DJ387" s="399"/>
      <c r="DK387" s="399"/>
      <c r="DL387" s="399"/>
      <c r="DM387" s="399"/>
      <c r="DN387" s="399"/>
      <c r="DO387" s="399"/>
      <c r="DP387" s="399"/>
      <c r="DQ387" s="399"/>
    </row>
    <row r="388" spans="1:121" s="760" customFormat="1" ht="15" customHeight="1" x14ac:dyDescent="0.25">
      <c r="A388" s="266">
        <f t="shared" si="5"/>
        <v>32.43333333333333</v>
      </c>
      <c r="B388" s="389">
        <v>41883</v>
      </c>
      <c r="C388" s="394" t="s">
        <v>1034</v>
      </c>
      <c r="D388" s="394"/>
      <c r="E388" s="394" t="s">
        <v>380</v>
      </c>
      <c r="F388" s="394" t="s">
        <v>310</v>
      </c>
      <c r="G388" s="394" t="s">
        <v>347</v>
      </c>
      <c r="H388" s="261"/>
      <c r="I388" s="261"/>
      <c r="J388" s="261"/>
      <c r="K388" s="261"/>
      <c r="L388" s="261"/>
      <c r="M388" s="261"/>
      <c r="N388" s="261"/>
      <c r="O388" s="261"/>
      <c r="P388" s="261"/>
      <c r="Q388" s="261"/>
      <c r="R388" s="261"/>
      <c r="S388" s="261">
        <v>288</v>
      </c>
      <c r="T388" s="261"/>
      <c r="U388" s="261"/>
      <c r="V388" s="762"/>
      <c r="W388" s="261"/>
      <c r="X388" s="261"/>
      <c r="Y388" s="264">
        <f>IF(NFI_Expiration=1,IF($A388&lt;VLOOKUP(H$5,NFI,5,0),1,0)*Table_NFI[[#This Row],[Hygiene Kit]],Table_NFI[Hygiene Kit])</f>
        <v>0</v>
      </c>
      <c r="Z388" s="264">
        <f>IF(NFI_Expiration=1,IF($A388&lt;VLOOKUP(I$5,NFI,5,0),1,0)*Table_NFI[[#This Row],[NFI Core Kit]],Table_NFI[NFI Core Kit])</f>
        <v>0</v>
      </c>
      <c r="AA388" s="264">
        <f>IF(NFI_Expiration=1,IF($A388&lt;VLOOKUP(J$5,NFI,5,0),1,0)*Table_NFI[[#This Row],[Sanitary Kit]],Table_NFI[Sanitary Kit])</f>
        <v>0</v>
      </c>
      <c r="AB388" s="264">
        <f>IF(NFI_Expiration=1,IF($A388&lt;VLOOKUP(K$5,NFI,5,0),1,0)*Table_NFI[[#This Row],[Mosquito net]],Table_NFI[Mosquito net])</f>
        <v>0</v>
      </c>
      <c r="AC388" s="264">
        <f>IF(NFI_Expiration=1,IF($A388&lt;VLOOKUP(L$5,NFI,5,0),1,0)*Table_NFI[[#This Row],[Tarpaulin]],Table_NFI[[#This Row],[Tarpaulin]])</f>
        <v>0</v>
      </c>
      <c r="AD388" s="264">
        <f>IF(NFI_Expiration=1,IF($A388&lt;VLOOKUP(M$5,NFI,5,0),1,0)*Table_NFI[[#This Row],[Blanket]],Table_NFI[[#This Row],[Blanket]])</f>
        <v>0</v>
      </c>
      <c r="AE388" s="264">
        <f>IF(NFI_Expiration=1,IF($A388&lt;VLOOKUP(N$5,NFI,5,0),1,0)*Table_NFI[[#This Row],[Kitchen Set]],Table_NFI[Kitchen Set])</f>
        <v>0</v>
      </c>
      <c r="AF388" s="264">
        <f>IF(NFI_Expiration=1,IF($A388&lt;VLOOKUP(O$5,NFI,5,0),1,0)*Table_NFI[[#This Row],[Clothes Kit]],Table_NFI[Clothes Kit])</f>
        <v>0</v>
      </c>
      <c r="AG388" s="264">
        <f>IF(NFI_Expiration=1,IF($A388&lt;VLOOKUP(P$5,NFI,5,0),1,0)*Table_NFI[[#This Row],[Plastic Bucket]],Table_NFI[Plastic Bucket])</f>
        <v>0</v>
      </c>
      <c r="AH388" s="264">
        <f>IF(NFI_Expiration=1,IF($A388&lt;VLOOKUP(Q$5,NFI,5,0),1,0)*Table_NFI[[#This Row],[Plastic Mat]],Table_NFI[Plastic Mat])*IF(Table_NFI[[#This Row],[Distribution Date]]&gt;"2014-04-01",1,2.5)</f>
        <v>0</v>
      </c>
      <c r="AI388" s="264">
        <f>IF(NFI_Expiration=1,IF($A388&lt;VLOOKUP(R$5,NFI,5,0),1,0)*Table_NFI[[#This Row],[Winter Clothes Adult]],Table_NFI[Winter Clothes Adult])</f>
        <v>0</v>
      </c>
      <c r="AJ388" s="264">
        <f>IF(NFI_Expiration=1,IF($A388&lt;VLOOKUP(S$5,NFI,5,0),1,0)*Table_NFI[[#This Row],[Winter Clothes Children]],Table_NFI[Winter Clothes Children])</f>
        <v>0</v>
      </c>
      <c r="AK388" s="264">
        <f>IF(NFI_Expiration=1,IF($A388&lt;VLOOKUP(T$5,NFI,5,0),1,0)*Table_NFI[[#This Row],[Winter Items Other]],Table_NFI[Winter Items Other])</f>
        <v>0</v>
      </c>
      <c r="AL388" s="264">
        <f>IF(NFI_Expiration=1,IF($A388&lt;VLOOKUP(M$5,NFI,5,0),1,0)*Table_NFI[[#This Row],[Winter Blanket]],Table_NFI[[#This Row],[Winter Blanket]])</f>
        <v>0</v>
      </c>
      <c r="AM388" s="264">
        <f>IF(Table_NFI[[#This Row],[Winter Clothes Adult]]+Table_NFI[[#This Row],[Winter Clothes Children]]+Table_NFI[[#This Row],[Winter Items Other]]+Table_NFI[[#This Row],[Winter Blanket]]&gt;0,1,0)</f>
        <v>1</v>
      </c>
      <c r="AN388" s="296">
        <f>IF(NFI_Expiration=1,IF($A388&lt;VLOOKUP(V$5,NFI,5,0),1,0)*Table_NFI[[#This Row],[Jerry Can]],Table_NFI[Jerry Can])</f>
        <v>0</v>
      </c>
      <c r="AO388" s="296">
        <f>IF(NFI_Expiration=1,IF($A388&lt;VLOOKUP(V$5,NFI,5,0),1,0)*Table_NFI[[#This Row],[Shelter Tool kit]],Table_NFI[Shelter Tool kit])</f>
        <v>0</v>
      </c>
      <c r="AP388" s="296">
        <f>IF(NFI_Expiration=1,IF($A388&lt;VLOOKUP(V$5,NFI,5,0),1,0)*Table_NFI[[#This Row],[Tent]],Table_NFI[Tent])</f>
        <v>0</v>
      </c>
      <c r="AQ388" s="396" t="str">
        <f>IFERROR(VLOOKUP(Table_NFI[[#This Row],[Camp Name]],CL,2,0),"")</f>
        <v>MMR001CMP041</v>
      </c>
      <c r="AR388" s="702">
        <f ca="1">IF(Table_NFI[[#This Row],[Pcode]]="","",IF(OFFSET(CampList[Opening Date],MATCH(Table_NFI[[#This Row],[Pcode]],CampList[CP_Pcode],0)-1,0,1,1)&gt;=NFI_Monitor_Date,1,0))</f>
        <v>0</v>
      </c>
      <c r="AS388" s="396" t="str">
        <f>IFERROR(VLOOKUP(Table_NFI[[#This Row],[Camp Name]],CL,3,0),"")</f>
        <v>Open</v>
      </c>
      <c r="AT388" s="264" t="str">
        <f ca="1">IF(Table_NFI[[#This Row],[Pcode]]="","",OFFSET(CampList[Priority],MATCH(Table_NFI[[#This Row],[Pcode]],CampList[CP_Pcode],0)-1,0,1,1))</f>
        <v>P1</v>
      </c>
      <c r="AU388" s="263">
        <f>IFERROR(Table_NFI[[#This Row],[Kitchen Set]]/VLOOKUP(Table_NFI[[#This Row],[Camp Name]],CL,4,0),"")</f>
        <v>0</v>
      </c>
      <c r="AV388" s="394"/>
      <c r="AW388" s="397"/>
      <c r="AX388" s="399"/>
      <c r="AY388" s="399"/>
      <c r="AZ388" s="399"/>
      <c r="BA388" s="399"/>
      <c r="BB388" s="399"/>
      <c r="BC388" s="399"/>
      <c r="BD388" s="399"/>
      <c r="BE388" s="399"/>
      <c r="BF388" s="399"/>
      <c r="BG388" s="399"/>
      <c r="BH388" s="399"/>
      <c r="BI388" s="399"/>
      <c r="BJ388" s="399"/>
      <c r="BK388" s="399"/>
      <c r="BL388" s="399"/>
      <c r="BM388" s="399"/>
      <c r="BN388" s="399"/>
      <c r="BO388" s="399"/>
      <c r="BP388" s="399"/>
      <c r="BQ388" s="399"/>
      <c r="BR388" s="399"/>
      <c r="BS388" s="399"/>
      <c r="BT388" s="399"/>
      <c r="BU388" s="399"/>
      <c r="BV388" s="399"/>
      <c r="BW388" s="399"/>
      <c r="BX388" s="399"/>
      <c r="BY388" s="399"/>
      <c r="BZ388" s="399"/>
      <c r="CA388" s="399"/>
      <c r="CB388" s="399"/>
      <c r="CC388" s="399"/>
      <c r="CD388" s="399"/>
      <c r="CE388" s="399"/>
      <c r="CF388" s="399"/>
      <c r="CG388" s="399"/>
      <c r="CH388" s="399"/>
      <c r="CI388" s="399"/>
      <c r="CJ388" s="399"/>
      <c r="CK388" s="399"/>
      <c r="CL388" s="399"/>
      <c r="CM388" s="399"/>
      <c r="CN388" s="399"/>
      <c r="CO388" s="399"/>
      <c r="CP388" s="399"/>
      <c r="CQ388" s="399"/>
      <c r="CR388" s="399"/>
      <c r="CS388" s="399"/>
      <c r="CT388" s="399"/>
      <c r="CU388" s="399"/>
      <c r="CV388" s="399"/>
      <c r="CW388" s="399"/>
      <c r="CX388" s="399"/>
      <c r="CY388" s="399"/>
      <c r="CZ388" s="399"/>
      <c r="DA388" s="399"/>
      <c r="DB388" s="399"/>
      <c r="DC388" s="399"/>
      <c r="DD388" s="399"/>
      <c r="DE388" s="399"/>
      <c r="DF388" s="399"/>
      <c r="DG388" s="399"/>
      <c r="DH388" s="399"/>
      <c r="DI388" s="399"/>
      <c r="DJ388" s="399"/>
      <c r="DK388" s="399"/>
      <c r="DL388" s="399"/>
      <c r="DM388" s="399"/>
      <c r="DN388" s="399"/>
      <c r="DO388" s="399"/>
      <c r="DP388" s="399"/>
      <c r="DQ388" s="399"/>
    </row>
    <row r="389" spans="1:121" s="393" customFormat="1" ht="14.45" customHeight="1" x14ac:dyDescent="0.25">
      <c r="A389" s="266">
        <f t="shared" si="5"/>
        <v>32.43333333333333</v>
      </c>
      <c r="B389" s="389">
        <v>41883</v>
      </c>
      <c r="C389" s="394" t="s">
        <v>1034</v>
      </c>
      <c r="D389" s="394"/>
      <c r="E389" s="394" t="s">
        <v>380</v>
      </c>
      <c r="F389" s="394" t="s">
        <v>310</v>
      </c>
      <c r="G389" s="394" t="s">
        <v>1233</v>
      </c>
      <c r="H389" s="261"/>
      <c r="I389" s="261"/>
      <c r="J389" s="261"/>
      <c r="K389" s="261"/>
      <c r="L389" s="261"/>
      <c r="M389" s="261"/>
      <c r="N389" s="261"/>
      <c r="O389" s="261"/>
      <c r="P389" s="261"/>
      <c r="Q389" s="261"/>
      <c r="R389" s="261"/>
      <c r="S389" s="261">
        <v>905</v>
      </c>
      <c r="T389" s="261"/>
      <c r="U389" s="261"/>
      <c r="V389" s="762"/>
      <c r="W389" s="261"/>
      <c r="X389" s="261"/>
      <c r="Y389" s="264">
        <f>IF(NFI_Expiration=1,IF($A389&lt;VLOOKUP(H$5,NFI,5,0),1,0)*Table_NFI[[#This Row],[Hygiene Kit]],Table_NFI[Hygiene Kit])</f>
        <v>0</v>
      </c>
      <c r="Z389" s="264">
        <f>IF(NFI_Expiration=1,IF($A389&lt;VLOOKUP(I$5,NFI,5,0),1,0)*Table_NFI[[#This Row],[NFI Core Kit]],Table_NFI[NFI Core Kit])</f>
        <v>0</v>
      </c>
      <c r="AA389" s="264">
        <f>IF(NFI_Expiration=1,IF($A389&lt;VLOOKUP(J$5,NFI,5,0),1,0)*Table_NFI[[#This Row],[Sanitary Kit]],Table_NFI[Sanitary Kit])</f>
        <v>0</v>
      </c>
      <c r="AB389" s="264">
        <f>IF(NFI_Expiration=1,IF($A389&lt;VLOOKUP(K$5,NFI,5,0),1,0)*Table_NFI[[#This Row],[Mosquito net]],Table_NFI[Mosquito net])</f>
        <v>0</v>
      </c>
      <c r="AC389" s="264">
        <f>IF(NFI_Expiration=1,IF($A389&lt;VLOOKUP(L$5,NFI,5,0),1,0)*Table_NFI[[#This Row],[Tarpaulin]],Table_NFI[[#This Row],[Tarpaulin]])</f>
        <v>0</v>
      </c>
      <c r="AD389" s="264">
        <f>IF(NFI_Expiration=1,IF($A389&lt;VLOOKUP(M$5,NFI,5,0),1,0)*Table_NFI[[#This Row],[Blanket]],Table_NFI[[#This Row],[Blanket]])</f>
        <v>0</v>
      </c>
      <c r="AE389" s="264">
        <f>IF(NFI_Expiration=1,IF($A389&lt;VLOOKUP(N$5,NFI,5,0),1,0)*Table_NFI[[#This Row],[Kitchen Set]],Table_NFI[Kitchen Set])</f>
        <v>0</v>
      </c>
      <c r="AF389" s="264">
        <f>IF(NFI_Expiration=1,IF($A389&lt;VLOOKUP(O$5,NFI,5,0),1,0)*Table_NFI[[#This Row],[Clothes Kit]],Table_NFI[Clothes Kit])</f>
        <v>0</v>
      </c>
      <c r="AG389" s="264">
        <f>IF(NFI_Expiration=1,IF($A389&lt;VLOOKUP(P$5,NFI,5,0),1,0)*Table_NFI[[#This Row],[Plastic Bucket]],Table_NFI[Plastic Bucket])</f>
        <v>0</v>
      </c>
      <c r="AH389" s="264">
        <f>IF(NFI_Expiration=1,IF($A389&lt;VLOOKUP(Q$5,NFI,5,0),1,0)*Table_NFI[[#This Row],[Plastic Mat]],Table_NFI[Plastic Mat])*IF(Table_NFI[[#This Row],[Distribution Date]]&gt;"2014-04-01",1,2.5)</f>
        <v>0</v>
      </c>
      <c r="AI389" s="264">
        <f>IF(NFI_Expiration=1,IF($A389&lt;VLOOKUP(R$5,NFI,5,0),1,0)*Table_NFI[[#This Row],[Winter Clothes Adult]],Table_NFI[Winter Clothes Adult])</f>
        <v>0</v>
      </c>
      <c r="AJ389" s="264">
        <f>IF(NFI_Expiration=1,IF($A389&lt;VLOOKUP(S$5,NFI,5,0),1,0)*Table_NFI[[#This Row],[Winter Clothes Children]],Table_NFI[Winter Clothes Children])</f>
        <v>0</v>
      </c>
      <c r="AK389" s="264">
        <f>IF(NFI_Expiration=1,IF($A389&lt;VLOOKUP(T$5,NFI,5,0),1,0)*Table_NFI[[#This Row],[Winter Items Other]],Table_NFI[Winter Items Other])</f>
        <v>0</v>
      </c>
      <c r="AL389" s="264">
        <f>IF(NFI_Expiration=1,IF($A389&lt;VLOOKUP(M$5,NFI,5,0),1,0)*Table_NFI[[#This Row],[Winter Blanket]],Table_NFI[[#This Row],[Winter Blanket]])</f>
        <v>0</v>
      </c>
      <c r="AM389" s="264">
        <f>IF(Table_NFI[[#This Row],[Winter Clothes Adult]]+Table_NFI[[#This Row],[Winter Clothes Children]]+Table_NFI[[#This Row],[Winter Items Other]]+Table_NFI[[#This Row],[Winter Blanket]]&gt;0,1,0)</f>
        <v>1</v>
      </c>
      <c r="AN389" s="296">
        <f>IF(NFI_Expiration=1,IF($A389&lt;VLOOKUP(V$5,NFI,5,0),1,0)*Table_NFI[[#This Row],[Jerry Can]],Table_NFI[Jerry Can])</f>
        <v>0</v>
      </c>
      <c r="AO389" s="296">
        <f>IF(NFI_Expiration=1,IF($A389&lt;VLOOKUP(V$5,NFI,5,0),1,0)*Table_NFI[[#This Row],[Shelter Tool kit]],Table_NFI[Shelter Tool kit])</f>
        <v>0</v>
      </c>
      <c r="AP389" s="296">
        <f>IF(NFI_Expiration=1,IF($A389&lt;VLOOKUP(V$5,NFI,5,0),1,0)*Table_NFI[[#This Row],[Tent]],Table_NFI[Tent])</f>
        <v>0</v>
      </c>
      <c r="AQ389" s="396" t="str">
        <f>IFERROR(VLOOKUP(Table_NFI[[#This Row],[Camp Name]],CL,2,0),"")</f>
        <v>MMR001CMP111</v>
      </c>
      <c r="AR389" s="702">
        <f ca="1">IF(Table_NFI[[#This Row],[Pcode]]="","",IF(OFFSET(CampList[Opening Date],MATCH(Table_NFI[[#This Row],[Pcode]],CampList[CP_Pcode],0)-1,0,1,1)&gt;=NFI_Monitor_Date,1,0))</f>
        <v>0</v>
      </c>
      <c r="AS389" s="396" t="str">
        <f>IFERROR(VLOOKUP(Table_NFI[[#This Row],[Camp Name]],CL,3,0),"")</f>
        <v>Closed</v>
      </c>
      <c r="AT389" s="264" t="str">
        <f ca="1">IF(Table_NFI[[#This Row],[Pcode]]="","",OFFSET(CampList[Priority],MATCH(Table_NFI[[#This Row],[Pcode]],CampList[CP_Pcode],0)-1,0,1,1))</f>
        <v>P2</v>
      </c>
      <c r="AU389" s="263">
        <f>IFERROR(Table_NFI[[#This Row],[Kitchen Set]]/VLOOKUP(Table_NFI[[#This Row],[Camp Name]],CL,4,0),"")</f>
        <v>0</v>
      </c>
      <c r="AV389" s="394"/>
      <c r="AW389" s="397"/>
      <c r="AX389" s="399"/>
      <c r="AY389" s="399"/>
      <c r="AZ389" s="399"/>
      <c r="BA389" s="399"/>
      <c r="BB389" s="399"/>
      <c r="BC389" s="399"/>
      <c r="BD389" s="399"/>
      <c r="BE389" s="399"/>
      <c r="BF389" s="399"/>
      <c r="BG389" s="399"/>
      <c r="BH389" s="399"/>
      <c r="BI389" s="399"/>
      <c r="BJ389" s="399"/>
      <c r="BK389" s="399"/>
      <c r="BL389" s="399"/>
      <c r="BM389" s="399"/>
      <c r="BN389" s="399"/>
      <c r="BO389" s="399"/>
      <c r="BP389" s="399"/>
      <c r="BQ389" s="399"/>
      <c r="BR389" s="399"/>
      <c r="BS389" s="399"/>
      <c r="BT389" s="399"/>
      <c r="BU389" s="399"/>
      <c r="BV389" s="399"/>
      <c r="BW389" s="399"/>
      <c r="BX389" s="399"/>
      <c r="BY389" s="399"/>
      <c r="BZ389" s="399"/>
      <c r="CA389" s="399"/>
      <c r="CB389" s="399"/>
      <c r="CC389" s="399"/>
      <c r="CD389" s="399"/>
      <c r="CE389" s="399"/>
      <c r="CF389" s="399"/>
      <c r="CG389" s="399"/>
      <c r="CH389" s="399"/>
      <c r="CI389" s="399"/>
      <c r="CJ389" s="399"/>
      <c r="CK389" s="399"/>
      <c r="CL389" s="399"/>
      <c r="CM389" s="399"/>
      <c r="CN389" s="399"/>
      <c r="CO389" s="399"/>
      <c r="CP389" s="399"/>
      <c r="CQ389" s="399"/>
      <c r="CR389" s="399"/>
      <c r="CS389" s="399"/>
      <c r="CT389" s="399"/>
      <c r="CU389" s="399"/>
      <c r="CV389" s="399"/>
      <c r="CW389" s="399"/>
      <c r="CX389" s="399"/>
      <c r="CY389" s="399"/>
      <c r="CZ389" s="399"/>
      <c r="DA389" s="399"/>
      <c r="DB389" s="399"/>
      <c r="DC389" s="399"/>
      <c r="DD389" s="399"/>
      <c r="DE389" s="399"/>
      <c r="DF389" s="399"/>
      <c r="DG389" s="399"/>
      <c r="DH389" s="399"/>
      <c r="DI389" s="399"/>
      <c r="DJ389" s="399"/>
      <c r="DK389" s="399"/>
      <c r="DL389" s="399"/>
      <c r="DM389" s="399"/>
      <c r="DN389" s="399"/>
      <c r="DO389" s="399"/>
      <c r="DP389" s="399"/>
      <c r="DQ389" s="399"/>
    </row>
    <row r="390" spans="1:121" s="393" customFormat="1" ht="14.45" customHeight="1" x14ac:dyDescent="0.25">
      <c r="A390" s="266">
        <f t="shared" ref="A390:A453" si="6">IF(ISBLANK(B390),"",(Report_Date-B390)/30)</f>
        <v>32.9</v>
      </c>
      <c r="B390" s="389">
        <v>41869</v>
      </c>
      <c r="C390" s="390" t="s">
        <v>451</v>
      </c>
      <c r="D390" s="390"/>
      <c r="E390" s="390" t="s">
        <v>380</v>
      </c>
      <c r="F390" s="262" t="s">
        <v>151</v>
      </c>
      <c r="G390" s="390" t="s">
        <v>1032</v>
      </c>
      <c r="H390" s="261"/>
      <c r="I390" s="261"/>
      <c r="J390" s="261"/>
      <c r="K390" s="261"/>
      <c r="L390" s="261">
        <v>70</v>
      </c>
      <c r="M390" s="261"/>
      <c r="N390" s="261"/>
      <c r="O390" s="261"/>
      <c r="P390" s="261"/>
      <c r="Q390" s="261"/>
      <c r="R390" s="261"/>
      <c r="S390" s="261"/>
      <c r="T390" s="261"/>
      <c r="U390" s="261"/>
      <c r="V390" s="762"/>
      <c r="W390" s="261"/>
      <c r="X390" s="261"/>
      <c r="Y390" s="264">
        <f>IF(NFI_Expiration=1,IF($A390&lt;VLOOKUP(H$5,NFI,5,0),1,0)*Table_NFI[[#This Row],[Hygiene Kit]],Table_NFI[Hygiene Kit])</f>
        <v>0</v>
      </c>
      <c r="Z390" s="264">
        <f>IF(NFI_Expiration=1,IF($A390&lt;VLOOKUP(I$5,NFI,5,0),1,0)*Table_NFI[[#This Row],[NFI Core Kit]],Table_NFI[NFI Core Kit])</f>
        <v>0</v>
      </c>
      <c r="AA390" s="264">
        <f>IF(NFI_Expiration=1,IF($A390&lt;VLOOKUP(J$5,NFI,5,0),1,0)*Table_NFI[[#This Row],[Sanitary Kit]],Table_NFI[Sanitary Kit])</f>
        <v>0</v>
      </c>
      <c r="AB390" s="264">
        <f>IF(NFI_Expiration=1,IF($A390&lt;VLOOKUP(K$5,NFI,5,0),1,0)*Table_NFI[[#This Row],[Mosquito net]],Table_NFI[Mosquito net])</f>
        <v>0</v>
      </c>
      <c r="AC390" s="264">
        <f>IF(NFI_Expiration=1,IF($A390&lt;VLOOKUP(L$5,NFI,5,0),1,0)*Table_NFI[[#This Row],[Tarpaulin]],Table_NFI[[#This Row],[Tarpaulin]])</f>
        <v>0</v>
      </c>
      <c r="AD390" s="264">
        <f>IF(NFI_Expiration=1,IF($A390&lt;VLOOKUP(M$5,NFI,5,0),1,0)*Table_NFI[[#This Row],[Blanket]],Table_NFI[[#This Row],[Blanket]])</f>
        <v>0</v>
      </c>
      <c r="AE390" s="264">
        <f>IF(NFI_Expiration=1,IF($A390&lt;VLOOKUP(N$5,NFI,5,0),1,0)*Table_NFI[[#This Row],[Kitchen Set]],Table_NFI[Kitchen Set])</f>
        <v>0</v>
      </c>
      <c r="AF390" s="264">
        <f>IF(NFI_Expiration=1,IF($A390&lt;VLOOKUP(O$5,NFI,5,0),1,0)*Table_NFI[[#This Row],[Clothes Kit]],Table_NFI[Clothes Kit])</f>
        <v>0</v>
      </c>
      <c r="AG390" s="264">
        <f>IF(NFI_Expiration=1,IF($A390&lt;VLOOKUP(P$5,NFI,5,0),1,0)*Table_NFI[[#This Row],[Plastic Bucket]],Table_NFI[Plastic Bucket])</f>
        <v>0</v>
      </c>
      <c r="AH390" s="264">
        <f>IF(NFI_Expiration=1,IF($A390&lt;VLOOKUP(Q$5,NFI,5,0),1,0)*Table_NFI[[#This Row],[Plastic Mat]],Table_NFI[Plastic Mat])*IF(Table_NFI[[#This Row],[Distribution Date]]&gt;"2014-04-01",1,2.5)</f>
        <v>0</v>
      </c>
      <c r="AI390" s="264">
        <f>IF(NFI_Expiration=1,IF($A390&lt;VLOOKUP(R$5,NFI,5,0),1,0)*Table_NFI[[#This Row],[Winter Clothes Adult]],Table_NFI[Winter Clothes Adult])</f>
        <v>0</v>
      </c>
      <c r="AJ390" s="264">
        <f>IF(NFI_Expiration=1,IF($A390&lt;VLOOKUP(S$5,NFI,5,0),1,0)*Table_NFI[[#This Row],[Winter Clothes Children]],Table_NFI[Winter Clothes Children])</f>
        <v>0</v>
      </c>
      <c r="AK390" s="264">
        <f>IF(NFI_Expiration=1,IF($A390&lt;VLOOKUP(T$5,NFI,5,0),1,0)*Table_NFI[[#This Row],[Winter Items Other]],Table_NFI[Winter Items Other])</f>
        <v>0</v>
      </c>
      <c r="AL390" s="264">
        <f>IF(NFI_Expiration=1,IF($A390&lt;VLOOKUP(M$5,NFI,5,0),1,0)*Table_NFI[[#This Row],[Winter Blanket]],Table_NFI[[#This Row],[Winter Blanket]])</f>
        <v>0</v>
      </c>
      <c r="AM390" s="264">
        <f>IF(Table_NFI[[#This Row],[Winter Clothes Adult]]+Table_NFI[[#This Row],[Winter Clothes Children]]+Table_NFI[[#This Row],[Winter Items Other]]+Table_NFI[[#This Row],[Winter Blanket]]&gt;0,1,0)</f>
        <v>0</v>
      </c>
      <c r="AN390" s="296">
        <f>IF(NFI_Expiration=1,IF($A390&lt;VLOOKUP(V$5,NFI,5,0),1,0)*Table_NFI[[#This Row],[Jerry Can]],Table_NFI[Jerry Can])</f>
        <v>0</v>
      </c>
      <c r="AO390" s="296">
        <f>IF(NFI_Expiration=1,IF($A390&lt;VLOOKUP(V$5,NFI,5,0),1,0)*Table_NFI[[#This Row],[Shelter Tool kit]],Table_NFI[Shelter Tool kit])</f>
        <v>0</v>
      </c>
      <c r="AP390" s="296">
        <f>IF(NFI_Expiration=1,IF($A390&lt;VLOOKUP(V$5,NFI,5,0),1,0)*Table_NFI[[#This Row],[Tent]],Table_NFI[Tent])</f>
        <v>0</v>
      </c>
      <c r="AQ390" s="396" t="str">
        <f>IFERROR(VLOOKUP(Table_NFI[[#This Row],[Camp Name]],CL,2,0),"")</f>
        <v>MMR001CMP226</v>
      </c>
      <c r="AR390" s="702">
        <f ca="1">IF(Table_NFI[[#This Row],[Pcode]]="","",IF(OFFSET(CampList[Opening Date],MATCH(Table_NFI[[#This Row],[Pcode]],CampList[CP_Pcode],0)-1,0,1,1)&gt;=NFI_Monitor_Date,1,0))</f>
        <v>0</v>
      </c>
      <c r="AS390" s="396" t="str">
        <f>IFERROR(VLOOKUP(Table_NFI[[#This Row],[Camp Name]],CL,3,0),"")</f>
        <v>Closed</v>
      </c>
      <c r="AT390" s="264" t="str">
        <f ca="1">IF(Table_NFI[[#This Row],[Pcode]]="","",OFFSET(CampList[Priority],MATCH(Table_NFI[[#This Row],[Pcode]],CampList[CP_Pcode],0)-1,0,1,1))</f>
        <v>P2</v>
      </c>
      <c r="AU390" s="263">
        <f>IFERROR(Table_NFI[[#This Row],[Kitchen Set]]/VLOOKUP(Table_NFI[[#This Row],[Camp Name]],CL,4,0),"")</f>
        <v>0</v>
      </c>
      <c r="AV390" s="390"/>
      <c r="AW390" s="392"/>
      <c r="AX390" s="399"/>
      <c r="AY390" s="399"/>
      <c r="AZ390" s="399"/>
      <c r="BA390" s="399"/>
      <c r="BB390" s="399"/>
      <c r="BC390" s="399"/>
      <c r="BD390" s="399"/>
      <c r="BE390" s="399"/>
      <c r="BF390" s="399"/>
      <c r="BG390" s="399"/>
      <c r="BH390" s="399"/>
      <c r="BI390" s="399"/>
      <c r="BJ390" s="399"/>
      <c r="BK390" s="399"/>
      <c r="BL390" s="399"/>
      <c r="BM390" s="399"/>
      <c r="BN390" s="399"/>
      <c r="BO390" s="399"/>
      <c r="BP390" s="399"/>
      <c r="BQ390" s="399"/>
      <c r="BR390" s="399"/>
      <c r="BS390" s="399"/>
      <c r="BT390" s="399"/>
      <c r="BU390" s="399"/>
      <c r="BV390" s="399"/>
      <c r="BW390" s="399"/>
      <c r="BX390" s="399"/>
      <c r="BY390" s="399"/>
      <c r="BZ390" s="399"/>
      <c r="CA390" s="399"/>
      <c r="CB390" s="399"/>
      <c r="CC390" s="399"/>
      <c r="CD390" s="399"/>
      <c r="CE390" s="399"/>
      <c r="CF390" s="399"/>
      <c r="CG390" s="399"/>
      <c r="CH390" s="399"/>
      <c r="CI390" s="399"/>
      <c r="CJ390" s="399"/>
      <c r="CK390" s="399"/>
      <c r="CL390" s="399"/>
      <c r="CM390" s="399"/>
      <c r="CN390" s="399"/>
      <c r="CO390" s="399"/>
      <c r="CP390" s="399"/>
      <c r="CQ390" s="399"/>
      <c r="CR390" s="399"/>
      <c r="CS390" s="399"/>
      <c r="CT390" s="399"/>
      <c r="CU390" s="399"/>
      <c r="CV390" s="399"/>
      <c r="CW390" s="399"/>
      <c r="CX390" s="399"/>
      <c r="CY390" s="399"/>
      <c r="CZ390" s="399"/>
      <c r="DA390" s="399"/>
      <c r="DB390" s="399"/>
      <c r="DC390" s="399"/>
      <c r="DD390" s="399"/>
      <c r="DE390" s="399"/>
      <c r="DF390" s="399"/>
      <c r="DG390" s="399"/>
      <c r="DH390" s="399"/>
      <c r="DI390" s="399"/>
      <c r="DJ390" s="399"/>
      <c r="DK390" s="399"/>
      <c r="DL390" s="399"/>
      <c r="DM390" s="399"/>
      <c r="DN390" s="399"/>
      <c r="DO390" s="399"/>
      <c r="DP390" s="399"/>
      <c r="DQ390" s="399"/>
    </row>
    <row r="391" spans="1:121" s="760" customFormat="1" ht="14.45" customHeight="1" x14ac:dyDescent="0.25">
      <c r="A391" s="266">
        <f t="shared" si="6"/>
        <v>33.166666666666664</v>
      </c>
      <c r="B391" s="389">
        <v>41861</v>
      </c>
      <c r="C391" s="390" t="s">
        <v>451</v>
      </c>
      <c r="D391" s="390"/>
      <c r="E391" s="390" t="s">
        <v>380</v>
      </c>
      <c r="F391" s="390" t="s">
        <v>185</v>
      </c>
      <c r="G391" s="390" t="s">
        <v>219</v>
      </c>
      <c r="H391" s="261"/>
      <c r="I391" s="261"/>
      <c r="J391" s="261"/>
      <c r="K391" s="261">
        <v>100</v>
      </c>
      <c r="L391" s="261">
        <v>52</v>
      </c>
      <c r="M391" s="261">
        <v>156</v>
      </c>
      <c r="N391" s="261">
        <v>40</v>
      </c>
      <c r="O391" s="261"/>
      <c r="P391" s="261">
        <v>52</v>
      </c>
      <c r="Q391" s="261">
        <v>210</v>
      </c>
      <c r="R391" s="261"/>
      <c r="S391" s="261"/>
      <c r="T391" s="261"/>
      <c r="U391" s="261"/>
      <c r="V391" s="762"/>
      <c r="W391" s="261"/>
      <c r="X391" s="261"/>
      <c r="Y391" s="264">
        <f>IF(NFI_Expiration=1,IF($A391&lt;VLOOKUP(H$5,NFI,5,0),1,0)*Table_NFI[[#This Row],[Hygiene Kit]],Table_NFI[Hygiene Kit])</f>
        <v>0</v>
      </c>
      <c r="Z391" s="264">
        <f>IF(NFI_Expiration=1,IF($A391&lt;VLOOKUP(I$5,NFI,5,0),1,0)*Table_NFI[[#This Row],[NFI Core Kit]],Table_NFI[NFI Core Kit])</f>
        <v>0</v>
      </c>
      <c r="AA391" s="264">
        <f>IF(NFI_Expiration=1,IF($A391&lt;VLOOKUP(J$5,NFI,5,0),1,0)*Table_NFI[[#This Row],[Sanitary Kit]],Table_NFI[Sanitary Kit])</f>
        <v>0</v>
      </c>
      <c r="AB391" s="264">
        <f>IF(NFI_Expiration=1,IF($A391&lt;VLOOKUP(K$5,NFI,5,0),1,0)*Table_NFI[[#This Row],[Mosquito net]],Table_NFI[Mosquito net])</f>
        <v>0</v>
      </c>
      <c r="AC391" s="264">
        <f>IF(NFI_Expiration=1,IF($A391&lt;VLOOKUP(L$5,NFI,5,0),1,0)*Table_NFI[[#This Row],[Tarpaulin]],Table_NFI[[#This Row],[Tarpaulin]])</f>
        <v>0</v>
      </c>
      <c r="AD391" s="264">
        <f>IF(NFI_Expiration=1,IF($A391&lt;VLOOKUP(M$5,NFI,5,0),1,0)*Table_NFI[[#This Row],[Blanket]],Table_NFI[[#This Row],[Blanket]])</f>
        <v>0</v>
      </c>
      <c r="AE391" s="264">
        <f>IF(NFI_Expiration=1,IF($A391&lt;VLOOKUP(N$5,NFI,5,0),1,0)*Table_NFI[[#This Row],[Kitchen Set]],Table_NFI[Kitchen Set])</f>
        <v>0</v>
      </c>
      <c r="AF391" s="264">
        <f>IF(NFI_Expiration=1,IF($A391&lt;VLOOKUP(O$5,NFI,5,0),1,0)*Table_NFI[[#This Row],[Clothes Kit]],Table_NFI[Clothes Kit])</f>
        <v>0</v>
      </c>
      <c r="AG391" s="264">
        <f>IF(NFI_Expiration=1,IF($A391&lt;VLOOKUP(P$5,NFI,5,0),1,0)*Table_NFI[[#This Row],[Plastic Bucket]],Table_NFI[Plastic Bucket])</f>
        <v>0</v>
      </c>
      <c r="AH391" s="264">
        <f>IF(NFI_Expiration=1,IF($A391&lt;VLOOKUP(Q$5,NFI,5,0),1,0)*Table_NFI[[#This Row],[Plastic Mat]],Table_NFI[Plastic Mat])*IF(Table_NFI[[#This Row],[Distribution Date]]&gt;"2014-04-01",1,2.5)</f>
        <v>0</v>
      </c>
      <c r="AI391" s="264">
        <f>IF(NFI_Expiration=1,IF($A391&lt;VLOOKUP(R$5,NFI,5,0),1,0)*Table_NFI[[#This Row],[Winter Clothes Adult]],Table_NFI[Winter Clothes Adult])</f>
        <v>0</v>
      </c>
      <c r="AJ391" s="264">
        <f>IF(NFI_Expiration=1,IF($A391&lt;VLOOKUP(S$5,NFI,5,0),1,0)*Table_NFI[[#This Row],[Winter Clothes Children]],Table_NFI[Winter Clothes Children])</f>
        <v>0</v>
      </c>
      <c r="AK391" s="264">
        <f>IF(NFI_Expiration=1,IF($A391&lt;VLOOKUP(T$5,NFI,5,0),1,0)*Table_NFI[[#This Row],[Winter Items Other]],Table_NFI[Winter Items Other])</f>
        <v>0</v>
      </c>
      <c r="AL391" s="264">
        <f>IF(NFI_Expiration=1,IF($A391&lt;VLOOKUP(M$5,NFI,5,0),1,0)*Table_NFI[[#This Row],[Winter Blanket]],Table_NFI[[#This Row],[Winter Blanket]])</f>
        <v>0</v>
      </c>
      <c r="AM391" s="264">
        <f>IF(Table_NFI[[#This Row],[Winter Clothes Adult]]+Table_NFI[[#This Row],[Winter Clothes Children]]+Table_NFI[[#This Row],[Winter Items Other]]+Table_NFI[[#This Row],[Winter Blanket]]&gt;0,1,0)</f>
        <v>0</v>
      </c>
      <c r="AN391" s="296">
        <f>IF(NFI_Expiration=1,IF($A391&lt;VLOOKUP(V$5,NFI,5,0),1,0)*Table_NFI[[#This Row],[Jerry Can]],Table_NFI[Jerry Can])</f>
        <v>0</v>
      </c>
      <c r="AO391" s="296">
        <f>IF(NFI_Expiration=1,IF($A391&lt;VLOOKUP(V$5,NFI,5,0),1,0)*Table_NFI[[#This Row],[Shelter Tool kit]],Table_NFI[Shelter Tool kit])</f>
        <v>0</v>
      </c>
      <c r="AP391" s="296">
        <f>IF(NFI_Expiration=1,IF($A391&lt;VLOOKUP(V$5,NFI,5,0),1,0)*Table_NFI[[#This Row],[Tent]],Table_NFI[Tent])</f>
        <v>0</v>
      </c>
      <c r="AQ391" s="396" t="str">
        <f>IFERROR(VLOOKUP(Table_NFI[[#This Row],[Camp Name]],CL,2,0),"")</f>
        <v>MMR001CMP126</v>
      </c>
      <c r="AR391" s="702">
        <f ca="1">IF(Table_NFI[[#This Row],[Pcode]]="","",IF(OFFSET(CampList[Opening Date],MATCH(Table_NFI[[#This Row],[Pcode]],CampList[CP_Pcode],0)-1,0,1,1)&gt;=NFI_Monitor_Date,1,0))</f>
        <v>0</v>
      </c>
      <c r="AS391" s="396" t="str">
        <f>IFERROR(VLOOKUP(Table_NFI[[#This Row],[Camp Name]],CL,3,0),"")</f>
        <v>Open</v>
      </c>
      <c r="AT391" s="264" t="str">
        <f ca="1">IF(Table_NFI[[#This Row],[Pcode]]="","",OFFSET(CampList[Priority],MATCH(Table_NFI[[#This Row],[Pcode]],CampList[CP_Pcode],0)-1,0,1,1))</f>
        <v>P2</v>
      </c>
      <c r="AU391" s="263">
        <f>IFERROR(Table_NFI[[#This Row],[Kitchen Set]]/VLOOKUP(Table_NFI[[#This Row],[Camp Name]],CL,4,0),"")</f>
        <v>9.7560975609756097E-4</v>
      </c>
      <c r="AV391" s="390"/>
      <c r="AW391" s="392"/>
      <c r="AX391" s="399"/>
      <c r="AY391" s="399"/>
      <c r="AZ391" s="399"/>
      <c r="BA391" s="399"/>
      <c r="BB391" s="399"/>
      <c r="BC391" s="399"/>
      <c r="BD391" s="399"/>
      <c r="BE391" s="399"/>
      <c r="BF391" s="399"/>
      <c r="BG391" s="399"/>
      <c r="BH391" s="399"/>
      <c r="BI391" s="399"/>
      <c r="BJ391" s="399"/>
      <c r="BK391" s="399"/>
      <c r="BL391" s="399"/>
      <c r="BM391" s="399"/>
      <c r="BN391" s="399"/>
      <c r="BO391" s="399"/>
      <c r="BP391" s="399"/>
      <c r="BQ391" s="399"/>
      <c r="BR391" s="399"/>
      <c r="BS391" s="399"/>
      <c r="BT391" s="399"/>
      <c r="BU391" s="399"/>
      <c r="BV391" s="399"/>
      <c r="BW391" s="399"/>
      <c r="BX391" s="399"/>
      <c r="BY391" s="399"/>
      <c r="BZ391" s="399"/>
      <c r="CA391" s="399"/>
      <c r="CB391" s="399"/>
      <c r="CC391" s="399"/>
      <c r="CD391" s="399"/>
      <c r="CE391" s="399"/>
      <c r="CF391" s="399"/>
      <c r="CG391" s="399"/>
      <c r="CH391" s="399"/>
      <c r="CI391" s="399"/>
      <c r="CJ391" s="399"/>
      <c r="CK391" s="399"/>
      <c r="CL391" s="399"/>
      <c r="CM391" s="399"/>
      <c r="CN391" s="399"/>
      <c r="CO391" s="399"/>
      <c r="CP391" s="399"/>
      <c r="CQ391" s="399"/>
      <c r="CR391" s="399"/>
      <c r="CS391" s="399"/>
      <c r="CT391" s="399"/>
      <c r="CU391" s="399"/>
      <c r="CV391" s="399"/>
      <c r="CW391" s="399"/>
      <c r="CX391" s="399"/>
      <c r="CY391" s="399"/>
      <c r="CZ391" s="399"/>
      <c r="DA391" s="399"/>
      <c r="DB391" s="399"/>
      <c r="DC391" s="399"/>
      <c r="DD391" s="399"/>
      <c r="DE391" s="399"/>
      <c r="DF391" s="399"/>
      <c r="DG391" s="399"/>
      <c r="DH391" s="399"/>
      <c r="DI391" s="399"/>
      <c r="DJ391" s="399"/>
      <c r="DK391" s="399"/>
      <c r="DL391" s="399"/>
      <c r="DM391" s="399"/>
      <c r="DN391" s="399"/>
      <c r="DO391" s="399"/>
      <c r="DP391" s="399"/>
      <c r="DQ391" s="399"/>
    </row>
    <row r="392" spans="1:121" s="760" customFormat="1" ht="14.45" customHeight="1" x14ac:dyDescent="0.25">
      <c r="A392" s="266">
        <f t="shared" si="6"/>
        <v>33.266666666666666</v>
      </c>
      <c r="B392" s="389">
        <v>41858</v>
      </c>
      <c r="C392" s="390" t="s">
        <v>451</v>
      </c>
      <c r="D392" s="390" t="s">
        <v>504</v>
      </c>
      <c r="E392" s="390" t="s">
        <v>380</v>
      </c>
      <c r="F392" s="390" t="s">
        <v>27</v>
      </c>
      <c r="G392" s="390" t="s">
        <v>365</v>
      </c>
      <c r="H392" s="261"/>
      <c r="I392" s="261"/>
      <c r="J392" s="261">
        <v>50</v>
      </c>
      <c r="K392" s="261">
        <v>25</v>
      </c>
      <c r="L392" s="261">
        <v>50</v>
      </c>
      <c r="M392" s="261">
        <v>25</v>
      </c>
      <c r="N392" s="261"/>
      <c r="O392" s="261">
        <v>25</v>
      </c>
      <c r="P392" s="261">
        <v>125</v>
      </c>
      <c r="Q392" s="261"/>
      <c r="R392" s="261"/>
      <c r="S392" s="261"/>
      <c r="T392" s="261"/>
      <c r="U392" s="261"/>
      <c r="V392" s="762"/>
      <c r="W392" s="261"/>
      <c r="X392" s="261"/>
      <c r="Y392" s="264">
        <f>IF(NFI_Expiration=1,IF($A392&lt;VLOOKUP(H$5,NFI,5,0),1,0)*Table_NFI[[#This Row],[Hygiene Kit]],Table_NFI[Hygiene Kit])</f>
        <v>0</v>
      </c>
      <c r="Z392" s="264">
        <f>IF(NFI_Expiration=1,IF($A392&lt;VLOOKUP(I$5,NFI,5,0),1,0)*Table_NFI[[#This Row],[NFI Core Kit]],Table_NFI[NFI Core Kit])</f>
        <v>0</v>
      </c>
      <c r="AA392" s="264">
        <f>IF(NFI_Expiration=1,IF($A392&lt;VLOOKUP(J$5,NFI,5,0),1,0)*Table_NFI[[#This Row],[Sanitary Kit]],Table_NFI[Sanitary Kit])</f>
        <v>0</v>
      </c>
      <c r="AB392" s="264">
        <f>IF(NFI_Expiration=1,IF($A392&lt;VLOOKUP(K$5,NFI,5,0),1,0)*Table_NFI[[#This Row],[Mosquito net]],Table_NFI[Mosquito net])</f>
        <v>0</v>
      </c>
      <c r="AC392" s="264">
        <f>IF(NFI_Expiration=1,IF($A392&lt;VLOOKUP(L$5,NFI,5,0),1,0)*Table_NFI[[#This Row],[Tarpaulin]],Table_NFI[[#This Row],[Tarpaulin]])</f>
        <v>0</v>
      </c>
      <c r="AD392" s="264">
        <f>IF(NFI_Expiration=1,IF($A392&lt;VLOOKUP(M$5,NFI,5,0),1,0)*Table_NFI[[#This Row],[Blanket]],Table_NFI[[#This Row],[Blanket]])</f>
        <v>0</v>
      </c>
      <c r="AE392" s="264">
        <f>IF(NFI_Expiration=1,IF($A392&lt;VLOOKUP(N$5,NFI,5,0),1,0)*Table_NFI[[#This Row],[Kitchen Set]],Table_NFI[Kitchen Set])</f>
        <v>0</v>
      </c>
      <c r="AF392" s="264">
        <f>IF(NFI_Expiration=1,IF($A392&lt;VLOOKUP(O$5,NFI,5,0),1,0)*Table_NFI[[#This Row],[Clothes Kit]],Table_NFI[Clothes Kit])</f>
        <v>0</v>
      </c>
      <c r="AG392" s="264">
        <f>IF(NFI_Expiration=1,IF($A392&lt;VLOOKUP(P$5,NFI,5,0),1,0)*Table_NFI[[#This Row],[Plastic Bucket]],Table_NFI[Plastic Bucket])</f>
        <v>0</v>
      </c>
      <c r="AH392" s="264">
        <f>IF(NFI_Expiration=1,IF($A392&lt;VLOOKUP(Q$5,NFI,5,0),1,0)*Table_NFI[[#This Row],[Plastic Mat]],Table_NFI[Plastic Mat])*IF(Table_NFI[[#This Row],[Distribution Date]]&gt;"2014-04-01",1,2.5)</f>
        <v>0</v>
      </c>
      <c r="AI392" s="264">
        <f>IF(NFI_Expiration=1,IF($A392&lt;VLOOKUP(R$5,NFI,5,0),1,0)*Table_NFI[[#This Row],[Winter Clothes Adult]],Table_NFI[Winter Clothes Adult])</f>
        <v>0</v>
      </c>
      <c r="AJ392" s="264">
        <f>IF(NFI_Expiration=1,IF($A392&lt;VLOOKUP(S$5,NFI,5,0),1,0)*Table_NFI[[#This Row],[Winter Clothes Children]],Table_NFI[Winter Clothes Children])</f>
        <v>0</v>
      </c>
      <c r="AK392" s="264">
        <f>IF(NFI_Expiration=1,IF($A392&lt;VLOOKUP(T$5,NFI,5,0),1,0)*Table_NFI[[#This Row],[Winter Items Other]],Table_NFI[Winter Items Other])</f>
        <v>0</v>
      </c>
      <c r="AL392" s="264">
        <f>IF(NFI_Expiration=1,IF($A392&lt;VLOOKUP(M$5,NFI,5,0),1,0)*Table_NFI[[#This Row],[Winter Blanket]],Table_NFI[[#This Row],[Winter Blanket]])</f>
        <v>0</v>
      </c>
      <c r="AM392" s="264">
        <f>IF(Table_NFI[[#This Row],[Winter Clothes Adult]]+Table_NFI[[#This Row],[Winter Clothes Children]]+Table_NFI[[#This Row],[Winter Items Other]]+Table_NFI[[#This Row],[Winter Blanket]]&gt;0,1,0)</f>
        <v>0</v>
      </c>
      <c r="AN392" s="296">
        <f>IF(NFI_Expiration=1,IF($A392&lt;VLOOKUP(V$5,NFI,5,0),1,0)*Table_NFI[[#This Row],[Jerry Can]],Table_NFI[Jerry Can])</f>
        <v>0</v>
      </c>
      <c r="AO392" s="296">
        <f>IF(NFI_Expiration=1,IF($A392&lt;VLOOKUP(V$5,NFI,5,0),1,0)*Table_NFI[[#This Row],[Shelter Tool kit]],Table_NFI[Shelter Tool kit])</f>
        <v>0</v>
      </c>
      <c r="AP392" s="296">
        <f>IF(NFI_Expiration=1,IF($A392&lt;VLOOKUP(V$5,NFI,5,0),1,0)*Table_NFI[[#This Row],[Tent]],Table_NFI[Tent])</f>
        <v>0</v>
      </c>
      <c r="AQ392" s="396" t="str">
        <f>IFERROR(VLOOKUP(Table_NFI[[#This Row],[Camp Name]],CL,2,0),"")</f>
        <v>MMR001CMP195</v>
      </c>
      <c r="AR392" s="702">
        <f ca="1">IF(Table_NFI[[#This Row],[Pcode]]="","",IF(OFFSET(CampList[Opening Date],MATCH(Table_NFI[[#This Row],[Pcode]],CampList[CP_Pcode],0)-1,0,1,1)&gt;=NFI_Monitor_Date,1,0))</f>
        <v>0</v>
      </c>
      <c r="AS392" s="396" t="str">
        <f>IFERROR(VLOOKUP(Table_NFI[[#This Row],[Camp Name]],CL,3,0),"")</f>
        <v>Open</v>
      </c>
      <c r="AT392" s="264" t="str">
        <f ca="1">IF(Table_NFI[[#This Row],[Pcode]]="","",OFFSET(CampList[Priority],MATCH(Table_NFI[[#This Row],[Pcode]],CampList[CP_Pcode],0)-1,0,1,1))</f>
        <v>P1</v>
      </c>
      <c r="AU392" s="263">
        <f>IFERROR(Table_NFI[[#This Row],[Kitchen Set]]/VLOOKUP(Table_NFI[[#This Row],[Camp Name]],CL,4,0),"")</f>
        <v>0</v>
      </c>
      <c r="AV392" s="390"/>
      <c r="AW392" s="392"/>
      <c r="AX392" s="399"/>
      <c r="AY392" s="399"/>
      <c r="AZ392" s="399"/>
      <c r="BA392" s="399"/>
      <c r="BB392" s="399"/>
      <c r="BC392" s="399"/>
      <c r="BD392" s="399"/>
      <c r="BE392" s="399"/>
      <c r="BF392" s="399"/>
      <c r="BG392" s="399"/>
      <c r="BH392" s="399"/>
      <c r="BI392" s="399"/>
      <c r="BJ392" s="399"/>
      <c r="BK392" s="399"/>
      <c r="BL392" s="399"/>
      <c r="BM392" s="399"/>
      <c r="BN392" s="399"/>
      <c r="BO392" s="399"/>
      <c r="BP392" s="399"/>
      <c r="BQ392" s="399"/>
      <c r="BR392" s="399"/>
      <c r="BS392" s="399"/>
      <c r="BT392" s="399"/>
      <c r="BU392" s="399"/>
      <c r="BV392" s="399"/>
      <c r="BW392" s="399"/>
      <c r="BX392" s="399"/>
      <c r="BY392" s="399"/>
      <c r="BZ392" s="399"/>
      <c r="CA392" s="399"/>
      <c r="CB392" s="399"/>
      <c r="CC392" s="399"/>
      <c r="CD392" s="399"/>
      <c r="CE392" s="399"/>
      <c r="CF392" s="399"/>
      <c r="CG392" s="399"/>
      <c r="CH392" s="399"/>
      <c r="CI392" s="399"/>
      <c r="CJ392" s="399"/>
      <c r="CK392" s="399"/>
      <c r="CL392" s="399"/>
      <c r="CM392" s="399"/>
      <c r="CN392" s="399"/>
      <c r="CO392" s="399"/>
      <c r="CP392" s="399"/>
      <c r="CQ392" s="399"/>
      <c r="CR392" s="399"/>
      <c r="CS392" s="399"/>
      <c r="CT392" s="399"/>
      <c r="CU392" s="399"/>
      <c r="CV392" s="399"/>
      <c r="CW392" s="399"/>
      <c r="CX392" s="399"/>
      <c r="CY392" s="399"/>
      <c r="CZ392" s="399"/>
      <c r="DA392" s="399"/>
      <c r="DB392" s="399"/>
      <c r="DC392" s="399"/>
      <c r="DD392" s="399"/>
      <c r="DE392" s="399"/>
      <c r="DF392" s="399"/>
      <c r="DG392" s="399"/>
      <c r="DH392" s="399"/>
      <c r="DI392" s="399"/>
      <c r="DJ392" s="399"/>
      <c r="DK392" s="399"/>
      <c r="DL392" s="399"/>
      <c r="DM392" s="399"/>
      <c r="DN392" s="399"/>
      <c r="DO392" s="399"/>
      <c r="DP392" s="399"/>
      <c r="DQ392" s="399"/>
    </row>
    <row r="393" spans="1:121" s="760" customFormat="1" ht="14.45" customHeight="1" x14ac:dyDescent="0.25">
      <c r="A393" s="266">
        <f t="shared" si="6"/>
        <v>33.266666666666666</v>
      </c>
      <c r="B393" s="389">
        <v>41858</v>
      </c>
      <c r="C393" s="390" t="s">
        <v>451</v>
      </c>
      <c r="D393" s="390" t="s">
        <v>504</v>
      </c>
      <c r="E393" s="390" t="s">
        <v>380</v>
      </c>
      <c r="F393" s="390" t="s">
        <v>310</v>
      </c>
      <c r="G393" s="390" t="s">
        <v>318</v>
      </c>
      <c r="H393" s="261"/>
      <c r="I393" s="261"/>
      <c r="J393" s="261">
        <v>24</v>
      </c>
      <c r="K393" s="261">
        <v>12</v>
      </c>
      <c r="L393" s="261">
        <v>24</v>
      </c>
      <c r="M393" s="261">
        <v>12</v>
      </c>
      <c r="N393" s="261"/>
      <c r="O393" s="261">
        <v>12</v>
      </c>
      <c r="P393" s="261">
        <v>60</v>
      </c>
      <c r="Q393" s="261"/>
      <c r="R393" s="261"/>
      <c r="S393" s="261"/>
      <c r="T393" s="261"/>
      <c r="U393" s="261"/>
      <c r="V393" s="762"/>
      <c r="W393" s="261"/>
      <c r="X393" s="261"/>
      <c r="Y393" s="264">
        <f>IF(NFI_Expiration=1,IF($A393&lt;VLOOKUP(H$5,NFI,5,0),1,0)*Table_NFI[[#This Row],[Hygiene Kit]],Table_NFI[Hygiene Kit])</f>
        <v>0</v>
      </c>
      <c r="Z393" s="264">
        <f>IF(NFI_Expiration=1,IF($A393&lt;VLOOKUP(I$5,NFI,5,0),1,0)*Table_NFI[[#This Row],[NFI Core Kit]],Table_NFI[NFI Core Kit])</f>
        <v>0</v>
      </c>
      <c r="AA393" s="264">
        <f>IF(NFI_Expiration=1,IF($A393&lt;VLOOKUP(J$5,NFI,5,0),1,0)*Table_NFI[[#This Row],[Sanitary Kit]],Table_NFI[Sanitary Kit])</f>
        <v>0</v>
      </c>
      <c r="AB393" s="264">
        <f>IF(NFI_Expiration=1,IF($A393&lt;VLOOKUP(K$5,NFI,5,0),1,0)*Table_NFI[[#This Row],[Mosquito net]],Table_NFI[Mosquito net])</f>
        <v>0</v>
      </c>
      <c r="AC393" s="264">
        <f>IF(NFI_Expiration=1,IF($A393&lt;VLOOKUP(L$5,NFI,5,0),1,0)*Table_NFI[[#This Row],[Tarpaulin]],Table_NFI[[#This Row],[Tarpaulin]])</f>
        <v>0</v>
      </c>
      <c r="AD393" s="264">
        <f>IF(NFI_Expiration=1,IF($A393&lt;VLOOKUP(M$5,NFI,5,0),1,0)*Table_NFI[[#This Row],[Blanket]],Table_NFI[[#This Row],[Blanket]])</f>
        <v>0</v>
      </c>
      <c r="AE393" s="264">
        <f>IF(NFI_Expiration=1,IF($A393&lt;VLOOKUP(N$5,NFI,5,0),1,0)*Table_NFI[[#This Row],[Kitchen Set]],Table_NFI[Kitchen Set])</f>
        <v>0</v>
      </c>
      <c r="AF393" s="264">
        <f>IF(NFI_Expiration=1,IF($A393&lt;VLOOKUP(O$5,NFI,5,0),1,0)*Table_NFI[[#This Row],[Clothes Kit]],Table_NFI[Clothes Kit])</f>
        <v>0</v>
      </c>
      <c r="AG393" s="264">
        <f>IF(NFI_Expiration=1,IF($A393&lt;VLOOKUP(P$5,NFI,5,0),1,0)*Table_NFI[[#This Row],[Plastic Bucket]],Table_NFI[Plastic Bucket])</f>
        <v>0</v>
      </c>
      <c r="AH393" s="264">
        <f>IF(NFI_Expiration=1,IF($A393&lt;VLOOKUP(Q$5,NFI,5,0),1,0)*Table_NFI[[#This Row],[Plastic Mat]],Table_NFI[Plastic Mat])*IF(Table_NFI[[#This Row],[Distribution Date]]&gt;"2014-04-01",1,2.5)</f>
        <v>0</v>
      </c>
      <c r="AI393" s="264">
        <f>IF(NFI_Expiration=1,IF($A393&lt;VLOOKUP(R$5,NFI,5,0),1,0)*Table_NFI[[#This Row],[Winter Clothes Adult]],Table_NFI[Winter Clothes Adult])</f>
        <v>0</v>
      </c>
      <c r="AJ393" s="264">
        <f>IF(NFI_Expiration=1,IF($A393&lt;VLOOKUP(S$5,NFI,5,0),1,0)*Table_NFI[[#This Row],[Winter Clothes Children]],Table_NFI[Winter Clothes Children])</f>
        <v>0</v>
      </c>
      <c r="AK393" s="264">
        <f>IF(NFI_Expiration=1,IF($A393&lt;VLOOKUP(T$5,NFI,5,0),1,0)*Table_NFI[[#This Row],[Winter Items Other]],Table_NFI[Winter Items Other])</f>
        <v>0</v>
      </c>
      <c r="AL393" s="264">
        <f>IF(NFI_Expiration=1,IF($A393&lt;VLOOKUP(M$5,NFI,5,0),1,0)*Table_NFI[[#This Row],[Winter Blanket]],Table_NFI[[#This Row],[Winter Blanket]])</f>
        <v>0</v>
      </c>
      <c r="AM393" s="264">
        <f>IF(Table_NFI[[#This Row],[Winter Clothes Adult]]+Table_NFI[[#This Row],[Winter Clothes Children]]+Table_NFI[[#This Row],[Winter Items Other]]+Table_NFI[[#This Row],[Winter Blanket]]&gt;0,1,0)</f>
        <v>0</v>
      </c>
      <c r="AN393" s="296">
        <f>IF(NFI_Expiration=1,IF($A393&lt;VLOOKUP(V$5,NFI,5,0),1,0)*Table_NFI[[#This Row],[Jerry Can]],Table_NFI[Jerry Can])</f>
        <v>0</v>
      </c>
      <c r="AO393" s="296">
        <f>IF(NFI_Expiration=1,IF($A393&lt;VLOOKUP(V$5,NFI,5,0),1,0)*Table_NFI[[#This Row],[Shelter Tool kit]],Table_NFI[Shelter Tool kit])</f>
        <v>0</v>
      </c>
      <c r="AP393" s="296">
        <f>IF(NFI_Expiration=1,IF($A393&lt;VLOOKUP(V$5,NFI,5,0),1,0)*Table_NFI[[#This Row],[Tent]],Table_NFI[Tent])</f>
        <v>0</v>
      </c>
      <c r="AQ393" s="396" t="str">
        <f>IFERROR(VLOOKUP(Table_NFI[[#This Row],[Camp Name]],CL,2,0),"")</f>
        <v>MMR001CMP032</v>
      </c>
      <c r="AR393" s="702">
        <f ca="1">IF(Table_NFI[[#This Row],[Pcode]]="","",IF(OFFSET(CampList[Opening Date],MATCH(Table_NFI[[#This Row],[Pcode]],CampList[CP_Pcode],0)-1,0,1,1)&gt;=NFI_Monitor_Date,1,0))</f>
        <v>0</v>
      </c>
      <c r="AS393" s="396" t="str">
        <f>IFERROR(VLOOKUP(Table_NFI[[#This Row],[Camp Name]],CL,3,0),"")</f>
        <v>Open</v>
      </c>
      <c r="AT393" s="264" t="str">
        <f ca="1">IF(Table_NFI[[#This Row],[Pcode]]="","",OFFSET(CampList[Priority],MATCH(Table_NFI[[#This Row],[Pcode]],CampList[CP_Pcode],0)-1,0,1,1))</f>
        <v>P4</v>
      </c>
      <c r="AU393" s="263">
        <f>IFERROR(Table_NFI[[#This Row],[Kitchen Set]]/VLOOKUP(Table_NFI[[#This Row],[Camp Name]],CL,4,0),"")</f>
        <v>0</v>
      </c>
      <c r="AV393" s="390"/>
      <c r="AW393" s="392"/>
      <c r="AX393" s="399"/>
      <c r="AY393" s="399"/>
      <c r="AZ393" s="399"/>
      <c r="BA393" s="399"/>
      <c r="BB393" s="399"/>
      <c r="BC393" s="399"/>
      <c r="BD393" s="399"/>
      <c r="BE393" s="399"/>
      <c r="BF393" s="399"/>
      <c r="BG393" s="399"/>
      <c r="BH393" s="399"/>
      <c r="BI393" s="399"/>
      <c r="BJ393" s="399"/>
      <c r="BK393" s="399"/>
      <c r="BL393" s="399"/>
      <c r="BM393" s="399"/>
      <c r="BN393" s="399"/>
      <c r="BO393" s="399"/>
      <c r="BP393" s="399"/>
      <c r="BQ393" s="399"/>
      <c r="BR393" s="399"/>
      <c r="BS393" s="399"/>
      <c r="BT393" s="399"/>
      <c r="BU393" s="399"/>
      <c r="BV393" s="399"/>
      <c r="BW393" s="399"/>
      <c r="BX393" s="399"/>
      <c r="BY393" s="399"/>
      <c r="BZ393" s="399"/>
      <c r="CA393" s="399"/>
      <c r="CB393" s="399"/>
      <c r="CC393" s="399"/>
      <c r="CD393" s="399"/>
      <c r="CE393" s="399"/>
      <c r="CF393" s="399"/>
      <c r="CG393" s="399"/>
      <c r="CH393" s="399"/>
      <c r="CI393" s="399"/>
      <c r="CJ393" s="399"/>
      <c r="CK393" s="399"/>
      <c r="CL393" s="399"/>
      <c r="CM393" s="399"/>
      <c r="CN393" s="399"/>
      <c r="CO393" s="399"/>
      <c r="CP393" s="399"/>
      <c r="CQ393" s="399"/>
      <c r="CR393" s="399"/>
      <c r="CS393" s="399"/>
      <c r="CT393" s="399"/>
      <c r="CU393" s="399"/>
      <c r="CV393" s="399"/>
      <c r="CW393" s="399"/>
      <c r="CX393" s="399"/>
      <c r="CY393" s="399"/>
      <c r="CZ393" s="399"/>
      <c r="DA393" s="399"/>
      <c r="DB393" s="399"/>
      <c r="DC393" s="399"/>
      <c r="DD393" s="399"/>
      <c r="DE393" s="399"/>
      <c r="DF393" s="399"/>
      <c r="DG393" s="399"/>
      <c r="DH393" s="399"/>
      <c r="DI393" s="399"/>
      <c r="DJ393" s="399"/>
      <c r="DK393" s="399"/>
      <c r="DL393" s="399"/>
      <c r="DM393" s="399"/>
      <c r="DN393" s="399"/>
      <c r="DO393" s="399"/>
      <c r="DP393" s="399"/>
      <c r="DQ393" s="399"/>
    </row>
    <row r="394" spans="1:121" s="760" customFormat="1" ht="14.45" customHeight="1" x14ac:dyDescent="0.25">
      <c r="A394" s="266">
        <f t="shared" si="6"/>
        <v>33.366666666666667</v>
      </c>
      <c r="B394" s="389">
        <v>41855</v>
      </c>
      <c r="C394" s="390" t="s">
        <v>451</v>
      </c>
      <c r="D394" s="390"/>
      <c r="E394" s="390" t="s">
        <v>380</v>
      </c>
      <c r="F394" s="390" t="s">
        <v>185</v>
      </c>
      <c r="G394" s="390" t="s">
        <v>223</v>
      </c>
      <c r="H394" s="261"/>
      <c r="I394" s="261"/>
      <c r="J394" s="261"/>
      <c r="K394" s="261"/>
      <c r="L394" s="261">
        <v>116</v>
      </c>
      <c r="M394" s="261"/>
      <c r="N394" s="261"/>
      <c r="O394" s="261"/>
      <c r="P394" s="261"/>
      <c r="Q394" s="261"/>
      <c r="R394" s="261"/>
      <c r="S394" s="261"/>
      <c r="T394" s="261"/>
      <c r="U394" s="261"/>
      <c r="V394" s="762"/>
      <c r="W394" s="261"/>
      <c r="X394" s="261"/>
      <c r="Y394" s="264">
        <f>IF(NFI_Expiration=1,IF($A394&lt;VLOOKUP(H$5,NFI,5,0),1,0)*Table_NFI[[#This Row],[Hygiene Kit]],Table_NFI[Hygiene Kit])</f>
        <v>0</v>
      </c>
      <c r="Z394" s="264">
        <f>IF(NFI_Expiration=1,IF($A394&lt;VLOOKUP(I$5,NFI,5,0),1,0)*Table_NFI[[#This Row],[NFI Core Kit]],Table_NFI[NFI Core Kit])</f>
        <v>0</v>
      </c>
      <c r="AA394" s="264">
        <f>IF(NFI_Expiration=1,IF($A394&lt;VLOOKUP(J$5,NFI,5,0),1,0)*Table_NFI[[#This Row],[Sanitary Kit]],Table_NFI[Sanitary Kit])</f>
        <v>0</v>
      </c>
      <c r="AB394" s="264">
        <f>IF(NFI_Expiration=1,IF($A394&lt;VLOOKUP(K$5,NFI,5,0),1,0)*Table_NFI[[#This Row],[Mosquito net]],Table_NFI[Mosquito net])</f>
        <v>0</v>
      </c>
      <c r="AC394" s="264">
        <f>IF(NFI_Expiration=1,IF($A394&lt;VLOOKUP(L$5,NFI,5,0),1,0)*Table_NFI[[#This Row],[Tarpaulin]],Table_NFI[[#This Row],[Tarpaulin]])</f>
        <v>0</v>
      </c>
      <c r="AD394" s="264">
        <f>IF(NFI_Expiration=1,IF($A394&lt;VLOOKUP(M$5,NFI,5,0),1,0)*Table_NFI[[#This Row],[Blanket]],Table_NFI[[#This Row],[Blanket]])</f>
        <v>0</v>
      </c>
      <c r="AE394" s="264">
        <f>IF(NFI_Expiration=1,IF($A394&lt;VLOOKUP(N$5,NFI,5,0),1,0)*Table_NFI[[#This Row],[Kitchen Set]],Table_NFI[Kitchen Set])</f>
        <v>0</v>
      </c>
      <c r="AF394" s="264">
        <f>IF(NFI_Expiration=1,IF($A394&lt;VLOOKUP(O$5,NFI,5,0),1,0)*Table_NFI[[#This Row],[Clothes Kit]],Table_NFI[Clothes Kit])</f>
        <v>0</v>
      </c>
      <c r="AG394" s="264">
        <f>IF(NFI_Expiration=1,IF($A394&lt;VLOOKUP(P$5,NFI,5,0),1,0)*Table_NFI[[#This Row],[Plastic Bucket]],Table_NFI[Plastic Bucket])</f>
        <v>0</v>
      </c>
      <c r="AH394" s="264">
        <f>IF(NFI_Expiration=1,IF($A394&lt;VLOOKUP(Q$5,NFI,5,0),1,0)*Table_NFI[[#This Row],[Plastic Mat]],Table_NFI[Plastic Mat])*IF(Table_NFI[[#This Row],[Distribution Date]]&gt;"2014-04-01",1,2.5)</f>
        <v>0</v>
      </c>
      <c r="AI394" s="264">
        <f>IF(NFI_Expiration=1,IF($A394&lt;VLOOKUP(R$5,NFI,5,0),1,0)*Table_NFI[[#This Row],[Winter Clothes Adult]],Table_NFI[Winter Clothes Adult])</f>
        <v>0</v>
      </c>
      <c r="AJ394" s="264">
        <f>IF(NFI_Expiration=1,IF($A394&lt;VLOOKUP(S$5,NFI,5,0),1,0)*Table_NFI[[#This Row],[Winter Clothes Children]],Table_NFI[Winter Clothes Children])</f>
        <v>0</v>
      </c>
      <c r="AK394" s="264">
        <f>IF(NFI_Expiration=1,IF($A394&lt;VLOOKUP(T$5,NFI,5,0),1,0)*Table_NFI[[#This Row],[Winter Items Other]],Table_NFI[Winter Items Other])</f>
        <v>0</v>
      </c>
      <c r="AL394" s="264">
        <f>IF(NFI_Expiration=1,IF($A394&lt;VLOOKUP(M$5,NFI,5,0),1,0)*Table_NFI[[#This Row],[Winter Blanket]],Table_NFI[[#This Row],[Winter Blanket]])</f>
        <v>0</v>
      </c>
      <c r="AM394" s="264">
        <f>IF(Table_NFI[[#This Row],[Winter Clothes Adult]]+Table_NFI[[#This Row],[Winter Clothes Children]]+Table_NFI[[#This Row],[Winter Items Other]]+Table_NFI[[#This Row],[Winter Blanket]]&gt;0,1,0)</f>
        <v>0</v>
      </c>
      <c r="AN394" s="296">
        <f>IF(NFI_Expiration=1,IF($A394&lt;VLOOKUP(V$5,NFI,5,0),1,0)*Table_NFI[[#This Row],[Jerry Can]],Table_NFI[Jerry Can])</f>
        <v>0</v>
      </c>
      <c r="AO394" s="296">
        <f>IF(NFI_Expiration=1,IF($A394&lt;VLOOKUP(V$5,NFI,5,0),1,0)*Table_NFI[[#This Row],[Shelter Tool kit]],Table_NFI[Shelter Tool kit])</f>
        <v>0</v>
      </c>
      <c r="AP394" s="296">
        <f>IF(NFI_Expiration=1,IF($A394&lt;VLOOKUP(V$5,NFI,5,0),1,0)*Table_NFI[[#This Row],[Tent]],Table_NFI[Tent])</f>
        <v>0</v>
      </c>
      <c r="AQ394" s="396" t="str">
        <f>IFERROR(VLOOKUP(Table_NFI[[#This Row],[Camp Name]],CL,2,0),"")</f>
        <v>MMR001CMP069</v>
      </c>
      <c r="AR394" s="702">
        <f ca="1">IF(Table_NFI[[#This Row],[Pcode]]="","",IF(OFFSET(CampList[Opening Date],MATCH(Table_NFI[[#This Row],[Pcode]],CampList[CP_Pcode],0)-1,0,1,1)&gt;=NFI_Monitor_Date,1,0))</f>
        <v>0</v>
      </c>
      <c r="AS394" s="396" t="str">
        <f>IFERROR(VLOOKUP(Table_NFI[[#This Row],[Camp Name]],CL,3,0),"")</f>
        <v>Open</v>
      </c>
      <c r="AT394" s="264" t="str">
        <f ca="1">IF(Table_NFI[[#This Row],[Pcode]]="","",OFFSET(CampList[Priority],MATCH(Table_NFI[[#This Row],[Pcode]],CampList[CP_Pcode],0)-1,0,1,1))</f>
        <v>P3</v>
      </c>
      <c r="AU394" s="263">
        <f>IFERROR(Table_NFI[[#This Row],[Kitchen Set]]/VLOOKUP(Table_NFI[[#This Row],[Camp Name]],CL,4,0),"")</f>
        <v>0</v>
      </c>
      <c r="AV394" s="390"/>
      <c r="AW394" s="392"/>
      <c r="AX394" s="399"/>
      <c r="AY394" s="399"/>
      <c r="AZ394" s="399"/>
      <c r="BA394" s="399"/>
      <c r="BB394" s="399"/>
      <c r="BC394" s="399"/>
      <c r="BD394" s="399"/>
      <c r="BE394" s="399"/>
      <c r="BF394" s="399"/>
      <c r="BG394" s="399"/>
      <c r="BH394" s="399"/>
      <c r="BI394" s="399"/>
      <c r="BJ394" s="399"/>
      <c r="BK394" s="399"/>
      <c r="BL394" s="399"/>
      <c r="BM394" s="399"/>
      <c r="BN394" s="399"/>
      <c r="BO394" s="399"/>
      <c r="BP394" s="399"/>
      <c r="BQ394" s="399"/>
      <c r="BR394" s="399"/>
      <c r="BS394" s="399"/>
      <c r="BT394" s="399"/>
      <c r="BU394" s="399"/>
      <c r="BV394" s="399"/>
      <c r="BW394" s="399"/>
      <c r="BX394" s="399"/>
      <c r="BY394" s="399"/>
      <c r="BZ394" s="399"/>
      <c r="CA394" s="399"/>
      <c r="CB394" s="399"/>
      <c r="CC394" s="399"/>
      <c r="CD394" s="399"/>
      <c r="CE394" s="399"/>
      <c r="CF394" s="399"/>
      <c r="CG394" s="399"/>
      <c r="CH394" s="399"/>
      <c r="CI394" s="399"/>
      <c r="CJ394" s="399"/>
      <c r="CK394" s="399"/>
      <c r="CL394" s="399"/>
      <c r="CM394" s="399"/>
      <c r="CN394" s="399"/>
      <c r="CO394" s="399"/>
      <c r="CP394" s="399"/>
      <c r="CQ394" s="399"/>
      <c r="CR394" s="399"/>
      <c r="CS394" s="399"/>
      <c r="CT394" s="399"/>
      <c r="CU394" s="399"/>
      <c r="CV394" s="399"/>
      <c r="CW394" s="399"/>
      <c r="CX394" s="399"/>
      <c r="CY394" s="399"/>
      <c r="CZ394" s="399"/>
      <c r="DA394" s="399"/>
      <c r="DB394" s="399"/>
      <c r="DC394" s="399"/>
      <c r="DD394" s="399"/>
      <c r="DE394" s="399"/>
      <c r="DF394" s="399"/>
      <c r="DG394" s="399"/>
      <c r="DH394" s="399"/>
      <c r="DI394" s="399"/>
      <c r="DJ394" s="399"/>
      <c r="DK394" s="399"/>
      <c r="DL394" s="399"/>
      <c r="DM394" s="399"/>
      <c r="DN394" s="399"/>
      <c r="DO394" s="399"/>
      <c r="DP394" s="399"/>
      <c r="DQ394" s="399"/>
    </row>
    <row r="395" spans="1:121" s="760" customFormat="1" ht="15" customHeight="1" x14ac:dyDescent="0.25">
      <c r="A395" s="266">
        <f t="shared" si="6"/>
        <v>33.366666666666667</v>
      </c>
      <c r="B395" s="389">
        <v>41855</v>
      </c>
      <c r="C395" s="390" t="s">
        <v>451</v>
      </c>
      <c r="D395" s="390"/>
      <c r="E395" s="390" t="s">
        <v>380</v>
      </c>
      <c r="F395" s="390" t="s">
        <v>185</v>
      </c>
      <c r="G395" s="390" t="s">
        <v>190</v>
      </c>
      <c r="H395" s="261"/>
      <c r="I395" s="261"/>
      <c r="J395" s="261"/>
      <c r="K395" s="261">
        <v>84</v>
      </c>
      <c r="L395" s="261">
        <v>36</v>
      </c>
      <c r="M395" s="261">
        <v>84</v>
      </c>
      <c r="N395" s="261">
        <v>36</v>
      </c>
      <c r="O395" s="261"/>
      <c r="P395" s="261">
        <v>36</v>
      </c>
      <c r="Q395" s="261">
        <v>180</v>
      </c>
      <c r="R395" s="261"/>
      <c r="S395" s="261"/>
      <c r="T395" s="261"/>
      <c r="U395" s="261"/>
      <c r="V395" s="762"/>
      <c r="W395" s="261"/>
      <c r="X395" s="261"/>
      <c r="Y395" s="264">
        <f>IF(NFI_Expiration=1,IF($A395&lt;VLOOKUP(H$5,NFI,5,0),1,0)*Table_NFI[[#This Row],[Hygiene Kit]],Table_NFI[Hygiene Kit])</f>
        <v>0</v>
      </c>
      <c r="Z395" s="264">
        <f>IF(NFI_Expiration=1,IF($A395&lt;VLOOKUP(I$5,NFI,5,0),1,0)*Table_NFI[[#This Row],[NFI Core Kit]],Table_NFI[NFI Core Kit])</f>
        <v>0</v>
      </c>
      <c r="AA395" s="264">
        <f>IF(NFI_Expiration=1,IF($A395&lt;VLOOKUP(J$5,NFI,5,0),1,0)*Table_NFI[[#This Row],[Sanitary Kit]],Table_NFI[Sanitary Kit])</f>
        <v>0</v>
      </c>
      <c r="AB395" s="264">
        <f>IF(NFI_Expiration=1,IF($A395&lt;VLOOKUP(K$5,NFI,5,0),1,0)*Table_NFI[[#This Row],[Mosquito net]],Table_NFI[Mosquito net])</f>
        <v>0</v>
      </c>
      <c r="AC395" s="264">
        <f>IF(NFI_Expiration=1,IF($A395&lt;VLOOKUP(L$5,NFI,5,0),1,0)*Table_NFI[[#This Row],[Tarpaulin]],Table_NFI[[#This Row],[Tarpaulin]])</f>
        <v>0</v>
      </c>
      <c r="AD395" s="264">
        <f>IF(NFI_Expiration=1,IF($A395&lt;VLOOKUP(M$5,NFI,5,0),1,0)*Table_NFI[[#This Row],[Blanket]],Table_NFI[[#This Row],[Blanket]])</f>
        <v>0</v>
      </c>
      <c r="AE395" s="264">
        <f>IF(NFI_Expiration=1,IF($A395&lt;VLOOKUP(N$5,NFI,5,0),1,0)*Table_NFI[[#This Row],[Kitchen Set]],Table_NFI[Kitchen Set])</f>
        <v>0</v>
      </c>
      <c r="AF395" s="264">
        <f>IF(NFI_Expiration=1,IF($A395&lt;VLOOKUP(O$5,NFI,5,0),1,0)*Table_NFI[[#This Row],[Clothes Kit]],Table_NFI[Clothes Kit])</f>
        <v>0</v>
      </c>
      <c r="AG395" s="264">
        <f>IF(NFI_Expiration=1,IF($A395&lt;VLOOKUP(P$5,NFI,5,0),1,0)*Table_NFI[[#This Row],[Plastic Bucket]],Table_NFI[Plastic Bucket])</f>
        <v>0</v>
      </c>
      <c r="AH395" s="264">
        <f>IF(NFI_Expiration=1,IF($A395&lt;VLOOKUP(Q$5,NFI,5,0),1,0)*Table_NFI[[#This Row],[Plastic Mat]],Table_NFI[Plastic Mat])*IF(Table_NFI[[#This Row],[Distribution Date]]&gt;"2014-04-01",1,2.5)</f>
        <v>0</v>
      </c>
      <c r="AI395" s="264">
        <f>IF(NFI_Expiration=1,IF($A395&lt;VLOOKUP(R$5,NFI,5,0),1,0)*Table_NFI[[#This Row],[Winter Clothes Adult]],Table_NFI[Winter Clothes Adult])</f>
        <v>0</v>
      </c>
      <c r="AJ395" s="264">
        <f>IF(NFI_Expiration=1,IF($A395&lt;VLOOKUP(S$5,NFI,5,0),1,0)*Table_NFI[[#This Row],[Winter Clothes Children]],Table_NFI[Winter Clothes Children])</f>
        <v>0</v>
      </c>
      <c r="AK395" s="264">
        <f>IF(NFI_Expiration=1,IF($A395&lt;VLOOKUP(T$5,NFI,5,0),1,0)*Table_NFI[[#This Row],[Winter Items Other]],Table_NFI[Winter Items Other])</f>
        <v>0</v>
      </c>
      <c r="AL395" s="264">
        <f>IF(NFI_Expiration=1,IF($A395&lt;VLOOKUP(M$5,NFI,5,0),1,0)*Table_NFI[[#This Row],[Winter Blanket]],Table_NFI[[#This Row],[Winter Blanket]])</f>
        <v>0</v>
      </c>
      <c r="AM395" s="264">
        <f>IF(Table_NFI[[#This Row],[Winter Clothes Adult]]+Table_NFI[[#This Row],[Winter Clothes Children]]+Table_NFI[[#This Row],[Winter Items Other]]+Table_NFI[[#This Row],[Winter Blanket]]&gt;0,1,0)</f>
        <v>0</v>
      </c>
      <c r="AN395" s="296">
        <f>IF(NFI_Expiration=1,IF($A395&lt;VLOOKUP(V$5,NFI,5,0),1,0)*Table_NFI[[#This Row],[Jerry Can]],Table_NFI[Jerry Can])</f>
        <v>0</v>
      </c>
      <c r="AO395" s="296">
        <f>IF(NFI_Expiration=1,IF($A395&lt;VLOOKUP(V$5,NFI,5,0),1,0)*Table_NFI[[#This Row],[Shelter Tool kit]],Table_NFI[Shelter Tool kit])</f>
        <v>0</v>
      </c>
      <c r="AP395" s="296">
        <f>IF(NFI_Expiration=1,IF($A395&lt;VLOOKUP(V$5,NFI,5,0),1,0)*Table_NFI[[#This Row],[Tent]],Table_NFI[Tent])</f>
        <v>0</v>
      </c>
      <c r="AQ395" s="396" t="str">
        <f>IFERROR(VLOOKUP(Table_NFI[[#This Row],[Camp Name]],CL,2,0),"")</f>
        <v>MMR001CMP070</v>
      </c>
      <c r="AR395" s="702">
        <f ca="1">IF(Table_NFI[[#This Row],[Pcode]]="","",IF(OFFSET(CampList[Opening Date],MATCH(Table_NFI[[#This Row],[Pcode]],CampList[CP_Pcode],0)-1,0,1,1)&gt;=NFI_Monitor_Date,1,0))</f>
        <v>0</v>
      </c>
      <c r="AS395" s="396" t="str">
        <f>IFERROR(VLOOKUP(Table_NFI[[#This Row],[Camp Name]],CL,3,0),"")</f>
        <v>Open</v>
      </c>
      <c r="AT395" s="264" t="str">
        <f ca="1">IF(Table_NFI[[#This Row],[Pcode]]="","",OFFSET(CampList[Priority],MATCH(Table_NFI[[#This Row],[Pcode]],CampList[CP_Pcode],0)-1,0,1,1))</f>
        <v>P3</v>
      </c>
      <c r="AU395" s="263">
        <f>IFERROR(Table_NFI[[#This Row],[Kitchen Set]]/VLOOKUP(Table_NFI[[#This Row],[Camp Name]],CL,4,0),"")</f>
        <v>8.780487804878049E-4</v>
      </c>
      <c r="AV395" s="390"/>
      <c r="AW395" s="392"/>
      <c r="AX395" s="399"/>
      <c r="AY395" s="399"/>
      <c r="AZ395" s="399"/>
      <c r="BA395" s="399"/>
      <c r="BB395" s="399"/>
      <c r="BC395" s="399"/>
      <c r="BD395" s="399"/>
      <c r="BE395" s="399"/>
      <c r="BF395" s="399"/>
      <c r="BG395" s="399"/>
      <c r="BH395" s="399"/>
      <c r="BI395" s="399"/>
      <c r="BJ395" s="399"/>
      <c r="BK395" s="399"/>
      <c r="BL395" s="399"/>
      <c r="BM395" s="399"/>
      <c r="BN395" s="399"/>
      <c r="BO395" s="399"/>
      <c r="BP395" s="399"/>
      <c r="BQ395" s="399"/>
      <c r="BR395" s="399"/>
      <c r="BS395" s="399"/>
      <c r="BT395" s="399"/>
      <c r="BU395" s="399"/>
      <c r="BV395" s="399"/>
      <c r="BW395" s="399"/>
      <c r="BX395" s="399"/>
      <c r="BY395" s="399"/>
      <c r="BZ395" s="399"/>
      <c r="CA395" s="399"/>
      <c r="CB395" s="399"/>
      <c r="CC395" s="399"/>
      <c r="CD395" s="399"/>
      <c r="CE395" s="399"/>
      <c r="CF395" s="399"/>
      <c r="CG395" s="399"/>
      <c r="CH395" s="399"/>
      <c r="CI395" s="399"/>
      <c r="CJ395" s="399"/>
      <c r="CK395" s="399"/>
      <c r="CL395" s="399"/>
      <c r="CM395" s="399"/>
      <c r="CN395" s="399"/>
      <c r="CO395" s="399"/>
      <c r="CP395" s="399"/>
      <c r="CQ395" s="399"/>
      <c r="CR395" s="399"/>
      <c r="CS395" s="399"/>
      <c r="CT395" s="399"/>
      <c r="CU395" s="399"/>
      <c r="CV395" s="399"/>
      <c r="CW395" s="399"/>
      <c r="CX395" s="399"/>
      <c r="CY395" s="399"/>
      <c r="CZ395" s="399"/>
      <c r="DA395" s="399"/>
      <c r="DB395" s="399"/>
      <c r="DC395" s="399"/>
      <c r="DD395" s="399"/>
      <c r="DE395" s="399"/>
      <c r="DF395" s="399"/>
      <c r="DG395" s="399"/>
      <c r="DH395" s="399"/>
      <c r="DI395" s="399"/>
      <c r="DJ395" s="399"/>
      <c r="DK395" s="399"/>
      <c r="DL395" s="399"/>
      <c r="DM395" s="399"/>
      <c r="DN395" s="399"/>
      <c r="DO395" s="399"/>
      <c r="DP395" s="399"/>
      <c r="DQ395" s="399"/>
    </row>
    <row r="396" spans="1:121" s="760" customFormat="1" ht="15" customHeight="1" x14ac:dyDescent="0.25">
      <c r="A396" s="266">
        <f t="shared" si="6"/>
        <v>33.366666666666667</v>
      </c>
      <c r="B396" s="389">
        <v>41855</v>
      </c>
      <c r="C396" s="390" t="s">
        <v>451</v>
      </c>
      <c r="D396" s="390"/>
      <c r="E396" s="390" t="s">
        <v>380</v>
      </c>
      <c r="F396" s="390" t="s">
        <v>151</v>
      </c>
      <c r="G396" s="390" t="s">
        <v>941</v>
      </c>
      <c r="H396" s="261"/>
      <c r="I396" s="261"/>
      <c r="J396" s="261"/>
      <c r="K396" s="261"/>
      <c r="L396" s="261"/>
      <c r="M396" s="261"/>
      <c r="N396" s="261"/>
      <c r="O396" s="261"/>
      <c r="P396" s="261">
        <v>2</v>
      </c>
      <c r="Q396" s="261"/>
      <c r="R396" s="261"/>
      <c r="S396" s="261"/>
      <c r="T396" s="261"/>
      <c r="U396" s="261"/>
      <c r="V396" s="762"/>
      <c r="W396" s="261"/>
      <c r="X396" s="261"/>
      <c r="Y396" s="264">
        <f>IF(NFI_Expiration=1,IF($A396&lt;VLOOKUP(H$5,NFI,5,0),1,0)*Table_NFI[[#This Row],[Hygiene Kit]],Table_NFI[Hygiene Kit])</f>
        <v>0</v>
      </c>
      <c r="Z396" s="264">
        <f>IF(NFI_Expiration=1,IF($A396&lt;VLOOKUP(I$5,NFI,5,0),1,0)*Table_NFI[[#This Row],[NFI Core Kit]],Table_NFI[NFI Core Kit])</f>
        <v>0</v>
      </c>
      <c r="AA396" s="264">
        <f>IF(NFI_Expiration=1,IF($A396&lt;VLOOKUP(J$5,NFI,5,0),1,0)*Table_NFI[[#This Row],[Sanitary Kit]],Table_NFI[Sanitary Kit])</f>
        <v>0</v>
      </c>
      <c r="AB396" s="264">
        <f>IF(NFI_Expiration=1,IF($A396&lt;VLOOKUP(K$5,NFI,5,0),1,0)*Table_NFI[[#This Row],[Mosquito net]],Table_NFI[Mosquito net])</f>
        <v>0</v>
      </c>
      <c r="AC396" s="264">
        <f>IF(NFI_Expiration=1,IF($A396&lt;VLOOKUP(L$5,NFI,5,0),1,0)*Table_NFI[[#This Row],[Tarpaulin]],Table_NFI[[#This Row],[Tarpaulin]])</f>
        <v>0</v>
      </c>
      <c r="AD396" s="264">
        <f>IF(NFI_Expiration=1,IF($A396&lt;VLOOKUP(M$5,NFI,5,0),1,0)*Table_NFI[[#This Row],[Blanket]],Table_NFI[[#This Row],[Blanket]])</f>
        <v>0</v>
      </c>
      <c r="AE396" s="264">
        <f>IF(NFI_Expiration=1,IF($A396&lt;VLOOKUP(N$5,NFI,5,0),1,0)*Table_NFI[[#This Row],[Kitchen Set]],Table_NFI[Kitchen Set])</f>
        <v>0</v>
      </c>
      <c r="AF396" s="264">
        <f>IF(NFI_Expiration=1,IF($A396&lt;VLOOKUP(O$5,NFI,5,0),1,0)*Table_NFI[[#This Row],[Clothes Kit]],Table_NFI[Clothes Kit])</f>
        <v>0</v>
      </c>
      <c r="AG396" s="264">
        <f>IF(NFI_Expiration=1,IF($A396&lt;VLOOKUP(P$5,NFI,5,0),1,0)*Table_NFI[[#This Row],[Plastic Bucket]],Table_NFI[Plastic Bucket])</f>
        <v>0</v>
      </c>
      <c r="AH396" s="264">
        <f>IF(NFI_Expiration=1,IF($A396&lt;VLOOKUP(Q$5,NFI,5,0),1,0)*Table_NFI[[#This Row],[Plastic Mat]],Table_NFI[Plastic Mat])*IF(Table_NFI[[#This Row],[Distribution Date]]&gt;"2014-04-01",1,2.5)</f>
        <v>0</v>
      </c>
      <c r="AI396" s="264">
        <f>IF(NFI_Expiration=1,IF($A396&lt;VLOOKUP(R$5,NFI,5,0),1,0)*Table_NFI[[#This Row],[Winter Clothes Adult]],Table_NFI[Winter Clothes Adult])</f>
        <v>0</v>
      </c>
      <c r="AJ396" s="264">
        <f>IF(NFI_Expiration=1,IF($A396&lt;VLOOKUP(S$5,NFI,5,0),1,0)*Table_NFI[[#This Row],[Winter Clothes Children]],Table_NFI[Winter Clothes Children])</f>
        <v>0</v>
      </c>
      <c r="AK396" s="264">
        <f>IF(NFI_Expiration=1,IF($A396&lt;VLOOKUP(T$5,NFI,5,0),1,0)*Table_NFI[[#This Row],[Winter Items Other]],Table_NFI[Winter Items Other])</f>
        <v>0</v>
      </c>
      <c r="AL396" s="264">
        <f>IF(NFI_Expiration=1,IF($A396&lt;VLOOKUP(M$5,NFI,5,0),1,0)*Table_NFI[[#This Row],[Winter Blanket]],Table_NFI[[#This Row],[Winter Blanket]])</f>
        <v>0</v>
      </c>
      <c r="AM396" s="264">
        <f>IF(Table_NFI[[#This Row],[Winter Clothes Adult]]+Table_NFI[[#This Row],[Winter Clothes Children]]+Table_NFI[[#This Row],[Winter Items Other]]+Table_NFI[[#This Row],[Winter Blanket]]&gt;0,1,0)</f>
        <v>0</v>
      </c>
      <c r="AN396" s="296">
        <f>IF(NFI_Expiration=1,IF($A396&lt;VLOOKUP(V$5,NFI,5,0),1,0)*Table_NFI[[#This Row],[Jerry Can]],Table_NFI[Jerry Can])</f>
        <v>0</v>
      </c>
      <c r="AO396" s="296">
        <f>IF(NFI_Expiration=1,IF($A396&lt;VLOOKUP(V$5,NFI,5,0),1,0)*Table_NFI[[#This Row],[Shelter Tool kit]],Table_NFI[Shelter Tool kit])</f>
        <v>0</v>
      </c>
      <c r="AP396" s="296">
        <f>IF(NFI_Expiration=1,IF($A396&lt;VLOOKUP(V$5,NFI,5,0),1,0)*Table_NFI[[#This Row],[Tent]],Table_NFI[Tent])</f>
        <v>0</v>
      </c>
      <c r="AQ396" s="396" t="str">
        <f>IFERROR(VLOOKUP(Table_NFI[[#This Row],[Camp Name]],CL,2,0),"")</f>
        <v>MMR001CMP223</v>
      </c>
      <c r="AR396" s="702">
        <f ca="1">IF(Table_NFI[[#This Row],[Pcode]]="","",IF(OFFSET(CampList[Opening Date],MATCH(Table_NFI[[#This Row],[Pcode]],CampList[CP_Pcode],0)-1,0,1,1)&gt;=NFI_Monitor_Date,1,0))</f>
        <v>0</v>
      </c>
      <c r="AS396" s="396" t="str">
        <f>IFERROR(VLOOKUP(Table_NFI[[#This Row],[Camp Name]],CL,3,0),"")</f>
        <v>Open</v>
      </c>
      <c r="AT396" s="264" t="str">
        <f ca="1">IF(Table_NFI[[#This Row],[Pcode]]="","",OFFSET(CampList[Priority],MATCH(Table_NFI[[#This Row],[Pcode]],CampList[CP_Pcode],0)-1,0,1,1))</f>
        <v>P4</v>
      </c>
      <c r="AU396" s="263">
        <f>IFERROR(Table_NFI[[#This Row],[Kitchen Set]]/VLOOKUP(Table_NFI[[#This Row],[Camp Name]],CL,4,0),"")</f>
        <v>0</v>
      </c>
      <c r="AV396" s="390"/>
      <c r="AW396" s="392"/>
      <c r="AX396" s="399"/>
      <c r="AY396" s="399"/>
      <c r="AZ396" s="399"/>
      <c r="BA396" s="399"/>
      <c r="BB396" s="399"/>
      <c r="BC396" s="399"/>
      <c r="BD396" s="399"/>
      <c r="BE396" s="399"/>
      <c r="BF396" s="399"/>
      <c r="BG396" s="399"/>
      <c r="BH396" s="399"/>
      <c r="BI396" s="399"/>
      <c r="BJ396" s="399"/>
      <c r="BK396" s="399"/>
      <c r="BL396" s="399"/>
      <c r="BM396" s="399"/>
      <c r="BN396" s="399"/>
      <c r="BO396" s="399"/>
      <c r="BP396" s="399"/>
      <c r="BQ396" s="399"/>
      <c r="BR396" s="399"/>
      <c r="BS396" s="399"/>
      <c r="BT396" s="399"/>
      <c r="BU396" s="399"/>
      <c r="BV396" s="399"/>
      <c r="BW396" s="399"/>
      <c r="BX396" s="399"/>
      <c r="BY396" s="399"/>
      <c r="BZ396" s="399"/>
      <c r="CA396" s="399"/>
      <c r="CB396" s="399"/>
      <c r="CC396" s="399"/>
      <c r="CD396" s="399"/>
      <c r="CE396" s="399"/>
      <c r="CF396" s="399"/>
      <c r="CG396" s="399"/>
      <c r="CH396" s="399"/>
      <c r="CI396" s="399"/>
      <c r="CJ396" s="399"/>
      <c r="CK396" s="399"/>
      <c r="CL396" s="399"/>
      <c r="CM396" s="399"/>
      <c r="CN396" s="399"/>
      <c r="CO396" s="399"/>
      <c r="CP396" s="399"/>
      <c r="CQ396" s="399"/>
      <c r="CR396" s="399"/>
      <c r="CS396" s="399"/>
      <c r="CT396" s="399"/>
      <c r="CU396" s="399"/>
      <c r="CV396" s="399"/>
      <c r="CW396" s="399"/>
      <c r="CX396" s="399"/>
      <c r="CY396" s="399"/>
      <c r="CZ396" s="399"/>
      <c r="DA396" s="399"/>
      <c r="DB396" s="399"/>
      <c r="DC396" s="399"/>
      <c r="DD396" s="399"/>
      <c r="DE396" s="399"/>
      <c r="DF396" s="399"/>
      <c r="DG396" s="399"/>
      <c r="DH396" s="399"/>
      <c r="DI396" s="399"/>
      <c r="DJ396" s="399"/>
      <c r="DK396" s="399"/>
      <c r="DL396" s="399"/>
      <c r="DM396" s="399"/>
      <c r="DN396" s="399"/>
      <c r="DO396" s="399"/>
      <c r="DP396" s="399"/>
      <c r="DQ396" s="399"/>
    </row>
    <row r="397" spans="1:121" s="760" customFormat="1" ht="14.45" customHeight="1" x14ac:dyDescent="0.25">
      <c r="A397" s="266">
        <f t="shared" si="6"/>
        <v>33.366666666666667</v>
      </c>
      <c r="B397" s="389">
        <v>41855</v>
      </c>
      <c r="C397" s="390" t="s">
        <v>451</v>
      </c>
      <c r="D397" s="390"/>
      <c r="E397" s="390" t="s">
        <v>380</v>
      </c>
      <c r="F397" s="390" t="s">
        <v>5</v>
      </c>
      <c r="G397" s="390"/>
      <c r="H397" s="261"/>
      <c r="I397" s="261"/>
      <c r="J397" s="261"/>
      <c r="K397" s="261"/>
      <c r="L397" s="261">
        <v>5</v>
      </c>
      <c r="M397" s="261"/>
      <c r="N397" s="261"/>
      <c r="O397" s="261"/>
      <c r="P397" s="261"/>
      <c r="Q397" s="261"/>
      <c r="R397" s="261"/>
      <c r="S397" s="261"/>
      <c r="T397" s="261"/>
      <c r="U397" s="261"/>
      <c r="V397" s="762"/>
      <c r="W397" s="261"/>
      <c r="X397" s="261"/>
      <c r="Y397" s="264">
        <f>IF(NFI_Expiration=1,IF($A397&lt;VLOOKUP(H$5,NFI,5,0),1,0)*Table_NFI[[#This Row],[Hygiene Kit]],Table_NFI[Hygiene Kit])</f>
        <v>0</v>
      </c>
      <c r="Z397" s="264">
        <f>IF(NFI_Expiration=1,IF($A397&lt;VLOOKUP(I$5,NFI,5,0),1,0)*Table_NFI[[#This Row],[NFI Core Kit]],Table_NFI[NFI Core Kit])</f>
        <v>0</v>
      </c>
      <c r="AA397" s="264">
        <f>IF(NFI_Expiration=1,IF($A397&lt;VLOOKUP(J$5,NFI,5,0),1,0)*Table_NFI[[#This Row],[Sanitary Kit]],Table_NFI[Sanitary Kit])</f>
        <v>0</v>
      </c>
      <c r="AB397" s="264">
        <f>IF(NFI_Expiration=1,IF($A397&lt;VLOOKUP(K$5,NFI,5,0),1,0)*Table_NFI[[#This Row],[Mosquito net]],Table_NFI[Mosquito net])</f>
        <v>0</v>
      </c>
      <c r="AC397" s="264">
        <f>IF(NFI_Expiration=1,IF($A397&lt;VLOOKUP(L$5,NFI,5,0),1,0)*Table_NFI[[#This Row],[Tarpaulin]],Table_NFI[[#This Row],[Tarpaulin]])</f>
        <v>0</v>
      </c>
      <c r="AD397" s="264">
        <f>IF(NFI_Expiration=1,IF($A397&lt;VLOOKUP(M$5,NFI,5,0),1,0)*Table_NFI[[#This Row],[Blanket]],Table_NFI[[#This Row],[Blanket]])</f>
        <v>0</v>
      </c>
      <c r="AE397" s="264">
        <f>IF(NFI_Expiration=1,IF($A397&lt;VLOOKUP(N$5,NFI,5,0),1,0)*Table_NFI[[#This Row],[Kitchen Set]],Table_NFI[Kitchen Set])</f>
        <v>0</v>
      </c>
      <c r="AF397" s="264">
        <f>IF(NFI_Expiration=1,IF($A397&lt;VLOOKUP(O$5,NFI,5,0),1,0)*Table_NFI[[#This Row],[Clothes Kit]],Table_NFI[Clothes Kit])</f>
        <v>0</v>
      </c>
      <c r="AG397" s="264">
        <f>IF(NFI_Expiration=1,IF($A397&lt;VLOOKUP(P$5,NFI,5,0),1,0)*Table_NFI[[#This Row],[Plastic Bucket]],Table_NFI[Plastic Bucket])</f>
        <v>0</v>
      </c>
      <c r="AH397" s="264">
        <f>IF(NFI_Expiration=1,IF($A397&lt;VLOOKUP(Q$5,NFI,5,0),1,0)*Table_NFI[[#This Row],[Plastic Mat]],Table_NFI[Plastic Mat])*IF(Table_NFI[[#This Row],[Distribution Date]]&gt;"2014-04-01",1,2.5)</f>
        <v>0</v>
      </c>
      <c r="AI397" s="264">
        <f>IF(NFI_Expiration=1,IF($A397&lt;VLOOKUP(R$5,NFI,5,0),1,0)*Table_NFI[[#This Row],[Winter Clothes Adult]],Table_NFI[Winter Clothes Adult])</f>
        <v>0</v>
      </c>
      <c r="AJ397" s="264">
        <f>IF(NFI_Expiration=1,IF($A397&lt;VLOOKUP(S$5,NFI,5,0),1,0)*Table_NFI[[#This Row],[Winter Clothes Children]],Table_NFI[Winter Clothes Children])</f>
        <v>0</v>
      </c>
      <c r="AK397" s="264">
        <f>IF(NFI_Expiration=1,IF($A397&lt;VLOOKUP(T$5,NFI,5,0),1,0)*Table_NFI[[#This Row],[Winter Items Other]],Table_NFI[Winter Items Other])</f>
        <v>0</v>
      </c>
      <c r="AL397" s="264">
        <f>IF(NFI_Expiration=1,IF($A397&lt;VLOOKUP(M$5,NFI,5,0),1,0)*Table_NFI[[#This Row],[Winter Blanket]],Table_NFI[[#This Row],[Winter Blanket]])</f>
        <v>0</v>
      </c>
      <c r="AM397" s="264">
        <f>IF(Table_NFI[[#This Row],[Winter Clothes Adult]]+Table_NFI[[#This Row],[Winter Clothes Children]]+Table_NFI[[#This Row],[Winter Items Other]]+Table_NFI[[#This Row],[Winter Blanket]]&gt;0,1,0)</f>
        <v>0</v>
      </c>
      <c r="AN397" s="296">
        <f>IF(NFI_Expiration=1,IF($A397&lt;VLOOKUP(V$5,NFI,5,0),1,0)*Table_NFI[[#This Row],[Jerry Can]],Table_NFI[Jerry Can])</f>
        <v>0</v>
      </c>
      <c r="AO397" s="296">
        <f>IF(NFI_Expiration=1,IF($A397&lt;VLOOKUP(V$5,NFI,5,0),1,0)*Table_NFI[[#This Row],[Shelter Tool kit]],Table_NFI[Shelter Tool kit])</f>
        <v>0</v>
      </c>
      <c r="AP397" s="296">
        <f>IF(NFI_Expiration=1,IF($A397&lt;VLOOKUP(V$5,NFI,5,0),1,0)*Table_NFI[[#This Row],[Tent]],Table_NFI[Tent])</f>
        <v>0</v>
      </c>
      <c r="AQ397" s="396" t="str">
        <f>IFERROR(VLOOKUP(Table_NFI[[#This Row],[Camp Name]],CL,2,0),"")</f>
        <v/>
      </c>
      <c r="AR397" s="702" t="str">
        <f ca="1">IF(Table_NFI[[#This Row],[Pcode]]="","",IF(OFFSET(CampList[Opening Date],MATCH(Table_NFI[[#This Row],[Pcode]],CampList[CP_Pcode],0)-1,0,1,1)&gt;=NFI_Monitor_Date,1,0))</f>
        <v/>
      </c>
      <c r="AS397" s="396" t="str">
        <f>IFERROR(VLOOKUP(Table_NFI[[#This Row],[Camp Name]],CL,3,0),"")</f>
        <v/>
      </c>
      <c r="AT397" s="264" t="str">
        <f ca="1">IF(Table_NFI[[#This Row],[Pcode]]="","",OFFSET(CampList[Priority],MATCH(Table_NFI[[#This Row],[Pcode]],CampList[CP_Pcode],0)-1,0,1,1))</f>
        <v/>
      </c>
      <c r="AU397" s="263" t="str">
        <f>IFERROR(Table_NFI[[#This Row],[Kitchen Set]]/VLOOKUP(Table_NFI[[#This Row],[Camp Name]],CL,4,0),"")</f>
        <v/>
      </c>
      <c r="AV397" s="390"/>
      <c r="AW397" s="392"/>
      <c r="AX397" s="399"/>
      <c r="AY397" s="399"/>
      <c r="AZ397" s="399"/>
      <c r="BA397" s="399"/>
      <c r="BB397" s="399"/>
      <c r="BC397" s="399"/>
      <c r="BD397" s="399"/>
      <c r="BE397" s="399"/>
      <c r="BF397" s="399"/>
      <c r="BG397" s="399"/>
      <c r="BH397" s="399"/>
      <c r="BI397" s="399"/>
      <c r="BJ397" s="399"/>
      <c r="BK397" s="399"/>
      <c r="BL397" s="399"/>
      <c r="BM397" s="399"/>
      <c r="BN397" s="399"/>
      <c r="BO397" s="399"/>
      <c r="BP397" s="399"/>
      <c r="BQ397" s="399"/>
      <c r="BR397" s="399"/>
      <c r="BS397" s="399"/>
      <c r="BT397" s="399"/>
      <c r="BU397" s="399"/>
      <c r="BV397" s="399"/>
      <c r="BW397" s="399"/>
      <c r="BX397" s="399"/>
      <c r="BY397" s="399"/>
      <c r="BZ397" s="399"/>
      <c r="CA397" s="399"/>
      <c r="CB397" s="399"/>
      <c r="CC397" s="399"/>
      <c r="CD397" s="399"/>
      <c r="CE397" s="399"/>
      <c r="CF397" s="399"/>
      <c r="CG397" s="399"/>
      <c r="CH397" s="399"/>
      <c r="CI397" s="399"/>
      <c r="CJ397" s="399"/>
      <c r="CK397" s="399"/>
      <c r="CL397" s="399"/>
      <c r="CM397" s="399"/>
      <c r="CN397" s="399"/>
      <c r="CO397" s="399"/>
      <c r="CP397" s="399"/>
      <c r="CQ397" s="399"/>
      <c r="CR397" s="399"/>
      <c r="CS397" s="399"/>
      <c r="CT397" s="399"/>
      <c r="CU397" s="399"/>
      <c r="CV397" s="399"/>
      <c r="CW397" s="399"/>
      <c r="CX397" s="399"/>
      <c r="CY397" s="399"/>
      <c r="CZ397" s="399"/>
      <c r="DA397" s="399"/>
      <c r="DB397" s="399"/>
      <c r="DC397" s="399"/>
      <c r="DD397" s="399"/>
      <c r="DE397" s="399"/>
      <c r="DF397" s="399"/>
      <c r="DG397" s="399"/>
      <c r="DH397" s="399"/>
      <c r="DI397" s="399"/>
      <c r="DJ397" s="399"/>
      <c r="DK397" s="399"/>
      <c r="DL397" s="399"/>
      <c r="DM397" s="399"/>
      <c r="DN397" s="399"/>
      <c r="DO397" s="399"/>
      <c r="DP397" s="399"/>
      <c r="DQ397" s="399"/>
    </row>
    <row r="398" spans="1:121" s="760" customFormat="1" ht="14.45" customHeight="1" x14ac:dyDescent="0.25">
      <c r="A398" s="266">
        <f t="shared" si="6"/>
        <v>33.56666666666667</v>
      </c>
      <c r="B398" s="389">
        <v>41849</v>
      </c>
      <c r="C398" s="390" t="s">
        <v>451</v>
      </c>
      <c r="D398" s="390"/>
      <c r="E398" s="390" t="s">
        <v>380</v>
      </c>
      <c r="F398" s="390" t="s">
        <v>185</v>
      </c>
      <c r="G398" s="390" t="s">
        <v>196</v>
      </c>
      <c r="H398" s="261"/>
      <c r="I398" s="261"/>
      <c r="J398" s="261"/>
      <c r="K398" s="261">
        <v>254</v>
      </c>
      <c r="L398" s="261">
        <v>204</v>
      </c>
      <c r="M398" s="261">
        <v>254</v>
      </c>
      <c r="N398" s="261">
        <v>134</v>
      </c>
      <c r="O398" s="261"/>
      <c r="P398" s="261">
        <v>134</v>
      </c>
      <c r="Q398" s="261">
        <v>608</v>
      </c>
      <c r="R398" s="261"/>
      <c r="S398" s="261"/>
      <c r="T398" s="261"/>
      <c r="U398" s="261"/>
      <c r="V398" s="762"/>
      <c r="W398" s="261"/>
      <c r="X398" s="261"/>
      <c r="Y398" s="264">
        <f>IF(NFI_Expiration=1,IF($A398&lt;VLOOKUP(H$5,NFI,5,0),1,0)*Table_NFI[[#This Row],[Hygiene Kit]],Table_NFI[Hygiene Kit])</f>
        <v>0</v>
      </c>
      <c r="Z398" s="264">
        <f>IF(NFI_Expiration=1,IF($A398&lt;VLOOKUP(I$5,NFI,5,0),1,0)*Table_NFI[[#This Row],[NFI Core Kit]],Table_NFI[NFI Core Kit])</f>
        <v>0</v>
      </c>
      <c r="AA398" s="264">
        <f>IF(NFI_Expiration=1,IF($A398&lt;VLOOKUP(J$5,NFI,5,0),1,0)*Table_NFI[[#This Row],[Sanitary Kit]],Table_NFI[Sanitary Kit])</f>
        <v>0</v>
      </c>
      <c r="AB398" s="264">
        <f>IF(NFI_Expiration=1,IF($A398&lt;VLOOKUP(K$5,NFI,5,0),1,0)*Table_NFI[[#This Row],[Mosquito net]],Table_NFI[Mosquito net])</f>
        <v>0</v>
      </c>
      <c r="AC398" s="264">
        <f>IF(NFI_Expiration=1,IF($A398&lt;VLOOKUP(L$5,NFI,5,0),1,0)*Table_NFI[[#This Row],[Tarpaulin]],Table_NFI[[#This Row],[Tarpaulin]])</f>
        <v>0</v>
      </c>
      <c r="AD398" s="264">
        <f>IF(NFI_Expiration=1,IF($A398&lt;VLOOKUP(M$5,NFI,5,0),1,0)*Table_NFI[[#This Row],[Blanket]],Table_NFI[[#This Row],[Blanket]])</f>
        <v>0</v>
      </c>
      <c r="AE398" s="264">
        <f>IF(NFI_Expiration=1,IF($A398&lt;VLOOKUP(N$5,NFI,5,0),1,0)*Table_NFI[[#This Row],[Kitchen Set]],Table_NFI[Kitchen Set])</f>
        <v>0</v>
      </c>
      <c r="AF398" s="264">
        <f>IF(NFI_Expiration=1,IF($A398&lt;VLOOKUP(O$5,NFI,5,0),1,0)*Table_NFI[[#This Row],[Clothes Kit]],Table_NFI[Clothes Kit])</f>
        <v>0</v>
      </c>
      <c r="AG398" s="264">
        <f>IF(NFI_Expiration=1,IF($A398&lt;VLOOKUP(P$5,NFI,5,0),1,0)*Table_NFI[[#This Row],[Plastic Bucket]],Table_NFI[Plastic Bucket])</f>
        <v>0</v>
      </c>
      <c r="AH398" s="264">
        <f>IF(NFI_Expiration=1,IF($A398&lt;VLOOKUP(Q$5,NFI,5,0),1,0)*Table_NFI[[#This Row],[Plastic Mat]],Table_NFI[Plastic Mat])*IF(Table_NFI[[#This Row],[Distribution Date]]&gt;"2014-04-01",1,2.5)</f>
        <v>0</v>
      </c>
      <c r="AI398" s="264">
        <f>IF(NFI_Expiration=1,IF($A398&lt;VLOOKUP(R$5,NFI,5,0),1,0)*Table_NFI[[#This Row],[Winter Clothes Adult]],Table_NFI[Winter Clothes Adult])</f>
        <v>0</v>
      </c>
      <c r="AJ398" s="264">
        <f>IF(NFI_Expiration=1,IF($A398&lt;VLOOKUP(S$5,NFI,5,0),1,0)*Table_NFI[[#This Row],[Winter Clothes Children]],Table_NFI[Winter Clothes Children])</f>
        <v>0</v>
      </c>
      <c r="AK398" s="264">
        <f>IF(NFI_Expiration=1,IF($A398&lt;VLOOKUP(T$5,NFI,5,0),1,0)*Table_NFI[[#This Row],[Winter Items Other]],Table_NFI[Winter Items Other])</f>
        <v>0</v>
      </c>
      <c r="AL398" s="264">
        <f>IF(NFI_Expiration=1,IF($A398&lt;VLOOKUP(M$5,NFI,5,0),1,0)*Table_NFI[[#This Row],[Winter Blanket]],Table_NFI[[#This Row],[Winter Blanket]])</f>
        <v>0</v>
      </c>
      <c r="AM398" s="264">
        <f>IF(Table_NFI[[#This Row],[Winter Clothes Adult]]+Table_NFI[[#This Row],[Winter Clothes Children]]+Table_NFI[[#This Row],[Winter Items Other]]+Table_NFI[[#This Row],[Winter Blanket]]&gt;0,1,0)</f>
        <v>0</v>
      </c>
      <c r="AN398" s="296">
        <f>IF(NFI_Expiration=1,IF($A398&lt;VLOOKUP(V$5,NFI,5,0),1,0)*Table_NFI[[#This Row],[Jerry Can]],Table_NFI[Jerry Can])</f>
        <v>0</v>
      </c>
      <c r="AO398" s="296">
        <f>IF(NFI_Expiration=1,IF($A398&lt;VLOOKUP(V$5,NFI,5,0),1,0)*Table_NFI[[#This Row],[Shelter Tool kit]],Table_NFI[Shelter Tool kit])</f>
        <v>0</v>
      </c>
      <c r="AP398" s="296">
        <f>IF(NFI_Expiration=1,IF($A398&lt;VLOOKUP(V$5,NFI,5,0),1,0)*Table_NFI[[#This Row],[Tent]],Table_NFI[Tent])</f>
        <v>0</v>
      </c>
      <c r="AQ398" s="396" t="str">
        <f>IFERROR(VLOOKUP(Table_NFI[[#This Row],[Camp Name]],CL,2,0),"")</f>
        <v>MMR001CMP121</v>
      </c>
      <c r="AR398" s="702">
        <f ca="1">IF(Table_NFI[[#This Row],[Pcode]]="","",IF(OFFSET(CampList[Opening Date],MATCH(Table_NFI[[#This Row],[Pcode]],CampList[CP_Pcode],0)-1,0,1,1)&gt;=NFI_Monitor_Date,1,0))</f>
        <v>0</v>
      </c>
      <c r="AS398" s="396" t="str">
        <f>IFERROR(VLOOKUP(Table_NFI[[#This Row],[Camp Name]],CL,3,0),"")</f>
        <v>Open</v>
      </c>
      <c r="AT398" s="264" t="str">
        <f ca="1">IF(Table_NFI[[#This Row],[Pcode]]="","",OFFSET(CampList[Priority],MATCH(Table_NFI[[#This Row],[Pcode]],CampList[CP_Pcode],0)-1,0,1,1))</f>
        <v>P2</v>
      </c>
      <c r="AU398" s="263">
        <f>IFERROR(Table_NFI[[#This Row],[Kitchen Set]]/VLOOKUP(Table_NFI[[#This Row],[Camp Name]],CL,4,0),"")</f>
        <v>3.2634373249555539E-3</v>
      </c>
      <c r="AV398" s="390"/>
      <c r="AW398" s="392"/>
      <c r="AX398" s="399"/>
      <c r="AY398" s="399"/>
      <c r="AZ398" s="399"/>
      <c r="BA398" s="399"/>
      <c r="BB398" s="399"/>
      <c r="BC398" s="399"/>
      <c r="BD398" s="399"/>
      <c r="BE398" s="399"/>
      <c r="BF398" s="399"/>
      <c r="BG398" s="399"/>
      <c r="BH398" s="399"/>
      <c r="BI398" s="399"/>
      <c r="BJ398" s="399"/>
      <c r="BK398" s="399"/>
      <c r="BL398" s="399"/>
      <c r="BM398" s="399"/>
      <c r="BN398" s="399"/>
      <c r="BO398" s="399"/>
      <c r="BP398" s="399"/>
      <c r="BQ398" s="399"/>
      <c r="BR398" s="399"/>
      <c r="BS398" s="399"/>
      <c r="BT398" s="399"/>
      <c r="BU398" s="399"/>
      <c r="BV398" s="399"/>
      <c r="BW398" s="399"/>
      <c r="BX398" s="399"/>
      <c r="BY398" s="399"/>
      <c r="BZ398" s="399"/>
      <c r="CA398" s="399"/>
      <c r="CB398" s="399"/>
      <c r="CC398" s="399"/>
      <c r="CD398" s="399"/>
      <c r="CE398" s="399"/>
      <c r="CF398" s="399"/>
      <c r="CG398" s="399"/>
      <c r="CH398" s="399"/>
      <c r="CI398" s="399"/>
      <c r="CJ398" s="399"/>
      <c r="CK398" s="399"/>
      <c r="CL398" s="399"/>
      <c r="CM398" s="399"/>
      <c r="CN398" s="399"/>
      <c r="CO398" s="399"/>
      <c r="CP398" s="399"/>
      <c r="CQ398" s="399"/>
      <c r="CR398" s="399"/>
      <c r="CS398" s="399"/>
      <c r="CT398" s="399"/>
      <c r="CU398" s="399"/>
      <c r="CV398" s="399"/>
      <c r="CW398" s="399"/>
      <c r="CX398" s="399"/>
      <c r="CY398" s="399"/>
      <c r="CZ398" s="399"/>
      <c r="DA398" s="399"/>
      <c r="DB398" s="399"/>
      <c r="DC398" s="399"/>
      <c r="DD398" s="399"/>
      <c r="DE398" s="399"/>
      <c r="DF398" s="399"/>
      <c r="DG398" s="399"/>
      <c r="DH398" s="399"/>
      <c r="DI398" s="399"/>
      <c r="DJ398" s="399"/>
      <c r="DK398" s="399"/>
      <c r="DL398" s="399"/>
      <c r="DM398" s="399"/>
      <c r="DN398" s="399"/>
      <c r="DO398" s="399"/>
      <c r="DP398" s="399"/>
      <c r="DQ398" s="399"/>
    </row>
    <row r="399" spans="1:121" s="760" customFormat="1" ht="14.45" customHeight="1" x14ac:dyDescent="0.25">
      <c r="A399" s="266">
        <f t="shared" si="6"/>
        <v>33.56666666666667</v>
      </c>
      <c r="B399" s="389">
        <v>41849</v>
      </c>
      <c r="C399" s="390" t="s">
        <v>451</v>
      </c>
      <c r="D399" s="390"/>
      <c r="E399" s="390" t="s">
        <v>380</v>
      </c>
      <c r="F399" s="390" t="s">
        <v>310</v>
      </c>
      <c r="G399" s="390" t="s">
        <v>353</v>
      </c>
      <c r="H399" s="261"/>
      <c r="I399" s="261"/>
      <c r="J399" s="261"/>
      <c r="K399" s="261">
        <v>46</v>
      </c>
      <c r="L399" s="261">
        <v>46</v>
      </c>
      <c r="M399" s="261">
        <v>46</v>
      </c>
      <c r="N399" s="261">
        <v>16</v>
      </c>
      <c r="O399" s="261"/>
      <c r="P399" s="261">
        <v>16</v>
      </c>
      <c r="Q399" s="261">
        <v>142</v>
      </c>
      <c r="R399" s="261"/>
      <c r="S399" s="261"/>
      <c r="T399" s="261"/>
      <c r="U399" s="261"/>
      <c r="V399" s="762"/>
      <c r="W399" s="261"/>
      <c r="X399" s="261"/>
      <c r="Y399" s="264">
        <f>IF(NFI_Expiration=1,IF($A399&lt;VLOOKUP(H$5,NFI,5,0),1,0)*Table_NFI[[#This Row],[Hygiene Kit]],Table_NFI[Hygiene Kit])</f>
        <v>0</v>
      </c>
      <c r="Z399" s="264">
        <f>IF(NFI_Expiration=1,IF($A399&lt;VLOOKUP(I$5,NFI,5,0),1,0)*Table_NFI[[#This Row],[NFI Core Kit]],Table_NFI[NFI Core Kit])</f>
        <v>0</v>
      </c>
      <c r="AA399" s="264">
        <f>IF(NFI_Expiration=1,IF($A399&lt;VLOOKUP(J$5,NFI,5,0),1,0)*Table_NFI[[#This Row],[Sanitary Kit]],Table_NFI[Sanitary Kit])</f>
        <v>0</v>
      </c>
      <c r="AB399" s="264">
        <f>IF(NFI_Expiration=1,IF($A399&lt;VLOOKUP(K$5,NFI,5,0),1,0)*Table_NFI[[#This Row],[Mosquito net]],Table_NFI[Mosquito net])</f>
        <v>0</v>
      </c>
      <c r="AC399" s="264">
        <f>IF(NFI_Expiration=1,IF($A399&lt;VLOOKUP(L$5,NFI,5,0),1,0)*Table_NFI[[#This Row],[Tarpaulin]],Table_NFI[[#This Row],[Tarpaulin]])</f>
        <v>0</v>
      </c>
      <c r="AD399" s="264">
        <f>IF(NFI_Expiration=1,IF($A399&lt;VLOOKUP(M$5,NFI,5,0),1,0)*Table_NFI[[#This Row],[Blanket]],Table_NFI[[#This Row],[Blanket]])</f>
        <v>0</v>
      </c>
      <c r="AE399" s="264">
        <f>IF(NFI_Expiration=1,IF($A399&lt;VLOOKUP(N$5,NFI,5,0),1,0)*Table_NFI[[#This Row],[Kitchen Set]],Table_NFI[Kitchen Set])</f>
        <v>0</v>
      </c>
      <c r="AF399" s="264">
        <f>IF(NFI_Expiration=1,IF($A399&lt;VLOOKUP(O$5,NFI,5,0),1,0)*Table_NFI[[#This Row],[Clothes Kit]],Table_NFI[Clothes Kit])</f>
        <v>0</v>
      </c>
      <c r="AG399" s="264">
        <f>IF(NFI_Expiration=1,IF($A399&lt;VLOOKUP(P$5,NFI,5,0),1,0)*Table_NFI[[#This Row],[Plastic Bucket]],Table_NFI[Plastic Bucket])</f>
        <v>0</v>
      </c>
      <c r="AH399" s="264">
        <f>IF(NFI_Expiration=1,IF($A399&lt;VLOOKUP(Q$5,NFI,5,0),1,0)*Table_NFI[[#This Row],[Plastic Mat]],Table_NFI[Plastic Mat])*IF(Table_NFI[[#This Row],[Distribution Date]]&gt;"2014-04-01",1,2.5)</f>
        <v>0</v>
      </c>
      <c r="AI399" s="264">
        <f>IF(NFI_Expiration=1,IF($A399&lt;VLOOKUP(R$5,NFI,5,0),1,0)*Table_NFI[[#This Row],[Winter Clothes Adult]],Table_NFI[Winter Clothes Adult])</f>
        <v>0</v>
      </c>
      <c r="AJ399" s="264">
        <f>IF(NFI_Expiration=1,IF($A399&lt;VLOOKUP(S$5,NFI,5,0),1,0)*Table_NFI[[#This Row],[Winter Clothes Children]],Table_NFI[Winter Clothes Children])</f>
        <v>0</v>
      </c>
      <c r="AK399" s="264">
        <f>IF(NFI_Expiration=1,IF($A399&lt;VLOOKUP(T$5,NFI,5,0),1,0)*Table_NFI[[#This Row],[Winter Items Other]],Table_NFI[Winter Items Other])</f>
        <v>0</v>
      </c>
      <c r="AL399" s="264">
        <f>IF(NFI_Expiration=1,IF($A399&lt;VLOOKUP(M$5,NFI,5,0),1,0)*Table_NFI[[#This Row],[Winter Blanket]],Table_NFI[[#This Row],[Winter Blanket]])</f>
        <v>0</v>
      </c>
      <c r="AM399" s="264">
        <f>IF(Table_NFI[[#This Row],[Winter Clothes Adult]]+Table_NFI[[#This Row],[Winter Clothes Children]]+Table_NFI[[#This Row],[Winter Items Other]]+Table_NFI[[#This Row],[Winter Blanket]]&gt;0,1,0)</f>
        <v>0</v>
      </c>
      <c r="AN399" s="296">
        <f>IF(NFI_Expiration=1,IF($A399&lt;VLOOKUP(V$5,NFI,5,0),1,0)*Table_NFI[[#This Row],[Jerry Can]],Table_NFI[Jerry Can])</f>
        <v>0</v>
      </c>
      <c r="AO399" s="296">
        <f>IF(NFI_Expiration=1,IF($A399&lt;VLOOKUP(V$5,NFI,5,0),1,0)*Table_NFI[[#This Row],[Shelter Tool kit]],Table_NFI[Shelter Tool kit])</f>
        <v>0</v>
      </c>
      <c r="AP399" s="296">
        <f>IF(NFI_Expiration=1,IF($A399&lt;VLOOKUP(V$5,NFI,5,0),1,0)*Table_NFI[[#This Row],[Tent]],Table_NFI[Tent])</f>
        <v>0</v>
      </c>
      <c r="AQ399" s="396" t="str">
        <f>IFERROR(VLOOKUP(Table_NFI[[#This Row],[Camp Name]],CL,2,0),"")</f>
        <v>MMR001CMP116</v>
      </c>
      <c r="AR399" s="702">
        <f ca="1">IF(Table_NFI[[#This Row],[Pcode]]="","",IF(OFFSET(CampList[Opening Date],MATCH(Table_NFI[[#This Row],[Pcode]],CampList[CP_Pcode],0)-1,0,1,1)&gt;=NFI_Monitor_Date,1,0))</f>
        <v>0</v>
      </c>
      <c r="AS399" s="396" t="str">
        <f>IFERROR(VLOOKUP(Table_NFI[[#This Row],[Camp Name]],CL,3,0),"")</f>
        <v>Open</v>
      </c>
      <c r="AT399" s="264" t="str">
        <f ca="1">IF(Table_NFI[[#This Row],[Pcode]]="","",OFFSET(CampList[Priority],MATCH(Table_NFI[[#This Row],[Pcode]],CampList[CP_Pcode],0)-1,0,1,1))</f>
        <v>P4</v>
      </c>
      <c r="AU399" s="263">
        <f>IFERROR(Table_NFI[[#This Row],[Kitchen Set]]/VLOOKUP(Table_NFI[[#This Row],[Camp Name]],CL,4,0),"")</f>
        <v>3.9316869394274479E-4</v>
      </c>
      <c r="AV399" s="390"/>
      <c r="AW399" s="392"/>
      <c r="AX399" s="399"/>
      <c r="AY399" s="399"/>
      <c r="AZ399" s="399"/>
      <c r="BA399" s="399"/>
      <c r="BB399" s="399"/>
      <c r="BC399" s="399"/>
      <c r="BD399" s="399"/>
      <c r="BE399" s="399"/>
      <c r="BF399" s="399"/>
      <c r="BG399" s="399"/>
      <c r="BH399" s="399"/>
      <c r="BI399" s="399"/>
      <c r="BJ399" s="399"/>
      <c r="BK399" s="399"/>
      <c r="BL399" s="399"/>
      <c r="BM399" s="399"/>
      <c r="BN399" s="399"/>
      <c r="BO399" s="399"/>
      <c r="BP399" s="399"/>
      <c r="BQ399" s="399"/>
      <c r="BR399" s="399"/>
      <c r="BS399" s="399"/>
      <c r="BT399" s="399"/>
      <c r="BU399" s="399"/>
      <c r="BV399" s="399"/>
      <c r="BW399" s="399"/>
      <c r="BX399" s="399"/>
      <c r="BY399" s="399"/>
      <c r="BZ399" s="399"/>
      <c r="CA399" s="399"/>
      <c r="CB399" s="399"/>
      <c r="CC399" s="399"/>
      <c r="CD399" s="399"/>
      <c r="CE399" s="399"/>
      <c r="CF399" s="399"/>
      <c r="CG399" s="399"/>
      <c r="CH399" s="399"/>
      <c r="CI399" s="399"/>
      <c r="CJ399" s="399"/>
      <c r="CK399" s="399"/>
      <c r="CL399" s="399"/>
      <c r="CM399" s="399"/>
      <c r="CN399" s="399"/>
      <c r="CO399" s="399"/>
      <c r="CP399" s="399"/>
      <c r="CQ399" s="399"/>
      <c r="CR399" s="399"/>
      <c r="CS399" s="399"/>
      <c r="CT399" s="399"/>
      <c r="CU399" s="399"/>
      <c r="CV399" s="399"/>
      <c r="CW399" s="399"/>
      <c r="CX399" s="399"/>
      <c r="CY399" s="399"/>
      <c r="CZ399" s="399"/>
      <c r="DA399" s="399"/>
      <c r="DB399" s="399"/>
      <c r="DC399" s="399"/>
      <c r="DD399" s="399"/>
      <c r="DE399" s="399"/>
      <c r="DF399" s="399"/>
      <c r="DG399" s="399"/>
      <c r="DH399" s="399"/>
      <c r="DI399" s="399"/>
      <c r="DJ399" s="399"/>
      <c r="DK399" s="399"/>
      <c r="DL399" s="399"/>
      <c r="DM399" s="399"/>
      <c r="DN399" s="399"/>
      <c r="DO399" s="399"/>
      <c r="DP399" s="399"/>
      <c r="DQ399" s="399"/>
    </row>
    <row r="400" spans="1:121" s="760" customFormat="1" ht="14.45" customHeight="1" x14ac:dyDescent="0.25">
      <c r="A400" s="266">
        <f t="shared" si="6"/>
        <v>33.700000000000003</v>
      </c>
      <c r="B400" s="389">
        <v>41845</v>
      </c>
      <c r="C400" s="390" t="s">
        <v>451</v>
      </c>
      <c r="D400" s="390"/>
      <c r="E400" s="390" t="s">
        <v>380</v>
      </c>
      <c r="F400" s="390" t="s">
        <v>5</v>
      </c>
      <c r="G400" s="390" t="s">
        <v>18</v>
      </c>
      <c r="H400" s="261"/>
      <c r="I400" s="261"/>
      <c r="J400" s="261"/>
      <c r="K400" s="261"/>
      <c r="L400" s="261">
        <v>7</v>
      </c>
      <c r="M400" s="261">
        <v>3</v>
      </c>
      <c r="N400" s="261"/>
      <c r="O400" s="261"/>
      <c r="P400" s="261">
        <v>4</v>
      </c>
      <c r="Q400" s="261">
        <v>9</v>
      </c>
      <c r="R400" s="261"/>
      <c r="S400" s="261"/>
      <c r="T400" s="261"/>
      <c r="U400" s="261"/>
      <c r="V400" s="762"/>
      <c r="W400" s="261"/>
      <c r="X400" s="261"/>
      <c r="Y400" s="264">
        <f>IF(NFI_Expiration=1,IF($A400&lt;VLOOKUP(H$5,NFI,5,0),1,0)*Table_NFI[[#This Row],[Hygiene Kit]],Table_NFI[Hygiene Kit])</f>
        <v>0</v>
      </c>
      <c r="Z400" s="264">
        <f>IF(NFI_Expiration=1,IF($A400&lt;VLOOKUP(I$5,NFI,5,0),1,0)*Table_NFI[[#This Row],[NFI Core Kit]],Table_NFI[NFI Core Kit])</f>
        <v>0</v>
      </c>
      <c r="AA400" s="264">
        <f>IF(NFI_Expiration=1,IF($A400&lt;VLOOKUP(J$5,NFI,5,0),1,0)*Table_NFI[[#This Row],[Sanitary Kit]],Table_NFI[Sanitary Kit])</f>
        <v>0</v>
      </c>
      <c r="AB400" s="264">
        <f>IF(NFI_Expiration=1,IF($A400&lt;VLOOKUP(K$5,NFI,5,0),1,0)*Table_NFI[[#This Row],[Mosquito net]],Table_NFI[Mosquito net])</f>
        <v>0</v>
      </c>
      <c r="AC400" s="264">
        <f>IF(NFI_Expiration=1,IF($A400&lt;VLOOKUP(L$5,NFI,5,0),1,0)*Table_NFI[[#This Row],[Tarpaulin]],Table_NFI[[#This Row],[Tarpaulin]])</f>
        <v>0</v>
      </c>
      <c r="AD400" s="264">
        <f>IF(NFI_Expiration=1,IF($A400&lt;VLOOKUP(M$5,NFI,5,0),1,0)*Table_NFI[[#This Row],[Blanket]],Table_NFI[[#This Row],[Blanket]])</f>
        <v>0</v>
      </c>
      <c r="AE400" s="264">
        <f>IF(NFI_Expiration=1,IF($A400&lt;VLOOKUP(N$5,NFI,5,0),1,0)*Table_NFI[[#This Row],[Kitchen Set]],Table_NFI[Kitchen Set])</f>
        <v>0</v>
      </c>
      <c r="AF400" s="264">
        <f>IF(NFI_Expiration=1,IF($A400&lt;VLOOKUP(O$5,NFI,5,0),1,0)*Table_NFI[[#This Row],[Clothes Kit]],Table_NFI[Clothes Kit])</f>
        <v>0</v>
      </c>
      <c r="AG400" s="264">
        <f>IF(NFI_Expiration=1,IF($A400&lt;VLOOKUP(P$5,NFI,5,0),1,0)*Table_NFI[[#This Row],[Plastic Bucket]],Table_NFI[Plastic Bucket])</f>
        <v>0</v>
      </c>
      <c r="AH400" s="264">
        <f>IF(NFI_Expiration=1,IF($A400&lt;VLOOKUP(Q$5,NFI,5,0),1,0)*Table_NFI[[#This Row],[Plastic Mat]],Table_NFI[Plastic Mat])*IF(Table_NFI[[#This Row],[Distribution Date]]&gt;"2014-04-01",1,2.5)</f>
        <v>0</v>
      </c>
      <c r="AI400" s="264">
        <f>IF(NFI_Expiration=1,IF($A400&lt;VLOOKUP(R$5,NFI,5,0),1,0)*Table_NFI[[#This Row],[Winter Clothes Adult]],Table_NFI[Winter Clothes Adult])</f>
        <v>0</v>
      </c>
      <c r="AJ400" s="264">
        <f>IF(NFI_Expiration=1,IF($A400&lt;VLOOKUP(S$5,NFI,5,0),1,0)*Table_NFI[[#This Row],[Winter Clothes Children]],Table_NFI[Winter Clothes Children])</f>
        <v>0</v>
      </c>
      <c r="AK400" s="264">
        <f>IF(NFI_Expiration=1,IF($A400&lt;VLOOKUP(T$5,NFI,5,0),1,0)*Table_NFI[[#This Row],[Winter Items Other]],Table_NFI[Winter Items Other])</f>
        <v>0</v>
      </c>
      <c r="AL400" s="264">
        <f>IF(NFI_Expiration=1,IF($A400&lt;VLOOKUP(M$5,NFI,5,0),1,0)*Table_NFI[[#This Row],[Winter Blanket]],Table_NFI[[#This Row],[Winter Blanket]])</f>
        <v>0</v>
      </c>
      <c r="AM400" s="264">
        <f>IF(Table_NFI[[#This Row],[Winter Clothes Adult]]+Table_NFI[[#This Row],[Winter Clothes Children]]+Table_NFI[[#This Row],[Winter Items Other]]+Table_NFI[[#This Row],[Winter Blanket]]&gt;0,1,0)</f>
        <v>0</v>
      </c>
      <c r="AN400" s="296">
        <f>IF(NFI_Expiration=1,IF($A400&lt;VLOOKUP(V$5,NFI,5,0),1,0)*Table_NFI[[#This Row],[Jerry Can]],Table_NFI[Jerry Can])</f>
        <v>0</v>
      </c>
      <c r="AO400" s="296">
        <f>IF(NFI_Expiration=1,IF($A400&lt;VLOOKUP(V$5,NFI,5,0),1,0)*Table_NFI[[#This Row],[Shelter Tool kit]],Table_NFI[Shelter Tool kit])</f>
        <v>0</v>
      </c>
      <c r="AP400" s="296">
        <f>IF(NFI_Expiration=1,IF($A400&lt;VLOOKUP(V$5,NFI,5,0),1,0)*Table_NFI[[#This Row],[Tent]],Table_NFI[Tent])</f>
        <v>0</v>
      </c>
      <c r="AQ400" s="396" t="str">
        <f>IFERROR(VLOOKUP(Table_NFI[[#This Row],[Camp Name]],CL,2,0),"")</f>
        <v>MMR001CMP049</v>
      </c>
      <c r="AR400" s="702">
        <f ca="1">IF(Table_NFI[[#This Row],[Pcode]]="","",IF(OFFSET(CampList[Opening Date],MATCH(Table_NFI[[#This Row],[Pcode]],CampList[CP_Pcode],0)-1,0,1,1)&gt;=NFI_Monitor_Date,1,0))</f>
        <v>0</v>
      </c>
      <c r="AS400" s="396" t="str">
        <f>IFERROR(VLOOKUP(Table_NFI[[#This Row],[Camp Name]],CL,3,0),"")</f>
        <v>Open</v>
      </c>
      <c r="AT400" s="264" t="str">
        <f ca="1">IF(Table_NFI[[#This Row],[Pcode]]="","",OFFSET(CampList[Priority],MATCH(Table_NFI[[#This Row],[Pcode]],CampList[CP_Pcode],0)-1,0,1,1))</f>
        <v>P4</v>
      </c>
      <c r="AU400" s="263">
        <f>IFERROR(Table_NFI[[#This Row],[Kitchen Set]]/VLOOKUP(Table_NFI[[#This Row],[Camp Name]],CL,4,0),"")</f>
        <v>0</v>
      </c>
      <c r="AV400" s="390"/>
      <c r="AW400" s="392"/>
      <c r="AX400" s="399"/>
      <c r="AY400" s="399"/>
      <c r="AZ400" s="399"/>
      <c r="BA400" s="399"/>
      <c r="BB400" s="399"/>
      <c r="BC400" s="399"/>
      <c r="BD400" s="399"/>
      <c r="BE400" s="399"/>
      <c r="BF400" s="399"/>
      <c r="BG400" s="399"/>
      <c r="BH400" s="399"/>
      <c r="BI400" s="399"/>
      <c r="BJ400" s="399"/>
      <c r="BK400" s="399"/>
      <c r="BL400" s="399"/>
      <c r="BM400" s="399"/>
      <c r="BN400" s="399"/>
      <c r="BO400" s="399"/>
      <c r="BP400" s="399"/>
      <c r="BQ400" s="399"/>
      <c r="BR400" s="399"/>
      <c r="BS400" s="399"/>
      <c r="BT400" s="399"/>
      <c r="BU400" s="399"/>
      <c r="BV400" s="399"/>
      <c r="BW400" s="399"/>
      <c r="BX400" s="399"/>
      <c r="BY400" s="399"/>
      <c r="BZ400" s="399"/>
      <c r="CA400" s="399"/>
      <c r="CB400" s="399"/>
      <c r="CC400" s="399"/>
      <c r="CD400" s="399"/>
      <c r="CE400" s="399"/>
      <c r="CF400" s="399"/>
      <c r="CG400" s="399"/>
      <c r="CH400" s="399"/>
      <c r="CI400" s="399"/>
      <c r="CJ400" s="399"/>
      <c r="CK400" s="399"/>
      <c r="CL400" s="399"/>
      <c r="CM400" s="399"/>
      <c r="CN400" s="399"/>
      <c r="CO400" s="399"/>
      <c r="CP400" s="399"/>
      <c r="CQ400" s="399"/>
      <c r="CR400" s="399"/>
      <c r="CS400" s="399"/>
      <c r="CT400" s="399"/>
      <c r="CU400" s="399"/>
      <c r="CV400" s="399"/>
      <c r="CW400" s="399"/>
      <c r="CX400" s="399"/>
      <c r="CY400" s="399"/>
      <c r="CZ400" s="399"/>
      <c r="DA400" s="399"/>
      <c r="DB400" s="399"/>
      <c r="DC400" s="399"/>
      <c r="DD400" s="399"/>
      <c r="DE400" s="399"/>
      <c r="DF400" s="399"/>
      <c r="DG400" s="399"/>
      <c r="DH400" s="399"/>
      <c r="DI400" s="399"/>
      <c r="DJ400" s="399"/>
      <c r="DK400" s="399"/>
      <c r="DL400" s="399"/>
      <c r="DM400" s="399"/>
      <c r="DN400" s="399"/>
      <c r="DO400" s="399"/>
      <c r="DP400" s="399"/>
      <c r="DQ400" s="399"/>
    </row>
    <row r="401" spans="1:121" s="760" customFormat="1" ht="14.45" customHeight="1" x14ac:dyDescent="0.25">
      <c r="A401" s="266">
        <f t="shared" si="6"/>
        <v>33.833333333333336</v>
      </c>
      <c r="B401" s="389">
        <v>41841</v>
      </c>
      <c r="C401" s="390" t="s">
        <v>451</v>
      </c>
      <c r="D401" s="390"/>
      <c r="E401" s="390" t="s">
        <v>380</v>
      </c>
      <c r="F401" s="390" t="s">
        <v>5</v>
      </c>
      <c r="G401" s="390" t="s">
        <v>18</v>
      </c>
      <c r="H401" s="261"/>
      <c r="I401" s="261"/>
      <c r="J401" s="261"/>
      <c r="K401" s="261">
        <v>10</v>
      </c>
      <c r="L401" s="261">
        <v>36</v>
      </c>
      <c r="M401" s="261">
        <v>10</v>
      </c>
      <c r="N401" s="261">
        <v>5</v>
      </c>
      <c r="O401" s="261"/>
      <c r="P401" s="261">
        <v>33</v>
      </c>
      <c r="Q401" s="261">
        <v>117</v>
      </c>
      <c r="R401" s="261"/>
      <c r="S401" s="261"/>
      <c r="T401" s="261"/>
      <c r="U401" s="261"/>
      <c r="V401" s="762"/>
      <c r="W401" s="261"/>
      <c r="X401" s="261"/>
      <c r="Y401" s="264">
        <f>IF(NFI_Expiration=1,IF($A401&lt;VLOOKUP(H$5,NFI,5,0),1,0)*Table_NFI[[#This Row],[Hygiene Kit]],Table_NFI[Hygiene Kit])</f>
        <v>0</v>
      </c>
      <c r="Z401" s="264">
        <f>IF(NFI_Expiration=1,IF($A401&lt;VLOOKUP(I$5,NFI,5,0),1,0)*Table_NFI[[#This Row],[NFI Core Kit]],Table_NFI[NFI Core Kit])</f>
        <v>0</v>
      </c>
      <c r="AA401" s="264">
        <f>IF(NFI_Expiration=1,IF($A401&lt;VLOOKUP(J$5,NFI,5,0),1,0)*Table_NFI[[#This Row],[Sanitary Kit]],Table_NFI[Sanitary Kit])</f>
        <v>0</v>
      </c>
      <c r="AB401" s="264">
        <f>IF(NFI_Expiration=1,IF($A401&lt;VLOOKUP(K$5,NFI,5,0),1,0)*Table_NFI[[#This Row],[Mosquito net]],Table_NFI[Mosquito net])</f>
        <v>0</v>
      </c>
      <c r="AC401" s="264">
        <f>IF(NFI_Expiration=1,IF($A401&lt;VLOOKUP(L$5,NFI,5,0),1,0)*Table_NFI[[#This Row],[Tarpaulin]],Table_NFI[[#This Row],[Tarpaulin]])</f>
        <v>0</v>
      </c>
      <c r="AD401" s="264">
        <f>IF(NFI_Expiration=1,IF($A401&lt;VLOOKUP(M$5,NFI,5,0),1,0)*Table_NFI[[#This Row],[Blanket]],Table_NFI[[#This Row],[Blanket]])</f>
        <v>0</v>
      </c>
      <c r="AE401" s="264">
        <f>IF(NFI_Expiration=1,IF($A401&lt;VLOOKUP(N$5,NFI,5,0),1,0)*Table_NFI[[#This Row],[Kitchen Set]],Table_NFI[Kitchen Set])</f>
        <v>0</v>
      </c>
      <c r="AF401" s="264">
        <f>IF(NFI_Expiration=1,IF($A401&lt;VLOOKUP(O$5,NFI,5,0),1,0)*Table_NFI[[#This Row],[Clothes Kit]],Table_NFI[Clothes Kit])</f>
        <v>0</v>
      </c>
      <c r="AG401" s="264">
        <f>IF(NFI_Expiration=1,IF($A401&lt;VLOOKUP(P$5,NFI,5,0),1,0)*Table_NFI[[#This Row],[Plastic Bucket]],Table_NFI[Plastic Bucket])</f>
        <v>0</v>
      </c>
      <c r="AH401" s="264">
        <f>IF(NFI_Expiration=1,IF($A401&lt;VLOOKUP(Q$5,NFI,5,0),1,0)*Table_NFI[[#This Row],[Plastic Mat]],Table_NFI[Plastic Mat])*IF(Table_NFI[[#This Row],[Distribution Date]]&gt;"2014-04-01",1,2.5)</f>
        <v>0</v>
      </c>
      <c r="AI401" s="264">
        <f>IF(NFI_Expiration=1,IF($A401&lt;VLOOKUP(R$5,NFI,5,0),1,0)*Table_NFI[[#This Row],[Winter Clothes Adult]],Table_NFI[Winter Clothes Adult])</f>
        <v>0</v>
      </c>
      <c r="AJ401" s="264">
        <f>IF(NFI_Expiration=1,IF($A401&lt;VLOOKUP(S$5,NFI,5,0),1,0)*Table_NFI[[#This Row],[Winter Clothes Children]],Table_NFI[Winter Clothes Children])</f>
        <v>0</v>
      </c>
      <c r="AK401" s="264">
        <f>IF(NFI_Expiration=1,IF($A401&lt;VLOOKUP(T$5,NFI,5,0),1,0)*Table_NFI[[#This Row],[Winter Items Other]],Table_NFI[Winter Items Other])</f>
        <v>0</v>
      </c>
      <c r="AL401" s="264">
        <f>IF(NFI_Expiration=1,IF($A401&lt;VLOOKUP(M$5,NFI,5,0),1,0)*Table_NFI[[#This Row],[Winter Blanket]],Table_NFI[[#This Row],[Winter Blanket]])</f>
        <v>0</v>
      </c>
      <c r="AM401" s="264">
        <f>IF(Table_NFI[[#This Row],[Winter Clothes Adult]]+Table_NFI[[#This Row],[Winter Clothes Children]]+Table_NFI[[#This Row],[Winter Items Other]]+Table_NFI[[#This Row],[Winter Blanket]]&gt;0,1,0)</f>
        <v>0</v>
      </c>
      <c r="AN401" s="296">
        <f>IF(NFI_Expiration=1,IF($A401&lt;VLOOKUP(V$5,NFI,5,0),1,0)*Table_NFI[[#This Row],[Jerry Can]],Table_NFI[Jerry Can])</f>
        <v>0</v>
      </c>
      <c r="AO401" s="296">
        <f>IF(NFI_Expiration=1,IF($A401&lt;VLOOKUP(V$5,NFI,5,0),1,0)*Table_NFI[[#This Row],[Shelter Tool kit]],Table_NFI[Shelter Tool kit])</f>
        <v>0</v>
      </c>
      <c r="AP401" s="296">
        <f>IF(NFI_Expiration=1,IF($A401&lt;VLOOKUP(V$5,NFI,5,0),1,0)*Table_NFI[[#This Row],[Tent]],Table_NFI[Tent])</f>
        <v>0</v>
      </c>
      <c r="AQ401" s="396" t="str">
        <f>IFERROR(VLOOKUP(Table_NFI[[#This Row],[Camp Name]],CL,2,0),"")</f>
        <v>MMR001CMP049</v>
      </c>
      <c r="AR401" s="702">
        <f ca="1">IF(Table_NFI[[#This Row],[Pcode]]="","",IF(OFFSET(CampList[Opening Date],MATCH(Table_NFI[[#This Row],[Pcode]],CampList[CP_Pcode],0)-1,0,1,1)&gt;=NFI_Monitor_Date,1,0))</f>
        <v>0</v>
      </c>
      <c r="AS401" s="396" t="str">
        <f>IFERROR(VLOOKUP(Table_NFI[[#This Row],[Camp Name]],CL,3,0),"")</f>
        <v>Open</v>
      </c>
      <c r="AT401" s="264" t="str">
        <f ca="1">IF(Table_NFI[[#This Row],[Pcode]]="","",OFFSET(CampList[Priority],MATCH(Table_NFI[[#This Row],[Pcode]],CampList[CP_Pcode],0)-1,0,1,1))</f>
        <v>P4</v>
      </c>
      <c r="AU401" s="263">
        <f>IFERROR(Table_NFI[[#This Row],[Kitchen Set]]/VLOOKUP(Table_NFI[[#This Row],[Camp Name]],CL,4,0),"")</f>
        <v>1.2286521685710776E-4</v>
      </c>
      <c r="AV401" s="390"/>
      <c r="AW401" s="392"/>
      <c r="AX401" s="399"/>
      <c r="AY401" s="399"/>
      <c r="AZ401" s="399"/>
      <c r="BA401" s="399"/>
      <c r="BB401" s="399"/>
      <c r="BC401" s="399"/>
      <c r="BD401" s="399"/>
      <c r="BE401" s="399"/>
      <c r="BF401" s="399"/>
      <c r="BG401" s="399"/>
      <c r="BH401" s="399"/>
      <c r="BI401" s="399"/>
      <c r="BJ401" s="399"/>
      <c r="BK401" s="399"/>
      <c r="BL401" s="399"/>
      <c r="BM401" s="399"/>
      <c r="BN401" s="399"/>
      <c r="BO401" s="399"/>
      <c r="BP401" s="399"/>
      <c r="BQ401" s="399"/>
      <c r="BR401" s="399"/>
      <c r="BS401" s="399"/>
      <c r="BT401" s="399"/>
      <c r="BU401" s="399"/>
      <c r="BV401" s="399"/>
      <c r="BW401" s="399"/>
      <c r="BX401" s="399"/>
      <c r="BY401" s="399"/>
      <c r="BZ401" s="399"/>
      <c r="CA401" s="399"/>
      <c r="CB401" s="399"/>
      <c r="CC401" s="399"/>
      <c r="CD401" s="399"/>
      <c r="CE401" s="399"/>
      <c r="CF401" s="399"/>
      <c r="CG401" s="399"/>
      <c r="CH401" s="399"/>
      <c r="CI401" s="399"/>
      <c r="CJ401" s="399"/>
      <c r="CK401" s="399"/>
      <c r="CL401" s="399"/>
      <c r="CM401" s="399"/>
      <c r="CN401" s="399"/>
      <c r="CO401" s="399"/>
      <c r="CP401" s="399"/>
      <c r="CQ401" s="399"/>
      <c r="CR401" s="399"/>
      <c r="CS401" s="399"/>
      <c r="CT401" s="399"/>
      <c r="CU401" s="399"/>
      <c r="CV401" s="399"/>
      <c r="CW401" s="399"/>
      <c r="CX401" s="399"/>
      <c r="CY401" s="399"/>
      <c r="CZ401" s="399"/>
      <c r="DA401" s="399"/>
      <c r="DB401" s="399"/>
      <c r="DC401" s="399"/>
      <c r="DD401" s="399"/>
      <c r="DE401" s="399"/>
      <c r="DF401" s="399"/>
      <c r="DG401" s="399"/>
      <c r="DH401" s="399"/>
      <c r="DI401" s="399"/>
      <c r="DJ401" s="399"/>
      <c r="DK401" s="399"/>
      <c r="DL401" s="399"/>
      <c r="DM401" s="399"/>
      <c r="DN401" s="399"/>
      <c r="DO401" s="399"/>
      <c r="DP401" s="399"/>
      <c r="DQ401" s="399"/>
    </row>
    <row r="402" spans="1:121" s="760" customFormat="1" ht="15" customHeight="1" x14ac:dyDescent="0.25">
      <c r="A402" s="266">
        <f t="shared" si="6"/>
        <v>33.833333333333336</v>
      </c>
      <c r="B402" s="389">
        <v>41841</v>
      </c>
      <c r="C402" s="390" t="s">
        <v>451</v>
      </c>
      <c r="D402" s="390"/>
      <c r="E402" s="390" t="s">
        <v>380</v>
      </c>
      <c r="F402" s="390" t="s">
        <v>185</v>
      </c>
      <c r="G402" s="390" t="s">
        <v>209</v>
      </c>
      <c r="H402" s="261"/>
      <c r="I402" s="261"/>
      <c r="J402" s="261"/>
      <c r="K402" s="261"/>
      <c r="L402" s="261">
        <v>75</v>
      </c>
      <c r="M402" s="261"/>
      <c r="N402" s="261"/>
      <c r="O402" s="261"/>
      <c r="P402" s="261"/>
      <c r="Q402" s="261"/>
      <c r="R402" s="261"/>
      <c r="S402" s="261"/>
      <c r="T402" s="261"/>
      <c r="U402" s="261"/>
      <c r="V402" s="762"/>
      <c r="W402" s="261"/>
      <c r="X402" s="261"/>
      <c r="Y402" s="264">
        <f>IF(NFI_Expiration=1,IF($A402&lt;VLOOKUP(H$5,NFI,5,0),1,0)*Table_NFI[[#This Row],[Hygiene Kit]],Table_NFI[Hygiene Kit])</f>
        <v>0</v>
      </c>
      <c r="Z402" s="264">
        <f>IF(NFI_Expiration=1,IF($A402&lt;VLOOKUP(I$5,NFI,5,0),1,0)*Table_NFI[[#This Row],[NFI Core Kit]],Table_NFI[NFI Core Kit])</f>
        <v>0</v>
      </c>
      <c r="AA402" s="264">
        <f>IF(NFI_Expiration=1,IF($A402&lt;VLOOKUP(J$5,NFI,5,0),1,0)*Table_NFI[[#This Row],[Sanitary Kit]],Table_NFI[Sanitary Kit])</f>
        <v>0</v>
      </c>
      <c r="AB402" s="264">
        <f>IF(NFI_Expiration=1,IF($A402&lt;VLOOKUP(K$5,NFI,5,0),1,0)*Table_NFI[[#This Row],[Mosquito net]],Table_NFI[Mosquito net])</f>
        <v>0</v>
      </c>
      <c r="AC402" s="264">
        <f>IF(NFI_Expiration=1,IF($A402&lt;VLOOKUP(L$5,NFI,5,0),1,0)*Table_NFI[[#This Row],[Tarpaulin]],Table_NFI[[#This Row],[Tarpaulin]])</f>
        <v>0</v>
      </c>
      <c r="AD402" s="264">
        <f>IF(NFI_Expiration=1,IF($A402&lt;VLOOKUP(M$5,NFI,5,0),1,0)*Table_NFI[[#This Row],[Blanket]],Table_NFI[[#This Row],[Blanket]])</f>
        <v>0</v>
      </c>
      <c r="AE402" s="264">
        <f>IF(NFI_Expiration=1,IF($A402&lt;VLOOKUP(N$5,NFI,5,0),1,0)*Table_NFI[[#This Row],[Kitchen Set]],Table_NFI[Kitchen Set])</f>
        <v>0</v>
      </c>
      <c r="AF402" s="264">
        <f>IF(NFI_Expiration=1,IF($A402&lt;VLOOKUP(O$5,NFI,5,0),1,0)*Table_NFI[[#This Row],[Clothes Kit]],Table_NFI[Clothes Kit])</f>
        <v>0</v>
      </c>
      <c r="AG402" s="264">
        <f>IF(NFI_Expiration=1,IF($A402&lt;VLOOKUP(P$5,NFI,5,0),1,0)*Table_NFI[[#This Row],[Plastic Bucket]],Table_NFI[Plastic Bucket])</f>
        <v>0</v>
      </c>
      <c r="AH402" s="264">
        <f>IF(NFI_Expiration=1,IF($A402&lt;VLOOKUP(Q$5,NFI,5,0),1,0)*Table_NFI[[#This Row],[Plastic Mat]],Table_NFI[Plastic Mat])*IF(Table_NFI[[#This Row],[Distribution Date]]&gt;"2014-04-01",1,2.5)</f>
        <v>0</v>
      </c>
      <c r="AI402" s="264">
        <f>IF(NFI_Expiration=1,IF($A402&lt;VLOOKUP(R$5,NFI,5,0),1,0)*Table_NFI[[#This Row],[Winter Clothes Adult]],Table_NFI[Winter Clothes Adult])</f>
        <v>0</v>
      </c>
      <c r="AJ402" s="264">
        <f>IF(NFI_Expiration=1,IF($A402&lt;VLOOKUP(S$5,NFI,5,0),1,0)*Table_NFI[[#This Row],[Winter Clothes Children]],Table_NFI[Winter Clothes Children])</f>
        <v>0</v>
      </c>
      <c r="AK402" s="264">
        <f>IF(NFI_Expiration=1,IF($A402&lt;VLOOKUP(T$5,NFI,5,0),1,0)*Table_NFI[[#This Row],[Winter Items Other]],Table_NFI[Winter Items Other])</f>
        <v>0</v>
      </c>
      <c r="AL402" s="264">
        <f>IF(NFI_Expiration=1,IF($A402&lt;VLOOKUP(M$5,NFI,5,0),1,0)*Table_NFI[[#This Row],[Winter Blanket]],Table_NFI[[#This Row],[Winter Blanket]])</f>
        <v>0</v>
      </c>
      <c r="AM402" s="264">
        <f>IF(Table_NFI[[#This Row],[Winter Clothes Adult]]+Table_NFI[[#This Row],[Winter Clothes Children]]+Table_NFI[[#This Row],[Winter Items Other]]+Table_NFI[[#This Row],[Winter Blanket]]&gt;0,1,0)</f>
        <v>0</v>
      </c>
      <c r="AN402" s="296">
        <f>IF(NFI_Expiration=1,IF($A402&lt;VLOOKUP(V$5,NFI,5,0),1,0)*Table_NFI[[#This Row],[Jerry Can]],Table_NFI[Jerry Can])</f>
        <v>0</v>
      </c>
      <c r="AO402" s="296">
        <f>IF(NFI_Expiration=1,IF($A402&lt;VLOOKUP(V$5,NFI,5,0),1,0)*Table_NFI[[#This Row],[Shelter Tool kit]],Table_NFI[Shelter Tool kit])</f>
        <v>0</v>
      </c>
      <c r="AP402" s="296">
        <f>IF(NFI_Expiration=1,IF($A402&lt;VLOOKUP(V$5,NFI,5,0),1,0)*Table_NFI[[#This Row],[Tent]],Table_NFI[Tent])</f>
        <v>0</v>
      </c>
      <c r="AQ402" s="396" t="str">
        <f>IFERROR(VLOOKUP(Table_NFI[[#This Row],[Camp Name]],CL,2,0),"")</f>
        <v>MMR001CMP056</v>
      </c>
      <c r="AR402" s="702">
        <f ca="1">IF(Table_NFI[[#This Row],[Pcode]]="","",IF(OFFSET(CampList[Opening Date],MATCH(Table_NFI[[#This Row],[Pcode]],CampList[CP_Pcode],0)-1,0,1,1)&gt;=NFI_Monitor_Date,1,0))</f>
        <v>0</v>
      </c>
      <c r="AS402" s="396" t="str">
        <f>IFERROR(VLOOKUP(Table_NFI[[#This Row],[Camp Name]],CL,3,0),"")</f>
        <v>Open</v>
      </c>
      <c r="AT402" s="264" t="str">
        <f ca="1">IF(Table_NFI[[#This Row],[Pcode]]="","",OFFSET(CampList[Priority],MATCH(Table_NFI[[#This Row],[Pcode]],CampList[CP_Pcode],0)-1,0,1,1))</f>
        <v>P4</v>
      </c>
      <c r="AU402" s="263">
        <f>IFERROR(Table_NFI[[#This Row],[Kitchen Set]]/VLOOKUP(Table_NFI[[#This Row],[Camp Name]],CL,4,0),"")</f>
        <v>0</v>
      </c>
      <c r="AV402" s="390"/>
      <c r="AW402" s="392"/>
      <c r="AX402" s="399"/>
      <c r="AY402" s="399"/>
      <c r="AZ402" s="399"/>
      <c r="BA402" s="399"/>
      <c r="BB402" s="399"/>
      <c r="BC402" s="399"/>
      <c r="BD402" s="399"/>
      <c r="BE402" s="399"/>
      <c r="BF402" s="399"/>
      <c r="BG402" s="399"/>
      <c r="BH402" s="399"/>
      <c r="BI402" s="399"/>
      <c r="BJ402" s="399"/>
      <c r="BK402" s="399"/>
      <c r="BL402" s="399"/>
      <c r="BM402" s="399"/>
      <c r="BN402" s="399"/>
      <c r="BO402" s="399"/>
      <c r="BP402" s="399"/>
      <c r="BQ402" s="399"/>
      <c r="BR402" s="399"/>
      <c r="BS402" s="399"/>
      <c r="BT402" s="399"/>
      <c r="BU402" s="399"/>
      <c r="BV402" s="399"/>
      <c r="BW402" s="399"/>
      <c r="BX402" s="399"/>
      <c r="BY402" s="399"/>
      <c r="BZ402" s="399"/>
      <c r="CA402" s="399"/>
      <c r="CB402" s="399"/>
      <c r="CC402" s="399"/>
      <c r="CD402" s="399"/>
      <c r="CE402" s="399"/>
      <c r="CF402" s="399"/>
      <c r="CG402" s="399"/>
      <c r="CH402" s="399"/>
      <c r="CI402" s="399"/>
      <c r="CJ402" s="399"/>
      <c r="CK402" s="399"/>
      <c r="CL402" s="399"/>
      <c r="CM402" s="399"/>
      <c r="CN402" s="399"/>
      <c r="CO402" s="399"/>
      <c r="CP402" s="399"/>
      <c r="CQ402" s="399"/>
      <c r="CR402" s="399"/>
      <c r="CS402" s="399"/>
      <c r="CT402" s="399"/>
      <c r="CU402" s="399"/>
      <c r="CV402" s="399"/>
      <c r="CW402" s="399"/>
      <c r="CX402" s="399"/>
      <c r="CY402" s="399"/>
      <c r="CZ402" s="399"/>
      <c r="DA402" s="399"/>
      <c r="DB402" s="399"/>
      <c r="DC402" s="399"/>
      <c r="DD402" s="399"/>
      <c r="DE402" s="399"/>
      <c r="DF402" s="399"/>
      <c r="DG402" s="399"/>
      <c r="DH402" s="399"/>
      <c r="DI402" s="399"/>
      <c r="DJ402" s="399"/>
      <c r="DK402" s="399"/>
      <c r="DL402" s="399"/>
      <c r="DM402" s="399"/>
      <c r="DN402" s="399"/>
      <c r="DO402" s="399"/>
      <c r="DP402" s="399"/>
      <c r="DQ402" s="399"/>
    </row>
    <row r="403" spans="1:121" s="760" customFormat="1" ht="15" customHeight="1" x14ac:dyDescent="0.25">
      <c r="A403" s="266">
        <f t="shared" si="6"/>
        <v>34.233333333333334</v>
      </c>
      <c r="B403" s="389">
        <v>41829</v>
      </c>
      <c r="C403" s="390" t="s">
        <v>451</v>
      </c>
      <c r="D403" s="390"/>
      <c r="E403" s="390" t="s">
        <v>380</v>
      </c>
      <c r="F403" s="390" t="s">
        <v>151</v>
      </c>
      <c r="G403" s="390" t="s">
        <v>884</v>
      </c>
      <c r="H403" s="261"/>
      <c r="I403" s="261"/>
      <c r="J403" s="261"/>
      <c r="K403" s="261"/>
      <c r="L403" s="261"/>
      <c r="M403" s="261">
        <v>10</v>
      </c>
      <c r="N403" s="261"/>
      <c r="O403" s="261"/>
      <c r="P403" s="261"/>
      <c r="Q403" s="261"/>
      <c r="R403" s="261"/>
      <c r="S403" s="261"/>
      <c r="T403" s="261"/>
      <c r="U403" s="261"/>
      <c r="V403" s="762"/>
      <c r="W403" s="261"/>
      <c r="X403" s="261"/>
      <c r="Y403" s="264">
        <f>IF(NFI_Expiration=1,IF($A403&lt;VLOOKUP(H$5,NFI,5,0),1,0)*Table_NFI[[#This Row],[Hygiene Kit]],Table_NFI[Hygiene Kit])</f>
        <v>0</v>
      </c>
      <c r="Z403" s="264">
        <f>IF(NFI_Expiration=1,IF($A403&lt;VLOOKUP(I$5,NFI,5,0),1,0)*Table_NFI[[#This Row],[NFI Core Kit]],Table_NFI[NFI Core Kit])</f>
        <v>0</v>
      </c>
      <c r="AA403" s="264">
        <f>IF(NFI_Expiration=1,IF($A403&lt;VLOOKUP(J$5,NFI,5,0),1,0)*Table_NFI[[#This Row],[Sanitary Kit]],Table_NFI[Sanitary Kit])</f>
        <v>0</v>
      </c>
      <c r="AB403" s="264">
        <f>IF(NFI_Expiration=1,IF($A403&lt;VLOOKUP(K$5,NFI,5,0),1,0)*Table_NFI[[#This Row],[Mosquito net]],Table_NFI[Mosquito net])</f>
        <v>0</v>
      </c>
      <c r="AC403" s="264">
        <f>IF(NFI_Expiration=1,IF($A403&lt;VLOOKUP(L$5,NFI,5,0),1,0)*Table_NFI[[#This Row],[Tarpaulin]],Table_NFI[[#This Row],[Tarpaulin]])</f>
        <v>0</v>
      </c>
      <c r="AD403" s="264">
        <f>IF(NFI_Expiration=1,IF($A403&lt;VLOOKUP(M$5,NFI,5,0),1,0)*Table_NFI[[#This Row],[Blanket]],Table_NFI[[#This Row],[Blanket]])</f>
        <v>0</v>
      </c>
      <c r="AE403" s="264">
        <f>IF(NFI_Expiration=1,IF($A403&lt;VLOOKUP(N$5,NFI,5,0),1,0)*Table_NFI[[#This Row],[Kitchen Set]],Table_NFI[Kitchen Set])</f>
        <v>0</v>
      </c>
      <c r="AF403" s="264">
        <f>IF(NFI_Expiration=1,IF($A403&lt;VLOOKUP(O$5,NFI,5,0),1,0)*Table_NFI[[#This Row],[Clothes Kit]],Table_NFI[Clothes Kit])</f>
        <v>0</v>
      </c>
      <c r="AG403" s="264">
        <f>IF(NFI_Expiration=1,IF($A403&lt;VLOOKUP(P$5,NFI,5,0),1,0)*Table_NFI[[#This Row],[Plastic Bucket]],Table_NFI[Plastic Bucket])</f>
        <v>0</v>
      </c>
      <c r="AH403" s="264">
        <f>IF(NFI_Expiration=1,IF($A403&lt;VLOOKUP(Q$5,NFI,5,0),1,0)*Table_NFI[[#This Row],[Plastic Mat]],Table_NFI[Plastic Mat])*IF(Table_NFI[[#This Row],[Distribution Date]]&gt;"2014-04-01",1,2.5)</f>
        <v>0</v>
      </c>
      <c r="AI403" s="264">
        <f>IF(NFI_Expiration=1,IF($A403&lt;VLOOKUP(R$5,NFI,5,0),1,0)*Table_NFI[[#This Row],[Winter Clothes Adult]],Table_NFI[Winter Clothes Adult])</f>
        <v>0</v>
      </c>
      <c r="AJ403" s="264">
        <f>IF(NFI_Expiration=1,IF($A403&lt;VLOOKUP(S$5,NFI,5,0),1,0)*Table_NFI[[#This Row],[Winter Clothes Children]],Table_NFI[Winter Clothes Children])</f>
        <v>0</v>
      </c>
      <c r="AK403" s="264">
        <f>IF(NFI_Expiration=1,IF($A403&lt;VLOOKUP(T$5,NFI,5,0),1,0)*Table_NFI[[#This Row],[Winter Items Other]],Table_NFI[Winter Items Other])</f>
        <v>0</v>
      </c>
      <c r="AL403" s="264">
        <f>IF(NFI_Expiration=1,IF($A403&lt;VLOOKUP(M$5,NFI,5,0),1,0)*Table_NFI[[#This Row],[Winter Blanket]],Table_NFI[[#This Row],[Winter Blanket]])</f>
        <v>0</v>
      </c>
      <c r="AM403" s="264">
        <f>IF(Table_NFI[[#This Row],[Winter Clothes Adult]]+Table_NFI[[#This Row],[Winter Clothes Children]]+Table_NFI[[#This Row],[Winter Items Other]]+Table_NFI[[#This Row],[Winter Blanket]]&gt;0,1,0)</f>
        <v>0</v>
      </c>
      <c r="AN403" s="296">
        <f>IF(NFI_Expiration=1,IF($A403&lt;VLOOKUP(V$5,NFI,5,0),1,0)*Table_NFI[[#This Row],[Jerry Can]],Table_NFI[Jerry Can])</f>
        <v>0</v>
      </c>
      <c r="AO403" s="296">
        <f>IF(NFI_Expiration=1,IF($A403&lt;VLOOKUP(V$5,NFI,5,0),1,0)*Table_NFI[[#This Row],[Shelter Tool kit]],Table_NFI[Shelter Tool kit])</f>
        <v>0</v>
      </c>
      <c r="AP403" s="296">
        <f>IF(NFI_Expiration=1,IF($A403&lt;VLOOKUP(V$5,NFI,5,0),1,0)*Table_NFI[[#This Row],[Tent]],Table_NFI[Tent])</f>
        <v>0</v>
      </c>
      <c r="AQ403" s="396" t="str">
        <f>IFERROR(VLOOKUP(Table_NFI[[#This Row],[Camp Name]],CL,2,0),"")</f>
        <v>MMR001CMP218</v>
      </c>
      <c r="AR403" s="702">
        <f ca="1">IF(Table_NFI[[#This Row],[Pcode]]="","",IF(OFFSET(CampList[Opening Date],MATCH(Table_NFI[[#This Row],[Pcode]],CampList[CP_Pcode],0)-1,0,1,1)&gt;=NFI_Monitor_Date,1,0))</f>
        <v>0</v>
      </c>
      <c r="AS403" s="396" t="str">
        <f>IFERROR(VLOOKUP(Table_NFI[[#This Row],[Camp Name]],CL,3,0),"")</f>
        <v>Open</v>
      </c>
      <c r="AT403" s="264" t="str">
        <f ca="1">IF(Table_NFI[[#This Row],[Pcode]]="","",OFFSET(CampList[Priority],MATCH(Table_NFI[[#This Row],[Pcode]],CampList[CP_Pcode],0)-1,0,1,1))</f>
        <v>P4</v>
      </c>
      <c r="AU403" s="263">
        <f>IFERROR(Table_NFI[[#This Row],[Kitchen Set]]/VLOOKUP(Table_NFI[[#This Row],[Camp Name]],CL,4,0),"")</f>
        <v>0</v>
      </c>
      <c r="AV403" s="390"/>
      <c r="AW403" s="392"/>
      <c r="AX403" s="399"/>
      <c r="AY403" s="399"/>
      <c r="AZ403" s="399"/>
      <c r="BA403" s="399"/>
      <c r="BB403" s="399"/>
      <c r="BC403" s="399"/>
      <c r="BD403" s="399"/>
      <c r="BE403" s="399"/>
      <c r="BF403" s="399"/>
      <c r="BG403" s="399"/>
      <c r="BH403" s="399"/>
      <c r="BI403" s="399"/>
      <c r="BJ403" s="399"/>
      <c r="BK403" s="399"/>
      <c r="BL403" s="399"/>
      <c r="BM403" s="399"/>
      <c r="BN403" s="399"/>
      <c r="BO403" s="399"/>
      <c r="BP403" s="399"/>
      <c r="BQ403" s="399"/>
      <c r="BR403" s="399"/>
      <c r="BS403" s="399"/>
      <c r="BT403" s="399"/>
      <c r="BU403" s="399"/>
      <c r="BV403" s="399"/>
      <c r="BW403" s="399"/>
      <c r="BX403" s="399"/>
      <c r="BY403" s="399"/>
      <c r="BZ403" s="399"/>
      <c r="CA403" s="399"/>
      <c r="CB403" s="399"/>
      <c r="CC403" s="399"/>
      <c r="CD403" s="399"/>
      <c r="CE403" s="399"/>
      <c r="CF403" s="399"/>
      <c r="CG403" s="399"/>
      <c r="CH403" s="399"/>
      <c r="CI403" s="399"/>
      <c r="CJ403" s="399"/>
      <c r="CK403" s="399"/>
      <c r="CL403" s="399"/>
      <c r="CM403" s="399"/>
      <c r="CN403" s="399"/>
      <c r="CO403" s="399"/>
      <c r="CP403" s="399"/>
      <c r="CQ403" s="399"/>
      <c r="CR403" s="399"/>
      <c r="CS403" s="399"/>
      <c r="CT403" s="399"/>
      <c r="CU403" s="399"/>
      <c r="CV403" s="399"/>
      <c r="CW403" s="399"/>
      <c r="CX403" s="399"/>
      <c r="CY403" s="399"/>
      <c r="CZ403" s="399"/>
      <c r="DA403" s="399"/>
      <c r="DB403" s="399"/>
      <c r="DC403" s="399"/>
      <c r="DD403" s="399"/>
      <c r="DE403" s="399"/>
      <c r="DF403" s="399"/>
      <c r="DG403" s="399"/>
      <c r="DH403" s="399"/>
      <c r="DI403" s="399"/>
      <c r="DJ403" s="399"/>
      <c r="DK403" s="399"/>
      <c r="DL403" s="399"/>
      <c r="DM403" s="399"/>
      <c r="DN403" s="399"/>
      <c r="DO403" s="399"/>
      <c r="DP403" s="399"/>
      <c r="DQ403" s="399"/>
    </row>
    <row r="404" spans="1:121" s="760" customFormat="1" ht="14.45" customHeight="1" x14ac:dyDescent="0.25">
      <c r="A404" s="266">
        <f t="shared" si="6"/>
        <v>34.233333333333334</v>
      </c>
      <c r="B404" s="389">
        <v>41829</v>
      </c>
      <c r="C404" s="390" t="s">
        <v>451</v>
      </c>
      <c r="D404" s="390"/>
      <c r="E404" s="390" t="s">
        <v>380</v>
      </c>
      <c r="F404" s="390" t="s">
        <v>151</v>
      </c>
      <c r="G404" s="390" t="s">
        <v>941</v>
      </c>
      <c r="H404" s="261"/>
      <c r="I404" s="261"/>
      <c r="J404" s="261"/>
      <c r="K404" s="261">
        <v>35</v>
      </c>
      <c r="L404" s="261">
        <v>13</v>
      </c>
      <c r="M404" s="261">
        <v>70</v>
      </c>
      <c r="N404" s="261">
        <v>13</v>
      </c>
      <c r="O404" s="261"/>
      <c r="P404" s="261">
        <v>13</v>
      </c>
      <c r="Q404" s="261">
        <v>25</v>
      </c>
      <c r="R404" s="261"/>
      <c r="S404" s="261"/>
      <c r="T404" s="261"/>
      <c r="U404" s="261"/>
      <c r="V404" s="762"/>
      <c r="W404" s="261"/>
      <c r="X404" s="261"/>
      <c r="Y404" s="264">
        <f>IF(NFI_Expiration=1,IF($A404&lt;VLOOKUP(H$5,NFI,5,0),1,0)*Table_NFI[[#This Row],[Hygiene Kit]],Table_NFI[Hygiene Kit])</f>
        <v>0</v>
      </c>
      <c r="Z404" s="264">
        <f>IF(NFI_Expiration=1,IF($A404&lt;VLOOKUP(I$5,NFI,5,0),1,0)*Table_NFI[[#This Row],[NFI Core Kit]],Table_NFI[NFI Core Kit])</f>
        <v>0</v>
      </c>
      <c r="AA404" s="264">
        <f>IF(NFI_Expiration=1,IF($A404&lt;VLOOKUP(J$5,NFI,5,0),1,0)*Table_NFI[[#This Row],[Sanitary Kit]],Table_NFI[Sanitary Kit])</f>
        <v>0</v>
      </c>
      <c r="AB404" s="264">
        <f>IF(NFI_Expiration=1,IF($A404&lt;VLOOKUP(K$5,NFI,5,0),1,0)*Table_NFI[[#This Row],[Mosquito net]],Table_NFI[Mosquito net])</f>
        <v>0</v>
      </c>
      <c r="AC404" s="264">
        <f>IF(NFI_Expiration=1,IF($A404&lt;VLOOKUP(L$5,NFI,5,0),1,0)*Table_NFI[[#This Row],[Tarpaulin]],Table_NFI[[#This Row],[Tarpaulin]])</f>
        <v>0</v>
      </c>
      <c r="AD404" s="264">
        <f>IF(NFI_Expiration=1,IF($A404&lt;VLOOKUP(M$5,NFI,5,0),1,0)*Table_NFI[[#This Row],[Blanket]],Table_NFI[[#This Row],[Blanket]])</f>
        <v>0</v>
      </c>
      <c r="AE404" s="264">
        <f>IF(NFI_Expiration=1,IF($A404&lt;VLOOKUP(N$5,NFI,5,0),1,0)*Table_NFI[[#This Row],[Kitchen Set]],Table_NFI[Kitchen Set])</f>
        <v>0</v>
      </c>
      <c r="AF404" s="264">
        <f>IF(NFI_Expiration=1,IF($A404&lt;VLOOKUP(O$5,NFI,5,0),1,0)*Table_NFI[[#This Row],[Clothes Kit]],Table_NFI[Clothes Kit])</f>
        <v>0</v>
      </c>
      <c r="AG404" s="264">
        <f>IF(NFI_Expiration=1,IF($A404&lt;VLOOKUP(P$5,NFI,5,0),1,0)*Table_NFI[[#This Row],[Plastic Bucket]],Table_NFI[Plastic Bucket])</f>
        <v>0</v>
      </c>
      <c r="AH404" s="264">
        <f>IF(NFI_Expiration=1,IF($A404&lt;VLOOKUP(Q$5,NFI,5,0),1,0)*Table_NFI[[#This Row],[Plastic Mat]],Table_NFI[Plastic Mat])*IF(Table_NFI[[#This Row],[Distribution Date]]&gt;"2014-04-01",1,2.5)</f>
        <v>0</v>
      </c>
      <c r="AI404" s="264">
        <f>IF(NFI_Expiration=1,IF($A404&lt;VLOOKUP(R$5,NFI,5,0),1,0)*Table_NFI[[#This Row],[Winter Clothes Adult]],Table_NFI[Winter Clothes Adult])</f>
        <v>0</v>
      </c>
      <c r="AJ404" s="264">
        <f>IF(NFI_Expiration=1,IF($A404&lt;VLOOKUP(S$5,NFI,5,0),1,0)*Table_NFI[[#This Row],[Winter Clothes Children]],Table_NFI[Winter Clothes Children])</f>
        <v>0</v>
      </c>
      <c r="AK404" s="264">
        <f>IF(NFI_Expiration=1,IF($A404&lt;VLOOKUP(T$5,NFI,5,0),1,0)*Table_NFI[[#This Row],[Winter Items Other]],Table_NFI[Winter Items Other])</f>
        <v>0</v>
      </c>
      <c r="AL404" s="264">
        <f>IF(NFI_Expiration=1,IF($A404&lt;VLOOKUP(M$5,NFI,5,0),1,0)*Table_NFI[[#This Row],[Winter Blanket]],Table_NFI[[#This Row],[Winter Blanket]])</f>
        <v>0</v>
      </c>
      <c r="AM404" s="264">
        <f>IF(Table_NFI[[#This Row],[Winter Clothes Adult]]+Table_NFI[[#This Row],[Winter Clothes Children]]+Table_NFI[[#This Row],[Winter Items Other]]+Table_NFI[[#This Row],[Winter Blanket]]&gt;0,1,0)</f>
        <v>0</v>
      </c>
      <c r="AN404" s="296">
        <f>IF(NFI_Expiration=1,IF($A404&lt;VLOOKUP(V$5,NFI,5,0),1,0)*Table_NFI[[#This Row],[Jerry Can]],Table_NFI[Jerry Can])</f>
        <v>0</v>
      </c>
      <c r="AO404" s="296">
        <f>IF(NFI_Expiration=1,IF($A404&lt;VLOOKUP(V$5,NFI,5,0),1,0)*Table_NFI[[#This Row],[Shelter Tool kit]],Table_NFI[Shelter Tool kit])</f>
        <v>0</v>
      </c>
      <c r="AP404" s="296">
        <f>IF(NFI_Expiration=1,IF($A404&lt;VLOOKUP(V$5,NFI,5,0),1,0)*Table_NFI[[#This Row],[Tent]],Table_NFI[Tent])</f>
        <v>0</v>
      </c>
      <c r="AQ404" s="396" t="str">
        <f>IFERROR(VLOOKUP(Table_NFI[[#This Row],[Camp Name]],CL,2,0),"")</f>
        <v>MMR001CMP223</v>
      </c>
      <c r="AR404" s="702">
        <f ca="1">IF(Table_NFI[[#This Row],[Pcode]]="","",IF(OFFSET(CampList[Opening Date],MATCH(Table_NFI[[#This Row],[Pcode]],CampList[CP_Pcode],0)-1,0,1,1)&gt;=NFI_Monitor_Date,1,0))</f>
        <v>0</v>
      </c>
      <c r="AS404" s="396" t="str">
        <f>IFERROR(VLOOKUP(Table_NFI[[#This Row],[Camp Name]],CL,3,0),"")</f>
        <v>Open</v>
      </c>
      <c r="AT404" s="264" t="str">
        <f ca="1">IF(Table_NFI[[#This Row],[Pcode]]="","",OFFSET(CampList[Priority],MATCH(Table_NFI[[#This Row],[Pcode]],CampList[CP_Pcode],0)-1,0,1,1))</f>
        <v>P4</v>
      </c>
      <c r="AU404" s="263">
        <f>IFERROR(Table_NFI[[#This Row],[Kitchen Set]]/VLOOKUP(Table_NFI[[#This Row],[Camp Name]],CL,4,0),"")</f>
        <v>3.1289111389236547E-4</v>
      </c>
      <c r="AV404" s="390"/>
      <c r="AW404" s="392"/>
      <c r="AX404" s="399"/>
      <c r="AY404" s="399"/>
      <c r="AZ404" s="399"/>
      <c r="BA404" s="399"/>
      <c r="BB404" s="399"/>
      <c r="BC404" s="399"/>
      <c r="BD404" s="399"/>
      <c r="BE404" s="399"/>
      <c r="BF404" s="399"/>
      <c r="BG404" s="399"/>
      <c r="BH404" s="399"/>
      <c r="BI404" s="399"/>
      <c r="BJ404" s="399"/>
      <c r="BK404" s="399"/>
      <c r="BL404" s="399"/>
      <c r="BM404" s="399"/>
      <c r="BN404" s="399"/>
      <c r="BO404" s="399"/>
      <c r="BP404" s="399"/>
      <c r="BQ404" s="399"/>
      <c r="BR404" s="399"/>
      <c r="BS404" s="399"/>
      <c r="BT404" s="399"/>
      <c r="BU404" s="399"/>
      <c r="BV404" s="399"/>
      <c r="BW404" s="399"/>
      <c r="BX404" s="399"/>
      <c r="BY404" s="399"/>
      <c r="BZ404" s="399"/>
      <c r="CA404" s="399"/>
      <c r="CB404" s="399"/>
      <c r="CC404" s="399"/>
      <c r="CD404" s="399"/>
      <c r="CE404" s="399"/>
      <c r="CF404" s="399"/>
      <c r="CG404" s="399"/>
      <c r="CH404" s="399"/>
      <c r="CI404" s="399"/>
      <c r="CJ404" s="399"/>
      <c r="CK404" s="399"/>
      <c r="CL404" s="399"/>
      <c r="CM404" s="399"/>
      <c r="CN404" s="399"/>
      <c r="CO404" s="399"/>
      <c r="CP404" s="399"/>
      <c r="CQ404" s="399"/>
      <c r="CR404" s="399"/>
      <c r="CS404" s="399"/>
      <c r="CT404" s="399"/>
      <c r="CU404" s="399"/>
      <c r="CV404" s="399"/>
      <c r="CW404" s="399"/>
      <c r="CX404" s="399"/>
      <c r="CY404" s="399"/>
      <c r="CZ404" s="399"/>
      <c r="DA404" s="399"/>
      <c r="DB404" s="399"/>
      <c r="DC404" s="399"/>
      <c r="DD404" s="399"/>
      <c r="DE404" s="399"/>
      <c r="DF404" s="399"/>
      <c r="DG404" s="399"/>
      <c r="DH404" s="399"/>
      <c r="DI404" s="399"/>
      <c r="DJ404" s="399"/>
      <c r="DK404" s="399"/>
      <c r="DL404" s="399"/>
      <c r="DM404" s="399"/>
      <c r="DN404" s="399"/>
      <c r="DO404" s="399"/>
      <c r="DP404" s="399"/>
      <c r="DQ404" s="399"/>
    </row>
    <row r="405" spans="1:121" s="760" customFormat="1" ht="14.45" customHeight="1" x14ac:dyDescent="0.25">
      <c r="A405" s="266">
        <f t="shared" si="6"/>
        <v>34.366666666666667</v>
      </c>
      <c r="B405" s="389">
        <v>41825</v>
      </c>
      <c r="C405" s="390" t="s">
        <v>1099</v>
      </c>
      <c r="D405" s="390" t="s">
        <v>899</v>
      </c>
      <c r="E405" s="390" t="s">
        <v>380</v>
      </c>
      <c r="F405" s="390" t="s">
        <v>310</v>
      </c>
      <c r="G405" s="390" t="s">
        <v>316</v>
      </c>
      <c r="H405" s="261"/>
      <c r="I405" s="261"/>
      <c r="J405" s="261"/>
      <c r="K405" s="261"/>
      <c r="L405" s="261"/>
      <c r="M405" s="261"/>
      <c r="N405" s="261"/>
      <c r="O405" s="261"/>
      <c r="P405" s="261"/>
      <c r="Q405" s="261"/>
      <c r="R405" s="261"/>
      <c r="S405" s="261"/>
      <c r="T405" s="261"/>
      <c r="U405" s="261">
        <v>124</v>
      </c>
      <c r="V405" s="762"/>
      <c r="W405" s="261"/>
      <c r="X405" s="261"/>
      <c r="Y405" s="264">
        <f>IF(NFI_Expiration=1,IF($A405&lt;VLOOKUP(H$5,NFI,5,0),1,0)*Table_NFI[[#This Row],[Hygiene Kit]],Table_NFI[Hygiene Kit])</f>
        <v>0</v>
      </c>
      <c r="Z405" s="264">
        <f>IF(NFI_Expiration=1,IF($A405&lt;VLOOKUP(I$5,NFI,5,0),1,0)*Table_NFI[[#This Row],[NFI Core Kit]],Table_NFI[NFI Core Kit])</f>
        <v>0</v>
      </c>
      <c r="AA405" s="264">
        <f>IF(NFI_Expiration=1,IF($A405&lt;VLOOKUP(J$5,NFI,5,0),1,0)*Table_NFI[[#This Row],[Sanitary Kit]],Table_NFI[Sanitary Kit])</f>
        <v>0</v>
      </c>
      <c r="AB405" s="264">
        <f>IF(NFI_Expiration=1,IF($A405&lt;VLOOKUP(K$5,NFI,5,0),1,0)*Table_NFI[[#This Row],[Mosquito net]],Table_NFI[Mosquito net])</f>
        <v>0</v>
      </c>
      <c r="AC405" s="264">
        <f>IF(NFI_Expiration=1,IF($A405&lt;VLOOKUP(L$5,NFI,5,0),1,0)*Table_NFI[[#This Row],[Tarpaulin]],Table_NFI[[#This Row],[Tarpaulin]])</f>
        <v>0</v>
      </c>
      <c r="AD405" s="264">
        <f>IF(NFI_Expiration=1,IF($A405&lt;VLOOKUP(M$5,NFI,5,0),1,0)*Table_NFI[[#This Row],[Blanket]],Table_NFI[[#This Row],[Blanket]])</f>
        <v>0</v>
      </c>
      <c r="AE405" s="264">
        <f>IF(NFI_Expiration=1,IF($A405&lt;VLOOKUP(N$5,NFI,5,0),1,0)*Table_NFI[[#This Row],[Kitchen Set]],Table_NFI[Kitchen Set])</f>
        <v>0</v>
      </c>
      <c r="AF405" s="264">
        <f>IF(NFI_Expiration=1,IF($A405&lt;VLOOKUP(O$5,NFI,5,0),1,0)*Table_NFI[[#This Row],[Clothes Kit]],Table_NFI[Clothes Kit])</f>
        <v>0</v>
      </c>
      <c r="AG405" s="264">
        <f>IF(NFI_Expiration=1,IF($A405&lt;VLOOKUP(P$5,NFI,5,0),1,0)*Table_NFI[[#This Row],[Plastic Bucket]],Table_NFI[Plastic Bucket])</f>
        <v>0</v>
      </c>
      <c r="AH405" s="264">
        <f>IF(NFI_Expiration=1,IF($A405&lt;VLOOKUP(Q$5,NFI,5,0),1,0)*Table_NFI[[#This Row],[Plastic Mat]],Table_NFI[Plastic Mat])*IF(Table_NFI[[#This Row],[Distribution Date]]&gt;"2014-04-01",1,2.5)</f>
        <v>0</v>
      </c>
      <c r="AI405" s="264">
        <f>IF(NFI_Expiration=1,IF($A405&lt;VLOOKUP(R$5,NFI,5,0),1,0)*Table_NFI[[#This Row],[Winter Clothes Adult]],Table_NFI[Winter Clothes Adult])</f>
        <v>0</v>
      </c>
      <c r="AJ405" s="264">
        <f>IF(NFI_Expiration=1,IF($A405&lt;VLOOKUP(S$5,NFI,5,0),1,0)*Table_NFI[[#This Row],[Winter Clothes Children]],Table_NFI[Winter Clothes Children])</f>
        <v>0</v>
      </c>
      <c r="AK405" s="264">
        <f>IF(NFI_Expiration=1,IF($A405&lt;VLOOKUP(T$5,NFI,5,0),1,0)*Table_NFI[[#This Row],[Winter Items Other]],Table_NFI[Winter Items Other])</f>
        <v>0</v>
      </c>
      <c r="AL405" s="264">
        <f>IF(NFI_Expiration=1,IF($A405&lt;VLOOKUP(M$5,NFI,5,0),1,0)*Table_NFI[[#This Row],[Winter Blanket]],Table_NFI[[#This Row],[Winter Blanket]])</f>
        <v>0</v>
      </c>
      <c r="AM405" s="264">
        <f>IF(Table_NFI[[#This Row],[Winter Clothes Adult]]+Table_NFI[[#This Row],[Winter Clothes Children]]+Table_NFI[[#This Row],[Winter Items Other]]+Table_NFI[[#This Row],[Winter Blanket]]&gt;0,1,0)</f>
        <v>1</v>
      </c>
      <c r="AN405" s="296">
        <f>IF(NFI_Expiration=1,IF($A405&lt;VLOOKUP(V$5,NFI,5,0),1,0)*Table_NFI[[#This Row],[Jerry Can]],Table_NFI[Jerry Can])</f>
        <v>0</v>
      </c>
      <c r="AO405" s="296">
        <f>IF(NFI_Expiration=1,IF($A405&lt;VLOOKUP(V$5,NFI,5,0),1,0)*Table_NFI[[#This Row],[Shelter Tool kit]],Table_NFI[Shelter Tool kit])</f>
        <v>0</v>
      </c>
      <c r="AP405" s="296">
        <f>IF(NFI_Expiration=1,IF($A405&lt;VLOOKUP(V$5,NFI,5,0),1,0)*Table_NFI[[#This Row],[Tent]],Table_NFI[Tent])</f>
        <v>0</v>
      </c>
      <c r="AQ405" s="396" t="str">
        <f>IFERROR(VLOOKUP(Table_NFI[[#This Row],[Camp Name]],CL,2,0),"")</f>
        <v>MMR001CMP038</v>
      </c>
      <c r="AR405" s="702">
        <f ca="1">IF(Table_NFI[[#This Row],[Pcode]]="","",IF(OFFSET(CampList[Opening Date],MATCH(Table_NFI[[#This Row],[Pcode]],CampList[CP_Pcode],0)-1,0,1,1)&gt;=NFI_Monitor_Date,1,0))</f>
        <v>0</v>
      </c>
      <c r="AS405" s="396" t="str">
        <f>IFERROR(VLOOKUP(Table_NFI[[#This Row],[Camp Name]],CL,3,0),"")</f>
        <v>Open</v>
      </c>
      <c r="AT405" s="264" t="str">
        <f ca="1">IF(Table_NFI[[#This Row],[Pcode]]="","",OFFSET(CampList[Priority],MATCH(Table_NFI[[#This Row],[Pcode]],CampList[CP_Pcode],0)-1,0,1,1))</f>
        <v>P4</v>
      </c>
      <c r="AU405" s="263">
        <f>IFERROR(Table_NFI[[#This Row],[Kitchen Set]]/VLOOKUP(Table_NFI[[#This Row],[Camp Name]],CL,4,0),"")</f>
        <v>0</v>
      </c>
      <c r="AV405" s="390"/>
      <c r="AW405" s="392"/>
      <c r="AX405" s="399"/>
      <c r="AY405" s="399"/>
      <c r="AZ405" s="399"/>
      <c r="BA405" s="399"/>
      <c r="BB405" s="399"/>
      <c r="BC405" s="399"/>
      <c r="BD405" s="399"/>
      <c r="BE405" s="399"/>
      <c r="BF405" s="399"/>
      <c r="BG405" s="399"/>
      <c r="BH405" s="399"/>
      <c r="BI405" s="399"/>
      <c r="BJ405" s="399"/>
      <c r="BK405" s="399"/>
      <c r="BL405" s="399"/>
      <c r="BM405" s="399"/>
      <c r="BN405" s="399"/>
      <c r="BO405" s="399"/>
      <c r="BP405" s="399"/>
      <c r="BQ405" s="399"/>
      <c r="BR405" s="399"/>
      <c r="BS405" s="399"/>
      <c r="BT405" s="399"/>
      <c r="BU405" s="399"/>
      <c r="BV405" s="399"/>
      <c r="BW405" s="399"/>
      <c r="BX405" s="399"/>
      <c r="BY405" s="399"/>
      <c r="BZ405" s="399"/>
      <c r="CA405" s="399"/>
      <c r="CB405" s="399"/>
      <c r="CC405" s="399"/>
      <c r="CD405" s="399"/>
      <c r="CE405" s="399"/>
      <c r="CF405" s="399"/>
      <c r="CG405" s="399"/>
      <c r="CH405" s="399"/>
      <c r="CI405" s="399"/>
      <c r="CJ405" s="399"/>
      <c r="CK405" s="399"/>
      <c r="CL405" s="399"/>
      <c r="CM405" s="399"/>
      <c r="CN405" s="399"/>
      <c r="CO405" s="399"/>
      <c r="CP405" s="399"/>
      <c r="CQ405" s="399"/>
      <c r="CR405" s="399"/>
      <c r="CS405" s="399"/>
      <c r="CT405" s="399"/>
      <c r="CU405" s="399"/>
      <c r="CV405" s="399"/>
      <c r="CW405" s="399"/>
      <c r="CX405" s="399"/>
      <c r="CY405" s="399"/>
      <c r="CZ405" s="399"/>
      <c r="DA405" s="399"/>
      <c r="DB405" s="399"/>
      <c r="DC405" s="399"/>
      <c r="DD405" s="399"/>
      <c r="DE405" s="399"/>
      <c r="DF405" s="399"/>
      <c r="DG405" s="399"/>
      <c r="DH405" s="399"/>
      <c r="DI405" s="399"/>
      <c r="DJ405" s="399"/>
      <c r="DK405" s="399"/>
      <c r="DL405" s="399"/>
      <c r="DM405" s="399"/>
      <c r="DN405" s="399"/>
      <c r="DO405" s="399"/>
      <c r="DP405" s="399"/>
      <c r="DQ405" s="399"/>
    </row>
    <row r="406" spans="1:121" s="393" customFormat="1" ht="14.45" customHeight="1" x14ac:dyDescent="0.25">
      <c r="A406" s="266">
        <f t="shared" si="6"/>
        <v>34.43333333333333</v>
      </c>
      <c r="B406" s="389">
        <v>41823</v>
      </c>
      <c r="C406" s="390" t="s">
        <v>451</v>
      </c>
      <c r="D406" s="390"/>
      <c r="E406" s="390" t="s">
        <v>380</v>
      </c>
      <c r="F406" s="390" t="s">
        <v>151</v>
      </c>
      <c r="G406" s="390" t="s">
        <v>884</v>
      </c>
      <c r="H406" s="261"/>
      <c r="I406" s="261"/>
      <c r="J406" s="261"/>
      <c r="K406" s="261"/>
      <c r="L406" s="261"/>
      <c r="M406" s="261">
        <v>9</v>
      </c>
      <c r="N406" s="261"/>
      <c r="O406" s="261"/>
      <c r="P406" s="261">
        <v>19</v>
      </c>
      <c r="Q406" s="261">
        <v>1</v>
      </c>
      <c r="R406" s="261"/>
      <c r="S406" s="261"/>
      <c r="T406" s="261"/>
      <c r="U406" s="261"/>
      <c r="V406" s="762"/>
      <c r="W406" s="261"/>
      <c r="X406" s="261"/>
      <c r="Y406" s="264">
        <f>IF(NFI_Expiration=1,IF($A406&lt;VLOOKUP(H$5,NFI,5,0),1,0)*Table_NFI[[#This Row],[Hygiene Kit]],Table_NFI[Hygiene Kit])</f>
        <v>0</v>
      </c>
      <c r="Z406" s="264">
        <f>IF(NFI_Expiration=1,IF($A406&lt;VLOOKUP(I$5,NFI,5,0),1,0)*Table_NFI[[#This Row],[NFI Core Kit]],Table_NFI[NFI Core Kit])</f>
        <v>0</v>
      </c>
      <c r="AA406" s="264">
        <f>IF(NFI_Expiration=1,IF($A406&lt;VLOOKUP(J$5,NFI,5,0),1,0)*Table_NFI[[#This Row],[Sanitary Kit]],Table_NFI[Sanitary Kit])</f>
        <v>0</v>
      </c>
      <c r="AB406" s="264">
        <f>IF(NFI_Expiration=1,IF($A406&lt;VLOOKUP(K$5,NFI,5,0),1,0)*Table_NFI[[#This Row],[Mosquito net]],Table_NFI[Mosquito net])</f>
        <v>0</v>
      </c>
      <c r="AC406" s="264">
        <f>IF(NFI_Expiration=1,IF($A406&lt;VLOOKUP(L$5,NFI,5,0),1,0)*Table_NFI[[#This Row],[Tarpaulin]],Table_NFI[[#This Row],[Tarpaulin]])</f>
        <v>0</v>
      </c>
      <c r="AD406" s="264">
        <f>IF(NFI_Expiration=1,IF($A406&lt;VLOOKUP(M$5,NFI,5,0),1,0)*Table_NFI[[#This Row],[Blanket]],Table_NFI[[#This Row],[Blanket]])</f>
        <v>0</v>
      </c>
      <c r="AE406" s="264">
        <f>IF(NFI_Expiration=1,IF($A406&lt;VLOOKUP(N$5,NFI,5,0),1,0)*Table_NFI[[#This Row],[Kitchen Set]],Table_NFI[Kitchen Set])</f>
        <v>0</v>
      </c>
      <c r="AF406" s="264">
        <f>IF(NFI_Expiration=1,IF($A406&lt;VLOOKUP(O$5,NFI,5,0),1,0)*Table_NFI[[#This Row],[Clothes Kit]],Table_NFI[Clothes Kit])</f>
        <v>0</v>
      </c>
      <c r="AG406" s="264">
        <f>IF(NFI_Expiration=1,IF($A406&lt;VLOOKUP(P$5,NFI,5,0),1,0)*Table_NFI[[#This Row],[Plastic Bucket]],Table_NFI[Plastic Bucket])</f>
        <v>0</v>
      </c>
      <c r="AH406" s="264">
        <f>IF(NFI_Expiration=1,IF($A406&lt;VLOOKUP(Q$5,NFI,5,0),1,0)*Table_NFI[[#This Row],[Plastic Mat]],Table_NFI[Plastic Mat])*IF(Table_NFI[[#This Row],[Distribution Date]]&gt;"2014-04-01",1,2.5)</f>
        <v>0</v>
      </c>
      <c r="AI406" s="264">
        <f>IF(NFI_Expiration=1,IF($A406&lt;VLOOKUP(R$5,NFI,5,0),1,0)*Table_NFI[[#This Row],[Winter Clothes Adult]],Table_NFI[Winter Clothes Adult])</f>
        <v>0</v>
      </c>
      <c r="AJ406" s="264">
        <f>IF(NFI_Expiration=1,IF($A406&lt;VLOOKUP(S$5,NFI,5,0),1,0)*Table_NFI[[#This Row],[Winter Clothes Children]],Table_NFI[Winter Clothes Children])</f>
        <v>0</v>
      </c>
      <c r="AK406" s="264">
        <f>IF(NFI_Expiration=1,IF($A406&lt;VLOOKUP(T$5,NFI,5,0),1,0)*Table_NFI[[#This Row],[Winter Items Other]],Table_NFI[Winter Items Other])</f>
        <v>0</v>
      </c>
      <c r="AL406" s="264">
        <f>IF(NFI_Expiration=1,IF($A406&lt;VLOOKUP(M$5,NFI,5,0),1,0)*Table_NFI[[#This Row],[Winter Blanket]],Table_NFI[[#This Row],[Winter Blanket]])</f>
        <v>0</v>
      </c>
      <c r="AM406" s="264">
        <f>IF(Table_NFI[[#This Row],[Winter Clothes Adult]]+Table_NFI[[#This Row],[Winter Clothes Children]]+Table_NFI[[#This Row],[Winter Items Other]]+Table_NFI[[#This Row],[Winter Blanket]]&gt;0,1,0)</f>
        <v>0</v>
      </c>
      <c r="AN406" s="296">
        <f>IF(NFI_Expiration=1,IF($A406&lt;VLOOKUP(V$5,NFI,5,0),1,0)*Table_NFI[[#This Row],[Jerry Can]],Table_NFI[Jerry Can])</f>
        <v>0</v>
      </c>
      <c r="AO406" s="296">
        <f>IF(NFI_Expiration=1,IF($A406&lt;VLOOKUP(V$5,NFI,5,0),1,0)*Table_NFI[[#This Row],[Shelter Tool kit]],Table_NFI[Shelter Tool kit])</f>
        <v>0</v>
      </c>
      <c r="AP406" s="296">
        <f>IF(NFI_Expiration=1,IF($A406&lt;VLOOKUP(V$5,NFI,5,0),1,0)*Table_NFI[[#This Row],[Tent]],Table_NFI[Tent])</f>
        <v>0</v>
      </c>
      <c r="AQ406" s="396" t="str">
        <f>IFERROR(VLOOKUP(Table_NFI[[#This Row],[Camp Name]],CL,2,0),"")</f>
        <v>MMR001CMP218</v>
      </c>
      <c r="AR406" s="702">
        <f ca="1">IF(Table_NFI[[#This Row],[Pcode]]="","",IF(OFFSET(CampList[Opening Date],MATCH(Table_NFI[[#This Row],[Pcode]],CampList[CP_Pcode],0)-1,0,1,1)&gt;=NFI_Monitor_Date,1,0))</f>
        <v>0</v>
      </c>
      <c r="AS406" s="396" t="str">
        <f>IFERROR(VLOOKUP(Table_NFI[[#This Row],[Camp Name]],CL,3,0),"")</f>
        <v>Open</v>
      </c>
      <c r="AT406" s="264" t="str">
        <f ca="1">IF(Table_NFI[[#This Row],[Pcode]]="","",OFFSET(CampList[Priority],MATCH(Table_NFI[[#This Row],[Pcode]],CampList[CP_Pcode],0)-1,0,1,1))</f>
        <v>P4</v>
      </c>
      <c r="AU406" s="263">
        <f>IFERROR(Table_NFI[[#This Row],[Kitchen Set]]/VLOOKUP(Table_NFI[[#This Row],[Camp Name]],CL,4,0),"")</f>
        <v>0</v>
      </c>
      <c r="AV406" s="390"/>
      <c r="AW406" s="392"/>
      <c r="AX406" s="399"/>
      <c r="AY406" s="399"/>
      <c r="AZ406" s="399"/>
      <c r="BA406" s="399"/>
      <c r="BB406" s="399"/>
      <c r="BC406" s="399"/>
      <c r="BD406" s="399"/>
      <c r="BE406" s="399"/>
      <c r="BF406" s="399"/>
      <c r="BG406" s="399"/>
      <c r="BH406" s="399"/>
      <c r="BI406" s="399"/>
      <c r="BJ406" s="399"/>
      <c r="BK406" s="399"/>
      <c r="BL406" s="399"/>
      <c r="BM406" s="399"/>
      <c r="BN406" s="399"/>
      <c r="BO406" s="399"/>
      <c r="BP406" s="399"/>
      <c r="BQ406" s="399"/>
      <c r="BR406" s="399"/>
      <c r="BS406" s="399"/>
      <c r="BT406" s="399"/>
      <c r="BU406" s="399"/>
      <c r="BV406" s="399"/>
      <c r="BW406" s="399"/>
      <c r="BX406" s="399"/>
      <c r="BY406" s="399"/>
      <c r="BZ406" s="399"/>
      <c r="CA406" s="399"/>
      <c r="CB406" s="399"/>
      <c r="CC406" s="399"/>
      <c r="CD406" s="399"/>
      <c r="CE406" s="399"/>
      <c r="CF406" s="399"/>
      <c r="CG406" s="399"/>
      <c r="CH406" s="399"/>
      <c r="CI406" s="399"/>
      <c r="CJ406" s="399"/>
      <c r="CK406" s="399"/>
      <c r="CL406" s="399"/>
      <c r="CM406" s="399"/>
      <c r="CN406" s="399"/>
      <c r="CO406" s="399"/>
      <c r="CP406" s="399"/>
      <c r="CQ406" s="399"/>
      <c r="CR406" s="399"/>
      <c r="CS406" s="399"/>
      <c r="CT406" s="399"/>
      <c r="CU406" s="399"/>
      <c r="CV406" s="399"/>
      <c r="CW406" s="399"/>
      <c r="CX406" s="399"/>
      <c r="CY406" s="399"/>
      <c r="CZ406" s="399"/>
      <c r="DA406" s="399"/>
      <c r="DB406" s="399"/>
      <c r="DC406" s="399"/>
      <c r="DD406" s="399"/>
      <c r="DE406" s="399"/>
      <c r="DF406" s="399"/>
      <c r="DG406" s="399"/>
      <c r="DH406" s="399"/>
      <c r="DI406" s="399"/>
      <c r="DJ406" s="399"/>
      <c r="DK406" s="399"/>
      <c r="DL406" s="399"/>
      <c r="DM406" s="399"/>
      <c r="DN406" s="399"/>
      <c r="DO406" s="399"/>
      <c r="DP406" s="399"/>
      <c r="DQ406" s="399"/>
    </row>
    <row r="407" spans="1:121" s="393" customFormat="1" ht="14.45" customHeight="1" x14ac:dyDescent="0.25">
      <c r="A407" s="266">
        <f t="shared" si="6"/>
        <v>34.43333333333333</v>
      </c>
      <c r="B407" s="389">
        <v>41823</v>
      </c>
      <c r="C407" s="390" t="s">
        <v>451</v>
      </c>
      <c r="D407" s="390"/>
      <c r="E407" s="390" t="s">
        <v>380</v>
      </c>
      <c r="F407" s="390" t="s">
        <v>151</v>
      </c>
      <c r="G407" s="390" t="s">
        <v>941</v>
      </c>
      <c r="H407" s="261"/>
      <c r="I407" s="261"/>
      <c r="J407" s="261"/>
      <c r="K407" s="261">
        <v>50</v>
      </c>
      <c r="L407" s="261">
        <v>15</v>
      </c>
      <c r="M407" s="261"/>
      <c r="N407" s="261">
        <v>15</v>
      </c>
      <c r="O407" s="261"/>
      <c r="P407" s="261">
        <v>15</v>
      </c>
      <c r="Q407" s="261">
        <v>60</v>
      </c>
      <c r="R407" s="261"/>
      <c r="S407" s="261"/>
      <c r="T407" s="261"/>
      <c r="U407" s="261"/>
      <c r="V407" s="762"/>
      <c r="W407" s="261"/>
      <c r="X407" s="261"/>
      <c r="Y407" s="264">
        <f>IF(NFI_Expiration=1,IF($A407&lt;VLOOKUP(H$5,NFI,5,0),1,0)*Table_NFI[[#This Row],[Hygiene Kit]],Table_NFI[Hygiene Kit])</f>
        <v>0</v>
      </c>
      <c r="Z407" s="264">
        <f>IF(NFI_Expiration=1,IF($A407&lt;VLOOKUP(I$5,NFI,5,0),1,0)*Table_NFI[[#This Row],[NFI Core Kit]],Table_NFI[NFI Core Kit])</f>
        <v>0</v>
      </c>
      <c r="AA407" s="264">
        <f>IF(NFI_Expiration=1,IF($A407&lt;VLOOKUP(J$5,NFI,5,0),1,0)*Table_NFI[[#This Row],[Sanitary Kit]],Table_NFI[Sanitary Kit])</f>
        <v>0</v>
      </c>
      <c r="AB407" s="264">
        <f>IF(NFI_Expiration=1,IF($A407&lt;VLOOKUP(K$5,NFI,5,0),1,0)*Table_NFI[[#This Row],[Mosquito net]],Table_NFI[Mosquito net])</f>
        <v>0</v>
      </c>
      <c r="AC407" s="264">
        <f>IF(NFI_Expiration=1,IF($A407&lt;VLOOKUP(L$5,NFI,5,0),1,0)*Table_NFI[[#This Row],[Tarpaulin]],Table_NFI[[#This Row],[Tarpaulin]])</f>
        <v>0</v>
      </c>
      <c r="AD407" s="264">
        <f>IF(NFI_Expiration=1,IF($A407&lt;VLOOKUP(M$5,NFI,5,0),1,0)*Table_NFI[[#This Row],[Blanket]],Table_NFI[[#This Row],[Blanket]])</f>
        <v>0</v>
      </c>
      <c r="AE407" s="264">
        <f>IF(NFI_Expiration=1,IF($A407&lt;VLOOKUP(N$5,NFI,5,0),1,0)*Table_NFI[[#This Row],[Kitchen Set]],Table_NFI[Kitchen Set])</f>
        <v>0</v>
      </c>
      <c r="AF407" s="264">
        <f>IF(NFI_Expiration=1,IF($A407&lt;VLOOKUP(O$5,NFI,5,0),1,0)*Table_NFI[[#This Row],[Clothes Kit]],Table_NFI[Clothes Kit])</f>
        <v>0</v>
      </c>
      <c r="AG407" s="264">
        <f>IF(NFI_Expiration=1,IF($A407&lt;VLOOKUP(P$5,NFI,5,0),1,0)*Table_NFI[[#This Row],[Plastic Bucket]],Table_NFI[Plastic Bucket])</f>
        <v>0</v>
      </c>
      <c r="AH407" s="264">
        <f>IF(NFI_Expiration=1,IF($A407&lt;VLOOKUP(Q$5,NFI,5,0),1,0)*Table_NFI[[#This Row],[Plastic Mat]],Table_NFI[Plastic Mat])*IF(Table_NFI[[#This Row],[Distribution Date]]&gt;"2014-04-01",1,2.5)</f>
        <v>0</v>
      </c>
      <c r="AI407" s="264">
        <f>IF(NFI_Expiration=1,IF($A407&lt;VLOOKUP(R$5,NFI,5,0),1,0)*Table_NFI[[#This Row],[Winter Clothes Adult]],Table_NFI[Winter Clothes Adult])</f>
        <v>0</v>
      </c>
      <c r="AJ407" s="264">
        <f>IF(NFI_Expiration=1,IF($A407&lt;VLOOKUP(S$5,NFI,5,0),1,0)*Table_NFI[[#This Row],[Winter Clothes Children]],Table_NFI[Winter Clothes Children])</f>
        <v>0</v>
      </c>
      <c r="AK407" s="264">
        <f>IF(NFI_Expiration=1,IF($A407&lt;VLOOKUP(T$5,NFI,5,0),1,0)*Table_NFI[[#This Row],[Winter Items Other]],Table_NFI[Winter Items Other])</f>
        <v>0</v>
      </c>
      <c r="AL407" s="264">
        <f>IF(NFI_Expiration=1,IF($A407&lt;VLOOKUP(M$5,NFI,5,0),1,0)*Table_NFI[[#This Row],[Winter Blanket]],Table_NFI[[#This Row],[Winter Blanket]])</f>
        <v>0</v>
      </c>
      <c r="AM407" s="264">
        <f>IF(Table_NFI[[#This Row],[Winter Clothes Adult]]+Table_NFI[[#This Row],[Winter Clothes Children]]+Table_NFI[[#This Row],[Winter Items Other]]+Table_NFI[[#This Row],[Winter Blanket]]&gt;0,1,0)</f>
        <v>0</v>
      </c>
      <c r="AN407" s="296">
        <f>IF(NFI_Expiration=1,IF($A407&lt;VLOOKUP(V$5,NFI,5,0),1,0)*Table_NFI[[#This Row],[Jerry Can]],Table_NFI[Jerry Can])</f>
        <v>0</v>
      </c>
      <c r="AO407" s="296">
        <f>IF(NFI_Expiration=1,IF($A407&lt;VLOOKUP(V$5,NFI,5,0),1,0)*Table_NFI[[#This Row],[Shelter Tool kit]],Table_NFI[Shelter Tool kit])</f>
        <v>0</v>
      </c>
      <c r="AP407" s="296">
        <f>IF(NFI_Expiration=1,IF($A407&lt;VLOOKUP(V$5,NFI,5,0),1,0)*Table_NFI[[#This Row],[Tent]],Table_NFI[Tent])</f>
        <v>0</v>
      </c>
      <c r="AQ407" s="396" t="str">
        <f>IFERROR(VLOOKUP(Table_NFI[[#This Row],[Camp Name]],CL,2,0),"")</f>
        <v>MMR001CMP223</v>
      </c>
      <c r="AR407" s="702">
        <f ca="1">IF(Table_NFI[[#This Row],[Pcode]]="","",IF(OFFSET(CampList[Opening Date],MATCH(Table_NFI[[#This Row],[Pcode]],CampList[CP_Pcode],0)-1,0,1,1)&gt;=NFI_Monitor_Date,1,0))</f>
        <v>0</v>
      </c>
      <c r="AS407" s="396" t="str">
        <f>IFERROR(VLOOKUP(Table_NFI[[#This Row],[Camp Name]],CL,3,0),"")</f>
        <v>Open</v>
      </c>
      <c r="AT407" s="264" t="str">
        <f ca="1">IF(Table_NFI[[#This Row],[Pcode]]="","",OFFSET(CampList[Priority],MATCH(Table_NFI[[#This Row],[Pcode]],CampList[CP_Pcode],0)-1,0,1,1))</f>
        <v>P4</v>
      </c>
      <c r="AU407" s="263">
        <f>IFERROR(Table_NFI[[#This Row],[Kitchen Set]]/VLOOKUP(Table_NFI[[#This Row],[Camp Name]],CL,4,0),"")</f>
        <v>3.6102820833734477E-4</v>
      </c>
      <c r="AV407" s="390"/>
      <c r="AW407" s="392"/>
      <c r="AX407" s="399"/>
      <c r="AY407" s="399"/>
      <c r="AZ407" s="399"/>
      <c r="BA407" s="399"/>
      <c r="BB407" s="399"/>
      <c r="BC407" s="399"/>
      <c r="BD407" s="399"/>
      <c r="BE407" s="399"/>
      <c r="BF407" s="399"/>
      <c r="BG407" s="399"/>
      <c r="BH407" s="399"/>
      <c r="BI407" s="399"/>
      <c r="BJ407" s="399"/>
      <c r="BK407" s="399"/>
      <c r="BL407" s="399"/>
      <c r="BM407" s="399"/>
      <c r="BN407" s="399"/>
      <c r="BO407" s="399"/>
      <c r="BP407" s="399"/>
      <c r="BQ407" s="399"/>
      <c r="BR407" s="399"/>
      <c r="BS407" s="399"/>
      <c r="BT407" s="399"/>
      <c r="BU407" s="399"/>
      <c r="BV407" s="399"/>
      <c r="BW407" s="399"/>
      <c r="BX407" s="399"/>
      <c r="BY407" s="399"/>
      <c r="BZ407" s="399"/>
      <c r="CA407" s="399"/>
      <c r="CB407" s="399"/>
      <c r="CC407" s="399"/>
      <c r="CD407" s="399"/>
      <c r="CE407" s="399"/>
      <c r="CF407" s="399"/>
      <c r="CG407" s="399"/>
      <c r="CH407" s="399"/>
      <c r="CI407" s="399"/>
      <c r="CJ407" s="399"/>
      <c r="CK407" s="399"/>
      <c r="CL407" s="399"/>
      <c r="CM407" s="399"/>
      <c r="CN407" s="399"/>
      <c r="CO407" s="399"/>
      <c r="CP407" s="399"/>
      <c r="CQ407" s="399"/>
      <c r="CR407" s="399"/>
      <c r="CS407" s="399"/>
      <c r="CT407" s="399"/>
      <c r="CU407" s="399"/>
      <c r="CV407" s="399"/>
      <c r="CW407" s="399"/>
      <c r="CX407" s="399"/>
      <c r="CY407" s="399"/>
      <c r="CZ407" s="399"/>
      <c r="DA407" s="399"/>
      <c r="DB407" s="399"/>
      <c r="DC407" s="399"/>
      <c r="DD407" s="399"/>
      <c r="DE407" s="399"/>
      <c r="DF407" s="399"/>
      <c r="DG407" s="399"/>
      <c r="DH407" s="399"/>
      <c r="DI407" s="399"/>
      <c r="DJ407" s="399"/>
      <c r="DK407" s="399"/>
      <c r="DL407" s="399"/>
      <c r="DM407" s="399"/>
      <c r="DN407" s="399"/>
      <c r="DO407" s="399"/>
      <c r="DP407" s="399"/>
      <c r="DQ407" s="399"/>
    </row>
    <row r="408" spans="1:121" s="393" customFormat="1" ht="14.45" customHeight="1" x14ac:dyDescent="0.25">
      <c r="A408" s="266">
        <f t="shared" si="6"/>
        <v>34.5</v>
      </c>
      <c r="B408" s="389">
        <v>41821</v>
      </c>
      <c r="C408" s="390" t="s">
        <v>451</v>
      </c>
      <c r="D408" s="390"/>
      <c r="E408" s="390" t="s">
        <v>380</v>
      </c>
      <c r="F408" s="390" t="s">
        <v>151</v>
      </c>
      <c r="G408" s="390" t="s">
        <v>884</v>
      </c>
      <c r="H408" s="261"/>
      <c r="I408" s="261"/>
      <c r="J408" s="261"/>
      <c r="K408" s="261"/>
      <c r="L408" s="261">
        <v>19</v>
      </c>
      <c r="M408" s="261"/>
      <c r="N408" s="261">
        <v>19</v>
      </c>
      <c r="O408" s="261"/>
      <c r="P408" s="261"/>
      <c r="Q408" s="261">
        <v>100</v>
      </c>
      <c r="R408" s="261"/>
      <c r="S408" s="261"/>
      <c r="T408" s="261"/>
      <c r="U408" s="261"/>
      <c r="V408" s="762"/>
      <c r="W408" s="261"/>
      <c r="X408" s="261"/>
      <c r="Y408" s="264">
        <f>IF(NFI_Expiration=1,IF($A408&lt;VLOOKUP(H$5,NFI,5,0),1,0)*Table_NFI[[#This Row],[Hygiene Kit]],Table_NFI[Hygiene Kit])</f>
        <v>0</v>
      </c>
      <c r="Z408" s="264">
        <f>IF(NFI_Expiration=1,IF($A408&lt;VLOOKUP(I$5,NFI,5,0),1,0)*Table_NFI[[#This Row],[NFI Core Kit]],Table_NFI[NFI Core Kit])</f>
        <v>0</v>
      </c>
      <c r="AA408" s="264">
        <f>IF(NFI_Expiration=1,IF($A408&lt;VLOOKUP(J$5,NFI,5,0),1,0)*Table_NFI[[#This Row],[Sanitary Kit]],Table_NFI[Sanitary Kit])</f>
        <v>0</v>
      </c>
      <c r="AB408" s="264">
        <f>IF(NFI_Expiration=1,IF($A408&lt;VLOOKUP(K$5,NFI,5,0),1,0)*Table_NFI[[#This Row],[Mosquito net]],Table_NFI[Mosquito net])</f>
        <v>0</v>
      </c>
      <c r="AC408" s="264">
        <f>IF(NFI_Expiration=1,IF($A408&lt;VLOOKUP(L$5,NFI,5,0),1,0)*Table_NFI[[#This Row],[Tarpaulin]],Table_NFI[[#This Row],[Tarpaulin]])</f>
        <v>0</v>
      </c>
      <c r="AD408" s="264">
        <f>IF(NFI_Expiration=1,IF($A408&lt;VLOOKUP(M$5,NFI,5,0),1,0)*Table_NFI[[#This Row],[Blanket]],Table_NFI[[#This Row],[Blanket]])</f>
        <v>0</v>
      </c>
      <c r="AE408" s="264">
        <f>IF(NFI_Expiration=1,IF($A408&lt;VLOOKUP(N$5,NFI,5,0),1,0)*Table_NFI[[#This Row],[Kitchen Set]],Table_NFI[Kitchen Set])</f>
        <v>0</v>
      </c>
      <c r="AF408" s="264">
        <f>IF(NFI_Expiration=1,IF($A408&lt;VLOOKUP(O$5,NFI,5,0),1,0)*Table_NFI[[#This Row],[Clothes Kit]],Table_NFI[Clothes Kit])</f>
        <v>0</v>
      </c>
      <c r="AG408" s="264">
        <f>IF(NFI_Expiration=1,IF($A408&lt;VLOOKUP(P$5,NFI,5,0),1,0)*Table_NFI[[#This Row],[Plastic Bucket]],Table_NFI[Plastic Bucket])</f>
        <v>0</v>
      </c>
      <c r="AH408" s="264">
        <f>IF(NFI_Expiration=1,IF($A408&lt;VLOOKUP(Q$5,NFI,5,0),1,0)*Table_NFI[[#This Row],[Plastic Mat]],Table_NFI[Plastic Mat])*IF(Table_NFI[[#This Row],[Distribution Date]]&gt;"2014-04-01",1,2.5)</f>
        <v>0</v>
      </c>
      <c r="AI408" s="264">
        <f>IF(NFI_Expiration=1,IF($A408&lt;VLOOKUP(R$5,NFI,5,0),1,0)*Table_NFI[[#This Row],[Winter Clothes Adult]],Table_NFI[Winter Clothes Adult])</f>
        <v>0</v>
      </c>
      <c r="AJ408" s="264">
        <f>IF(NFI_Expiration=1,IF($A408&lt;VLOOKUP(S$5,NFI,5,0),1,0)*Table_NFI[[#This Row],[Winter Clothes Children]],Table_NFI[Winter Clothes Children])</f>
        <v>0</v>
      </c>
      <c r="AK408" s="264">
        <f>IF(NFI_Expiration=1,IF($A408&lt;VLOOKUP(T$5,NFI,5,0),1,0)*Table_NFI[[#This Row],[Winter Items Other]],Table_NFI[Winter Items Other])</f>
        <v>0</v>
      </c>
      <c r="AL408" s="264">
        <f>IF(NFI_Expiration=1,IF($A408&lt;VLOOKUP(M$5,NFI,5,0),1,0)*Table_NFI[[#This Row],[Winter Blanket]],Table_NFI[[#This Row],[Winter Blanket]])</f>
        <v>0</v>
      </c>
      <c r="AM408" s="264">
        <f>IF(Table_NFI[[#This Row],[Winter Clothes Adult]]+Table_NFI[[#This Row],[Winter Clothes Children]]+Table_NFI[[#This Row],[Winter Items Other]]+Table_NFI[[#This Row],[Winter Blanket]]&gt;0,1,0)</f>
        <v>0</v>
      </c>
      <c r="AN408" s="296">
        <f>IF(NFI_Expiration=1,IF($A408&lt;VLOOKUP(V$5,NFI,5,0),1,0)*Table_NFI[[#This Row],[Jerry Can]],Table_NFI[Jerry Can])</f>
        <v>0</v>
      </c>
      <c r="AO408" s="296">
        <f>IF(NFI_Expiration=1,IF($A408&lt;VLOOKUP(V$5,NFI,5,0),1,0)*Table_NFI[[#This Row],[Shelter Tool kit]],Table_NFI[Shelter Tool kit])</f>
        <v>0</v>
      </c>
      <c r="AP408" s="296">
        <f>IF(NFI_Expiration=1,IF($A408&lt;VLOOKUP(V$5,NFI,5,0),1,0)*Table_NFI[[#This Row],[Tent]],Table_NFI[Tent])</f>
        <v>0</v>
      </c>
      <c r="AQ408" s="396" t="str">
        <f>IFERROR(VLOOKUP(Table_NFI[[#This Row],[Camp Name]],CL,2,0),"")</f>
        <v>MMR001CMP218</v>
      </c>
      <c r="AR408" s="702">
        <f ca="1">IF(Table_NFI[[#This Row],[Pcode]]="","",IF(OFFSET(CampList[Opening Date],MATCH(Table_NFI[[#This Row],[Pcode]],CampList[CP_Pcode],0)-1,0,1,1)&gt;=NFI_Monitor_Date,1,0))</f>
        <v>0</v>
      </c>
      <c r="AS408" s="396" t="str">
        <f>IFERROR(VLOOKUP(Table_NFI[[#This Row],[Camp Name]],CL,3,0),"")</f>
        <v>Open</v>
      </c>
      <c r="AT408" s="264" t="str">
        <f ca="1">IF(Table_NFI[[#This Row],[Pcode]]="","",OFFSET(CampList[Priority],MATCH(Table_NFI[[#This Row],[Pcode]],CampList[CP_Pcode],0)-1,0,1,1))</f>
        <v>P4</v>
      </c>
      <c r="AU408" s="263">
        <f>IFERROR(Table_NFI[[#This Row],[Kitchen Set]]/VLOOKUP(Table_NFI[[#This Row],[Camp Name]],CL,4,0),"")</f>
        <v>4.5730239722730338E-4</v>
      </c>
      <c r="AV408" s="390"/>
      <c r="AW408" s="392"/>
      <c r="AX408" s="399"/>
      <c r="AY408" s="399"/>
      <c r="AZ408" s="399"/>
      <c r="BA408" s="399"/>
      <c r="BB408" s="399"/>
      <c r="BC408" s="399"/>
      <c r="BD408" s="399"/>
      <c r="BE408" s="399"/>
      <c r="BF408" s="399"/>
      <c r="BG408" s="399"/>
      <c r="BH408" s="399"/>
      <c r="BI408" s="399"/>
      <c r="BJ408" s="399"/>
      <c r="BK408" s="399"/>
      <c r="BL408" s="399"/>
      <c r="BM408" s="399"/>
      <c r="BN408" s="399"/>
      <c r="BO408" s="399"/>
      <c r="BP408" s="399"/>
      <c r="BQ408" s="399"/>
      <c r="BR408" s="399"/>
      <c r="BS408" s="399"/>
      <c r="BT408" s="399"/>
      <c r="BU408" s="399"/>
      <c r="BV408" s="399"/>
      <c r="BW408" s="399"/>
      <c r="BX408" s="399"/>
      <c r="BY408" s="399"/>
      <c r="BZ408" s="399"/>
      <c r="CA408" s="399"/>
      <c r="CB408" s="399"/>
      <c r="CC408" s="399"/>
      <c r="CD408" s="399"/>
      <c r="CE408" s="399"/>
      <c r="CF408" s="399"/>
      <c r="CG408" s="399"/>
      <c r="CH408" s="399"/>
      <c r="CI408" s="399"/>
      <c r="CJ408" s="399"/>
      <c r="CK408" s="399"/>
      <c r="CL408" s="399"/>
      <c r="CM408" s="399"/>
      <c r="CN408" s="399"/>
      <c r="CO408" s="399"/>
      <c r="CP408" s="399"/>
      <c r="CQ408" s="399"/>
      <c r="CR408" s="399"/>
      <c r="CS408" s="399"/>
      <c r="CT408" s="399"/>
      <c r="CU408" s="399"/>
      <c r="CV408" s="399"/>
      <c r="CW408" s="399"/>
      <c r="CX408" s="399"/>
      <c r="CY408" s="399"/>
      <c r="CZ408" s="399"/>
      <c r="DA408" s="399"/>
      <c r="DB408" s="399"/>
      <c r="DC408" s="399"/>
      <c r="DD408" s="399"/>
      <c r="DE408" s="399"/>
      <c r="DF408" s="399"/>
      <c r="DG408" s="399"/>
      <c r="DH408" s="399"/>
      <c r="DI408" s="399"/>
      <c r="DJ408" s="399"/>
      <c r="DK408" s="399"/>
      <c r="DL408" s="399"/>
      <c r="DM408" s="399"/>
      <c r="DN408" s="399"/>
      <c r="DO408" s="399"/>
      <c r="DP408" s="399"/>
      <c r="DQ408" s="399"/>
    </row>
    <row r="409" spans="1:121" s="393" customFormat="1" ht="14.45" customHeight="1" x14ac:dyDescent="0.25">
      <c r="A409" s="266">
        <f t="shared" si="6"/>
        <v>34.700000000000003</v>
      </c>
      <c r="B409" s="389">
        <v>41815</v>
      </c>
      <c r="C409" s="390" t="s">
        <v>1099</v>
      </c>
      <c r="D409" s="390" t="s">
        <v>899</v>
      </c>
      <c r="E409" s="390" t="s">
        <v>380</v>
      </c>
      <c r="F409" s="390" t="s">
        <v>185</v>
      </c>
      <c r="G409" s="390" t="s">
        <v>209</v>
      </c>
      <c r="H409" s="261"/>
      <c r="I409" s="261"/>
      <c r="J409" s="261"/>
      <c r="K409" s="261"/>
      <c r="L409" s="261"/>
      <c r="M409" s="261"/>
      <c r="N409" s="261"/>
      <c r="O409" s="261"/>
      <c r="P409" s="261"/>
      <c r="Q409" s="261"/>
      <c r="R409" s="261"/>
      <c r="S409" s="261"/>
      <c r="T409" s="261"/>
      <c r="U409" s="261">
        <v>832</v>
      </c>
      <c r="V409" s="762"/>
      <c r="W409" s="261"/>
      <c r="X409" s="261"/>
      <c r="Y409" s="264">
        <f>IF(NFI_Expiration=1,IF($A409&lt;VLOOKUP(H$5,NFI,5,0),1,0)*Table_NFI[[#This Row],[Hygiene Kit]],Table_NFI[Hygiene Kit])</f>
        <v>0</v>
      </c>
      <c r="Z409" s="264">
        <f>IF(NFI_Expiration=1,IF($A409&lt;VLOOKUP(I$5,NFI,5,0),1,0)*Table_NFI[[#This Row],[NFI Core Kit]],Table_NFI[NFI Core Kit])</f>
        <v>0</v>
      </c>
      <c r="AA409" s="264">
        <f>IF(NFI_Expiration=1,IF($A409&lt;VLOOKUP(J$5,NFI,5,0),1,0)*Table_NFI[[#This Row],[Sanitary Kit]],Table_NFI[Sanitary Kit])</f>
        <v>0</v>
      </c>
      <c r="AB409" s="264">
        <f>IF(NFI_Expiration=1,IF($A409&lt;VLOOKUP(K$5,NFI,5,0),1,0)*Table_NFI[[#This Row],[Mosquito net]],Table_NFI[Mosquito net])</f>
        <v>0</v>
      </c>
      <c r="AC409" s="264">
        <f>IF(NFI_Expiration=1,IF($A409&lt;VLOOKUP(L$5,NFI,5,0),1,0)*Table_NFI[[#This Row],[Tarpaulin]],Table_NFI[[#This Row],[Tarpaulin]])</f>
        <v>0</v>
      </c>
      <c r="AD409" s="264">
        <f>IF(NFI_Expiration=1,IF($A409&lt;VLOOKUP(M$5,NFI,5,0),1,0)*Table_NFI[[#This Row],[Blanket]],Table_NFI[[#This Row],[Blanket]])</f>
        <v>0</v>
      </c>
      <c r="AE409" s="264">
        <f>IF(NFI_Expiration=1,IF($A409&lt;VLOOKUP(N$5,NFI,5,0),1,0)*Table_NFI[[#This Row],[Kitchen Set]],Table_NFI[Kitchen Set])</f>
        <v>0</v>
      </c>
      <c r="AF409" s="264">
        <f>IF(NFI_Expiration=1,IF($A409&lt;VLOOKUP(O$5,NFI,5,0),1,0)*Table_NFI[[#This Row],[Clothes Kit]],Table_NFI[Clothes Kit])</f>
        <v>0</v>
      </c>
      <c r="AG409" s="264">
        <f>IF(NFI_Expiration=1,IF($A409&lt;VLOOKUP(P$5,NFI,5,0),1,0)*Table_NFI[[#This Row],[Plastic Bucket]],Table_NFI[Plastic Bucket])</f>
        <v>0</v>
      </c>
      <c r="AH409" s="264">
        <f>IF(NFI_Expiration=1,IF($A409&lt;VLOOKUP(Q$5,NFI,5,0),1,0)*Table_NFI[[#This Row],[Plastic Mat]],Table_NFI[Plastic Mat])*IF(Table_NFI[[#This Row],[Distribution Date]]&gt;"2014-04-01",1,2.5)</f>
        <v>0</v>
      </c>
      <c r="AI409" s="264">
        <f>IF(NFI_Expiration=1,IF($A409&lt;VLOOKUP(R$5,NFI,5,0),1,0)*Table_NFI[[#This Row],[Winter Clothes Adult]],Table_NFI[Winter Clothes Adult])</f>
        <v>0</v>
      </c>
      <c r="AJ409" s="264">
        <f>IF(NFI_Expiration=1,IF($A409&lt;VLOOKUP(S$5,NFI,5,0),1,0)*Table_NFI[[#This Row],[Winter Clothes Children]],Table_NFI[Winter Clothes Children])</f>
        <v>0</v>
      </c>
      <c r="AK409" s="264">
        <f>IF(NFI_Expiration=1,IF($A409&lt;VLOOKUP(T$5,NFI,5,0),1,0)*Table_NFI[[#This Row],[Winter Items Other]],Table_NFI[Winter Items Other])</f>
        <v>0</v>
      </c>
      <c r="AL409" s="264">
        <f>IF(NFI_Expiration=1,IF($A409&lt;VLOOKUP(M$5,NFI,5,0),1,0)*Table_NFI[[#This Row],[Winter Blanket]],Table_NFI[[#This Row],[Winter Blanket]])</f>
        <v>0</v>
      </c>
      <c r="AM409" s="264">
        <f>IF(Table_NFI[[#This Row],[Winter Clothes Adult]]+Table_NFI[[#This Row],[Winter Clothes Children]]+Table_NFI[[#This Row],[Winter Items Other]]+Table_NFI[[#This Row],[Winter Blanket]]&gt;0,1,0)</f>
        <v>1</v>
      </c>
      <c r="AN409" s="296">
        <f>IF(NFI_Expiration=1,IF($A409&lt;VLOOKUP(V$5,NFI,5,0),1,0)*Table_NFI[[#This Row],[Jerry Can]],Table_NFI[Jerry Can])</f>
        <v>0</v>
      </c>
      <c r="AO409" s="296">
        <f>IF(NFI_Expiration=1,IF($A409&lt;VLOOKUP(V$5,NFI,5,0),1,0)*Table_NFI[[#This Row],[Shelter Tool kit]],Table_NFI[Shelter Tool kit])</f>
        <v>0</v>
      </c>
      <c r="AP409" s="296">
        <f>IF(NFI_Expiration=1,IF($A409&lt;VLOOKUP(V$5,NFI,5,0),1,0)*Table_NFI[[#This Row],[Tent]],Table_NFI[Tent])</f>
        <v>0</v>
      </c>
      <c r="AQ409" s="396" t="str">
        <f>IFERROR(VLOOKUP(Table_NFI[[#This Row],[Camp Name]],CL,2,0),"")</f>
        <v>MMR001CMP056</v>
      </c>
      <c r="AR409" s="702">
        <f ca="1">IF(Table_NFI[[#This Row],[Pcode]]="","",IF(OFFSET(CampList[Opening Date],MATCH(Table_NFI[[#This Row],[Pcode]],CampList[CP_Pcode],0)-1,0,1,1)&gt;=NFI_Monitor_Date,1,0))</f>
        <v>0</v>
      </c>
      <c r="AS409" s="396" t="str">
        <f>IFERROR(VLOOKUP(Table_NFI[[#This Row],[Camp Name]],CL,3,0),"")</f>
        <v>Open</v>
      </c>
      <c r="AT409" s="264" t="str">
        <f ca="1">IF(Table_NFI[[#This Row],[Pcode]]="","",OFFSET(CampList[Priority],MATCH(Table_NFI[[#This Row],[Pcode]],CampList[CP_Pcode],0)-1,0,1,1))</f>
        <v>P4</v>
      </c>
      <c r="AU409" s="263">
        <f>IFERROR(Table_NFI[[#This Row],[Kitchen Set]]/VLOOKUP(Table_NFI[[#This Row],[Camp Name]],CL,4,0),"")</f>
        <v>0</v>
      </c>
      <c r="AV409" s="390"/>
      <c r="AW409" s="392"/>
      <c r="AX409" s="399"/>
      <c r="AY409" s="399"/>
      <c r="AZ409" s="399"/>
      <c r="BA409" s="399"/>
      <c r="BB409" s="399"/>
      <c r="BC409" s="399"/>
      <c r="BD409" s="399"/>
      <c r="BE409" s="399"/>
      <c r="BF409" s="399"/>
      <c r="BG409" s="399"/>
      <c r="BH409" s="399"/>
      <c r="BI409" s="399"/>
      <c r="BJ409" s="399"/>
      <c r="BK409" s="399"/>
      <c r="BL409" s="399"/>
      <c r="BM409" s="399"/>
      <c r="BN409" s="399"/>
      <c r="BO409" s="399"/>
      <c r="BP409" s="399"/>
      <c r="BQ409" s="399"/>
      <c r="BR409" s="399"/>
      <c r="BS409" s="399"/>
      <c r="BT409" s="399"/>
      <c r="BU409" s="399"/>
      <c r="BV409" s="399"/>
      <c r="BW409" s="399"/>
      <c r="BX409" s="399"/>
      <c r="BY409" s="399"/>
      <c r="BZ409" s="399"/>
      <c r="CA409" s="399"/>
      <c r="CB409" s="399"/>
      <c r="CC409" s="399"/>
      <c r="CD409" s="399"/>
      <c r="CE409" s="399"/>
      <c r="CF409" s="399"/>
      <c r="CG409" s="399"/>
      <c r="CH409" s="399"/>
      <c r="CI409" s="399"/>
      <c r="CJ409" s="399"/>
      <c r="CK409" s="399"/>
      <c r="CL409" s="399"/>
      <c r="CM409" s="399"/>
      <c r="CN409" s="399"/>
      <c r="CO409" s="399"/>
      <c r="CP409" s="399"/>
      <c r="CQ409" s="399"/>
      <c r="CR409" s="399"/>
      <c r="CS409" s="399"/>
      <c r="CT409" s="399"/>
      <c r="CU409" s="399"/>
      <c r="CV409" s="399"/>
      <c r="CW409" s="399"/>
      <c r="CX409" s="399"/>
      <c r="CY409" s="399"/>
      <c r="CZ409" s="399"/>
      <c r="DA409" s="399"/>
      <c r="DB409" s="399"/>
      <c r="DC409" s="399"/>
      <c r="DD409" s="399"/>
      <c r="DE409" s="399"/>
      <c r="DF409" s="399"/>
      <c r="DG409" s="399"/>
      <c r="DH409" s="399"/>
      <c r="DI409" s="399"/>
      <c r="DJ409" s="399"/>
      <c r="DK409" s="399"/>
      <c r="DL409" s="399"/>
      <c r="DM409" s="399"/>
      <c r="DN409" s="399"/>
      <c r="DO409" s="399"/>
      <c r="DP409" s="399"/>
      <c r="DQ409" s="399"/>
    </row>
    <row r="410" spans="1:121" s="393" customFormat="1" ht="14.45" customHeight="1" x14ac:dyDescent="0.25">
      <c r="A410" s="266">
        <f t="shared" si="6"/>
        <v>34.733333333333334</v>
      </c>
      <c r="B410" s="389">
        <v>41814</v>
      </c>
      <c r="C410" s="390" t="s">
        <v>1099</v>
      </c>
      <c r="D410" s="390" t="s">
        <v>899</v>
      </c>
      <c r="E410" s="390" t="s">
        <v>380</v>
      </c>
      <c r="F410" s="390" t="s">
        <v>237</v>
      </c>
      <c r="G410" s="390" t="s">
        <v>263</v>
      </c>
      <c r="H410" s="261"/>
      <c r="I410" s="261"/>
      <c r="J410" s="261"/>
      <c r="K410" s="261"/>
      <c r="L410" s="261"/>
      <c r="M410" s="261"/>
      <c r="N410" s="261"/>
      <c r="O410" s="261"/>
      <c r="P410" s="261"/>
      <c r="Q410" s="261"/>
      <c r="R410" s="261"/>
      <c r="S410" s="261"/>
      <c r="T410" s="261"/>
      <c r="U410" s="261">
        <v>44</v>
      </c>
      <c r="V410" s="762"/>
      <c r="W410" s="261"/>
      <c r="X410" s="261"/>
      <c r="Y410" s="264">
        <f>IF(NFI_Expiration=1,IF($A410&lt;VLOOKUP(H$5,NFI,5,0),1,0)*Table_NFI[[#This Row],[Hygiene Kit]],Table_NFI[Hygiene Kit])</f>
        <v>0</v>
      </c>
      <c r="Z410" s="264">
        <f>IF(NFI_Expiration=1,IF($A410&lt;VLOOKUP(I$5,NFI,5,0),1,0)*Table_NFI[[#This Row],[NFI Core Kit]],Table_NFI[NFI Core Kit])</f>
        <v>0</v>
      </c>
      <c r="AA410" s="264">
        <f>IF(NFI_Expiration=1,IF($A410&lt;VLOOKUP(J$5,NFI,5,0),1,0)*Table_NFI[[#This Row],[Sanitary Kit]],Table_NFI[Sanitary Kit])</f>
        <v>0</v>
      </c>
      <c r="AB410" s="264">
        <f>IF(NFI_Expiration=1,IF($A410&lt;VLOOKUP(K$5,NFI,5,0),1,0)*Table_NFI[[#This Row],[Mosquito net]],Table_NFI[Mosquito net])</f>
        <v>0</v>
      </c>
      <c r="AC410" s="264">
        <f>IF(NFI_Expiration=1,IF($A410&lt;VLOOKUP(L$5,NFI,5,0),1,0)*Table_NFI[[#This Row],[Tarpaulin]],Table_NFI[[#This Row],[Tarpaulin]])</f>
        <v>0</v>
      </c>
      <c r="AD410" s="264">
        <f>IF(NFI_Expiration=1,IF($A410&lt;VLOOKUP(M$5,NFI,5,0),1,0)*Table_NFI[[#This Row],[Blanket]],Table_NFI[[#This Row],[Blanket]])</f>
        <v>0</v>
      </c>
      <c r="AE410" s="264">
        <f>IF(NFI_Expiration=1,IF($A410&lt;VLOOKUP(N$5,NFI,5,0),1,0)*Table_NFI[[#This Row],[Kitchen Set]],Table_NFI[Kitchen Set])</f>
        <v>0</v>
      </c>
      <c r="AF410" s="264">
        <f>IF(NFI_Expiration=1,IF($A410&lt;VLOOKUP(O$5,NFI,5,0),1,0)*Table_NFI[[#This Row],[Clothes Kit]],Table_NFI[Clothes Kit])</f>
        <v>0</v>
      </c>
      <c r="AG410" s="264">
        <f>IF(NFI_Expiration=1,IF($A410&lt;VLOOKUP(P$5,NFI,5,0),1,0)*Table_NFI[[#This Row],[Plastic Bucket]],Table_NFI[Plastic Bucket])</f>
        <v>0</v>
      </c>
      <c r="AH410" s="264">
        <f>IF(NFI_Expiration=1,IF($A410&lt;VLOOKUP(Q$5,NFI,5,0),1,0)*Table_NFI[[#This Row],[Plastic Mat]],Table_NFI[Plastic Mat])*IF(Table_NFI[[#This Row],[Distribution Date]]&gt;"2014-04-01",1,2.5)</f>
        <v>0</v>
      </c>
      <c r="AI410" s="264">
        <f>IF(NFI_Expiration=1,IF($A410&lt;VLOOKUP(R$5,NFI,5,0),1,0)*Table_NFI[[#This Row],[Winter Clothes Adult]],Table_NFI[Winter Clothes Adult])</f>
        <v>0</v>
      </c>
      <c r="AJ410" s="264">
        <f>IF(NFI_Expiration=1,IF($A410&lt;VLOOKUP(S$5,NFI,5,0),1,0)*Table_NFI[[#This Row],[Winter Clothes Children]],Table_NFI[Winter Clothes Children])</f>
        <v>0</v>
      </c>
      <c r="AK410" s="264">
        <f>IF(NFI_Expiration=1,IF($A410&lt;VLOOKUP(T$5,NFI,5,0),1,0)*Table_NFI[[#This Row],[Winter Items Other]],Table_NFI[Winter Items Other])</f>
        <v>0</v>
      </c>
      <c r="AL410" s="264">
        <f>IF(NFI_Expiration=1,IF($A410&lt;VLOOKUP(M$5,NFI,5,0),1,0)*Table_NFI[[#This Row],[Winter Blanket]],Table_NFI[[#This Row],[Winter Blanket]])</f>
        <v>0</v>
      </c>
      <c r="AM410" s="264">
        <f>IF(Table_NFI[[#This Row],[Winter Clothes Adult]]+Table_NFI[[#This Row],[Winter Clothes Children]]+Table_NFI[[#This Row],[Winter Items Other]]+Table_NFI[[#This Row],[Winter Blanket]]&gt;0,1,0)</f>
        <v>1</v>
      </c>
      <c r="AN410" s="296">
        <f>IF(NFI_Expiration=1,IF($A410&lt;VLOOKUP(V$5,NFI,5,0),1,0)*Table_NFI[[#This Row],[Jerry Can]],Table_NFI[Jerry Can])</f>
        <v>0</v>
      </c>
      <c r="AO410" s="296">
        <f>IF(NFI_Expiration=1,IF($A410&lt;VLOOKUP(V$5,NFI,5,0),1,0)*Table_NFI[[#This Row],[Shelter Tool kit]],Table_NFI[Shelter Tool kit])</f>
        <v>0</v>
      </c>
      <c r="AP410" s="296">
        <f>IF(NFI_Expiration=1,IF($A410&lt;VLOOKUP(V$5,NFI,5,0),1,0)*Table_NFI[[#This Row],[Tent]],Table_NFI[Tent])</f>
        <v>0</v>
      </c>
      <c r="AQ410" s="396" t="str">
        <f>IFERROR(VLOOKUP(Table_NFI[[#This Row],[Camp Name]],CL,2,0),"")</f>
        <v>MMR001CMP020</v>
      </c>
      <c r="AR410" s="702">
        <f ca="1">IF(Table_NFI[[#This Row],[Pcode]]="","",IF(OFFSET(CampList[Opening Date],MATCH(Table_NFI[[#This Row],[Pcode]],CampList[CP_Pcode],0)-1,0,1,1)&gt;=NFI_Monitor_Date,1,0))</f>
        <v>0</v>
      </c>
      <c r="AS410" s="396" t="str">
        <f>IFERROR(VLOOKUP(Table_NFI[[#This Row],[Camp Name]],CL,3,0),"")</f>
        <v>Open</v>
      </c>
      <c r="AT410" s="264" t="str">
        <f ca="1">IF(Table_NFI[[#This Row],[Pcode]]="","",OFFSET(CampList[Priority],MATCH(Table_NFI[[#This Row],[Pcode]],CampList[CP_Pcode],0)-1,0,1,1))</f>
        <v>P4</v>
      </c>
      <c r="AU410" s="263">
        <f>IFERROR(Table_NFI[[#This Row],[Kitchen Set]]/VLOOKUP(Table_NFI[[#This Row],[Camp Name]],CL,4,0),"")</f>
        <v>0</v>
      </c>
      <c r="AV410" s="390"/>
      <c r="AW410" s="392"/>
      <c r="AX410" s="399"/>
      <c r="AY410" s="399"/>
      <c r="AZ410" s="399"/>
      <c r="BA410" s="399"/>
      <c r="BB410" s="399"/>
      <c r="BC410" s="399"/>
      <c r="BD410" s="399"/>
      <c r="BE410" s="399"/>
      <c r="BF410" s="399"/>
      <c r="BG410" s="399"/>
      <c r="BH410" s="399"/>
      <c r="BI410" s="399"/>
      <c r="BJ410" s="399"/>
      <c r="BK410" s="399"/>
      <c r="BL410" s="399"/>
      <c r="BM410" s="399"/>
      <c r="BN410" s="399"/>
      <c r="BO410" s="399"/>
      <c r="BP410" s="399"/>
      <c r="BQ410" s="399"/>
      <c r="BR410" s="399"/>
      <c r="BS410" s="399"/>
      <c r="BT410" s="399"/>
      <c r="BU410" s="399"/>
      <c r="BV410" s="399"/>
      <c r="BW410" s="399"/>
      <c r="BX410" s="399"/>
      <c r="BY410" s="399"/>
      <c r="BZ410" s="399"/>
      <c r="CA410" s="399"/>
      <c r="CB410" s="399"/>
      <c r="CC410" s="399"/>
      <c r="CD410" s="399"/>
      <c r="CE410" s="399"/>
      <c r="CF410" s="399"/>
      <c r="CG410" s="399"/>
      <c r="CH410" s="399"/>
      <c r="CI410" s="399"/>
      <c r="CJ410" s="399"/>
      <c r="CK410" s="399"/>
      <c r="CL410" s="399"/>
      <c r="CM410" s="399"/>
      <c r="CN410" s="399"/>
      <c r="CO410" s="399"/>
      <c r="CP410" s="399"/>
      <c r="CQ410" s="399"/>
      <c r="CR410" s="399"/>
      <c r="CS410" s="399"/>
      <c r="CT410" s="399"/>
      <c r="CU410" s="399"/>
      <c r="CV410" s="399"/>
      <c r="CW410" s="399"/>
      <c r="CX410" s="399"/>
      <c r="CY410" s="399"/>
      <c r="CZ410" s="399"/>
      <c r="DA410" s="399"/>
      <c r="DB410" s="399"/>
      <c r="DC410" s="399"/>
      <c r="DD410" s="399"/>
      <c r="DE410" s="399"/>
      <c r="DF410" s="399"/>
      <c r="DG410" s="399"/>
      <c r="DH410" s="399"/>
      <c r="DI410" s="399"/>
      <c r="DJ410" s="399"/>
      <c r="DK410" s="399"/>
      <c r="DL410" s="399"/>
      <c r="DM410" s="399"/>
      <c r="DN410" s="399"/>
      <c r="DO410" s="399"/>
      <c r="DP410" s="399"/>
      <c r="DQ410" s="399"/>
    </row>
    <row r="411" spans="1:121" s="393" customFormat="1" ht="15" customHeight="1" x14ac:dyDescent="0.25">
      <c r="A411" s="266">
        <f t="shared" si="6"/>
        <v>34.733333333333334</v>
      </c>
      <c r="B411" s="389">
        <v>41814</v>
      </c>
      <c r="C411" s="390" t="s">
        <v>1099</v>
      </c>
      <c r="D411" s="390" t="s">
        <v>899</v>
      </c>
      <c r="E411" s="390" t="s">
        <v>380</v>
      </c>
      <c r="F411" s="390" t="s">
        <v>237</v>
      </c>
      <c r="G411" s="390" t="s">
        <v>265</v>
      </c>
      <c r="H411" s="261"/>
      <c r="I411" s="261"/>
      <c r="J411" s="261"/>
      <c r="K411" s="261"/>
      <c r="L411" s="261"/>
      <c r="M411" s="261"/>
      <c r="N411" s="261"/>
      <c r="O411" s="261"/>
      <c r="P411" s="261"/>
      <c r="Q411" s="261"/>
      <c r="R411" s="261"/>
      <c r="S411" s="261"/>
      <c r="T411" s="261"/>
      <c r="U411" s="261">
        <v>28</v>
      </c>
      <c r="V411" s="762"/>
      <c r="W411" s="261"/>
      <c r="X411" s="261"/>
      <c r="Y411" s="264">
        <f>IF(NFI_Expiration=1,IF($A411&lt;VLOOKUP(H$5,NFI,5,0),1,0)*Table_NFI[[#This Row],[Hygiene Kit]],Table_NFI[Hygiene Kit])</f>
        <v>0</v>
      </c>
      <c r="Z411" s="264">
        <f>IF(NFI_Expiration=1,IF($A411&lt;VLOOKUP(I$5,NFI,5,0),1,0)*Table_NFI[[#This Row],[NFI Core Kit]],Table_NFI[NFI Core Kit])</f>
        <v>0</v>
      </c>
      <c r="AA411" s="264">
        <f>IF(NFI_Expiration=1,IF($A411&lt;VLOOKUP(J$5,NFI,5,0),1,0)*Table_NFI[[#This Row],[Sanitary Kit]],Table_NFI[Sanitary Kit])</f>
        <v>0</v>
      </c>
      <c r="AB411" s="264">
        <f>IF(NFI_Expiration=1,IF($A411&lt;VLOOKUP(K$5,NFI,5,0),1,0)*Table_NFI[[#This Row],[Mosquito net]],Table_NFI[Mosquito net])</f>
        <v>0</v>
      </c>
      <c r="AC411" s="264">
        <f>IF(NFI_Expiration=1,IF($A411&lt;VLOOKUP(L$5,NFI,5,0),1,0)*Table_NFI[[#This Row],[Tarpaulin]],Table_NFI[[#This Row],[Tarpaulin]])</f>
        <v>0</v>
      </c>
      <c r="AD411" s="264">
        <f>IF(NFI_Expiration=1,IF($A411&lt;VLOOKUP(M$5,NFI,5,0),1,0)*Table_NFI[[#This Row],[Blanket]],Table_NFI[[#This Row],[Blanket]])</f>
        <v>0</v>
      </c>
      <c r="AE411" s="264">
        <f>IF(NFI_Expiration=1,IF($A411&lt;VLOOKUP(N$5,NFI,5,0),1,0)*Table_NFI[[#This Row],[Kitchen Set]],Table_NFI[Kitchen Set])</f>
        <v>0</v>
      </c>
      <c r="AF411" s="264">
        <f>IF(NFI_Expiration=1,IF($A411&lt;VLOOKUP(O$5,NFI,5,0),1,0)*Table_NFI[[#This Row],[Clothes Kit]],Table_NFI[Clothes Kit])</f>
        <v>0</v>
      </c>
      <c r="AG411" s="264">
        <f>IF(NFI_Expiration=1,IF($A411&lt;VLOOKUP(P$5,NFI,5,0),1,0)*Table_NFI[[#This Row],[Plastic Bucket]],Table_NFI[Plastic Bucket])</f>
        <v>0</v>
      </c>
      <c r="AH411" s="264">
        <f>IF(NFI_Expiration=1,IF($A411&lt;VLOOKUP(Q$5,NFI,5,0),1,0)*Table_NFI[[#This Row],[Plastic Mat]],Table_NFI[Plastic Mat])*IF(Table_NFI[[#This Row],[Distribution Date]]&gt;"2014-04-01",1,2.5)</f>
        <v>0</v>
      </c>
      <c r="AI411" s="264">
        <f>IF(NFI_Expiration=1,IF($A411&lt;VLOOKUP(R$5,NFI,5,0),1,0)*Table_NFI[[#This Row],[Winter Clothes Adult]],Table_NFI[Winter Clothes Adult])</f>
        <v>0</v>
      </c>
      <c r="AJ411" s="264">
        <f>IF(NFI_Expiration=1,IF($A411&lt;VLOOKUP(S$5,NFI,5,0),1,0)*Table_NFI[[#This Row],[Winter Clothes Children]],Table_NFI[Winter Clothes Children])</f>
        <v>0</v>
      </c>
      <c r="AK411" s="264">
        <f>IF(NFI_Expiration=1,IF($A411&lt;VLOOKUP(T$5,NFI,5,0),1,0)*Table_NFI[[#This Row],[Winter Items Other]],Table_NFI[Winter Items Other])</f>
        <v>0</v>
      </c>
      <c r="AL411" s="264">
        <f>IF(NFI_Expiration=1,IF($A411&lt;VLOOKUP(M$5,NFI,5,0),1,0)*Table_NFI[[#This Row],[Winter Blanket]],Table_NFI[[#This Row],[Winter Blanket]])</f>
        <v>0</v>
      </c>
      <c r="AM411" s="264">
        <f>IF(Table_NFI[[#This Row],[Winter Clothes Adult]]+Table_NFI[[#This Row],[Winter Clothes Children]]+Table_NFI[[#This Row],[Winter Items Other]]+Table_NFI[[#This Row],[Winter Blanket]]&gt;0,1,0)</f>
        <v>1</v>
      </c>
      <c r="AN411" s="296">
        <f>IF(NFI_Expiration=1,IF($A411&lt;VLOOKUP(V$5,NFI,5,0),1,0)*Table_NFI[[#This Row],[Jerry Can]],Table_NFI[Jerry Can])</f>
        <v>0</v>
      </c>
      <c r="AO411" s="296">
        <f>IF(NFI_Expiration=1,IF($A411&lt;VLOOKUP(V$5,NFI,5,0),1,0)*Table_NFI[[#This Row],[Shelter Tool kit]],Table_NFI[Shelter Tool kit])</f>
        <v>0</v>
      </c>
      <c r="AP411" s="296">
        <f>IF(NFI_Expiration=1,IF($A411&lt;VLOOKUP(V$5,NFI,5,0),1,0)*Table_NFI[[#This Row],[Tent]],Table_NFI[Tent])</f>
        <v>0</v>
      </c>
      <c r="AQ411" s="396" t="str">
        <f>IFERROR(VLOOKUP(Table_NFI[[#This Row],[Camp Name]],CL,2,0),"")</f>
        <v>MMR001CMP021</v>
      </c>
      <c r="AR411" s="702">
        <f ca="1">IF(Table_NFI[[#This Row],[Pcode]]="","",IF(OFFSET(CampList[Opening Date],MATCH(Table_NFI[[#This Row],[Pcode]],CampList[CP_Pcode],0)-1,0,1,1)&gt;=NFI_Monitor_Date,1,0))</f>
        <v>0</v>
      </c>
      <c r="AS411" s="396" t="str">
        <f>IFERROR(VLOOKUP(Table_NFI[[#This Row],[Camp Name]],CL,3,0),"")</f>
        <v>Open</v>
      </c>
      <c r="AT411" s="264" t="str">
        <f ca="1">IF(Table_NFI[[#This Row],[Pcode]]="","",OFFSET(CampList[Priority],MATCH(Table_NFI[[#This Row],[Pcode]],CampList[CP_Pcode],0)-1,0,1,1))</f>
        <v>P4</v>
      </c>
      <c r="AU411" s="263">
        <f>IFERROR(Table_NFI[[#This Row],[Kitchen Set]]/VLOOKUP(Table_NFI[[#This Row],[Camp Name]],CL,4,0),"")</f>
        <v>0</v>
      </c>
      <c r="AV411" s="390"/>
      <c r="AW411" s="392"/>
      <c r="AX411" s="399"/>
      <c r="AY411" s="399"/>
      <c r="AZ411" s="399"/>
      <c r="BA411" s="399"/>
      <c r="BB411" s="399"/>
      <c r="BC411" s="399"/>
      <c r="BD411" s="399"/>
      <c r="BE411" s="399"/>
      <c r="BF411" s="399"/>
      <c r="BG411" s="399"/>
      <c r="BH411" s="399"/>
      <c r="BI411" s="399"/>
      <c r="BJ411" s="399"/>
      <c r="BK411" s="399"/>
      <c r="BL411" s="399"/>
      <c r="BM411" s="399"/>
      <c r="BN411" s="399"/>
      <c r="BO411" s="399"/>
      <c r="BP411" s="399"/>
      <c r="BQ411" s="399"/>
      <c r="BR411" s="399"/>
      <c r="BS411" s="399"/>
      <c r="BT411" s="399"/>
      <c r="BU411" s="399"/>
      <c r="BV411" s="399"/>
      <c r="BW411" s="399"/>
      <c r="BX411" s="399"/>
      <c r="BY411" s="399"/>
      <c r="BZ411" s="399"/>
      <c r="CA411" s="399"/>
      <c r="CB411" s="399"/>
      <c r="CC411" s="399"/>
      <c r="CD411" s="399"/>
      <c r="CE411" s="399"/>
      <c r="CF411" s="399"/>
      <c r="CG411" s="399"/>
      <c r="CH411" s="399"/>
      <c r="CI411" s="399"/>
      <c r="CJ411" s="399"/>
      <c r="CK411" s="399"/>
      <c r="CL411" s="399"/>
      <c r="CM411" s="399"/>
      <c r="CN411" s="399"/>
      <c r="CO411" s="399"/>
      <c r="CP411" s="399"/>
      <c r="CQ411" s="399"/>
      <c r="CR411" s="399"/>
      <c r="CS411" s="399"/>
      <c r="CT411" s="399"/>
      <c r="CU411" s="399"/>
      <c r="CV411" s="399"/>
      <c r="CW411" s="399"/>
      <c r="CX411" s="399"/>
      <c r="CY411" s="399"/>
      <c r="CZ411" s="399"/>
      <c r="DA411" s="399"/>
      <c r="DB411" s="399"/>
      <c r="DC411" s="399"/>
      <c r="DD411" s="399"/>
      <c r="DE411" s="399"/>
      <c r="DF411" s="399"/>
      <c r="DG411" s="399"/>
      <c r="DH411" s="399"/>
      <c r="DI411" s="399"/>
      <c r="DJ411" s="399"/>
      <c r="DK411" s="399"/>
      <c r="DL411" s="399"/>
      <c r="DM411" s="399"/>
      <c r="DN411" s="399"/>
      <c r="DO411" s="399"/>
      <c r="DP411" s="399"/>
      <c r="DQ411" s="399"/>
    </row>
    <row r="412" spans="1:121" s="760" customFormat="1" ht="15" customHeight="1" x14ac:dyDescent="0.25">
      <c r="A412" s="266">
        <f t="shared" si="6"/>
        <v>34.766666666666666</v>
      </c>
      <c r="B412" s="389">
        <v>41813</v>
      </c>
      <c r="C412" s="390" t="s">
        <v>1099</v>
      </c>
      <c r="D412" s="390" t="s">
        <v>899</v>
      </c>
      <c r="E412" s="390" t="s">
        <v>380</v>
      </c>
      <c r="F412" s="390" t="s">
        <v>237</v>
      </c>
      <c r="G412" s="390" t="s">
        <v>275</v>
      </c>
      <c r="H412" s="261"/>
      <c r="I412" s="261"/>
      <c r="J412" s="261"/>
      <c r="K412" s="261"/>
      <c r="L412" s="261"/>
      <c r="M412" s="261"/>
      <c r="N412" s="261"/>
      <c r="O412" s="261"/>
      <c r="P412" s="261"/>
      <c r="Q412" s="261"/>
      <c r="R412" s="261"/>
      <c r="S412" s="261"/>
      <c r="T412" s="261"/>
      <c r="U412" s="261">
        <v>88</v>
      </c>
      <c r="V412" s="762"/>
      <c r="W412" s="261"/>
      <c r="X412" s="261"/>
      <c r="Y412" s="264">
        <f>IF(NFI_Expiration=1,IF($A412&lt;VLOOKUP(H$5,NFI,5,0),1,0)*Table_NFI[[#This Row],[Hygiene Kit]],Table_NFI[Hygiene Kit])</f>
        <v>0</v>
      </c>
      <c r="Z412" s="264">
        <f>IF(NFI_Expiration=1,IF($A412&lt;VLOOKUP(I$5,NFI,5,0),1,0)*Table_NFI[[#This Row],[NFI Core Kit]],Table_NFI[NFI Core Kit])</f>
        <v>0</v>
      </c>
      <c r="AA412" s="264">
        <f>IF(NFI_Expiration=1,IF($A412&lt;VLOOKUP(J$5,NFI,5,0),1,0)*Table_NFI[[#This Row],[Sanitary Kit]],Table_NFI[Sanitary Kit])</f>
        <v>0</v>
      </c>
      <c r="AB412" s="264">
        <f>IF(NFI_Expiration=1,IF($A412&lt;VLOOKUP(K$5,NFI,5,0),1,0)*Table_NFI[[#This Row],[Mosquito net]],Table_NFI[Mosquito net])</f>
        <v>0</v>
      </c>
      <c r="AC412" s="264">
        <f>IF(NFI_Expiration=1,IF($A412&lt;VLOOKUP(L$5,NFI,5,0),1,0)*Table_NFI[[#This Row],[Tarpaulin]],Table_NFI[[#This Row],[Tarpaulin]])</f>
        <v>0</v>
      </c>
      <c r="AD412" s="264">
        <f>IF(NFI_Expiration=1,IF($A412&lt;VLOOKUP(M$5,NFI,5,0),1,0)*Table_NFI[[#This Row],[Blanket]],Table_NFI[[#This Row],[Blanket]])</f>
        <v>0</v>
      </c>
      <c r="AE412" s="264">
        <f>IF(NFI_Expiration=1,IF($A412&lt;VLOOKUP(N$5,NFI,5,0),1,0)*Table_NFI[[#This Row],[Kitchen Set]],Table_NFI[Kitchen Set])</f>
        <v>0</v>
      </c>
      <c r="AF412" s="264">
        <f>IF(NFI_Expiration=1,IF($A412&lt;VLOOKUP(O$5,NFI,5,0),1,0)*Table_NFI[[#This Row],[Clothes Kit]],Table_NFI[Clothes Kit])</f>
        <v>0</v>
      </c>
      <c r="AG412" s="264">
        <f>IF(NFI_Expiration=1,IF($A412&lt;VLOOKUP(P$5,NFI,5,0),1,0)*Table_NFI[[#This Row],[Plastic Bucket]],Table_NFI[Plastic Bucket])</f>
        <v>0</v>
      </c>
      <c r="AH412" s="264">
        <f>IF(NFI_Expiration=1,IF($A412&lt;VLOOKUP(Q$5,NFI,5,0),1,0)*Table_NFI[[#This Row],[Plastic Mat]],Table_NFI[Plastic Mat])*IF(Table_NFI[[#This Row],[Distribution Date]]&gt;"2014-04-01",1,2.5)</f>
        <v>0</v>
      </c>
      <c r="AI412" s="264">
        <f>IF(NFI_Expiration=1,IF($A412&lt;VLOOKUP(R$5,NFI,5,0),1,0)*Table_NFI[[#This Row],[Winter Clothes Adult]],Table_NFI[Winter Clothes Adult])</f>
        <v>0</v>
      </c>
      <c r="AJ412" s="264">
        <f>IF(NFI_Expiration=1,IF($A412&lt;VLOOKUP(S$5,NFI,5,0),1,0)*Table_NFI[[#This Row],[Winter Clothes Children]],Table_NFI[Winter Clothes Children])</f>
        <v>0</v>
      </c>
      <c r="AK412" s="264">
        <f>IF(NFI_Expiration=1,IF($A412&lt;VLOOKUP(T$5,NFI,5,0),1,0)*Table_NFI[[#This Row],[Winter Items Other]],Table_NFI[Winter Items Other])</f>
        <v>0</v>
      </c>
      <c r="AL412" s="264">
        <f>IF(NFI_Expiration=1,IF($A412&lt;VLOOKUP(M$5,NFI,5,0),1,0)*Table_NFI[[#This Row],[Winter Blanket]],Table_NFI[[#This Row],[Winter Blanket]])</f>
        <v>0</v>
      </c>
      <c r="AM412" s="264">
        <f>IF(Table_NFI[[#This Row],[Winter Clothes Adult]]+Table_NFI[[#This Row],[Winter Clothes Children]]+Table_NFI[[#This Row],[Winter Items Other]]+Table_NFI[[#This Row],[Winter Blanket]]&gt;0,1,0)</f>
        <v>1</v>
      </c>
      <c r="AN412" s="296">
        <f>IF(NFI_Expiration=1,IF($A412&lt;VLOOKUP(V$5,NFI,5,0),1,0)*Table_NFI[[#This Row],[Jerry Can]],Table_NFI[Jerry Can])</f>
        <v>0</v>
      </c>
      <c r="AO412" s="296">
        <f>IF(NFI_Expiration=1,IF($A412&lt;VLOOKUP(V$5,NFI,5,0),1,0)*Table_NFI[[#This Row],[Shelter Tool kit]],Table_NFI[Shelter Tool kit])</f>
        <v>0</v>
      </c>
      <c r="AP412" s="296">
        <f>IF(NFI_Expiration=1,IF($A412&lt;VLOOKUP(V$5,NFI,5,0),1,0)*Table_NFI[[#This Row],[Tent]],Table_NFI[Tent])</f>
        <v>0</v>
      </c>
      <c r="AQ412" s="396" t="str">
        <f>IFERROR(VLOOKUP(Table_NFI[[#This Row],[Camp Name]],CL,2,0),"")</f>
        <v>MMR001CMP005</v>
      </c>
      <c r="AR412" s="702">
        <f ca="1">IF(Table_NFI[[#This Row],[Pcode]]="","",IF(OFFSET(CampList[Opening Date],MATCH(Table_NFI[[#This Row],[Pcode]],CampList[CP_Pcode],0)-1,0,1,1)&gt;=NFI_Monitor_Date,1,0))</f>
        <v>0</v>
      </c>
      <c r="AS412" s="396" t="str">
        <f>IFERROR(VLOOKUP(Table_NFI[[#This Row],[Camp Name]],CL,3,0),"")</f>
        <v>Open</v>
      </c>
      <c r="AT412" s="264" t="str">
        <f ca="1">IF(Table_NFI[[#This Row],[Pcode]]="","",OFFSET(CampList[Priority],MATCH(Table_NFI[[#This Row],[Pcode]],CampList[CP_Pcode],0)-1,0,1,1))</f>
        <v>P4</v>
      </c>
      <c r="AU412" s="263">
        <f>IFERROR(Table_NFI[[#This Row],[Kitchen Set]]/VLOOKUP(Table_NFI[[#This Row],[Camp Name]],CL,4,0),"")</f>
        <v>0</v>
      </c>
      <c r="AV412" s="390"/>
      <c r="AW412" s="392"/>
      <c r="AX412" s="399"/>
      <c r="AY412" s="399"/>
      <c r="AZ412" s="399"/>
      <c r="BA412" s="399"/>
      <c r="BB412" s="399"/>
      <c r="BC412" s="399"/>
      <c r="BD412" s="399"/>
      <c r="BE412" s="399"/>
      <c r="BF412" s="399"/>
      <c r="BG412" s="399"/>
      <c r="BH412" s="399"/>
      <c r="BI412" s="399"/>
      <c r="BJ412" s="399"/>
      <c r="BK412" s="399"/>
      <c r="BL412" s="399"/>
      <c r="BM412" s="399"/>
      <c r="BN412" s="399"/>
      <c r="BO412" s="399"/>
      <c r="BP412" s="399"/>
      <c r="BQ412" s="399"/>
      <c r="BR412" s="399"/>
      <c r="BS412" s="399"/>
      <c r="BT412" s="399"/>
      <c r="BU412" s="399"/>
      <c r="BV412" s="399"/>
      <c r="BW412" s="399"/>
      <c r="BX412" s="399"/>
      <c r="BY412" s="399"/>
      <c r="BZ412" s="399"/>
      <c r="CA412" s="399"/>
      <c r="CB412" s="399"/>
      <c r="CC412" s="399"/>
      <c r="CD412" s="399"/>
      <c r="CE412" s="399"/>
      <c r="CF412" s="399"/>
      <c r="CG412" s="399"/>
      <c r="CH412" s="399"/>
      <c r="CI412" s="399"/>
      <c r="CJ412" s="399"/>
      <c r="CK412" s="399"/>
      <c r="CL412" s="399"/>
      <c r="CM412" s="399"/>
      <c r="CN412" s="399"/>
      <c r="CO412" s="399"/>
      <c r="CP412" s="399"/>
      <c r="CQ412" s="399"/>
      <c r="CR412" s="399"/>
      <c r="CS412" s="399"/>
      <c r="CT412" s="399"/>
      <c r="CU412" s="399"/>
      <c r="CV412" s="399"/>
      <c r="CW412" s="399"/>
      <c r="CX412" s="399"/>
      <c r="CY412" s="399"/>
      <c r="CZ412" s="399"/>
      <c r="DA412" s="399"/>
      <c r="DB412" s="399"/>
      <c r="DC412" s="399"/>
      <c r="DD412" s="399"/>
      <c r="DE412" s="399"/>
      <c r="DF412" s="399"/>
      <c r="DG412" s="399"/>
      <c r="DH412" s="399"/>
      <c r="DI412" s="399"/>
      <c r="DJ412" s="399"/>
      <c r="DK412" s="399"/>
      <c r="DL412" s="399"/>
      <c r="DM412" s="399"/>
      <c r="DN412" s="399"/>
      <c r="DO412" s="399"/>
      <c r="DP412" s="399"/>
      <c r="DQ412" s="399"/>
    </row>
    <row r="413" spans="1:121" s="760" customFormat="1" ht="14.45" customHeight="1" x14ac:dyDescent="0.25">
      <c r="A413" s="266">
        <f t="shared" si="6"/>
        <v>34.799999999999997</v>
      </c>
      <c r="B413" s="389">
        <v>41812</v>
      </c>
      <c r="C413" s="390" t="s">
        <v>1099</v>
      </c>
      <c r="D413" s="390" t="s">
        <v>899</v>
      </c>
      <c r="E413" s="390" t="s">
        <v>380</v>
      </c>
      <c r="F413" s="390" t="s">
        <v>185</v>
      </c>
      <c r="G413" s="390" t="s">
        <v>211</v>
      </c>
      <c r="H413" s="261"/>
      <c r="I413" s="261"/>
      <c r="J413" s="261"/>
      <c r="K413" s="261"/>
      <c r="L413" s="261"/>
      <c r="M413" s="261"/>
      <c r="N413" s="261"/>
      <c r="O413" s="261"/>
      <c r="P413" s="261"/>
      <c r="Q413" s="261"/>
      <c r="R413" s="261"/>
      <c r="S413" s="261"/>
      <c r="T413" s="261"/>
      <c r="U413" s="261">
        <v>462</v>
      </c>
      <c r="V413" s="762"/>
      <c r="W413" s="261"/>
      <c r="X413" s="261"/>
      <c r="Y413" s="264">
        <f>IF(NFI_Expiration=1,IF($A413&lt;VLOOKUP(H$5,NFI,5,0),1,0)*Table_NFI[[#This Row],[Hygiene Kit]],Table_NFI[Hygiene Kit])</f>
        <v>0</v>
      </c>
      <c r="Z413" s="264">
        <f>IF(NFI_Expiration=1,IF($A413&lt;VLOOKUP(I$5,NFI,5,0),1,0)*Table_NFI[[#This Row],[NFI Core Kit]],Table_NFI[NFI Core Kit])</f>
        <v>0</v>
      </c>
      <c r="AA413" s="264">
        <f>IF(NFI_Expiration=1,IF($A413&lt;VLOOKUP(J$5,NFI,5,0),1,0)*Table_NFI[[#This Row],[Sanitary Kit]],Table_NFI[Sanitary Kit])</f>
        <v>0</v>
      </c>
      <c r="AB413" s="264">
        <f>IF(NFI_Expiration=1,IF($A413&lt;VLOOKUP(K$5,NFI,5,0),1,0)*Table_NFI[[#This Row],[Mosquito net]],Table_NFI[Mosquito net])</f>
        <v>0</v>
      </c>
      <c r="AC413" s="264">
        <f>IF(NFI_Expiration=1,IF($A413&lt;VLOOKUP(L$5,NFI,5,0),1,0)*Table_NFI[[#This Row],[Tarpaulin]],Table_NFI[[#This Row],[Tarpaulin]])</f>
        <v>0</v>
      </c>
      <c r="AD413" s="264">
        <f>IF(NFI_Expiration=1,IF($A413&lt;VLOOKUP(M$5,NFI,5,0),1,0)*Table_NFI[[#This Row],[Blanket]],Table_NFI[[#This Row],[Blanket]])</f>
        <v>0</v>
      </c>
      <c r="AE413" s="264">
        <f>IF(NFI_Expiration=1,IF($A413&lt;VLOOKUP(N$5,NFI,5,0),1,0)*Table_NFI[[#This Row],[Kitchen Set]],Table_NFI[Kitchen Set])</f>
        <v>0</v>
      </c>
      <c r="AF413" s="264">
        <f>IF(NFI_Expiration=1,IF($A413&lt;VLOOKUP(O$5,NFI,5,0),1,0)*Table_NFI[[#This Row],[Clothes Kit]],Table_NFI[Clothes Kit])</f>
        <v>0</v>
      </c>
      <c r="AG413" s="264">
        <f>IF(NFI_Expiration=1,IF($A413&lt;VLOOKUP(P$5,NFI,5,0),1,0)*Table_NFI[[#This Row],[Plastic Bucket]],Table_NFI[Plastic Bucket])</f>
        <v>0</v>
      </c>
      <c r="AH413" s="264">
        <f>IF(NFI_Expiration=1,IF($A413&lt;VLOOKUP(Q$5,NFI,5,0),1,0)*Table_NFI[[#This Row],[Plastic Mat]],Table_NFI[Plastic Mat])*IF(Table_NFI[[#This Row],[Distribution Date]]&gt;"2014-04-01",1,2.5)</f>
        <v>0</v>
      </c>
      <c r="AI413" s="264">
        <f>IF(NFI_Expiration=1,IF($A413&lt;VLOOKUP(R$5,NFI,5,0),1,0)*Table_NFI[[#This Row],[Winter Clothes Adult]],Table_NFI[Winter Clothes Adult])</f>
        <v>0</v>
      </c>
      <c r="AJ413" s="264">
        <f>IF(NFI_Expiration=1,IF($A413&lt;VLOOKUP(S$5,NFI,5,0),1,0)*Table_NFI[[#This Row],[Winter Clothes Children]],Table_NFI[Winter Clothes Children])</f>
        <v>0</v>
      </c>
      <c r="AK413" s="264">
        <f>IF(NFI_Expiration=1,IF($A413&lt;VLOOKUP(T$5,NFI,5,0),1,0)*Table_NFI[[#This Row],[Winter Items Other]],Table_NFI[Winter Items Other])</f>
        <v>0</v>
      </c>
      <c r="AL413" s="264">
        <f>IF(NFI_Expiration=1,IF($A413&lt;VLOOKUP(M$5,NFI,5,0),1,0)*Table_NFI[[#This Row],[Winter Blanket]],Table_NFI[[#This Row],[Winter Blanket]])</f>
        <v>0</v>
      </c>
      <c r="AM413" s="264">
        <f>IF(Table_NFI[[#This Row],[Winter Clothes Adult]]+Table_NFI[[#This Row],[Winter Clothes Children]]+Table_NFI[[#This Row],[Winter Items Other]]+Table_NFI[[#This Row],[Winter Blanket]]&gt;0,1,0)</f>
        <v>1</v>
      </c>
      <c r="AN413" s="296">
        <f>IF(NFI_Expiration=1,IF($A413&lt;VLOOKUP(V$5,NFI,5,0),1,0)*Table_NFI[[#This Row],[Jerry Can]],Table_NFI[Jerry Can])</f>
        <v>0</v>
      </c>
      <c r="AO413" s="296">
        <f>IF(NFI_Expiration=1,IF($A413&lt;VLOOKUP(V$5,NFI,5,0),1,0)*Table_NFI[[#This Row],[Shelter Tool kit]],Table_NFI[Shelter Tool kit])</f>
        <v>0</v>
      </c>
      <c r="AP413" s="296">
        <f>IF(NFI_Expiration=1,IF($A413&lt;VLOOKUP(V$5,NFI,5,0),1,0)*Table_NFI[[#This Row],[Tent]],Table_NFI[Tent])</f>
        <v>0</v>
      </c>
      <c r="AQ413" s="396" t="str">
        <f>IFERROR(VLOOKUP(Table_NFI[[#This Row],[Camp Name]],CL,2,0),"")</f>
        <v>MMR001CMP057</v>
      </c>
      <c r="AR413" s="702">
        <f ca="1">IF(Table_NFI[[#This Row],[Pcode]]="","",IF(OFFSET(CampList[Opening Date],MATCH(Table_NFI[[#This Row],[Pcode]],CampList[CP_Pcode],0)-1,0,1,1)&gt;=NFI_Monitor_Date,1,0))</f>
        <v>0</v>
      </c>
      <c r="AS413" s="396" t="str">
        <f>IFERROR(VLOOKUP(Table_NFI[[#This Row],[Camp Name]],CL,3,0),"")</f>
        <v>Closed</v>
      </c>
      <c r="AT413" s="264" t="str">
        <f ca="1">IF(Table_NFI[[#This Row],[Pcode]]="","",OFFSET(CampList[Priority],MATCH(Table_NFI[[#This Row],[Pcode]],CampList[CP_Pcode],0)-1,0,1,1))</f>
        <v>P4</v>
      </c>
      <c r="AU413" s="263">
        <f>IFERROR(Table_NFI[[#This Row],[Kitchen Set]]/VLOOKUP(Table_NFI[[#This Row],[Camp Name]],CL,4,0),"")</f>
        <v>0</v>
      </c>
      <c r="AV413" s="390"/>
      <c r="AW413" s="392"/>
      <c r="AX413" s="399"/>
      <c r="AY413" s="399"/>
      <c r="AZ413" s="399"/>
      <c r="BA413" s="399"/>
      <c r="BB413" s="399"/>
      <c r="BC413" s="399"/>
      <c r="BD413" s="399"/>
      <c r="BE413" s="399"/>
      <c r="BF413" s="399"/>
      <c r="BG413" s="399"/>
      <c r="BH413" s="399"/>
      <c r="BI413" s="399"/>
      <c r="BJ413" s="399"/>
      <c r="BK413" s="399"/>
      <c r="BL413" s="399"/>
      <c r="BM413" s="399"/>
      <c r="BN413" s="399"/>
      <c r="BO413" s="399"/>
      <c r="BP413" s="399"/>
      <c r="BQ413" s="399"/>
      <c r="BR413" s="399"/>
      <c r="BS413" s="399"/>
      <c r="BT413" s="399"/>
      <c r="BU413" s="399"/>
      <c r="BV413" s="399"/>
      <c r="BW413" s="399"/>
      <c r="BX413" s="399"/>
      <c r="BY413" s="399"/>
      <c r="BZ413" s="399"/>
      <c r="CA413" s="399"/>
      <c r="CB413" s="399"/>
      <c r="CC413" s="399"/>
      <c r="CD413" s="399"/>
      <c r="CE413" s="399"/>
      <c r="CF413" s="399"/>
      <c r="CG413" s="399"/>
      <c r="CH413" s="399"/>
      <c r="CI413" s="399"/>
      <c r="CJ413" s="399"/>
      <c r="CK413" s="399"/>
      <c r="CL413" s="399"/>
      <c r="CM413" s="399"/>
      <c r="CN413" s="399"/>
      <c r="CO413" s="399"/>
      <c r="CP413" s="399"/>
      <c r="CQ413" s="399"/>
      <c r="CR413" s="399"/>
      <c r="CS413" s="399"/>
      <c r="CT413" s="399"/>
      <c r="CU413" s="399"/>
      <c r="CV413" s="399"/>
      <c r="CW413" s="399"/>
      <c r="CX413" s="399"/>
      <c r="CY413" s="399"/>
      <c r="CZ413" s="399"/>
      <c r="DA413" s="399"/>
      <c r="DB413" s="399"/>
      <c r="DC413" s="399"/>
      <c r="DD413" s="399"/>
      <c r="DE413" s="399"/>
      <c r="DF413" s="399"/>
      <c r="DG413" s="399"/>
      <c r="DH413" s="399"/>
      <c r="DI413" s="399"/>
      <c r="DJ413" s="399"/>
      <c r="DK413" s="399"/>
      <c r="DL413" s="399"/>
      <c r="DM413" s="399"/>
      <c r="DN413" s="399"/>
      <c r="DO413" s="399"/>
      <c r="DP413" s="399"/>
      <c r="DQ413" s="399"/>
    </row>
    <row r="414" spans="1:121" s="760" customFormat="1" ht="14.45" customHeight="1" x14ac:dyDescent="0.25">
      <c r="A414" s="266">
        <f t="shared" si="6"/>
        <v>34.833333333333336</v>
      </c>
      <c r="B414" s="389">
        <v>41811</v>
      </c>
      <c r="C414" s="390" t="s">
        <v>1099</v>
      </c>
      <c r="D414" s="390" t="s">
        <v>899</v>
      </c>
      <c r="E414" s="390" t="s">
        <v>380</v>
      </c>
      <c r="F414" s="390" t="s">
        <v>237</v>
      </c>
      <c r="G414" s="390" t="s">
        <v>243</v>
      </c>
      <c r="H414" s="261"/>
      <c r="I414" s="261"/>
      <c r="J414" s="261"/>
      <c r="K414" s="261"/>
      <c r="L414" s="261"/>
      <c r="M414" s="261"/>
      <c r="N414" s="261"/>
      <c r="O414" s="261"/>
      <c r="P414" s="261"/>
      <c r="Q414" s="261"/>
      <c r="R414" s="261"/>
      <c r="S414" s="261"/>
      <c r="T414" s="261"/>
      <c r="U414" s="261">
        <v>12</v>
      </c>
      <c r="V414" s="762"/>
      <c r="W414" s="261"/>
      <c r="X414" s="261"/>
      <c r="Y414" s="264">
        <f>IF(NFI_Expiration=1,IF($A414&lt;VLOOKUP(H$5,NFI,5,0),1,0)*Table_NFI[[#This Row],[Hygiene Kit]],Table_NFI[Hygiene Kit])</f>
        <v>0</v>
      </c>
      <c r="Z414" s="264">
        <f>IF(NFI_Expiration=1,IF($A414&lt;VLOOKUP(I$5,NFI,5,0),1,0)*Table_NFI[[#This Row],[NFI Core Kit]],Table_NFI[NFI Core Kit])</f>
        <v>0</v>
      </c>
      <c r="AA414" s="264">
        <f>IF(NFI_Expiration=1,IF($A414&lt;VLOOKUP(J$5,NFI,5,0),1,0)*Table_NFI[[#This Row],[Sanitary Kit]],Table_NFI[Sanitary Kit])</f>
        <v>0</v>
      </c>
      <c r="AB414" s="264">
        <f>IF(NFI_Expiration=1,IF($A414&lt;VLOOKUP(K$5,NFI,5,0),1,0)*Table_NFI[[#This Row],[Mosquito net]],Table_NFI[Mosquito net])</f>
        <v>0</v>
      </c>
      <c r="AC414" s="264">
        <f>IF(NFI_Expiration=1,IF($A414&lt;VLOOKUP(L$5,NFI,5,0),1,0)*Table_NFI[[#This Row],[Tarpaulin]],Table_NFI[[#This Row],[Tarpaulin]])</f>
        <v>0</v>
      </c>
      <c r="AD414" s="264">
        <f>IF(NFI_Expiration=1,IF($A414&lt;VLOOKUP(M$5,NFI,5,0),1,0)*Table_NFI[[#This Row],[Blanket]],Table_NFI[[#This Row],[Blanket]])</f>
        <v>0</v>
      </c>
      <c r="AE414" s="264">
        <f>IF(NFI_Expiration=1,IF($A414&lt;VLOOKUP(N$5,NFI,5,0),1,0)*Table_NFI[[#This Row],[Kitchen Set]],Table_NFI[Kitchen Set])</f>
        <v>0</v>
      </c>
      <c r="AF414" s="264">
        <f>IF(NFI_Expiration=1,IF($A414&lt;VLOOKUP(O$5,NFI,5,0),1,0)*Table_NFI[[#This Row],[Clothes Kit]],Table_NFI[Clothes Kit])</f>
        <v>0</v>
      </c>
      <c r="AG414" s="264">
        <f>IF(NFI_Expiration=1,IF($A414&lt;VLOOKUP(P$5,NFI,5,0),1,0)*Table_NFI[[#This Row],[Plastic Bucket]],Table_NFI[Plastic Bucket])</f>
        <v>0</v>
      </c>
      <c r="AH414" s="264">
        <f>IF(NFI_Expiration=1,IF($A414&lt;VLOOKUP(Q$5,NFI,5,0),1,0)*Table_NFI[[#This Row],[Plastic Mat]],Table_NFI[Plastic Mat])*IF(Table_NFI[[#This Row],[Distribution Date]]&gt;"2014-04-01",1,2.5)</f>
        <v>0</v>
      </c>
      <c r="AI414" s="264">
        <f>IF(NFI_Expiration=1,IF($A414&lt;VLOOKUP(R$5,NFI,5,0),1,0)*Table_NFI[[#This Row],[Winter Clothes Adult]],Table_NFI[Winter Clothes Adult])</f>
        <v>0</v>
      </c>
      <c r="AJ414" s="264">
        <f>IF(NFI_Expiration=1,IF($A414&lt;VLOOKUP(S$5,NFI,5,0),1,0)*Table_NFI[[#This Row],[Winter Clothes Children]],Table_NFI[Winter Clothes Children])</f>
        <v>0</v>
      </c>
      <c r="AK414" s="264">
        <f>IF(NFI_Expiration=1,IF($A414&lt;VLOOKUP(T$5,NFI,5,0),1,0)*Table_NFI[[#This Row],[Winter Items Other]],Table_NFI[Winter Items Other])</f>
        <v>0</v>
      </c>
      <c r="AL414" s="264">
        <f>IF(NFI_Expiration=1,IF($A414&lt;VLOOKUP(M$5,NFI,5,0),1,0)*Table_NFI[[#This Row],[Winter Blanket]],Table_NFI[[#This Row],[Winter Blanket]])</f>
        <v>0</v>
      </c>
      <c r="AM414" s="264">
        <f>IF(Table_NFI[[#This Row],[Winter Clothes Adult]]+Table_NFI[[#This Row],[Winter Clothes Children]]+Table_NFI[[#This Row],[Winter Items Other]]+Table_NFI[[#This Row],[Winter Blanket]]&gt;0,1,0)</f>
        <v>1</v>
      </c>
      <c r="AN414" s="296">
        <f>IF(NFI_Expiration=1,IF($A414&lt;VLOOKUP(V$5,NFI,5,0),1,0)*Table_NFI[[#This Row],[Jerry Can]],Table_NFI[Jerry Can])</f>
        <v>0</v>
      </c>
      <c r="AO414" s="296">
        <f>IF(NFI_Expiration=1,IF($A414&lt;VLOOKUP(V$5,NFI,5,0),1,0)*Table_NFI[[#This Row],[Shelter Tool kit]],Table_NFI[Shelter Tool kit])</f>
        <v>0</v>
      </c>
      <c r="AP414" s="296">
        <f>IF(NFI_Expiration=1,IF($A414&lt;VLOOKUP(V$5,NFI,5,0),1,0)*Table_NFI[[#This Row],[Tent]],Table_NFI[Tent])</f>
        <v>0</v>
      </c>
      <c r="AQ414" s="396" t="str">
        <f>IFERROR(VLOOKUP(Table_NFI[[#This Row],[Camp Name]],CL,2,0),"")</f>
        <v>MMR001CMP012</v>
      </c>
      <c r="AR414" s="702">
        <f ca="1">IF(Table_NFI[[#This Row],[Pcode]]="","",IF(OFFSET(CampList[Opening Date],MATCH(Table_NFI[[#This Row],[Pcode]],CampList[CP_Pcode],0)-1,0,1,1)&gt;=NFI_Monitor_Date,1,0))</f>
        <v>0</v>
      </c>
      <c r="AS414" s="396" t="str">
        <f>IFERROR(VLOOKUP(Table_NFI[[#This Row],[Camp Name]],CL,3,0),"")</f>
        <v>Open</v>
      </c>
      <c r="AT414" s="264" t="str">
        <f ca="1">IF(Table_NFI[[#This Row],[Pcode]]="","",OFFSET(CampList[Priority],MATCH(Table_NFI[[#This Row],[Pcode]],CampList[CP_Pcode],0)-1,0,1,1))</f>
        <v>P4</v>
      </c>
      <c r="AU414" s="263">
        <f>IFERROR(Table_NFI[[#This Row],[Kitchen Set]]/VLOOKUP(Table_NFI[[#This Row],[Camp Name]],CL,4,0),"")</f>
        <v>0</v>
      </c>
      <c r="AV414" s="390"/>
      <c r="AW414" s="392"/>
      <c r="AX414" s="399"/>
      <c r="AY414" s="399"/>
      <c r="AZ414" s="399"/>
      <c r="BA414" s="399"/>
      <c r="BB414" s="399"/>
      <c r="BC414" s="399"/>
      <c r="BD414" s="399"/>
      <c r="BE414" s="399"/>
      <c r="BF414" s="399"/>
      <c r="BG414" s="399"/>
      <c r="BH414" s="399"/>
      <c r="BI414" s="399"/>
      <c r="BJ414" s="399"/>
      <c r="BK414" s="399"/>
      <c r="BL414" s="399"/>
      <c r="BM414" s="399"/>
      <c r="BN414" s="399"/>
      <c r="BO414" s="399"/>
      <c r="BP414" s="399"/>
      <c r="BQ414" s="399"/>
      <c r="BR414" s="399"/>
      <c r="BS414" s="399"/>
      <c r="BT414" s="399"/>
      <c r="BU414" s="399"/>
      <c r="BV414" s="399"/>
      <c r="BW414" s="399"/>
      <c r="BX414" s="399"/>
      <c r="BY414" s="399"/>
      <c r="BZ414" s="399"/>
      <c r="CA414" s="399"/>
      <c r="CB414" s="399"/>
      <c r="CC414" s="399"/>
      <c r="CD414" s="399"/>
      <c r="CE414" s="399"/>
      <c r="CF414" s="399"/>
      <c r="CG414" s="399"/>
      <c r="CH414" s="399"/>
      <c r="CI414" s="399"/>
      <c r="CJ414" s="399"/>
      <c r="CK414" s="399"/>
      <c r="CL414" s="399"/>
      <c r="CM414" s="399"/>
      <c r="CN414" s="399"/>
      <c r="CO414" s="399"/>
      <c r="CP414" s="399"/>
      <c r="CQ414" s="399"/>
      <c r="CR414" s="399"/>
      <c r="CS414" s="399"/>
      <c r="CT414" s="399"/>
      <c r="CU414" s="399"/>
      <c r="CV414" s="399"/>
      <c r="CW414" s="399"/>
      <c r="CX414" s="399"/>
      <c r="CY414" s="399"/>
      <c r="CZ414" s="399"/>
      <c r="DA414" s="399"/>
      <c r="DB414" s="399"/>
      <c r="DC414" s="399"/>
      <c r="DD414" s="399"/>
      <c r="DE414" s="399"/>
      <c r="DF414" s="399"/>
      <c r="DG414" s="399"/>
      <c r="DH414" s="399"/>
      <c r="DI414" s="399"/>
      <c r="DJ414" s="399"/>
      <c r="DK414" s="399"/>
      <c r="DL414" s="399"/>
      <c r="DM414" s="399"/>
      <c r="DN414" s="399"/>
      <c r="DO414" s="399"/>
      <c r="DP414" s="399"/>
      <c r="DQ414" s="399"/>
    </row>
    <row r="415" spans="1:121" s="760" customFormat="1" ht="14.45" customHeight="1" x14ac:dyDescent="0.25">
      <c r="A415" s="266">
        <f t="shared" si="6"/>
        <v>34.833333333333336</v>
      </c>
      <c r="B415" s="389">
        <v>41811</v>
      </c>
      <c r="C415" s="390" t="s">
        <v>1099</v>
      </c>
      <c r="D415" s="390" t="s">
        <v>899</v>
      </c>
      <c r="E415" s="390" t="s">
        <v>380</v>
      </c>
      <c r="F415" s="390" t="s">
        <v>237</v>
      </c>
      <c r="G415" s="390" t="s">
        <v>245</v>
      </c>
      <c r="H415" s="261"/>
      <c r="I415" s="261"/>
      <c r="J415" s="261"/>
      <c r="K415" s="261"/>
      <c r="L415" s="261"/>
      <c r="M415" s="261"/>
      <c r="N415" s="261"/>
      <c r="O415" s="261"/>
      <c r="P415" s="261"/>
      <c r="Q415" s="261"/>
      <c r="R415" s="261"/>
      <c r="S415" s="261"/>
      <c r="T415" s="261"/>
      <c r="U415" s="261">
        <v>12</v>
      </c>
      <c r="V415" s="762"/>
      <c r="W415" s="261"/>
      <c r="X415" s="261"/>
      <c r="Y415" s="264">
        <f>IF(NFI_Expiration=1,IF($A415&lt;VLOOKUP(H$5,NFI,5,0),1,0)*Table_NFI[[#This Row],[Hygiene Kit]],Table_NFI[Hygiene Kit])</f>
        <v>0</v>
      </c>
      <c r="Z415" s="264">
        <f>IF(NFI_Expiration=1,IF($A415&lt;VLOOKUP(I$5,NFI,5,0),1,0)*Table_NFI[[#This Row],[NFI Core Kit]],Table_NFI[NFI Core Kit])</f>
        <v>0</v>
      </c>
      <c r="AA415" s="264">
        <f>IF(NFI_Expiration=1,IF($A415&lt;VLOOKUP(J$5,NFI,5,0),1,0)*Table_NFI[[#This Row],[Sanitary Kit]],Table_NFI[Sanitary Kit])</f>
        <v>0</v>
      </c>
      <c r="AB415" s="264">
        <f>IF(NFI_Expiration=1,IF($A415&lt;VLOOKUP(K$5,NFI,5,0),1,0)*Table_NFI[[#This Row],[Mosquito net]],Table_NFI[Mosquito net])</f>
        <v>0</v>
      </c>
      <c r="AC415" s="264">
        <f>IF(NFI_Expiration=1,IF($A415&lt;VLOOKUP(L$5,NFI,5,0),1,0)*Table_NFI[[#This Row],[Tarpaulin]],Table_NFI[[#This Row],[Tarpaulin]])</f>
        <v>0</v>
      </c>
      <c r="AD415" s="264">
        <f>IF(NFI_Expiration=1,IF($A415&lt;VLOOKUP(M$5,NFI,5,0),1,0)*Table_NFI[[#This Row],[Blanket]],Table_NFI[[#This Row],[Blanket]])</f>
        <v>0</v>
      </c>
      <c r="AE415" s="264">
        <f>IF(NFI_Expiration=1,IF($A415&lt;VLOOKUP(N$5,NFI,5,0),1,0)*Table_NFI[[#This Row],[Kitchen Set]],Table_NFI[Kitchen Set])</f>
        <v>0</v>
      </c>
      <c r="AF415" s="264">
        <f>IF(NFI_Expiration=1,IF($A415&lt;VLOOKUP(O$5,NFI,5,0),1,0)*Table_NFI[[#This Row],[Clothes Kit]],Table_NFI[Clothes Kit])</f>
        <v>0</v>
      </c>
      <c r="AG415" s="264">
        <f>IF(NFI_Expiration=1,IF($A415&lt;VLOOKUP(P$5,NFI,5,0),1,0)*Table_NFI[[#This Row],[Plastic Bucket]],Table_NFI[Plastic Bucket])</f>
        <v>0</v>
      </c>
      <c r="AH415" s="264">
        <f>IF(NFI_Expiration=1,IF($A415&lt;VLOOKUP(Q$5,NFI,5,0),1,0)*Table_NFI[[#This Row],[Plastic Mat]],Table_NFI[Plastic Mat])*IF(Table_NFI[[#This Row],[Distribution Date]]&gt;"2014-04-01",1,2.5)</f>
        <v>0</v>
      </c>
      <c r="AI415" s="264">
        <f>IF(NFI_Expiration=1,IF($A415&lt;VLOOKUP(R$5,NFI,5,0),1,0)*Table_NFI[[#This Row],[Winter Clothes Adult]],Table_NFI[Winter Clothes Adult])</f>
        <v>0</v>
      </c>
      <c r="AJ415" s="264">
        <f>IF(NFI_Expiration=1,IF($A415&lt;VLOOKUP(S$5,NFI,5,0),1,0)*Table_NFI[[#This Row],[Winter Clothes Children]],Table_NFI[Winter Clothes Children])</f>
        <v>0</v>
      </c>
      <c r="AK415" s="264">
        <f>IF(NFI_Expiration=1,IF($A415&lt;VLOOKUP(T$5,NFI,5,0),1,0)*Table_NFI[[#This Row],[Winter Items Other]],Table_NFI[Winter Items Other])</f>
        <v>0</v>
      </c>
      <c r="AL415" s="264">
        <f>IF(NFI_Expiration=1,IF($A415&lt;VLOOKUP(M$5,NFI,5,0),1,0)*Table_NFI[[#This Row],[Winter Blanket]],Table_NFI[[#This Row],[Winter Blanket]])</f>
        <v>0</v>
      </c>
      <c r="AM415" s="264">
        <f>IF(Table_NFI[[#This Row],[Winter Clothes Adult]]+Table_NFI[[#This Row],[Winter Clothes Children]]+Table_NFI[[#This Row],[Winter Items Other]]+Table_NFI[[#This Row],[Winter Blanket]]&gt;0,1,0)</f>
        <v>1</v>
      </c>
      <c r="AN415" s="296">
        <f>IF(NFI_Expiration=1,IF($A415&lt;VLOOKUP(V$5,NFI,5,0),1,0)*Table_NFI[[#This Row],[Jerry Can]],Table_NFI[Jerry Can])</f>
        <v>0</v>
      </c>
      <c r="AO415" s="296">
        <f>IF(NFI_Expiration=1,IF($A415&lt;VLOOKUP(V$5,NFI,5,0),1,0)*Table_NFI[[#This Row],[Shelter Tool kit]],Table_NFI[Shelter Tool kit])</f>
        <v>0</v>
      </c>
      <c r="AP415" s="296">
        <f>IF(NFI_Expiration=1,IF($A415&lt;VLOOKUP(V$5,NFI,5,0),1,0)*Table_NFI[[#This Row],[Tent]],Table_NFI[Tent])</f>
        <v>0</v>
      </c>
      <c r="AQ415" s="396" t="str">
        <f>IFERROR(VLOOKUP(Table_NFI[[#This Row],[Camp Name]],CL,2,0),"")</f>
        <v>MMR001CMP010</v>
      </c>
      <c r="AR415" s="702">
        <f ca="1">IF(Table_NFI[[#This Row],[Pcode]]="","",IF(OFFSET(CampList[Opening Date],MATCH(Table_NFI[[#This Row],[Pcode]],CampList[CP_Pcode],0)-1,0,1,1)&gt;=NFI_Monitor_Date,1,0))</f>
        <v>0</v>
      </c>
      <c r="AS415" s="396" t="str">
        <f>IFERROR(VLOOKUP(Table_NFI[[#This Row],[Camp Name]],CL,3,0),"")</f>
        <v>Open</v>
      </c>
      <c r="AT415" s="264" t="str">
        <f ca="1">IF(Table_NFI[[#This Row],[Pcode]]="","",OFFSET(CampList[Priority],MATCH(Table_NFI[[#This Row],[Pcode]],CampList[CP_Pcode],0)-1,0,1,1))</f>
        <v>P4</v>
      </c>
      <c r="AU415" s="263">
        <f>IFERROR(Table_NFI[[#This Row],[Kitchen Set]]/VLOOKUP(Table_NFI[[#This Row],[Camp Name]],CL,4,0),"")</f>
        <v>0</v>
      </c>
      <c r="AV415" s="390"/>
      <c r="AW415" s="392"/>
      <c r="AX415" s="399"/>
      <c r="AY415" s="399"/>
      <c r="AZ415" s="399"/>
      <c r="BA415" s="399"/>
      <c r="BB415" s="399"/>
      <c r="BC415" s="399"/>
      <c r="BD415" s="399"/>
      <c r="BE415" s="399"/>
      <c r="BF415" s="399"/>
      <c r="BG415" s="399"/>
      <c r="BH415" s="399"/>
      <c r="BI415" s="399"/>
      <c r="BJ415" s="399"/>
      <c r="BK415" s="399"/>
      <c r="BL415" s="399"/>
      <c r="BM415" s="399"/>
      <c r="BN415" s="399"/>
      <c r="BO415" s="399"/>
      <c r="BP415" s="399"/>
      <c r="BQ415" s="399"/>
      <c r="BR415" s="399"/>
      <c r="BS415" s="399"/>
      <c r="BT415" s="399"/>
      <c r="BU415" s="399"/>
      <c r="BV415" s="399"/>
      <c r="BW415" s="399"/>
      <c r="BX415" s="399"/>
      <c r="BY415" s="399"/>
      <c r="BZ415" s="399"/>
      <c r="CA415" s="399"/>
      <c r="CB415" s="399"/>
      <c r="CC415" s="399"/>
      <c r="CD415" s="399"/>
      <c r="CE415" s="399"/>
      <c r="CF415" s="399"/>
      <c r="CG415" s="399"/>
      <c r="CH415" s="399"/>
      <c r="CI415" s="399"/>
      <c r="CJ415" s="399"/>
      <c r="CK415" s="399"/>
      <c r="CL415" s="399"/>
      <c r="CM415" s="399"/>
      <c r="CN415" s="399"/>
      <c r="CO415" s="399"/>
      <c r="CP415" s="399"/>
      <c r="CQ415" s="399"/>
      <c r="CR415" s="399"/>
      <c r="CS415" s="399"/>
      <c r="CT415" s="399"/>
      <c r="CU415" s="399"/>
      <c r="CV415" s="399"/>
      <c r="CW415" s="399"/>
      <c r="CX415" s="399"/>
      <c r="CY415" s="399"/>
      <c r="CZ415" s="399"/>
      <c r="DA415" s="399"/>
      <c r="DB415" s="399"/>
      <c r="DC415" s="399"/>
      <c r="DD415" s="399"/>
      <c r="DE415" s="399"/>
      <c r="DF415" s="399"/>
      <c r="DG415" s="399"/>
      <c r="DH415" s="399"/>
      <c r="DI415" s="399"/>
      <c r="DJ415" s="399"/>
      <c r="DK415" s="399"/>
      <c r="DL415" s="399"/>
      <c r="DM415" s="399"/>
      <c r="DN415" s="399"/>
      <c r="DO415" s="399"/>
      <c r="DP415" s="399"/>
      <c r="DQ415" s="399"/>
    </row>
    <row r="416" spans="1:121" s="760" customFormat="1" ht="14.45" customHeight="1" x14ac:dyDescent="0.25">
      <c r="A416" s="266">
        <f t="shared" si="6"/>
        <v>34.833333333333336</v>
      </c>
      <c r="B416" s="389">
        <v>41811</v>
      </c>
      <c r="C416" s="390" t="s">
        <v>1099</v>
      </c>
      <c r="D416" s="390" t="s">
        <v>899</v>
      </c>
      <c r="E416" s="390" t="s">
        <v>380</v>
      </c>
      <c r="F416" s="390" t="s">
        <v>237</v>
      </c>
      <c r="G416" s="390" t="s">
        <v>247</v>
      </c>
      <c r="H416" s="261"/>
      <c r="I416" s="261"/>
      <c r="J416" s="261"/>
      <c r="K416" s="261"/>
      <c r="L416" s="261"/>
      <c r="M416" s="261"/>
      <c r="N416" s="261"/>
      <c r="O416" s="261"/>
      <c r="P416" s="261"/>
      <c r="Q416" s="261"/>
      <c r="R416" s="261"/>
      <c r="S416" s="261"/>
      <c r="T416" s="261"/>
      <c r="U416" s="261">
        <v>16</v>
      </c>
      <c r="V416" s="762"/>
      <c r="W416" s="261"/>
      <c r="X416" s="261"/>
      <c r="Y416" s="264">
        <f>IF(NFI_Expiration=1,IF($A416&lt;VLOOKUP(H$5,NFI,5,0),1,0)*Table_NFI[[#This Row],[Hygiene Kit]],Table_NFI[Hygiene Kit])</f>
        <v>0</v>
      </c>
      <c r="Z416" s="264">
        <f>IF(NFI_Expiration=1,IF($A416&lt;VLOOKUP(I$5,NFI,5,0),1,0)*Table_NFI[[#This Row],[NFI Core Kit]],Table_NFI[NFI Core Kit])</f>
        <v>0</v>
      </c>
      <c r="AA416" s="264">
        <f>IF(NFI_Expiration=1,IF($A416&lt;VLOOKUP(J$5,NFI,5,0),1,0)*Table_NFI[[#This Row],[Sanitary Kit]],Table_NFI[Sanitary Kit])</f>
        <v>0</v>
      </c>
      <c r="AB416" s="264">
        <f>IF(NFI_Expiration=1,IF($A416&lt;VLOOKUP(K$5,NFI,5,0),1,0)*Table_NFI[[#This Row],[Mosquito net]],Table_NFI[Mosquito net])</f>
        <v>0</v>
      </c>
      <c r="AC416" s="264">
        <f>IF(NFI_Expiration=1,IF($A416&lt;VLOOKUP(L$5,NFI,5,0),1,0)*Table_NFI[[#This Row],[Tarpaulin]],Table_NFI[[#This Row],[Tarpaulin]])</f>
        <v>0</v>
      </c>
      <c r="AD416" s="264">
        <f>IF(NFI_Expiration=1,IF($A416&lt;VLOOKUP(M$5,NFI,5,0),1,0)*Table_NFI[[#This Row],[Blanket]],Table_NFI[[#This Row],[Blanket]])</f>
        <v>0</v>
      </c>
      <c r="AE416" s="264">
        <f>IF(NFI_Expiration=1,IF($A416&lt;VLOOKUP(N$5,NFI,5,0),1,0)*Table_NFI[[#This Row],[Kitchen Set]],Table_NFI[Kitchen Set])</f>
        <v>0</v>
      </c>
      <c r="AF416" s="264">
        <f>IF(NFI_Expiration=1,IF($A416&lt;VLOOKUP(O$5,NFI,5,0),1,0)*Table_NFI[[#This Row],[Clothes Kit]],Table_NFI[Clothes Kit])</f>
        <v>0</v>
      </c>
      <c r="AG416" s="264">
        <f>IF(NFI_Expiration=1,IF($A416&lt;VLOOKUP(P$5,NFI,5,0),1,0)*Table_NFI[[#This Row],[Plastic Bucket]],Table_NFI[Plastic Bucket])</f>
        <v>0</v>
      </c>
      <c r="AH416" s="264">
        <f>IF(NFI_Expiration=1,IF($A416&lt;VLOOKUP(Q$5,NFI,5,0),1,0)*Table_NFI[[#This Row],[Plastic Mat]],Table_NFI[Plastic Mat])*IF(Table_NFI[[#This Row],[Distribution Date]]&gt;"2014-04-01",1,2.5)</f>
        <v>0</v>
      </c>
      <c r="AI416" s="264">
        <f>IF(NFI_Expiration=1,IF($A416&lt;VLOOKUP(R$5,NFI,5,0),1,0)*Table_NFI[[#This Row],[Winter Clothes Adult]],Table_NFI[Winter Clothes Adult])</f>
        <v>0</v>
      </c>
      <c r="AJ416" s="264">
        <f>IF(NFI_Expiration=1,IF($A416&lt;VLOOKUP(S$5,NFI,5,0),1,0)*Table_NFI[[#This Row],[Winter Clothes Children]],Table_NFI[Winter Clothes Children])</f>
        <v>0</v>
      </c>
      <c r="AK416" s="264">
        <f>IF(NFI_Expiration=1,IF($A416&lt;VLOOKUP(T$5,NFI,5,0),1,0)*Table_NFI[[#This Row],[Winter Items Other]],Table_NFI[Winter Items Other])</f>
        <v>0</v>
      </c>
      <c r="AL416" s="264">
        <f>IF(NFI_Expiration=1,IF($A416&lt;VLOOKUP(M$5,NFI,5,0),1,0)*Table_NFI[[#This Row],[Winter Blanket]],Table_NFI[[#This Row],[Winter Blanket]])</f>
        <v>0</v>
      </c>
      <c r="AM416" s="264">
        <f>IF(Table_NFI[[#This Row],[Winter Clothes Adult]]+Table_NFI[[#This Row],[Winter Clothes Children]]+Table_NFI[[#This Row],[Winter Items Other]]+Table_NFI[[#This Row],[Winter Blanket]]&gt;0,1,0)</f>
        <v>1</v>
      </c>
      <c r="AN416" s="296">
        <f>IF(NFI_Expiration=1,IF($A416&lt;VLOOKUP(V$5,NFI,5,0),1,0)*Table_NFI[[#This Row],[Jerry Can]],Table_NFI[Jerry Can])</f>
        <v>0</v>
      </c>
      <c r="AO416" s="296">
        <f>IF(NFI_Expiration=1,IF($A416&lt;VLOOKUP(V$5,NFI,5,0),1,0)*Table_NFI[[#This Row],[Shelter Tool kit]],Table_NFI[Shelter Tool kit])</f>
        <v>0</v>
      </c>
      <c r="AP416" s="296">
        <f>IF(NFI_Expiration=1,IF($A416&lt;VLOOKUP(V$5,NFI,5,0),1,0)*Table_NFI[[#This Row],[Tent]],Table_NFI[Tent])</f>
        <v>0</v>
      </c>
      <c r="AQ416" s="396" t="str">
        <f>IFERROR(VLOOKUP(Table_NFI[[#This Row],[Camp Name]],CL,2,0),"")</f>
        <v>MMR001CMP011</v>
      </c>
      <c r="AR416" s="702">
        <f ca="1">IF(Table_NFI[[#This Row],[Pcode]]="","",IF(OFFSET(CampList[Opening Date],MATCH(Table_NFI[[#This Row],[Pcode]],CampList[CP_Pcode],0)-1,0,1,1)&gt;=NFI_Monitor_Date,1,0))</f>
        <v>0</v>
      </c>
      <c r="AS416" s="396" t="str">
        <f>IFERROR(VLOOKUP(Table_NFI[[#This Row],[Camp Name]],CL,3,0),"")</f>
        <v>Open</v>
      </c>
      <c r="AT416" s="264" t="str">
        <f ca="1">IF(Table_NFI[[#This Row],[Pcode]]="","",OFFSET(CampList[Priority],MATCH(Table_NFI[[#This Row],[Pcode]],CampList[CP_Pcode],0)-1,0,1,1))</f>
        <v>P4</v>
      </c>
      <c r="AU416" s="263">
        <f>IFERROR(Table_NFI[[#This Row],[Kitchen Set]]/VLOOKUP(Table_NFI[[#This Row],[Camp Name]],CL,4,0),"")</f>
        <v>0</v>
      </c>
      <c r="AV416" s="390"/>
      <c r="AW416" s="392"/>
      <c r="AX416" s="399"/>
      <c r="AY416" s="399"/>
      <c r="AZ416" s="399"/>
      <c r="BA416" s="399"/>
      <c r="BB416" s="399"/>
      <c r="BC416" s="399"/>
      <c r="BD416" s="399"/>
      <c r="BE416" s="399"/>
      <c r="BF416" s="399"/>
      <c r="BG416" s="399"/>
      <c r="BH416" s="399"/>
      <c r="BI416" s="399"/>
      <c r="BJ416" s="399"/>
      <c r="BK416" s="399"/>
      <c r="BL416" s="399"/>
      <c r="BM416" s="399"/>
      <c r="BN416" s="399"/>
      <c r="BO416" s="399"/>
      <c r="BP416" s="399"/>
      <c r="BQ416" s="399"/>
      <c r="BR416" s="399"/>
      <c r="BS416" s="399"/>
      <c r="BT416" s="399"/>
      <c r="BU416" s="399"/>
      <c r="BV416" s="399"/>
      <c r="BW416" s="399"/>
      <c r="BX416" s="399"/>
      <c r="BY416" s="399"/>
      <c r="BZ416" s="399"/>
      <c r="CA416" s="399"/>
      <c r="CB416" s="399"/>
      <c r="CC416" s="399"/>
      <c r="CD416" s="399"/>
      <c r="CE416" s="399"/>
      <c r="CF416" s="399"/>
      <c r="CG416" s="399"/>
      <c r="CH416" s="399"/>
      <c r="CI416" s="399"/>
      <c r="CJ416" s="399"/>
      <c r="CK416" s="399"/>
      <c r="CL416" s="399"/>
      <c r="CM416" s="399"/>
      <c r="CN416" s="399"/>
      <c r="CO416" s="399"/>
      <c r="CP416" s="399"/>
      <c r="CQ416" s="399"/>
      <c r="CR416" s="399"/>
      <c r="CS416" s="399"/>
      <c r="CT416" s="399"/>
      <c r="CU416" s="399"/>
      <c r="CV416" s="399"/>
      <c r="CW416" s="399"/>
      <c r="CX416" s="399"/>
      <c r="CY416" s="399"/>
      <c r="CZ416" s="399"/>
      <c r="DA416" s="399"/>
      <c r="DB416" s="399"/>
      <c r="DC416" s="399"/>
      <c r="DD416" s="399"/>
      <c r="DE416" s="399"/>
      <c r="DF416" s="399"/>
      <c r="DG416" s="399"/>
      <c r="DH416" s="399"/>
      <c r="DI416" s="399"/>
      <c r="DJ416" s="399"/>
      <c r="DK416" s="399"/>
      <c r="DL416" s="399"/>
      <c r="DM416" s="399"/>
      <c r="DN416" s="399"/>
      <c r="DO416" s="399"/>
      <c r="DP416" s="399"/>
      <c r="DQ416" s="399"/>
    </row>
    <row r="417" spans="1:121" s="760" customFormat="1" ht="14.45" customHeight="1" x14ac:dyDescent="0.25">
      <c r="A417" s="266">
        <f t="shared" si="6"/>
        <v>34.866666666666667</v>
      </c>
      <c r="B417" s="389">
        <v>41810</v>
      </c>
      <c r="C417" s="390" t="s">
        <v>1099</v>
      </c>
      <c r="D417" s="390" t="s">
        <v>899</v>
      </c>
      <c r="E417" s="390" t="s">
        <v>380</v>
      </c>
      <c r="F417" s="390" t="s">
        <v>237</v>
      </c>
      <c r="G417" s="390" t="s">
        <v>249</v>
      </c>
      <c r="H417" s="261"/>
      <c r="I417" s="261"/>
      <c r="J417" s="261"/>
      <c r="K417" s="261"/>
      <c r="L417" s="261"/>
      <c r="M417" s="261"/>
      <c r="N417" s="261"/>
      <c r="O417" s="261"/>
      <c r="P417" s="261"/>
      <c r="Q417" s="261"/>
      <c r="R417" s="261"/>
      <c r="S417" s="261"/>
      <c r="T417" s="261"/>
      <c r="U417" s="261">
        <v>16</v>
      </c>
      <c r="V417" s="762"/>
      <c r="W417" s="261"/>
      <c r="X417" s="261"/>
      <c r="Y417" s="264">
        <f>IF(NFI_Expiration=1,IF($A417&lt;VLOOKUP(H$5,NFI,5,0),1,0)*Table_NFI[[#This Row],[Hygiene Kit]],Table_NFI[Hygiene Kit])</f>
        <v>0</v>
      </c>
      <c r="Z417" s="264">
        <f>IF(NFI_Expiration=1,IF($A417&lt;VLOOKUP(I$5,NFI,5,0),1,0)*Table_NFI[[#This Row],[NFI Core Kit]],Table_NFI[NFI Core Kit])</f>
        <v>0</v>
      </c>
      <c r="AA417" s="264">
        <f>IF(NFI_Expiration=1,IF($A417&lt;VLOOKUP(J$5,NFI,5,0),1,0)*Table_NFI[[#This Row],[Sanitary Kit]],Table_NFI[Sanitary Kit])</f>
        <v>0</v>
      </c>
      <c r="AB417" s="264">
        <f>IF(NFI_Expiration=1,IF($A417&lt;VLOOKUP(K$5,NFI,5,0),1,0)*Table_NFI[[#This Row],[Mosquito net]],Table_NFI[Mosquito net])</f>
        <v>0</v>
      </c>
      <c r="AC417" s="264">
        <f>IF(NFI_Expiration=1,IF($A417&lt;VLOOKUP(L$5,NFI,5,0),1,0)*Table_NFI[[#This Row],[Tarpaulin]],Table_NFI[[#This Row],[Tarpaulin]])</f>
        <v>0</v>
      </c>
      <c r="AD417" s="264">
        <f>IF(NFI_Expiration=1,IF($A417&lt;VLOOKUP(M$5,NFI,5,0),1,0)*Table_NFI[[#This Row],[Blanket]],Table_NFI[[#This Row],[Blanket]])</f>
        <v>0</v>
      </c>
      <c r="AE417" s="264">
        <f>IF(NFI_Expiration=1,IF($A417&lt;VLOOKUP(N$5,NFI,5,0),1,0)*Table_NFI[[#This Row],[Kitchen Set]],Table_NFI[Kitchen Set])</f>
        <v>0</v>
      </c>
      <c r="AF417" s="264">
        <f>IF(NFI_Expiration=1,IF($A417&lt;VLOOKUP(O$5,NFI,5,0),1,0)*Table_NFI[[#This Row],[Clothes Kit]],Table_NFI[Clothes Kit])</f>
        <v>0</v>
      </c>
      <c r="AG417" s="264">
        <f>IF(NFI_Expiration=1,IF($A417&lt;VLOOKUP(P$5,NFI,5,0),1,0)*Table_NFI[[#This Row],[Plastic Bucket]],Table_NFI[Plastic Bucket])</f>
        <v>0</v>
      </c>
      <c r="AH417" s="264">
        <f>IF(NFI_Expiration=1,IF($A417&lt;VLOOKUP(Q$5,NFI,5,0),1,0)*Table_NFI[[#This Row],[Plastic Mat]],Table_NFI[Plastic Mat])*IF(Table_NFI[[#This Row],[Distribution Date]]&gt;"2014-04-01",1,2.5)</f>
        <v>0</v>
      </c>
      <c r="AI417" s="264">
        <f>IF(NFI_Expiration=1,IF($A417&lt;VLOOKUP(R$5,NFI,5,0),1,0)*Table_NFI[[#This Row],[Winter Clothes Adult]],Table_NFI[Winter Clothes Adult])</f>
        <v>0</v>
      </c>
      <c r="AJ417" s="264">
        <f>IF(NFI_Expiration=1,IF($A417&lt;VLOOKUP(S$5,NFI,5,0),1,0)*Table_NFI[[#This Row],[Winter Clothes Children]],Table_NFI[Winter Clothes Children])</f>
        <v>0</v>
      </c>
      <c r="AK417" s="264">
        <f>IF(NFI_Expiration=1,IF($A417&lt;VLOOKUP(T$5,NFI,5,0),1,0)*Table_NFI[[#This Row],[Winter Items Other]],Table_NFI[Winter Items Other])</f>
        <v>0</v>
      </c>
      <c r="AL417" s="264">
        <f>IF(NFI_Expiration=1,IF($A417&lt;VLOOKUP(M$5,NFI,5,0),1,0)*Table_NFI[[#This Row],[Winter Blanket]],Table_NFI[[#This Row],[Winter Blanket]])</f>
        <v>0</v>
      </c>
      <c r="AM417" s="264">
        <f>IF(Table_NFI[[#This Row],[Winter Clothes Adult]]+Table_NFI[[#This Row],[Winter Clothes Children]]+Table_NFI[[#This Row],[Winter Items Other]]+Table_NFI[[#This Row],[Winter Blanket]]&gt;0,1,0)</f>
        <v>1</v>
      </c>
      <c r="AN417" s="296">
        <f>IF(NFI_Expiration=1,IF($A417&lt;VLOOKUP(V$5,NFI,5,0),1,0)*Table_NFI[[#This Row],[Jerry Can]],Table_NFI[Jerry Can])</f>
        <v>0</v>
      </c>
      <c r="AO417" s="296">
        <f>IF(NFI_Expiration=1,IF($A417&lt;VLOOKUP(V$5,NFI,5,0),1,0)*Table_NFI[[#This Row],[Shelter Tool kit]],Table_NFI[Shelter Tool kit])</f>
        <v>0</v>
      </c>
      <c r="AP417" s="296">
        <f>IF(NFI_Expiration=1,IF($A417&lt;VLOOKUP(V$5,NFI,5,0),1,0)*Table_NFI[[#This Row],[Tent]],Table_NFI[Tent])</f>
        <v>0</v>
      </c>
      <c r="AQ417" s="396" t="str">
        <f>IFERROR(VLOOKUP(Table_NFI[[#This Row],[Camp Name]],CL,2,0),"")</f>
        <v>MMR001CMP004</v>
      </c>
      <c r="AR417" s="702">
        <f ca="1">IF(Table_NFI[[#This Row],[Pcode]]="","",IF(OFFSET(CampList[Opening Date],MATCH(Table_NFI[[#This Row],[Pcode]],CampList[CP_Pcode],0)-1,0,1,1)&gt;=NFI_Monitor_Date,1,0))</f>
        <v>0</v>
      </c>
      <c r="AS417" s="396" t="str">
        <f>IFERROR(VLOOKUP(Table_NFI[[#This Row],[Camp Name]],CL,3,0),"")</f>
        <v>Open</v>
      </c>
      <c r="AT417" s="264" t="str">
        <f ca="1">IF(Table_NFI[[#This Row],[Pcode]]="","",OFFSET(CampList[Priority],MATCH(Table_NFI[[#This Row],[Pcode]],CampList[CP_Pcode],0)-1,0,1,1))</f>
        <v>P4</v>
      </c>
      <c r="AU417" s="263">
        <f>IFERROR(Table_NFI[[#This Row],[Kitchen Set]]/VLOOKUP(Table_NFI[[#This Row],[Camp Name]],CL,4,0),"")</f>
        <v>0</v>
      </c>
      <c r="AV417" s="390"/>
      <c r="AW417" s="392"/>
      <c r="AX417" s="399"/>
      <c r="AY417" s="399"/>
      <c r="AZ417" s="399"/>
      <c r="BA417" s="399"/>
      <c r="BB417" s="399"/>
      <c r="BC417" s="399"/>
      <c r="BD417" s="399"/>
      <c r="BE417" s="399"/>
      <c r="BF417" s="399"/>
      <c r="BG417" s="399"/>
      <c r="BH417" s="399"/>
      <c r="BI417" s="399"/>
      <c r="BJ417" s="399"/>
      <c r="BK417" s="399"/>
      <c r="BL417" s="399"/>
      <c r="BM417" s="399"/>
      <c r="BN417" s="399"/>
      <c r="BO417" s="399"/>
      <c r="BP417" s="399"/>
      <c r="BQ417" s="399"/>
      <c r="BR417" s="399"/>
      <c r="BS417" s="399"/>
      <c r="BT417" s="399"/>
      <c r="BU417" s="399"/>
      <c r="BV417" s="399"/>
      <c r="BW417" s="399"/>
      <c r="BX417" s="399"/>
      <c r="BY417" s="399"/>
      <c r="BZ417" s="399"/>
      <c r="CA417" s="399"/>
      <c r="CB417" s="399"/>
      <c r="CC417" s="399"/>
      <c r="CD417" s="399"/>
      <c r="CE417" s="399"/>
      <c r="CF417" s="399"/>
      <c r="CG417" s="399"/>
      <c r="CH417" s="399"/>
      <c r="CI417" s="399"/>
      <c r="CJ417" s="399"/>
      <c r="CK417" s="399"/>
      <c r="CL417" s="399"/>
      <c r="CM417" s="399"/>
      <c r="CN417" s="399"/>
      <c r="CO417" s="399"/>
      <c r="CP417" s="399"/>
      <c r="CQ417" s="399"/>
      <c r="CR417" s="399"/>
      <c r="CS417" s="399"/>
      <c r="CT417" s="399"/>
      <c r="CU417" s="399"/>
      <c r="CV417" s="399"/>
      <c r="CW417" s="399"/>
      <c r="CX417" s="399"/>
      <c r="CY417" s="399"/>
      <c r="CZ417" s="399"/>
      <c r="DA417" s="399"/>
      <c r="DB417" s="399"/>
      <c r="DC417" s="399"/>
      <c r="DD417" s="399"/>
      <c r="DE417" s="399"/>
      <c r="DF417" s="399"/>
      <c r="DG417" s="399"/>
      <c r="DH417" s="399"/>
      <c r="DI417" s="399"/>
      <c r="DJ417" s="399"/>
      <c r="DK417" s="399"/>
      <c r="DL417" s="399"/>
      <c r="DM417" s="399"/>
      <c r="DN417" s="399"/>
      <c r="DO417" s="399"/>
      <c r="DP417" s="399"/>
      <c r="DQ417" s="399"/>
    </row>
    <row r="418" spans="1:121" s="760" customFormat="1" ht="14.45" customHeight="1" x14ac:dyDescent="0.25">
      <c r="A418" s="266">
        <f t="shared" si="6"/>
        <v>34.966666666666669</v>
      </c>
      <c r="B418" s="389">
        <v>41807</v>
      </c>
      <c r="C418" s="390" t="s">
        <v>451</v>
      </c>
      <c r="D418" s="390"/>
      <c r="E418" s="390" t="s">
        <v>380</v>
      </c>
      <c r="F418" s="390" t="s">
        <v>151</v>
      </c>
      <c r="G418" s="390" t="s">
        <v>884</v>
      </c>
      <c r="H418" s="261"/>
      <c r="I418" s="261"/>
      <c r="J418" s="261"/>
      <c r="K418" s="261">
        <v>10</v>
      </c>
      <c r="L418" s="261">
        <v>3</v>
      </c>
      <c r="M418" s="261">
        <v>10</v>
      </c>
      <c r="N418" s="261">
        <v>3</v>
      </c>
      <c r="O418" s="261"/>
      <c r="P418" s="261">
        <v>3</v>
      </c>
      <c r="Q418" s="261">
        <v>10</v>
      </c>
      <c r="R418" s="261"/>
      <c r="S418" s="261"/>
      <c r="T418" s="261"/>
      <c r="U418" s="261"/>
      <c r="V418" s="762"/>
      <c r="W418" s="261"/>
      <c r="X418" s="261"/>
      <c r="Y418" s="264">
        <f>IF(NFI_Expiration=1,IF($A418&lt;VLOOKUP(H$5,NFI,5,0),1,0)*Table_NFI[[#This Row],[Hygiene Kit]],Table_NFI[Hygiene Kit])</f>
        <v>0</v>
      </c>
      <c r="Z418" s="264">
        <f>IF(NFI_Expiration=1,IF($A418&lt;VLOOKUP(I$5,NFI,5,0),1,0)*Table_NFI[[#This Row],[NFI Core Kit]],Table_NFI[NFI Core Kit])</f>
        <v>0</v>
      </c>
      <c r="AA418" s="264">
        <f>IF(NFI_Expiration=1,IF($A418&lt;VLOOKUP(J$5,NFI,5,0),1,0)*Table_NFI[[#This Row],[Sanitary Kit]],Table_NFI[Sanitary Kit])</f>
        <v>0</v>
      </c>
      <c r="AB418" s="264">
        <f>IF(NFI_Expiration=1,IF($A418&lt;VLOOKUP(K$5,NFI,5,0),1,0)*Table_NFI[[#This Row],[Mosquito net]],Table_NFI[Mosquito net])</f>
        <v>0</v>
      </c>
      <c r="AC418" s="264">
        <f>IF(NFI_Expiration=1,IF($A418&lt;VLOOKUP(L$5,NFI,5,0),1,0)*Table_NFI[[#This Row],[Tarpaulin]],Table_NFI[[#This Row],[Tarpaulin]])</f>
        <v>0</v>
      </c>
      <c r="AD418" s="264">
        <f>IF(NFI_Expiration=1,IF($A418&lt;VLOOKUP(M$5,NFI,5,0),1,0)*Table_NFI[[#This Row],[Blanket]],Table_NFI[[#This Row],[Blanket]])</f>
        <v>0</v>
      </c>
      <c r="AE418" s="264">
        <f>IF(NFI_Expiration=1,IF($A418&lt;VLOOKUP(N$5,NFI,5,0),1,0)*Table_NFI[[#This Row],[Kitchen Set]],Table_NFI[Kitchen Set])</f>
        <v>0</v>
      </c>
      <c r="AF418" s="264">
        <f>IF(NFI_Expiration=1,IF($A418&lt;VLOOKUP(O$5,NFI,5,0),1,0)*Table_NFI[[#This Row],[Clothes Kit]],Table_NFI[Clothes Kit])</f>
        <v>0</v>
      </c>
      <c r="AG418" s="264">
        <f>IF(NFI_Expiration=1,IF($A418&lt;VLOOKUP(P$5,NFI,5,0),1,0)*Table_NFI[[#This Row],[Plastic Bucket]],Table_NFI[Plastic Bucket])</f>
        <v>0</v>
      </c>
      <c r="AH418" s="264">
        <f>IF(NFI_Expiration=1,IF($A418&lt;VLOOKUP(Q$5,NFI,5,0),1,0)*Table_NFI[[#This Row],[Plastic Mat]],Table_NFI[Plastic Mat])*IF(Table_NFI[[#This Row],[Distribution Date]]&gt;"2014-04-01",1,2.5)</f>
        <v>0</v>
      </c>
      <c r="AI418" s="264">
        <f>IF(NFI_Expiration=1,IF($A418&lt;VLOOKUP(R$5,NFI,5,0),1,0)*Table_NFI[[#This Row],[Winter Clothes Adult]],Table_NFI[Winter Clothes Adult])</f>
        <v>0</v>
      </c>
      <c r="AJ418" s="264">
        <f>IF(NFI_Expiration=1,IF($A418&lt;VLOOKUP(S$5,NFI,5,0),1,0)*Table_NFI[[#This Row],[Winter Clothes Children]],Table_NFI[Winter Clothes Children])</f>
        <v>0</v>
      </c>
      <c r="AK418" s="264">
        <f>IF(NFI_Expiration=1,IF($A418&lt;VLOOKUP(T$5,NFI,5,0),1,0)*Table_NFI[[#This Row],[Winter Items Other]],Table_NFI[Winter Items Other])</f>
        <v>0</v>
      </c>
      <c r="AL418" s="264">
        <f>IF(NFI_Expiration=1,IF($A418&lt;VLOOKUP(M$5,NFI,5,0),1,0)*Table_NFI[[#This Row],[Winter Blanket]],Table_NFI[[#This Row],[Winter Blanket]])</f>
        <v>0</v>
      </c>
      <c r="AM418" s="264">
        <f>IF(Table_NFI[[#This Row],[Winter Clothes Adult]]+Table_NFI[[#This Row],[Winter Clothes Children]]+Table_NFI[[#This Row],[Winter Items Other]]+Table_NFI[[#This Row],[Winter Blanket]]&gt;0,1,0)</f>
        <v>0</v>
      </c>
      <c r="AN418" s="296">
        <f>IF(NFI_Expiration=1,IF($A418&lt;VLOOKUP(V$5,NFI,5,0),1,0)*Table_NFI[[#This Row],[Jerry Can]],Table_NFI[Jerry Can])</f>
        <v>0</v>
      </c>
      <c r="AO418" s="296">
        <f>IF(NFI_Expiration=1,IF($A418&lt;VLOOKUP(V$5,NFI,5,0),1,0)*Table_NFI[[#This Row],[Shelter Tool kit]],Table_NFI[Shelter Tool kit])</f>
        <v>0</v>
      </c>
      <c r="AP418" s="296">
        <f>IF(NFI_Expiration=1,IF($A418&lt;VLOOKUP(V$5,NFI,5,0),1,0)*Table_NFI[[#This Row],[Tent]],Table_NFI[Tent])</f>
        <v>0</v>
      </c>
      <c r="AQ418" s="396" t="str">
        <f>IFERROR(VLOOKUP(Table_NFI[[#This Row],[Camp Name]],CL,2,0),"")</f>
        <v>MMR001CMP218</v>
      </c>
      <c r="AR418" s="702">
        <f ca="1">IF(Table_NFI[[#This Row],[Pcode]]="","",IF(OFFSET(CampList[Opening Date],MATCH(Table_NFI[[#This Row],[Pcode]],CampList[CP_Pcode],0)-1,0,1,1)&gt;=NFI_Monitor_Date,1,0))</f>
        <v>0</v>
      </c>
      <c r="AS418" s="396" t="str">
        <f>IFERROR(VLOOKUP(Table_NFI[[#This Row],[Camp Name]],CL,3,0),"")</f>
        <v>Open</v>
      </c>
      <c r="AT418" s="264" t="str">
        <f ca="1">IF(Table_NFI[[#This Row],[Pcode]]="","",OFFSET(CampList[Priority],MATCH(Table_NFI[[#This Row],[Pcode]],CampList[CP_Pcode],0)-1,0,1,1))</f>
        <v>P4</v>
      </c>
      <c r="AU418" s="263">
        <f>IFERROR(Table_NFI[[#This Row],[Kitchen Set]]/VLOOKUP(Table_NFI[[#This Row],[Camp Name]],CL,4,0),"")</f>
        <v>7.2205641667468946E-5</v>
      </c>
      <c r="AV418" s="390"/>
      <c r="AW418" s="392"/>
      <c r="AX418" s="399"/>
      <c r="AY418" s="399"/>
      <c r="AZ418" s="399"/>
      <c r="BA418" s="399"/>
      <c r="BB418" s="399"/>
      <c r="BC418" s="399"/>
      <c r="BD418" s="399"/>
      <c r="BE418" s="399"/>
      <c r="BF418" s="399"/>
      <c r="BG418" s="399"/>
      <c r="BH418" s="399"/>
      <c r="BI418" s="399"/>
      <c r="BJ418" s="399"/>
      <c r="BK418" s="399"/>
      <c r="BL418" s="399"/>
      <c r="BM418" s="399"/>
      <c r="BN418" s="399"/>
      <c r="BO418" s="399"/>
      <c r="BP418" s="399"/>
      <c r="BQ418" s="399"/>
      <c r="BR418" s="399"/>
      <c r="BS418" s="399"/>
      <c r="BT418" s="399"/>
      <c r="BU418" s="399"/>
      <c r="BV418" s="399"/>
      <c r="BW418" s="399"/>
      <c r="BX418" s="399"/>
      <c r="BY418" s="399"/>
      <c r="BZ418" s="399"/>
      <c r="CA418" s="399"/>
      <c r="CB418" s="399"/>
      <c r="CC418" s="399"/>
      <c r="CD418" s="399"/>
      <c r="CE418" s="399"/>
      <c r="CF418" s="399"/>
      <c r="CG418" s="399"/>
      <c r="CH418" s="399"/>
      <c r="CI418" s="399"/>
      <c r="CJ418" s="399"/>
      <c r="CK418" s="399"/>
      <c r="CL418" s="399"/>
      <c r="CM418" s="399"/>
      <c r="CN418" s="399"/>
      <c r="CO418" s="399"/>
      <c r="CP418" s="399"/>
      <c r="CQ418" s="399"/>
      <c r="CR418" s="399"/>
      <c r="CS418" s="399"/>
      <c r="CT418" s="399"/>
      <c r="CU418" s="399"/>
      <c r="CV418" s="399"/>
      <c r="CW418" s="399"/>
      <c r="CX418" s="399"/>
      <c r="CY418" s="399"/>
      <c r="CZ418" s="399"/>
      <c r="DA418" s="399"/>
      <c r="DB418" s="399"/>
      <c r="DC418" s="399"/>
      <c r="DD418" s="399"/>
      <c r="DE418" s="399"/>
      <c r="DF418" s="399"/>
      <c r="DG418" s="399"/>
      <c r="DH418" s="399"/>
      <c r="DI418" s="399"/>
      <c r="DJ418" s="399"/>
      <c r="DK418" s="399"/>
      <c r="DL418" s="399"/>
      <c r="DM418" s="399"/>
      <c r="DN418" s="399"/>
      <c r="DO418" s="399"/>
      <c r="DP418" s="399"/>
      <c r="DQ418" s="399"/>
    </row>
    <row r="419" spans="1:121" s="760" customFormat="1" ht="14.45" customHeight="1" x14ac:dyDescent="0.25">
      <c r="A419" s="266">
        <f t="shared" si="6"/>
        <v>35.033333333333331</v>
      </c>
      <c r="B419" s="389">
        <v>41805</v>
      </c>
      <c r="C419" s="390" t="s">
        <v>1099</v>
      </c>
      <c r="D419" s="390" t="s">
        <v>899</v>
      </c>
      <c r="E419" s="390" t="s">
        <v>380</v>
      </c>
      <c r="F419" s="390" t="s">
        <v>302</v>
      </c>
      <c r="G419" s="390" t="s">
        <v>306</v>
      </c>
      <c r="H419" s="261"/>
      <c r="I419" s="261"/>
      <c r="J419" s="261"/>
      <c r="K419" s="261"/>
      <c r="L419" s="261"/>
      <c r="M419" s="261"/>
      <c r="N419" s="261"/>
      <c r="O419" s="261"/>
      <c r="P419" s="261"/>
      <c r="Q419" s="261"/>
      <c r="R419" s="261"/>
      <c r="S419" s="261"/>
      <c r="T419" s="261"/>
      <c r="U419" s="261">
        <v>158</v>
      </c>
      <c r="V419" s="762"/>
      <c r="W419" s="261"/>
      <c r="X419" s="261"/>
      <c r="Y419" s="264">
        <f>IF(NFI_Expiration=1,IF($A419&lt;VLOOKUP(H$5,NFI,5,0),1,0)*Table_NFI[[#This Row],[Hygiene Kit]],Table_NFI[Hygiene Kit])</f>
        <v>0</v>
      </c>
      <c r="Z419" s="264">
        <f>IF(NFI_Expiration=1,IF($A419&lt;VLOOKUP(I$5,NFI,5,0),1,0)*Table_NFI[[#This Row],[NFI Core Kit]],Table_NFI[NFI Core Kit])</f>
        <v>0</v>
      </c>
      <c r="AA419" s="264">
        <f>IF(NFI_Expiration=1,IF($A419&lt;VLOOKUP(J$5,NFI,5,0),1,0)*Table_NFI[[#This Row],[Sanitary Kit]],Table_NFI[Sanitary Kit])</f>
        <v>0</v>
      </c>
      <c r="AB419" s="264">
        <f>IF(NFI_Expiration=1,IF($A419&lt;VLOOKUP(K$5,NFI,5,0),1,0)*Table_NFI[[#This Row],[Mosquito net]],Table_NFI[Mosquito net])</f>
        <v>0</v>
      </c>
      <c r="AC419" s="264">
        <f>IF(NFI_Expiration=1,IF($A419&lt;VLOOKUP(L$5,NFI,5,0),1,0)*Table_NFI[[#This Row],[Tarpaulin]],Table_NFI[[#This Row],[Tarpaulin]])</f>
        <v>0</v>
      </c>
      <c r="AD419" s="264">
        <f>IF(NFI_Expiration=1,IF($A419&lt;VLOOKUP(M$5,NFI,5,0),1,0)*Table_NFI[[#This Row],[Blanket]],Table_NFI[[#This Row],[Blanket]])</f>
        <v>0</v>
      </c>
      <c r="AE419" s="264">
        <f>IF(NFI_Expiration=1,IF($A419&lt;VLOOKUP(N$5,NFI,5,0),1,0)*Table_NFI[[#This Row],[Kitchen Set]],Table_NFI[Kitchen Set])</f>
        <v>0</v>
      </c>
      <c r="AF419" s="264">
        <f>IF(NFI_Expiration=1,IF($A419&lt;VLOOKUP(O$5,NFI,5,0),1,0)*Table_NFI[[#This Row],[Clothes Kit]],Table_NFI[Clothes Kit])</f>
        <v>0</v>
      </c>
      <c r="AG419" s="264">
        <f>IF(NFI_Expiration=1,IF($A419&lt;VLOOKUP(P$5,NFI,5,0),1,0)*Table_NFI[[#This Row],[Plastic Bucket]],Table_NFI[Plastic Bucket])</f>
        <v>0</v>
      </c>
      <c r="AH419" s="264">
        <f>IF(NFI_Expiration=1,IF($A419&lt;VLOOKUP(Q$5,NFI,5,0),1,0)*Table_NFI[[#This Row],[Plastic Mat]],Table_NFI[Plastic Mat])*IF(Table_NFI[[#This Row],[Distribution Date]]&gt;"2014-04-01",1,2.5)</f>
        <v>0</v>
      </c>
      <c r="AI419" s="264">
        <f>IF(NFI_Expiration=1,IF($A419&lt;VLOOKUP(R$5,NFI,5,0),1,0)*Table_NFI[[#This Row],[Winter Clothes Adult]],Table_NFI[Winter Clothes Adult])</f>
        <v>0</v>
      </c>
      <c r="AJ419" s="264">
        <f>IF(NFI_Expiration=1,IF($A419&lt;VLOOKUP(S$5,NFI,5,0),1,0)*Table_NFI[[#This Row],[Winter Clothes Children]],Table_NFI[Winter Clothes Children])</f>
        <v>0</v>
      </c>
      <c r="AK419" s="264">
        <f>IF(NFI_Expiration=1,IF($A419&lt;VLOOKUP(T$5,NFI,5,0),1,0)*Table_NFI[[#This Row],[Winter Items Other]],Table_NFI[Winter Items Other])</f>
        <v>0</v>
      </c>
      <c r="AL419" s="264">
        <f>IF(NFI_Expiration=1,IF($A419&lt;VLOOKUP(M$5,NFI,5,0),1,0)*Table_NFI[[#This Row],[Winter Blanket]],Table_NFI[[#This Row],[Winter Blanket]])</f>
        <v>0</v>
      </c>
      <c r="AM419" s="264">
        <f>IF(Table_NFI[[#This Row],[Winter Clothes Adult]]+Table_NFI[[#This Row],[Winter Clothes Children]]+Table_NFI[[#This Row],[Winter Items Other]]+Table_NFI[[#This Row],[Winter Blanket]]&gt;0,1,0)</f>
        <v>1</v>
      </c>
      <c r="AN419" s="296">
        <f>IF(NFI_Expiration=1,IF($A419&lt;VLOOKUP(V$5,NFI,5,0),1,0)*Table_NFI[[#This Row],[Jerry Can]],Table_NFI[Jerry Can])</f>
        <v>0</v>
      </c>
      <c r="AO419" s="296">
        <f>IF(NFI_Expiration=1,IF($A419&lt;VLOOKUP(V$5,NFI,5,0),1,0)*Table_NFI[[#This Row],[Shelter Tool kit]],Table_NFI[Shelter Tool kit])</f>
        <v>0</v>
      </c>
      <c r="AP419" s="296">
        <f>IF(NFI_Expiration=1,IF($A419&lt;VLOOKUP(V$5,NFI,5,0),1,0)*Table_NFI[[#This Row],[Tent]],Table_NFI[Tent])</f>
        <v>0</v>
      </c>
      <c r="AQ419" s="396" t="str">
        <f>IFERROR(VLOOKUP(Table_NFI[[#This Row],[Camp Name]],CL,2,0),"")</f>
        <v>MMR001CMP067</v>
      </c>
      <c r="AR419" s="702">
        <f ca="1">IF(Table_NFI[[#This Row],[Pcode]]="","",IF(OFFSET(CampList[Opening Date],MATCH(Table_NFI[[#This Row],[Pcode]],CampList[CP_Pcode],0)-1,0,1,1)&gt;=NFI_Monitor_Date,1,0))</f>
        <v>0</v>
      </c>
      <c r="AS419" s="396" t="str">
        <f>IFERROR(VLOOKUP(Table_NFI[[#This Row],[Camp Name]],CL,3,0),"")</f>
        <v>Open</v>
      </c>
      <c r="AT419" s="264" t="str">
        <f ca="1">IF(Table_NFI[[#This Row],[Pcode]]="","",OFFSET(CampList[Priority],MATCH(Table_NFI[[#This Row],[Pcode]],CampList[CP_Pcode],0)-1,0,1,1))</f>
        <v>P4</v>
      </c>
      <c r="AU419" s="263">
        <f>IFERROR(Table_NFI[[#This Row],[Kitchen Set]]/VLOOKUP(Table_NFI[[#This Row],[Camp Name]],CL,4,0),"")</f>
        <v>0</v>
      </c>
      <c r="AV419" s="390"/>
      <c r="AW419" s="392"/>
      <c r="AX419" s="399"/>
      <c r="AY419" s="399"/>
      <c r="AZ419" s="399"/>
      <c r="BA419" s="399"/>
      <c r="BB419" s="399"/>
      <c r="BC419" s="399"/>
      <c r="BD419" s="399"/>
      <c r="BE419" s="399"/>
      <c r="BF419" s="399"/>
      <c r="BG419" s="399"/>
      <c r="BH419" s="399"/>
      <c r="BI419" s="399"/>
      <c r="BJ419" s="399"/>
      <c r="BK419" s="399"/>
      <c r="BL419" s="399"/>
      <c r="BM419" s="399"/>
      <c r="BN419" s="399"/>
      <c r="BO419" s="399"/>
      <c r="BP419" s="399"/>
      <c r="BQ419" s="399"/>
      <c r="BR419" s="399"/>
      <c r="BS419" s="399"/>
      <c r="BT419" s="399"/>
      <c r="BU419" s="399"/>
      <c r="BV419" s="399"/>
      <c r="BW419" s="399"/>
      <c r="BX419" s="399"/>
      <c r="BY419" s="399"/>
      <c r="BZ419" s="399"/>
      <c r="CA419" s="399"/>
      <c r="CB419" s="399"/>
      <c r="CC419" s="399"/>
      <c r="CD419" s="399"/>
      <c r="CE419" s="399"/>
      <c r="CF419" s="399"/>
      <c r="CG419" s="399"/>
      <c r="CH419" s="399"/>
      <c r="CI419" s="399"/>
      <c r="CJ419" s="399"/>
      <c r="CK419" s="399"/>
      <c r="CL419" s="399"/>
      <c r="CM419" s="399"/>
      <c r="CN419" s="399"/>
      <c r="CO419" s="399"/>
      <c r="CP419" s="399"/>
      <c r="CQ419" s="399"/>
      <c r="CR419" s="399"/>
      <c r="CS419" s="399"/>
      <c r="CT419" s="399"/>
      <c r="CU419" s="399"/>
      <c r="CV419" s="399"/>
      <c r="CW419" s="399"/>
      <c r="CX419" s="399"/>
      <c r="CY419" s="399"/>
      <c r="CZ419" s="399"/>
      <c r="DA419" s="399"/>
      <c r="DB419" s="399"/>
      <c r="DC419" s="399"/>
      <c r="DD419" s="399"/>
      <c r="DE419" s="399"/>
      <c r="DF419" s="399"/>
      <c r="DG419" s="399"/>
      <c r="DH419" s="399"/>
      <c r="DI419" s="399"/>
      <c r="DJ419" s="399"/>
      <c r="DK419" s="399"/>
      <c r="DL419" s="399"/>
      <c r="DM419" s="399"/>
      <c r="DN419" s="399"/>
      <c r="DO419" s="399"/>
      <c r="DP419" s="399"/>
      <c r="DQ419" s="399"/>
    </row>
    <row r="420" spans="1:121" s="760" customFormat="1" ht="14.45" customHeight="1" x14ac:dyDescent="0.25">
      <c r="A420" s="266">
        <f t="shared" si="6"/>
        <v>35.033333333333331</v>
      </c>
      <c r="B420" s="389">
        <v>41805</v>
      </c>
      <c r="C420" s="390" t="s">
        <v>1099</v>
      </c>
      <c r="D420" s="390" t="s">
        <v>899</v>
      </c>
      <c r="E420" s="390" t="s">
        <v>380</v>
      </c>
      <c r="F420" s="390" t="s">
        <v>302</v>
      </c>
      <c r="G420" s="390" t="s">
        <v>308</v>
      </c>
      <c r="H420" s="261"/>
      <c r="I420" s="261"/>
      <c r="J420" s="261"/>
      <c r="K420" s="261"/>
      <c r="L420" s="261"/>
      <c r="M420" s="261"/>
      <c r="N420" s="261"/>
      <c r="O420" s="261"/>
      <c r="P420" s="261"/>
      <c r="Q420" s="261"/>
      <c r="R420" s="261"/>
      <c r="S420" s="261"/>
      <c r="T420" s="261"/>
      <c r="U420" s="261">
        <v>112</v>
      </c>
      <c r="V420" s="762"/>
      <c r="W420" s="261"/>
      <c r="X420" s="261"/>
      <c r="Y420" s="264">
        <f>IF(NFI_Expiration=1,IF($A420&lt;VLOOKUP(H$5,NFI,5,0),1,0)*Table_NFI[[#This Row],[Hygiene Kit]],Table_NFI[Hygiene Kit])</f>
        <v>0</v>
      </c>
      <c r="Z420" s="264">
        <f>IF(NFI_Expiration=1,IF($A420&lt;VLOOKUP(I$5,NFI,5,0),1,0)*Table_NFI[[#This Row],[NFI Core Kit]],Table_NFI[NFI Core Kit])</f>
        <v>0</v>
      </c>
      <c r="AA420" s="264">
        <f>IF(NFI_Expiration=1,IF($A420&lt;VLOOKUP(J$5,NFI,5,0),1,0)*Table_NFI[[#This Row],[Sanitary Kit]],Table_NFI[Sanitary Kit])</f>
        <v>0</v>
      </c>
      <c r="AB420" s="264">
        <f>IF(NFI_Expiration=1,IF($A420&lt;VLOOKUP(K$5,NFI,5,0),1,0)*Table_NFI[[#This Row],[Mosquito net]],Table_NFI[Mosquito net])</f>
        <v>0</v>
      </c>
      <c r="AC420" s="264">
        <f>IF(NFI_Expiration=1,IF($A420&lt;VLOOKUP(L$5,NFI,5,0),1,0)*Table_NFI[[#This Row],[Tarpaulin]],Table_NFI[[#This Row],[Tarpaulin]])</f>
        <v>0</v>
      </c>
      <c r="AD420" s="264">
        <f>IF(NFI_Expiration=1,IF($A420&lt;VLOOKUP(M$5,NFI,5,0),1,0)*Table_NFI[[#This Row],[Blanket]],Table_NFI[[#This Row],[Blanket]])</f>
        <v>0</v>
      </c>
      <c r="AE420" s="264">
        <f>IF(NFI_Expiration=1,IF($A420&lt;VLOOKUP(N$5,NFI,5,0),1,0)*Table_NFI[[#This Row],[Kitchen Set]],Table_NFI[Kitchen Set])</f>
        <v>0</v>
      </c>
      <c r="AF420" s="264">
        <f>IF(NFI_Expiration=1,IF($A420&lt;VLOOKUP(O$5,NFI,5,0),1,0)*Table_NFI[[#This Row],[Clothes Kit]],Table_NFI[Clothes Kit])</f>
        <v>0</v>
      </c>
      <c r="AG420" s="264">
        <f>IF(NFI_Expiration=1,IF($A420&lt;VLOOKUP(P$5,NFI,5,0),1,0)*Table_NFI[[#This Row],[Plastic Bucket]],Table_NFI[Plastic Bucket])</f>
        <v>0</v>
      </c>
      <c r="AH420" s="264">
        <f>IF(NFI_Expiration=1,IF($A420&lt;VLOOKUP(Q$5,NFI,5,0),1,0)*Table_NFI[[#This Row],[Plastic Mat]],Table_NFI[Plastic Mat])*IF(Table_NFI[[#This Row],[Distribution Date]]&gt;"2014-04-01",1,2.5)</f>
        <v>0</v>
      </c>
      <c r="AI420" s="264">
        <f>IF(NFI_Expiration=1,IF($A420&lt;VLOOKUP(R$5,NFI,5,0),1,0)*Table_NFI[[#This Row],[Winter Clothes Adult]],Table_NFI[Winter Clothes Adult])</f>
        <v>0</v>
      </c>
      <c r="AJ420" s="264">
        <f>IF(NFI_Expiration=1,IF($A420&lt;VLOOKUP(S$5,NFI,5,0),1,0)*Table_NFI[[#This Row],[Winter Clothes Children]],Table_NFI[Winter Clothes Children])</f>
        <v>0</v>
      </c>
      <c r="AK420" s="264">
        <f>IF(NFI_Expiration=1,IF($A420&lt;VLOOKUP(T$5,NFI,5,0),1,0)*Table_NFI[[#This Row],[Winter Items Other]],Table_NFI[Winter Items Other])</f>
        <v>0</v>
      </c>
      <c r="AL420" s="264">
        <f>IF(NFI_Expiration=1,IF($A420&lt;VLOOKUP(M$5,NFI,5,0),1,0)*Table_NFI[[#This Row],[Winter Blanket]],Table_NFI[[#This Row],[Winter Blanket]])</f>
        <v>0</v>
      </c>
      <c r="AM420" s="264">
        <f>IF(Table_NFI[[#This Row],[Winter Clothes Adult]]+Table_NFI[[#This Row],[Winter Clothes Children]]+Table_NFI[[#This Row],[Winter Items Other]]+Table_NFI[[#This Row],[Winter Blanket]]&gt;0,1,0)</f>
        <v>1</v>
      </c>
      <c r="AN420" s="296">
        <f>IF(NFI_Expiration=1,IF($A420&lt;VLOOKUP(V$5,NFI,5,0),1,0)*Table_NFI[[#This Row],[Jerry Can]],Table_NFI[Jerry Can])</f>
        <v>0</v>
      </c>
      <c r="AO420" s="296">
        <f>IF(NFI_Expiration=1,IF($A420&lt;VLOOKUP(V$5,NFI,5,0),1,0)*Table_NFI[[#This Row],[Shelter Tool kit]],Table_NFI[Shelter Tool kit])</f>
        <v>0</v>
      </c>
      <c r="AP420" s="296">
        <f>IF(NFI_Expiration=1,IF($A420&lt;VLOOKUP(V$5,NFI,5,0),1,0)*Table_NFI[[#This Row],[Tent]],Table_NFI[Tent])</f>
        <v>0</v>
      </c>
      <c r="AQ420" s="396" t="str">
        <f>IFERROR(VLOOKUP(Table_NFI[[#This Row],[Camp Name]],CL,2,0),"")</f>
        <v>MMR001CMP068</v>
      </c>
      <c r="AR420" s="702">
        <f ca="1">IF(Table_NFI[[#This Row],[Pcode]]="","",IF(OFFSET(CampList[Opening Date],MATCH(Table_NFI[[#This Row],[Pcode]],CampList[CP_Pcode],0)-1,0,1,1)&gt;=NFI_Monitor_Date,1,0))</f>
        <v>0</v>
      </c>
      <c r="AS420" s="396" t="str">
        <f>IFERROR(VLOOKUP(Table_NFI[[#This Row],[Camp Name]],CL,3,0),"")</f>
        <v>Open</v>
      </c>
      <c r="AT420" s="264" t="str">
        <f ca="1">IF(Table_NFI[[#This Row],[Pcode]]="","",OFFSET(CampList[Priority],MATCH(Table_NFI[[#This Row],[Pcode]],CampList[CP_Pcode],0)-1,0,1,1))</f>
        <v>P4</v>
      </c>
      <c r="AU420" s="263">
        <f>IFERROR(Table_NFI[[#This Row],[Kitchen Set]]/VLOOKUP(Table_NFI[[#This Row],[Camp Name]],CL,4,0),"")</f>
        <v>0</v>
      </c>
      <c r="AV420" s="390"/>
      <c r="AW420" s="392"/>
      <c r="AX420" s="399"/>
      <c r="AY420" s="399"/>
      <c r="AZ420" s="399"/>
      <c r="BA420" s="399"/>
      <c r="BB420" s="399"/>
      <c r="BC420" s="399"/>
      <c r="BD420" s="399"/>
      <c r="BE420" s="399"/>
      <c r="BF420" s="399"/>
      <c r="BG420" s="399"/>
      <c r="BH420" s="399"/>
      <c r="BI420" s="399"/>
      <c r="BJ420" s="399"/>
      <c r="BK420" s="399"/>
      <c r="BL420" s="399"/>
      <c r="BM420" s="399"/>
      <c r="BN420" s="399"/>
      <c r="BO420" s="399"/>
      <c r="BP420" s="399"/>
      <c r="BQ420" s="399"/>
      <c r="BR420" s="399"/>
      <c r="BS420" s="399"/>
      <c r="BT420" s="399"/>
      <c r="BU420" s="399"/>
      <c r="BV420" s="399"/>
      <c r="BW420" s="399"/>
      <c r="BX420" s="399"/>
      <c r="BY420" s="399"/>
      <c r="BZ420" s="399"/>
      <c r="CA420" s="399"/>
      <c r="CB420" s="399"/>
      <c r="CC420" s="399"/>
      <c r="CD420" s="399"/>
      <c r="CE420" s="399"/>
      <c r="CF420" s="399"/>
      <c r="CG420" s="399"/>
      <c r="CH420" s="399"/>
      <c r="CI420" s="399"/>
      <c r="CJ420" s="399"/>
      <c r="CK420" s="399"/>
      <c r="CL420" s="399"/>
      <c r="CM420" s="399"/>
      <c r="CN420" s="399"/>
      <c r="CO420" s="399"/>
      <c r="CP420" s="399"/>
      <c r="CQ420" s="399"/>
      <c r="CR420" s="399"/>
      <c r="CS420" s="399"/>
      <c r="CT420" s="399"/>
      <c r="CU420" s="399"/>
      <c r="CV420" s="399"/>
      <c r="CW420" s="399"/>
      <c r="CX420" s="399"/>
      <c r="CY420" s="399"/>
      <c r="CZ420" s="399"/>
      <c r="DA420" s="399"/>
      <c r="DB420" s="399"/>
      <c r="DC420" s="399"/>
      <c r="DD420" s="399"/>
      <c r="DE420" s="399"/>
      <c r="DF420" s="399"/>
      <c r="DG420" s="399"/>
      <c r="DH420" s="399"/>
      <c r="DI420" s="399"/>
      <c r="DJ420" s="399"/>
      <c r="DK420" s="399"/>
      <c r="DL420" s="399"/>
      <c r="DM420" s="399"/>
      <c r="DN420" s="399"/>
      <c r="DO420" s="399"/>
      <c r="DP420" s="399"/>
      <c r="DQ420" s="399"/>
    </row>
    <row r="421" spans="1:121" s="760" customFormat="1" ht="14.45" customHeight="1" x14ac:dyDescent="0.25">
      <c r="A421" s="266">
        <f t="shared" si="6"/>
        <v>35.06666666666667</v>
      </c>
      <c r="B421" s="389">
        <v>41804</v>
      </c>
      <c r="C421" s="390" t="s">
        <v>1099</v>
      </c>
      <c r="D421" s="390" t="s">
        <v>899</v>
      </c>
      <c r="E421" s="390" t="s">
        <v>380</v>
      </c>
      <c r="F421" s="390" t="s">
        <v>237</v>
      </c>
      <c r="G421" s="390" t="s">
        <v>253</v>
      </c>
      <c r="H421" s="261"/>
      <c r="I421" s="261"/>
      <c r="J421" s="261"/>
      <c r="K421" s="261"/>
      <c r="L421" s="261"/>
      <c r="M421" s="261"/>
      <c r="N421" s="261"/>
      <c r="O421" s="261"/>
      <c r="P421" s="261"/>
      <c r="Q421" s="261"/>
      <c r="R421" s="261"/>
      <c r="S421" s="261"/>
      <c r="T421" s="261"/>
      <c r="U421" s="261">
        <v>406</v>
      </c>
      <c r="V421" s="762"/>
      <c r="W421" s="261"/>
      <c r="X421" s="261"/>
      <c r="Y421" s="264">
        <f>IF(NFI_Expiration=1,IF($A421&lt;VLOOKUP(H$5,NFI,5,0),1,0)*Table_NFI[[#This Row],[Hygiene Kit]],Table_NFI[Hygiene Kit])</f>
        <v>0</v>
      </c>
      <c r="Z421" s="264">
        <f>IF(NFI_Expiration=1,IF($A421&lt;VLOOKUP(I$5,NFI,5,0),1,0)*Table_NFI[[#This Row],[NFI Core Kit]],Table_NFI[NFI Core Kit])</f>
        <v>0</v>
      </c>
      <c r="AA421" s="264">
        <f>IF(NFI_Expiration=1,IF($A421&lt;VLOOKUP(J$5,NFI,5,0),1,0)*Table_NFI[[#This Row],[Sanitary Kit]],Table_NFI[Sanitary Kit])</f>
        <v>0</v>
      </c>
      <c r="AB421" s="264">
        <f>IF(NFI_Expiration=1,IF($A421&lt;VLOOKUP(K$5,NFI,5,0),1,0)*Table_NFI[[#This Row],[Mosquito net]],Table_NFI[Mosquito net])</f>
        <v>0</v>
      </c>
      <c r="AC421" s="264">
        <f>IF(NFI_Expiration=1,IF($A421&lt;VLOOKUP(L$5,NFI,5,0),1,0)*Table_NFI[[#This Row],[Tarpaulin]],Table_NFI[[#This Row],[Tarpaulin]])</f>
        <v>0</v>
      </c>
      <c r="AD421" s="264">
        <f>IF(NFI_Expiration=1,IF($A421&lt;VLOOKUP(M$5,NFI,5,0),1,0)*Table_NFI[[#This Row],[Blanket]],Table_NFI[[#This Row],[Blanket]])</f>
        <v>0</v>
      </c>
      <c r="AE421" s="264">
        <f>IF(NFI_Expiration=1,IF($A421&lt;VLOOKUP(N$5,NFI,5,0),1,0)*Table_NFI[[#This Row],[Kitchen Set]],Table_NFI[Kitchen Set])</f>
        <v>0</v>
      </c>
      <c r="AF421" s="264">
        <f>IF(NFI_Expiration=1,IF($A421&lt;VLOOKUP(O$5,NFI,5,0),1,0)*Table_NFI[[#This Row],[Clothes Kit]],Table_NFI[Clothes Kit])</f>
        <v>0</v>
      </c>
      <c r="AG421" s="264">
        <f>IF(NFI_Expiration=1,IF($A421&lt;VLOOKUP(P$5,NFI,5,0),1,0)*Table_NFI[[#This Row],[Plastic Bucket]],Table_NFI[Plastic Bucket])</f>
        <v>0</v>
      </c>
      <c r="AH421" s="264">
        <f>IF(NFI_Expiration=1,IF($A421&lt;VLOOKUP(Q$5,NFI,5,0),1,0)*Table_NFI[[#This Row],[Plastic Mat]],Table_NFI[Plastic Mat])*IF(Table_NFI[[#This Row],[Distribution Date]]&gt;"2014-04-01",1,2.5)</f>
        <v>0</v>
      </c>
      <c r="AI421" s="264">
        <f>IF(NFI_Expiration=1,IF($A421&lt;VLOOKUP(R$5,NFI,5,0),1,0)*Table_NFI[[#This Row],[Winter Clothes Adult]],Table_NFI[Winter Clothes Adult])</f>
        <v>0</v>
      </c>
      <c r="AJ421" s="264">
        <f>IF(NFI_Expiration=1,IF($A421&lt;VLOOKUP(S$5,NFI,5,0),1,0)*Table_NFI[[#This Row],[Winter Clothes Children]],Table_NFI[Winter Clothes Children])</f>
        <v>0</v>
      </c>
      <c r="AK421" s="264">
        <f>IF(NFI_Expiration=1,IF($A421&lt;VLOOKUP(T$5,NFI,5,0),1,0)*Table_NFI[[#This Row],[Winter Items Other]],Table_NFI[Winter Items Other])</f>
        <v>0</v>
      </c>
      <c r="AL421" s="264">
        <f>IF(NFI_Expiration=1,IF($A421&lt;VLOOKUP(M$5,NFI,5,0),1,0)*Table_NFI[[#This Row],[Winter Blanket]],Table_NFI[[#This Row],[Winter Blanket]])</f>
        <v>0</v>
      </c>
      <c r="AM421" s="264">
        <f>IF(Table_NFI[[#This Row],[Winter Clothes Adult]]+Table_NFI[[#This Row],[Winter Clothes Children]]+Table_NFI[[#This Row],[Winter Items Other]]+Table_NFI[[#This Row],[Winter Blanket]]&gt;0,1,0)</f>
        <v>1</v>
      </c>
      <c r="AN421" s="296">
        <f>IF(NFI_Expiration=1,IF($A421&lt;VLOOKUP(V$5,NFI,5,0),1,0)*Table_NFI[[#This Row],[Jerry Can]],Table_NFI[Jerry Can])</f>
        <v>0</v>
      </c>
      <c r="AO421" s="296">
        <f>IF(NFI_Expiration=1,IF($A421&lt;VLOOKUP(V$5,NFI,5,0),1,0)*Table_NFI[[#This Row],[Shelter Tool kit]],Table_NFI[Shelter Tool kit])</f>
        <v>0</v>
      </c>
      <c r="AP421" s="296">
        <f>IF(NFI_Expiration=1,IF($A421&lt;VLOOKUP(V$5,NFI,5,0),1,0)*Table_NFI[[#This Row],[Tent]],Table_NFI[Tent])</f>
        <v>0</v>
      </c>
      <c r="AQ421" s="396" t="str">
        <f>IFERROR(VLOOKUP(Table_NFI[[#This Row],[Camp Name]],CL,2,0),"")</f>
        <v>MMR001CMP018</v>
      </c>
      <c r="AR421" s="702">
        <f ca="1">IF(Table_NFI[[#This Row],[Pcode]]="","",IF(OFFSET(CampList[Opening Date],MATCH(Table_NFI[[#This Row],[Pcode]],CampList[CP_Pcode],0)-1,0,1,1)&gt;=NFI_Monitor_Date,1,0))</f>
        <v>0</v>
      </c>
      <c r="AS421" s="396" t="str">
        <f>IFERROR(VLOOKUP(Table_NFI[[#This Row],[Camp Name]],CL,3,0),"")</f>
        <v>Open</v>
      </c>
      <c r="AT421" s="264" t="str">
        <f ca="1">IF(Table_NFI[[#This Row],[Pcode]]="","",OFFSET(CampList[Priority],MATCH(Table_NFI[[#This Row],[Pcode]],CampList[CP_Pcode],0)-1,0,1,1))</f>
        <v>P4</v>
      </c>
      <c r="AU421" s="263">
        <f>IFERROR(Table_NFI[[#This Row],[Kitchen Set]]/VLOOKUP(Table_NFI[[#This Row],[Camp Name]],CL,4,0),"")</f>
        <v>0</v>
      </c>
      <c r="AV421" s="390"/>
      <c r="AW421" s="392"/>
      <c r="AX421" s="399"/>
      <c r="AY421" s="399"/>
      <c r="AZ421" s="399"/>
      <c r="BA421" s="399"/>
      <c r="BB421" s="399"/>
      <c r="BC421" s="399"/>
      <c r="BD421" s="399"/>
      <c r="BE421" s="399"/>
      <c r="BF421" s="399"/>
      <c r="BG421" s="399"/>
      <c r="BH421" s="399"/>
      <c r="BI421" s="399"/>
      <c r="BJ421" s="399"/>
      <c r="BK421" s="399"/>
      <c r="BL421" s="399"/>
      <c r="BM421" s="399"/>
      <c r="BN421" s="399"/>
      <c r="BO421" s="399"/>
      <c r="BP421" s="399"/>
      <c r="BQ421" s="399"/>
      <c r="BR421" s="399"/>
      <c r="BS421" s="399"/>
      <c r="BT421" s="399"/>
      <c r="BU421" s="399"/>
      <c r="BV421" s="399"/>
      <c r="BW421" s="399"/>
      <c r="BX421" s="399"/>
      <c r="BY421" s="399"/>
      <c r="BZ421" s="399"/>
      <c r="CA421" s="399"/>
      <c r="CB421" s="399"/>
      <c r="CC421" s="399"/>
      <c r="CD421" s="399"/>
      <c r="CE421" s="399"/>
      <c r="CF421" s="399"/>
      <c r="CG421" s="399"/>
      <c r="CH421" s="399"/>
      <c r="CI421" s="399"/>
      <c r="CJ421" s="399"/>
      <c r="CK421" s="399"/>
      <c r="CL421" s="399"/>
      <c r="CM421" s="399"/>
      <c r="CN421" s="399"/>
      <c r="CO421" s="399"/>
      <c r="CP421" s="399"/>
      <c r="CQ421" s="399"/>
      <c r="CR421" s="399"/>
      <c r="CS421" s="399"/>
      <c r="CT421" s="399"/>
      <c r="CU421" s="399"/>
      <c r="CV421" s="399"/>
      <c r="CW421" s="399"/>
      <c r="CX421" s="399"/>
      <c r="CY421" s="399"/>
      <c r="CZ421" s="399"/>
      <c r="DA421" s="399"/>
      <c r="DB421" s="399"/>
      <c r="DC421" s="399"/>
      <c r="DD421" s="399"/>
      <c r="DE421" s="399"/>
      <c r="DF421" s="399"/>
      <c r="DG421" s="399"/>
      <c r="DH421" s="399"/>
      <c r="DI421" s="399"/>
      <c r="DJ421" s="399"/>
      <c r="DK421" s="399"/>
      <c r="DL421" s="399"/>
      <c r="DM421" s="399"/>
      <c r="DN421" s="399"/>
      <c r="DO421" s="399"/>
      <c r="DP421" s="399"/>
      <c r="DQ421" s="399"/>
    </row>
    <row r="422" spans="1:121" s="760" customFormat="1" ht="14.45" customHeight="1" x14ac:dyDescent="0.25">
      <c r="A422" s="266">
        <f t="shared" si="6"/>
        <v>35.06666666666667</v>
      </c>
      <c r="B422" s="389">
        <v>41804</v>
      </c>
      <c r="C422" s="390" t="s">
        <v>1099</v>
      </c>
      <c r="D422" s="390" t="s">
        <v>899</v>
      </c>
      <c r="E422" s="390" t="s">
        <v>380</v>
      </c>
      <c r="F422" s="390" t="s">
        <v>237</v>
      </c>
      <c r="G422" s="390" t="s">
        <v>255</v>
      </c>
      <c r="H422" s="261"/>
      <c r="I422" s="261"/>
      <c r="J422" s="261"/>
      <c r="K422" s="261"/>
      <c r="L422" s="261"/>
      <c r="M422" s="261"/>
      <c r="N422" s="261"/>
      <c r="O422" s="261"/>
      <c r="P422" s="261"/>
      <c r="Q422" s="261"/>
      <c r="R422" s="261"/>
      <c r="S422" s="261"/>
      <c r="T422" s="261"/>
      <c r="U422" s="261">
        <v>216</v>
      </c>
      <c r="V422" s="762"/>
      <c r="W422" s="261"/>
      <c r="X422" s="261"/>
      <c r="Y422" s="264">
        <f>IF(NFI_Expiration=1,IF($A422&lt;VLOOKUP(H$5,NFI,5,0),1,0)*Table_NFI[[#This Row],[Hygiene Kit]],Table_NFI[Hygiene Kit])</f>
        <v>0</v>
      </c>
      <c r="Z422" s="264">
        <f>IF(NFI_Expiration=1,IF($A422&lt;VLOOKUP(I$5,NFI,5,0),1,0)*Table_NFI[[#This Row],[NFI Core Kit]],Table_NFI[NFI Core Kit])</f>
        <v>0</v>
      </c>
      <c r="AA422" s="264">
        <f>IF(NFI_Expiration=1,IF($A422&lt;VLOOKUP(J$5,NFI,5,0),1,0)*Table_NFI[[#This Row],[Sanitary Kit]],Table_NFI[Sanitary Kit])</f>
        <v>0</v>
      </c>
      <c r="AB422" s="264">
        <f>IF(NFI_Expiration=1,IF($A422&lt;VLOOKUP(K$5,NFI,5,0),1,0)*Table_NFI[[#This Row],[Mosquito net]],Table_NFI[Mosquito net])</f>
        <v>0</v>
      </c>
      <c r="AC422" s="264">
        <f>IF(NFI_Expiration=1,IF($A422&lt;VLOOKUP(L$5,NFI,5,0),1,0)*Table_NFI[[#This Row],[Tarpaulin]],Table_NFI[[#This Row],[Tarpaulin]])</f>
        <v>0</v>
      </c>
      <c r="AD422" s="264">
        <f>IF(NFI_Expiration=1,IF($A422&lt;VLOOKUP(M$5,NFI,5,0),1,0)*Table_NFI[[#This Row],[Blanket]],Table_NFI[[#This Row],[Blanket]])</f>
        <v>0</v>
      </c>
      <c r="AE422" s="264">
        <f>IF(NFI_Expiration=1,IF($A422&lt;VLOOKUP(N$5,NFI,5,0),1,0)*Table_NFI[[#This Row],[Kitchen Set]],Table_NFI[Kitchen Set])</f>
        <v>0</v>
      </c>
      <c r="AF422" s="264">
        <f>IF(NFI_Expiration=1,IF($A422&lt;VLOOKUP(O$5,NFI,5,0),1,0)*Table_NFI[[#This Row],[Clothes Kit]],Table_NFI[Clothes Kit])</f>
        <v>0</v>
      </c>
      <c r="AG422" s="264">
        <f>IF(NFI_Expiration=1,IF($A422&lt;VLOOKUP(P$5,NFI,5,0),1,0)*Table_NFI[[#This Row],[Plastic Bucket]],Table_NFI[Plastic Bucket])</f>
        <v>0</v>
      </c>
      <c r="AH422" s="264">
        <f>IF(NFI_Expiration=1,IF($A422&lt;VLOOKUP(Q$5,NFI,5,0),1,0)*Table_NFI[[#This Row],[Plastic Mat]],Table_NFI[Plastic Mat])*IF(Table_NFI[[#This Row],[Distribution Date]]&gt;"2014-04-01",1,2.5)</f>
        <v>0</v>
      </c>
      <c r="AI422" s="264">
        <f>IF(NFI_Expiration=1,IF($A422&lt;VLOOKUP(R$5,NFI,5,0),1,0)*Table_NFI[[#This Row],[Winter Clothes Adult]],Table_NFI[Winter Clothes Adult])</f>
        <v>0</v>
      </c>
      <c r="AJ422" s="264">
        <f>IF(NFI_Expiration=1,IF($A422&lt;VLOOKUP(S$5,NFI,5,0),1,0)*Table_NFI[[#This Row],[Winter Clothes Children]],Table_NFI[Winter Clothes Children])</f>
        <v>0</v>
      </c>
      <c r="AK422" s="264">
        <f>IF(NFI_Expiration=1,IF($A422&lt;VLOOKUP(T$5,NFI,5,0),1,0)*Table_NFI[[#This Row],[Winter Items Other]],Table_NFI[Winter Items Other])</f>
        <v>0</v>
      </c>
      <c r="AL422" s="264">
        <f>IF(NFI_Expiration=1,IF($A422&lt;VLOOKUP(M$5,NFI,5,0),1,0)*Table_NFI[[#This Row],[Winter Blanket]],Table_NFI[[#This Row],[Winter Blanket]])</f>
        <v>0</v>
      </c>
      <c r="AM422" s="264">
        <f>IF(Table_NFI[[#This Row],[Winter Clothes Adult]]+Table_NFI[[#This Row],[Winter Clothes Children]]+Table_NFI[[#This Row],[Winter Items Other]]+Table_NFI[[#This Row],[Winter Blanket]]&gt;0,1,0)</f>
        <v>1</v>
      </c>
      <c r="AN422" s="296">
        <f>IF(NFI_Expiration=1,IF($A422&lt;VLOOKUP(V$5,NFI,5,0),1,0)*Table_NFI[[#This Row],[Jerry Can]],Table_NFI[Jerry Can])</f>
        <v>0</v>
      </c>
      <c r="AO422" s="296">
        <f>IF(NFI_Expiration=1,IF($A422&lt;VLOOKUP(V$5,NFI,5,0),1,0)*Table_NFI[[#This Row],[Shelter Tool kit]],Table_NFI[Shelter Tool kit])</f>
        <v>0</v>
      </c>
      <c r="AP422" s="296">
        <f>IF(NFI_Expiration=1,IF($A422&lt;VLOOKUP(V$5,NFI,5,0),1,0)*Table_NFI[[#This Row],[Tent]],Table_NFI[Tent])</f>
        <v>0</v>
      </c>
      <c r="AQ422" s="396" t="str">
        <f>IFERROR(VLOOKUP(Table_NFI[[#This Row],[Camp Name]],CL,2,0),"")</f>
        <v>MMR001CMP019</v>
      </c>
      <c r="AR422" s="702">
        <f ca="1">IF(Table_NFI[[#This Row],[Pcode]]="","",IF(OFFSET(CampList[Opening Date],MATCH(Table_NFI[[#This Row],[Pcode]],CampList[CP_Pcode],0)-1,0,1,1)&gt;=NFI_Monitor_Date,1,0))</f>
        <v>0</v>
      </c>
      <c r="AS422" s="396" t="str">
        <f>IFERROR(VLOOKUP(Table_NFI[[#This Row],[Camp Name]],CL,3,0),"")</f>
        <v>Open</v>
      </c>
      <c r="AT422" s="264" t="str">
        <f ca="1">IF(Table_NFI[[#This Row],[Pcode]]="","",OFFSET(CampList[Priority],MATCH(Table_NFI[[#This Row],[Pcode]],CampList[CP_Pcode],0)-1,0,1,1))</f>
        <v>P4</v>
      </c>
      <c r="AU422" s="263">
        <f>IFERROR(Table_NFI[[#This Row],[Kitchen Set]]/VLOOKUP(Table_NFI[[#This Row],[Camp Name]],CL,4,0),"")</f>
        <v>0</v>
      </c>
      <c r="AV422" s="390"/>
      <c r="AW422" s="392"/>
      <c r="AX422" s="399"/>
      <c r="AY422" s="399"/>
      <c r="AZ422" s="399"/>
      <c r="BA422" s="399"/>
      <c r="BB422" s="399"/>
      <c r="BC422" s="399"/>
      <c r="BD422" s="399"/>
      <c r="BE422" s="399"/>
      <c r="BF422" s="399"/>
      <c r="BG422" s="399"/>
      <c r="BH422" s="399"/>
      <c r="BI422" s="399"/>
      <c r="BJ422" s="399"/>
      <c r="BK422" s="399"/>
      <c r="BL422" s="399"/>
      <c r="BM422" s="399"/>
      <c r="BN422" s="399"/>
      <c r="BO422" s="399"/>
      <c r="BP422" s="399"/>
      <c r="BQ422" s="399"/>
      <c r="BR422" s="399"/>
      <c r="BS422" s="399"/>
      <c r="BT422" s="399"/>
      <c r="BU422" s="399"/>
      <c r="BV422" s="399"/>
      <c r="BW422" s="399"/>
      <c r="BX422" s="399"/>
      <c r="BY422" s="399"/>
      <c r="BZ422" s="399"/>
      <c r="CA422" s="399"/>
      <c r="CB422" s="399"/>
      <c r="CC422" s="399"/>
      <c r="CD422" s="399"/>
      <c r="CE422" s="399"/>
      <c r="CF422" s="399"/>
      <c r="CG422" s="399"/>
      <c r="CH422" s="399"/>
      <c r="CI422" s="399"/>
      <c r="CJ422" s="399"/>
      <c r="CK422" s="399"/>
      <c r="CL422" s="399"/>
      <c r="CM422" s="399"/>
      <c r="CN422" s="399"/>
      <c r="CO422" s="399"/>
      <c r="CP422" s="399"/>
      <c r="CQ422" s="399"/>
      <c r="CR422" s="399"/>
      <c r="CS422" s="399"/>
      <c r="CT422" s="399"/>
      <c r="CU422" s="399"/>
      <c r="CV422" s="399"/>
      <c r="CW422" s="399"/>
      <c r="CX422" s="399"/>
      <c r="CY422" s="399"/>
      <c r="CZ422" s="399"/>
      <c r="DA422" s="399"/>
      <c r="DB422" s="399"/>
      <c r="DC422" s="399"/>
      <c r="DD422" s="399"/>
      <c r="DE422" s="399"/>
      <c r="DF422" s="399"/>
      <c r="DG422" s="399"/>
      <c r="DH422" s="399"/>
      <c r="DI422" s="399"/>
      <c r="DJ422" s="399"/>
      <c r="DK422" s="399"/>
      <c r="DL422" s="399"/>
      <c r="DM422" s="399"/>
      <c r="DN422" s="399"/>
      <c r="DO422" s="399"/>
      <c r="DP422" s="399"/>
      <c r="DQ422" s="399"/>
    </row>
    <row r="423" spans="1:121" s="760" customFormat="1" ht="14.45" customHeight="1" x14ac:dyDescent="0.25">
      <c r="A423" s="266">
        <f t="shared" si="6"/>
        <v>35.1</v>
      </c>
      <c r="B423" s="389">
        <v>41803</v>
      </c>
      <c r="C423" s="390" t="s">
        <v>451</v>
      </c>
      <c r="D423" s="390"/>
      <c r="E423" s="390" t="s">
        <v>380</v>
      </c>
      <c r="F423" s="390" t="s">
        <v>151</v>
      </c>
      <c r="G423" s="390" t="s">
        <v>884</v>
      </c>
      <c r="H423" s="261"/>
      <c r="I423" s="261"/>
      <c r="J423" s="261"/>
      <c r="K423" s="261">
        <v>54</v>
      </c>
      <c r="L423" s="261">
        <v>18</v>
      </c>
      <c r="M423" s="261">
        <v>45</v>
      </c>
      <c r="N423" s="261">
        <v>18</v>
      </c>
      <c r="O423" s="261"/>
      <c r="P423" s="261">
        <v>18</v>
      </c>
      <c r="Q423" s="261">
        <v>50</v>
      </c>
      <c r="R423" s="261"/>
      <c r="S423" s="261"/>
      <c r="T423" s="261"/>
      <c r="U423" s="261"/>
      <c r="V423" s="762"/>
      <c r="W423" s="261"/>
      <c r="X423" s="261"/>
      <c r="Y423" s="264">
        <f>IF(NFI_Expiration=1,IF($A423&lt;VLOOKUP(H$5,NFI,5,0),1,0)*Table_NFI[[#This Row],[Hygiene Kit]],Table_NFI[Hygiene Kit])</f>
        <v>0</v>
      </c>
      <c r="Z423" s="264">
        <f>IF(NFI_Expiration=1,IF($A423&lt;VLOOKUP(I$5,NFI,5,0),1,0)*Table_NFI[[#This Row],[NFI Core Kit]],Table_NFI[NFI Core Kit])</f>
        <v>0</v>
      </c>
      <c r="AA423" s="264">
        <f>IF(NFI_Expiration=1,IF($A423&lt;VLOOKUP(J$5,NFI,5,0),1,0)*Table_NFI[[#This Row],[Sanitary Kit]],Table_NFI[Sanitary Kit])</f>
        <v>0</v>
      </c>
      <c r="AB423" s="264">
        <f>IF(NFI_Expiration=1,IF($A423&lt;VLOOKUP(K$5,NFI,5,0),1,0)*Table_NFI[[#This Row],[Mosquito net]],Table_NFI[Mosquito net])</f>
        <v>0</v>
      </c>
      <c r="AC423" s="264">
        <f>IF(NFI_Expiration=1,IF($A423&lt;VLOOKUP(L$5,NFI,5,0),1,0)*Table_NFI[[#This Row],[Tarpaulin]],Table_NFI[[#This Row],[Tarpaulin]])</f>
        <v>0</v>
      </c>
      <c r="AD423" s="264">
        <f>IF(NFI_Expiration=1,IF($A423&lt;VLOOKUP(M$5,NFI,5,0),1,0)*Table_NFI[[#This Row],[Blanket]],Table_NFI[[#This Row],[Blanket]])</f>
        <v>0</v>
      </c>
      <c r="AE423" s="264">
        <f>IF(NFI_Expiration=1,IF($A423&lt;VLOOKUP(N$5,NFI,5,0),1,0)*Table_NFI[[#This Row],[Kitchen Set]],Table_NFI[Kitchen Set])</f>
        <v>0</v>
      </c>
      <c r="AF423" s="264">
        <f>IF(NFI_Expiration=1,IF($A423&lt;VLOOKUP(O$5,NFI,5,0),1,0)*Table_NFI[[#This Row],[Clothes Kit]],Table_NFI[Clothes Kit])</f>
        <v>0</v>
      </c>
      <c r="AG423" s="264">
        <f>IF(NFI_Expiration=1,IF($A423&lt;VLOOKUP(P$5,NFI,5,0),1,0)*Table_NFI[[#This Row],[Plastic Bucket]],Table_NFI[Plastic Bucket])</f>
        <v>0</v>
      </c>
      <c r="AH423" s="264">
        <f>IF(NFI_Expiration=1,IF($A423&lt;VLOOKUP(Q$5,NFI,5,0),1,0)*Table_NFI[[#This Row],[Plastic Mat]],Table_NFI[Plastic Mat])*IF(Table_NFI[[#This Row],[Distribution Date]]&gt;"2014-04-01",1,2.5)</f>
        <v>0</v>
      </c>
      <c r="AI423" s="264">
        <f>IF(NFI_Expiration=1,IF($A423&lt;VLOOKUP(R$5,NFI,5,0),1,0)*Table_NFI[[#This Row],[Winter Clothes Adult]],Table_NFI[Winter Clothes Adult])</f>
        <v>0</v>
      </c>
      <c r="AJ423" s="264">
        <f>IF(NFI_Expiration=1,IF($A423&lt;VLOOKUP(S$5,NFI,5,0),1,0)*Table_NFI[[#This Row],[Winter Clothes Children]],Table_NFI[Winter Clothes Children])</f>
        <v>0</v>
      </c>
      <c r="AK423" s="264">
        <f>IF(NFI_Expiration=1,IF($A423&lt;VLOOKUP(T$5,NFI,5,0),1,0)*Table_NFI[[#This Row],[Winter Items Other]],Table_NFI[Winter Items Other])</f>
        <v>0</v>
      </c>
      <c r="AL423" s="264">
        <f>IF(NFI_Expiration=1,IF($A423&lt;VLOOKUP(M$5,NFI,5,0),1,0)*Table_NFI[[#This Row],[Winter Blanket]],Table_NFI[[#This Row],[Winter Blanket]])</f>
        <v>0</v>
      </c>
      <c r="AM423" s="264">
        <f>IF(Table_NFI[[#This Row],[Winter Clothes Adult]]+Table_NFI[[#This Row],[Winter Clothes Children]]+Table_NFI[[#This Row],[Winter Items Other]]+Table_NFI[[#This Row],[Winter Blanket]]&gt;0,1,0)</f>
        <v>0</v>
      </c>
      <c r="AN423" s="296">
        <f>IF(NFI_Expiration=1,IF($A423&lt;VLOOKUP(V$5,NFI,5,0),1,0)*Table_NFI[[#This Row],[Jerry Can]],Table_NFI[Jerry Can])</f>
        <v>0</v>
      </c>
      <c r="AO423" s="296">
        <f>IF(NFI_Expiration=1,IF($A423&lt;VLOOKUP(V$5,NFI,5,0),1,0)*Table_NFI[[#This Row],[Shelter Tool kit]],Table_NFI[Shelter Tool kit])</f>
        <v>0</v>
      </c>
      <c r="AP423" s="296">
        <f>IF(NFI_Expiration=1,IF($A423&lt;VLOOKUP(V$5,NFI,5,0),1,0)*Table_NFI[[#This Row],[Tent]],Table_NFI[Tent])</f>
        <v>0</v>
      </c>
      <c r="AQ423" s="396" t="str">
        <f>IFERROR(VLOOKUP(Table_NFI[[#This Row],[Camp Name]],CL,2,0),"")</f>
        <v>MMR001CMP218</v>
      </c>
      <c r="AR423" s="702">
        <f ca="1">IF(Table_NFI[[#This Row],[Pcode]]="","",IF(OFFSET(CampList[Opening Date],MATCH(Table_NFI[[#This Row],[Pcode]],CampList[CP_Pcode],0)-1,0,1,1)&gt;=NFI_Monitor_Date,1,0))</f>
        <v>0</v>
      </c>
      <c r="AS423" s="396" t="str">
        <f>IFERROR(VLOOKUP(Table_NFI[[#This Row],[Camp Name]],CL,3,0),"")</f>
        <v>Open</v>
      </c>
      <c r="AT423" s="264" t="str">
        <f ca="1">IF(Table_NFI[[#This Row],[Pcode]]="","",OFFSET(CampList[Priority],MATCH(Table_NFI[[#This Row],[Pcode]],CampList[CP_Pcode],0)-1,0,1,1))</f>
        <v>P4</v>
      </c>
      <c r="AU423" s="263">
        <f>IFERROR(Table_NFI[[#This Row],[Kitchen Set]]/VLOOKUP(Table_NFI[[#This Row],[Camp Name]],CL,4,0),"")</f>
        <v>4.332338500048137E-4</v>
      </c>
      <c r="AV423" s="390"/>
      <c r="AW423" s="392"/>
      <c r="AX423" s="399"/>
      <c r="AY423" s="399"/>
      <c r="AZ423" s="399"/>
      <c r="BA423" s="399"/>
      <c r="BB423" s="399"/>
      <c r="BC423" s="399"/>
      <c r="BD423" s="399"/>
      <c r="BE423" s="399"/>
      <c r="BF423" s="399"/>
      <c r="BG423" s="399"/>
      <c r="BH423" s="399"/>
      <c r="BI423" s="399"/>
      <c r="BJ423" s="399"/>
      <c r="BK423" s="399"/>
      <c r="BL423" s="399"/>
      <c r="BM423" s="399"/>
      <c r="BN423" s="399"/>
      <c r="BO423" s="399"/>
      <c r="BP423" s="399"/>
      <c r="BQ423" s="399"/>
      <c r="BR423" s="399"/>
      <c r="BS423" s="399"/>
      <c r="BT423" s="399"/>
      <c r="BU423" s="399"/>
      <c r="BV423" s="399"/>
      <c r="BW423" s="399"/>
      <c r="BX423" s="399"/>
      <c r="BY423" s="399"/>
      <c r="BZ423" s="399"/>
      <c r="CA423" s="399"/>
      <c r="CB423" s="399"/>
      <c r="CC423" s="399"/>
      <c r="CD423" s="399"/>
      <c r="CE423" s="399"/>
      <c r="CF423" s="399"/>
      <c r="CG423" s="399"/>
      <c r="CH423" s="399"/>
      <c r="CI423" s="399"/>
      <c r="CJ423" s="399"/>
      <c r="CK423" s="399"/>
      <c r="CL423" s="399"/>
      <c r="CM423" s="399"/>
      <c r="CN423" s="399"/>
      <c r="CO423" s="399"/>
      <c r="CP423" s="399"/>
      <c r="CQ423" s="399"/>
      <c r="CR423" s="399"/>
      <c r="CS423" s="399"/>
      <c r="CT423" s="399"/>
      <c r="CU423" s="399"/>
      <c r="CV423" s="399"/>
      <c r="CW423" s="399"/>
      <c r="CX423" s="399"/>
      <c r="CY423" s="399"/>
      <c r="CZ423" s="399"/>
      <c r="DA423" s="399"/>
      <c r="DB423" s="399"/>
      <c r="DC423" s="399"/>
      <c r="DD423" s="399"/>
      <c r="DE423" s="399"/>
      <c r="DF423" s="399"/>
      <c r="DG423" s="399"/>
      <c r="DH423" s="399"/>
      <c r="DI423" s="399"/>
      <c r="DJ423" s="399"/>
      <c r="DK423" s="399"/>
      <c r="DL423" s="399"/>
      <c r="DM423" s="399"/>
      <c r="DN423" s="399"/>
      <c r="DO423" s="399"/>
      <c r="DP423" s="399"/>
      <c r="DQ423" s="399"/>
    </row>
    <row r="424" spans="1:121" s="393" customFormat="1" ht="14.45" customHeight="1" x14ac:dyDescent="0.25">
      <c r="A424" s="266">
        <f t="shared" si="6"/>
        <v>35.299999999999997</v>
      </c>
      <c r="B424" s="389">
        <v>41797</v>
      </c>
      <c r="C424" s="390" t="s">
        <v>1099</v>
      </c>
      <c r="D424" s="390" t="s">
        <v>899</v>
      </c>
      <c r="E424" s="390" t="s">
        <v>380</v>
      </c>
      <c r="F424" s="390" t="s">
        <v>180</v>
      </c>
      <c r="G424" s="390" t="s">
        <v>287</v>
      </c>
      <c r="H424" s="261"/>
      <c r="I424" s="261"/>
      <c r="J424" s="261"/>
      <c r="K424" s="261"/>
      <c r="L424" s="261"/>
      <c r="M424" s="261"/>
      <c r="N424" s="261"/>
      <c r="O424" s="261"/>
      <c r="P424" s="261"/>
      <c r="Q424" s="261"/>
      <c r="R424" s="261"/>
      <c r="S424" s="261"/>
      <c r="T424" s="261"/>
      <c r="U424" s="261">
        <v>40</v>
      </c>
      <c r="V424" s="762"/>
      <c r="W424" s="261"/>
      <c r="X424" s="261"/>
      <c r="Y424" s="264">
        <f>IF(NFI_Expiration=1,IF($A424&lt;VLOOKUP(H$5,NFI,5,0),1,0)*Table_NFI[[#This Row],[Hygiene Kit]],Table_NFI[Hygiene Kit])</f>
        <v>0</v>
      </c>
      <c r="Z424" s="264">
        <f>IF(NFI_Expiration=1,IF($A424&lt;VLOOKUP(I$5,NFI,5,0),1,0)*Table_NFI[[#This Row],[NFI Core Kit]],Table_NFI[NFI Core Kit])</f>
        <v>0</v>
      </c>
      <c r="AA424" s="264">
        <f>IF(NFI_Expiration=1,IF($A424&lt;VLOOKUP(J$5,NFI,5,0),1,0)*Table_NFI[[#This Row],[Sanitary Kit]],Table_NFI[Sanitary Kit])</f>
        <v>0</v>
      </c>
      <c r="AB424" s="264">
        <f>IF(NFI_Expiration=1,IF($A424&lt;VLOOKUP(K$5,NFI,5,0),1,0)*Table_NFI[[#This Row],[Mosquito net]],Table_NFI[Mosquito net])</f>
        <v>0</v>
      </c>
      <c r="AC424" s="264">
        <f>IF(NFI_Expiration=1,IF($A424&lt;VLOOKUP(L$5,NFI,5,0),1,0)*Table_NFI[[#This Row],[Tarpaulin]],Table_NFI[[#This Row],[Tarpaulin]])</f>
        <v>0</v>
      </c>
      <c r="AD424" s="264">
        <f>IF(NFI_Expiration=1,IF($A424&lt;VLOOKUP(M$5,NFI,5,0),1,0)*Table_NFI[[#This Row],[Blanket]],Table_NFI[[#This Row],[Blanket]])</f>
        <v>0</v>
      </c>
      <c r="AE424" s="264">
        <f>IF(NFI_Expiration=1,IF($A424&lt;VLOOKUP(N$5,NFI,5,0),1,0)*Table_NFI[[#This Row],[Kitchen Set]],Table_NFI[Kitchen Set])</f>
        <v>0</v>
      </c>
      <c r="AF424" s="264">
        <f>IF(NFI_Expiration=1,IF($A424&lt;VLOOKUP(O$5,NFI,5,0),1,0)*Table_NFI[[#This Row],[Clothes Kit]],Table_NFI[Clothes Kit])</f>
        <v>0</v>
      </c>
      <c r="AG424" s="264">
        <f>IF(NFI_Expiration=1,IF($A424&lt;VLOOKUP(P$5,NFI,5,0),1,0)*Table_NFI[[#This Row],[Plastic Bucket]],Table_NFI[Plastic Bucket])</f>
        <v>0</v>
      </c>
      <c r="AH424" s="264">
        <f>IF(NFI_Expiration=1,IF($A424&lt;VLOOKUP(Q$5,NFI,5,0),1,0)*Table_NFI[[#This Row],[Plastic Mat]],Table_NFI[Plastic Mat])*IF(Table_NFI[[#This Row],[Distribution Date]]&gt;"2014-04-01",1,2.5)</f>
        <v>0</v>
      </c>
      <c r="AI424" s="264">
        <f>IF(NFI_Expiration=1,IF($A424&lt;VLOOKUP(R$5,NFI,5,0),1,0)*Table_NFI[[#This Row],[Winter Clothes Adult]],Table_NFI[Winter Clothes Adult])</f>
        <v>0</v>
      </c>
      <c r="AJ424" s="264">
        <f>IF(NFI_Expiration=1,IF($A424&lt;VLOOKUP(S$5,NFI,5,0),1,0)*Table_NFI[[#This Row],[Winter Clothes Children]],Table_NFI[Winter Clothes Children])</f>
        <v>0</v>
      </c>
      <c r="AK424" s="264">
        <f>IF(NFI_Expiration=1,IF($A424&lt;VLOOKUP(T$5,NFI,5,0),1,0)*Table_NFI[[#This Row],[Winter Items Other]],Table_NFI[Winter Items Other])</f>
        <v>0</v>
      </c>
      <c r="AL424" s="264">
        <f>IF(NFI_Expiration=1,IF($A424&lt;VLOOKUP(M$5,NFI,5,0),1,0)*Table_NFI[[#This Row],[Winter Blanket]],Table_NFI[[#This Row],[Winter Blanket]])</f>
        <v>0</v>
      </c>
      <c r="AM424" s="264">
        <f>IF(Table_NFI[[#This Row],[Winter Clothes Adult]]+Table_NFI[[#This Row],[Winter Clothes Children]]+Table_NFI[[#This Row],[Winter Items Other]]+Table_NFI[[#This Row],[Winter Blanket]]&gt;0,1,0)</f>
        <v>1</v>
      </c>
      <c r="AN424" s="296">
        <f>IF(NFI_Expiration=1,IF($A424&lt;VLOOKUP(V$5,NFI,5,0),1,0)*Table_NFI[[#This Row],[Jerry Can]],Table_NFI[Jerry Can])</f>
        <v>0</v>
      </c>
      <c r="AO424" s="296">
        <f>IF(NFI_Expiration=1,IF($A424&lt;VLOOKUP(V$5,NFI,5,0),1,0)*Table_NFI[[#This Row],[Shelter Tool kit]],Table_NFI[Shelter Tool kit])</f>
        <v>0</v>
      </c>
      <c r="AP424" s="296">
        <f>IF(NFI_Expiration=1,IF($A424&lt;VLOOKUP(V$5,NFI,5,0),1,0)*Table_NFI[[#This Row],[Tent]],Table_NFI[Tent])</f>
        <v>0</v>
      </c>
      <c r="AQ424" s="396" t="str">
        <f>IFERROR(VLOOKUP(Table_NFI[[#This Row],[Camp Name]],CL,2,0),"")</f>
        <v>MMR001CMP152</v>
      </c>
      <c r="AR424" s="702">
        <f ca="1">IF(Table_NFI[[#This Row],[Pcode]]="","",IF(OFFSET(CampList[Opening Date],MATCH(Table_NFI[[#This Row],[Pcode]],CampList[CP_Pcode],0)-1,0,1,1)&gt;=NFI_Monitor_Date,1,0))</f>
        <v>0</v>
      </c>
      <c r="AS424" s="396" t="str">
        <f>IFERROR(VLOOKUP(Table_NFI[[#This Row],[Camp Name]],CL,3,0),"")</f>
        <v>Open</v>
      </c>
      <c r="AT424" s="264" t="str">
        <f ca="1">IF(Table_NFI[[#This Row],[Pcode]]="","",OFFSET(CampList[Priority],MATCH(Table_NFI[[#This Row],[Pcode]],CampList[CP_Pcode],0)-1,0,1,1))</f>
        <v>P4</v>
      </c>
      <c r="AU424" s="263">
        <f>IFERROR(Table_NFI[[#This Row],[Kitchen Set]]/VLOOKUP(Table_NFI[[#This Row],[Camp Name]],CL,4,0),"")</f>
        <v>0</v>
      </c>
      <c r="AV424" s="390"/>
      <c r="AW424" s="392"/>
      <c r="AX424" s="399"/>
      <c r="AY424" s="399"/>
      <c r="AZ424" s="399"/>
      <c r="BA424" s="399"/>
      <c r="BB424" s="399"/>
      <c r="BC424" s="399"/>
      <c r="BD424" s="399"/>
      <c r="BE424" s="399"/>
      <c r="BF424" s="399"/>
      <c r="BG424" s="399"/>
      <c r="BH424" s="399"/>
      <c r="BI424" s="399"/>
      <c r="BJ424" s="399"/>
      <c r="BK424" s="399"/>
      <c r="BL424" s="399"/>
      <c r="BM424" s="399"/>
      <c r="BN424" s="399"/>
      <c r="BO424" s="399"/>
      <c r="BP424" s="399"/>
      <c r="BQ424" s="399"/>
      <c r="BR424" s="399"/>
      <c r="BS424" s="399"/>
      <c r="BT424" s="399"/>
      <c r="BU424" s="399"/>
      <c r="BV424" s="399"/>
      <c r="BW424" s="399"/>
      <c r="BX424" s="399"/>
      <c r="BY424" s="399"/>
      <c r="BZ424" s="399"/>
      <c r="CA424" s="399"/>
      <c r="CB424" s="399"/>
      <c r="CC424" s="399"/>
      <c r="CD424" s="399"/>
      <c r="CE424" s="399"/>
      <c r="CF424" s="399"/>
      <c r="CG424" s="399"/>
      <c r="CH424" s="399"/>
      <c r="CI424" s="399"/>
      <c r="CJ424" s="399"/>
      <c r="CK424" s="399"/>
      <c r="CL424" s="399"/>
      <c r="CM424" s="399"/>
      <c r="CN424" s="399"/>
      <c r="CO424" s="399"/>
      <c r="CP424" s="399"/>
      <c r="CQ424" s="399"/>
      <c r="CR424" s="399"/>
      <c r="CS424" s="399"/>
      <c r="CT424" s="399"/>
      <c r="CU424" s="399"/>
      <c r="CV424" s="399"/>
      <c r="CW424" s="399"/>
      <c r="CX424" s="399"/>
      <c r="CY424" s="399"/>
      <c r="CZ424" s="399"/>
      <c r="DA424" s="399"/>
      <c r="DB424" s="399"/>
      <c r="DC424" s="399"/>
      <c r="DD424" s="399"/>
      <c r="DE424" s="399"/>
      <c r="DF424" s="399"/>
      <c r="DG424" s="399"/>
      <c r="DH424" s="399"/>
      <c r="DI424" s="399"/>
      <c r="DJ424" s="399"/>
      <c r="DK424" s="399"/>
      <c r="DL424" s="399"/>
      <c r="DM424" s="399"/>
      <c r="DN424" s="399"/>
      <c r="DO424" s="399"/>
      <c r="DP424" s="399"/>
      <c r="DQ424" s="399"/>
    </row>
    <row r="425" spans="1:121" s="393" customFormat="1" ht="14.45" customHeight="1" x14ac:dyDescent="0.25">
      <c r="A425" s="266">
        <f t="shared" si="6"/>
        <v>35.333333333333336</v>
      </c>
      <c r="B425" s="389">
        <v>41796</v>
      </c>
      <c r="C425" s="390" t="s">
        <v>1099</v>
      </c>
      <c r="D425" s="390" t="s">
        <v>899</v>
      </c>
      <c r="E425" s="390" t="s">
        <v>380</v>
      </c>
      <c r="F425" s="390" t="s">
        <v>180</v>
      </c>
      <c r="G425" s="390" t="s">
        <v>181</v>
      </c>
      <c r="H425" s="261"/>
      <c r="I425" s="261"/>
      <c r="J425" s="261"/>
      <c r="K425" s="261"/>
      <c r="L425" s="261"/>
      <c r="M425" s="261"/>
      <c r="N425" s="261"/>
      <c r="O425" s="261"/>
      <c r="P425" s="261"/>
      <c r="Q425" s="261"/>
      <c r="R425" s="261"/>
      <c r="S425" s="261"/>
      <c r="T425" s="261"/>
      <c r="U425" s="261">
        <v>24</v>
      </c>
      <c r="V425" s="762"/>
      <c r="W425" s="261"/>
      <c r="X425" s="261"/>
      <c r="Y425" s="264">
        <f>IF(NFI_Expiration=1,IF($A425&lt;VLOOKUP(H$5,NFI,5,0),1,0)*Table_NFI[[#This Row],[Hygiene Kit]],Table_NFI[Hygiene Kit])</f>
        <v>0</v>
      </c>
      <c r="Z425" s="264">
        <f>IF(NFI_Expiration=1,IF($A425&lt;VLOOKUP(I$5,NFI,5,0),1,0)*Table_NFI[[#This Row],[NFI Core Kit]],Table_NFI[NFI Core Kit])</f>
        <v>0</v>
      </c>
      <c r="AA425" s="264">
        <f>IF(NFI_Expiration=1,IF($A425&lt;VLOOKUP(J$5,NFI,5,0),1,0)*Table_NFI[[#This Row],[Sanitary Kit]],Table_NFI[Sanitary Kit])</f>
        <v>0</v>
      </c>
      <c r="AB425" s="264">
        <f>IF(NFI_Expiration=1,IF($A425&lt;VLOOKUP(K$5,NFI,5,0),1,0)*Table_NFI[[#This Row],[Mosquito net]],Table_NFI[Mosquito net])</f>
        <v>0</v>
      </c>
      <c r="AC425" s="264">
        <f>IF(NFI_Expiration=1,IF($A425&lt;VLOOKUP(L$5,NFI,5,0),1,0)*Table_NFI[[#This Row],[Tarpaulin]],Table_NFI[[#This Row],[Tarpaulin]])</f>
        <v>0</v>
      </c>
      <c r="AD425" s="264">
        <f>IF(NFI_Expiration=1,IF($A425&lt;VLOOKUP(M$5,NFI,5,0),1,0)*Table_NFI[[#This Row],[Blanket]],Table_NFI[[#This Row],[Blanket]])</f>
        <v>0</v>
      </c>
      <c r="AE425" s="264">
        <f>IF(NFI_Expiration=1,IF($A425&lt;VLOOKUP(N$5,NFI,5,0),1,0)*Table_NFI[[#This Row],[Kitchen Set]],Table_NFI[Kitchen Set])</f>
        <v>0</v>
      </c>
      <c r="AF425" s="264">
        <f>IF(NFI_Expiration=1,IF($A425&lt;VLOOKUP(O$5,NFI,5,0),1,0)*Table_NFI[[#This Row],[Clothes Kit]],Table_NFI[Clothes Kit])</f>
        <v>0</v>
      </c>
      <c r="AG425" s="264">
        <f>IF(NFI_Expiration=1,IF($A425&lt;VLOOKUP(P$5,NFI,5,0),1,0)*Table_NFI[[#This Row],[Plastic Bucket]],Table_NFI[Plastic Bucket])</f>
        <v>0</v>
      </c>
      <c r="AH425" s="264">
        <f>IF(NFI_Expiration=1,IF($A425&lt;VLOOKUP(Q$5,NFI,5,0),1,0)*Table_NFI[[#This Row],[Plastic Mat]],Table_NFI[Plastic Mat])*IF(Table_NFI[[#This Row],[Distribution Date]]&gt;"2014-04-01",1,2.5)</f>
        <v>0</v>
      </c>
      <c r="AI425" s="264">
        <f>IF(NFI_Expiration=1,IF($A425&lt;VLOOKUP(R$5,NFI,5,0),1,0)*Table_NFI[[#This Row],[Winter Clothes Adult]],Table_NFI[Winter Clothes Adult])</f>
        <v>0</v>
      </c>
      <c r="AJ425" s="264">
        <f>IF(NFI_Expiration=1,IF($A425&lt;VLOOKUP(S$5,NFI,5,0),1,0)*Table_NFI[[#This Row],[Winter Clothes Children]],Table_NFI[Winter Clothes Children])</f>
        <v>0</v>
      </c>
      <c r="AK425" s="264">
        <f>IF(NFI_Expiration=1,IF($A425&lt;VLOOKUP(T$5,NFI,5,0),1,0)*Table_NFI[[#This Row],[Winter Items Other]],Table_NFI[Winter Items Other])</f>
        <v>0</v>
      </c>
      <c r="AL425" s="264">
        <f>IF(NFI_Expiration=1,IF($A425&lt;VLOOKUP(M$5,NFI,5,0),1,0)*Table_NFI[[#This Row],[Winter Blanket]],Table_NFI[[#This Row],[Winter Blanket]])</f>
        <v>0</v>
      </c>
      <c r="AM425" s="264">
        <f>IF(Table_NFI[[#This Row],[Winter Clothes Adult]]+Table_NFI[[#This Row],[Winter Clothes Children]]+Table_NFI[[#This Row],[Winter Items Other]]+Table_NFI[[#This Row],[Winter Blanket]]&gt;0,1,0)</f>
        <v>1</v>
      </c>
      <c r="AN425" s="296">
        <f>IF(NFI_Expiration=1,IF($A425&lt;VLOOKUP(V$5,NFI,5,0),1,0)*Table_NFI[[#This Row],[Jerry Can]],Table_NFI[Jerry Can])</f>
        <v>0</v>
      </c>
      <c r="AO425" s="296">
        <f>IF(NFI_Expiration=1,IF($A425&lt;VLOOKUP(V$5,NFI,5,0),1,0)*Table_NFI[[#This Row],[Shelter Tool kit]],Table_NFI[Shelter Tool kit])</f>
        <v>0</v>
      </c>
      <c r="AP425" s="296">
        <f>IF(NFI_Expiration=1,IF($A425&lt;VLOOKUP(V$5,NFI,5,0),1,0)*Table_NFI[[#This Row],[Tent]],Table_NFI[Tent])</f>
        <v>0</v>
      </c>
      <c r="AQ425" s="396" t="str">
        <f>IFERROR(VLOOKUP(Table_NFI[[#This Row],[Camp Name]],CL,2,0),"")</f>
        <v>MMR001CMP080</v>
      </c>
      <c r="AR425" s="702">
        <f ca="1">IF(Table_NFI[[#This Row],[Pcode]]="","",IF(OFFSET(CampList[Opening Date],MATCH(Table_NFI[[#This Row],[Pcode]],CampList[CP_Pcode],0)-1,0,1,1)&gt;=NFI_Monitor_Date,1,0))</f>
        <v>0</v>
      </c>
      <c r="AS425" s="396" t="str">
        <f>IFERROR(VLOOKUP(Table_NFI[[#This Row],[Camp Name]],CL,3,0),"")</f>
        <v>Open</v>
      </c>
      <c r="AT425" s="264" t="str">
        <f ca="1">IF(Table_NFI[[#This Row],[Pcode]]="","",OFFSET(CampList[Priority],MATCH(Table_NFI[[#This Row],[Pcode]],CampList[CP_Pcode],0)-1,0,1,1))</f>
        <v>P4</v>
      </c>
      <c r="AU425" s="263">
        <f>IFERROR(Table_NFI[[#This Row],[Kitchen Set]]/VLOOKUP(Table_NFI[[#This Row],[Camp Name]],CL,4,0),"")</f>
        <v>0</v>
      </c>
      <c r="AV425" s="390"/>
      <c r="AW425" s="392"/>
      <c r="AX425" s="399"/>
      <c r="AY425" s="399"/>
      <c r="AZ425" s="399"/>
      <c r="BA425" s="399"/>
      <c r="BB425" s="399"/>
      <c r="BC425" s="399"/>
      <c r="BD425" s="399"/>
      <c r="BE425" s="399"/>
      <c r="BF425" s="399"/>
      <c r="BG425" s="399"/>
      <c r="BH425" s="399"/>
      <c r="BI425" s="399"/>
      <c r="BJ425" s="399"/>
      <c r="BK425" s="399"/>
      <c r="BL425" s="399"/>
      <c r="BM425" s="399"/>
      <c r="BN425" s="399"/>
      <c r="BO425" s="399"/>
      <c r="BP425" s="399"/>
      <c r="BQ425" s="399"/>
      <c r="BR425" s="399"/>
      <c r="BS425" s="399"/>
      <c r="BT425" s="399"/>
      <c r="BU425" s="399"/>
      <c r="BV425" s="399"/>
      <c r="BW425" s="399"/>
      <c r="BX425" s="399"/>
      <c r="BY425" s="399"/>
      <c r="BZ425" s="399"/>
      <c r="CA425" s="399"/>
      <c r="CB425" s="399"/>
      <c r="CC425" s="399"/>
      <c r="CD425" s="399"/>
      <c r="CE425" s="399"/>
      <c r="CF425" s="399"/>
      <c r="CG425" s="399"/>
      <c r="CH425" s="399"/>
      <c r="CI425" s="399"/>
      <c r="CJ425" s="399"/>
      <c r="CK425" s="399"/>
      <c r="CL425" s="399"/>
      <c r="CM425" s="399"/>
      <c r="CN425" s="399"/>
      <c r="CO425" s="399"/>
      <c r="CP425" s="399"/>
      <c r="CQ425" s="399"/>
      <c r="CR425" s="399"/>
      <c r="CS425" s="399"/>
      <c r="CT425" s="399"/>
      <c r="CU425" s="399"/>
      <c r="CV425" s="399"/>
      <c r="CW425" s="399"/>
      <c r="CX425" s="399"/>
      <c r="CY425" s="399"/>
      <c r="CZ425" s="399"/>
      <c r="DA425" s="399"/>
      <c r="DB425" s="399"/>
      <c r="DC425" s="399"/>
      <c r="DD425" s="399"/>
      <c r="DE425" s="399"/>
      <c r="DF425" s="399"/>
      <c r="DG425" s="399"/>
      <c r="DH425" s="399"/>
      <c r="DI425" s="399"/>
      <c r="DJ425" s="399"/>
      <c r="DK425" s="399"/>
      <c r="DL425" s="399"/>
      <c r="DM425" s="399"/>
      <c r="DN425" s="399"/>
      <c r="DO425" s="399"/>
      <c r="DP425" s="399"/>
      <c r="DQ425" s="399"/>
    </row>
    <row r="426" spans="1:121" s="760" customFormat="1" ht="14.45" customHeight="1" x14ac:dyDescent="0.25">
      <c r="A426" s="266">
        <f t="shared" si="6"/>
        <v>35.4</v>
      </c>
      <c r="B426" s="389">
        <v>41794</v>
      </c>
      <c r="C426" s="390" t="s">
        <v>451</v>
      </c>
      <c r="D426" s="390" t="s">
        <v>459</v>
      </c>
      <c r="E426" s="390" t="s">
        <v>380</v>
      </c>
      <c r="F426" s="390" t="s">
        <v>185</v>
      </c>
      <c r="G426" s="390" t="s">
        <v>209</v>
      </c>
      <c r="H426" s="261"/>
      <c r="I426" s="261"/>
      <c r="J426" s="261"/>
      <c r="K426" s="261"/>
      <c r="L426" s="261">
        <v>80</v>
      </c>
      <c r="M426" s="261"/>
      <c r="N426" s="261"/>
      <c r="O426" s="261"/>
      <c r="P426" s="261"/>
      <c r="Q426" s="261"/>
      <c r="R426" s="261"/>
      <c r="S426" s="261"/>
      <c r="T426" s="261"/>
      <c r="U426" s="261"/>
      <c r="V426" s="762"/>
      <c r="W426" s="261"/>
      <c r="X426" s="261"/>
      <c r="Y426" s="264">
        <f>IF(NFI_Expiration=1,IF($A426&lt;VLOOKUP(H$5,NFI,5,0),1,0)*Table_NFI[[#This Row],[Hygiene Kit]],Table_NFI[Hygiene Kit])</f>
        <v>0</v>
      </c>
      <c r="Z426" s="264">
        <f>IF(NFI_Expiration=1,IF($A426&lt;VLOOKUP(I$5,NFI,5,0),1,0)*Table_NFI[[#This Row],[NFI Core Kit]],Table_NFI[NFI Core Kit])</f>
        <v>0</v>
      </c>
      <c r="AA426" s="264">
        <f>IF(NFI_Expiration=1,IF($A426&lt;VLOOKUP(J$5,NFI,5,0),1,0)*Table_NFI[[#This Row],[Sanitary Kit]],Table_NFI[Sanitary Kit])</f>
        <v>0</v>
      </c>
      <c r="AB426" s="264">
        <f>IF(NFI_Expiration=1,IF($A426&lt;VLOOKUP(K$5,NFI,5,0),1,0)*Table_NFI[[#This Row],[Mosquito net]],Table_NFI[Mosquito net])</f>
        <v>0</v>
      </c>
      <c r="AC426" s="264">
        <f>IF(NFI_Expiration=1,IF($A426&lt;VLOOKUP(L$5,NFI,5,0),1,0)*Table_NFI[[#This Row],[Tarpaulin]],Table_NFI[[#This Row],[Tarpaulin]])</f>
        <v>0</v>
      </c>
      <c r="AD426" s="264">
        <f>IF(NFI_Expiration=1,IF($A426&lt;VLOOKUP(M$5,NFI,5,0),1,0)*Table_NFI[[#This Row],[Blanket]],Table_NFI[[#This Row],[Blanket]])</f>
        <v>0</v>
      </c>
      <c r="AE426" s="264">
        <f>IF(NFI_Expiration=1,IF($A426&lt;VLOOKUP(N$5,NFI,5,0),1,0)*Table_NFI[[#This Row],[Kitchen Set]],Table_NFI[Kitchen Set])</f>
        <v>0</v>
      </c>
      <c r="AF426" s="264">
        <f>IF(NFI_Expiration=1,IF($A426&lt;VLOOKUP(O$5,NFI,5,0),1,0)*Table_NFI[[#This Row],[Clothes Kit]],Table_NFI[Clothes Kit])</f>
        <v>0</v>
      </c>
      <c r="AG426" s="264">
        <f>IF(NFI_Expiration=1,IF($A426&lt;VLOOKUP(P$5,NFI,5,0),1,0)*Table_NFI[[#This Row],[Plastic Bucket]],Table_NFI[Plastic Bucket])</f>
        <v>0</v>
      </c>
      <c r="AH426" s="264">
        <f>IF(NFI_Expiration=1,IF($A426&lt;VLOOKUP(Q$5,NFI,5,0),1,0)*Table_NFI[[#This Row],[Plastic Mat]],Table_NFI[Plastic Mat])*IF(Table_NFI[[#This Row],[Distribution Date]]&gt;"2014-04-01",1,2.5)</f>
        <v>0</v>
      </c>
      <c r="AI426" s="264">
        <f>IF(NFI_Expiration=1,IF($A426&lt;VLOOKUP(R$5,NFI,5,0),1,0)*Table_NFI[[#This Row],[Winter Clothes Adult]],Table_NFI[Winter Clothes Adult])</f>
        <v>0</v>
      </c>
      <c r="AJ426" s="264">
        <f>IF(NFI_Expiration=1,IF($A426&lt;VLOOKUP(S$5,NFI,5,0),1,0)*Table_NFI[[#This Row],[Winter Clothes Children]],Table_NFI[Winter Clothes Children])</f>
        <v>0</v>
      </c>
      <c r="AK426" s="264">
        <f>IF(NFI_Expiration=1,IF($A426&lt;VLOOKUP(T$5,NFI,5,0),1,0)*Table_NFI[[#This Row],[Winter Items Other]],Table_NFI[Winter Items Other])</f>
        <v>0</v>
      </c>
      <c r="AL426" s="264">
        <f>IF(NFI_Expiration=1,IF($A426&lt;VLOOKUP(M$5,NFI,5,0),1,0)*Table_NFI[[#This Row],[Winter Blanket]],Table_NFI[[#This Row],[Winter Blanket]])</f>
        <v>0</v>
      </c>
      <c r="AM426" s="264">
        <f>IF(Table_NFI[[#This Row],[Winter Clothes Adult]]+Table_NFI[[#This Row],[Winter Clothes Children]]+Table_NFI[[#This Row],[Winter Items Other]]+Table_NFI[[#This Row],[Winter Blanket]]&gt;0,1,0)</f>
        <v>0</v>
      </c>
      <c r="AN426" s="296">
        <f>IF(NFI_Expiration=1,IF($A426&lt;VLOOKUP(V$5,NFI,5,0),1,0)*Table_NFI[[#This Row],[Jerry Can]],Table_NFI[Jerry Can])</f>
        <v>0</v>
      </c>
      <c r="AO426" s="296">
        <f>IF(NFI_Expiration=1,IF($A426&lt;VLOOKUP(V$5,NFI,5,0),1,0)*Table_NFI[[#This Row],[Shelter Tool kit]],Table_NFI[Shelter Tool kit])</f>
        <v>0</v>
      </c>
      <c r="AP426" s="296">
        <f>IF(NFI_Expiration=1,IF($A426&lt;VLOOKUP(V$5,NFI,5,0),1,0)*Table_NFI[[#This Row],[Tent]],Table_NFI[Tent])</f>
        <v>0</v>
      </c>
      <c r="AQ426" s="396" t="str">
        <f>IFERROR(VLOOKUP(Table_NFI[[#This Row],[Camp Name]],CL,2,0),"")</f>
        <v>MMR001CMP056</v>
      </c>
      <c r="AR426" s="702">
        <f ca="1">IF(Table_NFI[[#This Row],[Pcode]]="","",IF(OFFSET(CampList[Opening Date],MATCH(Table_NFI[[#This Row],[Pcode]],CampList[CP_Pcode],0)-1,0,1,1)&gt;=NFI_Monitor_Date,1,0))</f>
        <v>0</v>
      </c>
      <c r="AS426" s="396" t="str">
        <f>IFERROR(VLOOKUP(Table_NFI[[#This Row],[Camp Name]],CL,3,0),"")</f>
        <v>Open</v>
      </c>
      <c r="AT426" s="264" t="str">
        <f ca="1">IF(Table_NFI[[#This Row],[Pcode]]="","",OFFSET(CampList[Priority],MATCH(Table_NFI[[#This Row],[Pcode]],CampList[CP_Pcode],0)-1,0,1,1))</f>
        <v>P4</v>
      </c>
      <c r="AU426" s="263">
        <f>IFERROR(Table_NFI[[#This Row],[Kitchen Set]]/VLOOKUP(Table_NFI[[#This Row],[Camp Name]],CL,4,0),"")</f>
        <v>0</v>
      </c>
      <c r="AV426" s="390" t="s">
        <v>1087</v>
      </c>
      <c r="AW426" s="392"/>
      <c r="AX426" s="399"/>
      <c r="AY426" s="399"/>
      <c r="AZ426" s="399"/>
      <c r="BA426" s="399"/>
      <c r="BB426" s="399"/>
      <c r="BC426" s="399"/>
      <c r="BD426" s="399"/>
      <c r="BE426" s="399"/>
      <c r="BF426" s="399"/>
      <c r="BG426" s="399"/>
      <c r="BH426" s="399"/>
      <c r="BI426" s="399"/>
      <c r="BJ426" s="399"/>
      <c r="BK426" s="399"/>
      <c r="BL426" s="399"/>
      <c r="BM426" s="399"/>
      <c r="BN426" s="399"/>
      <c r="BO426" s="399"/>
      <c r="BP426" s="399"/>
      <c r="BQ426" s="399"/>
      <c r="BR426" s="399"/>
      <c r="BS426" s="399"/>
      <c r="BT426" s="399"/>
      <c r="BU426" s="399"/>
      <c r="BV426" s="399"/>
      <c r="BW426" s="399"/>
      <c r="BX426" s="399"/>
      <c r="BY426" s="399"/>
      <c r="BZ426" s="399"/>
      <c r="CA426" s="399"/>
      <c r="CB426" s="399"/>
      <c r="CC426" s="399"/>
      <c r="CD426" s="399"/>
      <c r="CE426" s="399"/>
      <c r="CF426" s="399"/>
      <c r="CG426" s="399"/>
      <c r="CH426" s="399"/>
      <c r="CI426" s="399"/>
      <c r="CJ426" s="399"/>
      <c r="CK426" s="399"/>
      <c r="CL426" s="399"/>
      <c r="CM426" s="399"/>
      <c r="CN426" s="399"/>
      <c r="CO426" s="399"/>
      <c r="CP426" s="399"/>
      <c r="CQ426" s="399"/>
      <c r="CR426" s="399"/>
      <c r="CS426" s="399"/>
      <c r="CT426" s="399"/>
      <c r="CU426" s="399"/>
      <c r="CV426" s="399"/>
      <c r="CW426" s="399"/>
      <c r="CX426" s="399"/>
      <c r="CY426" s="399"/>
      <c r="CZ426" s="399"/>
      <c r="DA426" s="399"/>
      <c r="DB426" s="399"/>
      <c r="DC426" s="399"/>
      <c r="DD426" s="399"/>
      <c r="DE426" s="399"/>
      <c r="DF426" s="399"/>
      <c r="DG426" s="399"/>
      <c r="DH426" s="399"/>
      <c r="DI426" s="399"/>
      <c r="DJ426" s="399"/>
      <c r="DK426" s="399"/>
      <c r="DL426" s="399"/>
      <c r="DM426" s="399"/>
      <c r="DN426" s="399"/>
      <c r="DO426" s="399"/>
      <c r="DP426" s="399"/>
      <c r="DQ426" s="399"/>
    </row>
    <row r="427" spans="1:121" s="760" customFormat="1" x14ac:dyDescent="0.25">
      <c r="A427" s="266">
        <f t="shared" si="6"/>
        <v>35.56666666666667</v>
      </c>
      <c r="B427" s="389">
        <v>41789</v>
      </c>
      <c r="C427" s="390" t="s">
        <v>1099</v>
      </c>
      <c r="D427" s="390" t="s">
        <v>899</v>
      </c>
      <c r="E427" s="390" t="s">
        <v>380</v>
      </c>
      <c r="F427" s="390" t="s">
        <v>237</v>
      </c>
      <c r="G427" s="390" t="s">
        <v>283</v>
      </c>
      <c r="H427" s="261"/>
      <c r="I427" s="261"/>
      <c r="J427" s="261"/>
      <c r="K427" s="261"/>
      <c r="L427" s="261"/>
      <c r="M427" s="261"/>
      <c r="N427" s="261"/>
      <c r="O427" s="261"/>
      <c r="P427" s="261"/>
      <c r="Q427" s="261"/>
      <c r="R427" s="261"/>
      <c r="S427" s="261"/>
      <c r="T427" s="261"/>
      <c r="U427" s="261">
        <v>12</v>
      </c>
      <c r="V427" s="762"/>
      <c r="W427" s="261"/>
      <c r="X427" s="261"/>
      <c r="Y427" s="264">
        <f>IF(NFI_Expiration=1,IF($A427&lt;VLOOKUP(H$5,NFI,5,0),1,0)*Table_NFI[[#This Row],[Hygiene Kit]],Table_NFI[Hygiene Kit])</f>
        <v>0</v>
      </c>
      <c r="Z427" s="264">
        <f>IF(NFI_Expiration=1,IF($A427&lt;VLOOKUP(I$5,NFI,5,0),1,0)*Table_NFI[[#This Row],[NFI Core Kit]],Table_NFI[NFI Core Kit])</f>
        <v>0</v>
      </c>
      <c r="AA427" s="264">
        <f>IF(NFI_Expiration=1,IF($A427&lt;VLOOKUP(J$5,NFI,5,0),1,0)*Table_NFI[[#This Row],[Sanitary Kit]],Table_NFI[Sanitary Kit])</f>
        <v>0</v>
      </c>
      <c r="AB427" s="264">
        <f>IF(NFI_Expiration=1,IF($A427&lt;VLOOKUP(K$5,NFI,5,0),1,0)*Table_NFI[[#This Row],[Mosquito net]],Table_NFI[Mosquito net])</f>
        <v>0</v>
      </c>
      <c r="AC427" s="264">
        <f>IF(NFI_Expiration=1,IF($A427&lt;VLOOKUP(L$5,NFI,5,0),1,0)*Table_NFI[[#This Row],[Tarpaulin]],Table_NFI[[#This Row],[Tarpaulin]])</f>
        <v>0</v>
      </c>
      <c r="AD427" s="264">
        <f>IF(NFI_Expiration=1,IF($A427&lt;VLOOKUP(M$5,NFI,5,0),1,0)*Table_NFI[[#This Row],[Blanket]],Table_NFI[[#This Row],[Blanket]])</f>
        <v>0</v>
      </c>
      <c r="AE427" s="264">
        <f>IF(NFI_Expiration=1,IF($A427&lt;VLOOKUP(N$5,NFI,5,0),1,0)*Table_NFI[[#This Row],[Kitchen Set]],Table_NFI[Kitchen Set])</f>
        <v>0</v>
      </c>
      <c r="AF427" s="264">
        <f>IF(NFI_Expiration=1,IF($A427&lt;VLOOKUP(O$5,NFI,5,0),1,0)*Table_NFI[[#This Row],[Clothes Kit]],Table_NFI[Clothes Kit])</f>
        <v>0</v>
      </c>
      <c r="AG427" s="264">
        <f>IF(NFI_Expiration=1,IF($A427&lt;VLOOKUP(P$5,NFI,5,0),1,0)*Table_NFI[[#This Row],[Plastic Bucket]],Table_NFI[Plastic Bucket])</f>
        <v>0</v>
      </c>
      <c r="AH427" s="264">
        <f>IF(NFI_Expiration=1,IF($A427&lt;VLOOKUP(Q$5,NFI,5,0),1,0)*Table_NFI[[#This Row],[Plastic Mat]],Table_NFI[Plastic Mat])*IF(Table_NFI[[#This Row],[Distribution Date]]&gt;"2014-04-01",1,2.5)</f>
        <v>0</v>
      </c>
      <c r="AI427" s="264">
        <f>IF(NFI_Expiration=1,IF($A427&lt;VLOOKUP(R$5,NFI,5,0),1,0)*Table_NFI[[#This Row],[Winter Clothes Adult]],Table_NFI[Winter Clothes Adult])</f>
        <v>0</v>
      </c>
      <c r="AJ427" s="264">
        <f>IF(NFI_Expiration=1,IF($A427&lt;VLOOKUP(S$5,NFI,5,0),1,0)*Table_NFI[[#This Row],[Winter Clothes Children]],Table_NFI[Winter Clothes Children])</f>
        <v>0</v>
      </c>
      <c r="AK427" s="264">
        <f>IF(NFI_Expiration=1,IF($A427&lt;VLOOKUP(T$5,NFI,5,0),1,0)*Table_NFI[[#This Row],[Winter Items Other]],Table_NFI[Winter Items Other])</f>
        <v>0</v>
      </c>
      <c r="AL427" s="264">
        <f>IF(NFI_Expiration=1,IF($A427&lt;VLOOKUP(M$5,NFI,5,0),1,0)*Table_NFI[[#This Row],[Winter Blanket]],Table_NFI[[#This Row],[Winter Blanket]])</f>
        <v>0</v>
      </c>
      <c r="AM427" s="264">
        <f>IF(Table_NFI[[#This Row],[Winter Clothes Adult]]+Table_NFI[[#This Row],[Winter Clothes Children]]+Table_NFI[[#This Row],[Winter Items Other]]+Table_NFI[[#This Row],[Winter Blanket]]&gt;0,1,0)</f>
        <v>1</v>
      </c>
      <c r="AN427" s="296">
        <f>IF(NFI_Expiration=1,IF($A427&lt;VLOOKUP(V$5,NFI,5,0),1,0)*Table_NFI[[#This Row],[Jerry Can]],Table_NFI[Jerry Can])</f>
        <v>0</v>
      </c>
      <c r="AO427" s="296">
        <f>IF(NFI_Expiration=1,IF($A427&lt;VLOOKUP(V$5,NFI,5,0),1,0)*Table_NFI[[#This Row],[Shelter Tool kit]],Table_NFI[Shelter Tool kit])</f>
        <v>0</v>
      </c>
      <c r="AP427" s="296">
        <f>IF(NFI_Expiration=1,IF($A427&lt;VLOOKUP(V$5,NFI,5,0),1,0)*Table_NFI[[#This Row],[Tent]],Table_NFI[Tent])</f>
        <v>0</v>
      </c>
      <c r="AQ427" s="396" t="str">
        <f>IFERROR(VLOOKUP(Table_NFI[[#This Row],[Camp Name]],CL,2,0),"")</f>
        <v>MMR001CMP022</v>
      </c>
      <c r="AR427" s="702">
        <f ca="1">IF(Table_NFI[[#This Row],[Pcode]]="","",IF(OFFSET(CampList[Opening Date],MATCH(Table_NFI[[#This Row],[Pcode]],CampList[CP_Pcode],0)-1,0,1,1)&gt;=NFI_Monitor_Date,1,0))</f>
        <v>0</v>
      </c>
      <c r="AS427" s="396" t="str">
        <f>IFERROR(VLOOKUP(Table_NFI[[#This Row],[Camp Name]],CL,3,0),"")</f>
        <v>Open</v>
      </c>
      <c r="AT427" s="264" t="str">
        <f ca="1">IF(Table_NFI[[#This Row],[Pcode]]="","",OFFSET(CampList[Priority],MATCH(Table_NFI[[#This Row],[Pcode]],CampList[CP_Pcode],0)-1,0,1,1))</f>
        <v>P4</v>
      </c>
      <c r="AU427" s="263">
        <f>IFERROR(Table_NFI[[#This Row],[Kitchen Set]]/VLOOKUP(Table_NFI[[#This Row],[Camp Name]],CL,4,0),"")</f>
        <v>0</v>
      </c>
      <c r="AV427" s="390"/>
      <c r="AW427" s="392"/>
      <c r="AX427" s="399"/>
      <c r="AY427" s="399"/>
      <c r="AZ427" s="399"/>
      <c r="BA427" s="399"/>
      <c r="BB427" s="399"/>
      <c r="BC427" s="399"/>
      <c r="BD427" s="399"/>
      <c r="BE427" s="399"/>
      <c r="BF427" s="399"/>
      <c r="BG427" s="399"/>
      <c r="BH427" s="399"/>
      <c r="BI427" s="399"/>
      <c r="BJ427" s="399"/>
      <c r="BK427" s="399"/>
      <c r="BL427" s="399"/>
      <c r="BM427" s="399"/>
      <c r="BN427" s="399"/>
      <c r="BO427" s="399"/>
      <c r="BP427" s="399"/>
      <c r="BQ427" s="399"/>
      <c r="BR427" s="399"/>
      <c r="BS427" s="399"/>
      <c r="BT427" s="399"/>
      <c r="BU427" s="399"/>
      <c r="BV427" s="399"/>
      <c r="BW427" s="399"/>
      <c r="BX427" s="399"/>
      <c r="BY427" s="399"/>
      <c r="BZ427" s="399"/>
      <c r="CA427" s="399"/>
      <c r="CB427" s="399"/>
      <c r="CC427" s="399"/>
      <c r="CD427" s="399"/>
      <c r="CE427" s="399"/>
      <c r="CF427" s="399"/>
      <c r="CG427" s="399"/>
      <c r="CH427" s="399"/>
      <c r="CI427" s="399"/>
      <c r="CJ427" s="399"/>
      <c r="CK427" s="399"/>
      <c r="CL427" s="399"/>
      <c r="CM427" s="399"/>
      <c r="CN427" s="399"/>
      <c r="CO427" s="399"/>
      <c r="CP427" s="399"/>
      <c r="CQ427" s="399"/>
      <c r="CR427" s="399"/>
      <c r="CS427" s="399"/>
      <c r="CT427" s="399"/>
      <c r="CU427" s="399"/>
      <c r="CV427" s="399"/>
      <c r="CW427" s="399"/>
      <c r="CX427" s="399"/>
      <c r="CY427" s="399"/>
      <c r="CZ427" s="399"/>
      <c r="DA427" s="399"/>
      <c r="DB427" s="399"/>
      <c r="DC427" s="399"/>
      <c r="DD427" s="399"/>
      <c r="DE427" s="399"/>
      <c r="DF427" s="399"/>
      <c r="DG427" s="399"/>
      <c r="DH427" s="399"/>
      <c r="DI427" s="399"/>
      <c r="DJ427" s="399"/>
      <c r="DK427" s="399"/>
      <c r="DL427" s="399"/>
      <c r="DM427" s="399"/>
      <c r="DN427" s="399"/>
      <c r="DO427" s="399"/>
      <c r="DP427" s="399"/>
      <c r="DQ427" s="399"/>
    </row>
    <row r="428" spans="1:121" s="760" customFormat="1" ht="15" customHeight="1" x14ac:dyDescent="0.25">
      <c r="A428" s="266">
        <f t="shared" si="6"/>
        <v>35.633333333333333</v>
      </c>
      <c r="B428" s="389">
        <v>41787</v>
      </c>
      <c r="C428" s="390" t="s">
        <v>1099</v>
      </c>
      <c r="D428" s="390" t="s">
        <v>899</v>
      </c>
      <c r="E428" s="390" t="s">
        <v>380</v>
      </c>
      <c r="F428" s="390" t="s">
        <v>237</v>
      </c>
      <c r="G428" s="390" t="s">
        <v>238</v>
      </c>
      <c r="H428" s="261"/>
      <c r="I428" s="261"/>
      <c r="J428" s="261"/>
      <c r="K428" s="261"/>
      <c r="L428" s="261"/>
      <c r="M428" s="261"/>
      <c r="N428" s="261"/>
      <c r="O428" s="261"/>
      <c r="P428" s="261"/>
      <c r="Q428" s="261"/>
      <c r="R428" s="261"/>
      <c r="S428" s="261"/>
      <c r="T428" s="261"/>
      <c r="U428" s="261">
        <v>120</v>
      </c>
      <c r="V428" s="762"/>
      <c r="W428" s="261"/>
      <c r="X428" s="261"/>
      <c r="Y428" s="264">
        <f>IF(NFI_Expiration=1,IF($A428&lt;VLOOKUP(H$5,NFI,5,0),1,0)*Table_NFI[[#This Row],[Hygiene Kit]],Table_NFI[Hygiene Kit])</f>
        <v>0</v>
      </c>
      <c r="Z428" s="264">
        <f>IF(NFI_Expiration=1,IF($A428&lt;VLOOKUP(I$5,NFI,5,0),1,0)*Table_NFI[[#This Row],[NFI Core Kit]],Table_NFI[NFI Core Kit])</f>
        <v>0</v>
      </c>
      <c r="AA428" s="264">
        <f>IF(NFI_Expiration=1,IF($A428&lt;VLOOKUP(J$5,NFI,5,0),1,0)*Table_NFI[[#This Row],[Sanitary Kit]],Table_NFI[Sanitary Kit])</f>
        <v>0</v>
      </c>
      <c r="AB428" s="264">
        <f>IF(NFI_Expiration=1,IF($A428&lt;VLOOKUP(K$5,NFI,5,0),1,0)*Table_NFI[[#This Row],[Mosquito net]],Table_NFI[Mosquito net])</f>
        <v>0</v>
      </c>
      <c r="AC428" s="264">
        <f>IF(NFI_Expiration=1,IF($A428&lt;VLOOKUP(L$5,NFI,5,0),1,0)*Table_NFI[[#This Row],[Tarpaulin]],Table_NFI[[#This Row],[Tarpaulin]])</f>
        <v>0</v>
      </c>
      <c r="AD428" s="264">
        <f>IF(NFI_Expiration=1,IF($A428&lt;VLOOKUP(M$5,NFI,5,0),1,0)*Table_NFI[[#This Row],[Blanket]],Table_NFI[[#This Row],[Blanket]])</f>
        <v>0</v>
      </c>
      <c r="AE428" s="264">
        <f>IF(NFI_Expiration=1,IF($A428&lt;VLOOKUP(N$5,NFI,5,0),1,0)*Table_NFI[[#This Row],[Kitchen Set]],Table_NFI[Kitchen Set])</f>
        <v>0</v>
      </c>
      <c r="AF428" s="264">
        <f>IF(NFI_Expiration=1,IF($A428&lt;VLOOKUP(O$5,NFI,5,0),1,0)*Table_NFI[[#This Row],[Clothes Kit]],Table_NFI[Clothes Kit])</f>
        <v>0</v>
      </c>
      <c r="AG428" s="264">
        <f>IF(NFI_Expiration=1,IF($A428&lt;VLOOKUP(P$5,NFI,5,0),1,0)*Table_NFI[[#This Row],[Plastic Bucket]],Table_NFI[Plastic Bucket])</f>
        <v>0</v>
      </c>
      <c r="AH428" s="264">
        <f>IF(NFI_Expiration=1,IF($A428&lt;VLOOKUP(Q$5,NFI,5,0),1,0)*Table_NFI[[#This Row],[Plastic Mat]],Table_NFI[Plastic Mat])*IF(Table_NFI[[#This Row],[Distribution Date]]&gt;"2014-04-01",1,2.5)</f>
        <v>0</v>
      </c>
      <c r="AI428" s="264">
        <f>IF(NFI_Expiration=1,IF($A428&lt;VLOOKUP(R$5,NFI,5,0),1,0)*Table_NFI[[#This Row],[Winter Clothes Adult]],Table_NFI[Winter Clothes Adult])</f>
        <v>0</v>
      </c>
      <c r="AJ428" s="264">
        <f>IF(NFI_Expiration=1,IF($A428&lt;VLOOKUP(S$5,NFI,5,0),1,0)*Table_NFI[[#This Row],[Winter Clothes Children]],Table_NFI[Winter Clothes Children])</f>
        <v>0</v>
      </c>
      <c r="AK428" s="264">
        <f>IF(NFI_Expiration=1,IF($A428&lt;VLOOKUP(T$5,NFI,5,0),1,0)*Table_NFI[[#This Row],[Winter Items Other]],Table_NFI[Winter Items Other])</f>
        <v>0</v>
      </c>
      <c r="AL428" s="264">
        <f>IF(NFI_Expiration=1,IF($A428&lt;VLOOKUP(M$5,NFI,5,0),1,0)*Table_NFI[[#This Row],[Winter Blanket]],Table_NFI[[#This Row],[Winter Blanket]])</f>
        <v>0</v>
      </c>
      <c r="AM428" s="264">
        <f>IF(Table_NFI[[#This Row],[Winter Clothes Adult]]+Table_NFI[[#This Row],[Winter Clothes Children]]+Table_NFI[[#This Row],[Winter Items Other]]+Table_NFI[[#This Row],[Winter Blanket]]&gt;0,1,0)</f>
        <v>1</v>
      </c>
      <c r="AN428" s="296">
        <f>IF(NFI_Expiration=1,IF($A428&lt;VLOOKUP(V$5,NFI,5,0),1,0)*Table_NFI[[#This Row],[Jerry Can]],Table_NFI[Jerry Can])</f>
        <v>0</v>
      </c>
      <c r="AO428" s="296">
        <f>IF(NFI_Expiration=1,IF($A428&lt;VLOOKUP(V$5,NFI,5,0),1,0)*Table_NFI[[#This Row],[Shelter Tool kit]],Table_NFI[Shelter Tool kit])</f>
        <v>0</v>
      </c>
      <c r="AP428" s="296">
        <f>IF(NFI_Expiration=1,IF($A428&lt;VLOOKUP(V$5,NFI,5,0),1,0)*Table_NFI[[#This Row],[Tent]],Table_NFI[Tent])</f>
        <v>0</v>
      </c>
      <c r="AQ428" s="396" t="str">
        <f>IFERROR(VLOOKUP(Table_NFI[[#This Row],[Camp Name]],CL,2,0),"")</f>
        <v>MMR001CMP001</v>
      </c>
      <c r="AR428" s="702">
        <f ca="1">IF(Table_NFI[[#This Row],[Pcode]]="","",IF(OFFSET(CampList[Opening Date],MATCH(Table_NFI[[#This Row],[Pcode]],CampList[CP_Pcode],0)-1,0,1,1)&gt;=NFI_Monitor_Date,1,0))</f>
        <v>0</v>
      </c>
      <c r="AS428" s="396" t="str">
        <f>IFERROR(VLOOKUP(Table_NFI[[#This Row],[Camp Name]],CL,3,0),"")</f>
        <v>Open</v>
      </c>
      <c r="AT428" s="264" t="str">
        <f ca="1">IF(Table_NFI[[#This Row],[Pcode]]="","",OFFSET(CampList[Priority],MATCH(Table_NFI[[#This Row],[Pcode]],CampList[CP_Pcode],0)-1,0,1,1))</f>
        <v>P4</v>
      </c>
      <c r="AU428" s="263">
        <f>IFERROR(Table_NFI[[#This Row],[Kitchen Set]]/VLOOKUP(Table_NFI[[#This Row],[Camp Name]],CL,4,0),"")</f>
        <v>0</v>
      </c>
      <c r="AV428" s="390"/>
      <c r="AW428" s="392"/>
      <c r="AX428" s="399"/>
      <c r="AY428" s="399"/>
      <c r="AZ428" s="399"/>
      <c r="BA428" s="399"/>
      <c r="BB428" s="399"/>
      <c r="BC428" s="399"/>
      <c r="BD428" s="399"/>
      <c r="BE428" s="399"/>
      <c r="BF428" s="399"/>
      <c r="BG428" s="399"/>
      <c r="BH428" s="399"/>
      <c r="BI428" s="399"/>
      <c r="BJ428" s="399"/>
      <c r="BK428" s="399"/>
      <c r="BL428" s="399"/>
      <c r="BM428" s="399"/>
      <c r="BN428" s="399"/>
      <c r="BO428" s="399"/>
      <c r="BP428" s="399"/>
      <c r="BQ428" s="399"/>
      <c r="BR428" s="399"/>
      <c r="BS428" s="399"/>
      <c r="BT428" s="399"/>
      <c r="BU428" s="399"/>
      <c r="BV428" s="399"/>
      <c r="BW428" s="399"/>
      <c r="BX428" s="399"/>
      <c r="BY428" s="399"/>
      <c r="BZ428" s="399"/>
      <c r="CA428" s="399"/>
      <c r="CB428" s="399"/>
      <c r="CC428" s="399"/>
      <c r="CD428" s="399"/>
      <c r="CE428" s="399"/>
      <c r="CF428" s="399"/>
      <c r="CG428" s="399"/>
      <c r="CH428" s="399"/>
      <c r="CI428" s="399"/>
      <c r="CJ428" s="399"/>
      <c r="CK428" s="399"/>
      <c r="CL428" s="399"/>
      <c r="CM428" s="399"/>
      <c r="CN428" s="399"/>
      <c r="CO428" s="399"/>
      <c r="CP428" s="399"/>
      <c r="CQ428" s="399"/>
      <c r="CR428" s="399"/>
      <c r="CS428" s="399"/>
      <c r="CT428" s="399"/>
      <c r="CU428" s="399"/>
      <c r="CV428" s="399"/>
      <c r="CW428" s="399"/>
      <c r="CX428" s="399"/>
      <c r="CY428" s="399"/>
      <c r="CZ428" s="399"/>
      <c r="DA428" s="399"/>
      <c r="DB428" s="399"/>
      <c r="DC428" s="399"/>
      <c r="DD428" s="399"/>
      <c r="DE428" s="399"/>
      <c r="DF428" s="399"/>
      <c r="DG428" s="399"/>
      <c r="DH428" s="399"/>
      <c r="DI428" s="399"/>
      <c r="DJ428" s="399"/>
      <c r="DK428" s="399"/>
      <c r="DL428" s="399"/>
      <c r="DM428" s="399"/>
      <c r="DN428" s="399"/>
      <c r="DO428" s="399"/>
      <c r="DP428" s="399"/>
      <c r="DQ428" s="399"/>
    </row>
    <row r="429" spans="1:121" s="760" customFormat="1" ht="14.45" customHeight="1" x14ac:dyDescent="0.25">
      <c r="A429" s="266">
        <f t="shared" si="6"/>
        <v>35.633333333333333</v>
      </c>
      <c r="B429" s="389">
        <v>41787</v>
      </c>
      <c r="C429" s="390" t="s">
        <v>1099</v>
      </c>
      <c r="D429" s="390" t="s">
        <v>899</v>
      </c>
      <c r="E429" s="390" t="s">
        <v>380</v>
      </c>
      <c r="F429" s="390" t="s">
        <v>237</v>
      </c>
      <c r="G429" s="390" t="s">
        <v>1232</v>
      </c>
      <c r="H429" s="261"/>
      <c r="I429" s="261"/>
      <c r="J429" s="261"/>
      <c r="K429" s="261"/>
      <c r="L429" s="261"/>
      <c r="M429" s="261"/>
      <c r="N429" s="261"/>
      <c r="O429" s="261"/>
      <c r="P429" s="261"/>
      <c r="Q429" s="261"/>
      <c r="R429" s="261"/>
      <c r="S429" s="261"/>
      <c r="T429" s="261"/>
      <c r="U429" s="261">
        <v>138</v>
      </c>
      <c r="V429" s="762"/>
      <c r="W429" s="261"/>
      <c r="X429" s="261"/>
      <c r="Y429" s="264">
        <f>IF(NFI_Expiration=1,IF($A429&lt;VLOOKUP(H$5,NFI,5,0),1,0)*Table_NFI[[#This Row],[Hygiene Kit]],Table_NFI[Hygiene Kit])</f>
        <v>0</v>
      </c>
      <c r="Z429" s="264">
        <f>IF(NFI_Expiration=1,IF($A429&lt;VLOOKUP(I$5,NFI,5,0),1,0)*Table_NFI[[#This Row],[NFI Core Kit]],Table_NFI[NFI Core Kit])</f>
        <v>0</v>
      </c>
      <c r="AA429" s="264">
        <f>IF(NFI_Expiration=1,IF($A429&lt;VLOOKUP(J$5,NFI,5,0),1,0)*Table_NFI[[#This Row],[Sanitary Kit]],Table_NFI[Sanitary Kit])</f>
        <v>0</v>
      </c>
      <c r="AB429" s="264">
        <f>IF(NFI_Expiration=1,IF($A429&lt;VLOOKUP(K$5,NFI,5,0),1,0)*Table_NFI[[#This Row],[Mosquito net]],Table_NFI[Mosquito net])</f>
        <v>0</v>
      </c>
      <c r="AC429" s="264">
        <f>IF(NFI_Expiration=1,IF($A429&lt;VLOOKUP(L$5,NFI,5,0),1,0)*Table_NFI[[#This Row],[Tarpaulin]],Table_NFI[[#This Row],[Tarpaulin]])</f>
        <v>0</v>
      </c>
      <c r="AD429" s="264">
        <f>IF(NFI_Expiration=1,IF($A429&lt;VLOOKUP(M$5,NFI,5,0),1,0)*Table_NFI[[#This Row],[Blanket]],Table_NFI[[#This Row],[Blanket]])</f>
        <v>0</v>
      </c>
      <c r="AE429" s="264">
        <f>IF(NFI_Expiration=1,IF($A429&lt;VLOOKUP(N$5,NFI,5,0),1,0)*Table_NFI[[#This Row],[Kitchen Set]],Table_NFI[Kitchen Set])</f>
        <v>0</v>
      </c>
      <c r="AF429" s="264">
        <f>IF(NFI_Expiration=1,IF($A429&lt;VLOOKUP(O$5,NFI,5,0),1,0)*Table_NFI[[#This Row],[Clothes Kit]],Table_NFI[Clothes Kit])</f>
        <v>0</v>
      </c>
      <c r="AG429" s="264">
        <f>IF(NFI_Expiration=1,IF($A429&lt;VLOOKUP(P$5,NFI,5,0),1,0)*Table_NFI[[#This Row],[Plastic Bucket]],Table_NFI[Plastic Bucket])</f>
        <v>0</v>
      </c>
      <c r="AH429" s="264">
        <f>IF(NFI_Expiration=1,IF($A429&lt;VLOOKUP(Q$5,NFI,5,0),1,0)*Table_NFI[[#This Row],[Plastic Mat]],Table_NFI[Plastic Mat])*IF(Table_NFI[[#This Row],[Distribution Date]]&gt;"2014-04-01",1,2.5)</f>
        <v>0</v>
      </c>
      <c r="AI429" s="264">
        <f>IF(NFI_Expiration=1,IF($A429&lt;VLOOKUP(R$5,NFI,5,0),1,0)*Table_NFI[[#This Row],[Winter Clothes Adult]],Table_NFI[Winter Clothes Adult])</f>
        <v>0</v>
      </c>
      <c r="AJ429" s="264">
        <f>IF(NFI_Expiration=1,IF($A429&lt;VLOOKUP(S$5,NFI,5,0),1,0)*Table_NFI[[#This Row],[Winter Clothes Children]],Table_NFI[Winter Clothes Children])</f>
        <v>0</v>
      </c>
      <c r="AK429" s="264">
        <f>IF(NFI_Expiration=1,IF($A429&lt;VLOOKUP(T$5,NFI,5,0),1,0)*Table_NFI[[#This Row],[Winter Items Other]],Table_NFI[Winter Items Other])</f>
        <v>0</v>
      </c>
      <c r="AL429" s="264">
        <f>IF(NFI_Expiration=1,IF($A429&lt;VLOOKUP(M$5,NFI,5,0),1,0)*Table_NFI[[#This Row],[Winter Blanket]],Table_NFI[[#This Row],[Winter Blanket]])</f>
        <v>0</v>
      </c>
      <c r="AM429" s="264">
        <f>IF(Table_NFI[[#This Row],[Winter Clothes Adult]]+Table_NFI[[#This Row],[Winter Clothes Children]]+Table_NFI[[#This Row],[Winter Items Other]]+Table_NFI[[#This Row],[Winter Blanket]]&gt;0,1,0)</f>
        <v>1</v>
      </c>
      <c r="AN429" s="296">
        <f>IF(NFI_Expiration=1,IF($A429&lt;VLOOKUP(V$5,NFI,5,0),1,0)*Table_NFI[[#This Row],[Jerry Can]],Table_NFI[Jerry Can])</f>
        <v>0</v>
      </c>
      <c r="AO429" s="296">
        <f>IF(NFI_Expiration=1,IF($A429&lt;VLOOKUP(V$5,NFI,5,0),1,0)*Table_NFI[[#This Row],[Shelter Tool kit]],Table_NFI[Shelter Tool kit])</f>
        <v>0</v>
      </c>
      <c r="AP429" s="296">
        <f>IF(NFI_Expiration=1,IF($A429&lt;VLOOKUP(V$5,NFI,5,0),1,0)*Table_NFI[[#This Row],[Tent]],Table_NFI[Tent])</f>
        <v>0</v>
      </c>
      <c r="AQ429" s="396" t="str">
        <f>IFERROR(VLOOKUP(Table_NFI[[#This Row],[Camp Name]],CL,2,0),"")</f>
        <v>MMR001CMP023</v>
      </c>
      <c r="AR429" s="702">
        <f ca="1">IF(Table_NFI[[#This Row],[Pcode]]="","",IF(OFFSET(CampList[Opening Date],MATCH(Table_NFI[[#This Row],[Pcode]],CampList[CP_Pcode],0)-1,0,1,1)&gt;=NFI_Monitor_Date,1,0))</f>
        <v>0</v>
      </c>
      <c r="AS429" s="396" t="str">
        <f>IFERROR(VLOOKUP(Table_NFI[[#This Row],[Camp Name]],CL,3,0),"")</f>
        <v>Open</v>
      </c>
      <c r="AT429" s="264" t="str">
        <f ca="1">IF(Table_NFI[[#This Row],[Pcode]]="","",OFFSET(CampList[Priority],MATCH(Table_NFI[[#This Row],[Pcode]],CampList[CP_Pcode],0)-1,0,1,1))</f>
        <v>P4</v>
      </c>
      <c r="AU429" s="263">
        <f>IFERROR(Table_NFI[[#This Row],[Kitchen Set]]/VLOOKUP(Table_NFI[[#This Row],[Camp Name]],CL,4,0),"")</f>
        <v>0</v>
      </c>
      <c r="AV429" s="390"/>
      <c r="AW429" s="392"/>
      <c r="AX429" s="399"/>
      <c r="AY429" s="399"/>
      <c r="AZ429" s="399"/>
      <c r="BA429" s="399"/>
      <c r="BB429" s="399"/>
      <c r="BC429" s="399"/>
      <c r="BD429" s="399"/>
      <c r="BE429" s="399"/>
      <c r="BF429" s="399"/>
      <c r="BG429" s="399"/>
      <c r="BH429" s="399"/>
      <c r="BI429" s="399"/>
      <c r="BJ429" s="399"/>
      <c r="BK429" s="399"/>
      <c r="BL429" s="399"/>
      <c r="BM429" s="399"/>
      <c r="BN429" s="399"/>
      <c r="BO429" s="399"/>
      <c r="BP429" s="399"/>
      <c r="BQ429" s="399"/>
      <c r="BR429" s="399"/>
      <c r="BS429" s="399"/>
      <c r="BT429" s="399"/>
      <c r="BU429" s="399"/>
      <c r="BV429" s="399"/>
      <c r="BW429" s="399"/>
      <c r="BX429" s="399"/>
      <c r="BY429" s="399"/>
      <c r="BZ429" s="399"/>
      <c r="CA429" s="399"/>
      <c r="CB429" s="399"/>
      <c r="CC429" s="399"/>
      <c r="CD429" s="399"/>
      <c r="CE429" s="399"/>
      <c r="CF429" s="399"/>
      <c r="CG429" s="399"/>
      <c r="CH429" s="399"/>
      <c r="CI429" s="399"/>
      <c r="CJ429" s="399"/>
      <c r="CK429" s="399"/>
      <c r="CL429" s="399"/>
      <c r="CM429" s="399"/>
      <c r="CN429" s="399"/>
      <c r="CO429" s="399"/>
      <c r="CP429" s="399"/>
      <c r="CQ429" s="399"/>
      <c r="CR429" s="399"/>
      <c r="CS429" s="399"/>
      <c r="CT429" s="399"/>
      <c r="CU429" s="399"/>
      <c r="CV429" s="399"/>
      <c r="CW429" s="399"/>
      <c r="CX429" s="399"/>
      <c r="CY429" s="399"/>
      <c r="CZ429" s="399"/>
      <c r="DA429" s="399"/>
      <c r="DB429" s="399"/>
      <c r="DC429" s="399"/>
      <c r="DD429" s="399"/>
      <c r="DE429" s="399"/>
      <c r="DF429" s="399"/>
      <c r="DG429" s="399"/>
      <c r="DH429" s="399"/>
      <c r="DI429" s="399"/>
      <c r="DJ429" s="399"/>
      <c r="DK429" s="399"/>
      <c r="DL429" s="399"/>
      <c r="DM429" s="399"/>
      <c r="DN429" s="399"/>
      <c r="DO429" s="399"/>
      <c r="DP429" s="399"/>
      <c r="DQ429" s="399"/>
    </row>
    <row r="430" spans="1:121" s="760" customFormat="1" ht="14.45" customHeight="1" x14ac:dyDescent="0.25">
      <c r="A430" s="266">
        <f t="shared" si="6"/>
        <v>35.633333333333333</v>
      </c>
      <c r="B430" s="389">
        <v>41787</v>
      </c>
      <c r="C430" s="390" t="s">
        <v>1099</v>
      </c>
      <c r="D430" s="390" t="s">
        <v>899</v>
      </c>
      <c r="E430" s="390" t="s">
        <v>380</v>
      </c>
      <c r="F430" s="390" t="s">
        <v>237</v>
      </c>
      <c r="G430" s="390" t="s">
        <v>251</v>
      </c>
      <c r="H430" s="261"/>
      <c r="I430" s="261"/>
      <c r="J430" s="261"/>
      <c r="K430" s="261"/>
      <c r="L430" s="261"/>
      <c r="M430" s="261"/>
      <c r="N430" s="261"/>
      <c r="O430" s="261"/>
      <c r="P430" s="261"/>
      <c r="Q430" s="261"/>
      <c r="R430" s="261"/>
      <c r="S430" s="261"/>
      <c r="T430" s="261"/>
      <c r="U430" s="261">
        <v>58</v>
      </c>
      <c r="V430" s="762"/>
      <c r="W430" s="261"/>
      <c r="X430" s="261"/>
      <c r="Y430" s="264">
        <f>IF(NFI_Expiration=1,IF($A430&lt;VLOOKUP(H$5,NFI,5,0),1,0)*Table_NFI[[#This Row],[Hygiene Kit]],Table_NFI[Hygiene Kit])</f>
        <v>0</v>
      </c>
      <c r="Z430" s="264">
        <f>IF(NFI_Expiration=1,IF($A430&lt;VLOOKUP(I$5,NFI,5,0),1,0)*Table_NFI[[#This Row],[NFI Core Kit]],Table_NFI[NFI Core Kit])</f>
        <v>0</v>
      </c>
      <c r="AA430" s="264">
        <f>IF(NFI_Expiration=1,IF($A430&lt;VLOOKUP(J$5,NFI,5,0),1,0)*Table_NFI[[#This Row],[Sanitary Kit]],Table_NFI[Sanitary Kit])</f>
        <v>0</v>
      </c>
      <c r="AB430" s="264">
        <f>IF(NFI_Expiration=1,IF($A430&lt;VLOOKUP(K$5,NFI,5,0),1,0)*Table_NFI[[#This Row],[Mosquito net]],Table_NFI[Mosquito net])</f>
        <v>0</v>
      </c>
      <c r="AC430" s="264">
        <f>IF(NFI_Expiration=1,IF($A430&lt;VLOOKUP(L$5,NFI,5,0),1,0)*Table_NFI[[#This Row],[Tarpaulin]],Table_NFI[[#This Row],[Tarpaulin]])</f>
        <v>0</v>
      </c>
      <c r="AD430" s="264">
        <f>IF(NFI_Expiration=1,IF($A430&lt;VLOOKUP(M$5,NFI,5,0),1,0)*Table_NFI[[#This Row],[Blanket]],Table_NFI[[#This Row],[Blanket]])</f>
        <v>0</v>
      </c>
      <c r="AE430" s="264">
        <f>IF(NFI_Expiration=1,IF($A430&lt;VLOOKUP(N$5,NFI,5,0),1,0)*Table_NFI[[#This Row],[Kitchen Set]],Table_NFI[Kitchen Set])</f>
        <v>0</v>
      </c>
      <c r="AF430" s="264">
        <f>IF(NFI_Expiration=1,IF($A430&lt;VLOOKUP(O$5,NFI,5,0),1,0)*Table_NFI[[#This Row],[Clothes Kit]],Table_NFI[Clothes Kit])</f>
        <v>0</v>
      </c>
      <c r="AG430" s="264">
        <f>IF(NFI_Expiration=1,IF($A430&lt;VLOOKUP(P$5,NFI,5,0),1,0)*Table_NFI[[#This Row],[Plastic Bucket]],Table_NFI[Plastic Bucket])</f>
        <v>0</v>
      </c>
      <c r="AH430" s="264">
        <f>IF(NFI_Expiration=1,IF($A430&lt;VLOOKUP(Q$5,NFI,5,0),1,0)*Table_NFI[[#This Row],[Plastic Mat]],Table_NFI[Plastic Mat])*IF(Table_NFI[[#This Row],[Distribution Date]]&gt;"2014-04-01",1,2.5)</f>
        <v>0</v>
      </c>
      <c r="AI430" s="264">
        <f>IF(NFI_Expiration=1,IF($A430&lt;VLOOKUP(R$5,NFI,5,0),1,0)*Table_NFI[[#This Row],[Winter Clothes Adult]],Table_NFI[Winter Clothes Adult])</f>
        <v>0</v>
      </c>
      <c r="AJ430" s="264">
        <f>IF(NFI_Expiration=1,IF($A430&lt;VLOOKUP(S$5,NFI,5,0),1,0)*Table_NFI[[#This Row],[Winter Clothes Children]],Table_NFI[Winter Clothes Children])</f>
        <v>0</v>
      </c>
      <c r="AK430" s="264">
        <f>IF(NFI_Expiration=1,IF($A430&lt;VLOOKUP(T$5,NFI,5,0),1,0)*Table_NFI[[#This Row],[Winter Items Other]],Table_NFI[Winter Items Other])</f>
        <v>0</v>
      </c>
      <c r="AL430" s="264">
        <f>IF(NFI_Expiration=1,IF($A430&lt;VLOOKUP(M$5,NFI,5,0),1,0)*Table_NFI[[#This Row],[Winter Blanket]],Table_NFI[[#This Row],[Winter Blanket]])</f>
        <v>0</v>
      </c>
      <c r="AM430" s="264">
        <f>IF(Table_NFI[[#This Row],[Winter Clothes Adult]]+Table_NFI[[#This Row],[Winter Clothes Children]]+Table_NFI[[#This Row],[Winter Items Other]]+Table_NFI[[#This Row],[Winter Blanket]]&gt;0,1,0)</f>
        <v>1</v>
      </c>
      <c r="AN430" s="296">
        <f>IF(NFI_Expiration=1,IF($A430&lt;VLOOKUP(V$5,NFI,5,0),1,0)*Table_NFI[[#This Row],[Jerry Can]],Table_NFI[Jerry Can])</f>
        <v>0</v>
      </c>
      <c r="AO430" s="296">
        <f>IF(NFI_Expiration=1,IF($A430&lt;VLOOKUP(V$5,NFI,5,0),1,0)*Table_NFI[[#This Row],[Shelter Tool kit]],Table_NFI[Shelter Tool kit])</f>
        <v>0</v>
      </c>
      <c r="AP430" s="296">
        <f>IF(NFI_Expiration=1,IF($A430&lt;VLOOKUP(V$5,NFI,5,0),1,0)*Table_NFI[[#This Row],[Tent]],Table_NFI[Tent])</f>
        <v>0</v>
      </c>
      <c r="AQ430" s="396" t="str">
        <f>IFERROR(VLOOKUP(Table_NFI[[#This Row],[Camp Name]],CL,2,0),"")</f>
        <v>MMR001CMP003</v>
      </c>
      <c r="AR430" s="702">
        <f ca="1">IF(Table_NFI[[#This Row],[Pcode]]="","",IF(OFFSET(CampList[Opening Date],MATCH(Table_NFI[[#This Row],[Pcode]],CampList[CP_Pcode],0)-1,0,1,1)&gt;=NFI_Monitor_Date,1,0))</f>
        <v>0</v>
      </c>
      <c r="AS430" s="396" t="str">
        <f>IFERROR(VLOOKUP(Table_NFI[[#This Row],[Camp Name]],CL,3,0),"")</f>
        <v>Open</v>
      </c>
      <c r="AT430" s="264" t="str">
        <f ca="1">IF(Table_NFI[[#This Row],[Pcode]]="","",OFFSET(CampList[Priority],MATCH(Table_NFI[[#This Row],[Pcode]],CampList[CP_Pcode],0)-1,0,1,1))</f>
        <v>P4</v>
      </c>
      <c r="AU430" s="263">
        <f>IFERROR(Table_NFI[[#This Row],[Kitchen Set]]/VLOOKUP(Table_NFI[[#This Row],[Camp Name]],CL,4,0),"")</f>
        <v>0</v>
      </c>
      <c r="AV430" s="390"/>
      <c r="AW430" s="392"/>
      <c r="AX430" s="399"/>
      <c r="AY430" s="399"/>
      <c r="AZ430" s="399"/>
      <c r="BA430" s="399"/>
      <c r="BB430" s="399"/>
      <c r="BC430" s="399"/>
      <c r="BD430" s="399"/>
      <c r="BE430" s="399"/>
      <c r="BF430" s="399"/>
      <c r="BG430" s="399"/>
      <c r="BH430" s="399"/>
      <c r="BI430" s="399"/>
      <c r="BJ430" s="399"/>
      <c r="BK430" s="399"/>
      <c r="BL430" s="399"/>
      <c r="BM430" s="399"/>
      <c r="BN430" s="399"/>
      <c r="BO430" s="399"/>
      <c r="BP430" s="399"/>
      <c r="BQ430" s="399"/>
      <c r="BR430" s="399"/>
      <c r="BS430" s="399"/>
      <c r="BT430" s="399"/>
      <c r="BU430" s="399"/>
      <c r="BV430" s="399"/>
      <c r="BW430" s="399"/>
      <c r="BX430" s="399"/>
      <c r="BY430" s="399"/>
      <c r="BZ430" s="399"/>
      <c r="CA430" s="399"/>
      <c r="CB430" s="399"/>
      <c r="CC430" s="399"/>
      <c r="CD430" s="399"/>
      <c r="CE430" s="399"/>
      <c r="CF430" s="399"/>
      <c r="CG430" s="399"/>
      <c r="CH430" s="399"/>
      <c r="CI430" s="399"/>
      <c r="CJ430" s="399"/>
      <c r="CK430" s="399"/>
      <c r="CL430" s="399"/>
      <c r="CM430" s="399"/>
      <c r="CN430" s="399"/>
      <c r="CO430" s="399"/>
      <c r="CP430" s="399"/>
      <c r="CQ430" s="399"/>
      <c r="CR430" s="399"/>
      <c r="CS430" s="399"/>
      <c r="CT430" s="399"/>
      <c r="CU430" s="399"/>
      <c r="CV430" s="399"/>
      <c r="CW430" s="399"/>
      <c r="CX430" s="399"/>
      <c r="CY430" s="399"/>
      <c r="CZ430" s="399"/>
      <c r="DA430" s="399"/>
      <c r="DB430" s="399"/>
      <c r="DC430" s="399"/>
      <c r="DD430" s="399"/>
      <c r="DE430" s="399"/>
      <c r="DF430" s="399"/>
      <c r="DG430" s="399"/>
      <c r="DH430" s="399"/>
      <c r="DI430" s="399"/>
      <c r="DJ430" s="399"/>
      <c r="DK430" s="399"/>
      <c r="DL430" s="399"/>
      <c r="DM430" s="399"/>
      <c r="DN430" s="399"/>
      <c r="DO430" s="399"/>
      <c r="DP430" s="399"/>
      <c r="DQ430" s="399"/>
    </row>
    <row r="431" spans="1:121" s="760" customFormat="1" ht="14.45" customHeight="1" x14ac:dyDescent="0.25">
      <c r="A431" s="266">
        <f t="shared" si="6"/>
        <v>35.666666666666664</v>
      </c>
      <c r="B431" s="389">
        <v>41786</v>
      </c>
      <c r="C431" s="390" t="s">
        <v>451</v>
      </c>
      <c r="D431" s="390" t="s">
        <v>504</v>
      </c>
      <c r="E431" s="390" t="s">
        <v>380</v>
      </c>
      <c r="F431" s="390" t="s">
        <v>27</v>
      </c>
      <c r="G431" s="390" t="s">
        <v>28</v>
      </c>
      <c r="H431" s="261"/>
      <c r="I431" s="261"/>
      <c r="J431" s="261">
        <v>36</v>
      </c>
      <c r="K431" s="261">
        <v>18</v>
      </c>
      <c r="L431" s="261">
        <v>36</v>
      </c>
      <c r="M431" s="261">
        <v>18</v>
      </c>
      <c r="N431" s="261"/>
      <c r="O431" s="261">
        <v>18</v>
      </c>
      <c r="P431" s="261">
        <v>90</v>
      </c>
      <c r="Q431" s="261"/>
      <c r="R431" s="261"/>
      <c r="S431" s="261"/>
      <c r="T431" s="261"/>
      <c r="U431" s="261"/>
      <c r="V431" s="762"/>
      <c r="W431" s="261"/>
      <c r="X431" s="261"/>
      <c r="Y431" s="264">
        <f>IF(NFI_Expiration=1,IF($A431&lt;VLOOKUP(H$5,NFI,5,0),1,0)*Table_NFI[[#This Row],[Hygiene Kit]],Table_NFI[Hygiene Kit])</f>
        <v>0</v>
      </c>
      <c r="Z431" s="264">
        <f>IF(NFI_Expiration=1,IF($A431&lt;VLOOKUP(I$5,NFI,5,0),1,0)*Table_NFI[[#This Row],[NFI Core Kit]],Table_NFI[NFI Core Kit])</f>
        <v>0</v>
      </c>
      <c r="AA431" s="264">
        <f>IF(NFI_Expiration=1,IF($A431&lt;VLOOKUP(J$5,NFI,5,0),1,0)*Table_NFI[[#This Row],[Sanitary Kit]],Table_NFI[Sanitary Kit])</f>
        <v>0</v>
      </c>
      <c r="AB431" s="264">
        <f>IF(NFI_Expiration=1,IF($A431&lt;VLOOKUP(K$5,NFI,5,0),1,0)*Table_NFI[[#This Row],[Mosquito net]],Table_NFI[Mosquito net])</f>
        <v>0</v>
      </c>
      <c r="AC431" s="264">
        <f>IF(NFI_Expiration=1,IF($A431&lt;VLOOKUP(L$5,NFI,5,0),1,0)*Table_NFI[[#This Row],[Tarpaulin]],Table_NFI[[#This Row],[Tarpaulin]])</f>
        <v>0</v>
      </c>
      <c r="AD431" s="264">
        <f>IF(NFI_Expiration=1,IF($A431&lt;VLOOKUP(M$5,NFI,5,0),1,0)*Table_NFI[[#This Row],[Blanket]],Table_NFI[[#This Row],[Blanket]])</f>
        <v>0</v>
      </c>
      <c r="AE431" s="264">
        <f>IF(NFI_Expiration=1,IF($A431&lt;VLOOKUP(N$5,NFI,5,0),1,0)*Table_NFI[[#This Row],[Kitchen Set]],Table_NFI[Kitchen Set])</f>
        <v>0</v>
      </c>
      <c r="AF431" s="264">
        <f>IF(NFI_Expiration=1,IF($A431&lt;VLOOKUP(O$5,NFI,5,0),1,0)*Table_NFI[[#This Row],[Clothes Kit]],Table_NFI[Clothes Kit])</f>
        <v>0</v>
      </c>
      <c r="AG431" s="264">
        <f>IF(NFI_Expiration=1,IF($A431&lt;VLOOKUP(P$5,NFI,5,0),1,0)*Table_NFI[[#This Row],[Plastic Bucket]],Table_NFI[Plastic Bucket])</f>
        <v>0</v>
      </c>
      <c r="AH431" s="264">
        <f>IF(NFI_Expiration=1,IF($A431&lt;VLOOKUP(Q$5,NFI,5,0),1,0)*Table_NFI[[#This Row],[Plastic Mat]],Table_NFI[Plastic Mat])*IF(Table_NFI[[#This Row],[Distribution Date]]&gt;"2014-04-01",1,2.5)</f>
        <v>0</v>
      </c>
      <c r="AI431" s="264">
        <f>IF(NFI_Expiration=1,IF($A431&lt;VLOOKUP(R$5,NFI,5,0),1,0)*Table_NFI[[#This Row],[Winter Clothes Adult]],Table_NFI[Winter Clothes Adult])</f>
        <v>0</v>
      </c>
      <c r="AJ431" s="264">
        <f>IF(NFI_Expiration=1,IF($A431&lt;VLOOKUP(S$5,NFI,5,0),1,0)*Table_NFI[[#This Row],[Winter Clothes Children]],Table_NFI[Winter Clothes Children])</f>
        <v>0</v>
      </c>
      <c r="AK431" s="264">
        <f>IF(NFI_Expiration=1,IF($A431&lt;VLOOKUP(T$5,NFI,5,0),1,0)*Table_NFI[[#This Row],[Winter Items Other]],Table_NFI[Winter Items Other])</f>
        <v>0</v>
      </c>
      <c r="AL431" s="264">
        <f>IF(NFI_Expiration=1,IF($A431&lt;VLOOKUP(M$5,NFI,5,0),1,0)*Table_NFI[[#This Row],[Winter Blanket]],Table_NFI[[#This Row],[Winter Blanket]])</f>
        <v>0</v>
      </c>
      <c r="AM431" s="264">
        <f>IF(Table_NFI[[#This Row],[Winter Clothes Adult]]+Table_NFI[[#This Row],[Winter Clothes Children]]+Table_NFI[[#This Row],[Winter Items Other]]+Table_NFI[[#This Row],[Winter Blanket]]&gt;0,1,0)</f>
        <v>0</v>
      </c>
      <c r="AN431" s="296">
        <f>IF(NFI_Expiration=1,IF($A431&lt;VLOOKUP(V$5,NFI,5,0),1,0)*Table_NFI[[#This Row],[Jerry Can]],Table_NFI[Jerry Can])</f>
        <v>0</v>
      </c>
      <c r="AO431" s="296">
        <f>IF(NFI_Expiration=1,IF($A431&lt;VLOOKUP(V$5,NFI,5,0),1,0)*Table_NFI[[#This Row],[Shelter Tool kit]],Table_NFI[Shelter Tool kit])</f>
        <v>0</v>
      </c>
      <c r="AP431" s="296">
        <f>IF(NFI_Expiration=1,IF($A431&lt;VLOOKUP(V$5,NFI,5,0),1,0)*Table_NFI[[#This Row],[Tent]],Table_NFI[Tent])</f>
        <v>0</v>
      </c>
      <c r="AQ431" s="396" t="str">
        <f>IFERROR(VLOOKUP(Table_NFI[[#This Row],[Camp Name]],CL,2,0),"")</f>
        <v>MMR001CMP042</v>
      </c>
      <c r="AR431" s="702">
        <f ca="1">IF(Table_NFI[[#This Row],[Pcode]]="","",IF(OFFSET(CampList[Opening Date],MATCH(Table_NFI[[#This Row],[Pcode]],CampList[CP_Pcode],0)-1,0,1,1)&gt;=NFI_Monitor_Date,1,0))</f>
        <v>0</v>
      </c>
      <c r="AS431" s="396" t="str">
        <f>IFERROR(VLOOKUP(Table_NFI[[#This Row],[Camp Name]],CL,3,0),"")</f>
        <v>Open</v>
      </c>
      <c r="AT431" s="264" t="str">
        <f ca="1">IF(Table_NFI[[#This Row],[Pcode]]="","",OFFSET(CampList[Priority],MATCH(Table_NFI[[#This Row],[Pcode]],CampList[CP_Pcode],0)-1,0,1,1))</f>
        <v>P1</v>
      </c>
      <c r="AU431" s="263">
        <f>IFERROR(Table_NFI[[#This Row],[Kitchen Set]]/VLOOKUP(Table_NFI[[#This Row],[Camp Name]],CL,4,0),"")</f>
        <v>0</v>
      </c>
      <c r="AV431" s="390"/>
      <c r="AW431" s="392"/>
      <c r="AX431" s="399"/>
      <c r="AY431" s="399"/>
      <c r="AZ431" s="399"/>
      <c r="BA431" s="399"/>
      <c r="BB431" s="399"/>
      <c r="BC431" s="399"/>
      <c r="BD431" s="399"/>
      <c r="BE431" s="399"/>
      <c r="BF431" s="399"/>
      <c r="BG431" s="399"/>
      <c r="BH431" s="399"/>
      <c r="BI431" s="399"/>
      <c r="BJ431" s="399"/>
      <c r="BK431" s="399"/>
      <c r="BL431" s="399"/>
      <c r="BM431" s="399"/>
      <c r="BN431" s="399"/>
      <c r="BO431" s="399"/>
      <c r="BP431" s="399"/>
      <c r="BQ431" s="399"/>
      <c r="BR431" s="399"/>
      <c r="BS431" s="399"/>
      <c r="BT431" s="399"/>
      <c r="BU431" s="399"/>
      <c r="BV431" s="399"/>
      <c r="BW431" s="399"/>
      <c r="BX431" s="399"/>
      <c r="BY431" s="399"/>
      <c r="BZ431" s="399"/>
      <c r="CA431" s="399"/>
      <c r="CB431" s="399"/>
      <c r="CC431" s="399"/>
      <c r="CD431" s="399"/>
      <c r="CE431" s="399"/>
      <c r="CF431" s="399"/>
      <c r="CG431" s="399"/>
      <c r="CH431" s="399"/>
      <c r="CI431" s="399"/>
      <c r="CJ431" s="399"/>
      <c r="CK431" s="399"/>
      <c r="CL431" s="399"/>
      <c r="CM431" s="399"/>
      <c r="CN431" s="399"/>
      <c r="CO431" s="399"/>
      <c r="CP431" s="399"/>
      <c r="CQ431" s="399"/>
      <c r="CR431" s="399"/>
      <c r="CS431" s="399"/>
      <c r="CT431" s="399"/>
      <c r="CU431" s="399"/>
      <c r="CV431" s="399"/>
      <c r="CW431" s="399"/>
      <c r="CX431" s="399"/>
      <c r="CY431" s="399"/>
      <c r="CZ431" s="399"/>
      <c r="DA431" s="399"/>
      <c r="DB431" s="399"/>
      <c r="DC431" s="399"/>
      <c r="DD431" s="399"/>
      <c r="DE431" s="399"/>
      <c r="DF431" s="399"/>
      <c r="DG431" s="399"/>
      <c r="DH431" s="399"/>
      <c r="DI431" s="399"/>
      <c r="DJ431" s="399"/>
      <c r="DK431" s="399"/>
      <c r="DL431" s="399"/>
      <c r="DM431" s="399"/>
      <c r="DN431" s="399"/>
      <c r="DO431" s="399"/>
      <c r="DP431" s="399"/>
      <c r="DQ431" s="399"/>
    </row>
    <row r="432" spans="1:121" s="393" customFormat="1" ht="14.45" customHeight="1" x14ac:dyDescent="0.25">
      <c r="A432" s="266">
        <f t="shared" si="6"/>
        <v>35.666666666666664</v>
      </c>
      <c r="B432" s="389">
        <v>41786</v>
      </c>
      <c r="C432" s="390" t="s">
        <v>451</v>
      </c>
      <c r="D432" s="390" t="s">
        <v>504</v>
      </c>
      <c r="E432" s="390" t="s">
        <v>380</v>
      </c>
      <c r="F432" s="390" t="s">
        <v>310</v>
      </c>
      <c r="G432" s="390" t="s">
        <v>313</v>
      </c>
      <c r="H432" s="261"/>
      <c r="I432" s="261"/>
      <c r="J432" s="261">
        <v>2</v>
      </c>
      <c r="K432" s="261">
        <v>1</v>
      </c>
      <c r="L432" s="261">
        <v>2</v>
      </c>
      <c r="M432" s="261">
        <v>1</v>
      </c>
      <c r="N432" s="261"/>
      <c r="O432" s="261">
        <v>1</v>
      </c>
      <c r="P432" s="261">
        <v>5</v>
      </c>
      <c r="Q432" s="261"/>
      <c r="R432" s="261"/>
      <c r="S432" s="261"/>
      <c r="T432" s="261"/>
      <c r="U432" s="261"/>
      <c r="V432" s="762"/>
      <c r="W432" s="261"/>
      <c r="X432" s="261"/>
      <c r="Y432" s="264">
        <f>IF(NFI_Expiration=1,IF($A432&lt;VLOOKUP(H$5,NFI,5,0),1,0)*Table_NFI[[#This Row],[Hygiene Kit]],Table_NFI[Hygiene Kit])</f>
        <v>0</v>
      </c>
      <c r="Z432" s="264">
        <f>IF(NFI_Expiration=1,IF($A432&lt;VLOOKUP(I$5,NFI,5,0),1,0)*Table_NFI[[#This Row],[NFI Core Kit]],Table_NFI[NFI Core Kit])</f>
        <v>0</v>
      </c>
      <c r="AA432" s="264">
        <f>IF(NFI_Expiration=1,IF($A432&lt;VLOOKUP(J$5,NFI,5,0),1,0)*Table_NFI[[#This Row],[Sanitary Kit]],Table_NFI[Sanitary Kit])</f>
        <v>0</v>
      </c>
      <c r="AB432" s="264">
        <f>IF(NFI_Expiration=1,IF($A432&lt;VLOOKUP(K$5,NFI,5,0),1,0)*Table_NFI[[#This Row],[Mosquito net]],Table_NFI[Mosquito net])</f>
        <v>0</v>
      </c>
      <c r="AC432" s="264">
        <f>IF(NFI_Expiration=1,IF($A432&lt;VLOOKUP(L$5,NFI,5,0),1,0)*Table_NFI[[#This Row],[Tarpaulin]],Table_NFI[[#This Row],[Tarpaulin]])</f>
        <v>0</v>
      </c>
      <c r="AD432" s="264">
        <f>IF(NFI_Expiration=1,IF($A432&lt;VLOOKUP(M$5,NFI,5,0),1,0)*Table_NFI[[#This Row],[Blanket]],Table_NFI[[#This Row],[Blanket]])</f>
        <v>0</v>
      </c>
      <c r="AE432" s="264">
        <f>IF(NFI_Expiration=1,IF($A432&lt;VLOOKUP(N$5,NFI,5,0),1,0)*Table_NFI[[#This Row],[Kitchen Set]],Table_NFI[Kitchen Set])</f>
        <v>0</v>
      </c>
      <c r="AF432" s="264">
        <f>IF(NFI_Expiration=1,IF($A432&lt;VLOOKUP(O$5,NFI,5,0),1,0)*Table_NFI[[#This Row],[Clothes Kit]],Table_NFI[Clothes Kit])</f>
        <v>0</v>
      </c>
      <c r="AG432" s="264">
        <f>IF(NFI_Expiration=1,IF($A432&lt;VLOOKUP(P$5,NFI,5,0),1,0)*Table_NFI[[#This Row],[Plastic Bucket]],Table_NFI[Plastic Bucket])</f>
        <v>0</v>
      </c>
      <c r="AH432" s="264">
        <f>IF(NFI_Expiration=1,IF($A432&lt;VLOOKUP(Q$5,NFI,5,0),1,0)*Table_NFI[[#This Row],[Plastic Mat]],Table_NFI[Plastic Mat])*IF(Table_NFI[[#This Row],[Distribution Date]]&gt;"2014-04-01",1,2.5)</f>
        <v>0</v>
      </c>
      <c r="AI432" s="264">
        <f>IF(NFI_Expiration=1,IF($A432&lt;VLOOKUP(R$5,NFI,5,0),1,0)*Table_NFI[[#This Row],[Winter Clothes Adult]],Table_NFI[Winter Clothes Adult])</f>
        <v>0</v>
      </c>
      <c r="AJ432" s="264">
        <f>IF(NFI_Expiration=1,IF($A432&lt;VLOOKUP(S$5,NFI,5,0),1,0)*Table_NFI[[#This Row],[Winter Clothes Children]],Table_NFI[Winter Clothes Children])</f>
        <v>0</v>
      </c>
      <c r="AK432" s="264">
        <f>IF(NFI_Expiration=1,IF($A432&lt;VLOOKUP(T$5,NFI,5,0),1,0)*Table_NFI[[#This Row],[Winter Items Other]],Table_NFI[Winter Items Other])</f>
        <v>0</v>
      </c>
      <c r="AL432" s="264">
        <f>IF(NFI_Expiration=1,IF($A432&lt;VLOOKUP(M$5,NFI,5,0),1,0)*Table_NFI[[#This Row],[Winter Blanket]],Table_NFI[[#This Row],[Winter Blanket]])</f>
        <v>0</v>
      </c>
      <c r="AM432" s="264">
        <f>IF(Table_NFI[[#This Row],[Winter Clothes Adult]]+Table_NFI[[#This Row],[Winter Clothes Children]]+Table_NFI[[#This Row],[Winter Items Other]]+Table_NFI[[#This Row],[Winter Blanket]]&gt;0,1,0)</f>
        <v>0</v>
      </c>
      <c r="AN432" s="296">
        <f>IF(NFI_Expiration=1,IF($A432&lt;VLOOKUP(V$5,NFI,5,0),1,0)*Table_NFI[[#This Row],[Jerry Can]],Table_NFI[Jerry Can])</f>
        <v>0</v>
      </c>
      <c r="AO432" s="296">
        <f>IF(NFI_Expiration=1,IF($A432&lt;VLOOKUP(V$5,NFI,5,0),1,0)*Table_NFI[[#This Row],[Shelter Tool kit]],Table_NFI[Shelter Tool kit])</f>
        <v>0</v>
      </c>
      <c r="AP432" s="296">
        <f>IF(NFI_Expiration=1,IF($A432&lt;VLOOKUP(V$5,NFI,5,0),1,0)*Table_NFI[[#This Row],[Tent]],Table_NFI[Tent])</f>
        <v>0</v>
      </c>
      <c r="AQ432" s="396" t="str">
        <f>IFERROR(VLOOKUP(Table_NFI[[#This Row],[Camp Name]],CL,2,0),"")</f>
        <v>MMR001CMP028</v>
      </c>
      <c r="AR432" s="702">
        <f ca="1">IF(Table_NFI[[#This Row],[Pcode]]="","",IF(OFFSET(CampList[Opening Date],MATCH(Table_NFI[[#This Row],[Pcode]],CampList[CP_Pcode],0)-1,0,1,1)&gt;=NFI_Monitor_Date,1,0))</f>
        <v>0</v>
      </c>
      <c r="AS432" s="396" t="str">
        <f>IFERROR(VLOOKUP(Table_NFI[[#This Row],[Camp Name]],CL,3,0),"")</f>
        <v>Open</v>
      </c>
      <c r="AT432" s="264" t="str">
        <f ca="1">IF(Table_NFI[[#This Row],[Pcode]]="","",OFFSET(CampList[Priority],MATCH(Table_NFI[[#This Row],[Pcode]],CampList[CP_Pcode],0)-1,0,1,1))</f>
        <v>P4</v>
      </c>
      <c r="AU432" s="263">
        <f>IFERROR(Table_NFI[[#This Row],[Kitchen Set]]/VLOOKUP(Table_NFI[[#This Row],[Camp Name]],CL,4,0),"")</f>
        <v>0</v>
      </c>
      <c r="AV432" s="390"/>
      <c r="AW432" s="392"/>
      <c r="AX432" s="399"/>
      <c r="AY432" s="399"/>
      <c r="AZ432" s="399"/>
      <c r="BA432" s="399"/>
      <c r="BB432" s="399"/>
      <c r="BC432" s="399"/>
      <c r="BD432" s="399"/>
      <c r="BE432" s="399"/>
      <c r="BF432" s="399"/>
      <c r="BG432" s="399"/>
      <c r="BH432" s="399"/>
      <c r="BI432" s="399"/>
      <c r="BJ432" s="399"/>
      <c r="BK432" s="399"/>
      <c r="BL432" s="399"/>
      <c r="BM432" s="399"/>
      <c r="BN432" s="399"/>
      <c r="BO432" s="399"/>
      <c r="BP432" s="399"/>
      <c r="BQ432" s="399"/>
      <c r="BR432" s="399"/>
      <c r="BS432" s="399"/>
      <c r="BT432" s="399"/>
      <c r="BU432" s="399"/>
      <c r="BV432" s="399"/>
      <c r="BW432" s="399"/>
      <c r="BX432" s="399"/>
      <c r="BY432" s="399"/>
      <c r="BZ432" s="399"/>
      <c r="CA432" s="399"/>
      <c r="CB432" s="399"/>
      <c r="CC432" s="399"/>
      <c r="CD432" s="399"/>
      <c r="CE432" s="399"/>
      <c r="CF432" s="399"/>
      <c r="CG432" s="399"/>
      <c r="CH432" s="399"/>
      <c r="CI432" s="399"/>
      <c r="CJ432" s="399"/>
      <c r="CK432" s="399"/>
      <c r="CL432" s="399"/>
      <c r="CM432" s="399"/>
      <c r="CN432" s="399"/>
      <c r="CO432" s="399"/>
      <c r="CP432" s="399"/>
      <c r="CQ432" s="399"/>
      <c r="CR432" s="399"/>
      <c r="CS432" s="399"/>
      <c r="CT432" s="399"/>
      <c r="CU432" s="399"/>
      <c r="CV432" s="399"/>
      <c r="CW432" s="399"/>
      <c r="CX432" s="399"/>
      <c r="CY432" s="399"/>
      <c r="CZ432" s="399"/>
      <c r="DA432" s="399"/>
      <c r="DB432" s="399"/>
      <c r="DC432" s="399"/>
      <c r="DD432" s="399"/>
      <c r="DE432" s="399"/>
      <c r="DF432" s="399"/>
      <c r="DG432" s="399"/>
      <c r="DH432" s="399"/>
      <c r="DI432" s="399"/>
      <c r="DJ432" s="399"/>
      <c r="DK432" s="399"/>
      <c r="DL432" s="399"/>
      <c r="DM432" s="399"/>
      <c r="DN432" s="399"/>
      <c r="DO432" s="399"/>
      <c r="DP432" s="399"/>
      <c r="DQ432" s="399"/>
    </row>
    <row r="433" spans="1:121" s="393" customFormat="1" ht="14.45" customHeight="1" x14ac:dyDescent="0.25">
      <c r="A433" s="266">
        <f t="shared" si="6"/>
        <v>35.666666666666664</v>
      </c>
      <c r="B433" s="389">
        <v>41786</v>
      </c>
      <c r="C433" s="390" t="s">
        <v>451</v>
      </c>
      <c r="D433" s="390" t="s">
        <v>504</v>
      </c>
      <c r="E433" s="390" t="s">
        <v>380</v>
      </c>
      <c r="F433" s="390" t="s">
        <v>310</v>
      </c>
      <c r="G433" s="390" t="s">
        <v>328</v>
      </c>
      <c r="H433" s="261"/>
      <c r="I433" s="261"/>
      <c r="J433" s="261">
        <v>50</v>
      </c>
      <c r="K433" s="261">
        <v>25</v>
      </c>
      <c r="L433" s="261">
        <v>50</v>
      </c>
      <c r="M433" s="261">
        <v>25</v>
      </c>
      <c r="N433" s="261"/>
      <c r="O433" s="261">
        <v>25</v>
      </c>
      <c r="P433" s="261">
        <v>125</v>
      </c>
      <c r="Q433" s="261"/>
      <c r="R433" s="261"/>
      <c r="S433" s="261"/>
      <c r="T433" s="261"/>
      <c r="U433" s="261"/>
      <c r="V433" s="762"/>
      <c r="W433" s="261"/>
      <c r="X433" s="261"/>
      <c r="Y433" s="264">
        <f>IF(NFI_Expiration=1,IF($A433&lt;VLOOKUP(H$5,NFI,5,0),1,0)*Table_NFI[[#This Row],[Hygiene Kit]],Table_NFI[Hygiene Kit])</f>
        <v>0</v>
      </c>
      <c r="Z433" s="264">
        <f>IF(NFI_Expiration=1,IF($A433&lt;VLOOKUP(I$5,NFI,5,0),1,0)*Table_NFI[[#This Row],[NFI Core Kit]],Table_NFI[NFI Core Kit])</f>
        <v>0</v>
      </c>
      <c r="AA433" s="264">
        <f>IF(NFI_Expiration=1,IF($A433&lt;VLOOKUP(J$5,NFI,5,0),1,0)*Table_NFI[[#This Row],[Sanitary Kit]],Table_NFI[Sanitary Kit])</f>
        <v>0</v>
      </c>
      <c r="AB433" s="264">
        <f>IF(NFI_Expiration=1,IF($A433&lt;VLOOKUP(K$5,NFI,5,0),1,0)*Table_NFI[[#This Row],[Mosquito net]],Table_NFI[Mosquito net])</f>
        <v>0</v>
      </c>
      <c r="AC433" s="264">
        <f>IF(NFI_Expiration=1,IF($A433&lt;VLOOKUP(L$5,NFI,5,0),1,0)*Table_NFI[[#This Row],[Tarpaulin]],Table_NFI[[#This Row],[Tarpaulin]])</f>
        <v>0</v>
      </c>
      <c r="AD433" s="264">
        <f>IF(NFI_Expiration=1,IF($A433&lt;VLOOKUP(M$5,NFI,5,0),1,0)*Table_NFI[[#This Row],[Blanket]],Table_NFI[[#This Row],[Blanket]])</f>
        <v>0</v>
      </c>
      <c r="AE433" s="264">
        <f>IF(NFI_Expiration=1,IF($A433&lt;VLOOKUP(N$5,NFI,5,0),1,0)*Table_NFI[[#This Row],[Kitchen Set]],Table_NFI[Kitchen Set])</f>
        <v>0</v>
      </c>
      <c r="AF433" s="264">
        <f>IF(NFI_Expiration=1,IF($A433&lt;VLOOKUP(O$5,NFI,5,0),1,0)*Table_NFI[[#This Row],[Clothes Kit]],Table_NFI[Clothes Kit])</f>
        <v>0</v>
      </c>
      <c r="AG433" s="264">
        <f>IF(NFI_Expiration=1,IF($A433&lt;VLOOKUP(P$5,NFI,5,0),1,0)*Table_NFI[[#This Row],[Plastic Bucket]],Table_NFI[Plastic Bucket])</f>
        <v>0</v>
      </c>
      <c r="AH433" s="264">
        <f>IF(NFI_Expiration=1,IF($A433&lt;VLOOKUP(Q$5,NFI,5,0),1,0)*Table_NFI[[#This Row],[Plastic Mat]],Table_NFI[Plastic Mat])*IF(Table_NFI[[#This Row],[Distribution Date]]&gt;"2014-04-01",1,2.5)</f>
        <v>0</v>
      </c>
      <c r="AI433" s="264">
        <f>IF(NFI_Expiration=1,IF($A433&lt;VLOOKUP(R$5,NFI,5,0),1,0)*Table_NFI[[#This Row],[Winter Clothes Adult]],Table_NFI[Winter Clothes Adult])</f>
        <v>0</v>
      </c>
      <c r="AJ433" s="264">
        <f>IF(NFI_Expiration=1,IF($A433&lt;VLOOKUP(S$5,NFI,5,0),1,0)*Table_NFI[[#This Row],[Winter Clothes Children]],Table_NFI[Winter Clothes Children])</f>
        <v>0</v>
      </c>
      <c r="AK433" s="264">
        <f>IF(NFI_Expiration=1,IF($A433&lt;VLOOKUP(T$5,NFI,5,0),1,0)*Table_NFI[[#This Row],[Winter Items Other]],Table_NFI[Winter Items Other])</f>
        <v>0</v>
      </c>
      <c r="AL433" s="264">
        <f>IF(NFI_Expiration=1,IF($A433&lt;VLOOKUP(M$5,NFI,5,0),1,0)*Table_NFI[[#This Row],[Winter Blanket]],Table_NFI[[#This Row],[Winter Blanket]])</f>
        <v>0</v>
      </c>
      <c r="AM433" s="264">
        <f>IF(Table_NFI[[#This Row],[Winter Clothes Adult]]+Table_NFI[[#This Row],[Winter Clothes Children]]+Table_NFI[[#This Row],[Winter Items Other]]+Table_NFI[[#This Row],[Winter Blanket]]&gt;0,1,0)</f>
        <v>0</v>
      </c>
      <c r="AN433" s="296">
        <f>IF(NFI_Expiration=1,IF($A433&lt;VLOOKUP(V$5,NFI,5,0),1,0)*Table_NFI[[#This Row],[Jerry Can]],Table_NFI[Jerry Can])</f>
        <v>0</v>
      </c>
      <c r="AO433" s="296">
        <f>IF(NFI_Expiration=1,IF($A433&lt;VLOOKUP(V$5,NFI,5,0),1,0)*Table_NFI[[#This Row],[Shelter Tool kit]],Table_NFI[Shelter Tool kit])</f>
        <v>0</v>
      </c>
      <c r="AP433" s="296">
        <f>IF(NFI_Expiration=1,IF($A433&lt;VLOOKUP(V$5,NFI,5,0),1,0)*Table_NFI[[#This Row],[Tent]],Table_NFI[Tent])</f>
        <v>0</v>
      </c>
      <c r="AQ433" s="396" t="str">
        <f>IFERROR(VLOOKUP(Table_NFI[[#This Row],[Camp Name]],CL,2,0),"")</f>
        <v>MMR001CMP031</v>
      </c>
      <c r="AR433" s="702">
        <f ca="1">IF(Table_NFI[[#This Row],[Pcode]]="","",IF(OFFSET(CampList[Opening Date],MATCH(Table_NFI[[#This Row],[Pcode]],CampList[CP_Pcode],0)-1,0,1,1)&gt;=NFI_Monitor_Date,1,0))</f>
        <v>0</v>
      </c>
      <c r="AS433" s="396" t="str">
        <f>IFERROR(VLOOKUP(Table_NFI[[#This Row],[Camp Name]],CL,3,0),"")</f>
        <v>Open</v>
      </c>
      <c r="AT433" s="264" t="str">
        <f ca="1">IF(Table_NFI[[#This Row],[Pcode]]="","",OFFSET(CampList[Priority],MATCH(Table_NFI[[#This Row],[Pcode]],CampList[CP_Pcode],0)-1,0,1,1))</f>
        <v>P4</v>
      </c>
      <c r="AU433" s="263">
        <f>IFERROR(Table_NFI[[#This Row],[Kitchen Set]]/VLOOKUP(Table_NFI[[#This Row],[Camp Name]],CL,4,0),"")</f>
        <v>0</v>
      </c>
      <c r="AV433" s="390"/>
      <c r="AW433" s="392"/>
      <c r="AX433" s="399"/>
      <c r="AY433" s="399"/>
      <c r="AZ433" s="399"/>
      <c r="BA433" s="399"/>
      <c r="BB433" s="399"/>
      <c r="BC433" s="399"/>
      <c r="BD433" s="399"/>
      <c r="BE433" s="399"/>
      <c r="BF433" s="399"/>
      <c r="BG433" s="399"/>
      <c r="BH433" s="399"/>
      <c r="BI433" s="399"/>
      <c r="BJ433" s="399"/>
      <c r="BK433" s="399"/>
      <c r="BL433" s="399"/>
      <c r="BM433" s="399"/>
      <c r="BN433" s="399"/>
      <c r="BO433" s="399"/>
      <c r="BP433" s="399"/>
      <c r="BQ433" s="399"/>
      <c r="BR433" s="399"/>
      <c r="BS433" s="399"/>
      <c r="BT433" s="399"/>
      <c r="BU433" s="399"/>
      <c r="BV433" s="399"/>
      <c r="BW433" s="399"/>
      <c r="BX433" s="399"/>
      <c r="BY433" s="399"/>
      <c r="BZ433" s="399"/>
      <c r="CA433" s="399"/>
      <c r="CB433" s="399"/>
      <c r="CC433" s="399"/>
      <c r="CD433" s="399"/>
      <c r="CE433" s="399"/>
      <c r="CF433" s="399"/>
      <c r="CG433" s="399"/>
      <c r="CH433" s="399"/>
      <c r="CI433" s="399"/>
      <c r="CJ433" s="399"/>
      <c r="CK433" s="399"/>
      <c r="CL433" s="399"/>
      <c r="CM433" s="399"/>
      <c r="CN433" s="399"/>
      <c r="CO433" s="399"/>
      <c r="CP433" s="399"/>
      <c r="CQ433" s="399"/>
      <c r="CR433" s="399"/>
      <c r="CS433" s="399"/>
      <c r="CT433" s="399"/>
      <c r="CU433" s="399"/>
      <c r="CV433" s="399"/>
      <c r="CW433" s="399"/>
      <c r="CX433" s="399"/>
      <c r="CY433" s="399"/>
      <c r="CZ433" s="399"/>
      <c r="DA433" s="399"/>
      <c r="DB433" s="399"/>
      <c r="DC433" s="399"/>
      <c r="DD433" s="399"/>
      <c r="DE433" s="399"/>
      <c r="DF433" s="399"/>
      <c r="DG433" s="399"/>
      <c r="DH433" s="399"/>
      <c r="DI433" s="399"/>
      <c r="DJ433" s="399"/>
      <c r="DK433" s="399"/>
      <c r="DL433" s="399"/>
      <c r="DM433" s="399"/>
      <c r="DN433" s="399"/>
      <c r="DO433" s="399"/>
      <c r="DP433" s="399"/>
      <c r="DQ433" s="399"/>
    </row>
    <row r="434" spans="1:121" s="760" customFormat="1" ht="14.45" customHeight="1" x14ac:dyDescent="0.25">
      <c r="A434" s="266">
        <f t="shared" si="6"/>
        <v>35.666666666666664</v>
      </c>
      <c r="B434" s="389">
        <v>41786</v>
      </c>
      <c r="C434" s="390" t="s">
        <v>451</v>
      </c>
      <c r="D434" s="390" t="s">
        <v>504</v>
      </c>
      <c r="E434" s="390" t="s">
        <v>380</v>
      </c>
      <c r="F434" s="390" t="s">
        <v>237</v>
      </c>
      <c r="G434" s="390" t="s">
        <v>263</v>
      </c>
      <c r="H434" s="261"/>
      <c r="I434" s="261"/>
      <c r="J434" s="261">
        <v>12</v>
      </c>
      <c r="K434" s="261">
        <v>6</v>
      </c>
      <c r="L434" s="261">
        <v>12</v>
      </c>
      <c r="M434" s="261">
        <v>6</v>
      </c>
      <c r="N434" s="261"/>
      <c r="O434" s="261">
        <v>6</v>
      </c>
      <c r="P434" s="261">
        <v>30</v>
      </c>
      <c r="Q434" s="261"/>
      <c r="R434" s="261"/>
      <c r="S434" s="261"/>
      <c r="T434" s="261"/>
      <c r="U434" s="261"/>
      <c r="V434" s="762"/>
      <c r="W434" s="261"/>
      <c r="X434" s="261"/>
      <c r="Y434" s="264">
        <f>IF(NFI_Expiration=1,IF($A434&lt;VLOOKUP(H$5,NFI,5,0),1,0)*Table_NFI[[#This Row],[Hygiene Kit]],Table_NFI[Hygiene Kit])</f>
        <v>0</v>
      </c>
      <c r="Z434" s="264">
        <f>IF(NFI_Expiration=1,IF($A434&lt;VLOOKUP(I$5,NFI,5,0),1,0)*Table_NFI[[#This Row],[NFI Core Kit]],Table_NFI[NFI Core Kit])</f>
        <v>0</v>
      </c>
      <c r="AA434" s="264">
        <f>IF(NFI_Expiration=1,IF($A434&lt;VLOOKUP(J$5,NFI,5,0),1,0)*Table_NFI[[#This Row],[Sanitary Kit]],Table_NFI[Sanitary Kit])</f>
        <v>0</v>
      </c>
      <c r="AB434" s="264">
        <f>IF(NFI_Expiration=1,IF($A434&lt;VLOOKUP(K$5,NFI,5,0),1,0)*Table_NFI[[#This Row],[Mosquito net]],Table_NFI[Mosquito net])</f>
        <v>0</v>
      </c>
      <c r="AC434" s="264">
        <f>IF(NFI_Expiration=1,IF($A434&lt;VLOOKUP(L$5,NFI,5,0),1,0)*Table_NFI[[#This Row],[Tarpaulin]],Table_NFI[[#This Row],[Tarpaulin]])</f>
        <v>0</v>
      </c>
      <c r="AD434" s="264">
        <f>IF(NFI_Expiration=1,IF($A434&lt;VLOOKUP(M$5,NFI,5,0),1,0)*Table_NFI[[#This Row],[Blanket]],Table_NFI[[#This Row],[Blanket]])</f>
        <v>0</v>
      </c>
      <c r="AE434" s="264">
        <f>IF(NFI_Expiration=1,IF($A434&lt;VLOOKUP(N$5,NFI,5,0),1,0)*Table_NFI[[#This Row],[Kitchen Set]],Table_NFI[Kitchen Set])</f>
        <v>0</v>
      </c>
      <c r="AF434" s="264">
        <f>IF(NFI_Expiration=1,IF($A434&lt;VLOOKUP(O$5,NFI,5,0),1,0)*Table_NFI[[#This Row],[Clothes Kit]],Table_NFI[Clothes Kit])</f>
        <v>0</v>
      </c>
      <c r="AG434" s="264">
        <f>IF(NFI_Expiration=1,IF($A434&lt;VLOOKUP(P$5,NFI,5,0),1,0)*Table_NFI[[#This Row],[Plastic Bucket]],Table_NFI[Plastic Bucket])</f>
        <v>0</v>
      </c>
      <c r="AH434" s="264">
        <f>IF(NFI_Expiration=1,IF($A434&lt;VLOOKUP(Q$5,NFI,5,0),1,0)*Table_NFI[[#This Row],[Plastic Mat]],Table_NFI[Plastic Mat])*IF(Table_NFI[[#This Row],[Distribution Date]]&gt;"2014-04-01",1,2.5)</f>
        <v>0</v>
      </c>
      <c r="AI434" s="264">
        <f>IF(NFI_Expiration=1,IF($A434&lt;VLOOKUP(R$5,NFI,5,0),1,0)*Table_NFI[[#This Row],[Winter Clothes Adult]],Table_NFI[Winter Clothes Adult])</f>
        <v>0</v>
      </c>
      <c r="AJ434" s="264">
        <f>IF(NFI_Expiration=1,IF($A434&lt;VLOOKUP(S$5,NFI,5,0),1,0)*Table_NFI[[#This Row],[Winter Clothes Children]],Table_NFI[Winter Clothes Children])</f>
        <v>0</v>
      </c>
      <c r="AK434" s="264">
        <f>IF(NFI_Expiration=1,IF($A434&lt;VLOOKUP(T$5,NFI,5,0),1,0)*Table_NFI[[#This Row],[Winter Items Other]],Table_NFI[Winter Items Other])</f>
        <v>0</v>
      </c>
      <c r="AL434" s="264">
        <f>IF(NFI_Expiration=1,IF($A434&lt;VLOOKUP(M$5,NFI,5,0),1,0)*Table_NFI[[#This Row],[Winter Blanket]],Table_NFI[[#This Row],[Winter Blanket]])</f>
        <v>0</v>
      </c>
      <c r="AM434" s="264">
        <f>IF(Table_NFI[[#This Row],[Winter Clothes Adult]]+Table_NFI[[#This Row],[Winter Clothes Children]]+Table_NFI[[#This Row],[Winter Items Other]]+Table_NFI[[#This Row],[Winter Blanket]]&gt;0,1,0)</f>
        <v>0</v>
      </c>
      <c r="AN434" s="296">
        <f>IF(NFI_Expiration=1,IF($A434&lt;VLOOKUP(V$5,NFI,5,0),1,0)*Table_NFI[[#This Row],[Jerry Can]],Table_NFI[Jerry Can])</f>
        <v>0</v>
      </c>
      <c r="AO434" s="296">
        <f>IF(NFI_Expiration=1,IF($A434&lt;VLOOKUP(V$5,NFI,5,0),1,0)*Table_NFI[[#This Row],[Shelter Tool kit]],Table_NFI[Shelter Tool kit])</f>
        <v>0</v>
      </c>
      <c r="AP434" s="296">
        <f>IF(NFI_Expiration=1,IF($A434&lt;VLOOKUP(V$5,NFI,5,0),1,0)*Table_NFI[[#This Row],[Tent]],Table_NFI[Tent])</f>
        <v>0</v>
      </c>
      <c r="AQ434" s="396" t="str">
        <f>IFERROR(VLOOKUP(Table_NFI[[#This Row],[Camp Name]],CL,2,0),"")</f>
        <v>MMR001CMP020</v>
      </c>
      <c r="AR434" s="702">
        <f ca="1">IF(Table_NFI[[#This Row],[Pcode]]="","",IF(OFFSET(CampList[Opening Date],MATCH(Table_NFI[[#This Row],[Pcode]],CampList[CP_Pcode],0)-1,0,1,1)&gt;=NFI_Monitor_Date,1,0))</f>
        <v>0</v>
      </c>
      <c r="AS434" s="396" t="str">
        <f>IFERROR(VLOOKUP(Table_NFI[[#This Row],[Camp Name]],CL,3,0),"")</f>
        <v>Open</v>
      </c>
      <c r="AT434" s="264" t="str">
        <f ca="1">IF(Table_NFI[[#This Row],[Pcode]]="","",OFFSET(CampList[Priority],MATCH(Table_NFI[[#This Row],[Pcode]],CampList[CP_Pcode],0)-1,0,1,1))</f>
        <v>P4</v>
      </c>
      <c r="AU434" s="263">
        <f>IFERROR(Table_NFI[[#This Row],[Kitchen Set]]/VLOOKUP(Table_NFI[[#This Row],[Camp Name]],CL,4,0),"")</f>
        <v>0</v>
      </c>
      <c r="AV434" s="390"/>
      <c r="AW434" s="392"/>
      <c r="AX434" s="399"/>
      <c r="AY434" s="399"/>
      <c r="AZ434" s="399"/>
      <c r="BA434" s="399"/>
      <c r="BB434" s="399"/>
      <c r="BC434" s="399"/>
      <c r="BD434" s="399"/>
      <c r="BE434" s="399"/>
      <c r="BF434" s="399"/>
      <c r="BG434" s="399"/>
      <c r="BH434" s="399"/>
      <c r="BI434" s="399"/>
      <c r="BJ434" s="399"/>
      <c r="BK434" s="399"/>
      <c r="BL434" s="399"/>
      <c r="BM434" s="399"/>
      <c r="BN434" s="399"/>
      <c r="BO434" s="399"/>
      <c r="BP434" s="399"/>
      <c r="BQ434" s="399"/>
      <c r="BR434" s="399"/>
      <c r="BS434" s="399"/>
      <c r="BT434" s="399"/>
      <c r="BU434" s="399"/>
      <c r="BV434" s="399"/>
      <c r="BW434" s="399"/>
      <c r="BX434" s="399"/>
      <c r="BY434" s="399"/>
      <c r="BZ434" s="399"/>
      <c r="CA434" s="399"/>
      <c r="CB434" s="399"/>
      <c r="CC434" s="399"/>
      <c r="CD434" s="399"/>
      <c r="CE434" s="399"/>
      <c r="CF434" s="399"/>
      <c r="CG434" s="399"/>
      <c r="CH434" s="399"/>
      <c r="CI434" s="399"/>
      <c r="CJ434" s="399"/>
      <c r="CK434" s="399"/>
      <c r="CL434" s="399"/>
      <c r="CM434" s="399"/>
      <c r="CN434" s="399"/>
      <c r="CO434" s="399"/>
      <c r="CP434" s="399"/>
      <c r="CQ434" s="399"/>
      <c r="CR434" s="399"/>
      <c r="CS434" s="399"/>
      <c r="CT434" s="399"/>
      <c r="CU434" s="399"/>
      <c r="CV434" s="399"/>
      <c r="CW434" s="399"/>
      <c r="CX434" s="399"/>
      <c r="CY434" s="399"/>
      <c r="CZ434" s="399"/>
      <c r="DA434" s="399"/>
      <c r="DB434" s="399"/>
      <c r="DC434" s="399"/>
      <c r="DD434" s="399"/>
      <c r="DE434" s="399"/>
      <c r="DF434" s="399"/>
      <c r="DG434" s="399"/>
      <c r="DH434" s="399"/>
      <c r="DI434" s="399"/>
      <c r="DJ434" s="399"/>
      <c r="DK434" s="399"/>
      <c r="DL434" s="399"/>
      <c r="DM434" s="399"/>
      <c r="DN434" s="399"/>
      <c r="DO434" s="399"/>
      <c r="DP434" s="399"/>
      <c r="DQ434" s="399"/>
    </row>
    <row r="435" spans="1:121" s="760" customFormat="1" ht="14.45" customHeight="1" x14ac:dyDescent="0.25">
      <c r="A435" s="266">
        <f t="shared" si="6"/>
        <v>35.666666666666664</v>
      </c>
      <c r="B435" s="389">
        <v>41786</v>
      </c>
      <c r="C435" s="390" t="s">
        <v>451</v>
      </c>
      <c r="D435" s="390" t="s">
        <v>504</v>
      </c>
      <c r="E435" s="390" t="s">
        <v>380</v>
      </c>
      <c r="F435" s="390" t="s">
        <v>310</v>
      </c>
      <c r="G435" s="390" t="s">
        <v>351</v>
      </c>
      <c r="H435" s="261"/>
      <c r="I435" s="261"/>
      <c r="J435" s="261">
        <v>3</v>
      </c>
      <c r="K435" s="261">
        <v>3</v>
      </c>
      <c r="L435" s="261">
        <v>6</v>
      </c>
      <c r="M435" s="261">
        <v>3</v>
      </c>
      <c r="N435" s="261"/>
      <c r="O435" s="261">
        <v>3</v>
      </c>
      <c r="P435" s="261">
        <v>15</v>
      </c>
      <c r="Q435" s="261"/>
      <c r="R435" s="261"/>
      <c r="S435" s="261"/>
      <c r="T435" s="261"/>
      <c r="U435" s="261"/>
      <c r="V435" s="762"/>
      <c r="W435" s="261"/>
      <c r="X435" s="261"/>
      <c r="Y435" s="264">
        <f>IF(NFI_Expiration=1,IF($A435&lt;VLOOKUP(H$5,NFI,5,0),1,0)*Table_NFI[[#This Row],[Hygiene Kit]],Table_NFI[Hygiene Kit])</f>
        <v>0</v>
      </c>
      <c r="Z435" s="264">
        <f>IF(NFI_Expiration=1,IF($A435&lt;VLOOKUP(I$5,NFI,5,0),1,0)*Table_NFI[[#This Row],[NFI Core Kit]],Table_NFI[NFI Core Kit])</f>
        <v>0</v>
      </c>
      <c r="AA435" s="264">
        <f>IF(NFI_Expiration=1,IF($A435&lt;VLOOKUP(J$5,NFI,5,0),1,0)*Table_NFI[[#This Row],[Sanitary Kit]],Table_NFI[Sanitary Kit])</f>
        <v>0</v>
      </c>
      <c r="AB435" s="264">
        <f>IF(NFI_Expiration=1,IF($A435&lt;VLOOKUP(K$5,NFI,5,0),1,0)*Table_NFI[[#This Row],[Mosquito net]],Table_NFI[Mosquito net])</f>
        <v>0</v>
      </c>
      <c r="AC435" s="264">
        <f>IF(NFI_Expiration=1,IF($A435&lt;VLOOKUP(L$5,NFI,5,0),1,0)*Table_NFI[[#This Row],[Tarpaulin]],Table_NFI[[#This Row],[Tarpaulin]])</f>
        <v>0</v>
      </c>
      <c r="AD435" s="264">
        <f>IF(NFI_Expiration=1,IF($A435&lt;VLOOKUP(M$5,NFI,5,0),1,0)*Table_NFI[[#This Row],[Blanket]],Table_NFI[[#This Row],[Blanket]])</f>
        <v>0</v>
      </c>
      <c r="AE435" s="264">
        <f>IF(NFI_Expiration=1,IF($A435&lt;VLOOKUP(N$5,NFI,5,0),1,0)*Table_NFI[[#This Row],[Kitchen Set]],Table_NFI[Kitchen Set])</f>
        <v>0</v>
      </c>
      <c r="AF435" s="264">
        <f>IF(NFI_Expiration=1,IF($A435&lt;VLOOKUP(O$5,NFI,5,0),1,0)*Table_NFI[[#This Row],[Clothes Kit]],Table_NFI[Clothes Kit])</f>
        <v>0</v>
      </c>
      <c r="AG435" s="264">
        <f>IF(NFI_Expiration=1,IF($A435&lt;VLOOKUP(P$5,NFI,5,0),1,0)*Table_NFI[[#This Row],[Plastic Bucket]],Table_NFI[Plastic Bucket])</f>
        <v>0</v>
      </c>
      <c r="AH435" s="264">
        <f>IF(NFI_Expiration=1,IF($A435&lt;VLOOKUP(Q$5,NFI,5,0),1,0)*Table_NFI[[#This Row],[Plastic Mat]],Table_NFI[Plastic Mat])*IF(Table_NFI[[#This Row],[Distribution Date]]&gt;"2014-04-01",1,2.5)</f>
        <v>0</v>
      </c>
      <c r="AI435" s="264">
        <f>IF(NFI_Expiration=1,IF($A435&lt;VLOOKUP(R$5,NFI,5,0),1,0)*Table_NFI[[#This Row],[Winter Clothes Adult]],Table_NFI[Winter Clothes Adult])</f>
        <v>0</v>
      </c>
      <c r="AJ435" s="264">
        <f>IF(NFI_Expiration=1,IF($A435&lt;VLOOKUP(S$5,NFI,5,0),1,0)*Table_NFI[[#This Row],[Winter Clothes Children]],Table_NFI[Winter Clothes Children])</f>
        <v>0</v>
      </c>
      <c r="AK435" s="264">
        <f>IF(NFI_Expiration=1,IF($A435&lt;VLOOKUP(T$5,NFI,5,0),1,0)*Table_NFI[[#This Row],[Winter Items Other]],Table_NFI[Winter Items Other])</f>
        <v>0</v>
      </c>
      <c r="AL435" s="264">
        <f>IF(NFI_Expiration=1,IF($A435&lt;VLOOKUP(M$5,NFI,5,0),1,0)*Table_NFI[[#This Row],[Winter Blanket]],Table_NFI[[#This Row],[Winter Blanket]])</f>
        <v>0</v>
      </c>
      <c r="AM435" s="264">
        <f>IF(Table_NFI[[#This Row],[Winter Clothes Adult]]+Table_NFI[[#This Row],[Winter Clothes Children]]+Table_NFI[[#This Row],[Winter Items Other]]+Table_NFI[[#This Row],[Winter Blanket]]&gt;0,1,0)</f>
        <v>0</v>
      </c>
      <c r="AN435" s="296">
        <f>IF(NFI_Expiration=1,IF($A435&lt;VLOOKUP(V$5,NFI,5,0),1,0)*Table_NFI[[#This Row],[Jerry Can]],Table_NFI[Jerry Can])</f>
        <v>0</v>
      </c>
      <c r="AO435" s="296">
        <f>IF(NFI_Expiration=1,IF($A435&lt;VLOOKUP(V$5,NFI,5,0),1,0)*Table_NFI[[#This Row],[Shelter Tool kit]],Table_NFI[Shelter Tool kit])</f>
        <v>0</v>
      </c>
      <c r="AP435" s="296">
        <f>IF(NFI_Expiration=1,IF($A435&lt;VLOOKUP(V$5,NFI,5,0),1,0)*Table_NFI[[#This Row],[Tent]],Table_NFI[Tent])</f>
        <v>0</v>
      </c>
      <c r="AQ435" s="396" t="str">
        <f>IFERROR(VLOOKUP(Table_NFI[[#This Row],[Camp Name]],CL,2,0),"")</f>
        <v>MMR001CMP026</v>
      </c>
      <c r="AR435" s="702">
        <f ca="1">IF(Table_NFI[[#This Row],[Pcode]]="","",IF(OFFSET(CampList[Opening Date],MATCH(Table_NFI[[#This Row],[Pcode]],CampList[CP_Pcode],0)-1,0,1,1)&gt;=NFI_Monitor_Date,1,0))</f>
        <v>0</v>
      </c>
      <c r="AS435" s="396" t="str">
        <f>IFERROR(VLOOKUP(Table_NFI[[#This Row],[Camp Name]],CL,3,0),"")</f>
        <v>Open</v>
      </c>
      <c r="AT435" s="264" t="str">
        <f ca="1">IF(Table_NFI[[#This Row],[Pcode]]="","",OFFSET(CampList[Priority],MATCH(Table_NFI[[#This Row],[Pcode]],CampList[CP_Pcode],0)-1,0,1,1))</f>
        <v>P4</v>
      </c>
      <c r="AU435" s="263">
        <f>IFERROR(Table_NFI[[#This Row],[Kitchen Set]]/VLOOKUP(Table_NFI[[#This Row],[Camp Name]],CL,4,0),"")</f>
        <v>0</v>
      </c>
      <c r="AV435" s="390"/>
      <c r="AW435" s="392"/>
      <c r="AX435" s="399"/>
      <c r="AY435" s="399"/>
      <c r="AZ435" s="399"/>
      <c r="BA435" s="399"/>
      <c r="BB435" s="399"/>
      <c r="BC435" s="399"/>
      <c r="BD435" s="399"/>
      <c r="BE435" s="399"/>
      <c r="BF435" s="399"/>
      <c r="BG435" s="399"/>
      <c r="BH435" s="399"/>
      <c r="BI435" s="399"/>
      <c r="BJ435" s="399"/>
      <c r="BK435" s="399"/>
      <c r="BL435" s="399"/>
      <c r="BM435" s="399"/>
      <c r="BN435" s="399"/>
      <c r="BO435" s="399"/>
      <c r="BP435" s="399"/>
      <c r="BQ435" s="399"/>
      <c r="BR435" s="399"/>
      <c r="BS435" s="399"/>
      <c r="BT435" s="399"/>
      <c r="BU435" s="399"/>
      <c r="BV435" s="399"/>
      <c r="BW435" s="399"/>
      <c r="BX435" s="399"/>
      <c r="BY435" s="399"/>
      <c r="BZ435" s="399"/>
      <c r="CA435" s="399"/>
      <c r="CB435" s="399"/>
      <c r="CC435" s="399"/>
      <c r="CD435" s="399"/>
      <c r="CE435" s="399"/>
      <c r="CF435" s="399"/>
      <c r="CG435" s="399"/>
      <c r="CH435" s="399"/>
      <c r="CI435" s="399"/>
      <c r="CJ435" s="399"/>
      <c r="CK435" s="399"/>
      <c r="CL435" s="399"/>
      <c r="CM435" s="399"/>
      <c r="CN435" s="399"/>
      <c r="CO435" s="399"/>
      <c r="CP435" s="399"/>
      <c r="CQ435" s="399"/>
      <c r="CR435" s="399"/>
      <c r="CS435" s="399"/>
      <c r="CT435" s="399"/>
      <c r="CU435" s="399"/>
      <c r="CV435" s="399"/>
      <c r="CW435" s="399"/>
      <c r="CX435" s="399"/>
      <c r="CY435" s="399"/>
      <c r="CZ435" s="399"/>
      <c r="DA435" s="399"/>
      <c r="DB435" s="399"/>
      <c r="DC435" s="399"/>
      <c r="DD435" s="399"/>
      <c r="DE435" s="399"/>
      <c r="DF435" s="399"/>
      <c r="DG435" s="399"/>
      <c r="DH435" s="399"/>
      <c r="DI435" s="399"/>
      <c r="DJ435" s="399"/>
      <c r="DK435" s="399"/>
      <c r="DL435" s="399"/>
      <c r="DM435" s="399"/>
      <c r="DN435" s="399"/>
      <c r="DO435" s="399"/>
      <c r="DP435" s="399"/>
      <c r="DQ435" s="399"/>
    </row>
    <row r="436" spans="1:121" s="760" customFormat="1" ht="14.45" customHeight="1" x14ac:dyDescent="0.25">
      <c r="A436" s="266">
        <f t="shared" si="6"/>
        <v>35.666666666666664</v>
      </c>
      <c r="B436" s="389">
        <v>41786</v>
      </c>
      <c r="C436" s="390" t="s">
        <v>451</v>
      </c>
      <c r="D436" s="390" t="s">
        <v>504</v>
      </c>
      <c r="E436" s="390" t="s">
        <v>380</v>
      </c>
      <c r="F436" s="390" t="s">
        <v>310</v>
      </c>
      <c r="G436" s="390" t="s">
        <v>349</v>
      </c>
      <c r="H436" s="261"/>
      <c r="I436" s="261"/>
      <c r="J436" s="261">
        <v>18</v>
      </c>
      <c r="K436" s="261">
        <v>9</v>
      </c>
      <c r="L436" s="261">
        <v>18</v>
      </c>
      <c r="M436" s="261">
        <v>9</v>
      </c>
      <c r="N436" s="261"/>
      <c r="O436" s="261">
        <v>9</v>
      </c>
      <c r="P436" s="261">
        <v>45</v>
      </c>
      <c r="Q436" s="261"/>
      <c r="R436" s="261"/>
      <c r="S436" s="261"/>
      <c r="T436" s="261"/>
      <c r="U436" s="261"/>
      <c r="V436" s="762"/>
      <c r="W436" s="261"/>
      <c r="X436" s="261"/>
      <c r="Y436" s="264">
        <f>IF(NFI_Expiration=1,IF($A436&lt;VLOOKUP(H$5,NFI,5,0),1,0)*Table_NFI[[#This Row],[Hygiene Kit]],Table_NFI[Hygiene Kit])</f>
        <v>0</v>
      </c>
      <c r="Z436" s="264">
        <f>IF(NFI_Expiration=1,IF($A436&lt;VLOOKUP(I$5,NFI,5,0),1,0)*Table_NFI[[#This Row],[NFI Core Kit]],Table_NFI[NFI Core Kit])</f>
        <v>0</v>
      </c>
      <c r="AA436" s="264">
        <f>IF(NFI_Expiration=1,IF($A436&lt;VLOOKUP(J$5,NFI,5,0),1,0)*Table_NFI[[#This Row],[Sanitary Kit]],Table_NFI[Sanitary Kit])</f>
        <v>0</v>
      </c>
      <c r="AB436" s="264">
        <f>IF(NFI_Expiration=1,IF($A436&lt;VLOOKUP(K$5,NFI,5,0),1,0)*Table_NFI[[#This Row],[Mosquito net]],Table_NFI[Mosquito net])</f>
        <v>0</v>
      </c>
      <c r="AC436" s="264">
        <f>IF(NFI_Expiration=1,IF($A436&lt;VLOOKUP(L$5,NFI,5,0),1,0)*Table_NFI[[#This Row],[Tarpaulin]],Table_NFI[[#This Row],[Tarpaulin]])</f>
        <v>0</v>
      </c>
      <c r="AD436" s="264">
        <f>IF(NFI_Expiration=1,IF($A436&lt;VLOOKUP(M$5,NFI,5,0),1,0)*Table_NFI[[#This Row],[Blanket]],Table_NFI[[#This Row],[Blanket]])</f>
        <v>0</v>
      </c>
      <c r="AE436" s="264">
        <f>IF(NFI_Expiration=1,IF($A436&lt;VLOOKUP(N$5,NFI,5,0),1,0)*Table_NFI[[#This Row],[Kitchen Set]],Table_NFI[Kitchen Set])</f>
        <v>0</v>
      </c>
      <c r="AF436" s="264">
        <f>IF(NFI_Expiration=1,IF($A436&lt;VLOOKUP(O$5,NFI,5,0),1,0)*Table_NFI[[#This Row],[Clothes Kit]],Table_NFI[Clothes Kit])</f>
        <v>0</v>
      </c>
      <c r="AG436" s="264">
        <f>IF(NFI_Expiration=1,IF($A436&lt;VLOOKUP(P$5,NFI,5,0),1,0)*Table_NFI[[#This Row],[Plastic Bucket]],Table_NFI[Plastic Bucket])</f>
        <v>0</v>
      </c>
      <c r="AH436" s="264">
        <f>IF(NFI_Expiration=1,IF($A436&lt;VLOOKUP(Q$5,NFI,5,0),1,0)*Table_NFI[[#This Row],[Plastic Mat]],Table_NFI[Plastic Mat])*IF(Table_NFI[[#This Row],[Distribution Date]]&gt;"2014-04-01",1,2.5)</f>
        <v>0</v>
      </c>
      <c r="AI436" s="264">
        <f>IF(NFI_Expiration=1,IF($A436&lt;VLOOKUP(R$5,NFI,5,0),1,0)*Table_NFI[[#This Row],[Winter Clothes Adult]],Table_NFI[Winter Clothes Adult])</f>
        <v>0</v>
      </c>
      <c r="AJ436" s="264">
        <f>IF(NFI_Expiration=1,IF($A436&lt;VLOOKUP(S$5,NFI,5,0),1,0)*Table_NFI[[#This Row],[Winter Clothes Children]],Table_NFI[Winter Clothes Children])</f>
        <v>0</v>
      </c>
      <c r="AK436" s="264">
        <f>IF(NFI_Expiration=1,IF($A436&lt;VLOOKUP(T$5,NFI,5,0),1,0)*Table_NFI[[#This Row],[Winter Items Other]],Table_NFI[Winter Items Other])</f>
        <v>0</v>
      </c>
      <c r="AL436" s="264">
        <f>IF(NFI_Expiration=1,IF($A436&lt;VLOOKUP(M$5,NFI,5,0),1,0)*Table_NFI[[#This Row],[Winter Blanket]],Table_NFI[[#This Row],[Winter Blanket]])</f>
        <v>0</v>
      </c>
      <c r="AM436" s="264">
        <f>IF(Table_NFI[[#This Row],[Winter Clothes Adult]]+Table_NFI[[#This Row],[Winter Clothes Children]]+Table_NFI[[#This Row],[Winter Items Other]]+Table_NFI[[#This Row],[Winter Blanket]]&gt;0,1,0)</f>
        <v>0</v>
      </c>
      <c r="AN436" s="296">
        <f>IF(NFI_Expiration=1,IF($A436&lt;VLOOKUP(V$5,NFI,5,0),1,0)*Table_NFI[[#This Row],[Jerry Can]],Table_NFI[Jerry Can])</f>
        <v>0</v>
      </c>
      <c r="AO436" s="296">
        <f>IF(NFI_Expiration=1,IF($A436&lt;VLOOKUP(V$5,NFI,5,0),1,0)*Table_NFI[[#This Row],[Shelter Tool kit]],Table_NFI[Shelter Tool kit])</f>
        <v>0</v>
      </c>
      <c r="AP436" s="296">
        <f>IF(NFI_Expiration=1,IF($A436&lt;VLOOKUP(V$5,NFI,5,0),1,0)*Table_NFI[[#This Row],[Tent]],Table_NFI[Tent])</f>
        <v>0</v>
      </c>
      <c r="AQ436" s="396" t="str">
        <f>IFERROR(VLOOKUP(Table_NFI[[#This Row],[Camp Name]],CL,2,0),"")</f>
        <v>MMR001CMP037</v>
      </c>
      <c r="AR436" s="702">
        <f ca="1">IF(Table_NFI[[#This Row],[Pcode]]="","",IF(OFFSET(CampList[Opening Date],MATCH(Table_NFI[[#This Row],[Pcode]],CampList[CP_Pcode],0)-1,0,1,1)&gt;=NFI_Monitor_Date,1,0))</f>
        <v>0</v>
      </c>
      <c r="AS436" s="396" t="str">
        <f>IFERROR(VLOOKUP(Table_NFI[[#This Row],[Camp Name]],CL,3,0),"")</f>
        <v>Open</v>
      </c>
      <c r="AT436" s="264" t="str">
        <f ca="1">IF(Table_NFI[[#This Row],[Pcode]]="","",OFFSET(CampList[Priority],MATCH(Table_NFI[[#This Row],[Pcode]],CampList[CP_Pcode],0)-1,0,1,1))</f>
        <v>P4</v>
      </c>
      <c r="AU436" s="263">
        <f>IFERROR(Table_NFI[[#This Row],[Kitchen Set]]/VLOOKUP(Table_NFI[[#This Row],[Camp Name]],CL,4,0),"")</f>
        <v>0</v>
      </c>
      <c r="AV436" s="390"/>
      <c r="AW436" s="392"/>
      <c r="AX436" s="399"/>
      <c r="AY436" s="399"/>
      <c r="AZ436" s="399"/>
      <c r="BA436" s="399"/>
      <c r="BB436" s="399"/>
      <c r="BC436" s="399"/>
      <c r="BD436" s="399"/>
      <c r="BE436" s="399"/>
      <c r="BF436" s="399"/>
      <c r="BG436" s="399"/>
      <c r="BH436" s="399"/>
      <c r="BI436" s="399"/>
      <c r="BJ436" s="399"/>
      <c r="BK436" s="399"/>
      <c r="BL436" s="399"/>
      <c r="BM436" s="399"/>
      <c r="BN436" s="399"/>
      <c r="BO436" s="399"/>
      <c r="BP436" s="399"/>
      <c r="BQ436" s="399"/>
      <c r="BR436" s="399"/>
      <c r="BS436" s="399"/>
      <c r="BT436" s="399"/>
      <c r="BU436" s="399"/>
      <c r="BV436" s="399"/>
      <c r="BW436" s="399"/>
      <c r="BX436" s="399"/>
      <c r="BY436" s="399"/>
      <c r="BZ436" s="399"/>
      <c r="CA436" s="399"/>
      <c r="CB436" s="399"/>
      <c r="CC436" s="399"/>
      <c r="CD436" s="399"/>
      <c r="CE436" s="399"/>
      <c r="CF436" s="399"/>
      <c r="CG436" s="399"/>
      <c r="CH436" s="399"/>
      <c r="CI436" s="399"/>
      <c r="CJ436" s="399"/>
      <c r="CK436" s="399"/>
      <c r="CL436" s="399"/>
      <c r="CM436" s="399"/>
      <c r="CN436" s="399"/>
      <c r="CO436" s="399"/>
      <c r="CP436" s="399"/>
      <c r="CQ436" s="399"/>
      <c r="CR436" s="399"/>
      <c r="CS436" s="399"/>
      <c r="CT436" s="399"/>
      <c r="CU436" s="399"/>
      <c r="CV436" s="399"/>
      <c r="CW436" s="399"/>
      <c r="CX436" s="399"/>
      <c r="CY436" s="399"/>
      <c r="CZ436" s="399"/>
      <c r="DA436" s="399"/>
      <c r="DB436" s="399"/>
      <c r="DC436" s="399"/>
      <c r="DD436" s="399"/>
      <c r="DE436" s="399"/>
      <c r="DF436" s="399"/>
      <c r="DG436" s="399"/>
      <c r="DH436" s="399"/>
      <c r="DI436" s="399"/>
      <c r="DJ436" s="399"/>
      <c r="DK436" s="399"/>
      <c r="DL436" s="399"/>
      <c r="DM436" s="399"/>
      <c r="DN436" s="399"/>
      <c r="DO436" s="399"/>
      <c r="DP436" s="399"/>
      <c r="DQ436" s="399"/>
    </row>
    <row r="437" spans="1:121" s="760" customFormat="1" ht="14.45" customHeight="1" x14ac:dyDescent="0.25">
      <c r="A437" s="266">
        <f t="shared" si="6"/>
        <v>35.700000000000003</v>
      </c>
      <c r="B437" s="389">
        <v>41785</v>
      </c>
      <c r="C437" s="390" t="s">
        <v>1099</v>
      </c>
      <c r="D437" s="390" t="s">
        <v>899</v>
      </c>
      <c r="E437" s="390" t="s">
        <v>380</v>
      </c>
      <c r="F437" s="390" t="s">
        <v>310</v>
      </c>
      <c r="G437" s="390" t="s">
        <v>344</v>
      </c>
      <c r="H437" s="261"/>
      <c r="I437" s="261"/>
      <c r="J437" s="261"/>
      <c r="K437" s="261"/>
      <c r="L437" s="261"/>
      <c r="M437" s="261"/>
      <c r="N437" s="261"/>
      <c r="O437" s="261"/>
      <c r="P437" s="261"/>
      <c r="Q437" s="261"/>
      <c r="R437" s="261"/>
      <c r="S437" s="261"/>
      <c r="T437" s="261"/>
      <c r="U437" s="261">
        <v>36</v>
      </c>
      <c r="V437" s="762"/>
      <c r="W437" s="261"/>
      <c r="X437" s="261"/>
      <c r="Y437" s="264">
        <f>IF(NFI_Expiration=1,IF($A437&lt;VLOOKUP(H$5,NFI,5,0),1,0)*Table_NFI[[#This Row],[Hygiene Kit]],Table_NFI[Hygiene Kit])</f>
        <v>0</v>
      </c>
      <c r="Z437" s="264">
        <f>IF(NFI_Expiration=1,IF($A437&lt;VLOOKUP(I$5,NFI,5,0),1,0)*Table_NFI[[#This Row],[NFI Core Kit]],Table_NFI[NFI Core Kit])</f>
        <v>0</v>
      </c>
      <c r="AA437" s="264">
        <f>IF(NFI_Expiration=1,IF($A437&lt;VLOOKUP(J$5,NFI,5,0),1,0)*Table_NFI[[#This Row],[Sanitary Kit]],Table_NFI[Sanitary Kit])</f>
        <v>0</v>
      </c>
      <c r="AB437" s="264">
        <f>IF(NFI_Expiration=1,IF($A437&lt;VLOOKUP(K$5,NFI,5,0),1,0)*Table_NFI[[#This Row],[Mosquito net]],Table_NFI[Mosquito net])</f>
        <v>0</v>
      </c>
      <c r="AC437" s="264">
        <f>IF(NFI_Expiration=1,IF($A437&lt;VLOOKUP(L$5,NFI,5,0),1,0)*Table_NFI[[#This Row],[Tarpaulin]],Table_NFI[[#This Row],[Tarpaulin]])</f>
        <v>0</v>
      </c>
      <c r="AD437" s="264">
        <f>IF(NFI_Expiration=1,IF($A437&lt;VLOOKUP(M$5,NFI,5,0),1,0)*Table_NFI[[#This Row],[Blanket]],Table_NFI[[#This Row],[Blanket]])</f>
        <v>0</v>
      </c>
      <c r="AE437" s="264">
        <f>IF(NFI_Expiration=1,IF($A437&lt;VLOOKUP(N$5,NFI,5,0),1,0)*Table_NFI[[#This Row],[Kitchen Set]],Table_NFI[Kitchen Set])</f>
        <v>0</v>
      </c>
      <c r="AF437" s="264">
        <f>IF(NFI_Expiration=1,IF($A437&lt;VLOOKUP(O$5,NFI,5,0),1,0)*Table_NFI[[#This Row],[Clothes Kit]],Table_NFI[Clothes Kit])</f>
        <v>0</v>
      </c>
      <c r="AG437" s="264">
        <f>IF(NFI_Expiration=1,IF($A437&lt;VLOOKUP(P$5,NFI,5,0),1,0)*Table_NFI[[#This Row],[Plastic Bucket]],Table_NFI[Plastic Bucket])</f>
        <v>0</v>
      </c>
      <c r="AH437" s="264">
        <f>IF(NFI_Expiration=1,IF($A437&lt;VLOOKUP(Q$5,NFI,5,0),1,0)*Table_NFI[[#This Row],[Plastic Mat]],Table_NFI[Plastic Mat])*IF(Table_NFI[[#This Row],[Distribution Date]]&gt;"2014-04-01",1,2.5)</f>
        <v>0</v>
      </c>
      <c r="AI437" s="264">
        <f>IF(NFI_Expiration=1,IF($A437&lt;VLOOKUP(R$5,NFI,5,0),1,0)*Table_NFI[[#This Row],[Winter Clothes Adult]],Table_NFI[Winter Clothes Adult])</f>
        <v>0</v>
      </c>
      <c r="AJ437" s="264">
        <f>IF(NFI_Expiration=1,IF($A437&lt;VLOOKUP(S$5,NFI,5,0),1,0)*Table_NFI[[#This Row],[Winter Clothes Children]],Table_NFI[Winter Clothes Children])</f>
        <v>0</v>
      </c>
      <c r="AK437" s="264">
        <f>IF(NFI_Expiration=1,IF($A437&lt;VLOOKUP(T$5,NFI,5,0),1,0)*Table_NFI[[#This Row],[Winter Items Other]],Table_NFI[Winter Items Other])</f>
        <v>0</v>
      </c>
      <c r="AL437" s="264">
        <f>IF(NFI_Expiration=1,IF($A437&lt;VLOOKUP(M$5,NFI,5,0),1,0)*Table_NFI[[#This Row],[Winter Blanket]],Table_NFI[[#This Row],[Winter Blanket]])</f>
        <v>0</v>
      </c>
      <c r="AM437" s="264">
        <f>IF(Table_NFI[[#This Row],[Winter Clothes Adult]]+Table_NFI[[#This Row],[Winter Clothes Children]]+Table_NFI[[#This Row],[Winter Items Other]]+Table_NFI[[#This Row],[Winter Blanket]]&gt;0,1,0)</f>
        <v>1</v>
      </c>
      <c r="AN437" s="296">
        <f>IF(NFI_Expiration=1,IF($A437&lt;VLOOKUP(V$5,NFI,5,0),1,0)*Table_NFI[[#This Row],[Jerry Can]],Table_NFI[Jerry Can])</f>
        <v>0</v>
      </c>
      <c r="AO437" s="296">
        <f>IF(NFI_Expiration=1,IF($A437&lt;VLOOKUP(V$5,NFI,5,0),1,0)*Table_NFI[[#This Row],[Shelter Tool kit]],Table_NFI[Shelter Tool kit])</f>
        <v>0</v>
      </c>
      <c r="AP437" s="296">
        <f>IF(NFI_Expiration=1,IF($A437&lt;VLOOKUP(V$5,NFI,5,0),1,0)*Table_NFI[[#This Row],[Tent]],Table_NFI[Tent])</f>
        <v>0</v>
      </c>
      <c r="AQ437" s="396" t="str">
        <f>IFERROR(VLOOKUP(Table_NFI[[#This Row],[Camp Name]],CL,2,0),"")</f>
        <v>MMR001CMP033</v>
      </c>
      <c r="AR437" s="702">
        <f ca="1">IF(Table_NFI[[#This Row],[Pcode]]="","",IF(OFFSET(CampList[Opening Date],MATCH(Table_NFI[[#This Row],[Pcode]],CampList[CP_Pcode],0)-1,0,1,1)&gt;=NFI_Monitor_Date,1,0))</f>
        <v>0</v>
      </c>
      <c r="AS437" s="396" t="str">
        <f>IFERROR(VLOOKUP(Table_NFI[[#This Row],[Camp Name]],CL,3,0),"")</f>
        <v>Open</v>
      </c>
      <c r="AT437" s="264" t="str">
        <f ca="1">IF(Table_NFI[[#This Row],[Pcode]]="","",OFFSET(CampList[Priority],MATCH(Table_NFI[[#This Row],[Pcode]],CampList[CP_Pcode],0)-1,0,1,1))</f>
        <v>P4</v>
      </c>
      <c r="AU437" s="263">
        <f>IFERROR(Table_NFI[[#This Row],[Kitchen Set]]/VLOOKUP(Table_NFI[[#This Row],[Camp Name]],CL,4,0),"")</f>
        <v>0</v>
      </c>
      <c r="AV437" s="390"/>
      <c r="AW437" s="392"/>
      <c r="AX437" s="399"/>
      <c r="AY437" s="399"/>
      <c r="AZ437" s="399"/>
      <c r="BA437" s="399"/>
      <c r="BB437" s="399"/>
      <c r="BC437" s="399"/>
      <c r="BD437" s="399"/>
      <c r="BE437" s="399"/>
      <c r="BF437" s="399"/>
      <c r="BG437" s="399"/>
      <c r="BH437" s="399"/>
      <c r="BI437" s="399"/>
      <c r="BJ437" s="399"/>
      <c r="BK437" s="399"/>
      <c r="BL437" s="399"/>
      <c r="BM437" s="399"/>
      <c r="BN437" s="399"/>
      <c r="BO437" s="399"/>
      <c r="BP437" s="399"/>
      <c r="BQ437" s="399"/>
      <c r="BR437" s="399"/>
      <c r="BS437" s="399"/>
      <c r="BT437" s="399"/>
      <c r="BU437" s="399"/>
      <c r="BV437" s="399"/>
      <c r="BW437" s="399"/>
      <c r="BX437" s="399"/>
      <c r="BY437" s="399"/>
      <c r="BZ437" s="399"/>
      <c r="CA437" s="399"/>
      <c r="CB437" s="399"/>
      <c r="CC437" s="399"/>
      <c r="CD437" s="399"/>
      <c r="CE437" s="399"/>
      <c r="CF437" s="399"/>
      <c r="CG437" s="399"/>
      <c r="CH437" s="399"/>
      <c r="CI437" s="399"/>
      <c r="CJ437" s="399"/>
      <c r="CK437" s="399"/>
      <c r="CL437" s="399"/>
      <c r="CM437" s="399"/>
      <c r="CN437" s="399"/>
      <c r="CO437" s="399"/>
      <c r="CP437" s="399"/>
      <c r="CQ437" s="399"/>
      <c r="CR437" s="399"/>
      <c r="CS437" s="399"/>
      <c r="CT437" s="399"/>
      <c r="CU437" s="399"/>
      <c r="CV437" s="399"/>
      <c r="CW437" s="399"/>
      <c r="CX437" s="399"/>
      <c r="CY437" s="399"/>
      <c r="CZ437" s="399"/>
      <c r="DA437" s="399"/>
      <c r="DB437" s="399"/>
      <c r="DC437" s="399"/>
      <c r="DD437" s="399"/>
      <c r="DE437" s="399"/>
      <c r="DF437" s="399"/>
      <c r="DG437" s="399"/>
      <c r="DH437" s="399"/>
      <c r="DI437" s="399"/>
      <c r="DJ437" s="399"/>
      <c r="DK437" s="399"/>
      <c r="DL437" s="399"/>
      <c r="DM437" s="399"/>
      <c r="DN437" s="399"/>
      <c r="DO437" s="399"/>
      <c r="DP437" s="399"/>
      <c r="DQ437" s="399"/>
    </row>
    <row r="438" spans="1:121" s="760" customFormat="1" ht="14.45" customHeight="1" x14ac:dyDescent="0.25">
      <c r="A438" s="266">
        <f t="shared" si="6"/>
        <v>35.733333333333334</v>
      </c>
      <c r="B438" s="389">
        <v>41784</v>
      </c>
      <c r="C438" s="390" t="s">
        <v>1099</v>
      </c>
      <c r="D438" s="390" t="s">
        <v>899</v>
      </c>
      <c r="E438" s="390" t="s">
        <v>380</v>
      </c>
      <c r="F438" s="390" t="s">
        <v>310</v>
      </c>
      <c r="G438" s="390" t="s">
        <v>313</v>
      </c>
      <c r="H438" s="261"/>
      <c r="I438" s="261"/>
      <c r="J438" s="261"/>
      <c r="K438" s="261"/>
      <c r="L438" s="261"/>
      <c r="M438" s="261"/>
      <c r="N438" s="261"/>
      <c r="O438" s="261"/>
      <c r="P438" s="261"/>
      <c r="Q438" s="261"/>
      <c r="R438" s="261"/>
      <c r="S438" s="261"/>
      <c r="T438" s="261"/>
      <c r="U438" s="261">
        <v>224</v>
      </c>
      <c r="V438" s="762"/>
      <c r="W438" s="261"/>
      <c r="X438" s="261"/>
      <c r="Y438" s="264">
        <f>IF(NFI_Expiration=1,IF($A438&lt;VLOOKUP(H$5,NFI,5,0),1,0)*Table_NFI[[#This Row],[Hygiene Kit]],Table_NFI[Hygiene Kit])</f>
        <v>0</v>
      </c>
      <c r="Z438" s="264">
        <f>IF(NFI_Expiration=1,IF($A438&lt;VLOOKUP(I$5,NFI,5,0),1,0)*Table_NFI[[#This Row],[NFI Core Kit]],Table_NFI[NFI Core Kit])</f>
        <v>0</v>
      </c>
      <c r="AA438" s="264">
        <f>IF(NFI_Expiration=1,IF($A438&lt;VLOOKUP(J$5,NFI,5,0),1,0)*Table_NFI[[#This Row],[Sanitary Kit]],Table_NFI[Sanitary Kit])</f>
        <v>0</v>
      </c>
      <c r="AB438" s="264">
        <f>IF(NFI_Expiration=1,IF($A438&lt;VLOOKUP(K$5,NFI,5,0),1,0)*Table_NFI[[#This Row],[Mosquito net]],Table_NFI[Mosquito net])</f>
        <v>0</v>
      </c>
      <c r="AC438" s="264">
        <f>IF(NFI_Expiration=1,IF($A438&lt;VLOOKUP(L$5,NFI,5,0),1,0)*Table_NFI[[#This Row],[Tarpaulin]],Table_NFI[[#This Row],[Tarpaulin]])</f>
        <v>0</v>
      </c>
      <c r="AD438" s="264">
        <f>IF(NFI_Expiration=1,IF($A438&lt;VLOOKUP(M$5,NFI,5,0),1,0)*Table_NFI[[#This Row],[Blanket]],Table_NFI[[#This Row],[Blanket]])</f>
        <v>0</v>
      </c>
      <c r="AE438" s="264">
        <f>IF(NFI_Expiration=1,IF($A438&lt;VLOOKUP(N$5,NFI,5,0),1,0)*Table_NFI[[#This Row],[Kitchen Set]],Table_NFI[Kitchen Set])</f>
        <v>0</v>
      </c>
      <c r="AF438" s="264">
        <f>IF(NFI_Expiration=1,IF($A438&lt;VLOOKUP(O$5,NFI,5,0),1,0)*Table_NFI[[#This Row],[Clothes Kit]],Table_NFI[Clothes Kit])</f>
        <v>0</v>
      </c>
      <c r="AG438" s="264">
        <f>IF(NFI_Expiration=1,IF($A438&lt;VLOOKUP(P$5,NFI,5,0),1,0)*Table_NFI[[#This Row],[Plastic Bucket]],Table_NFI[Plastic Bucket])</f>
        <v>0</v>
      </c>
      <c r="AH438" s="264">
        <f>IF(NFI_Expiration=1,IF($A438&lt;VLOOKUP(Q$5,NFI,5,0),1,0)*Table_NFI[[#This Row],[Plastic Mat]],Table_NFI[Plastic Mat])*IF(Table_NFI[[#This Row],[Distribution Date]]&gt;"2014-04-01",1,2.5)</f>
        <v>0</v>
      </c>
      <c r="AI438" s="264">
        <f>IF(NFI_Expiration=1,IF($A438&lt;VLOOKUP(R$5,NFI,5,0),1,0)*Table_NFI[[#This Row],[Winter Clothes Adult]],Table_NFI[Winter Clothes Adult])</f>
        <v>0</v>
      </c>
      <c r="AJ438" s="264">
        <f>IF(NFI_Expiration=1,IF($A438&lt;VLOOKUP(S$5,NFI,5,0),1,0)*Table_NFI[[#This Row],[Winter Clothes Children]],Table_NFI[Winter Clothes Children])</f>
        <v>0</v>
      </c>
      <c r="AK438" s="264">
        <f>IF(NFI_Expiration=1,IF($A438&lt;VLOOKUP(T$5,NFI,5,0),1,0)*Table_NFI[[#This Row],[Winter Items Other]],Table_NFI[Winter Items Other])</f>
        <v>0</v>
      </c>
      <c r="AL438" s="264">
        <f>IF(NFI_Expiration=1,IF($A438&lt;VLOOKUP(M$5,NFI,5,0),1,0)*Table_NFI[[#This Row],[Winter Blanket]],Table_NFI[[#This Row],[Winter Blanket]])</f>
        <v>0</v>
      </c>
      <c r="AM438" s="264">
        <f>IF(Table_NFI[[#This Row],[Winter Clothes Adult]]+Table_NFI[[#This Row],[Winter Clothes Children]]+Table_NFI[[#This Row],[Winter Items Other]]+Table_NFI[[#This Row],[Winter Blanket]]&gt;0,1,0)</f>
        <v>1</v>
      </c>
      <c r="AN438" s="296">
        <f>IF(NFI_Expiration=1,IF($A438&lt;VLOOKUP(V$5,NFI,5,0),1,0)*Table_NFI[[#This Row],[Jerry Can]],Table_NFI[Jerry Can])</f>
        <v>0</v>
      </c>
      <c r="AO438" s="296">
        <f>IF(NFI_Expiration=1,IF($A438&lt;VLOOKUP(V$5,NFI,5,0),1,0)*Table_NFI[[#This Row],[Shelter Tool kit]],Table_NFI[Shelter Tool kit])</f>
        <v>0</v>
      </c>
      <c r="AP438" s="296">
        <f>IF(NFI_Expiration=1,IF($A438&lt;VLOOKUP(V$5,NFI,5,0),1,0)*Table_NFI[[#This Row],[Tent]],Table_NFI[Tent])</f>
        <v>0</v>
      </c>
      <c r="AQ438" s="396" t="str">
        <f>IFERROR(VLOOKUP(Table_NFI[[#This Row],[Camp Name]],CL,2,0),"")</f>
        <v>MMR001CMP028</v>
      </c>
      <c r="AR438" s="702">
        <f ca="1">IF(Table_NFI[[#This Row],[Pcode]]="","",IF(OFFSET(CampList[Opening Date],MATCH(Table_NFI[[#This Row],[Pcode]],CampList[CP_Pcode],0)-1,0,1,1)&gt;=NFI_Monitor_Date,1,0))</f>
        <v>0</v>
      </c>
      <c r="AS438" s="396" t="str">
        <f>IFERROR(VLOOKUP(Table_NFI[[#This Row],[Camp Name]],CL,3,0),"")</f>
        <v>Open</v>
      </c>
      <c r="AT438" s="264" t="str">
        <f ca="1">IF(Table_NFI[[#This Row],[Pcode]]="","",OFFSET(CampList[Priority],MATCH(Table_NFI[[#This Row],[Pcode]],CampList[CP_Pcode],0)-1,0,1,1))</f>
        <v>P4</v>
      </c>
      <c r="AU438" s="263">
        <f>IFERROR(Table_NFI[[#This Row],[Kitchen Set]]/VLOOKUP(Table_NFI[[#This Row],[Camp Name]],CL,4,0),"")</f>
        <v>0</v>
      </c>
      <c r="AV438" s="390"/>
      <c r="AW438" s="392"/>
      <c r="AX438" s="399"/>
      <c r="AY438" s="399"/>
      <c r="AZ438" s="399"/>
      <c r="BA438" s="399"/>
      <c r="BB438" s="399"/>
      <c r="BC438" s="399"/>
      <c r="BD438" s="399"/>
      <c r="BE438" s="399"/>
      <c r="BF438" s="399"/>
      <c r="BG438" s="399"/>
      <c r="BH438" s="399"/>
      <c r="BI438" s="399"/>
      <c r="BJ438" s="399"/>
      <c r="BK438" s="399"/>
      <c r="BL438" s="399"/>
      <c r="BM438" s="399"/>
      <c r="BN438" s="399"/>
      <c r="BO438" s="399"/>
      <c r="BP438" s="399"/>
      <c r="BQ438" s="399"/>
      <c r="BR438" s="399"/>
      <c r="BS438" s="399"/>
      <c r="BT438" s="399"/>
      <c r="BU438" s="399"/>
      <c r="BV438" s="399"/>
      <c r="BW438" s="399"/>
      <c r="BX438" s="399"/>
      <c r="BY438" s="399"/>
      <c r="BZ438" s="399"/>
      <c r="CA438" s="399"/>
      <c r="CB438" s="399"/>
      <c r="CC438" s="399"/>
      <c r="CD438" s="399"/>
      <c r="CE438" s="399"/>
      <c r="CF438" s="399"/>
      <c r="CG438" s="399"/>
      <c r="CH438" s="399"/>
      <c r="CI438" s="399"/>
      <c r="CJ438" s="399"/>
      <c r="CK438" s="399"/>
      <c r="CL438" s="399"/>
      <c r="CM438" s="399"/>
      <c r="CN438" s="399"/>
      <c r="CO438" s="399"/>
      <c r="CP438" s="399"/>
      <c r="CQ438" s="399"/>
      <c r="CR438" s="399"/>
      <c r="CS438" s="399"/>
      <c r="CT438" s="399"/>
      <c r="CU438" s="399"/>
      <c r="CV438" s="399"/>
      <c r="CW438" s="399"/>
      <c r="CX438" s="399"/>
      <c r="CY438" s="399"/>
      <c r="CZ438" s="399"/>
      <c r="DA438" s="399"/>
      <c r="DB438" s="399"/>
      <c r="DC438" s="399"/>
      <c r="DD438" s="399"/>
      <c r="DE438" s="399"/>
      <c r="DF438" s="399"/>
      <c r="DG438" s="399"/>
      <c r="DH438" s="399"/>
      <c r="DI438" s="399"/>
      <c r="DJ438" s="399"/>
      <c r="DK438" s="399"/>
      <c r="DL438" s="399"/>
      <c r="DM438" s="399"/>
      <c r="DN438" s="399"/>
      <c r="DO438" s="399"/>
      <c r="DP438" s="399"/>
      <c r="DQ438" s="399"/>
    </row>
    <row r="439" spans="1:121" s="760" customFormat="1" ht="14.45" customHeight="1" x14ac:dyDescent="0.25">
      <c r="A439" s="266">
        <f t="shared" si="6"/>
        <v>35.733333333333334</v>
      </c>
      <c r="B439" s="389">
        <v>41784</v>
      </c>
      <c r="C439" s="390" t="s">
        <v>1099</v>
      </c>
      <c r="D439" s="390" t="s">
        <v>899</v>
      </c>
      <c r="E439" s="390" t="s">
        <v>380</v>
      </c>
      <c r="F439" s="390" t="s">
        <v>310</v>
      </c>
      <c r="G439" s="390" t="s">
        <v>351</v>
      </c>
      <c r="H439" s="261"/>
      <c r="I439" s="261"/>
      <c r="J439" s="261"/>
      <c r="K439" s="261"/>
      <c r="L439" s="261"/>
      <c r="M439" s="261"/>
      <c r="N439" s="261"/>
      <c r="O439" s="261"/>
      <c r="P439" s="261"/>
      <c r="Q439" s="261"/>
      <c r="R439" s="261"/>
      <c r="S439" s="261"/>
      <c r="T439" s="261"/>
      <c r="U439" s="261">
        <v>182</v>
      </c>
      <c r="V439" s="762"/>
      <c r="W439" s="261"/>
      <c r="X439" s="261"/>
      <c r="Y439" s="264">
        <f>IF(NFI_Expiration=1,IF($A439&lt;VLOOKUP(H$5,NFI,5,0),1,0)*Table_NFI[[#This Row],[Hygiene Kit]],Table_NFI[Hygiene Kit])</f>
        <v>0</v>
      </c>
      <c r="Z439" s="264">
        <f>IF(NFI_Expiration=1,IF($A439&lt;VLOOKUP(I$5,NFI,5,0),1,0)*Table_NFI[[#This Row],[NFI Core Kit]],Table_NFI[NFI Core Kit])</f>
        <v>0</v>
      </c>
      <c r="AA439" s="264">
        <f>IF(NFI_Expiration=1,IF($A439&lt;VLOOKUP(J$5,NFI,5,0),1,0)*Table_NFI[[#This Row],[Sanitary Kit]],Table_NFI[Sanitary Kit])</f>
        <v>0</v>
      </c>
      <c r="AB439" s="264">
        <f>IF(NFI_Expiration=1,IF($A439&lt;VLOOKUP(K$5,NFI,5,0),1,0)*Table_NFI[[#This Row],[Mosquito net]],Table_NFI[Mosquito net])</f>
        <v>0</v>
      </c>
      <c r="AC439" s="264">
        <f>IF(NFI_Expiration=1,IF($A439&lt;VLOOKUP(L$5,NFI,5,0),1,0)*Table_NFI[[#This Row],[Tarpaulin]],Table_NFI[[#This Row],[Tarpaulin]])</f>
        <v>0</v>
      </c>
      <c r="AD439" s="264">
        <f>IF(NFI_Expiration=1,IF($A439&lt;VLOOKUP(M$5,NFI,5,0),1,0)*Table_NFI[[#This Row],[Blanket]],Table_NFI[[#This Row],[Blanket]])</f>
        <v>0</v>
      </c>
      <c r="AE439" s="264">
        <f>IF(NFI_Expiration=1,IF($A439&lt;VLOOKUP(N$5,NFI,5,0),1,0)*Table_NFI[[#This Row],[Kitchen Set]],Table_NFI[Kitchen Set])</f>
        <v>0</v>
      </c>
      <c r="AF439" s="264">
        <f>IF(NFI_Expiration=1,IF($A439&lt;VLOOKUP(O$5,NFI,5,0),1,0)*Table_NFI[[#This Row],[Clothes Kit]],Table_NFI[Clothes Kit])</f>
        <v>0</v>
      </c>
      <c r="AG439" s="264">
        <f>IF(NFI_Expiration=1,IF($A439&lt;VLOOKUP(P$5,NFI,5,0),1,0)*Table_NFI[[#This Row],[Plastic Bucket]],Table_NFI[Plastic Bucket])</f>
        <v>0</v>
      </c>
      <c r="AH439" s="264">
        <f>IF(NFI_Expiration=1,IF($A439&lt;VLOOKUP(Q$5,NFI,5,0),1,0)*Table_NFI[[#This Row],[Plastic Mat]],Table_NFI[Plastic Mat])*IF(Table_NFI[[#This Row],[Distribution Date]]&gt;"2014-04-01",1,2.5)</f>
        <v>0</v>
      </c>
      <c r="AI439" s="264">
        <f>IF(NFI_Expiration=1,IF($A439&lt;VLOOKUP(R$5,NFI,5,0),1,0)*Table_NFI[[#This Row],[Winter Clothes Adult]],Table_NFI[Winter Clothes Adult])</f>
        <v>0</v>
      </c>
      <c r="AJ439" s="264">
        <f>IF(NFI_Expiration=1,IF($A439&lt;VLOOKUP(S$5,NFI,5,0),1,0)*Table_NFI[[#This Row],[Winter Clothes Children]],Table_NFI[Winter Clothes Children])</f>
        <v>0</v>
      </c>
      <c r="AK439" s="264">
        <f>IF(NFI_Expiration=1,IF($A439&lt;VLOOKUP(T$5,NFI,5,0),1,0)*Table_NFI[[#This Row],[Winter Items Other]],Table_NFI[Winter Items Other])</f>
        <v>0</v>
      </c>
      <c r="AL439" s="264">
        <f>IF(NFI_Expiration=1,IF($A439&lt;VLOOKUP(M$5,NFI,5,0),1,0)*Table_NFI[[#This Row],[Winter Blanket]],Table_NFI[[#This Row],[Winter Blanket]])</f>
        <v>0</v>
      </c>
      <c r="AM439" s="264">
        <f>IF(Table_NFI[[#This Row],[Winter Clothes Adult]]+Table_NFI[[#This Row],[Winter Clothes Children]]+Table_NFI[[#This Row],[Winter Items Other]]+Table_NFI[[#This Row],[Winter Blanket]]&gt;0,1,0)</f>
        <v>1</v>
      </c>
      <c r="AN439" s="296">
        <f>IF(NFI_Expiration=1,IF($A439&lt;VLOOKUP(V$5,NFI,5,0),1,0)*Table_NFI[[#This Row],[Jerry Can]],Table_NFI[Jerry Can])</f>
        <v>0</v>
      </c>
      <c r="AO439" s="296">
        <f>IF(NFI_Expiration=1,IF($A439&lt;VLOOKUP(V$5,NFI,5,0),1,0)*Table_NFI[[#This Row],[Shelter Tool kit]],Table_NFI[Shelter Tool kit])</f>
        <v>0</v>
      </c>
      <c r="AP439" s="296">
        <f>IF(NFI_Expiration=1,IF($A439&lt;VLOOKUP(V$5,NFI,5,0),1,0)*Table_NFI[[#This Row],[Tent]],Table_NFI[Tent])</f>
        <v>0</v>
      </c>
      <c r="AQ439" s="396" t="str">
        <f>IFERROR(VLOOKUP(Table_NFI[[#This Row],[Camp Name]],CL,2,0),"")</f>
        <v>MMR001CMP026</v>
      </c>
      <c r="AR439" s="702">
        <f ca="1">IF(Table_NFI[[#This Row],[Pcode]]="","",IF(OFFSET(CampList[Opening Date],MATCH(Table_NFI[[#This Row],[Pcode]],CampList[CP_Pcode],0)-1,0,1,1)&gt;=NFI_Monitor_Date,1,0))</f>
        <v>0</v>
      </c>
      <c r="AS439" s="396" t="str">
        <f>IFERROR(VLOOKUP(Table_NFI[[#This Row],[Camp Name]],CL,3,0),"")</f>
        <v>Open</v>
      </c>
      <c r="AT439" s="264" t="str">
        <f ca="1">IF(Table_NFI[[#This Row],[Pcode]]="","",OFFSET(CampList[Priority],MATCH(Table_NFI[[#This Row],[Pcode]],CampList[CP_Pcode],0)-1,0,1,1))</f>
        <v>P4</v>
      </c>
      <c r="AU439" s="263">
        <f>IFERROR(Table_NFI[[#This Row],[Kitchen Set]]/VLOOKUP(Table_NFI[[#This Row],[Camp Name]],CL,4,0),"")</f>
        <v>0</v>
      </c>
      <c r="AV439" s="390"/>
      <c r="AW439" s="392"/>
      <c r="AX439" s="399"/>
      <c r="AY439" s="399"/>
      <c r="AZ439" s="399"/>
      <c r="BA439" s="399"/>
      <c r="BB439" s="399"/>
      <c r="BC439" s="399"/>
      <c r="BD439" s="399"/>
      <c r="BE439" s="399"/>
      <c r="BF439" s="399"/>
      <c r="BG439" s="399"/>
      <c r="BH439" s="399"/>
      <c r="BI439" s="399"/>
      <c r="BJ439" s="399"/>
      <c r="BK439" s="399"/>
      <c r="BL439" s="399"/>
      <c r="BM439" s="399"/>
      <c r="BN439" s="399"/>
      <c r="BO439" s="399"/>
      <c r="BP439" s="399"/>
      <c r="BQ439" s="399"/>
      <c r="BR439" s="399"/>
      <c r="BS439" s="399"/>
      <c r="BT439" s="399"/>
      <c r="BU439" s="399"/>
      <c r="BV439" s="399"/>
      <c r="BW439" s="399"/>
      <c r="BX439" s="399"/>
      <c r="BY439" s="399"/>
      <c r="BZ439" s="399"/>
      <c r="CA439" s="399"/>
      <c r="CB439" s="399"/>
      <c r="CC439" s="399"/>
      <c r="CD439" s="399"/>
      <c r="CE439" s="399"/>
      <c r="CF439" s="399"/>
      <c r="CG439" s="399"/>
      <c r="CH439" s="399"/>
      <c r="CI439" s="399"/>
      <c r="CJ439" s="399"/>
      <c r="CK439" s="399"/>
      <c r="CL439" s="399"/>
      <c r="CM439" s="399"/>
      <c r="CN439" s="399"/>
      <c r="CO439" s="399"/>
      <c r="CP439" s="399"/>
      <c r="CQ439" s="399"/>
      <c r="CR439" s="399"/>
      <c r="CS439" s="399"/>
      <c r="CT439" s="399"/>
      <c r="CU439" s="399"/>
      <c r="CV439" s="399"/>
      <c r="CW439" s="399"/>
      <c r="CX439" s="399"/>
      <c r="CY439" s="399"/>
      <c r="CZ439" s="399"/>
      <c r="DA439" s="399"/>
      <c r="DB439" s="399"/>
      <c r="DC439" s="399"/>
      <c r="DD439" s="399"/>
      <c r="DE439" s="399"/>
      <c r="DF439" s="399"/>
      <c r="DG439" s="399"/>
      <c r="DH439" s="399"/>
      <c r="DI439" s="399"/>
      <c r="DJ439" s="399"/>
      <c r="DK439" s="399"/>
      <c r="DL439" s="399"/>
      <c r="DM439" s="399"/>
      <c r="DN439" s="399"/>
      <c r="DO439" s="399"/>
      <c r="DP439" s="399"/>
      <c r="DQ439" s="399"/>
    </row>
    <row r="440" spans="1:121" s="760" customFormat="1" ht="14.45" customHeight="1" x14ac:dyDescent="0.25">
      <c r="A440" s="266">
        <f t="shared" si="6"/>
        <v>35.833333333333336</v>
      </c>
      <c r="B440" s="389">
        <v>41781</v>
      </c>
      <c r="C440" s="390" t="s">
        <v>1099</v>
      </c>
      <c r="D440" s="390" t="s">
        <v>899</v>
      </c>
      <c r="E440" s="390" t="s">
        <v>380</v>
      </c>
      <c r="F440" s="262" t="s">
        <v>310</v>
      </c>
      <c r="G440" s="390" t="s">
        <v>320</v>
      </c>
      <c r="H440" s="261"/>
      <c r="I440" s="261"/>
      <c r="J440" s="261"/>
      <c r="K440" s="261"/>
      <c r="L440" s="261"/>
      <c r="M440" s="261"/>
      <c r="N440" s="261"/>
      <c r="O440" s="261"/>
      <c r="P440" s="261"/>
      <c r="Q440" s="261"/>
      <c r="R440" s="261"/>
      <c r="S440" s="261"/>
      <c r="T440" s="261"/>
      <c r="U440" s="261">
        <v>46</v>
      </c>
      <c r="V440" s="762"/>
      <c r="W440" s="261"/>
      <c r="X440" s="261"/>
      <c r="Y440" s="264">
        <f>IF(NFI_Expiration=1,IF($A440&lt;VLOOKUP(H$5,NFI,5,0),1,0)*Table_NFI[[#This Row],[Hygiene Kit]],Table_NFI[Hygiene Kit])</f>
        <v>0</v>
      </c>
      <c r="Z440" s="264">
        <f>IF(NFI_Expiration=1,IF($A440&lt;VLOOKUP(I$5,NFI,5,0),1,0)*Table_NFI[[#This Row],[NFI Core Kit]],Table_NFI[NFI Core Kit])</f>
        <v>0</v>
      </c>
      <c r="AA440" s="264">
        <f>IF(NFI_Expiration=1,IF($A440&lt;VLOOKUP(J$5,NFI,5,0),1,0)*Table_NFI[[#This Row],[Sanitary Kit]],Table_NFI[Sanitary Kit])</f>
        <v>0</v>
      </c>
      <c r="AB440" s="264">
        <f>IF(NFI_Expiration=1,IF($A440&lt;VLOOKUP(K$5,NFI,5,0),1,0)*Table_NFI[[#This Row],[Mosquito net]],Table_NFI[Mosquito net])</f>
        <v>0</v>
      </c>
      <c r="AC440" s="264">
        <f>IF(NFI_Expiration=1,IF($A440&lt;VLOOKUP(L$5,NFI,5,0),1,0)*Table_NFI[[#This Row],[Tarpaulin]],Table_NFI[[#This Row],[Tarpaulin]])</f>
        <v>0</v>
      </c>
      <c r="AD440" s="264">
        <f>IF(NFI_Expiration=1,IF($A440&lt;VLOOKUP(M$5,NFI,5,0),1,0)*Table_NFI[[#This Row],[Blanket]],Table_NFI[[#This Row],[Blanket]])</f>
        <v>0</v>
      </c>
      <c r="AE440" s="264">
        <f>IF(NFI_Expiration=1,IF($A440&lt;VLOOKUP(N$5,NFI,5,0),1,0)*Table_NFI[[#This Row],[Kitchen Set]],Table_NFI[Kitchen Set])</f>
        <v>0</v>
      </c>
      <c r="AF440" s="264">
        <f>IF(NFI_Expiration=1,IF($A440&lt;VLOOKUP(O$5,NFI,5,0),1,0)*Table_NFI[[#This Row],[Clothes Kit]],Table_NFI[Clothes Kit])</f>
        <v>0</v>
      </c>
      <c r="AG440" s="264">
        <f>IF(NFI_Expiration=1,IF($A440&lt;VLOOKUP(P$5,NFI,5,0),1,0)*Table_NFI[[#This Row],[Plastic Bucket]],Table_NFI[Plastic Bucket])</f>
        <v>0</v>
      </c>
      <c r="AH440" s="264">
        <f>IF(NFI_Expiration=1,IF($A440&lt;VLOOKUP(Q$5,NFI,5,0),1,0)*Table_NFI[[#This Row],[Plastic Mat]],Table_NFI[Plastic Mat])*IF(Table_NFI[[#This Row],[Distribution Date]]&gt;"2014-04-01",1,2.5)</f>
        <v>0</v>
      </c>
      <c r="AI440" s="264">
        <f>IF(NFI_Expiration=1,IF($A440&lt;VLOOKUP(R$5,NFI,5,0),1,0)*Table_NFI[[#This Row],[Winter Clothes Adult]],Table_NFI[Winter Clothes Adult])</f>
        <v>0</v>
      </c>
      <c r="AJ440" s="264">
        <f>IF(NFI_Expiration=1,IF($A440&lt;VLOOKUP(S$5,NFI,5,0),1,0)*Table_NFI[[#This Row],[Winter Clothes Children]],Table_NFI[Winter Clothes Children])</f>
        <v>0</v>
      </c>
      <c r="AK440" s="264">
        <f>IF(NFI_Expiration=1,IF($A440&lt;VLOOKUP(T$5,NFI,5,0),1,0)*Table_NFI[[#This Row],[Winter Items Other]],Table_NFI[Winter Items Other])</f>
        <v>0</v>
      </c>
      <c r="AL440" s="264">
        <f>IF(NFI_Expiration=1,IF($A440&lt;VLOOKUP(M$5,NFI,5,0),1,0)*Table_NFI[[#This Row],[Winter Blanket]],Table_NFI[[#This Row],[Winter Blanket]])</f>
        <v>0</v>
      </c>
      <c r="AM440" s="264">
        <f>IF(Table_NFI[[#This Row],[Winter Clothes Adult]]+Table_NFI[[#This Row],[Winter Clothes Children]]+Table_NFI[[#This Row],[Winter Items Other]]+Table_NFI[[#This Row],[Winter Blanket]]&gt;0,1,0)</f>
        <v>1</v>
      </c>
      <c r="AN440" s="296">
        <f>IF(NFI_Expiration=1,IF($A440&lt;VLOOKUP(V$5,NFI,5,0),1,0)*Table_NFI[[#This Row],[Jerry Can]],Table_NFI[Jerry Can])</f>
        <v>0</v>
      </c>
      <c r="AO440" s="296">
        <f>IF(NFI_Expiration=1,IF($A440&lt;VLOOKUP(V$5,NFI,5,0),1,0)*Table_NFI[[#This Row],[Shelter Tool kit]],Table_NFI[Shelter Tool kit])</f>
        <v>0</v>
      </c>
      <c r="AP440" s="296">
        <f>IF(NFI_Expiration=1,IF($A440&lt;VLOOKUP(V$5,NFI,5,0),1,0)*Table_NFI[[#This Row],[Tent]],Table_NFI[Tent])</f>
        <v>0</v>
      </c>
      <c r="AQ440" s="396" t="str">
        <f>IFERROR(VLOOKUP(Table_NFI[[#This Row],[Camp Name]],CL,2,0),"")</f>
        <v>MMR001CMP027</v>
      </c>
      <c r="AR440" s="702">
        <f ca="1">IF(Table_NFI[[#This Row],[Pcode]]="","",IF(OFFSET(CampList[Opening Date],MATCH(Table_NFI[[#This Row],[Pcode]],CampList[CP_Pcode],0)-1,0,1,1)&gt;=NFI_Monitor_Date,1,0))</f>
        <v>0</v>
      </c>
      <c r="AS440" s="396" t="str">
        <f>IFERROR(VLOOKUP(Table_NFI[[#This Row],[Camp Name]],CL,3,0),"")</f>
        <v>Open</v>
      </c>
      <c r="AT440" s="264" t="str">
        <f ca="1">IF(Table_NFI[[#This Row],[Pcode]]="","",OFFSET(CampList[Priority],MATCH(Table_NFI[[#This Row],[Pcode]],CampList[CP_Pcode],0)-1,0,1,1))</f>
        <v>P4</v>
      </c>
      <c r="AU440" s="263">
        <f>IFERROR(Table_NFI[[#This Row],[Kitchen Set]]/VLOOKUP(Table_NFI[[#This Row],[Camp Name]],CL,4,0),"")</f>
        <v>0</v>
      </c>
      <c r="AV440" s="390"/>
      <c r="AW440" s="392"/>
      <c r="AX440" s="399"/>
      <c r="AY440" s="399"/>
      <c r="AZ440" s="399"/>
      <c r="BA440" s="399"/>
      <c r="BB440" s="399"/>
      <c r="BC440" s="399"/>
      <c r="BD440" s="399"/>
      <c r="BE440" s="399"/>
      <c r="BF440" s="399"/>
      <c r="BG440" s="399"/>
      <c r="BH440" s="399"/>
      <c r="BI440" s="399"/>
      <c r="BJ440" s="399"/>
      <c r="BK440" s="399"/>
      <c r="BL440" s="399"/>
      <c r="BM440" s="399"/>
      <c r="BN440" s="399"/>
      <c r="BO440" s="399"/>
      <c r="BP440" s="399"/>
      <c r="BQ440" s="399"/>
      <c r="BR440" s="399"/>
      <c r="BS440" s="399"/>
      <c r="BT440" s="399"/>
      <c r="BU440" s="399"/>
      <c r="BV440" s="399"/>
      <c r="BW440" s="399"/>
      <c r="BX440" s="399"/>
      <c r="BY440" s="399"/>
      <c r="BZ440" s="399"/>
      <c r="CA440" s="399"/>
      <c r="CB440" s="399"/>
      <c r="CC440" s="399"/>
      <c r="CD440" s="399"/>
      <c r="CE440" s="399"/>
      <c r="CF440" s="399"/>
      <c r="CG440" s="399"/>
      <c r="CH440" s="399"/>
      <c r="CI440" s="399"/>
      <c r="CJ440" s="399"/>
      <c r="CK440" s="399"/>
      <c r="CL440" s="399"/>
      <c r="CM440" s="399"/>
      <c r="CN440" s="399"/>
      <c r="CO440" s="399"/>
      <c r="CP440" s="399"/>
      <c r="CQ440" s="399"/>
      <c r="CR440" s="399"/>
      <c r="CS440" s="399"/>
      <c r="CT440" s="399"/>
      <c r="CU440" s="399"/>
      <c r="CV440" s="399"/>
      <c r="CW440" s="399"/>
      <c r="CX440" s="399"/>
      <c r="CY440" s="399"/>
      <c r="CZ440" s="399"/>
      <c r="DA440" s="399"/>
      <c r="DB440" s="399"/>
      <c r="DC440" s="399"/>
      <c r="DD440" s="399"/>
      <c r="DE440" s="399"/>
      <c r="DF440" s="399"/>
      <c r="DG440" s="399"/>
      <c r="DH440" s="399"/>
      <c r="DI440" s="399"/>
      <c r="DJ440" s="399"/>
      <c r="DK440" s="399"/>
      <c r="DL440" s="399"/>
      <c r="DM440" s="399"/>
      <c r="DN440" s="399"/>
      <c r="DO440" s="399"/>
      <c r="DP440" s="399"/>
      <c r="DQ440" s="399"/>
    </row>
    <row r="441" spans="1:121" s="760" customFormat="1" ht="13.9" customHeight="1" x14ac:dyDescent="0.25">
      <c r="A441" s="266">
        <f t="shared" si="6"/>
        <v>35.833333333333336</v>
      </c>
      <c r="B441" s="389">
        <v>41781</v>
      </c>
      <c r="C441" s="390" t="s">
        <v>1099</v>
      </c>
      <c r="D441" s="390" t="s">
        <v>899</v>
      </c>
      <c r="E441" s="390" t="s">
        <v>380</v>
      </c>
      <c r="F441" s="390" t="s">
        <v>310</v>
      </c>
      <c r="G441" s="390" t="s">
        <v>318</v>
      </c>
      <c r="H441" s="261"/>
      <c r="I441" s="261"/>
      <c r="J441" s="261"/>
      <c r="K441" s="261"/>
      <c r="L441" s="261"/>
      <c r="M441" s="261"/>
      <c r="N441" s="261"/>
      <c r="O441" s="261"/>
      <c r="P441" s="261"/>
      <c r="Q441" s="261"/>
      <c r="R441" s="261"/>
      <c r="S441" s="261"/>
      <c r="T441" s="261"/>
      <c r="U441" s="261">
        <v>88</v>
      </c>
      <c r="V441" s="762"/>
      <c r="W441" s="261"/>
      <c r="X441" s="261"/>
      <c r="Y441" s="264">
        <f>IF(NFI_Expiration=1,IF($A441&lt;VLOOKUP(H$5,NFI,5,0),1,0)*Table_NFI[[#This Row],[Hygiene Kit]],Table_NFI[Hygiene Kit])</f>
        <v>0</v>
      </c>
      <c r="Z441" s="264">
        <f>IF(NFI_Expiration=1,IF($A441&lt;VLOOKUP(I$5,NFI,5,0),1,0)*Table_NFI[[#This Row],[NFI Core Kit]],Table_NFI[NFI Core Kit])</f>
        <v>0</v>
      </c>
      <c r="AA441" s="264">
        <f>IF(NFI_Expiration=1,IF($A441&lt;VLOOKUP(J$5,NFI,5,0),1,0)*Table_NFI[[#This Row],[Sanitary Kit]],Table_NFI[Sanitary Kit])</f>
        <v>0</v>
      </c>
      <c r="AB441" s="264">
        <f>IF(NFI_Expiration=1,IF($A441&lt;VLOOKUP(K$5,NFI,5,0),1,0)*Table_NFI[[#This Row],[Mosquito net]],Table_NFI[Mosquito net])</f>
        <v>0</v>
      </c>
      <c r="AC441" s="264">
        <f>IF(NFI_Expiration=1,IF($A441&lt;VLOOKUP(L$5,NFI,5,0),1,0)*Table_NFI[[#This Row],[Tarpaulin]],Table_NFI[[#This Row],[Tarpaulin]])</f>
        <v>0</v>
      </c>
      <c r="AD441" s="264">
        <f>IF(NFI_Expiration=1,IF($A441&lt;VLOOKUP(M$5,NFI,5,0),1,0)*Table_NFI[[#This Row],[Blanket]],Table_NFI[[#This Row],[Blanket]])</f>
        <v>0</v>
      </c>
      <c r="AE441" s="264">
        <f>IF(NFI_Expiration=1,IF($A441&lt;VLOOKUP(N$5,NFI,5,0),1,0)*Table_NFI[[#This Row],[Kitchen Set]],Table_NFI[Kitchen Set])</f>
        <v>0</v>
      </c>
      <c r="AF441" s="264">
        <f>IF(NFI_Expiration=1,IF($A441&lt;VLOOKUP(O$5,NFI,5,0),1,0)*Table_NFI[[#This Row],[Clothes Kit]],Table_NFI[Clothes Kit])</f>
        <v>0</v>
      </c>
      <c r="AG441" s="264">
        <f>IF(NFI_Expiration=1,IF($A441&lt;VLOOKUP(P$5,NFI,5,0),1,0)*Table_NFI[[#This Row],[Plastic Bucket]],Table_NFI[Plastic Bucket])</f>
        <v>0</v>
      </c>
      <c r="AH441" s="264">
        <f>IF(NFI_Expiration=1,IF($A441&lt;VLOOKUP(Q$5,NFI,5,0),1,0)*Table_NFI[[#This Row],[Plastic Mat]],Table_NFI[Plastic Mat])*IF(Table_NFI[[#This Row],[Distribution Date]]&gt;"2014-04-01",1,2.5)</f>
        <v>0</v>
      </c>
      <c r="AI441" s="264">
        <f>IF(NFI_Expiration=1,IF($A441&lt;VLOOKUP(R$5,NFI,5,0),1,0)*Table_NFI[[#This Row],[Winter Clothes Adult]],Table_NFI[Winter Clothes Adult])</f>
        <v>0</v>
      </c>
      <c r="AJ441" s="264">
        <f>IF(NFI_Expiration=1,IF($A441&lt;VLOOKUP(S$5,NFI,5,0),1,0)*Table_NFI[[#This Row],[Winter Clothes Children]],Table_NFI[Winter Clothes Children])</f>
        <v>0</v>
      </c>
      <c r="AK441" s="264">
        <f>IF(NFI_Expiration=1,IF($A441&lt;VLOOKUP(T$5,NFI,5,0),1,0)*Table_NFI[[#This Row],[Winter Items Other]],Table_NFI[Winter Items Other])</f>
        <v>0</v>
      </c>
      <c r="AL441" s="264">
        <f>IF(NFI_Expiration=1,IF($A441&lt;VLOOKUP(M$5,NFI,5,0),1,0)*Table_NFI[[#This Row],[Winter Blanket]],Table_NFI[[#This Row],[Winter Blanket]])</f>
        <v>0</v>
      </c>
      <c r="AM441" s="264">
        <f>IF(Table_NFI[[#This Row],[Winter Clothes Adult]]+Table_NFI[[#This Row],[Winter Clothes Children]]+Table_NFI[[#This Row],[Winter Items Other]]+Table_NFI[[#This Row],[Winter Blanket]]&gt;0,1,0)</f>
        <v>1</v>
      </c>
      <c r="AN441" s="296">
        <f>IF(NFI_Expiration=1,IF($A441&lt;VLOOKUP(V$5,NFI,5,0),1,0)*Table_NFI[[#This Row],[Jerry Can]],Table_NFI[Jerry Can])</f>
        <v>0</v>
      </c>
      <c r="AO441" s="296">
        <f>IF(NFI_Expiration=1,IF($A441&lt;VLOOKUP(V$5,NFI,5,0),1,0)*Table_NFI[[#This Row],[Shelter Tool kit]],Table_NFI[Shelter Tool kit])</f>
        <v>0</v>
      </c>
      <c r="AP441" s="296">
        <f>IF(NFI_Expiration=1,IF($A441&lt;VLOOKUP(V$5,NFI,5,0),1,0)*Table_NFI[[#This Row],[Tent]],Table_NFI[Tent])</f>
        <v>0</v>
      </c>
      <c r="AQ441" s="396" t="str">
        <f>IFERROR(VLOOKUP(Table_NFI[[#This Row],[Camp Name]],CL,2,0),"")</f>
        <v>MMR001CMP032</v>
      </c>
      <c r="AR441" s="702">
        <f ca="1">IF(Table_NFI[[#This Row],[Pcode]]="","",IF(OFFSET(CampList[Opening Date],MATCH(Table_NFI[[#This Row],[Pcode]],CampList[CP_Pcode],0)-1,0,1,1)&gt;=NFI_Monitor_Date,1,0))</f>
        <v>0</v>
      </c>
      <c r="AS441" s="396" t="str">
        <f>IFERROR(VLOOKUP(Table_NFI[[#This Row],[Camp Name]],CL,3,0),"")</f>
        <v>Open</v>
      </c>
      <c r="AT441" s="264" t="str">
        <f ca="1">IF(Table_NFI[[#This Row],[Pcode]]="","",OFFSET(CampList[Priority],MATCH(Table_NFI[[#This Row],[Pcode]],CampList[CP_Pcode],0)-1,0,1,1))</f>
        <v>P4</v>
      </c>
      <c r="AU441" s="263">
        <f>IFERROR(Table_NFI[[#This Row],[Kitchen Set]]/VLOOKUP(Table_NFI[[#This Row],[Camp Name]],CL,4,0),"")</f>
        <v>0</v>
      </c>
      <c r="AV441" s="390"/>
      <c r="AW441" s="392"/>
      <c r="AX441" s="399"/>
      <c r="AY441" s="399"/>
      <c r="AZ441" s="399"/>
      <c r="BA441" s="399"/>
      <c r="BB441" s="399"/>
      <c r="BC441" s="399"/>
      <c r="BD441" s="399"/>
      <c r="BE441" s="399"/>
      <c r="BF441" s="399"/>
      <c r="BG441" s="399"/>
      <c r="BH441" s="399"/>
      <c r="BI441" s="399"/>
      <c r="BJ441" s="399"/>
      <c r="BK441" s="399"/>
      <c r="BL441" s="399"/>
      <c r="BM441" s="399"/>
      <c r="BN441" s="399"/>
      <c r="BO441" s="399"/>
      <c r="BP441" s="399"/>
      <c r="BQ441" s="399"/>
      <c r="BR441" s="399"/>
      <c r="BS441" s="399"/>
      <c r="BT441" s="399"/>
      <c r="BU441" s="399"/>
      <c r="BV441" s="399"/>
      <c r="BW441" s="399"/>
      <c r="BX441" s="399"/>
      <c r="BY441" s="399"/>
      <c r="BZ441" s="399"/>
      <c r="CA441" s="399"/>
      <c r="CB441" s="399"/>
      <c r="CC441" s="399"/>
      <c r="CD441" s="399"/>
      <c r="CE441" s="399"/>
      <c r="CF441" s="399"/>
      <c r="CG441" s="399"/>
      <c r="CH441" s="399"/>
      <c r="CI441" s="399"/>
      <c r="CJ441" s="399"/>
      <c r="CK441" s="399"/>
      <c r="CL441" s="399"/>
      <c r="CM441" s="399"/>
      <c r="CN441" s="399"/>
      <c r="CO441" s="399"/>
      <c r="CP441" s="399"/>
      <c r="CQ441" s="399"/>
      <c r="CR441" s="399"/>
      <c r="CS441" s="399"/>
      <c r="CT441" s="399"/>
      <c r="CU441" s="399"/>
      <c r="CV441" s="399"/>
      <c r="CW441" s="399"/>
      <c r="CX441" s="399"/>
      <c r="CY441" s="399"/>
      <c r="CZ441" s="399"/>
      <c r="DA441" s="399"/>
      <c r="DB441" s="399"/>
      <c r="DC441" s="399"/>
      <c r="DD441" s="399"/>
      <c r="DE441" s="399"/>
      <c r="DF441" s="399"/>
      <c r="DG441" s="399"/>
      <c r="DH441" s="399"/>
      <c r="DI441" s="399"/>
      <c r="DJ441" s="399"/>
      <c r="DK441" s="399"/>
      <c r="DL441" s="399"/>
      <c r="DM441" s="399"/>
      <c r="DN441" s="399"/>
      <c r="DO441" s="399"/>
      <c r="DP441" s="399"/>
      <c r="DQ441" s="399"/>
    </row>
    <row r="442" spans="1:121" s="760" customFormat="1" ht="14.45" customHeight="1" x14ac:dyDescent="0.25">
      <c r="A442" s="266">
        <f t="shared" si="6"/>
        <v>35.833333333333336</v>
      </c>
      <c r="B442" s="389">
        <v>41781</v>
      </c>
      <c r="C442" s="390" t="s">
        <v>1099</v>
      </c>
      <c r="D442" s="390" t="s">
        <v>899</v>
      </c>
      <c r="E442" s="390" t="s">
        <v>380</v>
      </c>
      <c r="F442" s="262" t="s">
        <v>310</v>
      </c>
      <c r="G442" s="390" t="s">
        <v>342</v>
      </c>
      <c r="H442" s="261"/>
      <c r="I442" s="261"/>
      <c r="J442" s="261"/>
      <c r="K442" s="261"/>
      <c r="L442" s="261"/>
      <c r="M442" s="261"/>
      <c r="N442" s="261"/>
      <c r="O442" s="261"/>
      <c r="P442" s="261"/>
      <c r="Q442" s="261"/>
      <c r="R442" s="261"/>
      <c r="S442" s="261"/>
      <c r="T442" s="261"/>
      <c r="U442" s="261">
        <v>140</v>
      </c>
      <c r="V442" s="762"/>
      <c r="W442" s="261"/>
      <c r="X442" s="261"/>
      <c r="Y442" s="264">
        <f>IF(NFI_Expiration=1,IF($A442&lt;VLOOKUP(H$5,NFI,5,0),1,0)*Table_NFI[[#This Row],[Hygiene Kit]],Table_NFI[Hygiene Kit])</f>
        <v>0</v>
      </c>
      <c r="Z442" s="264">
        <f>IF(NFI_Expiration=1,IF($A442&lt;VLOOKUP(I$5,NFI,5,0),1,0)*Table_NFI[[#This Row],[NFI Core Kit]],Table_NFI[NFI Core Kit])</f>
        <v>0</v>
      </c>
      <c r="AA442" s="264">
        <f>IF(NFI_Expiration=1,IF($A442&lt;VLOOKUP(J$5,NFI,5,0),1,0)*Table_NFI[[#This Row],[Sanitary Kit]],Table_NFI[Sanitary Kit])</f>
        <v>0</v>
      </c>
      <c r="AB442" s="264">
        <f>IF(NFI_Expiration=1,IF($A442&lt;VLOOKUP(K$5,NFI,5,0),1,0)*Table_NFI[[#This Row],[Mosquito net]],Table_NFI[Mosquito net])</f>
        <v>0</v>
      </c>
      <c r="AC442" s="264">
        <f>IF(NFI_Expiration=1,IF($A442&lt;VLOOKUP(L$5,NFI,5,0),1,0)*Table_NFI[[#This Row],[Tarpaulin]],Table_NFI[[#This Row],[Tarpaulin]])</f>
        <v>0</v>
      </c>
      <c r="AD442" s="264">
        <f>IF(NFI_Expiration=1,IF($A442&lt;VLOOKUP(M$5,NFI,5,0),1,0)*Table_NFI[[#This Row],[Blanket]],Table_NFI[[#This Row],[Blanket]])</f>
        <v>0</v>
      </c>
      <c r="AE442" s="264">
        <f>IF(NFI_Expiration=1,IF($A442&lt;VLOOKUP(N$5,NFI,5,0),1,0)*Table_NFI[[#This Row],[Kitchen Set]],Table_NFI[Kitchen Set])</f>
        <v>0</v>
      </c>
      <c r="AF442" s="264">
        <f>IF(NFI_Expiration=1,IF($A442&lt;VLOOKUP(O$5,NFI,5,0),1,0)*Table_NFI[[#This Row],[Clothes Kit]],Table_NFI[Clothes Kit])</f>
        <v>0</v>
      </c>
      <c r="AG442" s="264">
        <f>IF(NFI_Expiration=1,IF($A442&lt;VLOOKUP(P$5,NFI,5,0),1,0)*Table_NFI[[#This Row],[Plastic Bucket]],Table_NFI[Plastic Bucket])</f>
        <v>0</v>
      </c>
      <c r="AH442" s="264">
        <f>IF(NFI_Expiration=1,IF($A442&lt;VLOOKUP(Q$5,NFI,5,0),1,0)*Table_NFI[[#This Row],[Plastic Mat]],Table_NFI[Plastic Mat])*IF(Table_NFI[[#This Row],[Distribution Date]]&gt;"2014-04-01",1,2.5)</f>
        <v>0</v>
      </c>
      <c r="AI442" s="264">
        <f>IF(NFI_Expiration=1,IF($A442&lt;VLOOKUP(R$5,NFI,5,0),1,0)*Table_NFI[[#This Row],[Winter Clothes Adult]],Table_NFI[Winter Clothes Adult])</f>
        <v>0</v>
      </c>
      <c r="AJ442" s="264">
        <f>IF(NFI_Expiration=1,IF($A442&lt;VLOOKUP(S$5,NFI,5,0),1,0)*Table_NFI[[#This Row],[Winter Clothes Children]],Table_NFI[Winter Clothes Children])</f>
        <v>0</v>
      </c>
      <c r="AK442" s="264">
        <f>IF(NFI_Expiration=1,IF($A442&lt;VLOOKUP(T$5,NFI,5,0),1,0)*Table_NFI[[#This Row],[Winter Items Other]],Table_NFI[Winter Items Other])</f>
        <v>0</v>
      </c>
      <c r="AL442" s="264">
        <f>IF(NFI_Expiration=1,IF($A442&lt;VLOOKUP(M$5,NFI,5,0),1,0)*Table_NFI[[#This Row],[Winter Blanket]],Table_NFI[[#This Row],[Winter Blanket]])</f>
        <v>0</v>
      </c>
      <c r="AM442" s="264">
        <f>IF(Table_NFI[[#This Row],[Winter Clothes Adult]]+Table_NFI[[#This Row],[Winter Clothes Children]]+Table_NFI[[#This Row],[Winter Items Other]]+Table_NFI[[#This Row],[Winter Blanket]]&gt;0,1,0)</f>
        <v>1</v>
      </c>
      <c r="AN442" s="296">
        <f>IF(NFI_Expiration=1,IF($A442&lt;VLOOKUP(V$5,NFI,5,0),1,0)*Table_NFI[[#This Row],[Jerry Can]],Table_NFI[Jerry Can])</f>
        <v>0</v>
      </c>
      <c r="AO442" s="296">
        <f>IF(NFI_Expiration=1,IF($A442&lt;VLOOKUP(V$5,NFI,5,0),1,0)*Table_NFI[[#This Row],[Shelter Tool kit]],Table_NFI[Shelter Tool kit])</f>
        <v>0</v>
      </c>
      <c r="AP442" s="296">
        <f>IF(NFI_Expiration=1,IF($A442&lt;VLOOKUP(V$5,NFI,5,0),1,0)*Table_NFI[[#This Row],[Tent]],Table_NFI[Tent])</f>
        <v>0</v>
      </c>
      <c r="AQ442" s="396" t="str">
        <f>IFERROR(VLOOKUP(Table_NFI[[#This Row],[Camp Name]],CL,2,0),"")</f>
        <v>MMR001CMP025</v>
      </c>
      <c r="AR442" s="702">
        <f ca="1">IF(Table_NFI[[#This Row],[Pcode]]="","",IF(OFFSET(CampList[Opening Date],MATCH(Table_NFI[[#This Row],[Pcode]],CampList[CP_Pcode],0)-1,0,1,1)&gt;=NFI_Monitor_Date,1,0))</f>
        <v>0</v>
      </c>
      <c r="AS442" s="396" t="str">
        <f>IFERROR(VLOOKUP(Table_NFI[[#This Row],[Camp Name]],CL,3,0),"")</f>
        <v>Open</v>
      </c>
      <c r="AT442" s="264" t="str">
        <f ca="1">IF(Table_NFI[[#This Row],[Pcode]]="","",OFFSET(CampList[Priority],MATCH(Table_NFI[[#This Row],[Pcode]],CampList[CP_Pcode],0)-1,0,1,1))</f>
        <v>P4</v>
      </c>
      <c r="AU442" s="263">
        <f>IFERROR(Table_NFI[[#This Row],[Kitchen Set]]/VLOOKUP(Table_NFI[[#This Row],[Camp Name]],CL,4,0),"")</f>
        <v>0</v>
      </c>
      <c r="AV442" s="390"/>
      <c r="AW442" s="392"/>
      <c r="AX442" s="399"/>
      <c r="AY442" s="399"/>
      <c r="AZ442" s="399"/>
      <c r="BA442" s="399"/>
      <c r="BB442" s="399"/>
      <c r="BC442" s="399"/>
      <c r="BD442" s="399"/>
      <c r="BE442" s="399"/>
      <c r="BF442" s="399"/>
      <c r="BG442" s="399"/>
      <c r="BH442" s="399"/>
      <c r="BI442" s="399"/>
      <c r="BJ442" s="399"/>
      <c r="BK442" s="399"/>
      <c r="BL442" s="399"/>
      <c r="BM442" s="399"/>
      <c r="BN442" s="399"/>
      <c r="BO442" s="399"/>
      <c r="BP442" s="399"/>
      <c r="BQ442" s="399"/>
      <c r="BR442" s="399"/>
      <c r="BS442" s="399"/>
      <c r="BT442" s="399"/>
      <c r="BU442" s="399"/>
      <c r="BV442" s="399"/>
      <c r="BW442" s="399"/>
      <c r="BX442" s="399"/>
      <c r="BY442" s="399"/>
      <c r="BZ442" s="399"/>
      <c r="CA442" s="399"/>
      <c r="CB442" s="399"/>
      <c r="CC442" s="399"/>
      <c r="CD442" s="399"/>
      <c r="CE442" s="399"/>
      <c r="CF442" s="399"/>
      <c r="CG442" s="399"/>
      <c r="CH442" s="399"/>
      <c r="CI442" s="399"/>
      <c r="CJ442" s="399"/>
      <c r="CK442" s="399"/>
      <c r="CL442" s="399"/>
      <c r="CM442" s="399"/>
      <c r="CN442" s="399"/>
      <c r="CO442" s="399"/>
      <c r="CP442" s="399"/>
      <c r="CQ442" s="399"/>
      <c r="CR442" s="399"/>
      <c r="CS442" s="399"/>
      <c r="CT442" s="399"/>
      <c r="CU442" s="399"/>
      <c r="CV442" s="399"/>
      <c r="CW442" s="399"/>
      <c r="CX442" s="399"/>
      <c r="CY442" s="399"/>
      <c r="CZ442" s="399"/>
      <c r="DA442" s="399"/>
      <c r="DB442" s="399"/>
      <c r="DC442" s="399"/>
      <c r="DD442" s="399"/>
      <c r="DE442" s="399"/>
      <c r="DF442" s="399"/>
      <c r="DG442" s="399"/>
      <c r="DH442" s="399"/>
      <c r="DI442" s="399"/>
      <c r="DJ442" s="399"/>
      <c r="DK442" s="399"/>
      <c r="DL442" s="399"/>
      <c r="DM442" s="399"/>
      <c r="DN442" s="399"/>
      <c r="DO442" s="399"/>
      <c r="DP442" s="399"/>
      <c r="DQ442" s="399"/>
    </row>
    <row r="443" spans="1:121" s="760" customFormat="1" ht="14.45" customHeight="1" x14ac:dyDescent="0.25">
      <c r="A443" s="266">
        <f t="shared" si="6"/>
        <v>35.866666666666667</v>
      </c>
      <c r="B443" s="389">
        <v>41780</v>
      </c>
      <c r="C443" s="390" t="s">
        <v>1099</v>
      </c>
      <c r="D443" s="390" t="s">
        <v>899</v>
      </c>
      <c r="E443" s="390" t="s">
        <v>380</v>
      </c>
      <c r="F443" s="390" t="s">
        <v>237</v>
      </c>
      <c r="G443" s="390" t="s">
        <v>279</v>
      </c>
      <c r="H443" s="261"/>
      <c r="I443" s="261"/>
      <c r="J443" s="261"/>
      <c r="K443" s="261"/>
      <c r="L443" s="261"/>
      <c r="M443" s="261"/>
      <c r="N443" s="261"/>
      <c r="O443" s="261"/>
      <c r="P443" s="261"/>
      <c r="Q443" s="261"/>
      <c r="R443" s="261"/>
      <c r="S443" s="261"/>
      <c r="T443" s="261"/>
      <c r="U443" s="261">
        <v>30</v>
      </c>
      <c r="V443" s="762"/>
      <c r="W443" s="261"/>
      <c r="X443" s="261"/>
      <c r="Y443" s="264">
        <f>IF(NFI_Expiration=1,IF($A443&lt;VLOOKUP(H$5,NFI,5,0),1,0)*Table_NFI[[#This Row],[Hygiene Kit]],Table_NFI[Hygiene Kit])</f>
        <v>0</v>
      </c>
      <c r="Z443" s="264">
        <f>IF(NFI_Expiration=1,IF($A443&lt;VLOOKUP(I$5,NFI,5,0),1,0)*Table_NFI[[#This Row],[NFI Core Kit]],Table_NFI[NFI Core Kit])</f>
        <v>0</v>
      </c>
      <c r="AA443" s="264">
        <f>IF(NFI_Expiration=1,IF($A443&lt;VLOOKUP(J$5,NFI,5,0),1,0)*Table_NFI[[#This Row],[Sanitary Kit]],Table_NFI[Sanitary Kit])</f>
        <v>0</v>
      </c>
      <c r="AB443" s="264">
        <f>IF(NFI_Expiration=1,IF($A443&lt;VLOOKUP(K$5,NFI,5,0),1,0)*Table_NFI[[#This Row],[Mosquito net]],Table_NFI[Mosquito net])</f>
        <v>0</v>
      </c>
      <c r="AC443" s="264">
        <f>IF(NFI_Expiration=1,IF($A443&lt;VLOOKUP(L$5,NFI,5,0),1,0)*Table_NFI[[#This Row],[Tarpaulin]],Table_NFI[[#This Row],[Tarpaulin]])</f>
        <v>0</v>
      </c>
      <c r="AD443" s="264">
        <f>IF(NFI_Expiration=1,IF($A443&lt;VLOOKUP(M$5,NFI,5,0),1,0)*Table_NFI[[#This Row],[Blanket]],Table_NFI[[#This Row],[Blanket]])</f>
        <v>0</v>
      </c>
      <c r="AE443" s="264">
        <f>IF(NFI_Expiration=1,IF($A443&lt;VLOOKUP(N$5,NFI,5,0),1,0)*Table_NFI[[#This Row],[Kitchen Set]],Table_NFI[Kitchen Set])</f>
        <v>0</v>
      </c>
      <c r="AF443" s="264">
        <f>IF(NFI_Expiration=1,IF($A443&lt;VLOOKUP(O$5,NFI,5,0),1,0)*Table_NFI[[#This Row],[Clothes Kit]],Table_NFI[Clothes Kit])</f>
        <v>0</v>
      </c>
      <c r="AG443" s="264">
        <f>IF(NFI_Expiration=1,IF($A443&lt;VLOOKUP(P$5,NFI,5,0),1,0)*Table_NFI[[#This Row],[Plastic Bucket]],Table_NFI[Plastic Bucket])</f>
        <v>0</v>
      </c>
      <c r="AH443" s="264">
        <f>IF(NFI_Expiration=1,IF($A443&lt;VLOOKUP(Q$5,NFI,5,0),1,0)*Table_NFI[[#This Row],[Plastic Mat]],Table_NFI[Plastic Mat])*IF(Table_NFI[[#This Row],[Distribution Date]]&gt;"2014-04-01",1,2.5)</f>
        <v>0</v>
      </c>
      <c r="AI443" s="264">
        <f>IF(NFI_Expiration=1,IF($A443&lt;VLOOKUP(R$5,NFI,5,0),1,0)*Table_NFI[[#This Row],[Winter Clothes Adult]],Table_NFI[Winter Clothes Adult])</f>
        <v>0</v>
      </c>
      <c r="AJ443" s="264">
        <f>IF(NFI_Expiration=1,IF($A443&lt;VLOOKUP(S$5,NFI,5,0),1,0)*Table_NFI[[#This Row],[Winter Clothes Children]],Table_NFI[Winter Clothes Children])</f>
        <v>0</v>
      </c>
      <c r="AK443" s="264">
        <f>IF(NFI_Expiration=1,IF($A443&lt;VLOOKUP(T$5,NFI,5,0),1,0)*Table_NFI[[#This Row],[Winter Items Other]],Table_NFI[Winter Items Other])</f>
        <v>0</v>
      </c>
      <c r="AL443" s="264">
        <f>IF(NFI_Expiration=1,IF($A443&lt;VLOOKUP(M$5,NFI,5,0),1,0)*Table_NFI[[#This Row],[Winter Blanket]],Table_NFI[[#This Row],[Winter Blanket]])</f>
        <v>0</v>
      </c>
      <c r="AM443" s="264">
        <f>IF(Table_NFI[[#This Row],[Winter Clothes Adult]]+Table_NFI[[#This Row],[Winter Clothes Children]]+Table_NFI[[#This Row],[Winter Items Other]]+Table_NFI[[#This Row],[Winter Blanket]]&gt;0,1,0)</f>
        <v>1</v>
      </c>
      <c r="AN443" s="296">
        <f>IF(NFI_Expiration=1,IF($A443&lt;VLOOKUP(V$5,NFI,5,0),1,0)*Table_NFI[[#This Row],[Jerry Can]],Table_NFI[Jerry Can])</f>
        <v>0</v>
      </c>
      <c r="AO443" s="296">
        <f>IF(NFI_Expiration=1,IF($A443&lt;VLOOKUP(V$5,NFI,5,0),1,0)*Table_NFI[[#This Row],[Shelter Tool kit]],Table_NFI[Shelter Tool kit])</f>
        <v>0</v>
      </c>
      <c r="AP443" s="296">
        <f>IF(NFI_Expiration=1,IF($A443&lt;VLOOKUP(V$5,NFI,5,0),1,0)*Table_NFI[[#This Row],[Tent]],Table_NFI[Tent])</f>
        <v>0</v>
      </c>
      <c r="AQ443" s="396" t="str">
        <f>IFERROR(VLOOKUP(Table_NFI[[#This Row],[Camp Name]],CL,2,0),"")</f>
        <v>MMR001CMP007</v>
      </c>
      <c r="AR443" s="702">
        <f ca="1">IF(Table_NFI[[#This Row],[Pcode]]="","",IF(OFFSET(CampList[Opening Date],MATCH(Table_NFI[[#This Row],[Pcode]],CampList[CP_Pcode],0)-1,0,1,1)&gt;=NFI_Monitor_Date,1,0))</f>
        <v>0</v>
      </c>
      <c r="AS443" s="396" t="str">
        <f>IFERROR(VLOOKUP(Table_NFI[[#This Row],[Camp Name]],CL,3,0),"")</f>
        <v>Open</v>
      </c>
      <c r="AT443" s="264" t="str">
        <f ca="1">IF(Table_NFI[[#This Row],[Pcode]]="","",OFFSET(CampList[Priority],MATCH(Table_NFI[[#This Row],[Pcode]],CampList[CP_Pcode],0)-1,0,1,1))</f>
        <v>P4</v>
      </c>
      <c r="AU443" s="263">
        <f>IFERROR(Table_NFI[[#This Row],[Kitchen Set]]/VLOOKUP(Table_NFI[[#This Row],[Camp Name]],CL,4,0),"")</f>
        <v>0</v>
      </c>
      <c r="AV443" s="390"/>
      <c r="AW443" s="392"/>
      <c r="AX443" s="399"/>
      <c r="AY443" s="399"/>
      <c r="AZ443" s="399"/>
      <c r="BA443" s="399"/>
      <c r="BB443" s="399"/>
      <c r="BC443" s="399"/>
      <c r="BD443" s="399"/>
      <c r="BE443" s="399"/>
      <c r="BF443" s="399"/>
      <c r="BG443" s="399"/>
      <c r="BH443" s="399"/>
      <c r="BI443" s="399"/>
      <c r="BJ443" s="399"/>
      <c r="BK443" s="399"/>
      <c r="BL443" s="399"/>
      <c r="BM443" s="399"/>
      <c r="BN443" s="399"/>
      <c r="BO443" s="399"/>
      <c r="BP443" s="399"/>
      <c r="BQ443" s="399"/>
      <c r="BR443" s="399"/>
      <c r="BS443" s="399"/>
      <c r="BT443" s="399"/>
      <c r="BU443" s="399"/>
      <c r="BV443" s="399"/>
      <c r="BW443" s="399"/>
      <c r="BX443" s="399"/>
      <c r="BY443" s="399"/>
      <c r="BZ443" s="399"/>
      <c r="CA443" s="399"/>
      <c r="CB443" s="399"/>
      <c r="CC443" s="399"/>
      <c r="CD443" s="399"/>
      <c r="CE443" s="399"/>
      <c r="CF443" s="399"/>
      <c r="CG443" s="399"/>
      <c r="CH443" s="399"/>
      <c r="CI443" s="399"/>
      <c r="CJ443" s="399"/>
      <c r="CK443" s="399"/>
      <c r="CL443" s="399"/>
      <c r="CM443" s="399"/>
      <c r="CN443" s="399"/>
      <c r="CO443" s="399"/>
      <c r="CP443" s="399"/>
      <c r="CQ443" s="399"/>
      <c r="CR443" s="399"/>
      <c r="CS443" s="399"/>
      <c r="CT443" s="399"/>
      <c r="CU443" s="399"/>
      <c r="CV443" s="399"/>
      <c r="CW443" s="399"/>
      <c r="CX443" s="399"/>
      <c r="CY443" s="399"/>
      <c r="CZ443" s="399"/>
      <c r="DA443" s="399"/>
      <c r="DB443" s="399"/>
      <c r="DC443" s="399"/>
      <c r="DD443" s="399"/>
      <c r="DE443" s="399"/>
      <c r="DF443" s="399"/>
      <c r="DG443" s="399"/>
      <c r="DH443" s="399"/>
      <c r="DI443" s="399"/>
      <c r="DJ443" s="399"/>
      <c r="DK443" s="399"/>
      <c r="DL443" s="399"/>
      <c r="DM443" s="399"/>
      <c r="DN443" s="399"/>
      <c r="DO443" s="399"/>
      <c r="DP443" s="399"/>
      <c r="DQ443" s="399"/>
    </row>
    <row r="444" spans="1:121" s="760" customFormat="1" ht="14.45" customHeight="1" x14ac:dyDescent="0.25">
      <c r="A444" s="266">
        <f t="shared" si="6"/>
        <v>35.866666666666667</v>
      </c>
      <c r="B444" s="389">
        <v>41780</v>
      </c>
      <c r="C444" s="390" t="s">
        <v>1099</v>
      </c>
      <c r="D444" s="390" t="s">
        <v>899</v>
      </c>
      <c r="E444" s="390" t="s">
        <v>380</v>
      </c>
      <c r="F444" s="390" t="s">
        <v>310</v>
      </c>
      <c r="G444" s="390" t="s">
        <v>349</v>
      </c>
      <c r="H444" s="261"/>
      <c r="I444" s="261"/>
      <c r="J444" s="261"/>
      <c r="K444" s="261"/>
      <c r="L444" s="261"/>
      <c r="M444" s="261"/>
      <c r="N444" s="261"/>
      <c r="O444" s="261"/>
      <c r="P444" s="261"/>
      <c r="Q444" s="261"/>
      <c r="R444" s="261"/>
      <c r="S444" s="261"/>
      <c r="T444" s="261"/>
      <c r="U444" s="261">
        <v>136</v>
      </c>
      <c r="V444" s="762"/>
      <c r="W444" s="261"/>
      <c r="X444" s="261"/>
      <c r="Y444" s="264">
        <f>IF(NFI_Expiration=1,IF($A444&lt;VLOOKUP(H$5,NFI,5,0),1,0)*Table_NFI[[#This Row],[Hygiene Kit]],Table_NFI[Hygiene Kit])</f>
        <v>0</v>
      </c>
      <c r="Z444" s="264">
        <f>IF(NFI_Expiration=1,IF($A444&lt;VLOOKUP(I$5,NFI,5,0),1,0)*Table_NFI[[#This Row],[NFI Core Kit]],Table_NFI[NFI Core Kit])</f>
        <v>0</v>
      </c>
      <c r="AA444" s="264">
        <f>IF(NFI_Expiration=1,IF($A444&lt;VLOOKUP(J$5,NFI,5,0),1,0)*Table_NFI[[#This Row],[Sanitary Kit]],Table_NFI[Sanitary Kit])</f>
        <v>0</v>
      </c>
      <c r="AB444" s="264">
        <f>IF(NFI_Expiration=1,IF($A444&lt;VLOOKUP(K$5,NFI,5,0),1,0)*Table_NFI[[#This Row],[Mosquito net]],Table_NFI[Mosquito net])</f>
        <v>0</v>
      </c>
      <c r="AC444" s="264">
        <f>IF(NFI_Expiration=1,IF($A444&lt;VLOOKUP(L$5,NFI,5,0),1,0)*Table_NFI[[#This Row],[Tarpaulin]],Table_NFI[[#This Row],[Tarpaulin]])</f>
        <v>0</v>
      </c>
      <c r="AD444" s="264">
        <f>IF(NFI_Expiration=1,IF($A444&lt;VLOOKUP(M$5,NFI,5,0),1,0)*Table_NFI[[#This Row],[Blanket]],Table_NFI[[#This Row],[Blanket]])</f>
        <v>0</v>
      </c>
      <c r="AE444" s="264">
        <f>IF(NFI_Expiration=1,IF($A444&lt;VLOOKUP(N$5,NFI,5,0),1,0)*Table_NFI[[#This Row],[Kitchen Set]],Table_NFI[Kitchen Set])</f>
        <v>0</v>
      </c>
      <c r="AF444" s="264">
        <f>IF(NFI_Expiration=1,IF($A444&lt;VLOOKUP(O$5,NFI,5,0),1,0)*Table_NFI[[#This Row],[Clothes Kit]],Table_NFI[Clothes Kit])</f>
        <v>0</v>
      </c>
      <c r="AG444" s="264">
        <f>IF(NFI_Expiration=1,IF($A444&lt;VLOOKUP(P$5,NFI,5,0),1,0)*Table_NFI[[#This Row],[Plastic Bucket]],Table_NFI[Plastic Bucket])</f>
        <v>0</v>
      </c>
      <c r="AH444" s="264">
        <f>IF(NFI_Expiration=1,IF($A444&lt;VLOOKUP(Q$5,NFI,5,0),1,0)*Table_NFI[[#This Row],[Plastic Mat]],Table_NFI[Plastic Mat])*IF(Table_NFI[[#This Row],[Distribution Date]]&gt;"2014-04-01",1,2.5)</f>
        <v>0</v>
      </c>
      <c r="AI444" s="264">
        <f>IF(NFI_Expiration=1,IF($A444&lt;VLOOKUP(R$5,NFI,5,0),1,0)*Table_NFI[[#This Row],[Winter Clothes Adult]],Table_NFI[Winter Clothes Adult])</f>
        <v>0</v>
      </c>
      <c r="AJ444" s="264">
        <f>IF(NFI_Expiration=1,IF($A444&lt;VLOOKUP(S$5,NFI,5,0),1,0)*Table_NFI[[#This Row],[Winter Clothes Children]],Table_NFI[Winter Clothes Children])</f>
        <v>0</v>
      </c>
      <c r="AK444" s="264">
        <f>IF(NFI_Expiration=1,IF($A444&lt;VLOOKUP(T$5,NFI,5,0),1,0)*Table_NFI[[#This Row],[Winter Items Other]],Table_NFI[Winter Items Other])</f>
        <v>0</v>
      </c>
      <c r="AL444" s="264">
        <f>IF(NFI_Expiration=1,IF($A444&lt;VLOOKUP(M$5,NFI,5,0),1,0)*Table_NFI[[#This Row],[Winter Blanket]],Table_NFI[[#This Row],[Winter Blanket]])</f>
        <v>0</v>
      </c>
      <c r="AM444" s="264">
        <f>IF(Table_NFI[[#This Row],[Winter Clothes Adult]]+Table_NFI[[#This Row],[Winter Clothes Children]]+Table_NFI[[#This Row],[Winter Items Other]]+Table_NFI[[#This Row],[Winter Blanket]]&gt;0,1,0)</f>
        <v>1</v>
      </c>
      <c r="AN444" s="296">
        <f>IF(NFI_Expiration=1,IF($A444&lt;VLOOKUP(V$5,NFI,5,0),1,0)*Table_NFI[[#This Row],[Jerry Can]],Table_NFI[Jerry Can])</f>
        <v>0</v>
      </c>
      <c r="AO444" s="296">
        <f>IF(NFI_Expiration=1,IF($A444&lt;VLOOKUP(V$5,NFI,5,0),1,0)*Table_NFI[[#This Row],[Shelter Tool kit]],Table_NFI[Shelter Tool kit])</f>
        <v>0</v>
      </c>
      <c r="AP444" s="296">
        <f>IF(NFI_Expiration=1,IF($A444&lt;VLOOKUP(V$5,NFI,5,0),1,0)*Table_NFI[[#This Row],[Tent]],Table_NFI[Tent])</f>
        <v>0</v>
      </c>
      <c r="AQ444" s="396" t="str">
        <f>IFERROR(VLOOKUP(Table_NFI[[#This Row],[Camp Name]],CL,2,0),"")</f>
        <v>MMR001CMP037</v>
      </c>
      <c r="AR444" s="702">
        <f ca="1">IF(Table_NFI[[#This Row],[Pcode]]="","",IF(OFFSET(CampList[Opening Date],MATCH(Table_NFI[[#This Row],[Pcode]],CampList[CP_Pcode],0)-1,0,1,1)&gt;=NFI_Monitor_Date,1,0))</f>
        <v>0</v>
      </c>
      <c r="AS444" s="396" t="str">
        <f>IFERROR(VLOOKUP(Table_NFI[[#This Row],[Camp Name]],CL,3,0),"")</f>
        <v>Open</v>
      </c>
      <c r="AT444" s="264" t="str">
        <f ca="1">IF(Table_NFI[[#This Row],[Pcode]]="","",OFFSET(CampList[Priority],MATCH(Table_NFI[[#This Row],[Pcode]],CampList[CP_Pcode],0)-1,0,1,1))</f>
        <v>P4</v>
      </c>
      <c r="AU444" s="263">
        <f>IFERROR(Table_NFI[[#This Row],[Kitchen Set]]/VLOOKUP(Table_NFI[[#This Row],[Camp Name]],CL,4,0),"")</f>
        <v>0</v>
      </c>
      <c r="AV444" s="390"/>
      <c r="AW444" s="392"/>
      <c r="AX444" s="399"/>
      <c r="AY444" s="399"/>
      <c r="AZ444" s="399"/>
      <c r="BA444" s="399"/>
      <c r="BB444" s="399"/>
      <c r="BC444" s="399"/>
      <c r="BD444" s="399"/>
      <c r="BE444" s="399"/>
      <c r="BF444" s="399"/>
      <c r="BG444" s="399"/>
      <c r="BH444" s="399"/>
      <c r="BI444" s="399"/>
      <c r="BJ444" s="399"/>
      <c r="BK444" s="399"/>
      <c r="BL444" s="399"/>
      <c r="BM444" s="399"/>
      <c r="BN444" s="399"/>
      <c r="BO444" s="399"/>
      <c r="BP444" s="399"/>
      <c r="BQ444" s="399"/>
      <c r="BR444" s="399"/>
      <c r="BS444" s="399"/>
      <c r="BT444" s="399"/>
      <c r="BU444" s="399"/>
      <c r="BV444" s="399"/>
      <c r="BW444" s="399"/>
      <c r="BX444" s="399"/>
      <c r="BY444" s="399"/>
      <c r="BZ444" s="399"/>
      <c r="CA444" s="399"/>
      <c r="CB444" s="399"/>
      <c r="CC444" s="399"/>
      <c r="CD444" s="399"/>
      <c r="CE444" s="399"/>
      <c r="CF444" s="399"/>
      <c r="CG444" s="399"/>
      <c r="CH444" s="399"/>
      <c r="CI444" s="399"/>
      <c r="CJ444" s="399"/>
      <c r="CK444" s="399"/>
      <c r="CL444" s="399"/>
      <c r="CM444" s="399"/>
      <c r="CN444" s="399"/>
      <c r="CO444" s="399"/>
      <c r="CP444" s="399"/>
      <c r="CQ444" s="399"/>
      <c r="CR444" s="399"/>
      <c r="CS444" s="399"/>
      <c r="CT444" s="399"/>
      <c r="CU444" s="399"/>
      <c r="CV444" s="399"/>
      <c r="CW444" s="399"/>
      <c r="CX444" s="399"/>
      <c r="CY444" s="399"/>
      <c r="CZ444" s="399"/>
      <c r="DA444" s="399"/>
      <c r="DB444" s="399"/>
      <c r="DC444" s="399"/>
      <c r="DD444" s="399"/>
      <c r="DE444" s="399"/>
      <c r="DF444" s="399"/>
      <c r="DG444" s="399"/>
      <c r="DH444" s="399"/>
      <c r="DI444" s="399"/>
      <c r="DJ444" s="399"/>
      <c r="DK444" s="399"/>
      <c r="DL444" s="399"/>
      <c r="DM444" s="399"/>
      <c r="DN444" s="399"/>
      <c r="DO444" s="399"/>
      <c r="DP444" s="399"/>
      <c r="DQ444" s="399"/>
    </row>
    <row r="445" spans="1:121" s="760" customFormat="1" ht="14.45" customHeight="1" x14ac:dyDescent="0.25">
      <c r="A445" s="266">
        <f t="shared" si="6"/>
        <v>35.866666666666667</v>
      </c>
      <c r="B445" s="389">
        <v>41780</v>
      </c>
      <c r="C445" s="390" t="s">
        <v>1099</v>
      </c>
      <c r="D445" s="390" t="s">
        <v>899</v>
      </c>
      <c r="E445" s="390" t="s">
        <v>380</v>
      </c>
      <c r="F445" s="390" t="s">
        <v>237</v>
      </c>
      <c r="G445" s="390" t="s">
        <v>267</v>
      </c>
      <c r="H445" s="261"/>
      <c r="I445" s="261"/>
      <c r="J445" s="261"/>
      <c r="K445" s="261"/>
      <c r="L445" s="261"/>
      <c r="M445" s="261"/>
      <c r="N445" s="261"/>
      <c r="O445" s="261"/>
      <c r="P445" s="261"/>
      <c r="Q445" s="261"/>
      <c r="R445" s="261"/>
      <c r="S445" s="261"/>
      <c r="T445" s="261"/>
      <c r="U445" s="261">
        <v>24</v>
      </c>
      <c r="V445" s="762"/>
      <c r="W445" s="261"/>
      <c r="X445" s="261"/>
      <c r="Y445" s="264">
        <f>IF(NFI_Expiration=1,IF($A445&lt;VLOOKUP(H$5,NFI,5,0),1,0)*Table_NFI[[#This Row],[Hygiene Kit]],Table_NFI[Hygiene Kit])</f>
        <v>0</v>
      </c>
      <c r="Z445" s="264">
        <f>IF(NFI_Expiration=1,IF($A445&lt;VLOOKUP(I$5,NFI,5,0),1,0)*Table_NFI[[#This Row],[NFI Core Kit]],Table_NFI[NFI Core Kit])</f>
        <v>0</v>
      </c>
      <c r="AA445" s="264">
        <f>IF(NFI_Expiration=1,IF($A445&lt;VLOOKUP(J$5,NFI,5,0),1,0)*Table_NFI[[#This Row],[Sanitary Kit]],Table_NFI[Sanitary Kit])</f>
        <v>0</v>
      </c>
      <c r="AB445" s="264">
        <f>IF(NFI_Expiration=1,IF($A445&lt;VLOOKUP(K$5,NFI,5,0),1,0)*Table_NFI[[#This Row],[Mosquito net]],Table_NFI[Mosquito net])</f>
        <v>0</v>
      </c>
      <c r="AC445" s="264">
        <f>IF(NFI_Expiration=1,IF($A445&lt;VLOOKUP(L$5,NFI,5,0),1,0)*Table_NFI[[#This Row],[Tarpaulin]],Table_NFI[[#This Row],[Tarpaulin]])</f>
        <v>0</v>
      </c>
      <c r="AD445" s="264">
        <f>IF(NFI_Expiration=1,IF($A445&lt;VLOOKUP(M$5,NFI,5,0),1,0)*Table_NFI[[#This Row],[Blanket]],Table_NFI[[#This Row],[Blanket]])</f>
        <v>0</v>
      </c>
      <c r="AE445" s="264">
        <f>IF(NFI_Expiration=1,IF($A445&lt;VLOOKUP(N$5,NFI,5,0),1,0)*Table_NFI[[#This Row],[Kitchen Set]],Table_NFI[Kitchen Set])</f>
        <v>0</v>
      </c>
      <c r="AF445" s="264">
        <f>IF(NFI_Expiration=1,IF($A445&lt;VLOOKUP(O$5,NFI,5,0),1,0)*Table_NFI[[#This Row],[Clothes Kit]],Table_NFI[Clothes Kit])</f>
        <v>0</v>
      </c>
      <c r="AG445" s="264">
        <f>IF(NFI_Expiration=1,IF($A445&lt;VLOOKUP(P$5,NFI,5,0),1,0)*Table_NFI[[#This Row],[Plastic Bucket]],Table_NFI[Plastic Bucket])</f>
        <v>0</v>
      </c>
      <c r="AH445" s="264">
        <f>IF(NFI_Expiration=1,IF($A445&lt;VLOOKUP(Q$5,NFI,5,0),1,0)*Table_NFI[[#This Row],[Plastic Mat]],Table_NFI[Plastic Mat])*IF(Table_NFI[[#This Row],[Distribution Date]]&gt;"2014-04-01",1,2.5)</f>
        <v>0</v>
      </c>
      <c r="AI445" s="264">
        <f>IF(NFI_Expiration=1,IF($A445&lt;VLOOKUP(R$5,NFI,5,0),1,0)*Table_NFI[[#This Row],[Winter Clothes Adult]],Table_NFI[Winter Clothes Adult])</f>
        <v>0</v>
      </c>
      <c r="AJ445" s="264">
        <f>IF(NFI_Expiration=1,IF($A445&lt;VLOOKUP(S$5,NFI,5,0),1,0)*Table_NFI[[#This Row],[Winter Clothes Children]],Table_NFI[Winter Clothes Children])</f>
        <v>0</v>
      </c>
      <c r="AK445" s="264">
        <f>IF(NFI_Expiration=1,IF($A445&lt;VLOOKUP(T$5,NFI,5,0),1,0)*Table_NFI[[#This Row],[Winter Items Other]],Table_NFI[Winter Items Other])</f>
        <v>0</v>
      </c>
      <c r="AL445" s="264">
        <f>IF(NFI_Expiration=1,IF($A445&lt;VLOOKUP(M$5,NFI,5,0),1,0)*Table_NFI[[#This Row],[Winter Blanket]],Table_NFI[[#This Row],[Winter Blanket]])</f>
        <v>0</v>
      </c>
      <c r="AM445" s="264">
        <f>IF(Table_NFI[[#This Row],[Winter Clothes Adult]]+Table_NFI[[#This Row],[Winter Clothes Children]]+Table_NFI[[#This Row],[Winter Items Other]]+Table_NFI[[#This Row],[Winter Blanket]]&gt;0,1,0)</f>
        <v>1</v>
      </c>
      <c r="AN445" s="296">
        <f>IF(NFI_Expiration=1,IF($A445&lt;VLOOKUP(V$5,NFI,5,0),1,0)*Table_NFI[[#This Row],[Jerry Can]],Table_NFI[Jerry Can])</f>
        <v>0</v>
      </c>
      <c r="AO445" s="296">
        <f>IF(NFI_Expiration=1,IF($A445&lt;VLOOKUP(V$5,NFI,5,0),1,0)*Table_NFI[[#This Row],[Shelter Tool kit]],Table_NFI[Shelter Tool kit])</f>
        <v>0</v>
      </c>
      <c r="AP445" s="296">
        <f>IF(NFI_Expiration=1,IF($A445&lt;VLOOKUP(V$5,NFI,5,0),1,0)*Table_NFI[[#This Row],[Tent]],Table_NFI[Tent])</f>
        <v>0</v>
      </c>
      <c r="AQ445" s="396" t="str">
        <f>IFERROR(VLOOKUP(Table_NFI[[#This Row],[Camp Name]],CL,2,0),"")</f>
        <v>MMR001CMP017</v>
      </c>
      <c r="AR445" s="702">
        <f ca="1">IF(Table_NFI[[#This Row],[Pcode]]="","",IF(OFFSET(CampList[Opening Date],MATCH(Table_NFI[[#This Row],[Pcode]],CampList[CP_Pcode],0)-1,0,1,1)&gt;=NFI_Monitor_Date,1,0))</f>
        <v>0</v>
      </c>
      <c r="AS445" s="396" t="str">
        <f>IFERROR(VLOOKUP(Table_NFI[[#This Row],[Camp Name]],CL,3,0),"")</f>
        <v>Closed</v>
      </c>
      <c r="AT445" s="264" t="str">
        <f ca="1">IF(Table_NFI[[#This Row],[Pcode]]="","",OFFSET(CampList[Priority],MATCH(Table_NFI[[#This Row],[Pcode]],CampList[CP_Pcode],0)-1,0,1,1))</f>
        <v>P4</v>
      </c>
      <c r="AU445" s="263">
        <f>IFERROR(Table_NFI[[#This Row],[Kitchen Set]]/VLOOKUP(Table_NFI[[#This Row],[Camp Name]],CL,4,0),"")</f>
        <v>0</v>
      </c>
      <c r="AV445" s="390"/>
      <c r="AW445" s="392"/>
      <c r="AX445" s="399"/>
      <c r="AY445" s="399"/>
      <c r="AZ445" s="399"/>
      <c r="BA445" s="399"/>
      <c r="BB445" s="399"/>
      <c r="BC445" s="399"/>
      <c r="BD445" s="399"/>
      <c r="BE445" s="399"/>
      <c r="BF445" s="399"/>
      <c r="BG445" s="399"/>
      <c r="BH445" s="399"/>
      <c r="BI445" s="399"/>
      <c r="BJ445" s="399"/>
      <c r="BK445" s="399"/>
      <c r="BL445" s="399"/>
      <c r="BM445" s="399"/>
      <c r="BN445" s="399"/>
      <c r="BO445" s="399"/>
      <c r="BP445" s="399"/>
      <c r="BQ445" s="399"/>
      <c r="BR445" s="399"/>
      <c r="BS445" s="399"/>
      <c r="BT445" s="399"/>
      <c r="BU445" s="399"/>
      <c r="BV445" s="399"/>
      <c r="BW445" s="399"/>
      <c r="BX445" s="399"/>
      <c r="BY445" s="399"/>
      <c r="BZ445" s="399"/>
      <c r="CA445" s="399"/>
      <c r="CB445" s="399"/>
      <c r="CC445" s="399"/>
      <c r="CD445" s="399"/>
      <c r="CE445" s="399"/>
      <c r="CF445" s="399"/>
      <c r="CG445" s="399"/>
      <c r="CH445" s="399"/>
      <c r="CI445" s="399"/>
      <c r="CJ445" s="399"/>
      <c r="CK445" s="399"/>
      <c r="CL445" s="399"/>
      <c r="CM445" s="399"/>
      <c r="CN445" s="399"/>
      <c r="CO445" s="399"/>
      <c r="CP445" s="399"/>
      <c r="CQ445" s="399"/>
      <c r="CR445" s="399"/>
      <c r="CS445" s="399"/>
      <c r="CT445" s="399"/>
      <c r="CU445" s="399"/>
      <c r="CV445" s="399"/>
      <c r="CW445" s="399"/>
      <c r="CX445" s="399"/>
      <c r="CY445" s="399"/>
      <c r="CZ445" s="399"/>
      <c r="DA445" s="399"/>
      <c r="DB445" s="399"/>
      <c r="DC445" s="399"/>
      <c r="DD445" s="399"/>
      <c r="DE445" s="399"/>
      <c r="DF445" s="399"/>
      <c r="DG445" s="399"/>
      <c r="DH445" s="399"/>
      <c r="DI445" s="399"/>
      <c r="DJ445" s="399"/>
      <c r="DK445" s="399"/>
      <c r="DL445" s="399"/>
      <c r="DM445" s="399"/>
      <c r="DN445" s="399"/>
      <c r="DO445" s="399"/>
      <c r="DP445" s="399"/>
      <c r="DQ445" s="399"/>
    </row>
    <row r="446" spans="1:121" s="760" customFormat="1" ht="14.45" customHeight="1" x14ac:dyDescent="0.25">
      <c r="A446" s="266">
        <f t="shared" si="6"/>
        <v>35.9</v>
      </c>
      <c r="B446" s="389">
        <v>41779</v>
      </c>
      <c r="C446" s="390" t="s">
        <v>1099</v>
      </c>
      <c r="D446" s="390" t="s">
        <v>899</v>
      </c>
      <c r="E446" s="390" t="s">
        <v>380</v>
      </c>
      <c r="F446" s="390" t="s">
        <v>237</v>
      </c>
      <c r="G446" s="390" t="s">
        <v>257</v>
      </c>
      <c r="H446" s="261"/>
      <c r="I446" s="261"/>
      <c r="J446" s="261"/>
      <c r="K446" s="261"/>
      <c r="L446" s="261"/>
      <c r="M446" s="261"/>
      <c r="N446" s="261"/>
      <c r="O446" s="261"/>
      <c r="P446" s="261"/>
      <c r="Q446" s="261"/>
      <c r="R446" s="261"/>
      <c r="S446" s="261"/>
      <c r="T446" s="261"/>
      <c r="U446" s="261">
        <v>88</v>
      </c>
      <c r="V446" s="762"/>
      <c r="W446" s="261"/>
      <c r="X446" s="261"/>
      <c r="Y446" s="264">
        <f>IF(NFI_Expiration=1,IF($A446&lt;VLOOKUP(H$5,NFI,5,0),1,0)*Table_NFI[[#This Row],[Hygiene Kit]],Table_NFI[Hygiene Kit])</f>
        <v>0</v>
      </c>
      <c r="Z446" s="264">
        <f>IF(NFI_Expiration=1,IF($A446&lt;VLOOKUP(I$5,NFI,5,0),1,0)*Table_NFI[[#This Row],[NFI Core Kit]],Table_NFI[NFI Core Kit])</f>
        <v>0</v>
      </c>
      <c r="AA446" s="264">
        <f>IF(NFI_Expiration=1,IF($A446&lt;VLOOKUP(J$5,NFI,5,0),1,0)*Table_NFI[[#This Row],[Sanitary Kit]],Table_NFI[Sanitary Kit])</f>
        <v>0</v>
      </c>
      <c r="AB446" s="264">
        <f>IF(NFI_Expiration=1,IF($A446&lt;VLOOKUP(K$5,NFI,5,0),1,0)*Table_NFI[[#This Row],[Mosquito net]],Table_NFI[Mosquito net])</f>
        <v>0</v>
      </c>
      <c r="AC446" s="264">
        <f>IF(NFI_Expiration=1,IF($A446&lt;VLOOKUP(L$5,NFI,5,0),1,0)*Table_NFI[[#This Row],[Tarpaulin]],Table_NFI[[#This Row],[Tarpaulin]])</f>
        <v>0</v>
      </c>
      <c r="AD446" s="264">
        <f>IF(NFI_Expiration=1,IF($A446&lt;VLOOKUP(M$5,NFI,5,0),1,0)*Table_NFI[[#This Row],[Blanket]],Table_NFI[[#This Row],[Blanket]])</f>
        <v>0</v>
      </c>
      <c r="AE446" s="264">
        <f>IF(NFI_Expiration=1,IF($A446&lt;VLOOKUP(N$5,NFI,5,0),1,0)*Table_NFI[[#This Row],[Kitchen Set]],Table_NFI[Kitchen Set])</f>
        <v>0</v>
      </c>
      <c r="AF446" s="264">
        <f>IF(NFI_Expiration=1,IF($A446&lt;VLOOKUP(O$5,NFI,5,0),1,0)*Table_NFI[[#This Row],[Clothes Kit]],Table_NFI[Clothes Kit])</f>
        <v>0</v>
      </c>
      <c r="AG446" s="264">
        <f>IF(NFI_Expiration=1,IF($A446&lt;VLOOKUP(P$5,NFI,5,0),1,0)*Table_NFI[[#This Row],[Plastic Bucket]],Table_NFI[Plastic Bucket])</f>
        <v>0</v>
      </c>
      <c r="AH446" s="264">
        <f>IF(NFI_Expiration=1,IF($A446&lt;VLOOKUP(Q$5,NFI,5,0),1,0)*Table_NFI[[#This Row],[Plastic Mat]],Table_NFI[Plastic Mat])*IF(Table_NFI[[#This Row],[Distribution Date]]&gt;"2014-04-01",1,2.5)</f>
        <v>0</v>
      </c>
      <c r="AI446" s="264">
        <f>IF(NFI_Expiration=1,IF($A446&lt;VLOOKUP(R$5,NFI,5,0),1,0)*Table_NFI[[#This Row],[Winter Clothes Adult]],Table_NFI[Winter Clothes Adult])</f>
        <v>0</v>
      </c>
      <c r="AJ446" s="264">
        <f>IF(NFI_Expiration=1,IF($A446&lt;VLOOKUP(S$5,NFI,5,0),1,0)*Table_NFI[[#This Row],[Winter Clothes Children]],Table_NFI[Winter Clothes Children])</f>
        <v>0</v>
      </c>
      <c r="AK446" s="264">
        <f>IF(NFI_Expiration=1,IF($A446&lt;VLOOKUP(T$5,NFI,5,0),1,0)*Table_NFI[[#This Row],[Winter Items Other]],Table_NFI[Winter Items Other])</f>
        <v>0</v>
      </c>
      <c r="AL446" s="264">
        <f>IF(NFI_Expiration=1,IF($A446&lt;VLOOKUP(M$5,NFI,5,0),1,0)*Table_NFI[[#This Row],[Winter Blanket]],Table_NFI[[#This Row],[Winter Blanket]])</f>
        <v>0</v>
      </c>
      <c r="AM446" s="264">
        <f>IF(Table_NFI[[#This Row],[Winter Clothes Adult]]+Table_NFI[[#This Row],[Winter Clothes Children]]+Table_NFI[[#This Row],[Winter Items Other]]+Table_NFI[[#This Row],[Winter Blanket]]&gt;0,1,0)</f>
        <v>1</v>
      </c>
      <c r="AN446" s="296">
        <f>IF(NFI_Expiration=1,IF($A446&lt;VLOOKUP(V$5,NFI,5,0),1,0)*Table_NFI[[#This Row],[Jerry Can]],Table_NFI[Jerry Can])</f>
        <v>0</v>
      </c>
      <c r="AO446" s="296">
        <f>IF(NFI_Expiration=1,IF($A446&lt;VLOOKUP(V$5,NFI,5,0),1,0)*Table_NFI[[#This Row],[Shelter Tool kit]],Table_NFI[Shelter Tool kit])</f>
        <v>0</v>
      </c>
      <c r="AP446" s="296">
        <f>IF(NFI_Expiration=1,IF($A446&lt;VLOOKUP(V$5,NFI,5,0),1,0)*Table_NFI[[#This Row],[Tent]],Table_NFI[Tent])</f>
        <v>0</v>
      </c>
      <c r="AQ446" s="396" t="str">
        <f>IFERROR(VLOOKUP(Table_NFI[[#This Row],[Camp Name]],CL,2,0),"")</f>
        <v>MMR001CMP013</v>
      </c>
      <c r="AR446" s="702">
        <f ca="1">IF(Table_NFI[[#This Row],[Pcode]]="","",IF(OFFSET(CampList[Opening Date],MATCH(Table_NFI[[#This Row],[Pcode]],CampList[CP_Pcode],0)-1,0,1,1)&gt;=NFI_Monitor_Date,1,0))</f>
        <v>0</v>
      </c>
      <c r="AS446" s="396" t="str">
        <f>IFERROR(VLOOKUP(Table_NFI[[#This Row],[Camp Name]],CL,3,0),"")</f>
        <v>Open</v>
      </c>
      <c r="AT446" s="264" t="str">
        <f ca="1">IF(Table_NFI[[#This Row],[Pcode]]="","",OFFSET(CampList[Priority],MATCH(Table_NFI[[#This Row],[Pcode]],CampList[CP_Pcode],0)-1,0,1,1))</f>
        <v>P4</v>
      </c>
      <c r="AU446" s="263">
        <f>IFERROR(Table_NFI[[#This Row],[Kitchen Set]]/VLOOKUP(Table_NFI[[#This Row],[Camp Name]],CL,4,0),"")</f>
        <v>0</v>
      </c>
      <c r="AV446" s="390"/>
      <c r="AW446" s="392"/>
      <c r="AX446" s="399"/>
      <c r="AY446" s="399"/>
      <c r="AZ446" s="399"/>
      <c r="BA446" s="399"/>
      <c r="BB446" s="399"/>
      <c r="BC446" s="399"/>
      <c r="BD446" s="399"/>
      <c r="BE446" s="399"/>
      <c r="BF446" s="399"/>
      <c r="BG446" s="399"/>
      <c r="BH446" s="399"/>
      <c r="BI446" s="399"/>
      <c r="BJ446" s="399"/>
      <c r="BK446" s="399"/>
      <c r="BL446" s="399"/>
      <c r="BM446" s="399"/>
      <c r="BN446" s="399"/>
      <c r="BO446" s="399"/>
      <c r="BP446" s="399"/>
      <c r="BQ446" s="399"/>
      <c r="BR446" s="399"/>
      <c r="BS446" s="399"/>
      <c r="BT446" s="399"/>
      <c r="BU446" s="399"/>
      <c r="BV446" s="399"/>
      <c r="BW446" s="399"/>
      <c r="BX446" s="399"/>
      <c r="BY446" s="399"/>
      <c r="BZ446" s="399"/>
      <c r="CA446" s="399"/>
      <c r="CB446" s="399"/>
      <c r="CC446" s="399"/>
      <c r="CD446" s="399"/>
      <c r="CE446" s="399"/>
      <c r="CF446" s="399"/>
      <c r="CG446" s="399"/>
      <c r="CH446" s="399"/>
      <c r="CI446" s="399"/>
      <c r="CJ446" s="399"/>
      <c r="CK446" s="399"/>
      <c r="CL446" s="399"/>
      <c r="CM446" s="399"/>
      <c r="CN446" s="399"/>
      <c r="CO446" s="399"/>
      <c r="CP446" s="399"/>
      <c r="CQ446" s="399"/>
      <c r="CR446" s="399"/>
      <c r="CS446" s="399"/>
      <c r="CT446" s="399"/>
      <c r="CU446" s="399"/>
      <c r="CV446" s="399"/>
      <c r="CW446" s="399"/>
      <c r="CX446" s="399"/>
      <c r="CY446" s="399"/>
      <c r="CZ446" s="399"/>
      <c r="DA446" s="399"/>
      <c r="DB446" s="399"/>
      <c r="DC446" s="399"/>
      <c r="DD446" s="399"/>
      <c r="DE446" s="399"/>
      <c r="DF446" s="399"/>
      <c r="DG446" s="399"/>
      <c r="DH446" s="399"/>
      <c r="DI446" s="399"/>
      <c r="DJ446" s="399"/>
      <c r="DK446" s="399"/>
      <c r="DL446" s="399"/>
      <c r="DM446" s="399"/>
      <c r="DN446" s="399"/>
      <c r="DO446" s="399"/>
      <c r="DP446" s="399"/>
      <c r="DQ446" s="399"/>
    </row>
    <row r="447" spans="1:121" s="760" customFormat="1" ht="14.45" customHeight="1" x14ac:dyDescent="0.25">
      <c r="A447" s="266">
        <f t="shared" si="6"/>
        <v>35.9</v>
      </c>
      <c r="B447" s="389">
        <v>41779</v>
      </c>
      <c r="C447" s="390" t="s">
        <v>1099</v>
      </c>
      <c r="D447" s="390" t="s">
        <v>899</v>
      </c>
      <c r="E447" s="390" t="s">
        <v>380</v>
      </c>
      <c r="F447" s="390" t="s">
        <v>237</v>
      </c>
      <c r="G447" s="390" t="s">
        <v>240</v>
      </c>
      <c r="H447" s="261"/>
      <c r="I447" s="261"/>
      <c r="J447" s="261"/>
      <c r="K447" s="261"/>
      <c r="L447" s="261"/>
      <c r="M447" s="261"/>
      <c r="N447" s="261"/>
      <c r="O447" s="261"/>
      <c r="P447" s="261"/>
      <c r="Q447" s="261"/>
      <c r="R447" s="261"/>
      <c r="S447" s="261"/>
      <c r="T447" s="261"/>
      <c r="U447" s="261">
        <v>188</v>
      </c>
      <c r="V447" s="762"/>
      <c r="W447" s="261"/>
      <c r="X447" s="261"/>
      <c r="Y447" s="264">
        <f>IF(NFI_Expiration=1,IF($A447&lt;VLOOKUP(H$5,NFI,5,0),1,0)*Table_NFI[[#This Row],[Hygiene Kit]],Table_NFI[Hygiene Kit])</f>
        <v>0</v>
      </c>
      <c r="Z447" s="264">
        <f>IF(NFI_Expiration=1,IF($A447&lt;VLOOKUP(I$5,NFI,5,0),1,0)*Table_NFI[[#This Row],[NFI Core Kit]],Table_NFI[NFI Core Kit])</f>
        <v>0</v>
      </c>
      <c r="AA447" s="264">
        <f>IF(NFI_Expiration=1,IF($A447&lt;VLOOKUP(J$5,NFI,5,0),1,0)*Table_NFI[[#This Row],[Sanitary Kit]],Table_NFI[Sanitary Kit])</f>
        <v>0</v>
      </c>
      <c r="AB447" s="264">
        <f>IF(NFI_Expiration=1,IF($A447&lt;VLOOKUP(K$5,NFI,5,0),1,0)*Table_NFI[[#This Row],[Mosquito net]],Table_NFI[Mosquito net])</f>
        <v>0</v>
      </c>
      <c r="AC447" s="264">
        <f>IF(NFI_Expiration=1,IF($A447&lt;VLOOKUP(L$5,NFI,5,0),1,0)*Table_NFI[[#This Row],[Tarpaulin]],Table_NFI[[#This Row],[Tarpaulin]])</f>
        <v>0</v>
      </c>
      <c r="AD447" s="264">
        <f>IF(NFI_Expiration=1,IF($A447&lt;VLOOKUP(M$5,NFI,5,0),1,0)*Table_NFI[[#This Row],[Blanket]],Table_NFI[[#This Row],[Blanket]])</f>
        <v>0</v>
      </c>
      <c r="AE447" s="264">
        <f>IF(NFI_Expiration=1,IF($A447&lt;VLOOKUP(N$5,NFI,5,0),1,0)*Table_NFI[[#This Row],[Kitchen Set]],Table_NFI[Kitchen Set])</f>
        <v>0</v>
      </c>
      <c r="AF447" s="264">
        <f>IF(NFI_Expiration=1,IF($A447&lt;VLOOKUP(O$5,NFI,5,0),1,0)*Table_NFI[[#This Row],[Clothes Kit]],Table_NFI[Clothes Kit])</f>
        <v>0</v>
      </c>
      <c r="AG447" s="264">
        <f>IF(NFI_Expiration=1,IF($A447&lt;VLOOKUP(P$5,NFI,5,0),1,0)*Table_NFI[[#This Row],[Plastic Bucket]],Table_NFI[Plastic Bucket])</f>
        <v>0</v>
      </c>
      <c r="AH447" s="264">
        <f>IF(NFI_Expiration=1,IF($A447&lt;VLOOKUP(Q$5,NFI,5,0),1,0)*Table_NFI[[#This Row],[Plastic Mat]],Table_NFI[Plastic Mat])*IF(Table_NFI[[#This Row],[Distribution Date]]&gt;"2014-04-01",1,2.5)</f>
        <v>0</v>
      </c>
      <c r="AI447" s="264">
        <f>IF(NFI_Expiration=1,IF($A447&lt;VLOOKUP(R$5,NFI,5,0),1,0)*Table_NFI[[#This Row],[Winter Clothes Adult]],Table_NFI[Winter Clothes Adult])</f>
        <v>0</v>
      </c>
      <c r="AJ447" s="264">
        <f>IF(NFI_Expiration=1,IF($A447&lt;VLOOKUP(S$5,NFI,5,0),1,0)*Table_NFI[[#This Row],[Winter Clothes Children]],Table_NFI[Winter Clothes Children])</f>
        <v>0</v>
      </c>
      <c r="AK447" s="264">
        <f>IF(NFI_Expiration=1,IF($A447&lt;VLOOKUP(T$5,NFI,5,0),1,0)*Table_NFI[[#This Row],[Winter Items Other]],Table_NFI[Winter Items Other])</f>
        <v>0</v>
      </c>
      <c r="AL447" s="264">
        <f>IF(NFI_Expiration=1,IF($A447&lt;VLOOKUP(M$5,NFI,5,0),1,0)*Table_NFI[[#This Row],[Winter Blanket]],Table_NFI[[#This Row],[Winter Blanket]])</f>
        <v>0</v>
      </c>
      <c r="AM447" s="264">
        <f>IF(Table_NFI[[#This Row],[Winter Clothes Adult]]+Table_NFI[[#This Row],[Winter Clothes Children]]+Table_NFI[[#This Row],[Winter Items Other]]+Table_NFI[[#This Row],[Winter Blanket]]&gt;0,1,0)</f>
        <v>1</v>
      </c>
      <c r="AN447" s="296">
        <f>IF(NFI_Expiration=1,IF($A447&lt;VLOOKUP(V$5,NFI,5,0),1,0)*Table_NFI[[#This Row],[Jerry Can]],Table_NFI[Jerry Can])</f>
        <v>0</v>
      </c>
      <c r="AO447" s="296">
        <f>IF(NFI_Expiration=1,IF($A447&lt;VLOOKUP(V$5,NFI,5,0),1,0)*Table_NFI[[#This Row],[Shelter Tool kit]],Table_NFI[Shelter Tool kit])</f>
        <v>0</v>
      </c>
      <c r="AP447" s="296">
        <f>IF(NFI_Expiration=1,IF($A447&lt;VLOOKUP(V$5,NFI,5,0),1,0)*Table_NFI[[#This Row],[Tent]],Table_NFI[Tent])</f>
        <v>0</v>
      </c>
      <c r="AQ447" s="396" t="str">
        <f>IFERROR(VLOOKUP(Table_NFI[[#This Row],[Camp Name]],CL,2,0),"")</f>
        <v>MMR001CMP015</v>
      </c>
      <c r="AR447" s="702">
        <f ca="1">IF(Table_NFI[[#This Row],[Pcode]]="","",IF(OFFSET(CampList[Opening Date],MATCH(Table_NFI[[#This Row],[Pcode]],CampList[CP_Pcode],0)-1,0,1,1)&gt;=NFI_Monitor_Date,1,0))</f>
        <v>0</v>
      </c>
      <c r="AS447" s="396" t="str">
        <f>IFERROR(VLOOKUP(Table_NFI[[#This Row],[Camp Name]],CL,3,0),"")</f>
        <v>Open</v>
      </c>
      <c r="AT447" s="264" t="str">
        <f ca="1">IF(Table_NFI[[#This Row],[Pcode]]="","",OFFSET(CampList[Priority],MATCH(Table_NFI[[#This Row],[Pcode]],CampList[CP_Pcode],0)-1,0,1,1))</f>
        <v>P4</v>
      </c>
      <c r="AU447" s="263">
        <f>IFERROR(Table_NFI[[#This Row],[Kitchen Set]]/VLOOKUP(Table_NFI[[#This Row],[Camp Name]],CL,4,0),"")</f>
        <v>0</v>
      </c>
      <c r="AV447" s="390"/>
      <c r="AW447" s="392"/>
      <c r="AX447" s="399"/>
      <c r="AY447" s="399"/>
      <c r="AZ447" s="399"/>
      <c r="BA447" s="399"/>
      <c r="BB447" s="399"/>
      <c r="BC447" s="399"/>
      <c r="BD447" s="399"/>
      <c r="BE447" s="399"/>
      <c r="BF447" s="399"/>
      <c r="BG447" s="399"/>
      <c r="BH447" s="399"/>
      <c r="BI447" s="399"/>
      <c r="BJ447" s="399"/>
      <c r="BK447" s="399"/>
      <c r="BL447" s="399"/>
      <c r="BM447" s="399"/>
      <c r="BN447" s="399"/>
      <c r="BO447" s="399"/>
      <c r="BP447" s="399"/>
      <c r="BQ447" s="399"/>
      <c r="BR447" s="399"/>
      <c r="BS447" s="399"/>
      <c r="BT447" s="399"/>
      <c r="BU447" s="399"/>
      <c r="BV447" s="399"/>
      <c r="BW447" s="399"/>
      <c r="BX447" s="399"/>
      <c r="BY447" s="399"/>
      <c r="BZ447" s="399"/>
      <c r="CA447" s="399"/>
      <c r="CB447" s="399"/>
      <c r="CC447" s="399"/>
      <c r="CD447" s="399"/>
      <c r="CE447" s="399"/>
      <c r="CF447" s="399"/>
      <c r="CG447" s="399"/>
      <c r="CH447" s="399"/>
      <c r="CI447" s="399"/>
      <c r="CJ447" s="399"/>
      <c r="CK447" s="399"/>
      <c r="CL447" s="399"/>
      <c r="CM447" s="399"/>
      <c r="CN447" s="399"/>
      <c r="CO447" s="399"/>
      <c r="CP447" s="399"/>
      <c r="CQ447" s="399"/>
      <c r="CR447" s="399"/>
      <c r="CS447" s="399"/>
      <c r="CT447" s="399"/>
      <c r="CU447" s="399"/>
      <c r="CV447" s="399"/>
      <c r="CW447" s="399"/>
      <c r="CX447" s="399"/>
      <c r="CY447" s="399"/>
      <c r="CZ447" s="399"/>
      <c r="DA447" s="399"/>
      <c r="DB447" s="399"/>
      <c r="DC447" s="399"/>
      <c r="DD447" s="399"/>
      <c r="DE447" s="399"/>
      <c r="DF447" s="399"/>
      <c r="DG447" s="399"/>
      <c r="DH447" s="399"/>
      <c r="DI447" s="399"/>
      <c r="DJ447" s="399"/>
      <c r="DK447" s="399"/>
      <c r="DL447" s="399"/>
      <c r="DM447" s="399"/>
      <c r="DN447" s="399"/>
      <c r="DO447" s="399"/>
      <c r="DP447" s="399"/>
      <c r="DQ447" s="399"/>
    </row>
    <row r="448" spans="1:121" s="760" customFormat="1" ht="14.45" customHeight="1" x14ac:dyDescent="0.25">
      <c r="A448" s="266">
        <f t="shared" si="6"/>
        <v>35.9</v>
      </c>
      <c r="B448" s="389">
        <v>41779</v>
      </c>
      <c r="C448" s="390" t="s">
        <v>1099</v>
      </c>
      <c r="D448" s="390" t="s">
        <v>899</v>
      </c>
      <c r="E448" s="390" t="s">
        <v>380</v>
      </c>
      <c r="F448" s="390" t="s">
        <v>237</v>
      </c>
      <c r="G448" s="390" t="s">
        <v>285</v>
      </c>
      <c r="H448" s="261"/>
      <c r="I448" s="261"/>
      <c r="J448" s="261"/>
      <c r="K448" s="261"/>
      <c r="L448" s="261"/>
      <c r="M448" s="261"/>
      <c r="N448" s="261"/>
      <c r="O448" s="261"/>
      <c r="P448" s="261"/>
      <c r="Q448" s="261"/>
      <c r="R448" s="261"/>
      <c r="S448" s="261"/>
      <c r="T448" s="261"/>
      <c r="U448" s="261">
        <v>278</v>
      </c>
      <c r="V448" s="762"/>
      <c r="W448" s="261"/>
      <c r="X448" s="261"/>
      <c r="Y448" s="264">
        <f>IF(NFI_Expiration=1,IF($A448&lt;VLOOKUP(H$5,NFI,5,0),1,0)*Table_NFI[[#This Row],[Hygiene Kit]],Table_NFI[Hygiene Kit])</f>
        <v>0</v>
      </c>
      <c r="Z448" s="264">
        <f>IF(NFI_Expiration=1,IF($A448&lt;VLOOKUP(I$5,NFI,5,0),1,0)*Table_NFI[[#This Row],[NFI Core Kit]],Table_NFI[NFI Core Kit])</f>
        <v>0</v>
      </c>
      <c r="AA448" s="264">
        <f>IF(NFI_Expiration=1,IF($A448&lt;VLOOKUP(J$5,NFI,5,0),1,0)*Table_NFI[[#This Row],[Sanitary Kit]],Table_NFI[Sanitary Kit])</f>
        <v>0</v>
      </c>
      <c r="AB448" s="264">
        <f>IF(NFI_Expiration=1,IF($A448&lt;VLOOKUP(K$5,NFI,5,0),1,0)*Table_NFI[[#This Row],[Mosquito net]],Table_NFI[Mosquito net])</f>
        <v>0</v>
      </c>
      <c r="AC448" s="264">
        <f>IF(NFI_Expiration=1,IF($A448&lt;VLOOKUP(L$5,NFI,5,0),1,0)*Table_NFI[[#This Row],[Tarpaulin]],Table_NFI[[#This Row],[Tarpaulin]])</f>
        <v>0</v>
      </c>
      <c r="AD448" s="264">
        <f>IF(NFI_Expiration=1,IF($A448&lt;VLOOKUP(M$5,NFI,5,0),1,0)*Table_NFI[[#This Row],[Blanket]],Table_NFI[[#This Row],[Blanket]])</f>
        <v>0</v>
      </c>
      <c r="AE448" s="264">
        <f>IF(NFI_Expiration=1,IF($A448&lt;VLOOKUP(N$5,NFI,5,0),1,0)*Table_NFI[[#This Row],[Kitchen Set]],Table_NFI[Kitchen Set])</f>
        <v>0</v>
      </c>
      <c r="AF448" s="264">
        <f>IF(NFI_Expiration=1,IF($A448&lt;VLOOKUP(O$5,NFI,5,0),1,0)*Table_NFI[[#This Row],[Clothes Kit]],Table_NFI[Clothes Kit])</f>
        <v>0</v>
      </c>
      <c r="AG448" s="264">
        <f>IF(NFI_Expiration=1,IF($A448&lt;VLOOKUP(P$5,NFI,5,0),1,0)*Table_NFI[[#This Row],[Plastic Bucket]],Table_NFI[Plastic Bucket])</f>
        <v>0</v>
      </c>
      <c r="AH448" s="264">
        <f>IF(NFI_Expiration=1,IF($A448&lt;VLOOKUP(Q$5,NFI,5,0),1,0)*Table_NFI[[#This Row],[Plastic Mat]],Table_NFI[Plastic Mat])*IF(Table_NFI[[#This Row],[Distribution Date]]&gt;"2014-04-01",1,2.5)</f>
        <v>0</v>
      </c>
      <c r="AI448" s="264">
        <f>IF(NFI_Expiration=1,IF($A448&lt;VLOOKUP(R$5,NFI,5,0),1,0)*Table_NFI[[#This Row],[Winter Clothes Adult]],Table_NFI[Winter Clothes Adult])</f>
        <v>0</v>
      </c>
      <c r="AJ448" s="264">
        <f>IF(NFI_Expiration=1,IF($A448&lt;VLOOKUP(S$5,NFI,5,0),1,0)*Table_NFI[[#This Row],[Winter Clothes Children]],Table_NFI[Winter Clothes Children])</f>
        <v>0</v>
      </c>
      <c r="AK448" s="264">
        <f>IF(NFI_Expiration=1,IF($A448&lt;VLOOKUP(T$5,NFI,5,0),1,0)*Table_NFI[[#This Row],[Winter Items Other]],Table_NFI[Winter Items Other])</f>
        <v>0</v>
      </c>
      <c r="AL448" s="264">
        <f>IF(NFI_Expiration=1,IF($A448&lt;VLOOKUP(M$5,NFI,5,0),1,0)*Table_NFI[[#This Row],[Winter Blanket]],Table_NFI[[#This Row],[Winter Blanket]])</f>
        <v>0</v>
      </c>
      <c r="AM448" s="264">
        <f>IF(Table_NFI[[#This Row],[Winter Clothes Adult]]+Table_NFI[[#This Row],[Winter Clothes Children]]+Table_NFI[[#This Row],[Winter Items Other]]+Table_NFI[[#This Row],[Winter Blanket]]&gt;0,1,0)</f>
        <v>1</v>
      </c>
      <c r="AN448" s="296">
        <f>IF(NFI_Expiration=1,IF($A448&lt;VLOOKUP(V$5,NFI,5,0),1,0)*Table_NFI[[#This Row],[Jerry Can]],Table_NFI[Jerry Can])</f>
        <v>0</v>
      </c>
      <c r="AO448" s="296">
        <f>IF(NFI_Expiration=1,IF($A448&lt;VLOOKUP(V$5,NFI,5,0),1,0)*Table_NFI[[#This Row],[Shelter Tool kit]],Table_NFI[Shelter Tool kit])</f>
        <v>0</v>
      </c>
      <c r="AP448" s="296">
        <f>IF(NFI_Expiration=1,IF($A448&lt;VLOOKUP(V$5,NFI,5,0),1,0)*Table_NFI[[#This Row],[Tent]],Table_NFI[Tent])</f>
        <v>0</v>
      </c>
      <c r="AQ448" s="396" t="str">
        <f>IFERROR(VLOOKUP(Table_NFI[[#This Row],[Camp Name]],CL,2,0),"")</f>
        <v>MMR001CMP014</v>
      </c>
      <c r="AR448" s="702">
        <f ca="1">IF(Table_NFI[[#This Row],[Pcode]]="","",IF(OFFSET(CampList[Opening Date],MATCH(Table_NFI[[#This Row],[Pcode]],CampList[CP_Pcode],0)-1,0,1,1)&gt;=NFI_Monitor_Date,1,0))</f>
        <v>0</v>
      </c>
      <c r="AS448" s="396" t="str">
        <f>IFERROR(VLOOKUP(Table_NFI[[#This Row],[Camp Name]],CL,3,0),"")</f>
        <v>Open</v>
      </c>
      <c r="AT448" s="264" t="str">
        <f ca="1">IF(Table_NFI[[#This Row],[Pcode]]="","",OFFSET(CampList[Priority],MATCH(Table_NFI[[#This Row],[Pcode]],CampList[CP_Pcode],0)-1,0,1,1))</f>
        <v>P4</v>
      </c>
      <c r="AU448" s="263">
        <f>IFERROR(Table_NFI[[#This Row],[Kitchen Set]]/VLOOKUP(Table_NFI[[#This Row],[Camp Name]],CL,4,0),"")</f>
        <v>0</v>
      </c>
      <c r="AV448" s="390"/>
      <c r="AW448" s="392"/>
      <c r="AX448" s="399"/>
      <c r="AY448" s="399"/>
      <c r="AZ448" s="399"/>
      <c r="BA448" s="399"/>
      <c r="BB448" s="399"/>
      <c r="BC448" s="399"/>
      <c r="BD448" s="399"/>
      <c r="BE448" s="399"/>
      <c r="BF448" s="399"/>
      <c r="BG448" s="399"/>
      <c r="BH448" s="399"/>
      <c r="BI448" s="399"/>
      <c r="BJ448" s="399"/>
      <c r="BK448" s="399"/>
      <c r="BL448" s="399"/>
      <c r="BM448" s="399"/>
      <c r="BN448" s="399"/>
      <c r="BO448" s="399"/>
      <c r="BP448" s="399"/>
      <c r="BQ448" s="399"/>
      <c r="BR448" s="399"/>
      <c r="BS448" s="399"/>
      <c r="BT448" s="399"/>
      <c r="BU448" s="399"/>
      <c r="BV448" s="399"/>
      <c r="BW448" s="399"/>
      <c r="BX448" s="399"/>
      <c r="BY448" s="399"/>
      <c r="BZ448" s="399"/>
      <c r="CA448" s="399"/>
      <c r="CB448" s="399"/>
      <c r="CC448" s="399"/>
      <c r="CD448" s="399"/>
      <c r="CE448" s="399"/>
      <c r="CF448" s="399"/>
      <c r="CG448" s="399"/>
      <c r="CH448" s="399"/>
      <c r="CI448" s="399"/>
      <c r="CJ448" s="399"/>
      <c r="CK448" s="399"/>
      <c r="CL448" s="399"/>
      <c r="CM448" s="399"/>
      <c r="CN448" s="399"/>
      <c r="CO448" s="399"/>
      <c r="CP448" s="399"/>
      <c r="CQ448" s="399"/>
      <c r="CR448" s="399"/>
      <c r="CS448" s="399"/>
      <c r="CT448" s="399"/>
      <c r="CU448" s="399"/>
      <c r="CV448" s="399"/>
      <c r="CW448" s="399"/>
      <c r="CX448" s="399"/>
      <c r="CY448" s="399"/>
      <c r="CZ448" s="399"/>
      <c r="DA448" s="399"/>
      <c r="DB448" s="399"/>
      <c r="DC448" s="399"/>
      <c r="DD448" s="399"/>
      <c r="DE448" s="399"/>
      <c r="DF448" s="399"/>
      <c r="DG448" s="399"/>
      <c r="DH448" s="399"/>
      <c r="DI448" s="399"/>
      <c r="DJ448" s="399"/>
      <c r="DK448" s="399"/>
      <c r="DL448" s="399"/>
      <c r="DM448" s="399"/>
      <c r="DN448" s="399"/>
      <c r="DO448" s="399"/>
      <c r="DP448" s="399"/>
      <c r="DQ448" s="399"/>
    </row>
    <row r="449" spans="1:121" s="760" customFormat="1" ht="14.45" customHeight="1" x14ac:dyDescent="0.25">
      <c r="A449" s="266">
        <f t="shared" si="6"/>
        <v>35.9</v>
      </c>
      <c r="B449" s="389">
        <v>41779</v>
      </c>
      <c r="C449" s="390" t="s">
        <v>1099</v>
      </c>
      <c r="D449" s="390" t="s">
        <v>899</v>
      </c>
      <c r="E449" s="390" t="s">
        <v>380</v>
      </c>
      <c r="F449" s="390" t="s">
        <v>310</v>
      </c>
      <c r="G449" s="390" t="s">
        <v>324</v>
      </c>
      <c r="H449" s="261"/>
      <c r="I449" s="261"/>
      <c r="J449" s="261"/>
      <c r="K449" s="261"/>
      <c r="L449" s="261"/>
      <c r="M449" s="261"/>
      <c r="N449" s="261"/>
      <c r="O449" s="261"/>
      <c r="P449" s="261"/>
      <c r="Q449" s="261"/>
      <c r="R449" s="261"/>
      <c r="S449" s="261"/>
      <c r="T449" s="261"/>
      <c r="U449" s="261">
        <v>824</v>
      </c>
      <c r="V449" s="762"/>
      <c r="W449" s="261"/>
      <c r="X449" s="261"/>
      <c r="Y449" s="264">
        <f>IF(NFI_Expiration=1,IF($A449&lt;VLOOKUP(H$5,NFI,5,0),1,0)*Table_NFI[[#This Row],[Hygiene Kit]],Table_NFI[Hygiene Kit])</f>
        <v>0</v>
      </c>
      <c r="Z449" s="264">
        <f>IF(NFI_Expiration=1,IF($A449&lt;VLOOKUP(I$5,NFI,5,0),1,0)*Table_NFI[[#This Row],[NFI Core Kit]],Table_NFI[NFI Core Kit])</f>
        <v>0</v>
      </c>
      <c r="AA449" s="264">
        <f>IF(NFI_Expiration=1,IF($A449&lt;VLOOKUP(J$5,NFI,5,0),1,0)*Table_NFI[[#This Row],[Sanitary Kit]],Table_NFI[Sanitary Kit])</f>
        <v>0</v>
      </c>
      <c r="AB449" s="264">
        <f>IF(NFI_Expiration=1,IF($A449&lt;VLOOKUP(K$5,NFI,5,0),1,0)*Table_NFI[[#This Row],[Mosquito net]],Table_NFI[Mosquito net])</f>
        <v>0</v>
      </c>
      <c r="AC449" s="264">
        <f>IF(NFI_Expiration=1,IF($A449&lt;VLOOKUP(L$5,NFI,5,0),1,0)*Table_NFI[[#This Row],[Tarpaulin]],Table_NFI[[#This Row],[Tarpaulin]])</f>
        <v>0</v>
      </c>
      <c r="AD449" s="264">
        <f>IF(NFI_Expiration=1,IF($A449&lt;VLOOKUP(M$5,NFI,5,0),1,0)*Table_NFI[[#This Row],[Blanket]],Table_NFI[[#This Row],[Blanket]])</f>
        <v>0</v>
      </c>
      <c r="AE449" s="264">
        <f>IF(NFI_Expiration=1,IF($A449&lt;VLOOKUP(N$5,NFI,5,0),1,0)*Table_NFI[[#This Row],[Kitchen Set]],Table_NFI[Kitchen Set])</f>
        <v>0</v>
      </c>
      <c r="AF449" s="264">
        <f>IF(NFI_Expiration=1,IF($A449&lt;VLOOKUP(O$5,NFI,5,0),1,0)*Table_NFI[[#This Row],[Clothes Kit]],Table_NFI[Clothes Kit])</f>
        <v>0</v>
      </c>
      <c r="AG449" s="264">
        <f>IF(NFI_Expiration=1,IF($A449&lt;VLOOKUP(P$5,NFI,5,0),1,0)*Table_NFI[[#This Row],[Plastic Bucket]],Table_NFI[Plastic Bucket])</f>
        <v>0</v>
      </c>
      <c r="AH449" s="264">
        <f>IF(NFI_Expiration=1,IF($A449&lt;VLOOKUP(Q$5,NFI,5,0),1,0)*Table_NFI[[#This Row],[Plastic Mat]],Table_NFI[Plastic Mat])*IF(Table_NFI[[#This Row],[Distribution Date]]&gt;"2014-04-01",1,2.5)</f>
        <v>0</v>
      </c>
      <c r="AI449" s="264">
        <f>IF(NFI_Expiration=1,IF($A449&lt;VLOOKUP(R$5,NFI,5,0),1,0)*Table_NFI[[#This Row],[Winter Clothes Adult]],Table_NFI[Winter Clothes Adult])</f>
        <v>0</v>
      </c>
      <c r="AJ449" s="264">
        <f>IF(NFI_Expiration=1,IF($A449&lt;VLOOKUP(S$5,NFI,5,0),1,0)*Table_NFI[[#This Row],[Winter Clothes Children]],Table_NFI[Winter Clothes Children])</f>
        <v>0</v>
      </c>
      <c r="AK449" s="264">
        <f>IF(NFI_Expiration=1,IF($A449&lt;VLOOKUP(T$5,NFI,5,0),1,0)*Table_NFI[[#This Row],[Winter Items Other]],Table_NFI[Winter Items Other])</f>
        <v>0</v>
      </c>
      <c r="AL449" s="264">
        <f>IF(NFI_Expiration=1,IF($A449&lt;VLOOKUP(M$5,NFI,5,0),1,0)*Table_NFI[[#This Row],[Winter Blanket]],Table_NFI[[#This Row],[Winter Blanket]])</f>
        <v>0</v>
      </c>
      <c r="AM449" s="264">
        <f>IF(Table_NFI[[#This Row],[Winter Clothes Adult]]+Table_NFI[[#This Row],[Winter Clothes Children]]+Table_NFI[[#This Row],[Winter Items Other]]+Table_NFI[[#This Row],[Winter Blanket]]&gt;0,1,0)</f>
        <v>1</v>
      </c>
      <c r="AN449" s="296">
        <f>IF(NFI_Expiration=1,IF($A449&lt;VLOOKUP(V$5,NFI,5,0),1,0)*Table_NFI[[#This Row],[Jerry Can]],Table_NFI[Jerry Can])</f>
        <v>0</v>
      </c>
      <c r="AO449" s="296">
        <f>IF(NFI_Expiration=1,IF($A449&lt;VLOOKUP(V$5,NFI,5,0),1,0)*Table_NFI[[#This Row],[Shelter Tool kit]],Table_NFI[Shelter Tool kit])</f>
        <v>0</v>
      </c>
      <c r="AP449" s="296">
        <f>IF(NFI_Expiration=1,IF($A449&lt;VLOOKUP(V$5,NFI,5,0),1,0)*Table_NFI[[#This Row],[Tent]],Table_NFI[Tent])</f>
        <v>0</v>
      </c>
      <c r="AQ449" s="396" t="str">
        <f>IFERROR(VLOOKUP(Table_NFI[[#This Row],[Camp Name]],CL,2,0),"")</f>
        <v>MMR001CMP040</v>
      </c>
      <c r="AR449" s="702">
        <f ca="1">IF(Table_NFI[[#This Row],[Pcode]]="","",IF(OFFSET(CampList[Opening Date],MATCH(Table_NFI[[#This Row],[Pcode]],CampList[CP_Pcode],0)-1,0,1,1)&gt;=NFI_Monitor_Date,1,0))</f>
        <v>0</v>
      </c>
      <c r="AS449" s="396" t="str">
        <f>IFERROR(VLOOKUP(Table_NFI[[#This Row],[Camp Name]],CL,3,0),"")</f>
        <v>Open</v>
      </c>
      <c r="AT449" s="264" t="str">
        <f ca="1">IF(Table_NFI[[#This Row],[Pcode]]="","",OFFSET(CampList[Priority],MATCH(Table_NFI[[#This Row],[Pcode]],CampList[CP_Pcode],0)-1,0,1,1))</f>
        <v>P4</v>
      </c>
      <c r="AU449" s="263">
        <f>IFERROR(Table_NFI[[#This Row],[Kitchen Set]]/VLOOKUP(Table_NFI[[#This Row],[Camp Name]],CL,4,0),"")</f>
        <v>0</v>
      </c>
      <c r="AV449" s="390"/>
      <c r="AW449" s="392"/>
      <c r="AX449" s="399"/>
      <c r="AY449" s="399"/>
      <c r="AZ449" s="399"/>
      <c r="BA449" s="399"/>
      <c r="BB449" s="399"/>
      <c r="BC449" s="399"/>
      <c r="BD449" s="399"/>
      <c r="BE449" s="399"/>
      <c r="BF449" s="399"/>
      <c r="BG449" s="399"/>
      <c r="BH449" s="399"/>
      <c r="BI449" s="399"/>
      <c r="BJ449" s="399"/>
      <c r="BK449" s="399"/>
      <c r="BL449" s="399"/>
      <c r="BM449" s="399"/>
      <c r="BN449" s="399"/>
      <c r="BO449" s="399"/>
      <c r="BP449" s="399"/>
      <c r="BQ449" s="399"/>
      <c r="BR449" s="399"/>
      <c r="BS449" s="399"/>
      <c r="BT449" s="399"/>
      <c r="BU449" s="399"/>
      <c r="BV449" s="399"/>
      <c r="BW449" s="399"/>
      <c r="BX449" s="399"/>
      <c r="BY449" s="399"/>
      <c r="BZ449" s="399"/>
      <c r="CA449" s="399"/>
      <c r="CB449" s="399"/>
      <c r="CC449" s="399"/>
      <c r="CD449" s="399"/>
      <c r="CE449" s="399"/>
      <c r="CF449" s="399"/>
      <c r="CG449" s="399"/>
      <c r="CH449" s="399"/>
      <c r="CI449" s="399"/>
      <c r="CJ449" s="399"/>
      <c r="CK449" s="399"/>
      <c r="CL449" s="399"/>
      <c r="CM449" s="399"/>
      <c r="CN449" s="399"/>
      <c r="CO449" s="399"/>
      <c r="CP449" s="399"/>
      <c r="CQ449" s="399"/>
      <c r="CR449" s="399"/>
      <c r="CS449" s="399"/>
      <c r="CT449" s="399"/>
      <c r="CU449" s="399"/>
      <c r="CV449" s="399"/>
      <c r="CW449" s="399"/>
      <c r="CX449" s="399"/>
      <c r="CY449" s="399"/>
      <c r="CZ449" s="399"/>
      <c r="DA449" s="399"/>
      <c r="DB449" s="399"/>
      <c r="DC449" s="399"/>
      <c r="DD449" s="399"/>
      <c r="DE449" s="399"/>
      <c r="DF449" s="399"/>
      <c r="DG449" s="399"/>
      <c r="DH449" s="399"/>
      <c r="DI449" s="399"/>
      <c r="DJ449" s="399"/>
      <c r="DK449" s="399"/>
      <c r="DL449" s="399"/>
      <c r="DM449" s="399"/>
      <c r="DN449" s="399"/>
      <c r="DO449" s="399"/>
      <c r="DP449" s="399"/>
      <c r="DQ449" s="399"/>
    </row>
    <row r="450" spans="1:121" s="760" customFormat="1" ht="15" customHeight="1" x14ac:dyDescent="0.25">
      <c r="A450" s="266">
        <f t="shared" si="6"/>
        <v>35.9</v>
      </c>
      <c r="B450" s="389">
        <v>41779</v>
      </c>
      <c r="C450" s="390" t="s">
        <v>1099</v>
      </c>
      <c r="D450" s="390" t="s">
        <v>899</v>
      </c>
      <c r="E450" s="390" t="s">
        <v>380</v>
      </c>
      <c r="F450" s="390" t="s">
        <v>237</v>
      </c>
      <c r="G450" s="390" t="s">
        <v>259</v>
      </c>
      <c r="H450" s="261"/>
      <c r="I450" s="261"/>
      <c r="J450" s="261"/>
      <c r="K450" s="261"/>
      <c r="L450" s="261"/>
      <c r="M450" s="261"/>
      <c r="N450" s="261"/>
      <c r="O450" s="261"/>
      <c r="P450" s="261"/>
      <c r="Q450" s="261"/>
      <c r="R450" s="261"/>
      <c r="S450" s="261"/>
      <c r="T450" s="261"/>
      <c r="U450" s="261">
        <v>142</v>
      </c>
      <c r="V450" s="762"/>
      <c r="W450" s="261"/>
      <c r="X450" s="261"/>
      <c r="Y450" s="264">
        <f>IF(NFI_Expiration=1,IF($A450&lt;VLOOKUP(H$5,NFI,5,0),1,0)*Table_NFI[[#This Row],[Hygiene Kit]],Table_NFI[Hygiene Kit])</f>
        <v>0</v>
      </c>
      <c r="Z450" s="264">
        <f>IF(NFI_Expiration=1,IF($A450&lt;VLOOKUP(I$5,NFI,5,0),1,0)*Table_NFI[[#This Row],[NFI Core Kit]],Table_NFI[NFI Core Kit])</f>
        <v>0</v>
      </c>
      <c r="AA450" s="264">
        <f>IF(NFI_Expiration=1,IF($A450&lt;VLOOKUP(J$5,NFI,5,0),1,0)*Table_NFI[[#This Row],[Sanitary Kit]],Table_NFI[Sanitary Kit])</f>
        <v>0</v>
      </c>
      <c r="AB450" s="264">
        <f>IF(NFI_Expiration=1,IF($A450&lt;VLOOKUP(K$5,NFI,5,0),1,0)*Table_NFI[[#This Row],[Mosquito net]],Table_NFI[Mosquito net])</f>
        <v>0</v>
      </c>
      <c r="AC450" s="264">
        <f>IF(NFI_Expiration=1,IF($A450&lt;VLOOKUP(L$5,NFI,5,0),1,0)*Table_NFI[[#This Row],[Tarpaulin]],Table_NFI[[#This Row],[Tarpaulin]])</f>
        <v>0</v>
      </c>
      <c r="AD450" s="264">
        <f>IF(NFI_Expiration=1,IF($A450&lt;VLOOKUP(M$5,NFI,5,0),1,0)*Table_NFI[[#This Row],[Blanket]],Table_NFI[[#This Row],[Blanket]])</f>
        <v>0</v>
      </c>
      <c r="AE450" s="264">
        <f>IF(NFI_Expiration=1,IF($A450&lt;VLOOKUP(N$5,NFI,5,0),1,0)*Table_NFI[[#This Row],[Kitchen Set]],Table_NFI[Kitchen Set])</f>
        <v>0</v>
      </c>
      <c r="AF450" s="264">
        <f>IF(NFI_Expiration=1,IF($A450&lt;VLOOKUP(O$5,NFI,5,0),1,0)*Table_NFI[[#This Row],[Clothes Kit]],Table_NFI[Clothes Kit])</f>
        <v>0</v>
      </c>
      <c r="AG450" s="264">
        <f>IF(NFI_Expiration=1,IF($A450&lt;VLOOKUP(P$5,NFI,5,0),1,0)*Table_NFI[[#This Row],[Plastic Bucket]],Table_NFI[Plastic Bucket])</f>
        <v>0</v>
      </c>
      <c r="AH450" s="264">
        <f>IF(NFI_Expiration=1,IF($A450&lt;VLOOKUP(Q$5,NFI,5,0),1,0)*Table_NFI[[#This Row],[Plastic Mat]],Table_NFI[Plastic Mat])*IF(Table_NFI[[#This Row],[Distribution Date]]&gt;"2014-04-01",1,2.5)</f>
        <v>0</v>
      </c>
      <c r="AI450" s="264">
        <f>IF(NFI_Expiration=1,IF($A450&lt;VLOOKUP(R$5,NFI,5,0),1,0)*Table_NFI[[#This Row],[Winter Clothes Adult]],Table_NFI[Winter Clothes Adult])</f>
        <v>0</v>
      </c>
      <c r="AJ450" s="264">
        <f>IF(NFI_Expiration=1,IF($A450&lt;VLOOKUP(S$5,NFI,5,0),1,0)*Table_NFI[[#This Row],[Winter Clothes Children]],Table_NFI[Winter Clothes Children])</f>
        <v>0</v>
      </c>
      <c r="AK450" s="264">
        <f>IF(NFI_Expiration=1,IF($A450&lt;VLOOKUP(T$5,NFI,5,0),1,0)*Table_NFI[[#This Row],[Winter Items Other]],Table_NFI[Winter Items Other])</f>
        <v>0</v>
      </c>
      <c r="AL450" s="264">
        <f>IF(NFI_Expiration=1,IF($A450&lt;VLOOKUP(M$5,NFI,5,0),1,0)*Table_NFI[[#This Row],[Winter Blanket]],Table_NFI[[#This Row],[Winter Blanket]])</f>
        <v>0</v>
      </c>
      <c r="AM450" s="264">
        <f>IF(Table_NFI[[#This Row],[Winter Clothes Adult]]+Table_NFI[[#This Row],[Winter Clothes Children]]+Table_NFI[[#This Row],[Winter Items Other]]+Table_NFI[[#This Row],[Winter Blanket]]&gt;0,1,0)</f>
        <v>1</v>
      </c>
      <c r="AN450" s="296">
        <f>IF(NFI_Expiration=1,IF($A450&lt;VLOOKUP(V$5,NFI,5,0),1,0)*Table_NFI[[#This Row],[Jerry Can]],Table_NFI[Jerry Can])</f>
        <v>0</v>
      </c>
      <c r="AO450" s="296">
        <f>IF(NFI_Expiration=1,IF($A450&lt;VLOOKUP(V$5,NFI,5,0),1,0)*Table_NFI[[#This Row],[Shelter Tool kit]],Table_NFI[Shelter Tool kit])</f>
        <v>0</v>
      </c>
      <c r="AP450" s="296">
        <f>IF(NFI_Expiration=1,IF($A450&lt;VLOOKUP(V$5,NFI,5,0),1,0)*Table_NFI[[#This Row],[Tent]],Table_NFI[Tent])</f>
        <v>0</v>
      </c>
      <c r="AQ450" s="396" t="str">
        <f>IFERROR(VLOOKUP(Table_NFI[[#This Row],[Camp Name]],CL,2,0),"")</f>
        <v>MMR001CMP016</v>
      </c>
      <c r="AR450" s="702">
        <f ca="1">IF(Table_NFI[[#This Row],[Pcode]]="","",IF(OFFSET(CampList[Opening Date],MATCH(Table_NFI[[#This Row],[Pcode]],CampList[CP_Pcode],0)-1,0,1,1)&gt;=NFI_Monitor_Date,1,0))</f>
        <v>0</v>
      </c>
      <c r="AS450" s="396" t="str">
        <f>IFERROR(VLOOKUP(Table_NFI[[#This Row],[Camp Name]],CL,3,0),"")</f>
        <v>Open</v>
      </c>
      <c r="AT450" s="264" t="str">
        <f ca="1">IF(Table_NFI[[#This Row],[Pcode]]="","",OFFSET(CampList[Priority],MATCH(Table_NFI[[#This Row],[Pcode]],CampList[CP_Pcode],0)-1,0,1,1))</f>
        <v>P4</v>
      </c>
      <c r="AU450" s="263">
        <f>IFERROR(Table_NFI[[#This Row],[Kitchen Set]]/VLOOKUP(Table_NFI[[#This Row],[Camp Name]],CL,4,0),"")</f>
        <v>0</v>
      </c>
      <c r="AV450" s="390"/>
      <c r="AW450" s="392"/>
      <c r="AX450" s="399"/>
      <c r="AY450" s="399"/>
      <c r="AZ450" s="399"/>
      <c r="BA450" s="399"/>
      <c r="BB450" s="399"/>
      <c r="BC450" s="399"/>
      <c r="BD450" s="399"/>
      <c r="BE450" s="399"/>
      <c r="BF450" s="399"/>
      <c r="BG450" s="399"/>
      <c r="BH450" s="399"/>
      <c r="BI450" s="399"/>
      <c r="BJ450" s="399"/>
      <c r="BK450" s="399"/>
      <c r="BL450" s="399"/>
      <c r="BM450" s="399"/>
      <c r="BN450" s="399"/>
      <c r="BO450" s="399"/>
      <c r="BP450" s="399"/>
      <c r="BQ450" s="399"/>
      <c r="BR450" s="399"/>
      <c r="BS450" s="399"/>
      <c r="BT450" s="399"/>
      <c r="BU450" s="399"/>
      <c r="BV450" s="399"/>
      <c r="BW450" s="399"/>
      <c r="BX450" s="399"/>
      <c r="BY450" s="399"/>
      <c r="BZ450" s="399"/>
      <c r="CA450" s="399"/>
      <c r="CB450" s="399"/>
      <c r="CC450" s="399"/>
      <c r="CD450" s="399"/>
      <c r="CE450" s="399"/>
      <c r="CF450" s="399"/>
      <c r="CG450" s="399"/>
      <c r="CH450" s="399"/>
      <c r="CI450" s="399"/>
      <c r="CJ450" s="399"/>
      <c r="CK450" s="399"/>
      <c r="CL450" s="399"/>
      <c r="CM450" s="399"/>
      <c r="CN450" s="399"/>
      <c r="CO450" s="399"/>
      <c r="CP450" s="399"/>
      <c r="CQ450" s="399"/>
      <c r="CR450" s="399"/>
      <c r="CS450" s="399"/>
      <c r="CT450" s="399"/>
      <c r="CU450" s="399"/>
      <c r="CV450" s="399"/>
      <c r="CW450" s="399"/>
      <c r="CX450" s="399"/>
      <c r="CY450" s="399"/>
      <c r="CZ450" s="399"/>
      <c r="DA450" s="399"/>
      <c r="DB450" s="399"/>
      <c r="DC450" s="399"/>
      <c r="DD450" s="399"/>
      <c r="DE450" s="399"/>
      <c r="DF450" s="399"/>
      <c r="DG450" s="399"/>
      <c r="DH450" s="399"/>
      <c r="DI450" s="399"/>
      <c r="DJ450" s="399"/>
      <c r="DK450" s="399"/>
      <c r="DL450" s="399"/>
      <c r="DM450" s="399"/>
      <c r="DN450" s="399"/>
      <c r="DO450" s="399"/>
      <c r="DP450" s="399"/>
      <c r="DQ450" s="399"/>
    </row>
    <row r="451" spans="1:121" s="760" customFormat="1" ht="15" customHeight="1" x14ac:dyDescent="0.25">
      <c r="A451" s="266">
        <f t="shared" si="6"/>
        <v>35.93333333333333</v>
      </c>
      <c r="B451" s="389">
        <v>41778</v>
      </c>
      <c r="C451" s="390" t="s">
        <v>1099</v>
      </c>
      <c r="D451" s="390" t="s">
        <v>899</v>
      </c>
      <c r="E451" s="390" t="s">
        <v>380</v>
      </c>
      <c r="F451" s="390" t="s">
        <v>310</v>
      </c>
      <c r="G451" s="390" t="s">
        <v>328</v>
      </c>
      <c r="H451" s="261"/>
      <c r="I451" s="261"/>
      <c r="J451" s="261"/>
      <c r="K451" s="261"/>
      <c r="L451" s="261"/>
      <c r="M451" s="261"/>
      <c r="N451" s="261"/>
      <c r="O451" s="261"/>
      <c r="P451" s="261"/>
      <c r="Q451" s="261"/>
      <c r="R451" s="261"/>
      <c r="S451" s="261"/>
      <c r="T451" s="261"/>
      <c r="U451" s="261">
        <v>224</v>
      </c>
      <c r="V451" s="762"/>
      <c r="W451" s="261"/>
      <c r="X451" s="261"/>
      <c r="Y451" s="264">
        <f>IF(NFI_Expiration=1,IF($A451&lt;VLOOKUP(H$5,NFI,5,0),1,0)*Table_NFI[[#This Row],[Hygiene Kit]],Table_NFI[Hygiene Kit])</f>
        <v>0</v>
      </c>
      <c r="Z451" s="264">
        <f>IF(NFI_Expiration=1,IF($A451&lt;VLOOKUP(I$5,NFI,5,0),1,0)*Table_NFI[[#This Row],[NFI Core Kit]],Table_NFI[NFI Core Kit])</f>
        <v>0</v>
      </c>
      <c r="AA451" s="264">
        <f>IF(NFI_Expiration=1,IF($A451&lt;VLOOKUP(J$5,NFI,5,0),1,0)*Table_NFI[[#This Row],[Sanitary Kit]],Table_NFI[Sanitary Kit])</f>
        <v>0</v>
      </c>
      <c r="AB451" s="264">
        <f>IF(NFI_Expiration=1,IF($A451&lt;VLOOKUP(K$5,NFI,5,0),1,0)*Table_NFI[[#This Row],[Mosquito net]],Table_NFI[Mosquito net])</f>
        <v>0</v>
      </c>
      <c r="AC451" s="264">
        <f>IF(NFI_Expiration=1,IF($A451&lt;VLOOKUP(L$5,NFI,5,0),1,0)*Table_NFI[[#This Row],[Tarpaulin]],Table_NFI[[#This Row],[Tarpaulin]])</f>
        <v>0</v>
      </c>
      <c r="AD451" s="264">
        <f>IF(NFI_Expiration=1,IF($A451&lt;VLOOKUP(M$5,NFI,5,0),1,0)*Table_NFI[[#This Row],[Blanket]],Table_NFI[[#This Row],[Blanket]])</f>
        <v>0</v>
      </c>
      <c r="AE451" s="264">
        <f>IF(NFI_Expiration=1,IF($A451&lt;VLOOKUP(N$5,NFI,5,0),1,0)*Table_NFI[[#This Row],[Kitchen Set]],Table_NFI[Kitchen Set])</f>
        <v>0</v>
      </c>
      <c r="AF451" s="264">
        <f>IF(NFI_Expiration=1,IF($A451&lt;VLOOKUP(O$5,NFI,5,0),1,0)*Table_NFI[[#This Row],[Clothes Kit]],Table_NFI[Clothes Kit])</f>
        <v>0</v>
      </c>
      <c r="AG451" s="264">
        <f>IF(NFI_Expiration=1,IF($A451&lt;VLOOKUP(P$5,NFI,5,0),1,0)*Table_NFI[[#This Row],[Plastic Bucket]],Table_NFI[Plastic Bucket])</f>
        <v>0</v>
      </c>
      <c r="AH451" s="264">
        <f>IF(NFI_Expiration=1,IF($A451&lt;VLOOKUP(Q$5,NFI,5,0),1,0)*Table_NFI[[#This Row],[Plastic Mat]],Table_NFI[Plastic Mat])*IF(Table_NFI[[#This Row],[Distribution Date]]&gt;"2014-04-01",1,2.5)</f>
        <v>0</v>
      </c>
      <c r="AI451" s="264">
        <f>IF(NFI_Expiration=1,IF($A451&lt;VLOOKUP(R$5,NFI,5,0),1,0)*Table_NFI[[#This Row],[Winter Clothes Adult]],Table_NFI[Winter Clothes Adult])</f>
        <v>0</v>
      </c>
      <c r="AJ451" s="264">
        <f>IF(NFI_Expiration=1,IF($A451&lt;VLOOKUP(S$5,NFI,5,0),1,0)*Table_NFI[[#This Row],[Winter Clothes Children]],Table_NFI[Winter Clothes Children])</f>
        <v>0</v>
      </c>
      <c r="AK451" s="264">
        <f>IF(NFI_Expiration=1,IF($A451&lt;VLOOKUP(T$5,NFI,5,0),1,0)*Table_NFI[[#This Row],[Winter Items Other]],Table_NFI[Winter Items Other])</f>
        <v>0</v>
      </c>
      <c r="AL451" s="264">
        <f>IF(NFI_Expiration=1,IF($A451&lt;VLOOKUP(M$5,NFI,5,0),1,0)*Table_NFI[[#This Row],[Winter Blanket]],Table_NFI[[#This Row],[Winter Blanket]])</f>
        <v>0</v>
      </c>
      <c r="AM451" s="264">
        <f>IF(Table_NFI[[#This Row],[Winter Clothes Adult]]+Table_NFI[[#This Row],[Winter Clothes Children]]+Table_NFI[[#This Row],[Winter Items Other]]+Table_NFI[[#This Row],[Winter Blanket]]&gt;0,1,0)</f>
        <v>1</v>
      </c>
      <c r="AN451" s="296">
        <f>IF(NFI_Expiration=1,IF($A451&lt;VLOOKUP(V$5,NFI,5,0),1,0)*Table_NFI[[#This Row],[Jerry Can]],Table_NFI[Jerry Can])</f>
        <v>0</v>
      </c>
      <c r="AO451" s="296">
        <f>IF(NFI_Expiration=1,IF($A451&lt;VLOOKUP(V$5,NFI,5,0),1,0)*Table_NFI[[#This Row],[Shelter Tool kit]],Table_NFI[Shelter Tool kit])</f>
        <v>0</v>
      </c>
      <c r="AP451" s="296">
        <f>IF(NFI_Expiration=1,IF($A451&lt;VLOOKUP(V$5,NFI,5,0),1,0)*Table_NFI[[#This Row],[Tent]],Table_NFI[Tent])</f>
        <v>0</v>
      </c>
      <c r="AQ451" s="396" t="str">
        <f>IFERROR(VLOOKUP(Table_NFI[[#This Row],[Camp Name]],CL,2,0),"")</f>
        <v>MMR001CMP031</v>
      </c>
      <c r="AR451" s="702">
        <f ca="1">IF(Table_NFI[[#This Row],[Pcode]]="","",IF(OFFSET(CampList[Opening Date],MATCH(Table_NFI[[#This Row],[Pcode]],CampList[CP_Pcode],0)-1,0,1,1)&gt;=NFI_Monitor_Date,1,0))</f>
        <v>0</v>
      </c>
      <c r="AS451" s="396" t="str">
        <f>IFERROR(VLOOKUP(Table_NFI[[#This Row],[Camp Name]],CL,3,0),"")</f>
        <v>Open</v>
      </c>
      <c r="AT451" s="264" t="str">
        <f ca="1">IF(Table_NFI[[#This Row],[Pcode]]="","",OFFSET(CampList[Priority],MATCH(Table_NFI[[#This Row],[Pcode]],CampList[CP_Pcode],0)-1,0,1,1))</f>
        <v>P4</v>
      </c>
      <c r="AU451" s="263">
        <f>IFERROR(Table_NFI[[#This Row],[Kitchen Set]]/VLOOKUP(Table_NFI[[#This Row],[Camp Name]],CL,4,0),"")</f>
        <v>0</v>
      </c>
      <c r="AV451" s="390"/>
      <c r="AW451" s="392"/>
      <c r="AX451" s="399"/>
      <c r="AY451" s="399"/>
      <c r="AZ451" s="399"/>
      <c r="BA451" s="399"/>
      <c r="BB451" s="399"/>
      <c r="BC451" s="399"/>
      <c r="BD451" s="399"/>
      <c r="BE451" s="399"/>
      <c r="BF451" s="399"/>
      <c r="BG451" s="399"/>
      <c r="BH451" s="399"/>
      <c r="BI451" s="399"/>
      <c r="BJ451" s="399"/>
      <c r="BK451" s="399"/>
      <c r="BL451" s="399"/>
      <c r="BM451" s="399"/>
      <c r="BN451" s="399"/>
      <c r="BO451" s="399"/>
      <c r="BP451" s="399"/>
      <c r="BQ451" s="399"/>
      <c r="BR451" s="399"/>
      <c r="BS451" s="399"/>
      <c r="BT451" s="399"/>
      <c r="BU451" s="399"/>
      <c r="BV451" s="399"/>
      <c r="BW451" s="399"/>
      <c r="BX451" s="399"/>
      <c r="BY451" s="399"/>
      <c r="BZ451" s="399"/>
      <c r="CA451" s="399"/>
      <c r="CB451" s="399"/>
      <c r="CC451" s="399"/>
      <c r="CD451" s="399"/>
      <c r="CE451" s="399"/>
      <c r="CF451" s="399"/>
      <c r="CG451" s="399"/>
      <c r="CH451" s="399"/>
      <c r="CI451" s="399"/>
      <c r="CJ451" s="399"/>
      <c r="CK451" s="399"/>
      <c r="CL451" s="399"/>
      <c r="CM451" s="399"/>
      <c r="CN451" s="399"/>
      <c r="CO451" s="399"/>
      <c r="CP451" s="399"/>
      <c r="CQ451" s="399"/>
      <c r="CR451" s="399"/>
      <c r="CS451" s="399"/>
      <c r="CT451" s="399"/>
      <c r="CU451" s="399"/>
      <c r="CV451" s="399"/>
      <c r="CW451" s="399"/>
      <c r="CX451" s="399"/>
      <c r="CY451" s="399"/>
      <c r="CZ451" s="399"/>
      <c r="DA451" s="399"/>
      <c r="DB451" s="399"/>
      <c r="DC451" s="399"/>
      <c r="DD451" s="399"/>
      <c r="DE451" s="399"/>
      <c r="DF451" s="399"/>
      <c r="DG451" s="399"/>
      <c r="DH451" s="399"/>
      <c r="DI451" s="399"/>
      <c r="DJ451" s="399"/>
      <c r="DK451" s="399"/>
      <c r="DL451" s="399"/>
      <c r="DM451" s="399"/>
      <c r="DN451" s="399"/>
      <c r="DO451" s="399"/>
      <c r="DP451" s="399"/>
      <c r="DQ451" s="399"/>
    </row>
    <row r="452" spans="1:121" s="760" customFormat="1" ht="14.45" customHeight="1" x14ac:dyDescent="0.25">
      <c r="A452" s="266">
        <f t="shared" si="6"/>
        <v>35.93333333333333</v>
      </c>
      <c r="B452" s="389">
        <v>41778</v>
      </c>
      <c r="C452" s="390" t="s">
        <v>1099</v>
      </c>
      <c r="D452" s="390" t="s">
        <v>899</v>
      </c>
      <c r="E452" s="390" t="s">
        <v>380</v>
      </c>
      <c r="F452" s="390" t="s">
        <v>310</v>
      </c>
      <c r="G452" s="390" t="s">
        <v>326</v>
      </c>
      <c r="H452" s="261"/>
      <c r="I452" s="261"/>
      <c r="J452" s="261"/>
      <c r="K452" s="261"/>
      <c r="L452" s="261"/>
      <c r="M452" s="261"/>
      <c r="N452" s="261"/>
      <c r="O452" s="261"/>
      <c r="P452" s="261"/>
      <c r="Q452" s="261"/>
      <c r="R452" s="261"/>
      <c r="S452" s="261"/>
      <c r="T452" s="261"/>
      <c r="U452" s="261">
        <v>230</v>
      </c>
      <c r="V452" s="762"/>
      <c r="W452" s="261"/>
      <c r="X452" s="261"/>
      <c r="Y452" s="264">
        <f>IF(NFI_Expiration=1,IF($A452&lt;VLOOKUP(H$5,NFI,5,0),1,0)*Table_NFI[[#This Row],[Hygiene Kit]],Table_NFI[Hygiene Kit])</f>
        <v>0</v>
      </c>
      <c r="Z452" s="264">
        <f>IF(NFI_Expiration=1,IF($A452&lt;VLOOKUP(I$5,NFI,5,0),1,0)*Table_NFI[[#This Row],[NFI Core Kit]],Table_NFI[NFI Core Kit])</f>
        <v>0</v>
      </c>
      <c r="AA452" s="264">
        <f>IF(NFI_Expiration=1,IF($A452&lt;VLOOKUP(J$5,NFI,5,0),1,0)*Table_NFI[[#This Row],[Sanitary Kit]],Table_NFI[Sanitary Kit])</f>
        <v>0</v>
      </c>
      <c r="AB452" s="264">
        <f>IF(NFI_Expiration=1,IF($A452&lt;VLOOKUP(K$5,NFI,5,0),1,0)*Table_NFI[[#This Row],[Mosquito net]],Table_NFI[Mosquito net])</f>
        <v>0</v>
      </c>
      <c r="AC452" s="264">
        <f>IF(NFI_Expiration=1,IF($A452&lt;VLOOKUP(L$5,NFI,5,0),1,0)*Table_NFI[[#This Row],[Tarpaulin]],Table_NFI[[#This Row],[Tarpaulin]])</f>
        <v>0</v>
      </c>
      <c r="AD452" s="264">
        <f>IF(NFI_Expiration=1,IF($A452&lt;VLOOKUP(M$5,NFI,5,0),1,0)*Table_NFI[[#This Row],[Blanket]],Table_NFI[[#This Row],[Blanket]])</f>
        <v>0</v>
      </c>
      <c r="AE452" s="264">
        <f>IF(NFI_Expiration=1,IF($A452&lt;VLOOKUP(N$5,NFI,5,0),1,0)*Table_NFI[[#This Row],[Kitchen Set]],Table_NFI[Kitchen Set])</f>
        <v>0</v>
      </c>
      <c r="AF452" s="264">
        <f>IF(NFI_Expiration=1,IF($A452&lt;VLOOKUP(O$5,NFI,5,0),1,0)*Table_NFI[[#This Row],[Clothes Kit]],Table_NFI[Clothes Kit])</f>
        <v>0</v>
      </c>
      <c r="AG452" s="264">
        <f>IF(NFI_Expiration=1,IF($A452&lt;VLOOKUP(P$5,NFI,5,0),1,0)*Table_NFI[[#This Row],[Plastic Bucket]],Table_NFI[Plastic Bucket])</f>
        <v>0</v>
      </c>
      <c r="AH452" s="264">
        <f>IF(NFI_Expiration=1,IF($A452&lt;VLOOKUP(Q$5,NFI,5,0),1,0)*Table_NFI[[#This Row],[Plastic Mat]],Table_NFI[Plastic Mat])*IF(Table_NFI[[#This Row],[Distribution Date]]&gt;"2014-04-01",1,2.5)</f>
        <v>0</v>
      </c>
      <c r="AI452" s="264">
        <f>IF(NFI_Expiration=1,IF($A452&lt;VLOOKUP(R$5,NFI,5,0),1,0)*Table_NFI[[#This Row],[Winter Clothes Adult]],Table_NFI[Winter Clothes Adult])</f>
        <v>0</v>
      </c>
      <c r="AJ452" s="264">
        <f>IF(NFI_Expiration=1,IF($A452&lt;VLOOKUP(S$5,NFI,5,0),1,0)*Table_NFI[[#This Row],[Winter Clothes Children]],Table_NFI[Winter Clothes Children])</f>
        <v>0</v>
      </c>
      <c r="AK452" s="264">
        <f>IF(NFI_Expiration=1,IF($A452&lt;VLOOKUP(T$5,NFI,5,0),1,0)*Table_NFI[[#This Row],[Winter Items Other]],Table_NFI[Winter Items Other])</f>
        <v>0</v>
      </c>
      <c r="AL452" s="264">
        <f>IF(NFI_Expiration=1,IF($A452&lt;VLOOKUP(M$5,NFI,5,0),1,0)*Table_NFI[[#This Row],[Winter Blanket]],Table_NFI[[#This Row],[Winter Blanket]])</f>
        <v>0</v>
      </c>
      <c r="AM452" s="264">
        <f>IF(Table_NFI[[#This Row],[Winter Clothes Adult]]+Table_NFI[[#This Row],[Winter Clothes Children]]+Table_NFI[[#This Row],[Winter Items Other]]+Table_NFI[[#This Row],[Winter Blanket]]&gt;0,1,0)</f>
        <v>1</v>
      </c>
      <c r="AN452" s="296">
        <f>IF(NFI_Expiration=1,IF($A452&lt;VLOOKUP(V$5,NFI,5,0),1,0)*Table_NFI[[#This Row],[Jerry Can]],Table_NFI[Jerry Can])</f>
        <v>0</v>
      </c>
      <c r="AO452" s="296">
        <f>IF(NFI_Expiration=1,IF($A452&lt;VLOOKUP(V$5,NFI,5,0),1,0)*Table_NFI[[#This Row],[Shelter Tool kit]],Table_NFI[Shelter Tool kit])</f>
        <v>0</v>
      </c>
      <c r="AP452" s="296">
        <f>IF(NFI_Expiration=1,IF($A452&lt;VLOOKUP(V$5,NFI,5,0),1,0)*Table_NFI[[#This Row],[Tent]],Table_NFI[Tent])</f>
        <v>0</v>
      </c>
      <c r="AQ452" s="396" t="str">
        <f>IFERROR(VLOOKUP(Table_NFI[[#This Row],[Camp Name]],CL,2,0),"")</f>
        <v>MMR001CMP039</v>
      </c>
      <c r="AR452" s="702">
        <f ca="1">IF(Table_NFI[[#This Row],[Pcode]]="","",IF(OFFSET(CampList[Opening Date],MATCH(Table_NFI[[#This Row],[Pcode]],CampList[CP_Pcode],0)-1,0,1,1)&gt;=NFI_Monitor_Date,1,0))</f>
        <v>0</v>
      </c>
      <c r="AS452" s="396" t="str">
        <f>IFERROR(VLOOKUP(Table_NFI[[#This Row],[Camp Name]],CL,3,0),"")</f>
        <v>Open</v>
      </c>
      <c r="AT452" s="264" t="str">
        <f ca="1">IF(Table_NFI[[#This Row],[Pcode]]="","",OFFSET(CampList[Priority],MATCH(Table_NFI[[#This Row],[Pcode]],CampList[CP_Pcode],0)-1,0,1,1))</f>
        <v>P4</v>
      </c>
      <c r="AU452" s="263">
        <f>IFERROR(Table_NFI[[#This Row],[Kitchen Set]]/VLOOKUP(Table_NFI[[#This Row],[Camp Name]],CL,4,0),"")</f>
        <v>0</v>
      </c>
      <c r="AV452" s="390"/>
      <c r="AW452" s="392"/>
      <c r="AX452" s="399"/>
      <c r="AY452" s="399"/>
      <c r="AZ452" s="399"/>
      <c r="BA452" s="399"/>
      <c r="BB452" s="399"/>
      <c r="BC452" s="399"/>
      <c r="BD452" s="399"/>
      <c r="BE452" s="399"/>
      <c r="BF452" s="399"/>
      <c r="BG452" s="399"/>
      <c r="BH452" s="399"/>
      <c r="BI452" s="399"/>
      <c r="BJ452" s="399"/>
      <c r="BK452" s="399"/>
      <c r="BL452" s="399"/>
      <c r="BM452" s="399"/>
      <c r="BN452" s="399"/>
      <c r="BO452" s="399"/>
      <c r="BP452" s="399"/>
      <c r="BQ452" s="399"/>
      <c r="BR452" s="399"/>
      <c r="BS452" s="399"/>
      <c r="BT452" s="399"/>
      <c r="BU452" s="399"/>
      <c r="BV452" s="399"/>
      <c r="BW452" s="399"/>
      <c r="BX452" s="399"/>
      <c r="BY452" s="399"/>
      <c r="BZ452" s="399"/>
      <c r="CA452" s="399"/>
      <c r="CB452" s="399"/>
      <c r="CC452" s="399"/>
      <c r="CD452" s="399"/>
      <c r="CE452" s="399"/>
      <c r="CF452" s="399"/>
      <c r="CG452" s="399"/>
      <c r="CH452" s="399"/>
      <c r="CI452" s="399"/>
      <c r="CJ452" s="399"/>
      <c r="CK452" s="399"/>
      <c r="CL452" s="399"/>
      <c r="CM452" s="399"/>
      <c r="CN452" s="399"/>
      <c r="CO452" s="399"/>
      <c r="CP452" s="399"/>
      <c r="CQ452" s="399"/>
      <c r="CR452" s="399"/>
      <c r="CS452" s="399"/>
      <c r="CT452" s="399"/>
      <c r="CU452" s="399"/>
      <c r="CV452" s="399"/>
      <c r="CW452" s="399"/>
      <c r="CX452" s="399"/>
      <c r="CY452" s="399"/>
      <c r="CZ452" s="399"/>
      <c r="DA452" s="399"/>
      <c r="DB452" s="399"/>
      <c r="DC452" s="399"/>
      <c r="DD452" s="399"/>
      <c r="DE452" s="399"/>
      <c r="DF452" s="399"/>
      <c r="DG452" s="399"/>
      <c r="DH452" s="399"/>
      <c r="DI452" s="399"/>
      <c r="DJ452" s="399"/>
      <c r="DK452" s="399"/>
      <c r="DL452" s="399"/>
      <c r="DM452" s="399"/>
      <c r="DN452" s="399"/>
      <c r="DO452" s="399"/>
      <c r="DP452" s="399"/>
      <c r="DQ452" s="399"/>
    </row>
    <row r="453" spans="1:121" s="760" customFormat="1" ht="14.45" customHeight="1" x14ac:dyDescent="0.25">
      <c r="A453" s="266">
        <f t="shared" si="6"/>
        <v>35.93333333333333</v>
      </c>
      <c r="B453" s="389">
        <v>41778</v>
      </c>
      <c r="C453" s="390" t="s">
        <v>1099</v>
      </c>
      <c r="D453" s="390" t="s">
        <v>899</v>
      </c>
      <c r="E453" s="390" t="s">
        <v>380</v>
      </c>
      <c r="F453" s="390" t="s">
        <v>310</v>
      </c>
      <c r="G453" s="390" t="s">
        <v>338</v>
      </c>
      <c r="H453" s="261"/>
      <c r="I453" s="261"/>
      <c r="J453" s="261"/>
      <c r="K453" s="261"/>
      <c r="L453" s="261"/>
      <c r="M453" s="261"/>
      <c r="N453" s="261"/>
      <c r="O453" s="261"/>
      <c r="P453" s="261"/>
      <c r="Q453" s="261"/>
      <c r="R453" s="261"/>
      <c r="S453" s="261"/>
      <c r="T453" s="261"/>
      <c r="U453" s="261">
        <v>60</v>
      </c>
      <c r="V453" s="762"/>
      <c r="W453" s="261"/>
      <c r="X453" s="261"/>
      <c r="Y453" s="264">
        <f>IF(NFI_Expiration=1,IF($A453&lt;VLOOKUP(H$5,NFI,5,0),1,0)*Table_NFI[[#This Row],[Hygiene Kit]],Table_NFI[Hygiene Kit])</f>
        <v>0</v>
      </c>
      <c r="Z453" s="264">
        <f>IF(NFI_Expiration=1,IF($A453&lt;VLOOKUP(I$5,NFI,5,0),1,0)*Table_NFI[[#This Row],[NFI Core Kit]],Table_NFI[NFI Core Kit])</f>
        <v>0</v>
      </c>
      <c r="AA453" s="264">
        <f>IF(NFI_Expiration=1,IF($A453&lt;VLOOKUP(J$5,NFI,5,0),1,0)*Table_NFI[[#This Row],[Sanitary Kit]],Table_NFI[Sanitary Kit])</f>
        <v>0</v>
      </c>
      <c r="AB453" s="264">
        <f>IF(NFI_Expiration=1,IF($A453&lt;VLOOKUP(K$5,NFI,5,0),1,0)*Table_NFI[[#This Row],[Mosquito net]],Table_NFI[Mosquito net])</f>
        <v>0</v>
      </c>
      <c r="AC453" s="264">
        <f>IF(NFI_Expiration=1,IF($A453&lt;VLOOKUP(L$5,NFI,5,0),1,0)*Table_NFI[[#This Row],[Tarpaulin]],Table_NFI[[#This Row],[Tarpaulin]])</f>
        <v>0</v>
      </c>
      <c r="AD453" s="264">
        <f>IF(NFI_Expiration=1,IF($A453&lt;VLOOKUP(M$5,NFI,5,0),1,0)*Table_NFI[[#This Row],[Blanket]],Table_NFI[[#This Row],[Blanket]])</f>
        <v>0</v>
      </c>
      <c r="AE453" s="264">
        <f>IF(NFI_Expiration=1,IF($A453&lt;VLOOKUP(N$5,NFI,5,0),1,0)*Table_NFI[[#This Row],[Kitchen Set]],Table_NFI[Kitchen Set])</f>
        <v>0</v>
      </c>
      <c r="AF453" s="264">
        <f>IF(NFI_Expiration=1,IF($A453&lt;VLOOKUP(O$5,NFI,5,0),1,0)*Table_NFI[[#This Row],[Clothes Kit]],Table_NFI[Clothes Kit])</f>
        <v>0</v>
      </c>
      <c r="AG453" s="264">
        <f>IF(NFI_Expiration=1,IF($A453&lt;VLOOKUP(P$5,NFI,5,0),1,0)*Table_NFI[[#This Row],[Plastic Bucket]],Table_NFI[Plastic Bucket])</f>
        <v>0</v>
      </c>
      <c r="AH453" s="264">
        <f>IF(NFI_Expiration=1,IF($A453&lt;VLOOKUP(Q$5,NFI,5,0),1,0)*Table_NFI[[#This Row],[Plastic Mat]],Table_NFI[Plastic Mat])*IF(Table_NFI[[#This Row],[Distribution Date]]&gt;"2014-04-01",1,2.5)</f>
        <v>0</v>
      </c>
      <c r="AI453" s="264">
        <f>IF(NFI_Expiration=1,IF($A453&lt;VLOOKUP(R$5,NFI,5,0),1,0)*Table_NFI[[#This Row],[Winter Clothes Adult]],Table_NFI[Winter Clothes Adult])</f>
        <v>0</v>
      </c>
      <c r="AJ453" s="264">
        <f>IF(NFI_Expiration=1,IF($A453&lt;VLOOKUP(S$5,NFI,5,0),1,0)*Table_NFI[[#This Row],[Winter Clothes Children]],Table_NFI[Winter Clothes Children])</f>
        <v>0</v>
      </c>
      <c r="AK453" s="264">
        <f>IF(NFI_Expiration=1,IF($A453&lt;VLOOKUP(T$5,NFI,5,0),1,0)*Table_NFI[[#This Row],[Winter Items Other]],Table_NFI[Winter Items Other])</f>
        <v>0</v>
      </c>
      <c r="AL453" s="264">
        <f>IF(NFI_Expiration=1,IF($A453&lt;VLOOKUP(M$5,NFI,5,0),1,0)*Table_NFI[[#This Row],[Winter Blanket]],Table_NFI[[#This Row],[Winter Blanket]])</f>
        <v>0</v>
      </c>
      <c r="AM453" s="264">
        <f>IF(Table_NFI[[#This Row],[Winter Clothes Adult]]+Table_NFI[[#This Row],[Winter Clothes Children]]+Table_NFI[[#This Row],[Winter Items Other]]+Table_NFI[[#This Row],[Winter Blanket]]&gt;0,1,0)</f>
        <v>1</v>
      </c>
      <c r="AN453" s="296">
        <f>IF(NFI_Expiration=1,IF($A453&lt;VLOOKUP(V$5,NFI,5,0),1,0)*Table_NFI[[#This Row],[Jerry Can]],Table_NFI[Jerry Can])</f>
        <v>0</v>
      </c>
      <c r="AO453" s="296">
        <f>IF(NFI_Expiration=1,IF($A453&lt;VLOOKUP(V$5,NFI,5,0),1,0)*Table_NFI[[#This Row],[Shelter Tool kit]],Table_NFI[Shelter Tool kit])</f>
        <v>0</v>
      </c>
      <c r="AP453" s="296">
        <f>IF(NFI_Expiration=1,IF($A453&lt;VLOOKUP(V$5,NFI,5,0),1,0)*Table_NFI[[#This Row],[Tent]],Table_NFI[Tent])</f>
        <v>0</v>
      </c>
      <c r="AQ453" s="396" t="str">
        <f>IFERROR(VLOOKUP(Table_NFI[[#This Row],[Camp Name]],CL,2,0),"")</f>
        <v>MMR001CMP030</v>
      </c>
      <c r="AR453" s="702">
        <f ca="1">IF(Table_NFI[[#This Row],[Pcode]]="","",IF(OFFSET(CampList[Opening Date],MATCH(Table_NFI[[#This Row],[Pcode]],CampList[CP_Pcode],0)-1,0,1,1)&gt;=NFI_Monitor_Date,1,0))</f>
        <v>0</v>
      </c>
      <c r="AS453" s="396" t="str">
        <f>IFERROR(VLOOKUP(Table_NFI[[#This Row],[Camp Name]],CL,3,0),"")</f>
        <v>Open</v>
      </c>
      <c r="AT453" s="264" t="str">
        <f ca="1">IF(Table_NFI[[#This Row],[Pcode]]="","",OFFSET(CampList[Priority],MATCH(Table_NFI[[#This Row],[Pcode]],CampList[CP_Pcode],0)-1,0,1,1))</f>
        <v>P4</v>
      </c>
      <c r="AU453" s="263">
        <f>IFERROR(Table_NFI[[#This Row],[Kitchen Set]]/VLOOKUP(Table_NFI[[#This Row],[Camp Name]],CL,4,0),"")</f>
        <v>0</v>
      </c>
      <c r="AV453" s="390"/>
      <c r="AW453" s="392"/>
      <c r="AX453" s="399"/>
      <c r="AY453" s="399"/>
      <c r="AZ453" s="399"/>
      <c r="BA453" s="399"/>
      <c r="BB453" s="399"/>
      <c r="BC453" s="399"/>
      <c r="BD453" s="399"/>
      <c r="BE453" s="399"/>
      <c r="BF453" s="399"/>
      <c r="BG453" s="399"/>
      <c r="BH453" s="399"/>
      <c r="BI453" s="399"/>
      <c r="BJ453" s="399"/>
      <c r="BK453" s="399"/>
      <c r="BL453" s="399"/>
      <c r="BM453" s="399"/>
      <c r="BN453" s="399"/>
      <c r="BO453" s="399"/>
      <c r="BP453" s="399"/>
      <c r="BQ453" s="399"/>
      <c r="BR453" s="399"/>
      <c r="BS453" s="399"/>
      <c r="BT453" s="399"/>
      <c r="BU453" s="399"/>
      <c r="BV453" s="399"/>
      <c r="BW453" s="399"/>
      <c r="BX453" s="399"/>
      <c r="BY453" s="399"/>
      <c r="BZ453" s="399"/>
      <c r="CA453" s="399"/>
      <c r="CB453" s="399"/>
      <c r="CC453" s="399"/>
      <c r="CD453" s="399"/>
      <c r="CE453" s="399"/>
      <c r="CF453" s="399"/>
      <c r="CG453" s="399"/>
      <c r="CH453" s="399"/>
      <c r="CI453" s="399"/>
      <c r="CJ453" s="399"/>
      <c r="CK453" s="399"/>
      <c r="CL453" s="399"/>
      <c r="CM453" s="399"/>
      <c r="CN453" s="399"/>
      <c r="CO453" s="399"/>
      <c r="CP453" s="399"/>
      <c r="CQ453" s="399"/>
      <c r="CR453" s="399"/>
      <c r="CS453" s="399"/>
      <c r="CT453" s="399"/>
      <c r="CU453" s="399"/>
      <c r="CV453" s="399"/>
      <c r="CW453" s="399"/>
      <c r="CX453" s="399"/>
      <c r="CY453" s="399"/>
      <c r="CZ453" s="399"/>
      <c r="DA453" s="399"/>
      <c r="DB453" s="399"/>
      <c r="DC453" s="399"/>
      <c r="DD453" s="399"/>
      <c r="DE453" s="399"/>
      <c r="DF453" s="399"/>
      <c r="DG453" s="399"/>
      <c r="DH453" s="399"/>
      <c r="DI453" s="399"/>
      <c r="DJ453" s="399"/>
      <c r="DK453" s="399"/>
      <c r="DL453" s="399"/>
      <c r="DM453" s="399"/>
      <c r="DN453" s="399"/>
      <c r="DO453" s="399"/>
      <c r="DP453" s="399"/>
      <c r="DQ453" s="399"/>
    </row>
    <row r="454" spans="1:121" s="760" customFormat="1" ht="14.45" customHeight="1" x14ac:dyDescent="0.25">
      <c r="A454" s="266">
        <f t="shared" ref="A454:A517" si="7">IF(ISBLANK(B454),"",(Report_Date-B454)/30)</f>
        <v>36.033333333333331</v>
      </c>
      <c r="B454" s="389">
        <v>41775</v>
      </c>
      <c r="C454" s="390" t="s">
        <v>1099</v>
      </c>
      <c r="D454" s="390" t="s">
        <v>899</v>
      </c>
      <c r="E454" s="390" t="s">
        <v>380</v>
      </c>
      <c r="F454" s="390" t="s">
        <v>310</v>
      </c>
      <c r="G454" s="390" t="s">
        <v>330</v>
      </c>
      <c r="H454" s="261"/>
      <c r="I454" s="261"/>
      <c r="J454" s="261"/>
      <c r="K454" s="261"/>
      <c r="L454" s="261"/>
      <c r="M454" s="261"/>
      <c r="N454" s="261"/>
      <c r="O454" s="261"/>
      <c r="P454" s="261"/>
      <c r="Q454" s="261"/>
      <c r="R454" s="261"/>
      <c r="S454" s="261"/>
      <c r="T454" s="261"/>
      <c r="U454" s="261">
        <v>470</v>
      </c>
      <c r="V454" s="762"/>
      <c r="W454" s="261"/>
      <c r="X454" s="261"/>
      <c r="Y454" s="264">
        <f>IF(NFI_Expiration=1,IF($A454&lt;VLOOKUP(H$5,NFI,5,0),1,0)*Table_NFI[[#This Row],[Hygiene Kit]],Table_NFI[Hygiene Kit])</f>
        <v>0</v>
      </c>
      <c r="Z454" s="264">
        <f>IF(NFI_Expiration=1,IF($A454&lt;VLOOKUP(I$5,NFI,5,0),1,0)*Table_NFI[[#This Row],[NFI Core Kit]],Table_NFI[NFI Core Kit])</f>
        <v>0</v>
      </c>
      <c r="AA454" s="264">
        <f>IF(NFI_Expiration=1,IF($A454&lt;VLOOKUP(J$5,NFI,5,0),1,0)*Table_NFI[[#This Row],[Sanitary Kit]],Table_NFI[Sanitary Kit])</f>
        <v>0</v>
      </c>
      <c r="AB454" s="264">
        <f>IF(NFI_Expiration=1,IF($A454&lt;VLOOKUP(K$5,NFI,5,0),1,0)*Table_NFI[[#This Row],[Mosquito net]],Table_NFI[Mosquito net])</f>
        <v>0</v>
      </c>
      <c r="AC454" s="264">
        <f>IF(NFI_Expiration=1,IF($A454&lt;VLOOKUP(L$5,NFI,5,0),1,0)*Table_NFI[[#This Row],[Tarpaulin]],Table_NFI[[#This Row],[Tarpaulin]])</f>
        <v>0</v>
      </c>
      <c r="AD454" s="264">
        <f>IF(NFI_Expiration=1,IF($A454&lt;VLOOKUP(M$5,NFI,5,0),1,0)*Table_NFI[[#This Row],[Blanket]],Table_NFI[[#This Row],[Blanket]])</f>
        <v>0</v>
      </c>
      <c r="AE454" s="264">
        <f>IF(NFI_Expiration=1,IF($A454&lt;VLOOKUP(N$5,NFI,5,0),1,0)*Table_NFI[[#This Row],[Kitchen Set]],Table_NFI[Kitchen Set])</f>
        <v>0</v>
      </c>
      <c r="AF454" s="264">
        <f>IF(NFI_Expiration=1,IF($A454&lt;VLOOKUP(O$5,NFI,5,0),1,0)*Table_NFI[[#This Row],[Clothes Kit]],Table_NFI[Clothes Kit])</f>
        <v>0</v>
      </c>
      <c r="AG454" s="264">
        <f>IF(NFI_Expiration=1,IF($A454&lt;VLOOKUP(P$5,NFI,5,0),1,0)*Table_NFI[[#This Row],[Plastic Bucket]],Table_NFI[Plastic Bucket])</f>
        <v>0</v>
      </c>
      <c r="AH454" s="264">
        <f>IF(NFI_Expiration=1,IF($A454&lt;VLOOKUP(Q$5,NFI,5,0),1,0)*Table_NFI[[#This Row],[Plastic Mat]],Table_NFI[Plastic Mat])*IF(Table_NFI[[#This Row],[Distribution Date]]&gt;"2014-04-01",1,2.5)</f>
        <v>0</v>
      </c>
      <c r="AI454" s="264">
        <f>IF(NFI_Expiration=1,IF($A454&lt;VLOOKUP(R$5,NFI,5,0),1,0)*Table_NFI[[#This Row],[Winter Clothes Adult]],Table_NFI[Winter Clothes Adult])</f>
        <v>0</v>
      </c>
      <c r="AJ454" s="264">
        <f>IF(NFI_Expiration=1,IF($A454&lt;VLOOKUP(S$5,NFI,5,0),1,0)*Table_NFI[[#This Row],[Winter Clothes Children]],Table_NFI[Winter Clothes Children])</f>
        <v>0</v>
      </c>
      <c r="AK454" s="264">
        <f>IF(NFI_Expiration=1,IF($A454&lt;VLOOKUP(T$5,NFI,5,0),1,0)*Table_NFI[[#This Row],[Winter Items Other]],Table_NFI[Winter Items Other])</f>
        <v>0</v>
      </c>
      <c r="AL454" s="264">
        <f>IF(NFI_Expiration=1,IF($A454&lt;VLOOKUP(M$5,NFI,5,0),1,0)*Table_NFI[[#This Row],[Winter Blanket]],Table_NFI[[#This Row],[Winter Blanket]])</f>
        <v>0</v>
      </c>
      <c r="AM454" s="264">
        <f>IF(Table_NFI[[#This Row],[Winter Clothes Adult]]+Table_NFI[[#This Row],[Winter Clothes Children]]+Table_NFI[[#This Row],[Winter Items Other]]+Table_NFI[[#This Row],[Winter Blanket]]&gt;0,1,0)</f>
        <v>1</v>
      </c>
      <c r="AN454" s="296">
        <f>IF(NFI_Expiration=1,IF($A454&lt;VLOOKUP(V$5,NFI,5,0),1,0)*Table_NFI[[#This Row],[Jerry Can]],Table_NFI[Jerry Can])</f>
        <v>0</v>
      </c>
      <c r="AO454" s="296">
        <f>IF(NFI_Expiration=1,IF($A454&lt;VLOOKUP(V$5,NFI,5,0),1,0)*Table_NFI[[#This Row],[Shelter Tool kit]],Table_NFI[Shelter Tool kit])</f>
        <v>0</v>
      </c>
      <c r="AP454" s="296">
        <f>IF(NFI_Expiration=1,IF($A454&lt;VLOOKUP(V$5,NFI,5,0),1,0)*Table_NFI[[#This Row],[Tent]],Table_NFI[Tent])</f>
        <v>0</v>
      </c>
      <c r="AQ454" s="396" t="str">
        <f>IFERROR(VLOOKUP(Table_NFI[[#This Row],[Camp Name]],CL,2,0),"")</f>
        <v>MMR001CMP029</v>
      </c>
      <c r="AR454" s="702">
        <f ca="1">IF(Table_NFI[[#This Row],[Pcode]]="","",IF(OFFSET(CampList[Opening Date],MATCH(Table_NFI[[#This Row],[Pcode]],CampList[CP_Pcode],0)-1,0,1,1)&gt;=NFI_Monitor_Date,1,0))</f>
        <v>0</v>
      </c>
      <c r="AS454" s="396" t="str">
        <f>IFERROR(VLOOKUP(Table_NFI[[#This Row],[Camp Name]],CL,3,0),"")</f>
        <v>Open</v>
      </c>
      <c r="AT454" s="264" t="str">
        <f ca="1">IF(Table_NFI[[#This Row],[Pcode]]="","",OFFSET(CampList[Priority],MATCH(Table_NFI[[#This Row],[Pcode]],CampList[CP_Pcode],0)-1,0,1,1))</f>
        <v>P4</v>
      </c>
      <c r="AU454" s="263">
        <f>IFERROR(Table_NFI[[#This Row],[Kitchen Set]]/VLOOKUP(Table_NFI[[#This Row],[Camp Name]],CL,4,0),"")</f>
        <v>0</v>
      </c>
      <c r="AV454" s="390"/>
      <c r="AW454" s="392"/>
      <c r="AX454" s="399"/>
      <c r="AY454" s="399"/>
      <c r="AZ454" s="399"/>
      <c r="BA454" s="399"/>
      <c r="BB454" s="399"/>
      <c r="BC454" s="399"/>
      <c r="BD454" s="399"/>
      <c r="BE454" s="399"/>
      <c r="BF454" s="399"/>
      <c r="BG454" s="399"/>
      <c r="BH454" s="399"/>
      <c r="BI454" s="399"/>
      <c r="BJ454" s="399"/>
      <c r="BK454" s="399"/>
      <c r="BL454" s="399"/>
      <c r="BM454" s="399"/>
      <c r="BN454" s="399"/>
      <c r="BO454" s="399"/>
      <c r="BP454" s="399"/>
      <c r="BQ454" s="399"/>
      <c r="BR454" s="399"/>
      <c r="BS454" s="399"/>
      <c r="BT454" s="399"/>
      <c r="BU454" s="399"/>
      <c r="BV454" s="399"/>
      <c r="BW454" s="399"/>
      <c r="BX454" s="399"/>
      <c r="BY454" s="399"/>
      <c r="BZ454" s="399"/>
      <c r="CA454" s="399"/>
      <c r="CB454" s="399"/>
      <c r="CC454" s="399"/>
      <c r="CD454" s="399"/>
      <c r="CE454" s="399"/>
      <c r="CF454" s="399"/>
      <c r="CG454" s="399"/>
      <c r="CH454" s="399"/>
      <c r="CI454" s="399"/>
      <c r="CJ454" s="399"/>
      <c r="CK454" s="399"/>
      <c r="CL454" s="399"/>
      <c r="CM454" s="399"/>
      <c r="CN454" s="399"/>
      <c r="CO454" s="399"/>
      <c r="CP454" s="399"/>
      <c r="CQ454" s="399"/>
      <c r="CR454" s="399"/>
      <c r="CS454" s="399"/>
      <c r="CT454" s="399"/>
      <c r="CU454" s="399"/>
      <c r="CV454" s="399"/>
      <c r="CW454" s="399"/>
      <c r="CX454" s="399"/>
      <c r="CY454" s="399"/>
      <c r="CZ454" s="399"/>
      <c r="DA454" s="399"/>
      <c r="DB454" s="399"/>
      <c r="DC454" s="399"/>
      <c r="DD454" s="399"/>
      <c r="DE454" s="399"/>
      <c r="DF454" s="399"/>
      <c r="DG454" s="399"/>
      <c r="DH454" s="399"/>
      <c r="DI454" s="399"/>
      <c r="DJ454" s="399"/>
      <c r="DK454" s="399"/>
      <c r="DL454" s="399"/>
      <c r="DM454" s="399"/>
      <c r="DN454" s="399"/>
      <c r="DO454" s="399"/>
      <c r="DP454" s="399"/>
      <c r="DQ454" s="399"/>
    </row>
    <row r="455" spans="1:121" s="760" customFormat="1" ht="14.45" customHeight="1" x14ac:dyDescent="0.25">
      <c r="A455" s="266">
        <f t="shared" si="7"/>
        <v>36.033333333333331</v>
      </c>
      <c r="B455" s="389">
        <v>41775</v>
      </c>
      <c r="C455" s="390" t="s">
        <v>451</v>
      </c>
      <c r="D455" s="390" t="s">
        <v>451</v>
      </c>
      <c r="E455" s="390" t="s">
        <v>380</v>
      </c>
      <c r="F455" s="390" t="s">
        <v>5</v>
      </c>
      <c r="G455" s="390" t="s">
        <v>8</v>
      </c>
      <c r="H455" s="261"/>
      <c r="I455" s="261"/>
      <c r="J455" s="261"/>
      <c r="K455" s="261">
        <v>10</v>
      </c>
      <c r="L455" s="261">
        <v>4</v>
      </c>
      <c r="M455" s="261">
        <v>10</v>
      </c>
      <c r="N455" s="261">
        <v>4</v>
      </c>
      <c r="O455" s="261">
        <v>4</v>
      </c>
      <c r="P455" s="261">
        <v>4</v>
      </c>
      <c r="Q455" s="261">
        <v>18</v>
      </c>
      <c r="R455" s="261"/>
      <c r="S455" s="261"/>
      <c r="T455" s="261"/>
      <c r="U455" s="261"/>
      <c r="V455" s="762"/>
      <c r="W455" s="261"/>
      <c r="X455" s="261"/>
      <c r="Y455" s="264">
        <f>IF(NFI_Expiration=1,IF($A455&lt;VLOOKUP(H$5,NFI,5,0),1,0)*Table_NFI[[#This Row],[Hygiene Kit]],Table_NFI[Hygiene Kit])</f>
        <v>0</v>
      </c>
      <c r="Z455" s="264">
        <f>IF(NFI_Expiration=1,IF($A455&lt;VLOOKUP(I$5,NFI,5,0),1,0)*Table_NFI[[#This Row],[NFI Core Kit]],Table_NFI[NFI Core Kit])</f>
        <v>0</v>
      </c>
      <c r="AA455" s="264">
        <f>IF(NFI_Expiration=1,IF($A455&lt;VLOOKUP(J$5,NFI,5,0),1,0)*Table_NFI[[#This Row],[Sanitary Kit]],Table_NFI[Sanitary Kit])</f>
        <v>0</v>
      </c>
      <c r="AB455" s="264">
        <f>IF(NFI_Expiration=1,IF($A455&lt;VLOOKUP(K$5,NFI,5,0),1,0)*Table_NFI[[#This Row],[Mosquito net]],Table_NFI[Mosquito net])</f>
        <v>0</v>
      </c>
      <c r="AC455" s="264">
        <f>IF(NFI_Expiration=1,IF($A455&lt;VLOOKUP(L$5,NFI,5,0),1,0)*Table_NFI[[#This Row],[Tarpaulin]],Table_NFI[[#This Row],[Tarpaulin]])</f>
        <v>0</v>
      </c>
      <c r="AD455" s="264">
        <f>IF(NFI_Expiration=1,IF($A455&lt;VLOOKUP(M$5,NFI,5,0),1,0)*Table_NFI[[#This Row],[Blanket]],Table_NFI[[#This Row],[Blanket]])</f>
        <v>0</v>
      </c>
      <c r="AE455" s="264">
        <f>IF(NFI_Expiration=1,IF($A455&lt;VLOOKUP(N$5,NFI,5,0),1,0)*Table_NFI[[#This Row],[Kitchen Set]],Table_NFI[Kitchen Set])</f>
        <v>0</v>
      </c>
      <c r="AF455" s="264">
        <f>IF(NFI_Expiration=1,IF($A455&lt;VLOOKUP(O$5,NFI,5,0),1,0)*Table_NFI[[#This Row],[Clothes Kit]],Table_NFI[Clothes Kit])</f>
        <v>0</v>
      </c>
      <c r="AG455" s="264">
        <f>IF(NFI_Expiration=1,IF($A455&lt;VLOOKUP(P$5,NFI,5,0),1,0)*Table_NFI[[#This Row],[Plastic Bucket]],Table_NFI[Plastic Bucket])</f>
        <v>0</v>
      </c>
      <c r="AH455" s="264">
        <f>IF(NFI_Expiration=1,IF($A455&lt;VLOOKUP(Q$5,NFI,5,0),1,0)*Table_NFI[[#This Row],[Plastic Mat]],Table_NFI[Plastic Mat])*IF(Table_NFI[[#This Row],[Distribution Date]]&gt;"2014-04-01",1,2.5)</f>
        <v>0</v>
      </c>
      <c r="AI455" s="264">
        <f>IF(NFI_Expiration=1,IF($A455&lt;VLOOKUP(R$5,NFI,5,0),1,0)*Table_NFI[[#This Row],[Winter Clothes Adult]],Table_NFI[Winter Clothes Adult])</f>
        <v>0</v>
      </c>
      <c r="AJ455" s="264">
        <f>IF(NFI_Expiration=1,IF($A455&lt;VLOOKUP(S$5,NFI,5,0),1,0)*Table_NFI[[#This Row],[Winter Clothes Children]],Table_NFI[Winter Clothes Children])</f>
        <v>0</v>
      </c>
      <c r="AK455" s="264">
        <f>IF(NFI_Expiration=1,IF($A455&lt;VLOOKUP(T$5,NFI,5,0),1,0)*Table_NFI[[#This Row],[Winter Items Other]],Table_NFI[Winter Items Other])</f>
        <v>0</v>
      </c>
      <c r="AL455" s="264">
        <f>IF(NFI_Expiration=1,IF($A455&lt;VLOOKUP(M$5,NFI,5,0),1,0)*Table_NFI[[#This Row],[Winter Blanket]],Table_NFI[[#This Row],[Winter Blanket]])</f>
        <v>0</v>
      </c>
      <c r="AM455" s="264">
        <f>IF(Table_NFI[[#This Row],[Winter Clothes Adult]]+Table_NFI[[#This Row],[Winter Clothes Children]]+Table_NFI[[#This Row],[Winter Items Other]]+Table_NFI[[#This Row],[Winter Blanket]]&gt;0,1,0)</f>
        <v>0</v>
      </c>
      <c r="AN455" s="296">
        <f>IF(NFI_Expiration=1,IF($A455&lt;VLOOKUP(V$5,NFI,5,0),1,0)*Table_NFI[[#This Row],[Jerry Can]],Table_NFI[Jerry Can])</f>
        <v>0</v>
      </c>
      <c r="AO455" s="296">
        <f>IF(NFI_Expiration=1,IF($A455&lt;VLOOKUP(V$5,NFI,5,0),1,0)*Table_NFI[[#This Row],[Shelter Tool kit]],Table_NFI[Shelter Tool kit])</f>
        <v>0</v>
      </c>
      <c r="AP455" s="296">
        <f>IF(NFI_Expiration=1,IF($A455&lt;VLOOKUP(V$5,NFI,5,0),1,0)*Table_NFI[[#This Row],[Tent]],Table_NFI[Tent])</f>
        <v>0</v>
      </c>
      <c r="AQ455" s="396" t="str">
        <f>IFERROR(VLOOKUP(Table_NFI[[#This Row],[Camp Name]],CL,2,0),"")</f>
        <v>MMR001CMP051</v>
      </c>
      <c r="AR455" s="702">
        <f ca="1">IF(Table_NFI[[#This Row],[Pcode]]="","",IF(OFFSET(CampList[Opening Date],MATCH(Table_NFI[[#This Row],[Pcode]],CampList[CP_Pcode],0)-1,0,1,1)&gt;=NFI_Monitor_Date,1,0))</f>
        <v>0</v>
      </c>
      <c r="AS455" s="396" t="str">
        <f>IFERROR(VLOOKUP(Table_NFI[[#This Row],[Camp Name]],CL,3,0),"")</f>
        <v>Open</v>
      </c>
      <c r="AT455" s="264" t="str">
        <f ca="1">IF(Table_NFI[[#This Row],[Pcode]]="","",OFFSET(CampList[Priority],MATCH(Table_NFI[[#This Row],[Pcode]],CampList[CP_Pcode],0)-1,0,1,1))</f>
        <v>P4</v>
      </c>
      <c r="AU455" s="263">
        <f>IFERROR(Table_NFI[[#This Row],[Kitchen Set]]/VLOOKUP(Table_NFI[[#This Row],[Camp Name]],CL,4,0),"")</f>
        <v>9.7127455503484453E-5</v>
      </c>
      <c r="AV455" s="390" t="s">
        <v>1087</v>
      </c>
      <c r="AW455" s="392"/>
      <c r="AX455" s="399"/>
      <c r="AY455" s="399"/>
      <c r="AZ455" s="399"/>
      <c r="BA455" s="399"/>
      <c r="BB455" s="399"/>
      <c r="BC455" s="399"/>
      <c r="BD455" s="399"/>
      <c r="BE455" s="399"/>
      <c r="BF455" s="399"/>
      <c r="BG455" s="399"/>
      <c r="BH455" s="399"/>
      <c r="BI455" s="399"/>
      <c r="BJ455" s="399"/>
      <c r="BK455" s="399"/>
      <c r="BL455" s="399"/>
      <c r="BM455" s="399"/>
      <c r="BN455" s="399"/>
      <c r="BO455" s="399"/>
      <c r="BP455" s="399"/>
      <c r="BQ455" s="399"/>
      <c r="BR455" s="399"/>
      <c r="BS455" s="399"/>
      <c r="BT455" s="399"/>
      <c r="BU455" s="399"/>
      <c r="BV455" s="399"/>
      <c r="BW455" s="399"/>
      <c r="BX455" s="399"/>
      <c r="BY455" s="399"/>
      <c r="BZ455" s="399"/>
      <c r="CA455" s="399"/>
      <c r="CB455" s="399"/>
      <c r="CC455" s="399"/>
      <c r="CD455" s="399"/>
      <c r="CE455" s="399"/>
      <c r="CF455" s="399"/>
      <c r="CG455" s="399"/>
      <c r="CH455" s="399"/>
      <c r="CI455" s="399"/>
      <c r="CJ455" s="399"/>
      <c r="CK455" s="399"/>
      <c r="CL455" s="399"/>
      <c r="CM455" s="399"/>
      <c r="CN455" s="399"/>
      <c r="CO455" s="399"/>
      <c r="CP455" s="399"/>
      <c r="CQ455" s="399"/>
      <c r="CR455" s="399"/>
      <c r="CS455" s="399"/>
      <c r="CT455" s="399"/>
      <c r="CU455" s="399"/>
      <c r="CV455" s="399"/>
      <c r="CW455" s="399"/>
      <c r="CX455" s="399"/>
      <c r="CY455" s="399"/>
      <c r="CZ455" s="399"/>
      <c r="DA455" s="399"/>
      <c r="DB455" s="399"/>
      <c r="DC455" s="399"/>
      <c r="DD455" s="399"/>
      <c r="DE455" s="399"/>
      <c r="DF455" s="399"/>
      <c r="DG455" s="399"/>
      <c r="DH455" s="399"/>
      <c r="DI455" s="399"/>
      <c r="DJ455" s="399"/>
      <c r="DK455" s="399"/>
      <c r="DL455" s="399"/>
      <c r="DM455" s="399"/>
      <c r="DN455" s="399"/>
      <c r="DO455" s="399"/>
      <c r="DP455" s="399"/>
      <c r="DQ455" s="399"/>
    </row>
    <row r="456" spans="1:121" s="760" customFormat="1" ht="14.45" customHeight="1" x14ac:dyDescent="0.25">
      <c r="A456" s="266">
        <f t="shared" si="7"/>
        <v>36.033333333333331</v>
      </c>
      <c r="B456" s="389">
        <v>41775</v>
      </c>
      <c r="C456" s="390" t="s">
        <v>1099</v>
      </c>
      <c r="D456" s="390" t="s">
        <v>899</v>
      </c>
      <c r="E456" s="390" t="s">
        <v>380</v>
      </c>
      <c r="F456" s="390" t="s">
        <v>237</v>
      </c>
      <c r="G456" s="390" t="s">
        <v>271</v>
      </c>
      <c r="H456" s="261"/>
      <c r="I456" s="261"/>
      <c r="J456" s="261"/>
      <c r="K456" s="261"/>
      <c r="L456" s="261"/>
      <c r="M456" s="261"/>
      <c r="N456" s="261"/>
      <c r="O456" s="261"/>
      <c r="P456" s="261"/>
      <c r="Q456" s="261"/>
      <c r="R456" s="261"/>
      <c r="S456" s="261"/>
      <c r="T456" s="261"/>
      <c r="U456" s="261">
        <v>142</v>
      </c>
      <c r="V456" s="762"/>
      <c r="W456" s="261"/>
      <c r="X456" s="261"/>
      <c r="Y456" s="264">
        <f>IF(NFI_Expiration=1,IF($A456&lt;VLOOKUP(H$5,NFI,5,0),1,0)*Table_NFI[[#This Row],[Hygiene Kit]],Table_NFI[Hygiene Kit])</f>
        <v>0</v>
      </c>
      <c r="Z456" s="264">
        <f>IF(NFI_Expiration=1,IF($A456&lt;VLOOKUP(I$5,NFI,5,0),1,0)*Table_NFI[[#This Row],[NFI Core Kit]],Table_NFI[NFI Core Kit])</f>
        <v>0</v>
      </c>
      <c r="AA456" s="264">
        <f>IF(NFI_Expiration=1,IF($A456&lt;VLOOKUP(J$5,NFI,5,0),1,0)*Table_NFI[[#This Row],[Sanitary Kit]],Table_NFI[Sanitary Kit])</f>
        <v>0</v>
      </c>
      <c r="AB456" s="264">
        <f>IF(NFI_Expiration=1,IF($A456&lt;VLOOKUP(K$5,NFI,5,0),1,0)*Table_NFI[[#This Row],[Mosquito net]],Table_NFI[Mosquito net])</f>
        <v>0</v>
      </c>
      <c r="AC456" s="264">
        <f>IF(NFI_Expiration=1,IF($A456&lt;VLOOKUP(L$5,NFI,5,0),1,0)*Table_NFI[[#This Row],[Tarpaulin]],Table_NFI[[#This Row],[Tarpaulin]])</f>
        <v>0</v>
      </c>
      <c r="AD456" s="264">
        <f>IF(NFI_Expiration=1,IF($A456&lt;VLOOKUP(M$5,NFI,5,0),1,0)*Table_NFI[[#This Row],[Blanket]],Table_NFI[[#This Row],[Blanket]])</f>
        <v>0</v>
      </c>
      <c r="AE456" s="264">
        <f>IF(NFI_Expiration=1,IF($A456&lt;VLOOKUP(N$5,NFI,5,0),1,0)*Table_NFI[[#This Row],[Kitchen Set]],Table_NFI[Kitchen Set])</f>
        <v>0</v>
      </c>
      <c r="AF456" s="264">
        <f>IF(NFI_Expiration=1,IF($A456&lt;VLOOKUP(O$5,NFI,5,0),1,0)*Table_NFI[[#This Row],[Clothes Kit]],Table_NFI[Clothes Kit])</f>
        <v>0</v>
      </c>
      <c r="AG456" s="264">
        <f>IF(NFI_Expiration=1,IF($A456&lt;VLOOKUP(P$5,NFI,5,0),1,0)*Table_NFI[[#This Row],[Plastic Bucket]],Table_NFI[Plastic Bucket])</f>
        <v>0</v>
      </c>
      <c r="AH456" s="264">
        <f>IF(NFI_Expiration=1,IF($A456&lt;VLOOKUP(Q$5,NFI,5,0),1,0)*Table_NFI[[#This Row],[Plastic Mat]],Table_NFI[Plastic Mat])*IF(Table_NFI[[#This Row],[Distribution Date]]&gt;"2014-04-01",1,2.5)</f>
        <v>0</v>
      </c>
      <c r="AI456" s="264">
        <f>IF(NFI_Expiration=1,IF($A456&lt;VLOOKUP(R$5,NFI,5,0),1,0)*Table_NFI[[#This Row],[Winter Clothes Adult]],Table_NFI[Winter Clothes Adult])</f>
        <v>0</v>
      </c>
      <c r="AJ456" s="264">
        <f>IF(NFI_Expiration=1,IF($A456&lt;VLOOKUP(S$5,NFI,5,0),1,0)*Table_NFI[[#This Row],[Winter Clothes Children]],Table_NFI[Winter Clothes Children])</f>
        <v>0</v>
      </c>
      <c r="AK456" s="264">
        <f>IF(NFI_Expiration=1,IF($A456&lt;VLOOKUP(T$5,NFI,5,0),1,0)*Table_NFI[[#This Row],[Winter Items Other]],Table_NFI[Winter Items Other])</f>
        <v>0</v>
      </c>
      <c r="AL456" s="264">
        <f>IF(NFI_Expiration=1,IF($A456&lt;VLOOKUP(M$5,NFI,5,0),1,0)*Table_NFI[[#This Row],[Winter Blanket]],Table_NFI[[#This Row],[Winter Blanket]])</f>
        <v>0</v>
      </c>
      <c r="AM456" s="264">
        <f>IF(Table_NFI[[#This Row],[Winter Clothes Adult]]+Table_NFI[[#This Row],[Winter Clothes Children]]+Table_NFI[[#This Row],[Winter Items Other]]+Table_NFI[[#This Row],[Winter Blanket]]&gt;0,1,0)</f>
        <v>1</v>
      </c>
      <c r="AN456" s="296">
        <f>IF(NFI_Expiration=1,IF($A456&lt;VLOOKUP(V$5,NFI,5,0),1,0)*Table_NFI[[#This Row],[Jerry Can]],Table_NFI[Jerry Can])</f>
        <v>0</v>
      </c>
      <c r="AO456" s="296">
        <f>IF(NFI_Expiration=1,IF($A456&lt;VLOOKUP(V$5,NFI,5,0),1,0)*Table_NFI[[#This Row],[Shelter Tool kit]],Table_NFI[Shelter Tool kit])</f>
        <v>0</v>
      </c>
      <c r="AP456" s="296">
        <f>IF(NFI_Expiration=1,IF($A456&lt;VLOOKUP(V$5,NFI,5,0),1,0)*Table_NFI[[#This Row],[Tent]],Table_NFI[Tent])</f>
        <v>0</v>
      </c>
      <c r="AQ456" s="396" t="str">
        <f>IFERROR(VLOOKUP(Table_NFI[[#This Row],[Camp Name]],CL,2,0),"")</f>
        <v>MMR001CMP024</v>
      </c>
      <c r="AR456" s="702">
        <f ca="1">IF(Table_NFI[[#This Row],[Pcode]]="","",IF(OFFSET(CampList[Opening Date],MATCH(Table_NFI[[#This Row],[Pcode]],CampList[CP_Pcode],0)-1,0,1,1)&gt;=NFI_Monitor_Date,1,0))</f>
        <v>0</v>
      </c>
      <c r="AS456" s="396" t="str">
        <f>IFERROR(VLOOKUP(Table_NFI[[#This Row],[Camp Name]],CL,3,0),"")</f>
        <v>Open</v>
      </c>
      <c r="AT456" s="264" t="str">
        <f ca="1">IF(Table_NFI[[#This Row],[Pcode]]="","",OFFSET(CampList[Priority],MATCH(Table_NFI[[#This Row],[Pcode]],CampList[CP_Pcode],0)-1,0,1,1))</f>
        <v>P4</v>
      </c>
      <c r="AU456" s="263">
        <f>IFERROR(Table_NFI[[#This Row],[Kitchen Set]]/VLOOKUP(Table_NFI[[#This Row],[Camp Name]],CL,4,0),"")</f>
        <v>0</v>
      </c>
      <c r="AV456" s="390"/>
      <c r="AW456" s="392"/>
      <c r="AX456" s="399"/>
      <c r="AY456" s="399"/>
      <c r="AZ456" s="399"/>
      <c r="BA456" s="399"/>
      <c r="BB456" s="399"/>
      <c r="BC456" s="399"/>
      <c r="BD456" s="399"/>
      <c r="BE456" s="399"/>
      <c r="BF456" s="399"/>
      <c r="BG456" s="399"/>
      <c r="BH456" s="399"/>
      <c r="BI456" s="399"/>
      <c r="BJ456" s="399"/>
      <c r="BK456" s="399"/>
      <c r="BL456" s="399"/>
      <c r="BM456" s="399"/>
      <c r="BN456" s="399"/>
      <c r="BO456" s="399"/>
      <c r="BP456" s="399"/>
      <c r="BQ456" s="399"/>
      <c r="BR456" s="399"/>
      <c r="BS456" s="399"/>
      <c r="BT456" s="399"/>
      <c r="BU456" s="399"/>
      <c r="BV456" s="399"/>
      <c r="BW456" s="399"/>
      <c r="BX456" s="399"/>
      <c r="BY456" s="399"/>
      <c r="BZ456" s="399"/>
      <c r="CA456" s="399"/>
      <c r="CB456" s="399"/>
      <c r="CC456" s="399"/>
      <c r="CD456" s="399"/>
      <c r="CE456" s="399"/>
      <c r="CF456" s="399"/>
      <c r="CG456" s="399"/>
      <c r="CH456" s="399"/>
      <c r="CI456" s="399"/>
      <c r="CJ456" s="399"/>
      <c r="CK456" s="399"/>
      <c r="CL456" s="399"/>
      <c r="CM456" s="399"/>
      <c r="CN456" s="399"/>
      <c r="CO456" s="399"/>
      <c r="CP456" s="399"/>
      <c r="CQ456" s="399"/>
      <c r="CR456" s="399"/>
      <c r="CS456" s="399"/>
      <c r="CT456" s="399"/>
      <c r="CU456" s="399"/>
      <c r="CV456" s="399"/>
      <c r="CW456" s="399"/>
      <c r="CX456" s="399"/>
      <c r="CY456" s="399"/>
      <c r="CZ456" s="399"/>
      <c r="DA456" s="399"/>
      <c r="DB456" s="399"/>
      <c r="DC456" s="399"/>
      <c r="DD456" s="399"/>
      <c r="DE456" s="399"/>
      <c r="DF456" s="399"/>
      <c r="DG456" s="399"/>
      <c r="DH456" s="399"/>
      <c r="DI456" s="399"/>
      <c r="DJ456" s="399"/>
      <c r="DK456" s="399"/>
      <c r="DL456" s="399"/>
      <c r="DM456" s="399"/>
      <c r="DN456" s="399"/>
      <c r="DO456" s="399"/>
      <c r="DP456" s="399"/>
      <c r="DQ456" s="399"/>
    </row>
    <row r="457" spans="1:121" s="760" customFormat="1" ht="14.45" customHeight="1" x14ac:dyDescent="0.25">
      <c r="A457" s="266">
        <f t="shared" si="7"/>
        <v>36.033333333333331</v>
      </c>
      <c r="B457" s="389">
        <v>41775</v>
      </c>
      <c r="C457" s="390" t="s">
        <v>451</v>
      </c>
      <c r="D457" s="390" t="s">
        <v>451</v>
      </c>
      <c r="E457" s="390" t="s">
        <v>380</v>
      </c>
      <c r="F457" s="390" t="s">
        <v>5</v>
      </c>
      <c r="G457" s="390" t="s">
        <v>24</v>
      </c>
      <c r="H457" s="261"/>
      <c r="I457" s="261"/>
      <c r="J457" s="261"/>
      <c r="K457" s="261">
        <v>24</v>
      </c>
      <c r="L457" s="261">
        <v>13</v>
      </c>
      <c r="M457" s="261">
        <v>24</v>
      </c>
      <c r="N457" s="261">
        <v>13</v>
      </c>
      <c r="O457" s="261">
        <v>13</v>
      </c>
      <c r="P457" s="261">
        <v>13</v>
      </c>
      <c r="Q457" s="261">
        <v>33</v>
      </c>
      <c r="R457" s="261"/>
      <c r="S457" s="261"/>
      <c r="T457" s="261"/>
      <c r="U457" s="261"/>
      <c r="V457" s="762"/>
      <c r="W457" s="261"/>
      <c r="X457" s="261"/>
      <c r="Y457" s="264">
        <f>IF(NFI_Expiration=1,IF($A457&lt;VLOOKUP(H$5,NFI,5,0),1,0)*Table_NFI[[#This Row],[Hygiene Kit]],Table_NFI[Hygiene Kit])</f>
        <v>0</v>
      </c>
      <c r="Z457" s="264">
        <f>IF(NFI_Expiration=1,IF($A457&lt;VLOOKUP(I$5,NFI,5,0),1,0)*Table_NFI[[#This Row],[NFI Core Kit]],Table_NFI[NFI Core Kit])</f>
        <v>0</v>
      </c>
      <c r="AA457" s="264">
        <f>IF(NFI_Expiration=1,IF($A457&lt;VLOOKUP(J$5,NFI,5,0),1,0)*Table_NFI[[#This Row],[Sanitary Kit]],Table_NFI[Sanitary Kit])</f>
        <v>0</v>
      </c>
      <c r="AB457" s="264">
        <f>IF(NFI_Expiration=1,IF($A457&lt;VLOOKUP(K$5,NFI,5,0),1,0)*Table_NFI[[#This Row],[Mosquito net]],Table_NFI[Mosquito net])</f>
        <v>0</v>
      </c>
      <c r="AC457" s="264">
        <f>IF(NFI_Expiration=1,IF($A457&lt;VLOOKUP(L$5,NFI,5,0),1,0)*Table_NFI[[#This Row],[Tarpaulin]],Table_NFI[[#This Row],[Tarpaulin]])</f>
        <v>0</v>
      </c>
      <c r="AD457" s="264">
        <f>IF(NFI_Expiration=1,IF($A457&lt;VLOOKUP(M$5,NFI,5,0),1,0)*Table_NFI[[#This Row],[Blanket]],Table_NFI[[#This Row],[Blanket]])</f>
        <v>0</v>
      </c>
      <c r="AE457" s="264">
        <f>IF(NFI_Expiration=1,IF($A457&lt;VLOOKUP(N$5,NFI,5,0),1,0)*Table_NFI[[#This Row],[Kitchen Set]],Table_NFI[Kitchen Set])</f>
        <v>0</v>
      </c>
      <c r="AF457" s="264">
        <f>IF(NFI_Expiration=1,IF($A457&lt;VLOOKUP(O$5,NFI,5,0),1,0)*Table_NFI[[#This Row],[Clothes Kit]],Table_NFI[Clothes Kit])</f>
        <v>0</v>
      </c>
      <c r="AG457" s="264">
        <f>IF(NFI_Expiration=1,IF($A457&lt;VLOOKUP(P$5,NFI,5,0),1,0)*Table_NFI[[#This Row],[Plastic Bucket]],Table_NFI[Plastic Bucket])</f>
        <v>0</v>
      </c>
      <c r="AH457" s="264">
        <f>IF(NFI_Expiration=1,IF($A457&lt;VLOOKUP(Q$5,NFI,5,0),1,0)*Table_NFI[[#This Row],[Plastic Mat]],Table_NFI[Plastic Mat])*IF(Table_NFI[[#This Row],[Distribution Date]]&gt;"2014-04-01",1,2.5)</f>
        <v>0</v>
      </c>
      <c r="AI457" s="264">
        <f>IF(NFI_Expiration=1,IF($A457&lt;VLOOKUP(R$5,NFI,5,0),1,0)*Table_NFI[[#This Row],[Winter Clothes Adult]],Table_NFI[Winter Clothes Adult])</f>
        <v>0</v>
      </c>
      <c r="AJ457" s="264">
        <f>IF(NFI_Expiration=1,IF($A457&lt;VLOOKUP(S$5,NFI,5,0),1,0)*Table_NFI[[#This Row],[Winter Clothes Children]],Table_NFI[Winter Clothes Children])</f>
        <v>0</v>
      </c>
      <c r="AK457" s="264">
        <f>IF(NFI_Expiration=1,IF($A457&lt;VLOOKUP(T$5,NFI,5,0),1,0)*Table_NFI[[#This Row],[Winter Items Other]],Table_NFI[Winter Items Other])</f>
        <v>0</v>
      </c>
      <c r="AL457" s="264">
        <f>IF(NFI_Expiration=1,IF($A457&lt;VLOOKUP(M$5,NFI,5,0),1,0)*Table_NFI[[#This Row],[Winter Blanket]],Table_NFI[[#This Row],[Winter Blanket]])</f>
        <v>0</v>
      </c>
      <c r="AM457" s="264">
        <f>IF(Table_NFI[[#This Row],[Winter Clothes Adult]]+Table_NFI[[#This Row],[Winter Clothes Children]]+Table_NFI[[#This Row],[Winter Items Other]]+Table_NFI[[#This Row],[Winter Blanket]]&gt;0,1,0)</f>
        <v>0</v>
      </c>
      <c r="AN457" s="296">
        <f>IF(NFI_Expiration=1,IF($A457&lt;VLOOKUP(V$5,NFI,5,0),1,0)*Table_NFI[[#This Row],[Jerry Can]],Table_NFI[Jerry Can])</f>
        <v>0</v>
      </c>
      <c r="AO457" s="296">
        <f>IF(NFI_Expiration=1,IF($A457&lt;VLOOKUP(V$5,NFI,5,0),1,0)*Table_NFI[[#This Row],[Shelter Tool kit]],Table_NFI[Shelter Tool kit])</f>
        <v>0</v>
      </c>
      <c r="AP457" s="296">
        <f>IF(NFI_Expiration=1,IF($A457&lt;VLOOKUP(V$5,NFI,5,0),1,0)*Table_NFI[[#This Row],[Tent]],Table_NFI[Tent])</f>
        <v>0</v>
      </c>
      <c r="AQ457" s="396" t="str">
        <f>IFERROR(VLOOKUP(Table_NFI[[#This Row],[Camp Name]],CL,2,0),"")</f>
        <v>MMR001CMP055</v>
      </c>
      <c r="AR457" s="702">
        <f ca="1">IF(Table_NFI[[#This Row],[Pcode]]="","",IF(OFFSET(CampList[Opening Date],MATCH(Table_NFI[[#This Row],[Pcode]],CampList[CP_Pcode],0)-1,0,1,1)&gt;=NFI_Monitor_Date,1,0))</f>
        <v>0</v>
      </c>
      <c r="AS457" s="396" t="str">
        <f>IFERROR(VLOOKUP(Table_NFI[[#This Row],[Camp Name]],CL,3,0),"")</f>
        <v>Open</v>
      </c>
      <c r="AT457" s="264" t="str">
        <f ca="1">IF(Table_NFI[[#This Row],[Pcode]]="","",OFFSET(CampList[Priority],MATCH(Table_NFI[[#This Row],[Pcode]],CampList[CP_Pcode],0)-1,0,1,1))</f>
        <v>P4</v>
      </c>
      <c r="AU457" s="263">
        <f>IFERROR(Table_NFI[[#This Row],[Kitchen Set]]/VLOOKUP(Table_NFI[[#This Row],[Camp Name]],CL,4,0),"")</f>
        <v>3.1684133560809166E-4</v>
      </c>
      <c r="AV457" s="390" t="s">
        <v>1087</v>
      </c>
      <c r="AW457" s="392"/>
      <c r="AX457" s="399"/>
      <c r="AY457" s="399"/>
      <c r="AZ457" s="399"/>
      <c r="BA457" s="399"/>
      <c r="BB457" s="399"/>
      <c r="BC457" s="399"/>
      <c r="BD457" s="399"/>
      <c r="BE457" s="399"/>
      <c r="BF457" s="399"/>
      <c r="BG457" s="399"/>
      <c r="BH457" s="399"/>
      <c r="BI457" s="399"/>
      <c r="BJ457" s="399"/>
      <c r="BK457" s="399"/>
      <c r="BL457" s="399"/>
      <c r="BM457" s="399"/>
      <c r="BN457" s="399"/>
      <c r="BO457" s="399"/>
      <c r="BP457" s="399"/>
      <c r="BQ457" s="399"/>
      <c r="BR457" s="399"/>
      <c r="BS457" s="399"/>
      <c r="BT457" s="399"/>
      <c r="BU457" s="399"/>
      <c r="BV457" s="399"/>
      <c r="BW457" s="399"/>
      <c r="BX457" s="399"/>
      <c r="BY457" s="399"/>
      <c r="BZ457" s="399"/>
      <c r="CA457" s="399"/>
      <c r="CB457" s="399"/>
      <c r="CC457" s="399"/>
      <c r="CD457" s="399"/>
      <c r="CE457" s="399"/>
      <c r="CF457" s="399"/>
      <c r="CG457" s="399"/>
      <c r="CH457" s="399"/>
      <c r="CI457" s="399"/>
      <c r="CJ457" s="399"/>
      <c r="CK457" s="399"/>
      <c r="CL457" s="399"/>
      <c r="CM457" s="399"/>
      <c r="CN457" s="399"/>
      <c r="CO457" s="399"/>
      <c r="CP457" s="399"/>
      <c r="CQ457" s="399"/>
      <c r="CR457" s="399"/>
      <c r="CS457" s="399"/>
      <c r="CT457" s="399"/>
      <c r="CU457" s="399"/>
      <c r="CV457" s="399"/>
      <c r="CW457" s="399"/>
      <c r="CX457" s="399"/>
      <c r="CY457" s="399"/>
      <c r="CZ457" s="399"/>
      <c r="DA457" s="399"/>
      <c r="DB457" s="399"/>
      <c r="DC457" s="399"/>
      <c r="DD457" s="399"/>
      <c r="DE457" s="399"/>
      <c r="DF457" s="399"/>
      <c r="DG457" s="399"/>
      <c r="DH457" s="399"/>
      <c r="DI457" s="399"/>
      <c r="DJ457" s="399"/>
      <c r="DK457" s="399"/>
      <c r="DL457" s="399"/>
      <c r="DM457" s="399"/>
      <c r="DN457" s="399"/>
      <c r="DO457" s="399"/>
      <c r="DP457" s="399"/>
      <c r="DQ457" s="399"/>
    </row>
    <row r="458" spans="1:121" s="760" customFormat="1" ht="15" customHeight="1" x14ac:dyDescent="0.25">
      <c r="A458" s="266">
        <f t="shared" si="7"/>
        <v>36.06666666666667</v>
      </c>
      <c r="B458" s="389">
        <v>41774</v>
      </c>
      <c r="C458" s="390" t="s">
        <v>451</v>
      </c>
      <c r="D458" s="390" t="s">
        <v>451</v>
      </c>
      <c r="E458" s="390" t="s">
        <v>380</v>
      </c>
      <c r="F458" s="390" t="s">
        <v>5</v>
      </c>
      <c r="G458" s="390" t="s">
        <v>6</v>
      </c>
      <c r="H458" s="261"/>
      <c r="I458" s="261"/>
      <c r="J458" s="261"/>
      <c r="K458" s="261">
        <v>10</v>
      </c>
      <c r="L458" s="261">
        <v>4</v>
      </c>
      <c r="M458" s="261">
        <v>12</v>
      </c>
      <c r="N458" s="261">
        <v>4</v>
      </c>
      <c r="O458" s="261">
        <v>4</v>
      </c>
      <c r="P458" s="261">
        <v>4</v>
      </c>
      <c r="Q458" s="261">
        <v>12</v>
      </c>
      <c r="R458" s="261"/>
      <c r="S458" s="261"/>
      <c r="T458" s="261"/>
      <c r="U458" s="261"/>
      <c r="V458" s="762"/>
      <c r="W458" s="261"/>
      <c r="X458" s="261"/>
      <c r="Y458" s="264">
        <f>IF(NFI_Expiration=1,IF($A458&lt;VLOOKUP(H$5,NFI,5,0),1,0)*Table_NFI[[#This Row],[Hygiene Kit]],Table_NFI[Hygiene Kit])</f>
        <v>0</v>
      </c>
      <c r="Z458" s="264">
        <f>IF(NFI_Expiration=1,IF($A458&lt;VLOOKUP(I$5,NFI,5,0),1,0)*Table_NFI[[#This Row],[NFI Core Kit]],Table_NFI[NFI Core Kit])</f>
        <v>0</v>
      </c>
      <c r="AA458" s="264">
        <f>IF(NFI_Expiration=1,IF($A458&lt;VLOOKUP(J$5,NFI,5,0),1,0)*Table_NFI[[#This Row],[Sanitary Kit]],Table_NFI[Sanitary Kit])</f>
        <v>0</v>
      </c>
      <c r="AB458" s="264">
        <f>IF(NFI_Expiration=1,IF($A458&lt;VLOOKUP(K$5,NFI,5,0),1,0)*Table_NFI[[#This Row],[Mosquito net]],Table_NFI[Mosquito net])</f>
        <v>0</v>
      </c>
      <c r="AC458" s="264">
        <f>IF(NFI_Expiration=1,IF($A458&lt;VLOOKUP(L$5,NFI,5,0),1,0)*Table_NFI[[#This Row],[Tarpaulin]],Table_NFI[[#This Row],[Tarpaulin]])</f>
        <v>0</v>
      </c>
      <c r="AD458" s="264">
        <f>IF(NFI_Expiration=1,IF($A458&lt;VLOOKUP(M$5,NFI,5,0),1,0)*Table_NFI[[#This Row],[Blanket]],Table_NFI[[#This Row],[Blanket]])</f>
        <v>0</v>
      </c>
      <c r="AE458" s="264">
        <f>IF(NFI_Expiration=1,IF($A458&lt;VLOOKUP(N$5,NFI,5,0),1,0)*Table_NFI[[#This Row],[Kitchen Set]],Table_NFI[Kitchen Set])</f>
        <v>0</v>
      </c>
      <c r="AF458" s="264">
        <f>IF(NFI_Expiration=1,IF($A458&lt;VLOOKUP(O$5,NFI,5,0),1,0)*Table_NFI[[#This Row],[Clothes Kit]],Table_NFI[Clothes Kit])</f>
        <v>0</v>
      </c>
      <c r="AG458" s="264">
        <f>IF(NFI_Expiration=1,IF($A458&lt;VLOOKUP(P$5,NFI,5,0),1,0)*Table_NFI[[#This Row],[Plastic Bucket]],Table_NFI[Plastic Bucket])</f>
        <v>0</v>
      </c>
      <c r="AH458" s="264">
        <f>IF(NFI_Expiration=1,IF($A458&lt;VLOOKUP(Q$5,NFI,5,0),1,0)*Table_NFI[[#This Row],[Plastic Mat]],Table_NFI[Plastic Mat])*IF(Table_NFI[[#This Row],[Distribution Date]]&gt;"2014-04-01",1,2.5)</f>
        <v>0</v>
      </c>
      <c r="AI458" s="264">
        <f>IF(NFI_Expiration=1,IF($A458&lt;VLOOKUP(R$5,NFI,5,0),1,0)*Table_NFI[[#This Row],[Winter Clothes Adult]],Table_NFI[Winter Clothes Adult])</f>
        <v>0</v>
      </c>
      <c r="AJ458" s="264">
        <f>IF(NFI_Expiration=1,IF($A458&lt;VLOOKUP(S$5,NFI,5,0),1,0)*Table_NFI[[#This Row],[Winter Clothes Children]],Table_NFI[Winter Clothes Children])</f>
        <v>0</v>
      </c>
      <c r="AK458" s="264">
        <f>IF(NFI_Expiration=1,IF($A458&lt;VLOOKUP(T$5,NFI,5,0),1,0)*Table_NFI[[#This Row],[Winter Items Other]],Table_NFI[Winter Items Other])</f>
        <v>0</v>
      </c>
      <c r="AL458" s="264">
        <f>IF(NFI_Expiration=1,IF($A458&lt;VLOOKUP(M$5,NFI,5,0),1,0)*Table_NFI[[#This Row],[Winter Blanket]],Table_NFI[[#This Row],[Winter Blanket]])</f>
        <v>0</v>
      </c>
      <c r="AM458" s="264">
        <f>IF(Table_NFI[[#This Row],[Winter Clothes Adult]]+Table_NFI[[#This Row],[Winter Clothes Children]]+Table_NFI[[#This Row],[Winter Items Other]]+Table_NFI[[#This Row],[Winter Blanket]]&gt;0,1,0)</f>
        <v>0</v>
      </c>
      <c r="AN458" s="296">
        <f>IF(NFI_Expiration=1,IF($A458&lt;VLOOKUP(V$5,NFI,5,0),1,0)*Table_NFI[[#This Row],[Jerry Can]],Table_NFI[Jerry Can])</f>
        <v>0</v>
      </c>
      <c r="AO458" s="296">
        <f>IF(NFI_Expiration=1,IF($A458&lt;VLOOKUP(V$5,NFI,5,0),1,0)*Table_NFI[[#This Row],[Shelter Tool kit]],Table_NFI[Shelter Tool kit])</f>
        <v>0</v>
      </c>
      <c r="AP458" s="296">
        <f>IF(NFI_Expiration=1,IF($A458&lt;VLOOKUP(V$5,NFI,5,0),1,0)*Table_NFI[[#This Row],[Tent]],Table_NFI[Tent])</f>
        <v>0</v>
      </c>
      <c r="AQ458" s="396" t="str">
        <f>IFERROR(VLOOKUP(Table_NFI[[#This Row],[Camp Name]],CL,2,0),"")</f>
        <v>MMR001CMP050</v>
      </c>
      <c r="AR458" s="702">
        <f ca="1">IF(Table_NFI[[#This Row],[Pcode]]="","",IF(OFFSET(CampList[Opening Date],MATCH(Table_NFI[[#This Row],[Pcode]],CampList[CP_Pcode],0)-1,0,1,1)&gt;=NFI_Monitor_Date,1,0))</f>
        <v>0</v>
      </c>
      <c r="AS458" s="396" t="str">
        <f>IFERROR(VLOOKUP(Table_NFI[[#This Row],[Camp Name]],CL,3,0),"")</f>
        <v>Open</v>
      </c>
      <c r="AT458" s="264" t="str">
        <f ca="1">IF(Table_NFI[[#This Row],[Pcode]]="","",OFFSET(CampList[Priority],MATCH(Table_NFI[[#This Row],[Pcode]],CampList[CP_Pcode],0)-1,0,1,1))</f>
        <v>P4</v>
      </c>
      <c r="AU458" s="263">
        <f>IFERROR(Table_NFI[[#This Row],[Kitchen Set]]/VLOOKUP(Table_NFI[[#This Row],[Camp Name]],CL,4,0),"")</f>
        <v>9.7924010967489225E-5</v>
      </c>
      <c r="AV458" s="390" t="s">
        <v>1087</v>
      </c>
      <c r="AW458" s="392"/>
      <c r="AX458" s="399"/>
      <c r="AY458" s="399"/>
      <c r="AZ458" s="399"/>
      <c r="BA458" s="399"/>
      <c r="BB458" s="399"/>
      <c r="BC458" s="399"/>
      <c r="BD458" s="399"/>
      <c r="BE458" s="399"/>
      <c r="BF458" s="399"/>
      <c r="BG458" s="399"/>
      <c r="BH458" s="399"/>
      <c r="BI458" s="399"/>
      <c r="BJ458" s="399"/>
      <c r="BK458" s="399"/>
      <c r="BL458" s="399"/>
      <c r="BM458" s="399"/>
      <c r="BN458" s="399"/>
      <c r="BO458" s="399"/>
      <c r="BP458" s="399"/>
      <c r="BQ458" s="399"/>
      <c r="BR458" s="399"/>
      <c r="BS458" s="399"/>
      <c r="BT458" s="399"/>
      <c r="BU458" s="399"/>
      <c r="BV458" s="399"/>
      <c r="BW458" s="399"/>
      <c r="BX458" s="399"/>
      <c r="BY458" s="399"/>
      <c r="BZ458" s="399"/>
      <c r="CA458" s="399"/>
      <c r="CB458" s="399"/>
      <c r="CC458" s="399"/>
      <c r="CD458" s="399"/>
      <c r="CE458" s="399"/>
      <c r="CF458" s="399"/>
      <c r="CG458" s="399"/>
      <c r="CH458" s="399"/>
      <c r="CI458" s="399"/>
      <c r="CJ458" s="399"/>
      <c r="CK458" s="399"/>
      <c r="CL458" s="399"/>
      <c r="CM458" s="399"/>
      <c r="CN458" s="399"/>
      <c r="CO458" s="399"/>
      <c r="CP458" s="399"/>
      <c r="CQ458" s="399"/>
      <c r="CR458" s="399"/>
      <c r="CS458" s="399"/>
      <c r="CT458" s="399"/>
      <c r="CU458" s="399"/>
      <c r="CV458" s="399"/>
      <c r="CW458" s="399"/>
      <c r="CX458" s="399"/>
      <c r="CY458" s="399"/>
      <c r="CZ458" s="399"/>
      <c r="DA458" s="399"/>
      <c r="DB458" s="399"/>
      <c r="DC458" s="399"/>
      <c r="DD458" s="399"/>
      <c r="DE458" s="399"/>
      <c r="DF458" s="399"/>
      <c r="DG458" s="399"/>
      <c r="DH458" s="399"/>
      <c r="DI458" s="399"/>
      <c r="DJ458" s="399"/>
      <c r="DK458" s="399"/>
      <c r="DL458" s="399"/>
      <c r="DM458" s="399"/>
      <c r="DN458" s="399"/>
      <c r="DO458" s="399"/>
      <c r="DP458" s="399"/>
      <c r="DQ458" s="399"/>
    </row>
    <row r="459" spans="1:121" s="760" customFormat="1" ht="15" customHeight="1" x14ac:dyDescent="0.25">
      <c r="A459" s="266">
        <f t="shared" si="7"/>
        <v>36.06666666666667</v>
      </c>
      <c r="B459" s="389">
        <v>41774</v>
      </c>
      <c r="C459" s="390" t="s">
        <v>451</v>
      </c>
      <c r="D459" s="390" t="s">
        <v>451</v>
      </c>
      <c r="E459" s="390" t="s">
        <v>380</v>
      </c>
      <c r="F459" s="390" t="s">
        <v>151</v>
      </c>
      <c r="G459" s="390" t="s">
        <v>884</v>
      </c>
      <c r="H459" s="261"/>
      <c r="I459" s="261"/>
      <c r="J459" s="261">
        <v>10</v>
      </c>
      <c r="K459" s="261">
        <v>10</v>
      </c>
      <c r="L459" s="261">
        <v>5</v>
      </c>
      <c r="M459" s="261">
        <v>15</v>
      </c>
      <c r="N459" s="261">
        <v>5</v>
      </c>
      <c r="O459" s="261">
        <v>5</v>
      </c>
      <c r="P459" s="261">
        <v>5</v>
      </c>
      <c r="Q459" s="261">
        <v>20</v>
      </c>
      <c r="R459" s="261"/>
      <c r="S459" s="261"/>
      <c r="T459" s="261"/>
      <c r="U459" s="261"/>
      <c r="V459" s="762"/>
      <c r="W459" s="261"/>
      <c r="X459" s="261"/>
      <c r="Y459" s="264">
        <f>IF(NFI_Expiration=1,IF($A459&lt;VLOOKUP(H$5,NFI,5,0),1,0)*Table_NFI[[#This Row],[Hygiene Kit]],Table_NFI[Hygiene Kit])</f>
        <v>0</v>
      </c>
      <c r="Z459" s="264">
        <f>IF(NFI_Expiration=1,IF($A459&lt;VLOOKUP(I$5,NFI,5,0),1,0)*Table_NFI[[#This Row],[NFI Core Kit]],Table_NFI[NFI Core Kit])</f>
        <v>0</v>
      </c>
      <c r="AA459" s="264">
        <f>IF(NFI_Expiration=1,IF($A459&lt;VLOOKUP(J$5,NFI,5,0),1,0)*Table_NFI[[#This Row],[Sanitary Kit]],Table_NFI[Sanitary Kit])</f>
        <v>0</v>
      </c>
      <c r="AB459" s="264">
        <f>IF(NFI_Expiration=1,IF($A459&lt;VLOOKUP(K$5,NFI,5,0),1,0)*Table_NFI[[#This Row],[Mosquito net]],Table_NFI[Mosquito net])</f>
        <v>0</v>
      </c>
      <c r="AC459" s="264">
        <f>IF(NFI_Expiration=1,IF($A459&lt;VLOOKUP(L$5,NFI,5,0),1,0)*Table_NFI[[#This Row],[Tarpaulin]],Table_NFI[[#This Row],[Tarpaulin]])</f>
        <v>0</v>
      </c>
      <c r="AD459" s="264">
        <f>IF(NFI_Expiration=1,IF($A459&lt;VLOOKUP(M$5,NFI,5,0),1,0)*Table_NFI[[#This Row],[Blanket]],Table_NFI[[#This Row],[Blanket]])</f>
        <v>0</v>
      </c>
      <c r="AE459" s="264">
        <f>IF(NFI_Expiration=1,IF($A459&lt;VLOOKUP(N$5,NFI,5,0),1,0)*Table_NFI[[#This Row],[Kitchen Set]],Table_NFI[Kitchen Set])</f>
        <v>0</v>
      </c>
      <c r="AF459" s="264">
        <f>IF(NFI_Expiration=1,IF($A459&lt;VLOOKUP(O$5,NFI,5,0),1,0)*Table_NFI[[#This Row],[Clothes Kit]],Table_NFI[Clothes Kit])</f>
        <v>0</v>
      </c>
      <c r="AG459" s="264">
        <f>IF(NFI_Expiration=1,IF($A459&lt;VLOOKUP(P$5,NFI,5,0),1,0)*Table_NFI[[#This Row],[Plastic Bucket]],Table_NFI[Plastic Bucket])</f>
        <v>0</v>
      </c>
      <c r="AH459" s="264">
        <f>IF(NFI_Expiration=1,IF($A459&lt;VLOOKUP(Q$5,NFI,5,0),1,0)*Table_NFI[[#This Row],[Plastic Mat]],Table_NFI[Plastic Mat])*IF(Table_NFI[[#This Row],[Distribution Date]]&gt;"2014-04-01",1,2.5)</f>
        <v>0</v>
      </c>
      <c r="AI459" s="264">
        <f>IF(NFI_Expiration=1,IF($A459&lt;VLOOKUP(R$5,NFI,5,0),1,0)*Table_NFI[[#This Row],[Winter Clothes Adult]],Table_NFI[Winter Clothes Adult])</f>
        <v>0</v>
      </c>
      <c r="AJ459" s="264">
        <f>IF(NFI_Expiration=1,IF($A459&lt;VLOOKUP(S$5,NFI,5,0),1,0)*Table_NFI[[#This Row],[Winter Clothes Children]],Table_NFI[Winter Clothes Children])</f>
        <v>0</v>
      </c>
      <c r="AK459" s="264">
        <f>IF(NFI_Expiration=1,IF($A459&lt;VLOOKUP(T$5,NFI,5,0),1,0)*Table_NFI[[#This Row],[Winter Items Other]],Table_NFI[Winter Items Other])</f>
        <v>0</v>
      </c>
      <c r="AL459" s="264">
        <f>IF(NFI_Expiration=1,IF($A459&lt;VLOOKUP(M$5,NFI,5,0),1,0)*Table_NFI[[#This Row],[Winter Blanket]],Table_NFI[[#This Row],[Winter Blanket]])</f>
        <v>0</v>
      </c>
      <c r="AM459" s="264">
        <f>IF(Table_NFI[[#This Row],[Winter Clothes Adult]]+Table_NFI[[#This Row],[Winter Clothes Children]]+Table_NFI[[#This Row],[Winter Items Other]]+Table_NFI[[#This Row],[Winter Blanket]]&gt;0,1,0)</f>
        <v>0</v>
      </c>
      <c r="AN459" s="296">
        <f>IF(NFI_Expiration=1,IF($A459&lt;VLOOKUP(V$5,NFI,5,0),1,0)*Table_NFI[[#This Row],[Jerry Can]],Table_NFI[Jerry Can])</f>
        <v>0</v>
      </c>
      <c r="AO459" s="296">
        <f>IF(NFI_Expiration=1,IF($A459&lt;VLOOKUP(V$5,NFI,5,0),1,0)*Table_NFI[[#This Row],[Shelter Tool kit]],Table_NFI[Shelter Tool kit])</f>
        <v>0</v>
      </c>
      <c r="AP459" s="296">
        <f>IF(NFI_Expiration=1,IF($A459&lt;VLOOKUP(V$5,NFI,5,0),1,0)*Table_NFI[[#This Row],[Tent]],Table_NFI[Tent])</f>
        <v>0</v>
      </c>
      <c r="AQ459" s="396" t="str">
        <f>IFERROR(VLOOKUP(Table_NFI[[#This Row],[Camp Name]],CL,2,0),"")</f>
        <v>MMR001CMP218</v>
      </c>
      <c r="AR459" s="702">
        <f ca="1">IF(Table_NFI[[#This Row],[Pcode]]="","",IF(OFFSET(CampList[Opening Date],MATCH(Table_NFI[[#This Row],[Pcode]],CampList[CP_Pcode],0)-1,0,1,1)&gt;=NFI_Monitor_Date,1,0))</f>
        <v>0</v>
      </c>
      <c r="AS459" s="396" t="str">
        <f>IFERROR(VLOOKUP(Table_NFI[[#This Row],[Camp Name]],CL,3,0),"")</f>
        <v>Open</v>
      </c>
      <c r="AT459" s="264" t="str">
        <f ca="1">IF(Table_NFI[[#This Row],[Pcode]]="","",OFFSET(CampList[Priority],MATCH(Table_NFI[[#This Row],[Pcode]],CampList[CP_Pcode],0)-1,0,1,1))</f>
        <v>P4</v>
      </c>
      <c r="AU459" s="263">
        <f>IFERROR(Table_NFI[[#This Row],[Kitchen Set]]/VLOOKUP(Table_NFI[[#This Row],[Camp Name]],CL,4,0),"")</f>
        <v>1.2034273611244825E-4</v>
      </c>
      <c r="AV459" s="390" t="s">
        <v>1087</v>
      </c>
      <c r="AW459" s="392"/>
      <c r="AX459" s="399"/>
      <c r="AY459" s="399"/>
      <c r="AZ459" s="399"/>
      <c r="BA459" s="399"/>
      <c r="BB459" s="399"/>
      <c r="BC459" s="399"/>
      <c r="BD459" s="399"/>
      <c r="BE459" s="399"/>
      <c r="BF459" s="399"/>
      <c r="BG459" s="399"/>
      <c r="BH459" s="399"/>
      <c r="BI459" s="399"/>
      <c r="BJ459" s="399"/>
      <c r="BK459" s="399"/>
      <c r="BL459" s="399"/>
      <c r="BM459" s="399"/>
      <c r="BN459" s="399"/>
      <c r="BO459" s="399"/>
      <c r="BP459" s="399"/>
      <c r="BQ459" s="399"/>
      <c r="BR459" s="399"/>
      <c r="BS459" s="399"/>
      <c r="BT459" s="399"/>
      <c r="BU459" s="399"/>
      <c r="BV459" s="399"/>
      <c r="BW459" s="399"/>
      <c r="BX459" s="399"/>
      <c r="BY459" s="399"/>
      <c r="BZ459" s="399"/>
      <c r="CA459" s="399"/>
      <c r="CB459" s="399"/>
      <c r="CC459" s="399"/>
      <c r="CD459" s="399"/>
      <c r="CE459" s="399"/>
      <c r="CF459" s="399"/>
      <c r="CG459" s="399"/>
      <c r="CH459" s="399"/>
      <c r="CI459" s="399"/>
      <c r="CJ459" s="399"/>
      <c r="CK459" s="399"/>
      <c r="CL459" s="399"/>
      <c r="CM459" s="399"/>
      <c r="CN459" s="399"/>
      <c r="CO459" s="399"/>
      <c r="CP459" s="399"/>
      <c r="CQ459" s="399"/>
      <c r="CR459" s="399"/>
      <c r="CS459" s="399"/>
      <c r="CT459" s="399"/>
      <c r="CU459" s="399"/>
      <c r="CV459" s="399"/>
      <c r="CW459" s="399"/>
      <c r="CX459" s="399"/>
      <c r="CY459" s="399"/>
      <c r="CZ459" s="399"/>
      <c r="DA459" s="399"/>
      <c r="DB459" s="399"/>
      <c r="DC459" s="399"/>
      <c r="DD459" s="399"/>
      <c r="DE459" s="399"/>
      <c r="DF459" s="399"/>
      <c r="DG459" s="399"/>
      <c r="DH459" s="399"/>
      <c r="DI459" s="399"/>
      <c r="DJ459" s="399"/>
      <c r="DK459" s="399"/>
      <c r="DL459" s="399"/>
      <c r="DM459" s="399"/>
      <c r="DN459" s="399"/>
      <c r="DO459" s="399"/>
      <c r="DP459" s="399"/>
      <c r="DQ459" s="399"/>
    </row>
    <row r="460" spans="1:121" s="393" customFormat="1" ht="14.45" customHeight="1" x14ac:dyDescent="0.25">
      <c r="A460" s="266">
        <f t="shared" si="7"/>
        <v>36.1</v>
      </c>
      <c r="B460" s="389">
        <v>41773</v>
      </c>
      <c r="C460" s="390" t="s">
        <v>451</v>
      </c>
      <c r="D460" s="390" t="s">
        <v>451</v>
      </c>
      <c r="E460" s="390" t="s">
        <v>380</v>
      </c>
      <c r="F460" s="390" t="s">
        <v>5</v>
      </c>
      <c r="G460" s="390" t="s">
        <v>6</v>
      </c>
      <c r="H460" s="261"/>
      <c r="I460" s="261"/>
      <c r="J460" s="261">
        <v>11</v>
      </c>
      <c r="K460" s="261">
        <v>12</v>
      </c>
      <c r="L460" s="261">
        <v>4</v>
      </c>
      <c r="M460" s="261">
        <v>12</v>
      </c>
      <c r="N460" s="261">
        <v>4</v>
      </c>
      <c r="O460" s="261">
        <v>4</v>
      </c>
      <c r="P460" s="261">
        <v>4</v>
      </c>
      <c r="Q460" s="261">
        <v>15</v>
      </c>
      <c r="R460" s="261"/>
      <c r="S460" s="261"/>
      <c r="T460" s="261"/>
      <c r="U460" s="261"/>
      <c r="V460" s="762"/>
      <c r="W460" s="261"/>
      <c r="X460" s="261"/>
      <c r="Y460" s="264">
        <f>IF(NFI_Expiration=1,IF($A460&lt;VLOOKUP(H$5,NFI,5,0),1,0)*Table_NFI[[#This Row],[Hygiene Kit]],Table_NFI[Hygiene Kit])</f>
        <v>0</v>
      </c>
      <c r="Z460" s="264">
        <f>IF(NFI_Expiration=1,IF($A460&lt;VLOOKUP(I$5,NFI,5,0),1,0)*Table_NFI[[#This Row],[NFI Core Kit]],Table_NFI[NFI Core Kit])</f>
        <v>0</v>
      </c>
      <c r="AA460" s="264">
        <f>IF(NFI_Expiration=1,IF($A460&lt;VLOOKUP(J$5,NFI,5,0),1,0)*Table_NFI[[#This Row],[Sanitary Kit]],Table_NFI[Sanitary Kit])</f>
        <v>0</v>
      </c>
      <c r="AB460" s="264">
        <f>IF(NFI_Expiration=1,IF($A460&lt;VLOOKUP(K$5,NFI,5,0),1,0)*Table_NFI[[#This Row],[Mosquito net]],Table_NFI[Mosquito net])</f>
        <v>0</v>
      </c>
      <c r="AC460" s="264">
        <f>IF(NFI_Expiration=1,IF($A460&lt;VLOOKUP(L$5,NFI,5,0),1,0)*Table_NFI[[#This Row],[Tarpaulin]],Table_NFI[[#This Row],[Tarpaulin]])</f>
        <v>0</v>
      </c>
      <c r="AD460" s="264">
        <f>IF(NFI_Expiration=1,IF($A460&lt;VLOOKUP(M$5,NFI,5,0),1,0)*Table_NFI[[#This Row],[Blanket]],Table_NFI[[#This Row],[Blanket]])</f>
        <v>0</v>
      </c>
      <c r="AE460" s="264">
        <f>IF(NFI_Expiration=1,IF($A460&lt;VLOOKUP(N$5,NFI,5,0),1,0)*Table_NFI[[#This Row],[Kitchen Set]],Table_NFI[Kitchen Set])</f>
        <v>0</v>
      </c>
      <c r="AF460" s="264">
        <f>IF(NFI_Expiration=1,IF($A460&lt;VLOOKUP(O$5,NFI,5,0),1,0)*Table_NFI[[#This Row],[Clothes Kit]],Table_NFI[Clothes Kit])</f>
        <v>0</v>
      </c>
      <c r="AG460" s="264">
        <f>IF(NFI_Expiration=1,IF($A460&lt;VLOOKUP(P$5,NFI,5,0),1,0)*Table_NFI[[#This Row],[Plastic Bucket]],Table_NFI[Plastic Bucket])</f>
        <v>0</v>
      </c>
      <c r="AH460" s="264">
        <f>IF(NFI_Expiration=1,IF($A460&lt;VLOOKUP(Q$5,NFI,5,0),1,0)*Table_NFI[[#This Row],[Plastic Mat]],Table_NFI[Plastic Mat])*IF(Table_NFI[[#This Row],[Distribution Date]]&gt;"2014-04-01",1,2.5)</f>
        <v>0</v>
      </c>
      <c r="AI460" s="264">
        <f>IF(NFI_Expiration=1,IF($A460&lt;VLOOKUP(R$5,NFI,5,0),1,0)*Table_NFI[[#This Row],[Winter Clothes Adult]],Table_NFI[Winter Clothes Adult])</f>
        <v>0</v>
      </c>
      <c r="AJ460" s="264">
        <f>IF(NFI_Expiration=1,IF($A460&lt;VLOOKUP(S$5,NFI,5,0),1,0)*Table_NFI[[#This Row],[Winter Clothes Children]],Table_NFI[Winter Clothes Children])</f>
        <v>0</v>
      </c>
      <c r="AK460" s="264">
        <f>IF(NFI_Expiration=1,IF($A460&lt;VLOOKUP(T$5,NFI,5,0),1,0)*Table_NFI[[#This Row],[Winter Items Other]],Table_NFI[Winter Items Other])</f>
        <v>0</v>
      </c>
      <c r="AL460" s="264">
        <f>IF(NFI_Expiration=1,IF($A460&lt;VLOOKUP(M$5,NFI,5,0),1,0)*Table_NFI[[#This Row],[Winter Blanket]],Table_NFI[[#This Row],[Winter Blanket]])</f>
        <v>0</v>
      </c>
      <c r="AM460" s="264">
        <f>IF(Table_NFI[[#This Row],[Winter Clothes Adult]]+Table_NFI[[#This Row],[Winter Clothes Children]]+Table_NFI[[#This Row],[Winter Items Other]]+Table_NFI[[#This Row],[Winter Blanket]]&gt;0,1,0)</f>
        <v>0</v>
      </c>
      <c r="AN460" s="296">
        <f>IF(NFI_Expiration=1,IF($A460&lt;VLOOKUP(V$5,NFI,5,0),1,0)*Table_NFI[[#This Row],[Jerry Can]],Table_NFI[Jerry Can])</f>
        <v>0</v>
      </c>
      <c r="AO460" s="296">
        <f>IF(NFI_Expiration=1,IF($A460&lt;VLOOKUP(V$5,NFI,5,0),1,0)*Table_NFI[[#This Row],[Shelter Tool kit]],Table_NFI[Shelter Tool kit])</f>
        <v>0</v>
      </c>
      <c r="AP460" s="296">
        <f>IF(NFI_Expiration=1,IF($A460&lt;VLOOKUP(V$5,NFI,5,0),1,0)*Table_NFI[[#This Row],[Tent]],Table_NFI[Tent])</f>
        <v>0</v>
      </c>
      <c r="AQ460" s="396" t="str">
        <f>IFERROR(VLOOKUP(Table_NFI[[#This Row],[Camp Name]],CL,2,0),"")</f>
        <v>MMR001CMP050</v>
      </c>
      <c r="AR460" s="702">
        <f ca="1">IF(Table_NFI[[#This Row],[Pcode]]="","",IF(OFFSET(CampList[Opening Date],MATCH(Table_NFI[[#This Row],[Pcode]],CampList[CP_Pcode],0)-1,0,1,1)&gt;=NFI_Monitor_Date,1,0))</f>
        <v>0</v>
      </c>
      <c r="AS460" s="396" t="str">
        <f>IFERROR(VLOOKUP(Table_NFI[[#This Row],[Camp Name]],CL,3,0),"")</f>
        <v>Open</v>
      </c>
      <c r="AT460" s="264" t="str">
        <f ca="1">IF(Table_NFI[[#This Row],[Pcode]]="","",OFFSET(CampList[Priority],MATCH(Table_NFI[[#This Row],[Pcode]],CampList[CP_Pcode],0)-1,0,1,1))</f>
        <v>P4</v>
      </c>
      <c r="AU460" s="263">
        <f>IFERROR(Table_NFI[[#This Row],[Kitchen Set]]/VLOOKUP(Table_NFI[[#This Row],[Camp Name]],CL,4,0),"")</f>
        <v>9.7924010967489225E-5</v>
      </c>
      <c r="AV460" s="390" t="s">
        <v>1087</v>
      </c>
      <c r="AW460" s="392"/>
      <c r="AX460" s="399"/>
      <c r="AY460" s="399"/>
      <c r="AZ460" s="399"/>
      <c r="BA460" s="399"/>
      <c r="BB460" s="399"/>
      <c r="BC460" s="399"/>
      <c r="BD460" s="399"/>
      <c r="BE460" s="399"/>
      <c r="BF460" s="399"/>
      <c r="BG460" s="399"/>
      <c r="BH460" s="399"/>
      <c r="BI460" s="399"/>
      <c r="BJ460" s="399"/>
      <c r="BK460" s="399"/>
      <c r="BL460" s="399"/>
      <c r="BM460" s="399"/>
      <c r="BN460" s="399"/>
      <c r="BO460" s="399"/>
      <c r="BP460" s="399"/>
      <c r="BQ460" s="399"/>
      <c r="BR460" s="399"/>
      <c r="BS460" s="399"/>
      <c r="BT460" s="399"/>
      <c r="BU460" s="399"/>
      <c r="BV460" s="399"/>
      <c r="BW460" s="399"/>
      <c r="BX460" s="399"/>
      <c r="BY460" s="399"/>
      <c r="BZ460" s="399"/>
      <c r="CA460" s="399"/>
      <c r="CB460" s="399"/>
      <c r="CC460" s="399"/>
      <c r="CD460" s="399"/>
      <c r="CE460" s="399"/>
      <c r="CF460" s="399"/>
      <c r="CG460" s="399"/>
      <c r="CH460" s="399"/>
      <c r="CI460" s="399"/>
      <c r="CJ460" s="399"/>
      <c r="CK460" s="399"/>
      <c r="CL460" s="399"/>
      <c r="CM460" s="399"/>
      <c r="CN460" s="399"/>
      <c r="CO460" s="399"/>
      <c r="CP460" s="399"/>
      <c r="CQ460" s="399"/>
      <c r="CR460" s="399"/>
      <c r="CS460" s="399"/>
      <c r="CT460" s="399"/>
      <c r="CU460" s="399"/>
      <c r="CV460" s="399"/>
      <c r="CW460" s="399"/>
      <c r="CX460" s="399"/>
      <c r="CY460" s="399"/>
      <c r="CZ460" s="399"/>
      <c r="DA460" s="399"/>
      <c r="DB460" s="399"/>
      <c r="DC460" s="399"/>
      <c r="DD460" s="399"/>
      <c r="DE460" s="399"/>
      <c r="DF460" s="399"/>
      <c r="DG460" s="399"/>
      <c r="DH460" s="399"/>
      <c r="DI460" s="399"/>
      <c r="DJ460" s="399"/>
      <c r="DK460" s="399"/>
      <c r="DL460" s="399"/>
      <c r="DM460" s="399"/>
      <c r="DN460" s="399"/>
      <c r="DO460" s="399"/>
      <c r="DP460" s="399"/>
      <c r="DQ460" s="399"/>
    </row>
    <row r="461" spans="1:121" s="760" customFormat="1" ht="14.45" customHeight="1" x14ac:dyDescent="0.25">
      <c r="A461" s="266">
        <f t="shared" si="7"/>
        <v>36.1</v>
      </c>
      <c r="B461" s="389">
        <v>41773</v>
      </c>
      <c r="C461" s="390" t="s">
        <v>451</v>
      </c>
      <c r="D461" s="390" t="s">
        <v>451</v>
      </c>
      <c r="E461" s="390" t="s">
        <v>380</v>
      </c>
      <c r="F461" s="390" t="s">
        <v>185</v>
      </c>
      <c r="G461" s="390" t="s">
        <v>209</v>
      </c>
      <c r="H461" s="261"/>
      <c r="I461" s="261"/>
      <c r="J461" s="261">
        <v>5</v>
      </c>
      <c r="K461" s="261">
        <v>6</v>
      </c>
      <c r="L461" s="261">
        <v>32</v>
      </c>
      <c r="M461" s="261">
        <v>6</v>
      </c>
      <c r="N461" s="261">
        <v>2</v>
      </c>
      <c r="O461" s="261">
        <v>2</v>
      </c>
      <c r="P461" s="261">
        <v>2</v>
      </c>
      <c r="Q461" s="261">
        <v>10</v>
      </c>
      <c r="R461" s="261"/>
      <c r="S461" s="261"/>
      <c r="T461" s="261"/>
      <c r="U461" s="261"/>
      <c r="V461" s="762"/>
      <c r="W461" s="762"/>
      <c r="X461" s="762"/>
      <c r="Y461" s="264">
        <f>IF(NFI_Expiration=1,IF($A461&lt;VLOOKUP(H$5,NFI,5,0),1,0)*Table_NFI[[#This Row],[Hygiene Kit]],Table_NFI[Hygiene Kit])</f>
        <v>0</v>
      </c>
      <c r="Z461" s="264">
        <f>IF(NFI_Expiration=1,IF($A461&lt;VLOOKUP(I$5,NFI,5,0),1,0)*Table_NFI[[#This Row],[NFI Core Kit]],Table_NFI[NFI Core Kit])</f>
        <v>0</v>
      </c>
      <c r="AA461" s="264">
        <f>IF(NFI_Expiration=1,IF($A461&lt;VLOOKUP(J$5,NFI,5,0),1,0)*Table_NFI[[#This Row],[Sanitary Kit]],Table_NFI[Sanitary Kit])</f>
        <v>0</v>
      </c>
      <c r="AB461" s="264">
        <f>IF(NFI_Expiration=1,IF($A461&lt;VLOOKUP(K$5,NFI,5,0),1,0)*Table_NFI[[#This Row],[Mosquito net]],Table_NFI[Mosquito net])</f>
        <v>0</v>
      </c>
      <c r="AC461" s="264">
        <f>IF(NFI_Expiration=1,IF($A461&lt;VLOOKUP(L$5,NFI,5,0),1,0)*Table_NFI[[#This Row],[Tarpaulin]],Table_NFI[[#This Row],[Tarpaulin]])</f>
        <v>0</v>
      </c>
      <c r="AD461" s="264">
        <f>IF(NFI_Expiration=1,IF($A461&lt;VLOOKUP(M$5,NFI,5,0),1,0)*Table_NFI[[#This Row],[Blanket]],Table_NFI[[#This Row],[Blanket]])</f>
        <v>0</v>
      </c>
      <c r="AE461" s="264">
        <f>IF(NFI_Expiration=1,IF($A461&lt;VLOOKUP(N$5,NFI,5,0),1,0)*Table_NFI[[#This Row],[Kitchen Set]],Table_NFI[Kitchen Set])</f>
        <v>0</v>
      </c>
      <c r="AF461" s="264">
        <f>IF(NFI_Expiration=1,IF($A461&lt;VLOOKUP(O$5,NFI,5,0),1,0)*Table_NFI[[#This Row],[Clothes Kit]],Table_NFI[Clothes Kit])</f>
        <v>0</v>
      </c>
      <c r="AG461" s="264">
        <f>IF(NFI_Expiration=1,IF($A461&lt;VLOOKUP(P$5,NFI,5,0),1,0)*Table_NFI[[#This Row],[Plastic Bucket]],Table_NFI[Plastic Bucket])</f>
        <v>0</v>
      </c>
      <c r="AH461" s="264">
        <f>IF(NFI_Expiration=1,IF($A461&lt;VLOOKUP(Q$5,NFI,5,0),1,0)*Table_NFI[[#This Row],[Plastic Mat]],Table_NFI[Plastic Mat])*IF(Table_NFI[[#This Row],[Distribution Date]]&gt;"2014-04-01",1,2.5)</f>
        <v>0</v>
      </c>
      <c r="AI461" s="264">
        <f>IF(NFI_Expiration=1,IF($A461&lt;VLOOKUP(R$5,NFI,5,0),1,0)*Table_NFI[[#This Row],[Winter Clothes Adult]],Table_NFI[Winter Clothes Adult])</f>
        <v>0</v>
      </c>
      <c r="AJ461" s="264">
        <f>IF(NFI_Expiration=1,IF($A461&lt;VLOOKUP(S$5,NFI,5,0),1,0)*Table_NFI[[#This Row],[Winter Clothes Children]],Table_NFI[Winter Clothes Children])</f>
        <v>0</v>
      </c>
      <c r="AK461" s="264">
        <f>IF(NFI_Expiration=1,IF($A461&lt;VLOOKUP(T$5,NFI,5,0),1,0)*Table_NFI[[#This Row],[Winter Items Other]],Table_NFI[Winter Items Other])</f>
        <v>0</v>
      </c>
      <c r="AL461" s="264">
        <f>IF(NFI_Expiration=1,IF($A461&lt;VLOOKUP(M$5,NFI,5,0),1,0)*Table_NFI[[#This Row],[Winter Blanket]],Table_NFI[[#This Row],[Winter Blanket]])</f>
        <v>0</v>
      </c>
      <c r="AM461" s="264">
        <f>IF(Table_NFI[[#This Row],[Winter Clothes Adult]]+Table_NFI[[#This Row],[Winter Clothes Children]]+Table_NFI[[#This Row],[Winter Items Other]]+Table_NFI[[#This Row],[Winter Blanket]]&gt;0,1,0)</f>
        <v>0</v>
      </c>
      <c r="AN461" s="296">
        <f>IF(NFI_Expiration=1,IF($A461&lt;VLOOKUP(V$5,NFI,5,0),1,0)*Table_NFI[[#This Row],[Jerry Can]],Table_NFI[Jerry Can])</f>
        <v>0</v>
      </c>
      <c r="AO461" s="296">
        <f>IF(NFI_Expiration=1,IF($A461&lt;VLOOKUP(V$5,NFI,5,0),1,0)*Table_NFI[[#This Row],[Shelter Tool kit]],Table_NFI[Shelter Tool kit])</f>
        <v>0</v>
      </c>
      <c r="AP461" s="296">
        <f>IF(NFI_Expiration=1,IF($A461&lt;VLOOKUP(V$5,NFI,5,0),1,0)*Table_NFI[[#This Row],[Tent]],Table_NFI[Tent])</f>
        <v>0</v>
      </c>
      <c r="AQ461" s="396" t="str">
        <f>IFERROR(VLOOKUP(Table_NFI[[#This Row],[Camp Name]],CL,2,0),"")</f>
        <v>MMR001CMP056</v>
      </c>
      <c r="AR461" s="702">
        <f ca="1">IF(Table_NFI[[#This Row],[Pcode]]="","",IF(OFFSET(CampList[Opening Date],MATCH(Table_NFI[[#This Row],[Pcode]],CampList[CP_Pcode],0)-1,0,1,1)&gt;=NFI_Monitor_Date,1,0))</f>
        <v>0</v>
      </c>
      <c r="AS461" s="396" t="str">
        <f>IFERROR(VLOOKUP(Table_NFI[[#This Row],[Camp Name]],CL,3,0),"")</f>
        <v>Open</v>
      </c>
      <c r="AT461" s="264" t="str">
        <f ca="1">IF(Table_NFI[[#This Row],[Pcode]]="","",OFFSET(CampList[Priority],MATCH(Table_NFI[[#This Row],[Pcode]],CampList[CP_Pcode],0)-1,0,1,1))</f>
        <v>P4</v>
      </c>
      <c r="AU461" s="263">
        <f>IFERROR(Table_NFI[[#This Row],[Kitchen Set]]/VLOOKUP(Table_NFI[[#This Row],[Camp Name]],CL,4,0),"")</f>
        <v>4.9146086742843099E-5</v>
      </c>
      <c r="AV461" s="390" t="s">
        <v>1087</v>
      </c>
      <c r="AW461" s="392"/>
      <c r="AX461" s="399"/>
      <c r="AY461" s="399"/>
      <c r="AZ461" s="399"/>
      <c r="BA461" s="399"/>
      <c r="BB461" s="399"/>
      <c r="BC461" s="399"/>
      <c r="BD461" s="399"/>
      <c r="BE461" s="399"/>
      <c r="BF461" s="399"/>
      <c r="BG461" s="399"/>
      <c r="BH461" s="399"/>
      <c r="BI461" s="399"/>
      <c r="BJ461" s="399"/>
      <c r="BK461" s="399"/>
      <c r="BL461" s="399"/>
      <c r="BM461" s="399"/>
      <c r="BN461" s="399"/>
      <c r="BO461" s="399"/>
      <c r="BP461" s="399"/>
      <c r="BQ461" s="399"/>
      <c r="BR461" s="399"/>
      <c r="BS461" s="399"/>
      <c r="BT461" s="399"/>
      <c r="BU461" s="399"/>
      <c r="BV461" s="399"/>
      <c r="BW461" s="399"/>
      <c r="BX461" s="399"/>
      <c r="BY461" s="399"/>
      <c r="BZ461" s="399"/>
      <c r="CA461" s="399"/>
      <c r="CB461" s="399"/>
      <c r="CC461" s="399"/>
      <c r="CD461" s="399"/>
      <c r="CE461" s="399"/>
      <c r="CF461" s="399"/>
      <c r="CG461" s="399"/>
      <c r="CH461" s="399"/>
      <c r="CI461" s="399"/>
      <c r="CJ461" s="399"/>
      <c r="CK461" s="399"/>
      <c r="CL461" s="399"/>
      <c r="CM461" s="399"/>
      <c r="CN461" s="399"/>
      <c r="CO461" s="399"/>
      <c r="CP461" s="399"/>
      <c r="CQ461" s="399"/>
      <c r="CR461" s="399"/>
      <c r="CS461" s="399"/>
      <c r="CT461" s="399"/>
      <c r="CU461" s="399"/>
      <c r="CV461" s="399"/>
      <c r="CW461" s="399"/>
      <c r="CX461" s="399"/>
      <c r="CY461" s="399"/>
      <c r="CZ461" s="399"/>
      <c r="DA461" s="399"/>
      <c r="DB461" s="399"/>
      <c r="DC461" s="399"/>
      <c r="DD461" s="399"/>
      <c r="DE461" s="399"/>
      <c r="DF461" s="399"/>
      <c r="DG461" s="399"/>
      <c r="DH461" s="399"/>
      <c r="DI461" s="399"/>
      <c r="DJ461" s="399"/>
      <c r="DK461" s="399"/>
      <c r="DL461" s="399"/>
      <c r="DM461" s="399"/>
      <c r="DN461" s="399"/>
      <c r="DO461" s="399"/>
      <c r="DP461" s="399"/>
      <c r="DQ461" s="399"/>
    </row>
    <row r="462" spans="1:121" s="760" customFormat="1" ht="14.45" customHeight="1" x14ac:dyDescent="0.25">
      <c r="A462" s="266">
        <f t="shared" si="7"/>
        <v>36.1</v>
      </c>
      <c r="B462" s="389">
        <v>41773</v>
      </c>
      <c r="C462" s="390" t="s">
        <v>451</v>
      </c>
      <c r="D462" s="390" t="s">
        <v>451</v>
      </c>
      <c r="E462" s="390" t="s">
        <v>380</v>
      </c>
      <c r="F462" s="390" t="s">
        <v>5</v>
      </c>
      <c r="G462" s="390" t="s">
        <v>24</v>
      </c>
      <c r="H462" s="261"/>
      <c r="I462" s="261"/>
      <c r="J462" s="261">
        <v>17</v>
      </c>
      <c r="K462" s="261">
        <v>108</v>
      </c>
      <c r="L462" s="261">
        <v>36</v>
      </c>
      <c r="M462" s="261">
        <v>108</v>
      </c>
      <c r="N462" s="261">
        <v>36</v>
      </c>
      <c r="O462" s="261">
        <v>36</v>
      </c>
      <c r="P462" s="261">
        <v>36</v>
      </c>
      <c r="Q462" s="261">
        <v>142</v>
      </c>
      <c r="R462" s="261"/>
      <c r="S462" s="261"/>
      <c r="T462" s="261"/>
      <c r="U462" s="261"/>
      <c r="V462" s="762"/>
      <c r="W462" s="261"/>
      <c r="X462" s="261"/>
      <c r="Y462" s="264">
        <f>IF(NFI_Expiration=1,IF($A462&lt;VLOOKUP(H$5,NFI,5,0),1,0)*Table_NFI[[#This Row],[Hygiene Kit]],Table_NFI[Hygiene Kit])</f>
        <v>0</v>
      </c>
      <c r="Z462" s="264">
        <f>IF(NFI_Expiration=1,IF($A462&lt;VLOOKUP(I$5,NFI,5,0),1,0)*Table_NFI[[#This Row],[NFI Core Kit]],Table_NFI[NFI Core Kit])</f>
        <v>0</v>
      </c>
      <c r="AA462" s="264">
        <f>IF(NFI_Expiration=1,IF($A462&lt;VLOOKUP(J$5,NFI,5,0),1,0)*Table_NFI[[#This Row],[Sanitary Kit]],Table_NFI[Sanitary Kit])</f>
        <v>0</v>
      </c>
      <c r="AB462" s="264">
        <f>IF(NFI_Expiration=1,IF($A462&lt;VLOOKUP(K$5,NFI,5,0),1,0)*Table_NFI[[#This Row],[Mosquito net]],Table_NFI[Mosquito net])</f>
        <v>0</v>
      </c>
      <c r="AC462" s="264">
        <f>IF(NFI_Expiration=1,IF($A462&lt;VLOOKUP(L$5,NFI,5,0),1,0)*Table_NFI[[#This Row],[Tarpaulin]],Table_NFI[[#This Row],[Tarpaulin]])</f>
        <v>0</v>
      </c>
      <c r="AD462" s="264">
        <f>IF(NFI_Expiration=1,IF($A462&lt;VLOOKUP(M$5,NFI,5,0),1,0)*Table_NFI[[#This Row],[Blanket]],Table_NFI[[#This Row],[Blanket]])</f>
        <v>0</v>
      </c>
      <c r="AE462" s="264">
        <f>IF(NFI_Expiration=1,IF($A462&lt;VLOOKUP(N$5,NFI,5,0),1,0)*Table_NFI[[#This Row],[Kitchen Set]],Table_NFI[Kitchen Set])</f>
        <v>0</v>
      </c>
      <c r="AF462" s="264">
        <f>IF(NFI_Expiration=1,IF($A462&lt;VLOOKUP(O$5,NFI,5,0),1,0)*Table_NFI[[#This Row],[Clothes Kit]],Table_NFI[Clothes Kit])</f>
        <v>0</v>
      </c>
      <c r="AG462" s="264">
        <f>IF(NFI_Expiration=1,IF($A462&lt;VLOOKUP(P$5,NFI,5,0),1,0)*Table_NFI[[#This Row],[Plastic Bucket]],Table_NFI[Plastic Bucket])</f>
        <v>0</v>
      </c>
      <c r="AH462" s="264">
        <f>IF(NFI_Expiration=1,IF($A462&lt;VLOOKUP(Q$5,NFI,5,0),1,0)*Table_NFI[[#This Row],[Plastic Mat]],Table_NFI[Plastic Mat])*IF(Table_NFI[[#This Row],[Distribution Date]]&gt;"2014-04-01",1,2.5)</f>
        <v>0</v>
      </c>
      <c r="AI462" s="264">
        <f>IF(NFI_Expiration=1,IF($A462&lt;VLOOKUP(R$5,NFI,5,0),1,0)*Table_NFI[[#This Row],[Winter Clothes Adult]],Table_NFI[Winter Clothes Adult])</f>
        <v>0</v>
      </c>
      <c r="AJ462" s="264">
        <f>IF(NFI_Expiration=1,IF($A462&lt;VLOOKUP(S$5,NFI,5,0),1,0)*Table_NFI[[#This Row],[Winter Clothes Children]],Table_NFI[Winter Clothes Children])</f>
        <v>0</v>
      </c>
      <c r="AK462" s="264">
        <f>IF(NFI_Expiration=1,IF($A462&lt;VLOOKUP(T$5,NFI,5,0),1,0)*Table_NFI[[#This Row],[Winter Items Other]],Table_NFI[Winter Items Other])</f>
        <v>0</v>
      </c>
      <c r="AL462" s="264">
        <f>IF(NFI_Expiration=1,IF($A462&lt;VLOOKUP(M$5,NFI,5,0),1,0)*Table_NFI[[#This Row],[Winter Blanket]],Table_NFI[[#This Row],[Winter Blanket]])</f>
        <v>0</v>
      </c>
      <c r="AM462" s="264">
        <f>IF(Table_NFI[[#This Row],[Winter Clothes Adult]]+Table_NFI[[#This Row],[Winter Clothes Children]]+Table_NFI[[#This Row],[Winter Items Other]]+Table_NFI[[#This Row],[Winter Blanket]]&gt;0,1,0)</f>
        <v>0</v>
      </c>
      <c r="AN462" s="296">
        <f>IF(NFI_Expiration=1,IF($A462&lt;VLOOKUP(V$5,NFI,5,0),1,0)*Table_NFI[[#This Row],[Jerry Can]],Table_NFI[Jerry Can])</f>
        <v>0</v>
      </c>
      <c r="AO462" s="296">
        <f>IF(NFI_Expiration=1,IF($A462&lt;VLOOKUP(V$5,NFI,5,0),1,0)*Table_NFI[[#This Row],[Shelter Tool kit]],Table_NFI[Shelter Tool kit])</f>
        <v>0</v>
      </c>
      <c r="AP462" s="296">
        <f>IF(NFI_Expiration=1,IF($A462&lt;VLOOKUP(V$5,NFI,5,0),1,0)*Table_NFI[[#This Row],[Tent]],Table_NFI[Tent])</f>
        <v>0</v>
      </c>
      <c r="AQ462" s="396" t="str">
        <f>IFERROR(VLOOKUP(Table_NFI[[#This Row],[Camp Name]],CL,2,0),"")</f>
        <v>MMR001CMP055</v>
      </c>
      <c r="AR462" s="702">
        <f ca="1">IF(Table_NFI[[#This Row],[Pcode]]="","",IF(OFFSET(CampList[Opening Date],MATCH(Table_NFI[[#This Row],[Pcode]],CampList[CP_Pcode],0)-1,0,1,1)&gt;=NFI_Monitor_Date,1,0))</f>
        <v>0</v>
      </c>
      <c r="AS462" s="396" t="str">
        <f>IFERROR(VLOOKUP(Table_NFI[[#This Row],[Camp Name]],CL,3,0),"")</f>
        <v>Open</v>
      </c>
      <c r="AT462" s="264" t="str">
        <f ca="1">IF(Table_NFI[[#This Row],[Pcode]]="","",OFFSET(CampList[Priority],MATCH(Table_NFI[[#This Row],[Pcode]],CampList[CP_Pcode],0)-1,0,1,1))</f>
        <v>P4</v>
      </c>
      <c r="AU462" s="263">
        <f>IFERROR(Table_NFI[[#This Row],[Kitchen Set]]/VLOOKUP(Table_NFI[[#This Row],[Camp Name]],CL,4,0),"")</f>
        <v>8.7740677553009995E-4</v>
      </c>
      <c r="AV462" s="390" t="s">
        <v>1087</v>
      </c>
      <c r="AW462" s="392"/>
      <c r="AX462" s="399"/>
      <c r="AY462" s="399"/>
      <c r="AZ462" s="399"/>
      <c r="BA462" s="399"/>
      <c r="BB462" s="399"/>
      <c r="BC462" s="399"/>
      <c r="BD462" s="399"/>
      <c r="BE462" s="399"/>
      <c r="BF462" s="399"/>
      <c r="BG462" s="399"/>
      <c r="BH462" s="399"/>
      <c r="BI462" s="399"/>
      <c r="BJ462" s="399"/>
      <c r="BK462" s="399"/>
      <c r="BL462" s="399"/>
      <c r="BM462" s="399"/>
      <c r="BN462" s="399"/>
      <c r="BO462" s="399"/>
      <c r="BP462" s="399"/>
      <c r="BQ462" s="399"/>
      <c r="BR462" s="399"/>
      <c r="BS462" s="399"/>
      <c r="BT462" s="399"/>
      <c r="BU462" s="399"/>
      <c r="BV462" s="399"/>
      <c r="BW462" s="399"/>
      <c r="BX462" s="399"/>
      <c r="BY462" s="399"/>
      <c r="BZ462" s="399"/>
      <c r="CA462" s="399"/>
      <c r="CB462" s="399"/>
      <c r="CC462" s="399"/>
      <c r="CD462" s="399"/>
      <c r="CE462" s="399"/>
      <c r="CF462" s="399"/>
      <c r="CG462" s="399"/>
      <c r="CH462" s="399"/>
      <c r="CI462" s="399"/>
      <c r="CJ462" s="399"/>
      <c r="CK462" s="399"/>
      <c r="CL462" s="399"/>
      <c r="CM462" s="399"/>
      <c r="CN462" s="399"/>
      <c r="CO462" s="399"/>
      <c r="CP462" s="399"/>
      <c r="CQ462" s="399"/>
      <c r="CR462" s="399"/>
      <c r="CS462" s="399"/>
      <c r="CT462" s="399"/>
      <c r="CU462" s="399"/>
      <c r="CV462" s="399"/>
      <c r="CW462" s="399"/>
      <c r="CX462" s="399"/>
      <c r="CY462" s="399"/>
      <c r="CZ462" s="399"/>
      <c r="DA462" s="399"/>
      <c r="DB462" s="399"/>
      <c r="DC462" s="399"/>
      <c r="DD462" s="399"/>
      <c r="DE462" s="399"/>
      <c r="DF462" s="399"/>
      <c r="DG462" s="399"/>
      <c r="DH462" s="399"/>
      <c r="DI462" s="399"/>
      <c r="DJ462" s="399"/>
      <c r="DK462" s="399"/>
      <c r="DL462" s="399"/>
      <c r="DM462" s="399"/>
      <c r="DN462" s="399"/>
      <c r="DO462" s="399"/>
      <c r="DP462" s="399"/>
      <c r="DQ462" s="399"/>
    </row>
    <row r="463" spans="1:121" s="760" customFormat="1" ht="14.45" customHeight="1" x14ac:dyDescent="0.25">
      <c r="A463" s="266">
        <f t="shared" si="7"/>
        <v>36.133333333333333</v>
      </c>
      <c r="B463" s="389">
        <v>41772</v>
      </c>
      <c r="C463" s="390" t="s">
        <v>1099</v>
      </c>
      <c r="D463" s="390" t="s">
        <v>899</v>
      </c>
      <c r="E463" s="390" t="s">
        <v>380</v>
      </c>
      <c r="F463" s="390" t="s">
        <v>237</v>
      </c>
      <c r="G463" s="390" t="s">
        <v>269</v>
      </c>
      <c r="H463" s="261"/>
      <c r="I463" s="261"/>
      <c r="J463" s="261"/>
      <c r="K463" s="261"/>
      <c r="L463" s="261"/>
      <c r="M463" s="261"/>
      <c r="N463" s="261"/>
      <c r="O463" s="261"/>
      <c r="P463" s="261"/>
      <c r="Q463" s="261"/>
      <c r="R463" s="261"/>
      <c r="S463" s="261"/>
      <c r="T463" s="261"/>
      <c r="U463" s="261">
        <v>112</v>
      </c>
      <c r="V463" s="762"/>
      <c r="W463" s="261"/>
      <c r="X463" s="261"/>
      <c r="Y463" s="264">
        <f>IF(NFI_Expiration=1,IF($A463&lt;VLOOKUP(H$5,NFI,5,0),1,0)*Table_NFI[[#This Row],[Hygiene Kit]],Table_NFI[Hygiene Kit])</f>
        <v>0</v>
      </c>
      <c r="Z463" s="264">
        <f>IF(NFI_Expiration=1,IF($A463&lt;VLOOKUP(I$5,NFI,5,0),1,0)*Table_NFI[[#This Row],[NFI Core Kit]],Table_NFI[NFI Core Kit])</f>
        <v>0</v>
      </c>
      <c r="AA463" s="264">
        <f>IF(NFI_Expiration=1,IF($A463&lt;VLOOKUP(J$5,NFI,5,0),1,0)*Table_NFI[[#This Row],[Sanitary Kit]],Table_NFI[Sanitary Kit])</f>
        <v>0</v>
      </c>
      <c r="AB463" s="264">
        <f>IF(NFI_Expiration=1,IF($A463&lt;VLOOKUP(K$5,NFI,5,0),1,0)*Table_NFI[[#This Row],[Mosquito net]],Table_NFI[Mosquito net])</f>
        <v>0</v>
      </c>
      <c r="AC463" s="264">
        <f>IF(NFI_Expiration=1,IF($A463&lt;VLOOKUP(L$5,NFI,5,0),1,0)*Table_NFI[[#This Row],[Tarpaulin]],Table_NFI[[#This Row],[Tarpaulin]])</f>
        <v>0</v>
      </c>
      <c r="AD463" s="264">
        <f>IF(NFI_Expiration=1,IF($A463&lt;VLOOKUP(M$5,NFI,5,0),1,0)*Table_NFI[[#This Row],[Blanket]],Table_NFI[[#This Row],[Blanket]])</f>
        <v>0</v>
      </c>
      <c r="AE463" s="264">
        <f>IF(NFI_Expiration=1,IF($A463&lt;VLOOKUP(N$5,NFI,5,0),1,0)*Table_NFI[[#This Row],[Kitchen Set]],Table_NFI[Kitchen Set])</f>
        <v>0</v>
      </c>
      <c r="AF463" s="264">
        <f>IF(NFI_Expiration=1,IF($A463&lt;VLOOKUP(O$5,NFI,5,0),1,0)*Table_NFI[[#This Row],[Clothes Kit]],Table_NFI[Clothes Kit])</f>
        <v>0</v>
      </c>
      <c r="AG463" s="264">
        <f>IF(NFI_Expiration=1,IF($A463&lt;VLOOKUP(P$5,NFI,5,0),1,0)*Table_NFI[[#This Row],[Plastic Bucket]],Table_NFI[Plastic Bucket])</f>
        <v>0</v>
      </c>
      <c r="AH463" s="264">
        <f>IF(NFI_Expiration=1,IF($A463&lt;VLOOKUP(Q$5,NFI,5,0),1,0)*Table_NFI[[#This Row],[Plastic Mat]],Table_NFI[Plastic Mat])*IF(Table_NFI[[#This Row],[Distribution Date]]&gt;"2014-04-01",1,2.5)</f>
        <v>0</v>
      </c>
      <c r="AI463" s="264">
        <f>IF(NFI_Expiration=1,IF($A463&lt;VLOOKUP(R$5,NFI,5,0),1,0)*Table_NFI[[#This Row],[Winter Clothes Adult]],Table_NFI[Winter Clothes Adult])</f>
        <v>0</v>
      </c>
      <c r="AJ463" s="264">
        <f>IF(NFI_Expiration=1,IF($A463&lt;VLOOKUP(S$5,NFI,5,0),1,0)*Table_NFI[[#This Row],[Winter Clothes Children]],Table_NFI[Winter Clothes Children])</f>
        <v>0</v>
      </c>
      <c r="AK463" s="264">
        <f>IF(NFI_Expiration=1,IF($A463&lt;VLOOKUP(T$5,NFI,5,0),1,0)*Table_NFI[[#This Row],[Winter Items Other]],Table_NFI[Winter Items Other])</f>
        <v>0</v>
      </c>
      <c r="AL463" s="264">
        <f>IF(NFI_Expiration=1,IF($A463&lt;VLOOKUP(M$5,NFI,5,0),1,0)*Table_NFI[[#This Row],[Winter Blanket]],Table_NFI[[#This Row],[Winter Blanket]])</f>
        <v>0</v>
      </c>
      <c r="AM463" s="264">
        <f>IF(Table_NFI[[#This Row],[Winter Clothes Adult]]+Table_NFI[[#This Row],[Winter Clothes Children]]+Table_NFI[[#This Row],[Winter Items Other]]+Table_NFI[[#This Row],[Winter Blanket]]&gt;0,1,0)</f>
        <v>1</v>
      </c>
      <c r="AN463" s="296">
        <f>IF(NFI_Expiration=1,IF($A463&lt;VLOOKUP(V$5,NFI,5,0),1,0)*Table_NFI[[#This Row],[Jerry Can]],Table_NFI[Jerry Can])</f>
        <v>0</v>
      </c>
      <c r="AO463" s="296">
        <f>IF(NFI_Expiration=1,IF($A463&lt;VLOOKUP(V$5,NFI,5,0),1,0)*Table_NFI[[#This Row],[Shelter Tool kit]],Table_NFI[Shelter Tool kit])</f>
        <v>0</v>
      </c>
      <c r="AP463" s="296">
        <f>IF(NFI_Expiration=1,IF($A463&lt;VLOOKUP(V$5,NFI,5,0),1,0)*Table_NFI[[#This Row],[Tent]],Table_NFI[Tent])</f>
        <v>0</v>
      </c>
      <c r="AQ463" s="396" t="str">
        <f>IFERROR(VLOOKUP(Table_NFI[[#This Row],[Camp Name]],CL,2,0),"")</f>
        <v>MMR001CMP002</v>
      </c>
      <c r="AR463" s="702">
        <f ca="1">IF(Table_NFI[[#This Row],[Pcode]]="","",IF(OFFSET(CampList[Opening Date],MATCH(Table_NFI[[#This Row],[Pcode]],CampList[CP_Pcode],0)-1,0,1,1)&gt;=NFI_Monitor_Date,1,0))</f>
        <v>0</v>
      </c>
      <c r="AS463" s="396" t="str">
        <f>IFERROR(VLOOKUP(Table_NFI[[#This Row],[Camp Name]],CL,3,0),"")</f>
        <v>Open</v>
      </c>
      <c r="AT463" s="264" t="str">
        <f ca="1">IF(Table_NFI[[#This Row],[Pcode]]="","",OFFSET(CampList[Priority],MATCH(Table_NFI[[#This Row],[Pcode]],CampList[CP_Pcode],0)-1,0,1,1))</f>
        <v>P4</v>
      </c>
      <c r="AU463" s="263">
        <f>IFERROR(Table_NFI[[#This Row],[Kitchen Set]]/VLOOKUP(Table_NFI[[#This Row],[Camp Name]],CL,4,0),"")</f>
        <v>0</v>
      </c>
      <c r="AV463" s="390"/>
      <c r="AW463" s="392"/>
      <c r="AX463" s="399"/>
      <c r="AY463" s="399"/>
      <c r="AZ463" s="399"/>
      <c r="BA463" s="399"/>
      <c r="BB463" s="399"/>
      <c r="BC463" s="399"/>
      <c r="BD463" s="399"/>
      <c r="BE463" s="399"/>
      <c r="BF463" s="399"/>
      <c r="BG463" s="399"/>
      <c r="BH463" s="399"/>
      <c r="BI463" s="399"/>
      <c r="BJ463" s="399"/>
      <c r="BK463" s="399"/>
      <c r="BL463" s="399"/>
      <c r="BM463" s="399"/>
      <c r="BN463" s="399"/>
      <c r="BO463" s="399"/>
      <c r="BP463" s="399"/>
      <c r="BQ463" s="399"/>
      <c r="BR463" s="399"/>
      <c r="BS463" s="399"/>
      <c r="BT463" s="399"/>
      <c r="BU463" s="399"/>
      <c r="BV463" s="399"/>
      <c r="BW463" s="399"/>
      <c r="BX463" s="399"/>
      <c r="BY463" s="399"/>
      <c r="BZ463" s="399"/>
      <c r="CA463" s="399"/>
      <c r="CB463" s="399"/>
      <c r="CC463" s="399"/>
      <c r="CD463" s="399"/>
      <c r="CE463" s="399"/>
      <c r="CF463" s="399"/>
      <c r="CG463" s="399"/>
      <c r="CH463" s="399"/>
      <c r="CI463" s="399"/>
      <c r="CJ463" s="399"/>
      <c r="CK463" s="399"/>
      <c r="CL463" s="399"/>
      <c r="CM463" s="399"/>
      <c r="CN463" s="399"/>
      <c r="CO463" s="399"/>
      <c r="CP463" s="399"/>
      <c r="CQ463" s="399"/>
      <c r="CR463" s="399"/>
      <c r="CS463" s="399"/>
      <c r="CT463" s="399"/>
      <c r="CU463" s="399"/>
      <c r="CV463" s="399"/>
      <c r="CW463" s="399"/>
      <c r="CX463" s="399"/>
      <c r="CY463" s="399"/>
      <c r="CZ463" s="399"/>
      <c r="DA463" s="399"/>
      <c r="DB463" s="399"/>
      <c r="DC463" s="399"/>
      <c r="DD463" s="399"/>
      <c r="DE463" s="399"/>
      <c r="DF463" s="399"/>
      <c r="DG463" s="399"/>
      <c r="DH463" s="399"/>
      <c r="DI463" s="399"/>
      <c r="DJ463" s="399"/>
      <c r="DK463" s="399"/>
      <c r="DL463" s="399"/>
      <c r="DM463" s="399"/>
      <c r="DN463" s="399"/>
      <c r="DO463" s="399"/>
      <c r="DP463" s="399"/>
      <c r="DQ463" s="399"/>
    </row>
    <row r="464" spans="1:121" s="760" customFormat="1" ht="14.45" customHeight="1" x14ac:dyDescent="0.25">
      <c r="A464" s="266">
        <f t="shared" si="7"/>
        <v>36.166666666666664</v>
      </c>
      <c r="B464" s="389">
        <v>41771</v>
      </c>
      <c r="C464" s="390" t="s">
        <v>1099</v>
      </c>
      <c r="D464" s="390" t="s">
        <v>899</v>
      </c>
      <c r="E464" s="390" t="s">
        <v>380</v>
      </c>
      <c r="F464" s="390" t="s">
        <v>237</v>
      </c>
      <c r="G464" s="390" t="s">
        <v>261</v>
      </c>
      <c r="H464" s="261"/>
      <c r="I464" s="261"/>
      <c r="J464" s="261"/>
      <c r="K464" s="261"/>
      <c r="L464" s="261"/>
      <c r="M464" s="261"/>
      <c r="N464" s="261"/>
      <c r="O464" s="261"/>
      <c r="P464" s="261"/>
      <c r="Q464" s="261"/>
      <c r="R464" s="261"/>
      <c r="S464" s="261"/>
      <c r="T464" s="261"/>
      <c r="U464" s="261">
        <v>184</v>
      </c>
      <c r="V464" s="762"/>
      <c r="W464" s="261"/>
      <c r="X464" s="261"/>
      <c r="Y464" s="264">
        <f>IF(NFI_Expiration=1,IF($A464&lt;VLOOKUP(H$5,NFI,5,0),1,0)*Table_NFI[[#This Row],[Hygiene Kit]],Table_NFI[Hygiene Kit])</f>
        <v>0</v>
      </c>
      <c r="Z464" s="264">
        <f>IF(NFI_Expiration=1,IF($A464&lt;VLOOKUP(I$5,NFI,5,0),1,0)*Table_NFI[[#This Row],[NFI Core Kit]],Table_NFI[NFI Core Kit])</f>
        <v>0</v>
      </c>
      <c r="AA464" s="264">
        <f>IF(NFI_Expiration=1,IF($A464&lt;VLOOKUP(J$5,NFI,5,0),1,0)*Table_NFI[[#This Row],[Sanitary Kit]],Table_NFI[Sanitary Kit])</f>
        <v>0</v>
      </c>
      <c r="AB464" s="264">
        <f>IF(NFI_Expiration=1,IF($A464&lt;VLOOKUP(K$5,NFI,5,0),1,0)*Table_NFI[[#This Row],[Mosquito net]],Table_NFI[Mosquito net])</f>
        <v>0</v>
      </c>
      <c r="AC464" s="264">
        <f>IF(NFI_Expiration=1,IF($A464&lt;VLOOKUP(L$5,NFI,5,0),1,0)*Table_NFI[[#This Row],[Tarpaulin]],Table_NFI[[#This Row],[Tarpaulin]])</f>
        <v>0</v>
      </c>
      <c r="AD464" s="264">
        <f>IF(NFI_Expiration=1,IF($A464&lt;VLOOKUP(M$5,NFI,5,0),1,0)*Table_NFI[[#This Row],[Blanket]],Table_NFI[[#This Row],[Blanket]])</f>
        <v>0</v>
      </c>
      <c r="AE464" s="264">
        <f>IF(NFI_Expiration=1,IF($A464&lt;VLOOKUP(N$5,NFI,5,0),1,0)*Table_NFI[[#This Row],[Kitchen Set]],Table_NFI[Kitchen Set])</f>
        <v>0</v>
      </c>
      <c r="AF464" s="264">
        <f>IF(NFI_Expiration=1,IF($A464&lt;VLOOKUP(O$5,NFI,5,0),1,0)*Table_NFI[[#This Row],[Clothes Kit]],Table_NFI[Clothes Kit])</f>
        <v>0</v>
      </c>
      <c r="AG464" s="264">
        <f>IF(NFI_Expiration=1,IF($A464&lt;VLOOKUP(P$5,NFI,5,0),1,0)*Table_NFI[[#This Row],[Plastic Bucket]],Table_NFI[Plastic Bucket])</f>
        <v>0</v>
      </c>
      <c r="AH464" s="264">
        <f>IF(NFI_Expiration=1,IF($A464&lt;VLOOKUP(Q$5,NFI,5,0),1,0)*Table_NFI[[#This Row],[Plastic Mat]],Table_NFI[Plastic Mat])*IF(Table_NFI[[#This Row],[Distribution Date]]&gt;"2014-04-01",1,2.5)</f>
        <v>0</v>
      </c>
      <c r="AI464" s="264">
        <f>IF(NFI_Expiration=1,IF($A464&lt;VLOOKUP(R$5,NFI,5,0),1,0)*Table_NFI[[#This Row],[Winter Clothes Adult]],Table_NFI[Winter Clothes Adult])</f>
        <v>0</v>
      </c>
      <c r="AJ464" s="264">
        <f>IF(NFI_Expiration=1,IF($A464&lt;VLOOKUP(S$5,NFI,5,0),1,0)*Table_NFI[[#This Row],[Winter Clothes Children]],Table_NFI[Winter Clothes Children])</f>
        <v>0</v>
      </c>
      <c r="AK464" s="264">
        <f>IF(NFI_Expiration=1,IF($A464&lt;VLOOKUP(T$5,NFI,5,0),1,0)*Table_NFI[[#This Row],[Winter Items Other]],Table_NFI[Winter Items Other])</f>
        <v>0</v>
      </c>
      <c r="AL464" s="264">
        <f>IF(NFI_Expiration=1,IF($A464&lt;VLOOKUP(M$5,NFI,5,0),1,0)*Table_NFI[[#This Row],[Winter Blanket]],Table_NFI[[#This Row],[Winter Blanket]])</f>
        <v>0</v>
      </c>
      <c r="AM464" s="264">
        <f>IF(Table_NFI[[#This Row],[Winter Clothes Adult]]+Table_NFI[[#This Row],[Winter Clothes Children]]+Table_NFI[[#This Row],[Winter Items Other]]+Table_NFI[[#This Row],[Winter Blanket]]&gt;0,1,0)</f>
        <v>1</v>
      </c>
      <c r="AN464" s="296">
        <f>IF(NFI_Expiration=1,IF($A464&lt;VLOOKUP(V$5,NFI,5,0),1,0)*Table_NFI[[#This Row],[Jerry Can]],Table_NFI[Jerry Can])</f>
        <v>0</v>
      </c>
      <c r="AO464" s="296">
        <f>IF(NFI_Expiration=1,IF($A464&lt;VLOOKUP(V$5,NFI,5,0),1,0)*Table_NFI[[#This Row],[Shelter Tool kit]],Table_NFI[Shelter Tool kit])</f>
        <v>0</v>
      </c>
      <c r="AP464" s="296">
        <f>IF(NFI_Expiration=1,IF($A464&lt;VLOOKUP(V$5,NFI,5,0),1,0)*Table_NFI[[#This Row],[Tent]],Table_NFI[Tent])</f>
        <v>0</v>
      </c>
      <c r="AQ464" s="396" t="str">
        <f>IFERROR(VLOOKUP(Table_NFI[[#This Row],[Camp Name]],CL,2,0),"")</f>
        <v>MMR001CMP008</v>
      </c>
      <c r="AR464" s="702">
        <f ca="1">IF(Table_NFI[[#This Row],[Pcode]]="","",IF(OFFSET(CampList[Opening Date],MATCH(Table_NFI[[#This Row],[Pcode]],CampList[CP_Pcode],0)-1,0,1,1)&gt;=NFI_Monitor_Date,1,0))</f>
        <v>0</v>
      </c>
      <c r="AS464" s="396" t="str">
        <f>IFERROR(VLOOKUP(Table_NFI[[#This Row],[Camp Name]],CL,3,0),"")</f>
        <v>Open</v>
      </c>
      <c r="AT464" s="264" t="str">
        <f ca="1">IF(Table_NFI[[#This Row],[Pcode]]="","",OFFSET(CampList[Priority],MATCH(Table_NFI[[#This Row],[Pcode]],CampList[CP_Pcode],0)-1,0,1,1))</f>
        <v>P4</v>
      </c>
      <c r="AU464" s="263">
        <f>IFERROR(Table_NFI[[#This Row],[Kitchen Set]]/VLOOKUP(Table_NFI[[#This Row],[Camp Name]],CL,4,0),"")</f>
        <v>0</v>
      </c>
      <c r="AV464" s="390"/>
      <c r="AW464" s="392"/>
      <c r="AX464" s="399"/>
      <c r="AY464" s="399"/>
      <c r="AZ464" s="399"/>
      <c r="BA464" s="399"/>
      <c r="BB464" s="399"/>
      <c r="BC464" s="399"/>
      <c r="BD464" s="399"/>
      <c r="BE464" s="399"/>
      <c r="BF464" s="399"/>
      <c r="BG464" s="399"/>
      <c r="BH464" s="399"/>
      <c r="BI464" s="399"/>
      <c r="BJ464" s="399"/>
      <c r="BK464" s="399"/>
      <c r="BL464" s="399"/>
      <c r="BM464" s="399"/>
      <c r="BN464" s="399"/>
      <c r="BO464" s="399"/>
      <c r="BP464" s="399"/>
      <c r="BQ464" s="399"/>
      <c r="BR464" s="399"/>
      <c r="BS464" s="399"/>
      <c r="BT464" s="399"/>
      <c r="BU464" s="399"/>
      <c r="BV464" s="399"/>
      <c r="BW464" s="399"/>
      <c r="BX464" s="399"/>
      <c r="BY464" s="399"/>
      <c r="BZ464" s="399"/>
      <c r="CA464" s="399"/>
      <c r="CB464" s="399"/>
      <c r="CC464" s="399"/>
      <c r="CD464" s="399"/>
      <c r="CE464" s="399"/>
      <c r="CF464" s="399"/>
      <c r="CG464" s="399"/>
      <c r="CH464" s="399"/>
      <c r="CI464" s="399"/>
      <c r="CJ464" s="399"/>
      <c r="CK464" s="399"/>
      <c r="CL464" s="399"/>
      <c r="CM464" s="399"/>
      <c r="CN464" s="399"/>
      <c r="CO464" s="399"/>
      <c r="CP464" s="399"/>
      <c r="CQ464" s="399"/>
      <c r="CR464" s="399"/>
      <c r="CS464" s="399"/>
      <c r="CT464" s="399"/>
      <c r="CU464" s="399"/>
      <c r="CV464" s="399"/>
      <c r="CW464" s="399"/>
      <c r="CX464" s="399"/>
      <c r="CY464" s="399"/>
      <c r="CZ464" s="399"/>
      <c r="DA464" s="399"/>
      <c r="DB464" s="399"/>
      <c r="DC464" s="399"/>
      <c r="DD464" s="399"/>
      <c r="DE464" s="399"/>
      <c r="DF464" s="399"/>
      <c r="DG464" s="399"/>
      <c r="DH464" s="399"/>
      <c r="DI464" s="399"/>
      <c r="DJ464" s="399"/>
      <c r="DK464" s="399"/>
      <c r="DL464" s="399"/>
      <c r="DM464" s="399"/>
      <c r="DN464" s="399"/>
      <c r="DO464" s="399"/>
      <c r="DP464" s="399"/>
      <c r="DQ464" s="399"/>
    </row>
    <row r="465" spans="1:121" s="760" customFormat="1" ht="14.45" customHeight="1" x14ac:dyDescent="0.25">
      <c r="A465" s="266">
        <f t="shared" si="7"/>
        <v>36.166666666666664</v>
      </c>
      <c r="B465" s="389">
        <v>41771</v>
      </c>
      <c r="C465" s="390" t="s">
        <v>451</v>
      </c>
      <c r="D465" s="390"/>
      <c r="E465" s="390" t="s">
        <v>552</v>
      </c>
      <c r="F465" s="390" t="s">
        <v>230</v>
      </c>
      <c r="G465" s="390" t="s">
        <v>1059</v>
      </c>
      <c r="H465" s="261"/>
      <c r="I465" s="261"/>
      <c r="J465" s="261"/>
      <c r="K465" s="261">
        <v>68</v>
      </c>
      <c r="L465" s="261">
        <v>9</v>
      </c>
      <c r="M465" s="261">
        <v>118</v>
      </c>
      <c r="N465" s="261">
        <v>9</v>
      </c>
      <c r="O465" s="261">
        <v>0</v>
      </c>
      <c r="P465" s="261">
        <v>9</v>
      </c>
      <c r="Q465" s="261">
        <v>45</v>
      </c>
      <c r="R465" s="261"/>
      <c r="S465" s="261"/>
      <c r="T465" s="261"/>
      <c r="U465" s="261"/>
      <c r="V465" s="762"/>
      <c r="W465" s="261"/>
      <c r="X465" s="261"/>
      <c r="Y465" s="264">
        <f>IF(NFI_Expiration=1,IF($A465&lt;VLOOKUP(H$5,NFI,5,0),1,0)*Table_NFI[[#This Row],[Hygiene Kit]],Table_NFI[Hygiene Kit])</f>
        <v>0</v>
      </c>
      <c r="Z465" s="264">
        <f>IF(NFI_Expiration=1,IF($A465&lt;VLOOKUP(I$5,NFI,5,0),1,0)*Table_NFI[[#This Row],[NFI Core Kit]],Table_NFI[NFI Core Kit])</f>
        <v>0</v>
      </c>
      <c r="AA465" s="264">
        <f>IF(NFI_Expiration=1,IF($A465&lt;VLOOKUP(J$5,NFI,5,0),1,0)*Table_NFI[[#This Row],[Sanitary Kit]],Table_NFI[Sanitary Kit])</f>
        <v>0</v>
      </c>
      <c r="AB465" s="264">
        <f>IF(NFI_Expiration=1,IF($A465&lt;VLOOKUP(K$5,NFI,5,0),1,0)*Table_NFI[[#This Row],[Mosquito net]],Table_NFI[Mosquito net])</f>
        <v>0</v>
      </c>
      <c r="AC465" s="264">
        <f>IF(NFI_Expiration=1,IF($A465&lt;VLOOKUP(L$5,NFI,5,0),1,0)*Table_NFI[[#This Row],[Tarpaulin]],Table_NFI[[#This Row],[Tarpaulin]])</f>
        <v>0</v>
      </c>
      <c r="AD465" s="264">
        <f>IF(NFI_Expiration=1,IF($A465&lt;VLOOKUP(M$5,NFI,5,0),1,0)*Table_NFI[[#This Row],[Blanket]],Table_NFI[[#This Row],[Blanket]])</f>
        <v>0</v>
      </c>
      <c r="AE465" s="264">
        <f>IF(NFI_Expiration=1,IF($A465&lt;VLOOKUP(N$5,NFI,5,0),1,0)*Table_NFI[[#This Row],[Kitchen Set]],Table_NFI[Kitchen Set])</f>
        <v>0</v>
      </c>
      <c r="AF465" s="264">
        <f>IF(NFI_Expiration=1,IF($A465&lt;VLOOKUP(O$5,NFI,5,0),1,0)*Table_NFI[[#This Row],[Clothes Kit]],Table_NFI[Clothes Kit])</f>
        <v>0</v>
      </c>
      <c r="AG465" s="264">
        <f>IF(NFI_Expiration=1,IF($A465&lt;VLOOKUP(P$5,NFI,5,0),1,0)*Table_NFI[[#This Row],[Plastic Bucket]],Table_NFI[Plastic Bucket])</f>
        <v>0</v>
      </c>
      <c r="AH465" s="264">
        <f>IF(NFI_Expiration=1,IF($A465&lt;VLOOKUP(Q$5,NFI,5,0),1,0)*Table_NFI[[#This Row],[Plastic Mat]],Table_NFI[Plastic Mat])*IF(Table_NFI[[#This Row],[Distribution Date]]&gt;"2014-04-01",1,2.5)</f>
        <v>0</v>
      </c>
      <c r="AI465" s="264">
        <f>IF(NFI_Expiration=1,IF($A465&lt;VLOOKUP(R$5,NFI,5,0),1,0)*Table_NFI[[#This Row],[Winter Clothes Adult]],Table_NFI[Winter Clothes Adult])</f>
        <v>0</v>
      </c>
      <c r="AJ465" s="264">
        <f>IF(NFI_Expiration=1,IF($A465&lt;VLOOKUP(S$5,NFI,5,0),1,0)*Table_NFI[[#This Row],[Winter Clothes Children]],Table_NFI[Winter Clothes Children])</f>
        <v>0</v>
      </c>
      <c r="AK465" s="264">
        <f>IF(NFI_Expiration=1,IF($A465&lt;VLOOKUP(T$5,NFI,5,0),1,0)*Table_NFI[[#This Row],[Winter Items Other]],Table_NFI[Winter Items Other])</f>
        <v>0</v>
      </c>
      <c r="AL465" s="264">
        <f>IF(NFI_Expiration=1,IF($A465&lt;VLOOKUP(M$5,NFI,5,0),1,0)*Table_NFI[[#This Row],[Winter Blanket]],Table_NFI[[#This Row],[Winter Blanket]])</f>
        <v>0</v>
      </c>
      <c r="AM465" s="264">
        <f>IF(Table_NFI[[#This Row],[Winter Clothes Adult]]+Table_NFI[[#This Row],[Winter Clothes Children]]+Table_NFI[[#This Row],[Winter Items Other]]+Table_NFI[[#This Row],[Winter Blanket]]&gt;0,1,0)</f>
        <v>0</v>
      </c>
      <c r="AN465" s="296">
        <f>IF(NFI_Expiration=1,IF($A465&lt;VLOOKUP(V$5,NFI,5,0),1,0)*Table_NFI[[#This Row],[Jerry Can]],Table_NFI[Jerry Can])</f>
        <v>0</v>
      </c>
      <c r="AO465" s="296">
        <f>IF(NFI_Expiration=1,IF($A465&lt;VLOOKUP(V$5,NFI,5,0),1,0)*Table_NFI[[#This Row],[Shelter Tool kit]],Table_NFI[Shelter Tool kit])</f>
        <v>0</v>
      </c>
      <c r="AP465" s="296">
        <f>IF(NFI_Expiration=1,IF($A465&lt;VLOOKUP(V$5,NFI,5,0),1,0)*Table_NFI[[#This Row],[Tent]],Table_NFI[Tent])</f>
        <v>0</v>
      </c>
      <c r="AQ465" s="396" t="str">
        <f>IFERROR(VLOOKUP(Table_NFI[[#This Row],[Camp Name]],CL,2,0),"")</f>
        <v>MMR015CMP216</v>
      </c>
      <c r="AR465" s="702">
        <f ca="1">IF(Table_NFI[[#This Row],[Pcode]]="","",IF(OFFSET(CampList[Opening Date],MATCH(Table_NFI[[#This Row],[Pcode]],CampList[CP_Pcode],0)-1,0,1,1)&gt;=NFI_Monitor_Date,1,0))</f>
        <v>1</v>
      </c>
      <c r="AS465" s="396" t="str">
        <f>IFERROR(VLOOKUP(Table_NFI[[#This Row],[Camp Name]],CL,3,0),"")</f>
        <v>Open</v>
      </c>
      <c r="AT465" s="264" t="str">
        <f ca="1">IF(Table_NFI[[#This Row],[Pcode]]="","",OFFSET(CampList[Priority],MATCH(Table_NFI[[#This Row],[Pcode]],CampList[CP_Pcode],0)-1,0,1,1))</f>
        <v>P4</v>
      </c>
      <c r="AU465" s="263">
        <f>IFERROR(Table_NFI[[#This Row],[Kitchen Set]]/VLOOKUP(Table_NFI[[#This Row],[Camp Name]],CL,4,0),"")</f>
        <v>2.156515071644223E-4</v>
      </c>
      <c r="AV465" s="390"/>
      <c r="AW465" s="392" t="s">
        <v>1221</v>
      </c>
      <c r="AX465" s="399"/>
      <c r="AY465" s="399"/>
      <c r="AZ465" s="399"/>
      <c r="BA465" s="399"/>
      <c r="BB465" s="399"/>
      <c r="BC465" s="399"/>
      <c r="BD465" s="399"/>
      <c r="BE465" s="399"/>
      <c r="BF465" s="399"/>
      <c r="BG465" s="399"/>
      <c r="BH465" s="399"/>
      <c r="BI465" s="399"/>
      <c r="BJ465" s="399"/>
      <c r="BK465" s="399"/>
      <c r="BL465" s="399"/>
      <c r="BM465" s="399"/>
      <c r="BN465" s="399"/>
      <c r="BO465" s="399"/>
      <c r="BP465" s="399"/>
      <c r="BQ465" s="399"/>
      <c r="BR465" s="399"/>
      <c r="BS465" s="399"/>
      <c r="BT465" s="399"/>
      <c r="BU465" s="399"/>
      <c r="BV465" s="399"/>
      <c r="BW465" s="399"/>
      <c r="BX465" s="399"/>
      <c r="BY465" s="399"/>
      <c r="BZ465" s="399"/>
      <c r="CA465" s="399"/>
      <c r="CB465" s="399"/>
      <c r="CC465" s="399"/>
      <c r="CD465" s="399"/>
      <c r="CE465" s="399"/>
      <c r="CF465" s="399"/>
      <c r="CG465" s="399"/>
      <c r="CH465" s="399"/>
      <c r="CI465" s="399"/>
      <c r="CJ465" s="399"/>
      <c r="CK465" s="399"/>
      <c r="CL465" s="399"/>
      <c r="CM465" s="399"/>
      <c r="CN465" s="399"/>
      <c r="CO465" s="399"/>
      <c r="CP465" s="399"/>
      <c r="CQ465" s="399"/>
      <c r="CR465" s="399"/>
      <c r="CS465" s="399"/>
      <c r="CT465" s="399"/>
      <c r="CU465" s="399"/>
      <c r="CV465" s="399"/>
      <c r="CW465" s="399"/>
      <c r="CX465" s="399"/>
      <c r="CY465" s="399"/>
      <c r="CZ465" s="399"/>
      <c r="DA465" s="399"/>
      <c r="DB465" s="399"/>
      <c r="DC465" s="399"/>
      <c r="DD465" s="399"/>
      <c r="DE465" s="399"/>
      <c r="DF465" s="399"/>
      <c r="DG465" s="399"/>
      <c r="DH465" s="399"/>
      <c r="DI465" s="399"/>
      <c r="DJ465" s="399"/>
      <c r="DK465" s="399"/>
      <c r="DL465" s="399"/>
      <c r="DM465" s="399"/>
      <c r="DN465" s="399"/>
      <c r="DO465" s="399"/>
      <c r="DP465" s="399"/>
      <c r="DQ465" s="399"/>
    </row>
    <row r="466" spans="1:121" s="760" customFormat="1" ht="14.45" customHeight="1" x14ac:dyDescent="0.25">
      <c r="A466" s="266">
        <f t="shared" si="7"/>
        <v>36.166666666666664</v>
      </c>
      <c r="B466" s="389">
        <v>41771</v>
      </c>
      <c r="C466" s="390" t="s">
        <v>451</v>
      </c>
      <c r="D466" s="390"/>
      <c r="E466" s="390" t="s">
        <v>552</v>
      </c>
      <c r="F466" s="390" t="s">
        <v>230</v>
      </c>
      <c r="G466" s="390" t="s">
        <v>1059</v>
      </c>
      <c r="H466" s="261"/>
      <c r="I466" s="261"/>
      <c r="J466" s="261"/>
      <c r="K466" s="261">
        <v>82</v>
      </c>
      <c r="L466" s="261">
        <v>41</v>
      </c>
      <c r="M466" s="261">
        <v>82</v>
      </c>
      <c r="N466" s="261">
        <v>41</v>
      </c>
      <c r="O466" s="261"/>
      <c r="P466" s="261">
        <v>41</v>
      </c>
      <c r="Q466" s="261">
        <v>205</v>
      </c>
      <c r="R466" s="261"/>
      <c r="S466" s="261"/>
      <c r="T466" s="261"/>
      <c r="U466" s="261"/>
      <c r="V466" s="762"/>
      <c r="W466" s="261"/>
      <c r="X466" s="261"/>
      <c r="Y466" s="264">
        <f>IF(NFI_Expiration=1,IF($A466&lt;VLOOKUP(H$5,NFI,5,0),1,0)*Table_NFI[[#This Row],[Hygiene Kit]],Table_NFI[Hygiene Kit])</f>
        <v>0</v>
      </c>
      <c r="Z466" s="264">
        <f>IF(NFI_Expiration=1,IF($A466&lt;VLOOKUP(I$5,NFI,5,0),1,0)*Table_NFI[[#This Row],[NFI Core Kit]],Table_NFI[NFI Core Kit])</f>
        <v>0</v>
      </c>
      <c r="AA466" s="264">
        <f>IF(NFI_Expiration=1,IF($A466&lt;VLOOKUP(J$5,NFI,5,0),1,0)*Table_NFI[[#This Row],[Sanitary Kit]],Table_NFI[Sanitary Kit])</f>
        <v>0</v>
      </c>
      <c r="AB466" s="264">
        <f>IF(NFI_Expiration=1,IF($A466&lt;VLOOKUP(K$5,NFI,5,0),1,0)*Table_NFI[[#This Row],[Mosquito net]],Table_NFI[Mosquito net])</f>
        <v>0</v>
      </c>
      <c r="AC466" s="264">
        <f>IF(NFI_Expiration=1,IF($A466&lt;VLOOKUP(L$5,NFI,5,0),1,0)*Table_NFI[[#This Row],[Tarpaulin]],Table_NFI[[#This Row],[Tarpaulin]])</f>
        <v>0</v>
      </c>
      <c r="AD466" s="264">
        <f>IF(NFI_Expiration=1,IF($A466&lt;VLOOKUP(M$5,NFI,5,0),1,0)*Table_NFI[[#This Row],[Blanket]],Table_NFI[[#This Row],[Blanket]])</f>
        <v>0</v>
      </c>
      <c r="AE466" s="264">
        <f>IF(NFI_Expiration=1,IF($A466&lt;VLOOKUP(N$5,NFI,5,0),1,0)*Table_NFI[[#This Row],[Kitchen Set]],Table_NFI[Kitchen Set])</f>
        <v>0</v>
      </c>
      <c r="AF466" s="264">
        <f>IF(NFI_Expiration=1,IF($A466&lt;VLOOKUP(O$5,NFI,5,0),1,0)*Table_NFI[[#This Row],[Clothes Kit]],Table_NFI[Clothes Kit])</f>
        <v>0</v>
      </c>
      <c r="AG466" s="264">
        <f>IF(NFI_Expiration=1,IF($A466&lt;VLOOKUP(P$5,NFI,5,0),1,0)*Table_NFI[[#This Row],[Plastic Bucket]],Table_NFI[Plastic Bucket])</f>
        <v>0</v>
      </c>
      <c r="AH466" s="264">
        <f>IF(NFI_Expiration=1,IF($A466&lt;VLOOKUP(Q$5,NFI,5,0),1,0)*Table_NFI[[#This Row],[Plastic Mat]],Table_NFI[Plastic Mat])*IF(Table_NFI[[#This Row],[Distribution Date]]&gt;"2014-04-01",1,2.5)</f>
        <v>0</v>
      </c>
      <c r="AI466" s="264">
        <f>IF(NFI_Expiration=1,IF($A466&lt;VLOOKUP(R$5,NFI,5,0),1,0)*Table_NFI[[#This Row],[Winter Clothes Adult]],Table_NFI[Winter Clothes Adult])</f>
        <v>0</v>
      </c>
      <c r="AJ466" s="264">
        <f>IF(NFI_Expiration=1,IF($A466&lt;VLOOKUP(S$5,NFI,5,0),1,0)*Table_NFI[[#This Row],[Winter Clothes Children]],Table_NFI[Winter Clothes Children])</f>
        <v>0</v>
      </c>
      <c r="AK466" s="264">
        <f>IF(NFI_Expiration=1,IF($A466&lt;VLOOKUP(T$5,NFI,5,0),1,0)*Table_NFI[[#This Row],[Winter Items Other]],Table_NFI[Winter Items Other])</f>
        <v>0</v>
      </c>
      <c r="AL466" s="264">
        <f>IF(NFI_Expiration=1,IF($A466&lt;VLOOKUP(M$5,NFI,5,0),1,0)*Table_NFI[[#This Row],[Winter Blanket]],Table_NFI[[#This Row],[Winter Blanket]])</f>
        <v>0</v>
      </c>
      <c r="AM466" s="264">
        <f>IF(Table_NFI[[#This Row],[Winter Clothes Adult]]+Table_NFI[[#This Row],[Winter Clothes Children]]+Table_NFI[[#This Row],[Winter Items Other]]+Table_NFI[[#This Row],[Winter Blanket]]&gt;0,1,0)</f>
        <v>0</v>
      </c>
      <c r="AN466" s="296">
        <f>IF(NFI_Expiration=1,IF($A466&lt;VLOOKUP(V$5,NFI,5,0),1,0)*Table_NFI[[#This Row],[Jerry Can]],Table_NFI[Jerry Can])</f>
        <v>0</v>
      </c>
      <c r="AO466" s="296">
        <f>IF(NFI_Expiration=1,IF($A466&lt;VLOOKUP(V$5,NFI,5,0),1,0)*Table_NFI[[#This Row],[Shelter Tool kit]],Table_NFI[Shelter Tool kit])</f>
        <v>0</v>
      </c>
      <c r="AP466" s="296">
        <f>IF(NFI_Expiration=1,IF($A466&lt;VLOOKUP(V$5,NFI,5,0),1,0)*Table_NFI[[#This Row],[Tent]],Table_NFI[Tent])</f>
        <v>0</v>
      </c>
      <c r="AQ466" s="396" t="str">
        <f>IFERROR(VLOOKUP(Table_NFI[[#This Row],[Camp Name]],CL,2,0),"")</f>
        <v>MMR015CMP216</v>
      </c>
      <c r="AR466" s="702">
        <f ca="1">IF(Table_NFI[[#This Row],[Pcode]]="","",IF(OFFSET(CampList[Opening Date],MATCH(Table_NFI[[#This Row],[Pcode]],CampList[CP_Pcode],0)-1,0,1,1)&gt;=NFI_Monitor_Date,1,0))</f>
        <v>1</v>
      </c>
      <c r="AS466" s="396" t="str">
        <f>IFERROR(VLOOKUP(Table_NFI[[#This Row],[Camp Name]],CL,3,0),"")</f>
        <v>Open</v>
      </c>
      <c r="AT466" s="264" t="str">
        <f ca="1">IF(Table_NFI[[#This Row],[Pcode]]="","",OFFSET(CampList[Priority],MATCH(Table_NFI[[#This Row],[Pcode]],CampList[CP_Pcode],0)-1,0,1,1))</f>
        <v>P4</v>
      </c>
      <c r="AU466" s="263">
        <f>IFERROR(Table_NFI[[#This Row],[Kitchen Set]]/VLOOKUP(Table_NFI[[#This Row],[Camp Name]],CL,4,0),"")</f>
        <v>9.8241242152681259E-4</v>
      </c>
      <c r="AV466" s="390"/>
      <c r="AW466" s="392"/>
      <c r="AX466" s="399"/>
      <c r="AY466" s="399"/>
      <c r="AZ466" s="399"/>
      <c r="BA466" s="399"/>
      <c r="BB466" s="399"/>
      <c r="BC466" s="399"/>
      <c r="BD466" s="399"/>
      <c r="BE466" s="399"/>
      <c r="BF466" s="399"/>
      <c r="BG466" s="399"/>
      <c r="BH466" s="399"/>
      <c r="BI466" s="399"/>
      <c r="BJ466" s="399"/>
      <c r="BK466" s="399"/>
      <c r="BL466" s="399"/>
      <c r="BM466" s="399"/>
      <c r="BN466" s="399"/>
      <c r="BO466" s="399"/>
      <c r="BP466" s="399"/>
      <c r="BQ466" s="399"/>
      <c r="BR466" s="399"/>
      <c r="BS466" s="399"/>
      <c r="BT466" s="399"/>
      <c r="BU466" s="399"/>
      <c r="BV466" s="399"/>
      <c r="BW466" s="399"/>
      <c r="BX466" s="399"/>
      <c r="BY466" s="399"/>
      <c r="BZ466" s="399"/>
      <c r="CA466" s="399"/>
      <c r="CB466" s="399"/>
      <c r="CC466" s="399"/>
      <c r="CD466" s="399"/>
      <c r="CE466" s="399"/>
      <c r="CF466" s="399"/>
      <c r="CG466" s="399"/>
      <c r="CH466" s="399"/>
      <c r="CI466" s="399"/>
      <c r="CJ466" s="399"/>
      <c r="CK466" s="399"/>
      <c r="CL466" s="399"/>
      <c r="CM466" s="399"/>
      <c r="CN466" s="399"/>
      <c r="CO466" s="399"/>
      <c r="CP466" s="399"/>
      <c r="CQ466" s="399"/>
      <c r="CR466" s="399"/>
      <c r="CS466" s="399"/>
      <c r="CT466" s="399"/>
      <c r="CU466" s="399"/>
      <c r="CV466" s="399"/>
      <c r="CW466" s="399"/>
      <c r="CX466" s="399"/>
      <c r="CY466" s="399"/>
      <c r="CZ466" s="399"/>
      <c r="DA466" s="399"/>
      <c r="DB466" s="399"/>
      <c r="DC466" s="399"/>
      <c r="DD466" s="399"/>
      <c r="DE466" s="399"/>
      <c r="DF466" s="399"/>
      <c r="DG466" s="399"/>
      <c r="DH466" s="399"/>
      <c r="DI466" s="399"/>
      <c r="DJ466" s="399"/>
      <c r="DK466" s="399"/>
      <c r="DL466" s="399"/>
      <c r="DM466" s="399"/>
      <c r="DN466" s="399"/>
      <c r="DO466" s="399"/>
      <c r="DP466" s="399"/>
      <c r="DQ466" s="399"/>
    </row>
    <row r="467" spans="1:121" s="760" customFormat="1" ht="15" customHeight="1" x14ac:dyDescent="0.25">
      <c r="A467" s="266">
        <f t="shared" si="7"/>
        <v>36.166666666666664</v>
      </c>
      <c r="B467" s="389">
        <v>41771</v>
      </c>
      <c r="C467" s="390" t="s">
        <v>1099</v>
      </c>
      <c r="D467" s="390" t="s">
        <v>899</v>
      </c>
      <c r="E467" s="390" t="s">
        <v>380</v>
      </c>
      <c r="F467" s="390" t="s">
        <v>237</v>
      </c>
      <c r="G467" s="390" t="s">
        <v>281</v>
      </c>
      <c r="H467" s="261"/>
      <c r="I467" s="261"/>
      <c r="J467" s="261"/>
      <c r="K467" s="261"/>
      <c r="L467" s="261"/>
      <c r="M467" s="261"/>
      <c r="N467" s="261"/>
      <c r="O467" s="261"/>
      <c r="P467" s="261"/>
      <c r="Q467" s="261"/>
      <c r="R467" s="261"/>
      <c r="S467" s="261"/>
      <c r="T467" s="261"/>
      <c r="U467" s="261">
        <v>168</v>
      </c>
      <c r="V467" s="762"/>
      <c r="W467" s="762"/>
      <c r="X467" s="762"/>
      <c r="Y467" s="264">
        <f>IF(NFI_Expiration=1,IF($A467&lt;VLOOKUP(H$5,NFI,5,0),1,0)*Table_NFI[[#This Row],[Hygiene Kit]],Table_NFI[Hygiene Kit])</f>
        <v>0</v>
      </c>
      <c r="Z467" s="264">
        <f>IF(NFI_Expiration=1,IF($A467&lt;VLOOKUP(I$5,NFI,5,0),1,0)*Table_NFI[[#This Row],[NFI Core Kit]],Table_NFI[NFI Core Kit])</f>
        <v>0</v>
      </c>
      <c r="AA467" s="264">
        <f>IF(NFI_Expiration=1,IF($A467&lt;VLOOKUP(J$5,NFI,5,0),1,0)*Table_NFI[[#This Row],[Sanitary Kit]],Table_NFI[Sanitary Kit])</f>
        <v>0</v>
      </c>
      <c r="AB467" s="264">
        <f>IF(NFI_Expiration=1,IF($A467&lt;VLOOKUP(K$5,NFI,5,0),1,0)*Table_NFI[[#This Row],[Mosquito net]],Table_NFI[Mosquito net])</f>
        <v>0</v>
      </c>
      <c r="AC467" s="264">
        <f>IF(NFI_Expiration=1,IF($A467&lt;VLOOKUP(L$5,NFI,5,0),1,0)*Table_NFI[[#This Row],[Tarpaulin]],Table_NFI[[#This Row],[Tarpaulin]])</f>
        <v>0</v>
      </c>
      <c r="AD467" s="264">
        <f>IF(NFI_Expiration=1,IF($A467&lt;VLOOKUP(M$5,NFI,5,0),1,0)*Table_NFI[[#This Row],[Blanket]],Table_NFI[[#This Row],[Blanket]])</f>
        <v>0</v>
      </c>
      <c r="AE467" s="264">
        <f>IF(NFI_Expiration=1,IF($A467&lt;VLOOKUP(N$5,NFI,5,0),1,0)*Table_NFI[[#This Row],[Kitchen Set]],Table_NFI[Kitchen Set])</f>
        <v>0</v>
      </c>
      <c r="AF467" s="264">
        <f>IF(NFI_Expiration=1,IF($A467&lt;VLOOKUP(O$5,NFI,5,0),1,0)*Table_NFI[[#This Row],[Clothes Kit]],Table_NFI[Clothes Kit])</f>
        <v>0</v>
      </c>
      <c r="AG467" s="264">
        <f>IF(NFI_Expiration=1,IF($A467&lt;VLOOKUP(P$5,NFI,5,0),1,0)*Table_NFI[[#This Row],[Plastic Bucket]],Table_NFI[Plastic Bucket])</f>
        <v>0</v>
      </c>
      <c r="AH467" s="264">
        <f>IF(NFI_Expiration=1,IF($A467&lt;VLOOKUP(Q$5,NFI,5,0),1,0)*Table_NFI[[#This Row],[Plastic Mat]],Table_NFI[Plastic Mat])*IF(Table_NFI[[#This Row],[Distribution Date]]&gt;"2014-04-01",1,2.5)</f>
        <v>0</v>
      </c>
      <c r="AI467" s="264">
        <f>IF(NFI_Expiration=1,IF($A467&lt;VLOOKUP(R$5,NFI,5,0),1,0)*Table_NFI[[#This Row],[Winter Clothes Adult]],Table_NFI[Winter Clothes Adult])</f>
        <v>0</v>
      </c>
      <c r="AJ467" s="264">
        <f>IF(NFI_Expiration=1,IF($A467&lt;VLOOKUP(S$5,NFI,5,0),1,0)*Table_NFI[[#This Row],[Winter Clothes Children]],Table_NFI[Winter Clothes Children])</f>
        <v>0</v>
      </c>
      <c r="AK467" s="264">
        <f>IF(NFI_Expiration=1,IF($A467&lt;VLOOKUP(T$5,NFI,5,0),1,0)*Table_NFI[[#This Row],[Winter Items Other]],Table_NFI[Winter Items Other])</f>
        <v>0</v>
      </c>
      <c r="AL467" s="264">
        <f>IF(NFI_Expiration=1,IF($A467&lt;VLOOKUP(M$5,NFI,5,0),1,0)*Table_NFI[[#This Row],[Winter Blanket]],Table_NFI[[#This Row],[Winter Blanket]])</f>
        <v>0</v>
      </c>
      <c r="AM467" s="264">
        <f>IF(Table_NFI[[#This Row],[Winter Clothes Adult]]+Table_NFI[[#This Row],[Winter Clothes Children]]+Table_NFI[[#This Row],[Winter Items Other]]+Table_NFI[[#This Row],[Winter Blanket]]&gt;0,1,0)</f>
        <v>1</v>
      </c>
      <c r="AN467" s="296">
        <f>IF(NFI_Expiration=1,IF($A467&lt;VLOOKUP(V$5,NFI,5,0),1,0)*Table_NFI[[#This Row],[Jerry Can]],Table_NFI[Jerry Can])</f>
        <v>0</v>
      </c>
      <c r="AO467" s="296">
        <f>IF(NFI_Expiration=1,IF($A467&lt;VLOOKUP(V$5,NFI,5,0),1,0)*Table_NFI[[#This Row],[Shelter Tool kit]],Table_NFI[Shelter Tool kit])</f>
        <v>0</v>
      </c>
      <c r="AP467" s="296">
        <f>IF(NFI_Expiration=1,IF($A467&lt;VLOOKUP(V$5,NFI,5,0),1,0)*Table_NFI[[#This Row],[Tent]],Table_NFI[Tent])</f>
        <v>0</v>
      </c>
      <c r="AQ467" s="396" t="str">
        <f>IFERROR(VLOOKUP(Table_NFI[[#This Row],[Camp Name]],CL,2,0),"")</f>
        <v>MMR001CMP009</v>
      </c>
      <c r="AR467" s="702">
        <f ca="1">IF(Table_NFI[[#This Row],[Pcode]]="","",IF(OFFSET(CampList[Opening Date],MATCH(Table_NFI[[#This Row],[Pcode]],CampList[CP_Pcode],0)-1,0,1,1)&gt;=NFI_Monitor_Date,1,0))</f>
        <v>0</v>
      </c>
      <c r="AS467" s="396" t="str">
        <f>IFERROR(VLOOKUP(Table_NFI[[#This Row],[Camp Name]],CL,3,0),"")</f>
        <v>Open</v>
      </c>
      <c r="AT467" s="264" t="str">
        <f ca="1">IF(Table_NFI[[#This Row],[Pcode]]="","",OFFSET(CampList[Priority],MATCH(Table_NFI[[#This Row],[Pcode]],CampList[CP_Pcode],0)-1,0,1,1))</f>
        <v>P4</v>
      </c>
      <c r="AU467" s="263">
        <f>IFERROR(Table_NFI[[#This Row],[Kitchen Set]]/VLOOKUP(Table_NFI[[#This Row],[Camp Name]],CL,4,0),"")</f>
        <v>0</v>
      </c>
      <c r="AV467" s="390"/>
      <c r="AW467" s="392"/>
      <c r="AX467" s="399"/>
      <c r="AY467" s="399"/>
      <c r="AZ467" s="399"/>
      <c r="BA467" s="399"/>
      <c r="BB467" s="399"/>
      <c r="BC467" s="399"/>
      <c r="BD467" s="399"/>
      <c r="BE467" s="399"/>
      <c r="BF467" s="399"/>
      <c r="BG467" s="399"/>
      <c r="BH467" s="399"/>
      <c r="BI467" s="399"/>
      <c r="BJ467" s="399"/>
      <c r="BK467" s="399"/>
      <c r="BL467" s="399"/>
      <c r="BM467" s="399"/>
      <c r="BN467" s="399"/>
      <c r="BO467" s="399"/>
      <c r="BP467" s="399"/>
      <c r="BQ467" s="399"/>
      <c r="BR467" s="399"/>
      <c r="BS467" s="399"/>
      <c r="BT467" s="399"/>
      <c r="BU467" s="399"/>
      <c r="BV467" s="399"/>
      <c r="BW467" s="399"/>
      <c r="BX467" s="399"/>
      <c r="BY467" s="399"/>
      <c r="BZ467" s="399"/>
      <c r="CA467" s="399"/>
      <c r="CB467" s="399"/>
      <c r="CC467" s="399"/>
      <c r="CD467" s="399"/>
      <c r="CE467" s="399"/>
      <c r="CF467" s="399"/>
      <c r="CG467" s="399"/>
      <c r="CH467" s="399"/>
      <c r="CI467" s="399"/>
      <c r="CJ467" s="399"/>
      <c r="CK467" s="399"/>
      <c r="CL467" s="399"/>
      <c r="CM467" s="399"/>
      <c r="CN467" s="399"/>
      <c r="CO467" s="399"/>
      <c r="CP467" s="399"/>
      <c r="CQ467" s="399"/>
      <c r="CR467" s="399"/>
      <c r="CS467" s="399"/>
      <c r="CT467" s="399"/>
      <c r="CU467" s="399"/>
      <c r="CV467" s="399"/>
      <c r="CW467" s="399"/>
      <c r="CX467" s="399"/>
      <c r="CY467" s="399"/>
      <c r="CZ467" s="399"/>
      <c r="DA467" s="399"/>
      <c r="DB467" s="399"/>
      <c r="DC467" s="399"/>
      <c r="DD467" s="399"/>
      <c r="DE467" s="399"/>
      <c r="DF467" s="399"/>
      <c r="DG467" s="399"/>
      <c r="DH467" s="399"/>
      <c r="DI467" s="399"/>
      <c r="DJ467" s="399"/>
      <c r="DK467" s="399"/>
      <c r="DL467" s="399"/>
      <c r="DM467" s="399"/>
      <c r="DN467" s="399"/>
      <c r="DO467" s="399"/>
      <c r="DP467" s="399"/>
      <c r="DQ467" s="399"/>
    </row>
    <row r="468" spans="1:121" s="760" customFormat="1" ht="14.45" customHeight="1" x14ac:dyDescent="0.25">
      <c r="A468" s="266">
        <f t="shared" si="7"/>
        <v>36.200000000000003</v>
      </c>
      <c r="B468" s="389">
        <v>41770</v>
      </c>
      <c r="C468" s="390" t="s">
        <v>451</v>
      </c>
      <c r="D468" s="390"/>
      <c r="E468" s="390" t="s">
        <v>552</v>
      </c>
      <c r="F468" s="390" t="s">
        <v>230</v>
      </c>
      <c r="G468" s="390" t="s">
        <v>1049</v>
      </c>
      <c r="H468" s="261"/>
      <c r="I468" s="261"/>
      <c r="J468" s="261"/>
      <c r="K468" s="261">
        <v>138</v>
      </c>
      <c r="L468" s="261">
        <v>19</v>
      </c>
      <c r="M468" s="261">
        <v>238</v>
      </c>
      <c r="N468" s="261">
        <v>19</v>
      </c>
      <c r="O468" s="261">
        <v>0</v>
      </c>
      <c r="P468" s="261">
        <v>19</v>
      </c>
      <c r="Q468" s="261">
        <v>95</v>
      </c>
      <c r="R468" s="261"/>
      <c r="S468" s="261"/>
      <c r="T468" s="261"/>
      <c r="U468" s="261"/>
      <c r="V468" s="762"/>
      <c r="W468" s="261"/>
      <c r="X468" s="261"/>
      <c r="Y468" s="264">
        <f>IF(NFI_Expiration=1,IF($A468&lt;VLOOKUP(H$5,NFI,5,0),1,0)*Table_NFI[[#This Row],[Hygiene Kit]],Table_NFI[Hygiene Kit])</f>
        <v>0</v>
      </c>
      <c r="Z468" s="264">
        <f>IF(NFI_Expiration=1,IF($A468&lt;VLOOKUP(I$5,NFI,5,0),1,0)*Table_NFI[[#This Row],[NFI Core Kit]],Table_NFI[NFI Core Kit])</f>
        <v>0</v>
      </c>
      <c r="AA468" s="264">
        <f>IF(NFI_Expiration=1,IF($A468&lt;VLOOKUP(J$5,NFI,5,0),1,0)*Table_NFI[[#This Row],[Sanitary Kit]],Table_NFI[Sanitary Kit])</f>
        <v>0</v>
      </c>
      <c r="AB468" s="264">
        <f>IF(NFI_Expiration=1,IF($A468&lt;VLOOKUP(K$5,NFI,5,0),1,0)*Table_NFI[[#This Row],[Mosquito net]],Table_NFI[Mosquito net])</f>
        <v>0</v>
      </c>
      <c r="AC468" s="264">
        <f>IF(NFI_Expiration=1,IF($A468&lt;VLOOKUP(L$5,NFI,5,0),1,0)*Table_NFI[[#This Row],[Tarpaulin]],Table_NFI[[#This Row],[Tarpaulin]])</f>
        <v>0</v>
      </c>
      <c r="AD468" s="264">
        <f>IF(NFI_Expiration=1,IF($A468&lt;VLOOKUP(M$5,NFI,5,0),1,0)*Table_NFI[[#This Row],[Blanket]],Table_NFI[[#This Row],[Blanket]])</f>
        <v>0</v>
      </c>
      <c r="AE468" s="264">
        <f>IF(NFI_Expiration=1,IF($A468&lt;VLOOKUP(N$5,NFI,5,0),1,0)*Table_NFI[[#This Row],[Kitchen Set]],Table_NFI[Kitchen Set])</f>
        <v>0</v>
      </c>
      <c r="AF468" s="264">
        <f>IF(NFI_Expiration=1,IF($A468&lt;VLOOKUP(O$5,NFI,5,0),1,0)*Table_NFI[[#This Row],[Clothes Kit]],Table_NFI[Clothes Kit])</f>
        <v>0</v>
      </c>
      <c r="AG468" s="264">
        <f>IF(NFI_Expiration=1,IF($A468&lt;VLOOKUP(P$5,NFI,5,0),1,0)*Table_NFI[[#This Row],[Plastic Bucket]],Table_NFI[Plastic Bucket])</f>
        <v>0</v>
      </c>
      <c r="AH468" s="264">
        <f>IF(NFI_Expiration=1,IF($A468&lt;VLOOKUP(Q$5,NFI,5,0),1,0)*Table_NFI[[#This Row],[Plastic Mat]],Table_NFI[Plastic Mat])*IF(Table_NFI[[#This Row],[Distribution Date]]&gt;"2014-04-01",1,2.5)</f>
        <v>0</v>
      </c>
      <c r="AI468" s="264">
        <f>IF(NFI_Expiration=1,IF($A468&lt;VLOOKUP(R$5,NFI,5,0),1,0)*Table_NFI[[#This Row],[Winter Clothes Adult]],Table_NFI[Winter Clothes Adult])</f>
        <v>0</v>
      </c>
      <c r="AJ468" s="264">
        <f>IF(NFI_Expiration=1,IF($A468&lt;VLOOKUP(S$5,NFI,5,0),1,0)*Table_NFI[[#This Row],[Winter Clothes Children]],Table_NFI[Winter Clothes Children])</f>
        <v>0</v>
      </c>
      <c r="AK468" s="264">
        <f>IF(NFI_Expiration=1,IF($A468&lt;VLOOKUP(T$5,NFI,5,0),1,0)*Table_NFI[[#This Row],[Winter Items Other]],Table_NFI[Winter Items Other])</f>
        <v>0</v>
      </c>
      <c r="AL468" s="264">
        <f>IF(NFI_Expiration=1,IF($A468&lt;VLOOKUP(M$5,NFI,5,0),1,0)*Table_NFI[[#This Row],[Winter Blanket]],Table_NFI[[#This Row],[Winter Blanket]])</f>
        <v>0</v>
      </c>
      <c r="AM468" s="264">
        <f>IF(Table_NFI[[#This Row],[Winter Clothes Adult]]+Table_NFI[[#This Row],[Winter Clothes Children]]+Table_NFI[[#This Row],[Winter Items Other]]+Table_NFI[[#This Row],[Winter Blanket]]&gt;0,1,0)</f>
        <v>0</v>
      </c>
      <c r="AN468" s="296">
        <f>IF(NFI_Expiration=1,IF($A468&lt;VLOOKUP(V$5,NFI,5,0),1,0)*Table_NFI[[#This Row],[Jerry Can]],Table_NFI[Jerry Can])</f>
        <v>0</v>
      </c>
      <c r="AO468" s="296">
        <f>IF(NFI_Expiration=1,IF($A468&lt;VLOOKUP(V$5,NFI,5,0),1,0)*Table_NFI[[#This Row],[Shelter Tool kit]],Table_NFI[Shelter Tool kit])</f>
        <v>0</v>
      </c>
      <c r="AP468" s="296">
        <f>IF(NFI_Expiration=1,IF($A468&lt;VLOOKUP(V$5,NFI,5,0),1,0)*Table_NFI[[#This Row],[Tent]],Table_NFI[Tent])</f>
        <v>0</v>
      </c>
      <c r="AQ468" s="396" t="str">
        <f>IFERROR(VLOOKUP(Table_NFI[[#This Row],[Camp Name]],CL,2,0),"")</f>
        <v>MMR015CMP213</v>
      </c>
      <c r="AR468" s="702">
        <f ca="1">IF(Table_NFI[[#This Row],[Pcode]]="","",IF(OFFSET(CampList[Opening Date],MATCH(Table_NFI[[#This Row],[Pcode]],CampList[CP_Pcode],0)-1,0,1,1)&gt;=NFI_Monitor_Date,1,0))</f>
        <v>1</v>
      </c>
      <c r="AS468" s="396" t="str">
        <f>IFERROR(VLOOKUP(Table_NFI[[#This Row],[Camp Name]],CL,3,0),"")</f>
        <v>Open</v>
      </c>
      <c r="AT468" s="264" t="str">
        <f ca="1">IF(Table_NFI[[#This Row],[Pcode]]="","",OFFSET(CampList[Priority],MATCH(Table_NFI[[#This Row],[Pcode]],CampList[CP_Pcode],0)-1,0,1,1))</f>
        <v>P4</v>
      </c>
      <c r="AU468" s="263">
        <f>IFERROR(Table_NFI[[#This Row],[Kitchen Set]]/VLOOKUP(Table_NFI[[#This Row],[Camp Name]],CL,4,0),"")</f>
        <v>4.5560271443301442E-4</v>
      </c>
      <c r="AV468" s="390"/>
      <c r="AW468" s="392" t="s">
        <v>1221</v>
      </c>
      <c r="AX468" s="399"/>
      <c r="AY468" s="399"/>
      <c r="AZ468" s="399"/>
      <c r="BA468" s="399"/>
      <c r="BB468" s="399"/>
      <c r="BC468" s="399"/>
      <c r="BD468" s="399"/>
      <c r="BE468" s="399"/>
      <c r="BF468" s="399"/>
      <c r="BG468" s="399"/>
      <c r="BH468" s="399"/>
      <c r="BI468" s="399"/>
      <c r="BJ468" s="399"/>
      <c r="BK468" s="399"/>
      <c r="BL468" s="399"/>
      <c r="BM468" s="399"/>
      <c r="BN468" s="399"/>
      <c r="BO468" s="399"/>
      <c r="BP468" s="399"/>
      <c r="BQ468" s="399"/>
      <c r="BR468" s="399"/>
      <c r="BS468" s="399"/>
      <c r="BT468" s="399"/>
      <c r="BU468" s="399"/>
      <c r="BV468" s="399"/>
      <c r="BW468" s="399"/>
      <c r="BX468" s="399"/>
      <c r="BY468" s="399"/>
      <c r="BZ468" s="399"/>
      <c r="CA468" s="399"/>
      <c r="CB468" s="399"/>
      <c r="CC468" s="399"/>
      <c r="CD468" s="399"/>
      <c r="CE468" s="399"/>
      <c r="CF468" s="399"/>
      <c r="CG468" s="399"/>
      <c r="CH468" s="399"/>
      <c r="CI468" s="399"/>
      <c r="CJ468" s="399"/>
      <c r="CK468" s="399"/>
      <c r="CL468" s="399"/>
      <c r="CM468" s="399"/>
      <c r="CN468" s="399"/>
      <c r="CO468" s="399"/>
      <c r="CP468" s="399"/>
      <c r="CQ468" s="399"/>
      <c r="CR468" s="399"/>
      <c r="CS468" s="399"/>
      <c r="CT468" s="399"/>
      <c r="CU468" s="399"/>
      <c r="CV468" s="399"/>
      <c r="CW468" s="399"/>
      <c r="CX468" s="399"/>
      <c r="CY468" s="399"/>
      <c r="CZ468" s="399"/>
      <c r="DA468" s="399"/>
      <c r="DB468" s="399"/>
      <c r="DC468" s="399"/>
      <c r="DD468" s="399"/>
      <c r="DE468" s="399"/>
      <c r="DF468" s="399"/>
      <c r="DG468" s="399"/>
      <c r="DH468" s="399"/>
      <c r="DI468" s="399"/>
      <c r="DJ468" s="399"/>
      <c r="DK468" s="399"/>
      <c r="DL468" s="399"/>
      <c r="DM468" s="399"/>
      <c r="DN468" s="399"/>
      <c r="DO468" s="399"/>
      <c r="DP468" s="399"/>
      <c r="DQ468" s="399"/>
    </row>
    <row r="469" spans="1:121" s="760" customFormat="1" ht="14.45" customHeight="1" x14ac:dyDescent="0.25">
      <c r="A469" s="266">
        <f t="shared" si="7"/>
        <v>36.200000000000003</v>
      </c>
      <c r="B469" s="389">
        <v>41770</v>
      </c>
      <c r="C469" s="390" t="s">
        <v>451</v>
      </c>
      <c r="D469" s="390"/>
      <c r="E469" s="390" t="s">
        <v>552</v>
      </c>
      <c r="F469" s="390" t="s">
        <v>230</v>
      </c>
      <c r="G469" s="390" t="s">
        <v>1049</v>
      </c>
      <c r="H469" s="261"/>
      <c r="I469" s="261"/>
      <c r="J469" s="261"/>
      <c r="K469" s="261">
        <v>162</v>
      </c>
      <c r="L469" s="261">
        <v>81</v>
      </c>
      <c r="M469" s="261">
        <v>162</v>
      </c>
      <c r="N469" s="261">
        <v>81</v>
      </c>
      <c r="O469" s="261"/>
      <c r="P469" s="261">
        <v>81</v>
      </c>
      <c r="Q469" s="261">
        <v>405</v>
      </c>
      <c r="R469" s="261"/>
      <c r="S469" s="261"/>
      <c r="T469" s="261"/>
      <c r="U469" s="261"/>
      <c r="V469" s="762"/>
      <c r="W469" s="261"/>
      <c r="X469" s="261"/>
      <c r="Y469" s="264">
        <f>IF(NFI_Expiration=1,IF($A469&lt;VLOOKUP(H$5,NFI,5,0),1,0)*Table_NFI[[#This Row],[Hygiene Kit]],Table_NFI[Hygiene Kit])</f>
        <v>0</v>
      </c>
      <c r="Z469" s="264">
        <f>IF(NFI_Expiration=1,IF($A469&lt;VLOOKUP(I$5,NFI,5,0),1,0)*Table_NFI[[#This Row],[NFI Core Kit]],Table_NFI[NFI Core Kit])</f>
        <v>0</v>
      </c>
      <c r="AA469" s="264">
        <f>IF(NFI_Expiration=1,IF($A469&lt;VLOOKUP(J$5,NFI,5,0),1,0)*Table_NFI[[#This Row],[Sanitary Kit]],Table_NFI[Sanitary Kit])</f>
        <v>0</v>
      </c>
      <c r="AB469" s="264">
        <f>IF(NFI_Expiration=1,IF($A469&lt;VLOOKUP(K$5,NFI,5,0),1,0)*Table_NFI[[#This Row],[Mosquito net]],Table_NFI[Mosquito net])</f>
        <v>0</v>
      </c>
      <c r="AC469" s="264">
        <f>IF(NFI_Expiration=1,IF($A469&lt;VLOOKUP(L$5,NFI,5,0),1,0)*Table_NFI[[#This Row],[Tarpaulin]],Table_NFI[[#This Row],[Tarpaulin]])</f>
        <v>0</v>
      </c>
      <c r="AD469" s="264">
        <f>IF(NFI_Expiration=1,IF($A469&lt;VLOOKUP(M$5,NFI,5,0),1,0)*Table_NFI[[#This Row],[Blanket]],Table_NFI[[#This Row],[Blanket]])</f>
        <v>0</v>
      </c>
      <c r="AE469" s="264">
        <f>IF(NFI_Expiration=1,IF($A469&lt;VLOOKUP(N$5,NFI,5,0),1,0)*Table_NFI[[#This Row],[Kitchen Set]],Table_NFI[Kitchen Set])</f>
        <v>0</v>
      </c>
      <c r="AF469" s="264">
        <f>IF(NFI_Expiration=1,IF($A469&lt;VLOOKUP(O$5,NFI,5,0),1,0)*Table_NFI[[#This Row],[Clothes Kit]],Table_NFI[Clothes Kit])</f>
        <v>0</v>
      </c>
      <c r="AG469" s="264">
        <f>IF(NFI_Expiration=1,IF($A469&lt;VLOOKUP(P$5,NFI,5,0),1,0)*Table_NFI[[#This Row],[Plastic Bucket]],Table_NFI[Plastic Bucket])</f>
        <v>0</v>
      </c>
      <c r="AH469" s="264">
        <f>IF(NFI_Expiration=1,IF($A469&lt;VLOOKUP(Q$5,NFI,5,0),1,0)*Table_NFI[[#This Row],[Plastic Mat]],Table_NFI[Plastic Mat])*IF(Table_NFI[[#This Row],[Distribution Date]]&gt;"2014-04-01",1,2.5)</f>
        <v>0</v>
      </c>
      <c r="AI469" s="264">
        <f>IF(NFI_Expiration=1,IF($A469&lt;VLOOKUP(R$5,NFI,5,0),1,0)*Table_NFI[[#This Row],[Winter Clothes Adult]],Table_NFI[Winter Clothes Adult])</f>
        <v>0</v>
      </c>
      <c r="AJ469" s="264">
        <f>IF(NFI_Expiration=1,IF($A469&lt;VLOOKUP(S$5,NFI,5,0),1,0)*Table_NFI[[#This Row],[Winter Clothes Children]],Table_NFI[Winter Clothes Children])</f>
        <v>0</v>
      </c>
      <c r="AK469" s="264">
        <f>IF(NFI_Expiration=1,IF($A469&lt;VLOOKUP(T$5,NFI,5,0),1,0)*Table_NFI[[#This Row],[Winter Items Other]],Table_NFI[Winter Items Other])</f>
        <v>0</v>
      </c>
      <c r="AL469" s="264">
        <f>IF(NFI_Expiration=1,IF($A469&lt;VLOOKUP(M$5,NFI,5,0),1,0)*Table_NFI[[#This Row],[Winter Blanket]],Table_NFI[[#This Row],[Winter Blanket]])</f>
        <v>0</v>
      </c>
      <c r="AM469" s="264">
        <f>IF(Table_NFI[[#This Row],[Winter Clothes Adult]]+Table_NFI[[#This Row],[Winter Clothes Children]]+Table_NFI[[#This Row],[Winter Items Other]]+Table_NFI[[#This Row],[Winter Blanket]]&gt;0,1,0)</f>
        <v>0</v>
      </c>
      <c r="AN469" s="296">
        <f>IF(NFI_Expiration=1,IF($A469&lt;VLOOKUP(V$5,NFI,5,0),1,0)*Table_NFI[[#This Row],[Jerry Can]],Table_NFI[Jerry Can])</f>
        <v>0</v>
      </c>
      <c r="AO469" s="296">
        <f>IF(NFI_Expiration=1,IF($A469&lt;VLOOKUP(V$5,NFI,5,0),1,0)*Table_NFI[[#This Row],[Shelter Tool kit]],Table_NFI[Shelter Tool kit])</f>
        <v>0</v>
      </c>
      <c r="AP469" s="296">
        <f>IF(NFI_Expiration=1,IF($A469&lt;VLOOKUP(V$5,NFI,5,0),1,0)*Table_NFI[[#This Row],[Tent]],Table_NFI[Tent])</f>
        <v>0</v>
      </c>
      <c r="AQ469" s="396" t="str">
        <f>IFERROR(VLOOKUP(Table_NFI[[#This Row],[Camp Name]],CL,2,0),"")</f>
        <v>MMR015CMP213</v>
      </c>
      <c r="AR469" s="702">
        <f ca="1">IF(Table_NFI[[#This Row],[Pcode]]="","",IF(OFFSET(CampList[Opening Date],MATCH(Table_NFI[[#This Row],[Pcode]],CampList[CP_Pcode],0)-1,0,1,1)&gt;=NFI_Monitor_Date,1,0))</f>
        <v>1</v>
      </c>
      <c r="AS469" s="396" t="str">
        <f>IFERROR(VLOOKUP(Table_NFI[[#This Row],[Camp Name]],CL,3,0),"")</f>
        <v>Open</v>
      </c>
      <c r="AT469" s="264" t="str">
        <f ca="1">IF(Table_NFI[[#This Row],[Pcode]]="","",OFFSET(CampList[Priority],MATCH(Table_NFI[[#This Row],[Pcode]],CampList[CP_Pcode],0)-1,0,1,1))</f>
        <v>P4</v>
      </c>
      <c r="AU469" s="263">
        <f>IFERROR(Table_NFI[[#This Row],[Kitchen Set]]/VLOOKUP(Table_NFI[[#This Row],[Camp Name]],CL,4,0),"")</f>
        <v>1.9423063088986404E-3</v>
      </c>
      <c r="AV469" s="390"/>
      <c r="AW469" s="392"/>
      <c r="AX469" s="399"/>
      <c r="AY469" s="399"/>
      <c r="AZ469" s="399"/>
      <c r="BA469" s="399"/>
      <c r="BB469" s="399"/>
      <c r="BC469" s="399"/>
      <c r="BD469" s="399"/>
      <c r="BE469" s="399"/>
      <c r="BF469" s="399"/>
      <c r="BG469" s="399"/>
      <c r="BH469" s="399"/>
      <c r="BI469" s="399"/>
      <c r="BJ469" s="399"/>
      <c r="BK469" s="399"/>
      <c r="BL469" s="399"/>
      <c r="BM469" s="399"/>
      <c r="BN469" s="399"/>
      <c r="BO469" s="399"/>
      <c r="BP469" s="399"/>
      <c r="BQ469" s="399"/>
      <c r="BR469" s="399"/>
      <c r="BS469" s="399"/>
      <c r="BT469" s="399"/>
      <c r="BU469" s="399"/>
      <c r="BV469" s="399"/>
      <c r="BW469" s="399"/>
      <c r="BX469" s="399"/>
      <c r="BY469" s="399"/>
      <c r="BZ469" s="399"/>
      <c r="CA469" s="399"/>
      <c r="CB469" s="399"/>
      <c r="CC469" s="399"/>
      <c r="CD469" s="399"/>
      <c r="CE469" s="399"/>
      <c r="CF469" s="399"/>
      <c r="CG469" s="399"/>
      <c r="CH469" s="399"/>
      <c r="CI469" s="399"/>
      <c r="CJ469" s="399"/>
      <c r="CK469" s="399"/>
      <c r="CL469" s="399"/>
      <c r="CM469" s="399"/>
      <c r="CN469" s="399"/>
      <c r="CO469" s="399"/>
      <c r="CP469" s="399"/>
      <c r="CQ469" s="399"/>
      <c r="CR469" s="399"/>
      <c r="CS469" s="399"/>
      <c r="CT469" s="399"/>
      <c r="CU469" s="399"/>
      <c r="CV469" s="399"/>
      <c r="CW469" s="399"/>
      <c r="CX469" s="399"/>
      <c r="CY469" s="399"/>
      <c r="CZ469" s="399"/>
      <c r="DA469" s="399"/>
      <c r="DB469" s="399"/>
      <c r="DC469" s="399"/>
      <c r="DD469" s="399"/>
      <c r="DE469" s="399"/>
      <c r="DF469" s="399"/>
      <c r="DG469" s="399"/>
      <c r="DH469" s="399"/>
      <c r="DI469" s="399"/>
      <c r="DJ469" s="399"/>
      <c r="DK469" s="399"/>
      <c r="DL469" s="399"/>
      <c r="DM469" s="399"/>
      <c r="DN469" s="399"/>
      <c r="DO469" s="399"/>
      <c r="DP469" s="399"/>
      <c r="DQ469" s="399"/>
    </row>
    <row r="470" spans="1:121" s="760" customFormat="1" ht="14.45" customHeight="1" x14ac:dyDescent="0.25">
      <c r="A470" s="266">
        <f t="shared" si="7"/>
        <v>36.266666666666666</v>
      </c>
      <c r="B470" s="389">
        <v>41768</v>
      </c>
      <c r="C470" s="390" t="s">
        <v>1099</v>
      </c>
      <c r="D470" s="390" t="s">
        <v>899</v>
      </c>
      <c r="E470" s="390" t="s">
        <v>380</v>
      </c>
      <c r="F470" s="390" t="s">
        <v>237</v>
      </c>
      <c r="G470" s="390" t="s">
        <v>273</v>
      </c>
      <c r="H470" s="261"/>
      <c r="I470" s="261"/>
      <c r="J470" s="261"/>
      <c r="K470" s="261"/>
      <c r="L470" s="261"/>
      <c r="M470" s="261"/>
      <c r="N470" s="261"/>
      <c r="O470" s="261"/>
      <c r="P470" s="261"/>
      <c r="Q470" s="261"/>
      <c r="R470" s="261"/>
      <c r="S470" s="261"/>
      <c r="T470" s="261"/>
      <c r="U470" s="261">
        <v>58</v>
      </c>
      <c r="V470" s="762"/>
      <c r="W470" s="261"/>
      <c r="X470" s="261"/>
      <c r="Y470" s="264">
        <f>IF(NFI_Expiration=1,IF($A470&lt;VLOOKUP(H$5,NFI,5,0),1,0)*Table_NFI[[#This Row],[Hygiene Kit]],Table_NFI[Hygiene Kit])</f>
        <v>0</v>
      </c>
      <c r="Z470" s="264">
        <f>IF(NFI_Expiration=1,IF($A470&lt;VLOOKUP(I$5,NFI,5,0),1,0)*Table_NFI[[#This Row],[NFI Core Kit]],Table_NFI[NFI Core Kit])</f>
        <v>0</v>
      </c>
      <c r="AA470" s="264">
        <f>IF(NFI_Expiration=1,IF($A470&lt;VLOOKUP(J$5,NFI,5,0),1,0)*Table_NFI[[#This Row],[Sanitary Kit]],Table_NFI[Sanitary Kit])</f>
        <v>0</v>
      </c>
      <c r="AB470" s="264">
        <f>IF(NFI_Expiration=1,IF($A470&lt;VLOOKUP(K$5,NFI,5,0),1,0)*Table_NFI[[#This Row],[Mosquito net]],Table_NFI[Mosquito net])</f>
        <v>0</v>
      </c>
      <c r="AC470" s="264">
        <f>IF(NFI_Expiration=1,IF($A470&lt;VLOOKUP(L$5,NFI,5,0),1,0)*Table_NFI[[#This Row],[Tarpaulin]],Table_NFI[[#This Row],[Tarpaulin]])</f>
        <v>0</v>
      </c>
      <c r="AD470" s="264">
        <f>IF(NFI_Expiration=1,IF($A470&lt;VLOOKUP(M$5,NFI,5,0),1,0)*Table_NFI[[#This Row],[Blanket]],Table_NFI[[#This Row],[Blanket]])</f>
        <v>0</v>
      </c>
      <c r="AE470" s="264">
        <f>IF(NFI_Expiration=1,IF($A470&lt;VLOOKUP(N$5,NFI,5,0),1,0)*Table_NFI[[#This Row],[Kitchen Set]],Table_NFI[Kitchen Set])</f>
        <v>0</v>
      </c>
      <c r="AF470" s="264">
        <f>IF(NFI_Expiration=1,IF($A470&lt;VLOOKUP(O$5,NFI,5,0),1,0)*Table_NFI[[#This Row],[Clothes Kit]],Table_NFI[Clothes Kit])</f>
        <v>0</v>
      </c>
      <c r="AG470" s="264">
        <f>IF(NFI_Expiration=1,IF($A470&lt;VLOOKUP(P$5,NFI,5,0),1,0)*Table_NFI[[#This Row],[Plastic Bucket]],Table_NFI[Plastic Bucket])</f>
        <v>0</v>
      </c>
      <c r="AH470" s="264">
        <f>IF(NFI_Expiration=1,IF($A470&lt;VLOOKUP(Q$5,NFI,5,0),1,0)*Table_NFI[[#This Row],[Plastic Mat]],Table_NFI[Plastic Mat])*IF(Table_NFI[[#This Row],[Distribution Date]]&gt;"2014-04-01",1,2.5)</f>
        <v>0</v>
      </c>
      <c r="AI470" s="264">
        <f>IF(NFI_Expiration=1,IF($A470&lt;VLOOKUP(R$5,NFI,5,0),1,0)*Table_NFI[[#This Row],[Winter Clothes Adult]],Table_NFI[Winter Clothes Adult])</f>
        <v>0</v>
      </c>
      <c r="AJ470" s="264">
        <f>IF(NFI_Expiration=1,IF($A470&lt;VLOOKUP(S$5,NFI,5,0),1,0)*Table_NFI[[#This Row],[Winter Clothes Children]],Table_NFI[Winter Clothes Children])</f>
        <v>0</v>
      </c>
      <c r="AK470" s="264">
        <f>IF(NFI_Expiration=1,IF($A470&lt;VLOOKUP(T$5,NFI,5,0),1,0)*Table_NFI[[#This Row],[Winter Items Other]],Table_NFI[Winter Items Other])</f>
        <v>0</v>
      </c>
      <c r="AL470" s="264">
        <f>IF(NFI_Expiration=1,IF($A470&lt;VLOOKUP(M$5,NFI,5,0),1,0)*Table_NFI[[#This Row],[Winter Blanket]],Table_NFI[[#This Row],[Winter Blanket]])</f>
        <v>0</v>
      </c>
      <c r="AM470" s="264">
        <f>IF(Table_NFI[[#This Row],[Winter Clothes Adult]]+Table_NFI[[#This Row],[Winter Clothes Children]]+Table_NFI[[#This Row],[Winter Items Other]]+Table_NFI[[#This Row],[Winter Blanket]]&gt;0,1,0)</f>
        <v>1</v>
      </c>
      <c r="AN470" s="296">
        <f>IF(NFI_Expiration=1,IF($A470&lt;VLOOKUP(V$5,NFI,5,0),1,0)*Table_NFI[[#This Row],[Jerry Can]],Table_NFI[Jerry Can])</f>
        <v>0</v>
      </c>
      <c r="AO470" s="296">
        <f>IF(NFI_Expiration=1,IF($A470&lt;VLOOKUP(V$5,NFI,5,0),1,0)*Table_NFI[[#This Row],[Shelter Tool kit]],Table_NFI[Shelter Tool kit])</f>
        <v>0</v>
      </c>
      <c r="AP470" s="296">
        <f>IF(NFI_Expiration=1,IF($A470&lt;VLOOKUP(V$5,NFI,5,0),1,0)*Table_NFI[[#This Row],[Tent]],Table_NFI[Tent])</f>
        <v>0</v>
      </c>
      <c r="AQ470" s="396" t="str">
        <f>IFERROR(VLOOKUP(Table_NFI[[#This Row],[Camp Name]],CL,2,0),"")</f>
        <v>MMR001CMP162</v>
      </c>
      <c r="AR470" s="702">
        <f ca="1">IF(Table_NFI[[#This Row],[Pcode]]="","",IF(OFFSET(CampList[Opening Date],MATCH(Table_NFI[[#This Row],[Pcode]],CampList[CP_Pcode],0)-1,0,1,1)&gt;=NFI_Monitor_Date,1,0))</f>
        <v>0</v>
      </c>
      <c r="AS470" s="396" t="str">
        <f>IFERROR(VLOOKUP(Table_NFI[[#This Row],[Camp Name]],CL,3,0),"")</f>
        <v>Open</v>
      </c>
      <c r="AT470" s="264" t="str">
        <f ca="1">IF(Table_NFI[[#This Row],[Pcode]]="","",OFFSET(CampList[Priority],MATCH(Table_NFI[[#This Row],[Pcode]],CampList[CP_Pcode],0)-1,0,1,1))</f>
        <v>P4</v>
      </c>
      <c r="AU470" s="263">
        <f>IFERROR(Table_NFI[[#This Row],[Kitchen Set]]/VLOOKUP(Table_NFI[[#This Row],[Camp Name]],CL,4,0),"")</f>
        <v>0</v>
      </c>
      <c r="AV470" s="390"/>
      <c r="AW470" s="392"/>
      <c r="AX470" s="399"/>
      <c r="AY470" s="399"/>
      <c r="AZ470" s="399"/>
      <c r="BA470" s="399"/>
      <c r="BB470" s="399"/>
      <c r="BC470" s="399"/>
      <c r="BD470" s="399"/>
      <c r="BE470" s="399"/>
      <c r="BF470" s="399"/>
      <c r="BG470" s="399"/>
      <c r="BH470" s="399"/>
      <c r="BI470" s="399"/>
      <c r="BJ470" s="399"/>
      <c r="BK470" s="399"/>
      <c r="BL470" s="399"/>
      <c r="BM470" s="399"/>
      <c r="BN470" s="399"/>
      <c r="BO470" s="399"/>
      <c r="BP470" s="399"/>
      <c r="BQ470" s="399"/>
      <c r="BR470" s="399"/>
      <c r="BS470" s="399"/>
      <c r="BT470" s="399"/>
      <c r="BU470" s="399"/>
      <c r="BV470" s="399"/>
      <c r="BW470" s="399"/>
      <c r="BX470" s="399"/>
      <c r="BY470" s="399"/>
      <c r="BZ470" s="399"/>
      <c r="CA470" s="399"/>
      <c r="CB470" s="399"/>
      <c r="CC470" s="399"/>
      <c r="CD470" s="399"/>
      <c r="CE470" s="399"/>
      <c r="CF470" s="399"/>
      <c r="CG470" s="399"/>
      <c r="CH470" s="399"/>
      <c r="CI470" s="399"/>
      <c r="CJ470" s="399"/>
      <c r="CK470" s="399"/>
      <c r="CL470" s="399"/>
      <c r="CM470" s="399"/>
      <c r="CN470" s="399"/>
      <c r="CO470" s="399"/>
      <c r="CP470" s="399"/>
      <c r="CQ470" s="399"/>
      <c r="CR470" s="399"/>
      <c r="CS470" s="399"/>
      <c r="CT470" s="399"/>
      <c r="CU470" s="399"/>
      <c r="CV470" s="399"/>
      <c r="CW470" s="399"/>
      <c r="CX470" s="399"/>
      <c r="CY470" s="399"/>
      <c r="CZ470" s="399"/>
      <c r="DA470" s="399"/>
      <c r="DB470" s="399"/>
      <c r="DC470" s="399"/>
      <c r="DD470" s="399"/>
      <c r="DE470" s="399"/>
      <c r="DF470" s="399"/>
      <c r="DG470" s="399"/>
      <c r="DH470" s="399"/>
      <c r="DI470" s="399"/>
      <c r="DJ470" s="399"/>
      <c r="DK470" s="399"/>
      <c r="DL470" s="399"/>
      <c r="DM470" s="399"/>
      <c r="DN470" s="399"/>
      <c r="DO470" s="399"/>
      <c r="DP470" s="399"/>
      <c r="DQ470" s="399"/>
    </row>
    <row r="471" spans="1:121" s="393" customFormat="1" ht="14.45" customHeight="1" x14ac:dyDescent="0.25">
      <c r="A471" s="266">
        <f t="shared" si="7"/>
        <v>36.266666666666666</v>
      </c>
      <c r="B471" s="389">
        <v>41768</v>
      </c>
      <c r="C471" s="390" t="s">
        <v>1099</v>
      </c>
      <c r="D471" s="390" t="s">
        <v>899</v>
      </c>
      <c r="E471" s="390" t="s">
        <v>380</v>
      </c>
      <c r="F471" s="390" t="s">
        <v>237</v>
      </c>
      <c r="G471" s="390" t="s">
        <v>277</v>
      </c>
      <c r="H471" s="261"/>
      <c r="I471" s="261"/>
      <c r="J471" s="261"/>
      <c r="K471" s="261"/>
      <c r="L471" s="261"/>
      <c r="M471" s="261"/>
      <c r="N471" s="261"/>
      <c r="O471" s="261"/>
      <c r="P471" s="261"/>
      <c r="Q471" s="261"/>
      <c r="R471" s="261"/>
      <c r="S471" s="261"/>
      <c r="T471" s="261"/>
      <c r="U471" s="261">
        <v>208</v>
      </c>
      <c r="V471" s="762"/>
      <c r="W471" s="261"/>
      <c r="X471" s="261"/>
      <c r="Y471" s="264">
        <f>IF(NFI_Expiration=1,IF($A471&lt;VLOOKUP(H$5,NFI,5,0),1,0)*Table_NFI[[#This Row],[Hygiene Kit]],Table_NFI[Hygiene Kit])</f>
        <v>0</v>
      </c>
      <c r="Z471" s="264">
        <f>IF(NFI_Expiration=1,IF($A471&lt;VLOOKUP(I$5,NFI,5,0),1,0)*Table_NFI[[#This Row],[NFI Core Kit]],Table_NFI[NFI Core Kit])</f>
        <v>0</v>
      </c>
      <c r="AA471" s="264">
        <f>IF(NFI_Expiration=1,IF($A471&lt;VLOOKUP(J$5,NFI,5,0),1,0)*Table_NFI[[#This Row],[Sanitary Kit]],Table_NFI[Sanitary Kit])</f>
        <v>0</v>
      </c>
      <c r="AB471" s="264">
        <f>IF(NFI_Expiration=1,IF($A471&lt;VLOOKUP(K$5,NFI,5,0),1,0)*Table_NFI[[#This Row],[Mosquito net]],Table_NFI[Mosquito net])</f>
        <v>0</v>
      </c>
      <c r="AC471" s="264">
        <f>IF(NFI_Expiration=1,IF($A471&lt;VLOOKUP(L$5,NFI,5,0),1,0)*Table_NFI[[#This Row],[Tarpaulin]],Table_NFI[[#This Row],[Tarpaulin]])</f>
        <v>0</v>
      </c>
      <c r="AD471" s="264">
        <f>IF(NFI_Expiration=1,IF($A471&lt;VLOOKUP(M$5,NFI,5,0),1,0)*Table_NFI[[#This Row],[Blanket]],Table_NFI[[#This Row],[Blanket]])</f>
        <v>0</v>
      </c>
      <c r="AE471" s="264">
        <f>IF(NFI_Expiration=1,IF($A471&lt;VLOOKUP(N$5,NFI,5,0),1,0)*Table_NFI[[#This Row],[Kitchen Set]],Table_NFI[Kitchen Set])</f>
        <v>0</v>
      </c>
      <c r="AF471" s="264">
        <f>IF(NFI_Expiration=1,IF($A471&lt;VLOOKUP(O$5,NFI,5,0),1,0)*Table_NFI[[#This Row],[Clothes Kit]],Table_NFI[Clothes Kit])</f>
        <v>0</v>
      </c>
      <c r="AG471" s="264">
        <f>IF(NFI_Expiration=1,IF($A471&lt;VLOOKUP(P$5,NFI,5,0),1,0)*Table_NFI[[#This Row],[Plastic Bucket]],Table_NFI[Plastic Bucket])</f>
        <v>0</v>
      </c>
      <c r="AH471" s="264">
        <f>IF(NFI_Expiration=1,IF($A471&lt;VLOOKUP(Q$5,NFI,5,0),1,0)*Table_NFI[[#This Row],[Plastic Mat]],Table_NFI[Plastic Mat])*IF(Table_NFI[[#This Row],[Distribution Date]]&gt;"2014-04-01",1,2.5)</f>
        <v>0</v>
      </c>
      <c r="AI471" s="264">
        <f>IF(NFI_Expiration=1,IF($A471&lt;VLOOKUP(R$5,NFI,5,0),1,0)*Table_NFI[[#This Row],[Winter Clothes Adult]],Table_NFI[Winter Clothes Adult])</f>
        <v>0</v>
      </c>
      <c r="AJ471" s="264">
        <f>IF(NFI_Expiration=1,IF($A471&lt;VLOOKUP(S$5,NFI,5,0),1,0)*Table_NFI[[#This Row],[Winter Clothes Children]],Table_NFI[Winter Clothes Children])</f>
        <v>0</v>
      </c>
      <c r="AK471" s="264">
        <f>IF(NFI_Expiration=1,IF($A471&lt;VLOOKUP(T$5,NFI,5,0),1,0)*Table_NFI[[#This Row],[Winter Items Other]],Table_NFI[Winter Items Other])</f>
        <v>0</v>
      </c>
      <c r="AL471" s="264">
        <f>IF(NFI_Expiration=1,IF($A471&lt;VLOOKUP(M$5,NFI,5,0),1,0)*Table_NFI[[#This Row],[Winter Blanket]],Table_NFI[[#This Row],[Winter Blanket]])</f>
        <v>0</v>
      </c>
      <c r="AM471" s="264">
        <f>IF(Table_NFI[[#This Row],[Winter Clothes Adult]]+Table_NFI[[#This Row],[Winter Clothes Children]]+Table_NFI[[#This Row],[Winter Items Other]]+Table_NFI[[#This Row],[Winter Blanket]]&gt;0,1,0)</f>
        <v>1</v>
      </c>
      <c r="AN471" s="296">
        <f>IF(NFI_Expiration=1,IF($A471&lt;VLOOKUP(V$5,NFI,5,0),1,0)*Table_NFI[[#This Row],[Jerry Can]],Table_NFI[Jerry Can])</f>
        <v>0</v>
      </c>
      <c r="AO471" s="296">
        <f>IF(NFI_Expiration=1,IF($A471&lt;VLOOKUP(V$5,NFI,5,0),1,0)*Table_NFI[[#This Row],[Shelter Tool kit]],Table_NFI[Shelter Tool kit])</f>
        <v>0</v>
      </c>
      <c r="AP471" s="296">
        <f>IF(NFI_Expiration=1,IF($A471&lt;VLOOKUP(V$5,NFI,5,0),1,0)*Table_NFI[[#This Row],[Tent]],Table_NFI[Tent])</f>
        <v>0</v>
      </c>
      <c r="AQ471" s="396" t="str">
        <f>IFERROR(VLOOKUP(Table_NFI[[#This Row],[Camp Name]],CL,2,0),"")</f>
        <v>MMR001CMP006</v>
      </c>
      <c r="AR471" s="702">
        <f ca="1">IF(Table_NFI[[#This Row],[Pcode]]="","",IF(OFFSET(CampList[Opening Date],MATCH(Table_NFI[[#This Row],[Pcode]],CampList[CP_Pcode],0)-1,0,1,1)&gt;=NFI_Monitor_Date,1,0))</f>
        <v>0</v>
      </c>
      <c r="AS471" s="396" t="str">
        <f>IFERROR(VLOOKUP(Table_NFI[[#This Row],[Camp Name]],CL,3,0),"")</f>
        <v>Open</v>
      </c>
      <c r="AT471" s="264" t="str">
        <f ca="1">IF(Table_NFI[[#This Row],[Pcode]]="","",OFFSET(CampList[Priority],MATCH(Table_NFI[[#This Row],[Pcode]],CampList[CP_Pcode],0)-1,0,1,1))</f>
        <v>P4</v>
      </c>
      <c r="AU471" s="263">
        <f>IFERROR(Table_NFI[[#This Row],[Kitchen Set]]/VLOOKUP(Table_NFI[[#This Row],[Camp Name]],CL,4,0),"")</f>
        <v>0</v>
      </c>
      <c r="AV471" s="390"/>
      <c r="AW471" s="392"/>
      <c r="AX471" s="399"/>
      <c r="AY471" s="399"/>
      <c r="AZ471" s="399"/>
      <c r="BA471" s="399"/>
      <c r="BB471" s="399"/>
      <c r="BC471" s="399"/>
      <c r="BD471" s="399"/>
      <c r="BE471" s="399"/>
      <c r="BF471" s="399"/>
      <c r="BG471" s="399"/>
      <c r="BH471" s="399"/>
      <c r="BI471" s="399"/>
      <c r="BJ471" s="399"/>
      <c r="BK471" s="399"/>
      <c r="BL471" s="399"/>
      <c r="BM471" s="399"/>
      <c r="BN471" s="399"/>
      <c r="BO471" s="399"/>
      <c r="BP471" s="399"/>
      <c r="BQ471" s="399"/>
      <c r="BR471" s="399"/>
      <c r="BS471" s="399"/>
      <c r="BT471" s="399"/>
      <c r="BU471" s="399"/>
      <c r="BV471" s="399"/>
      <c r="BW471" s="399"/>
      <c r="BX471" s="399"/>
      <c r="BY471" s="399"/>
      <c r="BZ471" s="399"/>
      <c r="CA471" s="399"/>
      <c r="CB471" s="399"/>
      <c r="CC471" s="399"/>
      <c r="CD471" s="399"/>
      <c r="CE471" s="399"/>
      <c r="CF471" s="399"/>
      <c r="CG471" s="399"/>
      <c r="CH471" s="399"/>
      <c r="CI471" s="399"/>
      <c r="CJ471" s="399"/>
      <c r="CK471" s="399"/>
      <c r="CL471" s="399"/>
      <c r="CM471" s="399"/>
      <c r="CN471" s="399"/>
      <c r="CO471" s="399"/>
      <c r="CP471" s="399"/>
      <c r="CQ471" s="399"/>
      <c r="CR471" s="399"/>
      <c r="CS471" s="399"/>
      <c r="CT471" s="399"/>
      <c r="CU471" s="399"/>
      <c r="CV471" s="399"/>
      <c r="CW471" s="399"/>
      <c r="CX471" s="399"/>
      <c r="CY471" s="399"/>
      <c r="CZ471" s="399"/>
      <c r="DA471" s="399"/>
      <c r="DB471" s="399"/>
      <c r="DC471" s="399"/>
      <c r="DD471" s="399"/>
      <c r="DE471" s="399"/>
      <c r="DF471" s="399"/>
      <c r="DG471" s="399"/>
      <c r="DH471" s="399"/>
      <c r="DI471" s="399"/>
      <c r="DJ471" s="399"/>
      <c r="DK471" s="399"/>
      <c r="DL471" s="399"/>
      <c r="DM471" s="399"/>
      <c r="DN471" s="399"/>
      <c r="DO471" s="399"/>
      <c r="DP471" s="399"/>
      <c r="DQ471" s="399"/>
    </row>
    <row r="472" spans="1:121" s="393" customFormat="1" ht="14.45" customHeight="1" x14ac:dyDescent="0.25">
      <c r="A472" s="266">
        <f t="shared" si="7"/>
        <v>36.866666666666667</v>
      </c>
      <c r="B472" s="389">
        <v>41750</v>
      </c>
      <c r="C472" s="390" t="s">
        <v>451</v>
      </c>
      <c r="D472" s="390" t="s">
        <v>451</v>
      </c>
      <c r="E472" s="390" t="s">
        <v>380</v>
      </c>
      <c r="F472" s="390" t="s">
        <v>5</v>
      </c>
      <c r="G472" s="390" t="s">
        <v>6</v>
      </c>
      <c r="H472" s="261"/>
      <c r="I472" s="261"/>
      <c r="J472" s="261">
        <v>5</v>
      </c>
      <c r="K472" s="261">
        <v>6</v>
      </c>
      <c r="L472" s="261">
        <v>2</v>
      </c>
      <c r="M472" s="261">
        <v>6</v>
      </c>
      <c r="N472" s="261">
        <v>2</v>
      </c>
      <c r="O472" s="261">
        <v>2</v>
      </c>
      <c r="P472" s="261">
        <v>2</v>
      </c>
      <c r="Q472" s="261">
        <v>6</v>
      </c>
      <c r="R472" s="261"/>
      <c r="S472" s="261"/>
      <c r="T472" s="261"/>
      <c r="U472" s="261"/>
      <c r="V472" s="762"/>
      <c r="W472" s="261"/>
      <c r="X472" s="261"/>
      <c r="Y472" s="264">
        <f>IF(NFI_Expiration=1,IF($A472&lt;VLOOKUP(H$5,NFI,5,0),1,0)*Table_NFI[[#This Row],[Hygiene Kit]],Table_NFI[Hygiene Kit])</f>
        <v>0</v>
      </c>
      <c r="Z472" s="264">
        <f>IF(NFI_Expiration=1,IF($A472&lt;VLOOKUP(I$5,NFI,5,0),1,0)*Table_NFI[[#This Row],[NFI Core Kit]],Table_NFI[NFI Core Kit])</f>
        <v>0</v>
      </c>
      <c r="AA472" s="264">
        <f>IF(NFI_Expiration=1,IF($A472&lt;VLOOKUP(J$5,NFI,5,0),1,0)*Table_NFI[[#This Row],[Sanitary Kit]],Table_NFI[Sanitary Kit])</f>
        <v>0</v>
      </c>
      <c r="AB472" s="264">
        <f>IF(NFI_Expiration=1,IF($A472&lt;VLOOKUP(K$5,NFI,5,0),1,0)*Table_NFI[[#This Row],[Mosquito net]],Table_NFI[Mosquito net])</f>
        <v>0</v>
      </c>
      <c r="AC472" s="264">
        <f>IF(NFI_Expiration=1,IF($A472&lt;VLOOKUP(L$5,NFI,5,0),1,0)*Table_NFI[[#This Row],[Tarpaulin]],Table_NFI[[#This Row],[Tarpaulin]])</f>
        <v>0</v>
      </c>
      <c r="AD472" s="264">
        <f>IF(NFI_Expiration=1,IF($A472&lt;VLOOKUP(M$5,NFI,5,0),1,0)*Table_NFI[[#This Row],[Blanket]],Table_NFI[[#This Row],[Blanket]])</f>
        <v>0</v>
      </c>
      <c r="AE472" s="264">
        <f>IF(NFI_Expiration=1,IF($A472&lt;VLOOKUP(N$5,NFI,5,0),1,0)*Table_NFI[[#This Row],[Kitchen Set]],Table_NFI[Kitchen Set])</f>
        <v>0</v>
      </c>
      <c r="AF472" s="264">
        <f>IF(NFI_Expiration=1,IF($A472&lt;VLOOKUP(O$5,NFI,5,0),1,0)*Table_NFI[[#This Row],[Clothes Kit]],Table_NFI[Clothes Kit])</f>
        <v>0</v>
      </c>
      <c r="AG472" s="264">
        <f>IF(NFI_Expiration=1,IF($A472&lt;VLOOKUP(P$5,NFI,5,0),1,0)*Table_NFI[[#This Row],[Plastic Bucket]],Table_NFI[Plastic Bucket])</f>
        <v>0</v>
      </c>
      <c r="AH472" s="264">
        <f>IF(NFI_Expiration=1,IF($A472&lt;VLOOKUP(Q$5,NFI,5,0),1,0)*Table_NFI[[#This Row],[Plastic Mat]],Table_NFI[Plastic Mat])*IF(Table_NFI[[#This Row],[Distribution Date]]&gt;"2014-04-01",1,2.5)</f>
        <v>0</v>
      </c>
      <c r="AI472" s="264">
        <f>IF(NFI_Expiration=1,IF($A472&lt;VLOOKUP(R$5,NFI,5,0),1,0)*Table_NFI[[#This Row],[Winter Clothes Adult]],Table_NFI[Winter Clothes Adult])</f>
        <v>0</v>
      </c>
      <c r="AJ472" s="264">
        <f>IF(NFI_Expiration=1,IF($A472&lt;VLOOKUP(S$5,NFI,5,0),1,0)*Table_NFI[[#This Row],[Winter Clothes Children]],Table_NFI[Winter Clothes Children])</f>
        <v>0</v>
      </c>
      <c r="AK472" s="264">
        <f>IF(NFI_Expiration=1,IF($A472&lt;VLOOKUP(T$5,NFI,5,0),1,0)*Table_NFI[[#This Row],[Winter Items Other]],Table_NFI[Winter Items Other])</f>
        <v>0</v>
      </c>
      <c r="AL472" s="264">
        <f>IF(NFI_Expiration=1,IF($A472&lt;VLOOKUP(M$5,NFI,5,0),1,0)*Table_NFI[[#This Row],[Winter Blanket]],Table_NFI[[#This Row],[Winter Blanket]])</f>
        <v>0</v>
      </c>
      <c r="AM472" s="264">
        <f>IF(Table_NFI[[#This Row],[Winter Clothes Adult]]+Table_NFI[[#This Row],[Winter Clothes Children]]+Table_NFI[[#This Row],[Winter Items Other]]+Table_NFI[[#This Row],[Winter Blanket]]&gt;0,1,0)</f>
        <v>0</v>
      </c>
      <c r="AN472" s="296">
        <f>IF(NFI_Expiration=1,IF($A472&lt;VLOOKUP(V$5,NFI,5,0),1,0)*Table_NFI[[#This Row],[Jerry Can]],Table_NFI[Jerry Can])</f>
        <v>0</v>
      </c>
      <c r="AO472" s="296">
        <f>IF(NFI_Expiration=1,IF($A472&lt;VLOOKUP(V$5,NFI,5,0),1,0)*Table_NFI[[#This Row],[Shelter Tool kit]],Table_NFI[Shelter Tool kit])</f>
        <v>0</v>
      </c>
      <c r="AP472" s="296">
        <f>IF(NFI_Expiration=1,IF($A472&lt;VLOOKUP(V$5,NFI,5,0),1,0)*Table_NFI[[#This Row],[Tent]],Table_NFI[Tent])</f>
        <v>0</v>
      </c>
      <c r="AQ472" s="396" t="str">
        <f>IFERROR(VLOOKUP(Table_NFI[[#This Row],[Camp Name]],CL,2,0),"")</f>
        <v>MMR001CMP050</v>
      </c>
      <c r="AR472" s="702">
        <f ca="1">IF(Table_NFI[[#This Row],[Pcode]]="","",IF(OFFSET(CampList[Opening Date],MATCH(Table_NFI[[#This Row],[Pcode]],CampList[CP_Pcode],0)-1,0,1,1)&gt;=NFI_Monitor_Date,1,0))</f>
        <v>0</v>
      </c>
      <c r="AS472" s="396" t="str">
        <f>IFERROR(VLOOKUP(Table_NFI[[#This Row],[Camp Name]],CL,3,0),"")</f>
        <v>Open</v>
      </c>
      <c r="AT472" s="264" t="str">
        <f ca="1">IF(Table_NFI[[#This Row],[Pcode]]="","",OFFSET(CampList[Priority],MATCH(Table_NFI[[#This Row],[Pcode]],CampList[CP_Pcode],0)-1,0,1,1))</f>
        <v>P4</v>
      </c>
      <c r="AU472" s="263">
        <f>IFERROR(Table_NFI[[#This Row],[Kitchen Set]]/VLOOKUP(Table_NFI[[#This Row],[Camp Name]],CL,4,0),"")</f>
        <v>4.8962005483744613E-5</v>
      </c>
      <c r="AV472" s="390" t="s">
        <v>1087</v>
      </c>
      <c r="AW472" s="392"/>
      <c r="AX472" s="399"/>
      <c r="AY472" s="399"/>
      <c r="AZ472" s="399"/>
      <c r="BA472" s="399"/>
      <c r="BB472" s="399"/>
      <c r="BC472" s="399"/>
      <c r="BD472" s="399"/>
      <c r="BE472" s="399"/>
      <c r="BF472" s="399"/>
      <c r="BG472" s="399"/>
      <c r="BH472" s="399"/>
      <c r="BI472" s="399"/>
      <c r="BJ472" s="399"/>
      <c r="BK472" s="399"/>
      <c r="BL472" s="399"/>
      <c r="BM472" s="399"/>
      <c r="BN472" s="399"/>
      <c r="BO472" s="399"/>
      <c r="BP472" s="399"/>
      <c r="BQ472" s="399"/>
      <c r="BR472" s="399"/>
      <c r="BS472" s="399"/>
      <c r="BT472" s="399"/>
      <c r="BU472" s="399"/>
      <c r="BV472" s="399"/>
      <c r="BW472" s="399"/>
      <c r="BX472" s="399"/>
      <c r="BY472" s="399"/>
      <c r="BZ472" s="399"/>
      <c r="CA472" s="399"/>
      <c r="CB472" s="399"/>
      <c r="CC472" s="399"/>
      <c r="CD472" s="399"/>
      <c r="CE472" s="399"/>
      <c r="CF472" s="399"/>
      <c r="CG472" s="399"/>
      <c r="CH472" s="399"/>
      <c r="CI472" s="399"/>
      <c r="CJ472" s="399"/>
      <c r="CK472" s="399"/>
      <c r="CL472" s="399"/>
      <c r="CM472" s="399"/>
      <c r="CN472" s="399"/>
      <c r="CO472" s="399"/>
      <c r="CP472" s="399"/>
      <c r="CQ472" s="399"/>
      <c r="CR472" s="399"/>
      <c r="CS472" s="399"/>
      <c r="CT472" s="399"/>
      <c r="CU472" s="399"/>
      <c r="CV472" s="399"/>
      <c r="CW472" s="399"/>
      <c r="CX472" s="399"/>
      <c r="CY472" s="399"/>
      <c r="CZ472" s="399"/>
      <c r="DA472" s="399"/>
      <c r="DB472" s="399"/>
      <c r="DC472" s="399"/>
      <c r="DD472" s="399"/>
      <c r="DE472" s="399"/>
      <c r="DF472" s="399"/>
      <c r="DG472" s="399"/>
      <c r="DH472" s="399"/>
      <c r="DI472" s="399"/>
      <c r="DJ472" s="399"/>
      <c r="DK472" s="399"/>
      <c r="DL472" s="399"/>
      <c r="DM472" s="399"/>
      <c r="DN472" s="399"/>
      <c r="DO472" s="399"/>
      <c r="DP472" s="399"/>
      <c r="DQ472" s="399"/>
    </row>
    <row r="473" spans="1:121" s="393" customFormat="1" ht="14.45" customHeight="1" x14ac:dyDescent="0.25">
      <c r="A473" s="266">
        <f t="shared" si="7"/>
        <v>36.866666666666667</v>
      </c>
      <c r="B473" s="389">
        <v>41750</v>
      </c>
      <c r="C473" s="390" t="s">
        <v>451</v>
      </c>
      <c r="D473" s="390" t="s">
        <v>451</v>
      </c>
      <c r="E473" s="390" t="s">
        <v>380</v>
      </c>
      <c r="F473" s="390" t="s">
        <v>151</v>
      </c>
      <c r="G473" s="390" t="s">
        <v>152</v>
      </c>
      <c r="H473" s="261"/>
      <c r="I473" s="261"/>
      <c r="J473" s="261">
        <v>20</v>
      </c>
      <c r="K473" s="261">
        <v>30</v>
      </c>
      <c r="L473" s="261">
        <v>13</v>
      </c>
      <c r="M473" s="261">
        <v>40</v>
      </c>
      <c r="N473" s="261">
        <v>13</v>
      </c>
      <c r="O473" s="261">
        <v>13</v>
      </c>
      <c r="P473" s="261">
        <v>13</v>
      </c>
      <c r="Q473" s="261">
        <v>25</v>
      </c>
      <c r="R473" s="261"/>
      <c r="S473" s="261"/>
      <c r="T473" s="261"/>
      <c r="U473" s="261"/>
      <c r="V473" s="762"/>
      <c r="W473" s="261"/>
      <c r="X473" s="261"/>
      <c r="Y473" s="264">
        <f>IF(NFI_Expiration=1,IF($A473&lt;VLOOKUP(H$5,NFI,5,0),1,0)*Table_NFI[[#This Row],[Hygiene Kit]],Table_NFI[Hygiene Kit])</f>
        <v>0</v>
      </c>
      <c r="Z473" s="264">
        <f>IF(NFI_Expiration=1,IF($A473&lt;VLOOKUP(I$5,NFI,5,0),1,0)*Table_NFI[[#This Row],[NFI Core Kit]],Table_NFI[NFI Core Kit])</f>
        <v>0</v>
      </c>
      <c r="AA473" s="264">
        <f>IF(NFI_Expiration=1,IF($A473&lt;VLOOKUP(J$5,NFI,5,0),1,0)*Table_NFI[[#This Row],[Sanitary Kit]],Table_NFI[Sanitary Kit])</f>
        <v>0</v>
      </c>
      <c r="AB473" s="264">
        <f>IF(NFI_Expiration=1,IF($A473&lt;VLOOKUP(K$5,NFI,5,0),1,0)*Table_NFI[[#This Row],[Mosquito net]],Table_NFI[Mosquito net])</f>
        <v>0</v>
      </c>
      <c r="AC473" s="264">
        <f>IF(NFI_Expiration=1,IF($A473&lt;VLOOKUP(L$5,NFI,5,0),1,0)*Table_NFI[[#This Row],[Tarpaulin]],Table_NFI[[#This Row],[Tarpaulin]])</f>
        <v>0</v>
      </c>
      <c r="AD473" s="264">
        <f>IF(NFI_Expiration=1,IF($A473&lt;VLOOKUP(M$5,NFI,5,0),1,0)*Table_NFI[[#This Row],[Blanket]],Table_NFI[[#This Row],[Blanket]])</f>
        <v>0</v>
      </c>
      <c r="AE473" s="264">
        <f>IF(NFI_Expiration=1,IF($A473&lt;VLOOKUP(N$5,NFI,5,0),1,0)*Table_NFI[[#This Row],[Kitchen Set]],Table_NFI[Kitchen Set])</f>
        <v>0</v>
      </c>
      <c r="AF473" s="264">
        <f>IF(NFI_Expiration=1,IF($A473&lt;VLOOKUP(O$5,NFI,5,0),1,0)*Table_NFI[[#This Row],[Clothes Kit]],Table_NFI[Clothes Kit])</f>
        <v>0</v>
      </c>
      <c r="AG473" s="264">
        <f>IF(NFI_Expiration=1,IF($A473&lt;VLOOKUP(P$5,NFI,5,0),1,0)*Table_NFI[[#This Row],[Plastic Bucket]],Table_NFI[Plastic Bucket])</f>
        <v>0</v>
      </c>
      <c r="AH473" s="264">
        <f>IF(NFI_Expiration=1,IF($A473&lt;VLOOKUP(Q$5,NFI,5,0),1,0)*Table_NFI[[#This Row],[Plastic Mat]],Table_NFI[Plastic Mat])*IF(Table_NFI[[#This Row],[Distribution Date]]&gt;"2014-04-01",1,2.5)</f>
        <v>0</v>
      </c>
      <c r="AI473" s="264">
        <f>IF(NFI_Expiration=1,IF($A473&lt;VLOOKUP(R$5,NFI,5,0),1,0)*Table_NFI[[#This Row],[Winter Clothes Adult]],Table_NFI[Winter Clothes Adult])</f>
        <v>0</v>
      </c>
      <c r="AJ473" s="264">
        <f>IF(NFI_Expiration=1,IF($A473&lt;VLOOKUP(S$5,NFI,5,0),1,0)*Table_NFI[[#This Row],[Winter Clothes Children]],Table_NFI[Winter Clothes Children])</f>
        <v>0</v>
      </c>
      <c r="AK473" s="264">
        <f>IF(NFI_Expiration=1,IF($A473&lt;VLOOKUP(T$5,NFI,5,0),1,0)*Table_NFI[[#This Row],[Winter Items Other]],Table_NFI[Winter Items Other])</f>
        <v>0</v>
      </c>
      <c r="AL473" s="264">
        <f>IF(NFI_Expiration=1,IF($A473&lt;VLOOKUP(M$5,NFI,5,0),1,0)*Table_NFI[[#This Row],[Winter Blanket]],Table_NFI[[#This Row],[Winter Blanket]])</f>
        <v>0</v>
      </c>
      <c r="AM473" s="264">
        <f>IF(Table_NFI[[#This Row],[Winter Clothes Adult]]+Table_NFI[[#This Row],[Winter Clothes Children]]+Table_NFI[[#This Row],[Winter Items Other]]+Table_NFI[[#This Row],[Winter Blanket]]&gt;0,1,0)</f>
        <v>0</v>
      </c>
      <c r="AN473" s="296">
        <f>IF(NFI_Expiration=1,IF($A473&lt;VLOOKUP(V$5,NFI,5,0),1,0)*Table_NFI[[#This Row],[Jerry Can]],Table_NFI[Jerry Can])</f>
        <v>0</v>
      </c>
      <c r="AO473" s="296">
        <f>IF(NFI_Expiration=1,IF($A473&lt;VLOOKUP(V$5,NFI,5,0),1,0)*Table_NFI[[#This Row],[Shelter Tool kit]],Table_NFI[Shelter Tool kit])</f>
        <v>0</v>
      </c>
      <c r="AP473" s="296">
        <f>IF(NFI_Expiration=1,IF($A473&lt;VLOOKUP(V$5,NFI,5,0),1,0)*Table_NFI[[#This Row],[Tent]],Table_NFI[Tent])</f>
        <v>0</v>
      </c>
      <c r="AQ473" s="396" t="str">
        <f>IFERROR(VLOOKUP(Table_NFI[[#This Row],[Camp Name]],CL,2,0),"")</f>
        <v>MMR001CMP066</v>
      </c>
      <c r="AR473" s="702">
        <f ca="1">IF(Table_NFI[[#This Row],[Pcode]]="","",IF(OFFSET(CampList[Opening Date],MATCH(Table_NFI[[#This Row],[Pcode]],CampList[CP_Pcode],0)-1,0,1,1)&gt;=NFI_Monitor_Date,1,0))</f>
        <v>0</v>
      </c>
      <c r="AS473" s="396" t="str">
        <f>IFERROR(VLOOKUP(Table_NFI[[#This Row],[Camp Name]],CL,3,0),"")</f>
        <v>Open</v>
      </c>
      <c r="AT473" s="264" t="str">
        <f ca="1">IF(Table_NFI[[#This Row],[Pcode]]="","",OFFSET(CampList[Priority],MATCH(Table_NFI[[#This Row],[Pcode]],CampList[CP_Pcode],0)-1,0,1,1))</f>
        <v>P4</v>
      </c>
      <c r="AU473" s="263">
        <f>IFERROR(Table_NFI[[#This Row],[Kitchen Set]]/VLOOKUP(Table_NFI[[#This Row],[Camp Name]],CL,4,0),"")</f>
        <v>3.1265783207869358E-4</v>
      </c>
      <c r="AV473" s="390" t="s">
        <v>1087</v>
      </c>
      <c r="AW473" s="392"/>
      <c r="AX473" s="399"/>
      <c r="AY473" s="399"/>
      <c r="AZ473" s="399"/>
      <c r="BA473" s="399"/>
      <c r="BB473" s="399"/>
      <c r="BC473" s="399"/>
      <c r="BD473" s="399"/>
      <c r="BE473" s="399"/>
      <c r="BF473" s="399"/>
      <c r="BG473" s="399"/>
      <c r="BH473" s="399"/>
      <c r="BI473" s="399"/>
      <c r="BJ473" s="399"/>
      <c r="BK473" s="399"/>
      <c r="BL473" s="399"/>
      <c r="BM473" s="399"/>
      <c r="BN473" s="399"/>
      <c r="BO473" s="399"/>
      <c r="BP473" s="399"/>
      <c r="BQ473" s="399"/>
      <c r="BR473" s="399"/>
      <c r="BS473" s="399"/>
      <c r="BT473" s="399"/>
      <c r="BU473" s="399"/>
      <c r="BV473" s="399"/>
      <c r="BW473" s="399"/>
      <c r="BX473" s="399"/>
      <c r="BY473" s="399"/>
      <c r="BZ473" s="399"/>
      <c r="CA473" s="399"/>
      <c r="CB473" s="399"/>
      <c r="CC473" s="399"/>
      <c r="CD473" s="399"/>
      <c r="CE473" s="399"/>
      <c r="CF473" s="399"/>
      <c r="CG473" s="399"/>
      <c r="CH473" s="399"/>
      <c r="CI473" s="399"/>
      <c r="CJ473" s="399"/>
      <c r="CK473" s="399"/>
      <c r="CL473" s="399"/>
      <c r="CM473" s="399"/>
      <c r="CN473" s="399"/>
      <c r="CO473" s="399"/>
      <c r="CP473" s="399"/>
      <c r="CQ473" s="399"/>
      <c r="CR473" s="399"/>
      <c r="CS473" s="399"/>
      <c r="CT473" s="399"/>
      <c r="CU473" s="399"/>
      <c r="CV473" s="399"/>
      <c r="CW473" s="399"/>
      <c r="CX473" s="399"/>
      <c r="CY473" s="399"/>
      <c r="CZ473" s="399"/>
      <c r="DA473" s="399"/>
      <c r="DB473" s="399"/>
      <c r="DC473" s="399"/>
      <c r="DD473" s="399"/>
      <c r="DE473" s="399"/>
      <c r="DF473" s="399"/>
      <c r="DG473" s="399"/>
      <c r="DH473" s="399"/>
      <c r="DI473" s="399"/>
      <c r="DJ473" s="399"/>
      <c r="DK473" s="399"/>
      <c r="DL473" s="399"/>
      <c r="DM473" s="399"/>
      <c r="DN473" s="399"/>
      <c r="DO473" s="399"/>
      <c r="DP473" s="399"/>
      <c r="DQ473" s="399"/>
    </row>
    <row r="474" spans="1:121" s="760" customFormat="1" ht="14.45" customHeight="1" x14ac:dyDescent="0.25">
      <c r="A474" s="266">
        <f t="shared" si="7"/>
        <v>36.866666666666667</v>
      </c>
      <c r="B474" s="389">
        <v>41750</v>
      </c>
      <c r="C474" s="390" t="s">
        <v>451</v>
      </c>
      <c r="D474" s="390"/>
      <c r="E474" s="390" t="s">
        <v>380</v>
      </c>
      <c r="F474" s="262" t="s">
        <v>151</v>
      </c>
      <c r="G474" s="390" t="s">
        <v>1032</v>
      </c>
      <c r="H474" s="261"/>
      <c r="I474" s="261"/>
      <c r="J474" s="261"/>
      <c r="K474" s="261">
        <v>800</v>
      </c>
      <c r="L474" s="261">
        <v>400</v>
      </c>
      <c r="M474" s="261"/>
      <c r="N474" s="261">
        <v>100</v>
      </c>
      <c r="O474" s="261"/>
      <c r="P474" s="261">
        <v>400</v>
      </c>
      <c r="Q474" s="261">
        <v>2000</v>
      </c>
      <c r="R474" s="261"/>
      <c r="S474" s="261"/>
      <c r="T474" s="261"/>
      <c r="U474" s="261"/>
      <c r="V474" s="762"/>
      <c r="W474" s="261"/>
      <c r="X474" s="261"/>
      <c r="Y474" s="264">
        <f>IF(NFI_Expiration=1,IF($A474&lt;VLOOKUP(H$5,NFI,5,0),1,0)*Table_NFI[[#This Row],[Hygiene Kit]],Table_NFI[Hygiene Kit])</f>
        <v>0</v>
      </c>
      <c r="Z474" s="264">
        <f>IF(NFI_Expiration=1,IF($A474&lt;VLOOKUP(I$5,NFI,5,0),1,0)*Table_NFI[[#This Row],[NFI Core Kit]],Table_NFI[NFI Core Kit])</f>
        <v>0</v>
      </c>
      <c r="AA474" s="264">
        <f>IF(NFI_Expiration=1,IF($A474&lt;VLOOKUP(J$5,NFI,5,0),1,0)*Table_NFI[[#This Row],[Sanitary Kit]],Table_NFI[Sanitary Kit])</f>
        <v>0</v>
      </c>
      <c r="AB474" s="264">
        <f>IF(NFI_Expiration=1,IF($A474&lt;VLOOKUP(K$5,NFI,5,0),1,0)*Table_NFI[[#This Row],[Mosquito net]],Table_NFI[Mosquito net])</f>
        <v>0</v>
      </c>
      <c r="AC474" s="264">
        <f>IF(NFI_Expiration=1,IF($A474&lt;VLOOKUP(L$5,NFI,5,0),1,0)*Table_NFI[[#This Row],[Tarpaulin]],Table_NFI[[#This Row],[Tarpaulin]])</f>
        <v>0</v>
      </c>
      <c r="AD474" s="264">
        <f>IF(NFI_Expiration=1,IF($A474&lt;VLOOKUP(M$5,NFI,5,0),1,0)*Table_NFI[[#This Row],[Blanket]],Table_NFI[[#This Row],[Blanket]])</f>
        <v>0</v>
      </c>
      <c r="AE474" s="264">
        <f>IF(NFI_Expiration=1,IF($A474&lt;VLOOKUP(N$5,NFI,5,0),1,0)*Table_NFI[[#This Row],[Kitchen Set]],Table_NFI[Kitchen Set])</f>
        <v>0</v>
      </c>
      <c r="AF474" s="264">
        <f>IF(NFI_Expiration=1,IF($A474&lt;VLOOKUP(O$5,NFI,5,0),1,0)*Table_NFI[[#This Row],[Clothes Kit]],Table_NFI[Clothes Kit])</f>
        <v>0</v>
      </c>
      <c r="AG474" s="264">
        <f>IF(NFI_Expiration=1,IF($A474&lt;VLOOKUP(P$5,NFI,5,0),1,0)*Table_NFI[[#This Row],[Plastic Bucket]],Table_NFI[Plastic Bucket])</f>
        <v>0</v>
      </c>
      <c r="AH474" s="264">
        <f>IF(NFI_Expiration=1,IF($A474&lt;VLOOKUP(Q$5,NFI,5,0),1,0)*Table_NFI[[#This Row],[Plastic Mat]],Table_NFI[Plastic Mat])*IF(Table_NFI[[#This Row],[Distribution Date]]&gt;"2014-04-01",1,2.5)</f>
        <v>0</v>
      </c>
      <c r="AI474" s="264">
        <f>IF(NFI_Expiration=1,IF($A474&lt;VLOOKUP(R$5,NFI,5,0),1,0)*Table_NFI[[#This Row],[Winter Clothes Adult]],Table_NFI[Winter Clothes Adult])</f>
        <v>0</v>
      </c>
      <c r="AJ474" s="264">
        <f>IF(NFI_Expiration=1,IF($A474&lt;VLOOKUP(S$5,NFI,5,0),1,0)*Table_NFI[[#This Row],[Winter Clothes Children]],Table_NFI[Winter Clothes Children])</f>
        <v>0</v>
      </c>
      <c r="AK474" s="264">
        <f>IF(NFI_Expiration=1,IF($A474&lt;VLOOKUP(T$5,NFI,5,0),1,0)*Table_NFI[[#This Row],[Winter Items Other]],Table_NFI[Winter Items Other])</f>
        <v>0</v>
      </c>
      <c r="AL474" s="264">
        <f>IF(NFI_Expiration=1,IF($A474&lt;VLOOKUP(M$5,NFI,5,0),1,0)*Table_NFI[[#This Row],[Winter Blanket]],Table_NFI[[#This Row],[Winter Blanket]])</f>
        <v>0</v>
      </c>
      <c r="AM474" s="264">
        <f>IF(Table_NFI[[#This Row],[Winter Clothes Adult]]+Table_NFI[[#This Row],[Winter Clothes Children]]+Table_NFI[[#This Row],[Winter Items Other]]+Table_NFI[[#This Row],[Winter Blanket]]&gt;0,1,0)</f>
        <v>0</v>
      </c>
      <c r="AN474" s="296">
        <f>IF(NFI_Expiration=1,IF($A474&lt;VLOOKUP(V$5,NFI,5,0),1,0)*Table_NFI[[#This Row],[Jerry Can]],Table_NFI[Jerry Can])</f>
        <v>0</v>
      </c>
      <c r="AO474" s="296">
        <f>IF(NFI_Expiration=1,IF($A474&lt;VLOOKUP(V$5,NFI,5,0),1,0)*Table_NFI[[#This Row],[Shelter Tool kit]],Table_NFI[Shelter Tool kit])</f>
        <v>0</v>
      </c>
      <c r="AP474" s="296">
        <f>IF(NFI_Expiration=1,IF($A474&lt;VLOOKUP(V$5,NFI,5,0),1,0)*Table_NFI[[#This Row],[Tent]],Table_NFI[Tent])</f>
        <v>0</v>
      </c>
      <c r="AQ474" s="396" t="str">
        <f>IFERROR(VLOOKUP(Table_NFI[[#This Row],[Camp Name]],CL,2,0),"")</f>
        <v>MMR001CMP226</v>
      </c>
      <c r="AR474" s="702">
        <f ca="1">IF(Table_NFI[[#This Row],[Pcode]]="","",IF(OFFSET(CampList[Opening Date],MATCH(Table_NFI[[#This Row],[Pcode]],CampList[CP_Pcode],0)-1,0,1,1)&gt;=NFI_Monitor_Date,1,0))</f>
        <v>0</v>
      </c>
      <c r="AS474" s="396" t="str">
        <f>IFERROR(VLOOKUP(Table_NFI[[#This Row],[Camp Name]],CL,3,0),"")</f>
        <v>Closed</v>
      </c>
      <c r="AT474" s="264" t="str">
        <f ca="1">IF(Table_NFI[[#This Row],[Pcode]]="","",OFFSET(CampList[Priority],MATCH(Table_NFI[[#This Row],[Pcode]],CampList[CP_Pcode],0)-1,0,1,1))</f>
        <v>P2</v>
      </c>
      <c r="AU474" s="263">
        <f>IFERROR(Table_NFI[[#This Row],[Kitchen Set]]/VLOOKUP(Table_NFI[[#This Row],[Camp Name]],CL,4,0),"")</f>
        <v>2.4499595756670013E-3</v>
      </c>
      <c r="AV474" s="390"/>
      <c r="AW474" s="392"/>
      <c r="AX474" s="399"/>
      <c r="AY474" s="399"/>
      <c r="AZ474" s="399"/>
      <c r="BA474" s="399"/>
      <c r="BB474" s="399"/>
      <c r="BC474" s="399"/>
      <c r="BD474" s="399"/>
      <c r="BE474" s="399"/>
      <c r="BF474" s="399"/>
      <c r="BG474" s="399"/>
      <c r="BH474" s="399"/>
      <c r="BI474" s="399"/>
      <c r="BJ474" s="399"/>
      <c r="BK474" s="399"/>
      <c r="BL474" s="399"/>
      <c r="BM474" s="399"/>
      <c r="BN474" s="399"/>
      <c r="BO474" s="399"/>
      <c r="BP474" s="399"/>
      <c r="BQ474" s="399"/>
      <c r="BR474" s="399"/>
      <c r="BS474" s="399"/>
      <c r="BT474" s="399"/>
      <c r="BU474" s="399"/>
      <c r="BV474" s="399"/>
      <c r="BW474" s="399"/>
      <c r="BX474" s="399"/>
      <c r="BY474" s="399"/>
      <c r="BZ474" s="399"/>
      <c r="CA474" s="399"/>
      <c r="CB474" s="399"/>
      <c r="CC474" s="399"/>
      <c r="CD474" s="399"/>
      <c r="CE474" s="399"/>
      <c r="CF474" s="399"/>
      <c r="CG474" s="399"/>
      <c r="CH474" s="399"/>
      <c r="CI474" s="399"/>
      <c r="CJ474" s="399"/>
      <c r="CK474" s="399"/>
      <c r="CL474" s="399"/>
      <c r="CM474" s="399"/>
      <c r="CN474" s="399"/>
      <c r="CO474" s="399"/>
      <c r="CP474" s="399"/>
      <c r="CQ474" s="399"/>
      <c r="CR474" s="399"/>
      <c r="CS474" s="399"/>
      <c r="CT474" s="399"/>
      <c r="CU474" s="399"/>
      <c r="CV474" s="399"/>
      <c r="CW474" s="399"/>
      <c r="CX474" s="399"/>
      <c r="CY474" s="399"/>
      <c r="CZ474" s="399"/>
      <c r="DA474" s="399"/>
      <c r="DB474" s="399"/>
      <c r="DC474" s="399"/>
      <c r="DD474" s="399"/>
      <c r="DE474" s="399"/>
      <c r="DF474" s="399"/>
      <c r="DG474" s="399"/>
      <c r="DH474" s="399"/>
      <c r="DI474" s="399"/>
      <c r="DJ474" s="399"/>
      <c r="DK474" s="399"/>
      <c r="DL474" s="399"/>
      <c r="DM474" s="399"/>
      <c r="DN474" s="399"/>
      <c r="DO474" s="399"/>
      <c r="DP474" s="399"/>
      <c r="DQ474" s="399"/>
    </row>
    <row r="475" spans="1:121" s="760" customFormat="1" ht="14.45" customHeight="1" x14ac:dyDescent="0.25">
      <c r="A475" s="266">
        <f t="shared" si="7"/>
        <v>36.866666666666667</v>
      </c>
      <c r="B475" s="389">
        <v>41750</v>
      </c>
      <c r="C475" s="390" t="s">
        <v>451</v>
      </c>
      <c r="D475" s="390" t="s">
        <v>451</v>
      </c>
      <c r="E475" s="390" t="s">
        <v>380</v>
      </c>
      <c r="F475" s="390" t="s">
        <v>185</v>
      </c>
      <c r="G475" s="390" t="s">
        <v>209</v>
      </c>
      <c r="H475" s="261"/>
      <c r="I475" s="261"/>
      <c r="J475" s="261">
        <v>15</v>
      </c>
      <c r="K475" s="261">
        <v>16</v>
      </c>
      <c r="L475" s="261">
        <v>50</v>
      </c>
      <c r="M475" s="261">
        <v>16</v>
      </c>
      <c r="N475" s="261">
        <v>7</v>
      </c>
      <c r="O475" s="261">
        <v>7</v>
      </c>
      <c r="P475" s="261">
        <v>7</v>
      </c>
      <c r="Q475" s="261">
        <v>13</v>
      </c>
      <c r="R475" s="261"/>
      <c r="S475" s="261"/>
      <c r="T475" s="261"/>
      <c r="U475" s="261"/>
      <c r="V475" s="762"/>
      <c r="W475" s="261"/>
      <c r="X475" s="261"/>
      <c r="Y475" s="264">
        <f>IF(NFI_Expiration=1,IF($A475&lt;VLOOKUP(H$5,NFI,5,0),1,0)*Table_NFI[[#This Row],[Hygiene Kit]],Table_NFI[Hygiene Kit])</f>
        <v>0</v>
      </c>
      <c r="Z475" s="264">
        <f>IF(NFI_Expiration=1,IF($A475&lt;VLOOKUP(I$5,NFI,5,0),1,0)*Table_NFI[[#This Row],[NFI Core Kit]],Table_NFI[NFI Core Kit])</f>
        <v>0</v>
      </c>
      <c r="AA475" s="264">
        <f>IF(NFI_Expiration=1,IF($A475&lt;VLOOKUP(J$5,NFI,5,0),1,0)*Table_NFI[[#This Row],[Sanitary Kit]],Table_NFI[Sanitary Kit])</f>
        <v>0</v>
      </c>
      <c r="AB475" s="264">
        <f>IF(NFI_Expiration=1,IF($A475&lt;VLOOKUP(K$5,NFI,5,0),1,0)*Table_NFI[[#This Row],[Mosquito net]],Table_NFI[Mosquito net])</f>
        <v>0</v>
      </c>
      <c r="AC475" s="264">
        <f>IF(NFI_Expiration=1,IF($A475&lt;VLOOKUP(L$5,NFI,5,0),1,0)*Table_NFI[[#This Row],[Tarpaulin]],Table_NFI[[#This Row],[Tarpaulin]])</f>
        <v>0</v>
      </c>
      <c r="AD475" s="264">
        <f>IF(NFI_Expiration=1,IF($A475&lt;VLOOKUP(M$5,NFI,5,0),1,0)*Table_NFI[[#This Row],[Blanket]],Table_NFI[[#This Row],[Blanket]])</f>
        <v>0</v>
      </c>
      <c r="AE475" s="264">
        <f>IF(NFI_Expiration=1,IF($A475&lt;VLOOKUP(N$5,NFI,5,0),1,0)*Table_NFI[[#This Row],[Kitchen Set]],Table_NFI[Kitchen Set])</f>
        <v>0</v>
      </c>
      <c r="AF475" s="264">
        <f>IF(NFI_Expiration=1,IF($A475&lt;VLOOKUP(O$5,NFI,5,0),1,0)*Table_NFI[[#This Row],[Clothes Kit]],Table_NFI[Clothes Kit])</f>
        <v>0</v>
      </c>
      <c r="AG475" s="264">
        <f>IF(NFI_Expiration=1,IF($A475&lt;VLOOKUP(P$5,NFI,5,0),1,0)*Table_NFI[[#This Row],[Plastic Bucket]],Table_NFI[Plastic Bucket])</f>
        <v>0</v>
      </c>
      <c r="AH475" s="264">
        <f>IF(NFI_Expiration=1,IF($A475&lt;VLOOKUP(Q$5,NFI,5,0),1,0)*Table_NFI[[#This Row],[Plastic Mat]],Table_NFI[Plastic Mat])*IF(Table_NFI[[#This Row],[Distribution Date]]&gt;"2014-04-01",1,2.5)</f>
        <v>0</v>
      </c>
      <c r="AI475" s="264">
        <f>IF(NFI_Expiration=1,IF($A475&lt;VLOOKUP(R$5,NFI,5,0),1,0)*Table_NFI[[#This Row],[Winter Clothes Adult]],Table_NFI[Winter Clothes Adult])</f>
        <v>0</v>
      </c>
      <c r="AJ475" s="264">
        <f>IF(NFI_Expiration=1,IF($A475&lt;VLOOKUP(S$5,NFI,5,0),1,0)*Table_NFI[[#This Row],[Winter Clothes Children]],Table_NFI[Winter Clothes Children])</f>
        <v>0</v>
      </c>
      <c r="AK475" s="264">
        <f>IF(NFI_Expiration=1,IF($A475&lt;VLOOKUP(T$5,NFI,5,0),1,0)*Table_NFI[[#This Row],[Winter Items Other]],Table_NFI[Winter Items Other])</f>
        <v>0</v>
      </c>
      <c r="AL475" s="264">
        <f>IF(NFI_Expiration=1,IF($A475&lt;VLOOKUP(M$5,NFI,5,0),1,0)*Table_NFI[[#This Row],[Winter Blanket]],Table_NFI[[#This Row],[Winter Blanket]])</f>
        <v>0</v>
      </c>
      <c r="AM475" s="264">
        <f>IF(Table_NFI[[#This Row],[Winter Clothes Adult]]+Table_NFI[[#This Row],[Winter Clothes Children]]+Table_NFI[[#This Row],[Winter Items Other]]+Table_NFI[[#This Row],[Winter Blanket]]&gt;0,1,0)</f>
        <v>0</v>
      </c>
      <c r="AN475" s="296">
        <f>IF(NFI_Expiration=1,IF($A475&lt;VLOOKUP(V$5,NFI,5,0),1,0)*Table_NFI[[#This Row],[Jerry Can]],Table_NFI[Jerry Can])</f>
        <v>0</v>
      </c>
      <c r="AO475" s="296">
        <f>IF(NFI_Expiration=1,IF($A475&lt;VLOOKUP(V$5,NFI,5,0),1,0)*Table_NFI[[#This Row],[Shelter Tool kit]],Table_NFI[Shelter Tool kit])</f>
        <v>0</v>
      </c>
      <c r="AP475" s="296">
        <f>IF(NFI_Expiration=1,IF($A475&lt;VLOOKUP(V$5,NFI,5,0),1,0)*Table_NFI[[#This Row],[Tent]],Table_NFI[Tent])</f>
        <v>0</v>
      </c>
      <c r="AQ475" s="396" t="str">
        <f>IFERROR(VLOOKUP(Table_NFI[[#This Row],[Camp Name]],CL,2,0),"")</f>
        <v>MMR001CMP056</v>
      </c>
      <c r="AR475" s="702">
        <f ca="1">IF(Table_NFI[[#This Row],[Pcode]]="","",IF(OFFSET(CampList[Opening Date],MATCH(Table_NFI[[#This Row],[Pcode]],CampList[CP_Pcode],0)-1,0,1,1)&gt;=NFI_Monitor_Date,1,0))</f>
        <v>0</v>
      </c>
      <c r="AS475" s="396" t="str">
        <f>IFERROR(VLOOKUP(Table_NFI[[#This Row],[Camp Name]],CL,3,0),"")</f>
        <v>Open</v>
      </c>
      <c r="AT475" s="264" t="str">
        <f ca="1">IF(Table_NFI[[#This Row],[Pcode]]="","",OFFSET(CampList[Priority],MATCH(Table_NFI[[#This Row],[Pcode]],CampList[CP_Pcode],0)-1,0,1,1))</f>
        <v>P4</v>
      </c>
      <c r="AU475" s="263">
        <f>IFERROR(Table_NFI[[#This Row],[Kitchen Set]]/VLOOKUP(Table_NFI[[#This Row],[Camp Name]],CL,4,0),"")</f>
        <v>1.7201130359995086E-4</v>
      </c>
      <c r="AV475" s="390" t="s">
        <v>1087</v>
      </c>
      <c r="AW475" s="392"/>
      <c r="AX475" s="399"/>
      <c r="AY475" s="399"/>
      <c r="AZ475" s="399"/>
      <c r="BA475" s="399"/>
      <c r="BB475" s="399"/>
      <c r="BC475" s="399"/>
      <c r="BD475" s="399"/>
      <c r="BE475" s="399"/>
      <c r="BF475" s="399"/>
      <c r="BG475" s="399"/>
      <c r="BH475" s="399"/>
      <c r="BI475" s="399"/>
      <c r="BJ475" s="399"/>
      <c r="BK475" s="399"/>
      <c r="BL475" s="399"/>
      <c r="BM475" s="399"/>
      <c r="BN475" s="399"/>
      <c r="BO475" s="399"/>
      <c r="BP475" s="399"/>
      <c r="BQ475" s="399"/>
      <c r="BR475" s="399"/>
      <c r="BS475" s="399"/>
      <c r="BT475" s="399"/>
      <c r="BU475" s="399"/>
      <c r="BV475" s="399"/>
      <c r="BW475" s="399"/>
      <c r="BX475" s="399"/>
      <c r="BY475" s="399"/>
      <c r="BZ475" s="399"/>
      <c r="CA475" s="399"/>
      <c r="CB475" s="399"/>
      <c r="CC475" s="399"/>
      <c r="CD475" s="399"/>
      <c r="CE475" s="399"/>
      <c r="CF475" s="399"/>
      <c r="CG475" s="399"/>
      <c r="CH475" s="399"/>
      <c r="CI475" s="399"/>
      <c r="CJ475" s="399"/>
      <c r="CK475" s="399"/>
      <c r="CL475" s="399"/>
      <c r="CM475" s="399"/>
      <c r="CN475" s="399"/>
      <c r="CO475" s="399"/>
      <c r="CP475" s="399"/>
      <c r="CQ475" s="399"/>
      <c r="CR475" s="399"/>
      <c r="CS475" s="399"/>
      <c r="CT475" s="399"/>
      <c r="CU475" s="399"/>
      <c r="CV475" s="399"/>
      <c r="CW475" s="399"/>
      <c r="CX475" s="399"/>
      <c r="CY475" s="399"/>
      <c r="CZ475" s="399"/>
      <c r="DA475" s="399"/>
      <c r="DB475" s="399"/>
      <c r="DC475" s="399"/>
      <c r="DD475" s="399"/>
      <c r="DE475" s="399"/>
      <c r="DF475" s="399"/>
      <c r="DG475" s="399"/>
      <c r="DH475" s="399"/>
      <c r="DI475" s="399"/>
      <c r="DJ475" s="399"/>
      <c r="DK475" s="399"/>
      <c r="DL475" s="399"/>
      <c r="DM475" s="399"/>
      <c r="DN475" s="399"/>
      <c r="DO475" s="399"/>
      <c r="DP475" s="399"/>
      <c r="DQ475" s="399"/>
    </row>
    <row r="476" spans="1:121" s="760" customFormat="1" ht="14.45" customHeight="1" x14ac:dyDescent="0.25">
      <c r="A476" s="266">
        <f t="shared" si="7"/>
        <v>36.866666666666667</v>
      </c>
      <c r="B476" s="389">
        <v>41750</v>
      </c>
      <c r="C476" s="390" t="s">
        <v>451</v>
      </c>
      <c r="D476" s="390"/>
      <c r="E476" s="390" t="s">
        <v>552</v>
      </c>
      <c r="F476" s="390" t="s">
        <v>289</v>
      </c>
      <c r="G476" s="390" t="s">
        <v>1051</v>
      </c>
      <c r="H476" s="261"/>
      <c r="I476" s="261"/>
      <c r="J476" s="261"/>
      <c r="K476" s="261">
        <v>0</v>
      </c>
      <c r="L476" s="261">
        <v>1</v>
      </c>
      <c r="M476" s="261">
        <v>167</v>
      </c>
      <c r="N476" s="261">
        <v>1</v>
      </c>
      <c r="O476" s="261">
        <v>0</v>
      </c>
      <c r="P476" s="261">
        <v>1</v>
      </c>
      <c r="Q476" s="261">
        <v>0</v>
      </c>
      <c r="R476" s="261"/>
      <c r="S476" s="261"/>
      <c r="T476" s="261"/>
      <c r="U476" s="261"/>
      <c r="V476" s="762"/>
      <c r="W476" s="261"/>
      <c r="X476" s="261"/>
      <c r="Y476" s="264">
        <f>IF(NFI_Expiration=1,IF($A476&lt;VLOOKUP(H$5,NFI,5,0),1,0)*Table_NFI[[#This Row],[Hygiene Kit]],Table_NFI[Hygiene Kit])</f>
        <v>0</v>
      </c>
      <c r="Z476" s="264">
        <f>IF(NFI_Expiration=1,IF($A476&lt;VLOOKUP(I$5,NFI,5,0),1,0)*Table_NFI[[#This Row],[NFI Core Kit]],Table_NFI[NFI Core Kit])</f>
        <v>0</v>
      </c>
      <c r="AA476" s="264">
        <f>IF(NFI_Expiration=1,IF($A476&lt;VLOOKUP(J$5,NFI,5,0),1,0)*Table_NFI[[#This Row],[Sanitary Kit]],Table_NFI[Sanitary Kit])</f>
        <v>0</v>
      </c>
      <c r="AB476" s="264">
        <f>IF(NFI_Expiration=1,IF($A476&lt;VLOOKUP(K$5,NFI,5,0),1,0)*Table_NFI[[#This Row],[Mosquito net]],Table_NFI[Mosquito net])</f>
        <v>0</v>
      </c>
      <c r="AC476" s="264">
        <f>IF(NFI_Expiration=1,IF($A476&lt;VLOOKUP(L$5,NFI,5,0),1,0)*Table_NFI[[#This Row],[Tarpaulin]],Table_NFI[[#This Row],[Tarpaulin]])</f>
        <v>0</v>
      </c>
      <c r="AD476" s="264">
        <f>IF(NFI_Expiration=1,IF($A476&lt;VLOOKUP(M$5,NFI,5,0),1,0)*Table_NFI[[#This Row],[Blanket]],Table_NFI[[#This Row],[Blanket]])</f>
        <v>0</v>
      </c>
      <c r="AE476" s="264">
        <f>IF(NFI_Expiration=1,IF($A476&lt;VLOOKUP(N$5,NFI,5,0),1,0)*Table_NFI[[#This Row],[Kitchen Set]],Table_NFI[Kitchen Set])</f>
        <v>0</v>
      </c>
      <c r="AF476" s="264">
        <f>IF(NFI_Expiration=1,IF($A476&lt;VLOOKUP(O$5,NFI,5,0),1,0)*Table_NFI[[#This Row],[Clothes Kit]],Table_NFI[Clothes Kit])</f>
        <v>0</v>
      </c>
      <c r="AG476" s="264">
        <f>IF(NFI_Expiration=1,IF($A476&lt;VLOOKUP(P$5,NFI,5,0),1,0)*Table_NFI[[#This Row],[Plastic Bucket]],Table_NFI[Plastic Bucket])</f>
        <v>0</v>
      </c>
      <c r="AH476" s="264">
        <f>IF(NFI_Expiration=1,IF($A476&lt;VLOOKUP(Q$5,NFI,5,0),1,0)*Table_NFI[[#This Row],[Plastic Mat]],Table_NFI[Plastic Mat])*IF(Table_NFI[[#This Row],[Distribution Date]]&gt;"2014-04-01",1,2.5)</f>
        <v>0</v>
      </c>
      <c r="AI476" s="264">
        <f>IF(NFI_Expiration=1,IF($A476&lt;VLOOKUP(R$5,NFI,5,0),1,0)*Table_NFI[[#This Row],[Winter Clothes Adult]],Table_NFI[Winter Clothes Adult])</f>
        <v>0</v>
      </c>
      <c r="AJ476" s="264">
        <f>IF(NFI_Expiration=1,IF($A476&lt;VLOOKUP(S$5,NFI,5,0),1,0)*Table_NFI[[#This Row],[Winter Clothes Children]],Table_NFI[Winter Clothes Children])</f>
        <v>0</v>
      </c>
      <c r="AK476" s="264">
        <f>IF(NFI_Expiration=1,IF($A476&lt;VLOOKUP(T$5,NFI,5,0),1,0)*Table_NFI[[#This Row],[Winter Items Other]],Table_NFI[Winter Items Other])</f>
        <v>0</v>
      </c>
      <c r="AL476" s="264">
        <f>IF(NFI_Expiration=1,IF($A476&lt;VLOOKUP(M$5,NFI,5,0),1,0)*Table_NFI[[#This Row],[Winter Blanket]],Table_NFI[[#This Row],[Winter Blanket]])</f>
        <v>0</v>
      </c>
      <c r="AM476" s="264">
        <f>IF(Table_NFI[[#This Row],[Winter Clothes Adult]]+Table_NFI[[#This Row],[Winter Clothes Children]]+Table_NFI[[#This Row],[Winter Items Other]]+Table_NFI[[#This Row],[Winter Blanket]]&gt;0,1,0)</f>
        <v>0</v>
      </c>
      <c r="AN476" s="296">
        <f>IF(NFI_Expiration=1,IF($A476&lt;VLOOKUP(V$5,NFI,5,0),1,0)*Table_NFI[[#This Row],[Jerry Can]],Table_NFI[Jerry Can])</f>
        <v>0</v>
      </c>
      <c r="AO476" s="296">
        <f>IF(NFI_Expiration=1,IF($A476&lt;VLOOKUP(V$5,NFI,5,0),1,0)*Table_NFI[[#This Row],[Shelter Tool kit]],Table_NFI[Shelter Tool kit])</f>
        <v>0</v>
      </c>
      <c r="AP476" s="296">
        <f>IF(NFI_Expiration=1,IF($A476&lt;VLOOKUP(V$5,NFI,5,0),1,0)*Table_NFI[[#This Row],[Tent]],Table_NFI[Tent])</f>
        <v>0</v>
      </c>
      <c r="AQ476" s="396" t="str">
        <f>IFERROR(VLOOKUP(Table_NFI[[#This Row],[Camp Name]],CL,2,0),"")</f>
        <v>MMR015CMP214</v>
      </c>
      <c r="AR476" s="702">
        <f ca="1">IF(Table_NFI[[#This Row],[Pcode]]="","",IF(OFFSET(CampList[Opening Date],MATCH(Table_NFI[[#This Row],[Pcode]],CampList[CP_Pcode],0)-1,0,1,1)&gt;=NFI_Monitor_Date,1,0))</f>
        <v>1</v>
      </c>
      <c r="AS476" s="396" t="str">
        <f>IFERROR(VLOOKUP(Table_NFI[[#This Row],[Camp Name]],CL,3,0),"")</f>
        <v>Open</v>
      </c>
      <c r="AT476" s="264" t="str">
        <f ca="1">IF(Table_NFI[[#This Row],[Pcode]]="","",OFFSET(CampList[Priority],MATCH(Table_NFI[[#This Row],[Pcode]],CampList[CP_Pcode],0)-1,0,1,1))</f>
        <v>P4</v>
      </c>
      <c r="AU476" s="263">
        <f>IFERROR(Table_NFI[[#This Row],[Kitchen Set]]/VLOOKUP(Table_NFI[[#This Row],[Camp Name]],CL,4,0),"")</f>
        <v>2.3839607123274607E-5</v>
      </c>
      <c r="AV476" s="390"/>
      <c r="AW476" s="392" t="s">
        <v>1221</v>
      </c>
      <c r="AX476" s="399"/>
      <c r="AY476" s="399"/>
      <c r="AZ476" s="399"/>
      <c r="BA476" s="399"/>
      <c r="BB476" s="399"/>
      <c r="BC476" s="399"/>
      <c r="BD476" s="399"/>
      <c r="BE476" s="399"/>
      <c r="BF476" s="399"/>
      <c r="BG476" s="399"/>
      <c r="BH476" s="399"/>
      <c r="BI476" s="399"/>
      <c r="BJ476" s="399"/>
      <c r="BK476" s="399"/>
      <c r="BL476" s="399"/>
      <c r="BM476" s="399"/>
      <c r="BN476" s="399"/>
      <c r="BO476" s="399"/>
      <c r="BP476" s="399"/>
      <c r="BQ476" s="399"/>
      <c r="BR476" s="399"/>
      <c r="BS476" s="399"/>
      <c r="BT476" s="399"/>
      <c r="BU476" s="399"/>
      <c r="BV476" s="399"/>
      <c r="BW476" s="399"/>
      <c r="BX476" s="399"/>
      <c r="BY476" s="399"/>
      <c r="BZ476" s="399"/>
      <c r="CA476" s="399"/>
      <c r="CB476" s="399"/>
      <c r="CC476" s="399"/>
      <c r="CD476" s="399"/>
      <c r="CE476" s="399"/>
      <c r="CF476" s="399"/>
      <c r="CG476" s="399"/>
      <c r="CH476" s="399"/>
      <c r="CI476" s="399"/>
      <c r="CJ476" s="399"/>
      <c r="CK476" s="399"/>
      <c r="CL476" s="399"/>
      <c r="CM476" s="399"/>
      <c r="CN476" s="399"/>
      <c r="CO476" s="399"/>
      <c r="CP476" s="399"/>
      <c r="CQ476" s="399"/>
      <c r="CR476" s="399"/>
      <c r="CS476" s="399"/>
      <c r="CT476" s="399"/>
      <c r="CU476" s="399"/>
      <c r="CV476" s="399"/>
      <c r="CW476" s="399"/>
      <c r="CX476" s="399"/>
      <c r="CY476" s="399"/>
      <c r="CZ476" s="399"/>
      <c r="DA476" s="399"/>
      <c r="DB476" s="399"/>
      <c r="DC476" s="399"/>
      <c r="DD476" s="399"/>
      <c r="DE476" s="399"/>
      <c r="DF476" s="399"/>
      <c r="DG476" s="399"/>
      <c r="DH476" s="399"/>
      <c r="DI476" s="399"/>
      <c r="DJ476" s="399"/>
      <c r="DK476" s="399"/>
      <c r="DL476" s="399"/>
      <c r="DM476" s="399"/>
      <c r="DN476" s="399"/>
      <c r="DO476" s="399"/>
      <c r="DP476" s="399"/>
      <c r="DQ476" s="399"/>
    </row>
    <row r="477" spans="1:121" s="760" customFormat="1" ht="14.45" customHeight="1" x14ac:dyDescent="0.25">
      <c r="A477" s="266">
        <f t="shared" si="7"/>
        <v>36.866666666666667</v>
      </c>
      <c r="B477" s="389">
        <v>41750</v>
      </c>
      <c r="C477" s="390" t="s">
        <v>451</v>
      </c>
      <c r="D477" s="390"/>
      <c r="E477" s="390" t="s">
        <v>552</v>
      </c>
      <c r="F477" s="390" t="s">
        <v>289</v>
      </c>
      <c r="G477" s="390" t="s">
        <v>1051</v>
      </c>
      <c r="H477" s="261"/>
      <c r="I477" s="261"/>
      <c r="J477" s="261"/>
      <c r="K477" s="261">
        <v>90</v>
      </c>
      <c r="L477" s="261">
        <v>49</v>
      </c>
      <c r="M477" s="261">
        <v>98</v>
      </c>
      <c r="N477" s="261">
        <v>49</v>
      </c>
      <c r="O477" s="261"/>
      <c r="P477" s="261">
        <v>49</v>
      </c>
      <c r="Q477" s="261">
        <v>225</v>
      </c>
      <c r="R477" s="261"/>
      <c r="S477" s="261"/>
      <c r="T477" s="261"/>
      <c r="U477" s="261"/>
      <c r="V477" s="762"/>
      <c r="W477" s="261"/>
      <c r="X477" s="261"/>
      <c r="Y477" s="264">
        <f>IF(NFI_Expiration=1,IF($A477&lt;VLOOKUP(H$5,NFI,5,0),1,0)*Table_NFI[[#This Row],[Hygiene Kit]],Table_NFI[Hygiene Kit])</f>
        <v>0</v>
      </c>
      <c r="Z477" s="264">
        <f>IF(NFI_Expiration=1,IF($A477&lt;VLOOKUP(I$5,NFI,5,0),1,0)*Table_NFI[[#This Row],[NFI Core Kit]],Table_NFI[NFI Core Kit])</f>
        <v>0</v>
      </c>
      <c r="AA477" s="264">
        <f>IF(NFI_Expiration=1,IF($A477&lt;VLOOKUP(J$5,NFI,5,0),1,0)*Table_NFI[[#This Row],[Sanitary Kit]],Table_NFI[Sanitary Kit])</f>
        <v>0</v>
      </c>
      <c r="AB477" s="264">
        <f>IF(NFI_Expiration=1,IF($A477&lt;VLOOKUP(K$5,NFI,5,0),1,0)*Table_NFI[[#This Row],[Mosquito net]],Table_NFI[Mosquito net])</f>
        <v>0</v>
      </c>
      <c r="AC477" s="264">
        <f>IF(NFI_Expiration=1,IF($A477&lt;VLOOKUP(L$5,NFI,5,0),1,0)*Table_NFI[[#This Row],[Tarpaulin]],Table_NFI[[#This Row],[Tarpaulin]])</f>
        <v>0</v>
      </c>
      <c r="AD477" s="264">
        <f>IF(NFI_Expiration=1,IF($A477&lt;VLOOKUP(M$5,NFI,5,0),1,0)*Table_NFI[[#This Row],[Blanket]],Table_NFI[[#This Row],[Blanket]])</f>
        <v>0</v>
      </c>
      <c r="AE477" s="264">
        <f>IF(NFI_Expiration=1,IF($A477&lt;VLOOKUP(N$5,NFI,5,0),1,0)*Table_NFI[[#This Row],[Kitchen Set]],Table_NFI[Kitchen Set])</f>
        <v>0</v>
      </c>
      <c r="AF477" s="264">
        <f>IF(NFI_Expiration=1,IF($A477&lt;VLOOKUP(O$5,NFI,5,0),1,0)*Table_NFI[[#This Row],[Clothes Kit]],Table_NFI[Clothes Kit])</f>
        <v>0</v>
      </c>
      <c r="AG477" s="264">
        <f>IF(NFI_Expiration=1,IF($A477&lt;VLOOKUP(P$5,NFI,5,0),1,0)*Table_NFI[[#This Row],[Plastic Bucket]],Table_NFI[Plastic Bucket])</f>
        <v>0</v>
      </c>
      <c r="AH477" s="264">
        <f>IF(NFI_Expiration=1,IF($A477&lt;VLOOKUP(Q$5,NFI,5,0),1,0)*Table_NFI[[#This Row],[Plastic Mat]],Table_NFI[Plastic Mat])*IF(Table_NFI[[#This Row],[Distribution Date]]&gt;"2014-04-01",1,2.5)</f>
        <v>0</v>
      </c>
      <c r="AI477" s="264">
        <f>IF(NFI_Expiration=1,IF($A477&lt;VLOOKUP(R$5,NFI,5,0),1,0)*Table_NFI[[#This Row],[Winter Clothes Adult]],Table_NFI[Winter Clothes Adult])</f>
        <v>0</v>
      </c>
      <c r="AJ477" s="264">
        <f>IF(NFI_Expiration=1,IF($A477&lt;VLOOKUP(S$5,NFI,5,0),1,0)*Table_NFI[[#This Row],[Winter Clothes Children]],Table_NFI[Winter Clothes Children])</f>
        <v>0</v>
      </c>
      <c r="AK477" s="264">
        <f>IF(NFI_Expiration=1,IF($A477&lt;VLOOKUP(T$5,NFI,5,0),1,0)*Table_NFI[[#This Row],[Winter Items Other]],Table_NFI[Winter Items Other])</f>
        <v>0</v>
      </c>
      <c r="AL477" s="264">
        <f>IF(NFI_Expiration=1,IF($A477&lt;VLOOKUP(M$5,NFI,5,0),1,0)*Table_NFI[[#This Row],[Winter Blanket]],Table_NFI[[#This Row],[Winter Blanket]])</f>
        <v>0</v>
      </c>
      <c r="AM477" s="264">
        <f>IF(Table_NFI[[#This Row],[Winter Clothes Adult]]+Table_NFI[[#This Row],[Winter Clothes Children]]+Table_NFI[[#This Row],[Winter Items Other]]+Table_NFI[[#This Row],[Winter Blanket]]&gt;0,1,0)</f>
        <v>0</v>
      </c>
      <c r="AN477" s="296">
        <f>IF(NFI_Expiration=1,IF($A477&lt;VLOOKUP(V$5,NFI,5,0),1,0)*Table_NFI[[#This Row],[Jerry Can]],Table_NFI[Jerry Can])</f>
        <v>0</v>
      </c>
      <c r="AO477" s="296">
        <f>IF(NFI_Expiration=1,IF($A477&lt;VLOOKUP(V$5,NFI,5,0),1,0)*Table_NFI[[#This Row],[Shelter Tool kit]],Table_NFI[Shelter Tool kit])</f>
        <v>0</v>
      </c>
      <c r="AP477" s="296">
        <f>IF(NFI_Expiration=1,IF($A477&lt;VLOOKUP(V$5,NFI,5,0),1,0)*Table_NFI[[#This Row],[Tent]],Table_NFI[Tent])</f>
        <v>0</v>
      </c>
      <c r="AQ477" s="396" t="str">
        <f>IFERROR(VLOOKUP(Table_NFI[[#This Row],[Camp Name]],CL,2,0),"")</f>
        <v>MMR015CMP214</v>
      </c>
      <c r="AR477" s="702">
        <f ca="1">IF(Table_NFI[[#This Row],[Pcode]]="","",IF(OFFSET(CampList[Opening Date],MATCH(Table_NFI[[#This Row],[Pcode]],CampList[CP_Pcode],0)-1,0,1,1)&gt;=NFI_Monitor_Date,1,0))</f>
        <v>1</v>
      </c>
      <c r="AS477" s="396" t="str">
        <f>IFERROR(VLOOKUP(Table_NFI[[#This Row],[Camp Name]],CL,3,0),"")</f>
        <v>Open</v>
      </c>
      <c r="AT477" s="264" t="str">
        <f ca="1">IF(Table_NFI[[#This Row],[Pcode]]="","",OFFSET(CampList[Priority],MATCH(Table_NFI[[#This Row],[Pcode]],CampList[CP_Pcode],0)-1,0,1,1))</f>
        <v>P4</v>
      </c>
      <c r="AU477" s="263">
        <f>IFERROR(Table_NFI[[#This Row],[Kitchen Set]]/VLOOKUP(Table_NFI[[#This Row],[Camp Name]],CL,4,0),"")</f>
        <v>1.1681407490404558E-3</v>
      </c>
      <c r="AV477" s="390"/>
      <c r="AW477" s="392"/>
      <c r="AX477" s="399"/>
      <c r="AY477" s="399"/>
      <c r="AZ477" s="399"/>
      <c r="BA477" s="399"/>
      <c r="BB477" s="399"/>
      <c r="BC477" s="399"/>
      <c r="BD477" s="399"/>
      <c r="BE477" s="399"/>
      <c r="BF477" s="399"/>
      <c r="BG477" s="399"/>
      <c r="BH477" s="399"/>
      <c r="BI477" s="399"/>
      <c r="BJ477" s="399"/>
      <c r="BK477" s="399"/>
      <c r="BL477" s="399"/>
      <c r="BM477" s="399"/>
      <c r="BN477" s="399"/>
      <c r="BO477" s="399"/>
      <c r="BP477" s="399"/>
      <c r="BQ477" s="399"/>
      <c r="BR477" s="399"/>
      <c r="BS477" s="399"/>
      <c r="BT477" s="399"/>
      <c r="BU477" s="399"/>
      <c r="BV477" s="399"/>
      <c r="BW477" s="399"/>
      <c r="BX477" s="399"/>
      <c r="BY477" s="399"/>
      <c r="BZ477" s="399"/>
      <c r="CA477" s="399"/>
      <c r="CB477" s="399"/>
      <c r="CC477" s="399"/>
      <c r="CD477" s="399"/>
      <c r="CE477" s="399"/>
      <c r="CF477" s="399"/>
      <c r="CG477" s="399"/>
      <c r="CH477" s="399"/>
      <c r="CI477" s="399"/>
      <c r="CJ477" s="399"/>
      <c r="CK477" s="399"/>
      <c r="CL477" s="399"/>
      <c r="CM477" s="399"/>
      <c r="CN477" s="399"/>
      <c r="CO477" s="399"/>
      <c r="CP477" s="399"/>
      <c r="CQ477" s="399"/>
      <c r="CR477" s="399"/>
      <c r="CS477" s="399"/>
      <c r="CT477" s="399"/>
      <c r="CU477" s="399"/>
      <c r="CV477" s="399"/>
      <c r="CW477" s="399"/>
      <c r="CX477" s="399"/>
      <c r="CY477" s="399"/>
      <c r="CZ477" s="399"/>
      <c r="DA477" s="399"/>
      <c r="DB477" s="399"/>
      <c r="DC477" s="399"/>
      <c r="DD477" s="399"/>
      <c r="DE477" s="399"/>
      <c r="DF477" s="399"/>
      <c r="DG477" s="399"/>
      <c r="DH477" s="399"/>
      <c r="DI477" s="399"/>
      <c r="DJ477" s="399"/>
      <c r="DK477" s="399"/>
      <c r="DL477" s="399"/>
      <c r="DM477" s="399"/>
      <c r="DN477" s="399"/>
      <c r="DO477" s="399"/>
      <c r="DP477" s="399"/>
      <c r="DQ477" s="399"/>
    </row>
    <row r="478" spans="1:121" s="393" customFormat="1" ht="14.45" customHeight="1" x14ac:dyDescent="0.25">
      <c r="A478" s="266">
        <f t="shared" si="7"/>
        <v>36.9</v>
      </c>
      <c r="B478" s="389">
        <v>41749</v>
      </c>
      <c r="C478" s="390" t="s">
        <v>451</v>
      </c>
      <c r="D478" s="390"/>
      <c r="E478" s="390" t="s">
        <v>380</v>
      </c>
      <c r="F478" s="390" t="s">
        <v>151</v>
      </c>
      <c r="G478" s="390" t="s">
        <v>160</v>
      </c>
      <c r="H478" s="261"/>
      <c r="I478" s="261"/>
      <c r="J478" s="261"/>
      <c r="K478" s="261">
        <v>220</v>
      </c>
      <c r="L478" s="261">
        <v>110</v>
      </c>
      <c r="M478" s="261">
        <v>1000</v>
      </c>
      <c r="N478" s="261">
        <v>110</v>
      </c>
      <c r="O478" s="261"/>
      <c r="P478" s="261">
        <v>110</v>
      </c>
      <c r="Q478" s="261">
        <v>550</v>
      </c>
      <c r="R478" s="261"/>
      <c r="S478" s="261"/>
      <c r="T478" s="261"/>
      <c r="U478" s="261"/>
      <c r="V478" s="762"/>
      <c r="W478" s="261"/>
      <c r="X478" s="261"/>
      <c r="Y478" s="264">
        <f>IF(NFI_Expiration=1,IF($A478&lt;VLOOKUP(H$5,NFI,5,0),1,0)*Table_NFI[[#This Row],[Hygiene Kit]],Table_NFI[Hygiene Kit])</f>
        <v>0</v>
      </c>
      <c r="Z478" s="264">
        <f>IF(NFI_Expiration=1,IF($A478&lt;VLOOKUP(I$5,NFI,5,0),1,0)*Table_NFI[[#This Row],[NFI Core Kit]],Table_NFI[NFI Core Kit])</f>
        <v>0</v>
      </c>
      <c r="AA478" s="264">
        <f>IF(NFI_Expiration=1,IF($A478&lt;VLOOKUP(J$5,NFI,5,0),1,0)*Table_NFI[[#This Row],[Sanitary Kit]],Table_NFI[Sanitary Kit])</f>
        <v>0</v>
      </c>
      <c r="AB478" s="264">
        <f>IF(NFI_Expiration=1,IF($A478&lt;VLOOKUP(K$5,NFI,5,0),1,0)*Table_NFI[[#This Row],[Mosquito net]],Table_NFI[Mosquito net])</f>
        <v>0</v>
      </c>
      <c r="AC478" s="264">
        <f>IF(NFI_Expiration=1,IF($A478&lt;VLOOKUP(L$5,NFI,5,0),1,0)*Table_NFI[[#This Row],[Tarpaulin]],Table_NFI[[#This Row],[Tarpaulin]])</f>
        <v>0</v>
      </c>
      <c r="AD478" s="264">
        <f>IF(NFI_Expiration=1,IF($A478&lt;VLOOKUP(M$5,NFI,5,0),1,0)*Table_NFI[[#This Row],[Blanket]],Table_NFI[[#This Row],[Blanket]])</f>
        <v>0</v>
      </c>
      <c r="AE478" s="264">
        <f>IF(NFI_Expiration=1,IF($A478&lt;VLOOKUP(N$5,NFI,5,0),1,0)*Table_NFI[[#This Row],[Kitchen Set]],Table_NFI[Kitchen Set])</f>
        <v>0</v>
      </c>
      <c r="AF478" s="264">
        <f>IF(NFI_Expiration=1,IF($A478&lt;VLOOKUP(O$5,NFI,5,0),1,0)*Table_NFI[[#This Row],[Clothes Kit]],Table_NFI[Clothes Kit])</f>
        <v>0</v>
      </c>
      <c r="AG478" s="264">
        <f>IF(NFI_Expiration=1,IF($A478&lt;VLOOKUP(P$5,NFI,5,0),1,0)*Table_NFI[[#This Row],[Plastic Bucket]],Table_NFI[Plastic Bucket])</f>
        <v>0</v>
      </c>
      <c r="AH478" s="264">
        <f>IF(NFI_Expiration=1,IF($A478&lt;VLOOKUP(Q$5,NFI,5,0),1,0)*Table_NFI[[#This Row],[Plastic Mat]],Table_NFI[Plastic Mat])*IF(Table_NFI[[#This Row],[Distribution Date]]&gt;"2014-04-01",1,2.5)</f>
        <v>0</v>
      </c>
      <c r="AI478" s="264">
        <f>IF(NFI_Expiration=1,IF($A478&lt;VLOOKUP(R$5,NFI,5,0),1,0)*Table_NFI[[#This Row],[Winter Clothes Adult]],Table_NFI[Winter Clothes Adult])</f>
        <v>0</v>
      </c>
      <c r="AJ478" s="264">
        <f>IF(NFI_Expiration=1,IF($A478&lt;VLOOKUP(S$5,NFI,5,0),1,0)*Table_NFI[[#This Row],[Winter Clothes Children]],Table_NFI[Winter Clothes Children])</f>
        <v>0</v>
      </c>
      <c r="AK478" s="264">
        <f>IF(NFI_Expiration=1,IF($A478&lt;VLOOKUP(T$5,NFI,5,0),1,0)*Table_NFI[[#This Row],[Winter Items Other]],Table_NFI[Winter Items Other])</f>
        <v>0</v>
      </c>
      <c r="AL478" s="264">
        <f>IF(NFI_Expiration=1,IF($A478&lt;VLOOKUP(M$5,NFI,5,0),1,0)*Table_NFI[[#This Row],[Winter Blanket]],Table_NFI[[#This Row],[Winter Blanket]])</f>
        <v>0</v>
      </c>
      <c r="AM478" s="264">
        <f>IF(Table_NFI[[#This Row],[Winter Clothes Adult]]+Table_NFI[[#This Row],[Winter Clothes Children]]+Table_NFI[[#This Row],[Winter Items Other]]+Table_NFI[[#This Row],[Winter Blanket]]&gt;0,1,0)</f>
        <v>0</v>
      </c>
      <c r="AN478" s="296">
        <f>IF(NFI_Expiration=1,IF($A478&lt;VLOOKUP(V$5,NFI,5,0),1,0)*Table_NFI[[#This Row],[Jerry Can]],Table_NFI[Jerry Can])</f>
        <v>0</v>
      </c>
      <c r="AO478" s="296">
        <f>IF(NFI_Expiration=1,IF($A478&lt;VLOOKUP(V$5,NFI,5,0),1,0)*Table_NFI[[#This Row],[Shelter Tool kit]],Table_NFI[Shelter Tool kit])</f>
        <v>0</v>
      </c>
      <c r="AP478" s="296">
        <f>IF(NFI_Expiration=1,IF($A478&lt;VLOOKUP(V$5,NFI,5,0),1,0)*Table_NFI[[#This Row],[Tent]],Table_NFI[Tent])</f>
        <v>0</v>
      </c>
      <c r="AQ478" s="396" t="str">
        <f>IFERROR(VLOOKUP(Table_NFI[[#This Row],[Camp Name]],CL,2,0),"")</f>
        <v>MMR001CMP133</v>
      </c>
      <c r="AR478" s="702">
        <f ca="1">IF(Table_NFI[[#This Row],[Pcode]]="","",IF(OFFSET(CampList[Opening Date],MATCH(Table_NFI[[#This Row],[Pcode]],CampList[CP_Pcode],0)-1,0,1,1)&gt;=NFI_Monitor_Date,1,0))</f>
        <v>0</v>
      </c>
      <c r="AS478" s="396" t="str">
        <f>IFERROR(VLOOKUP(Table_NFI[[#This Row],[Camp Name]],CL,3,0),"")</f>
        <v>Open</v>
      </c>
      <c r="AT478" s="264" t="str">
        <f ca="1">IF(Table_NFI[[#This Row],[Pcode]]="","",OFFSET(CampList[Priority],MATCH(Table_NFI[[#This Row],[Pcode]],CampList[CP_Pcode],0)-1,0,1,1))</f>
        <v>P4</v>
      </c>
      <c r="AU478" s="263">
        <f>IFERROR(Table_NFI[[#This Row],[Kitchen Set]]/VLOOKUP(Table_NFI[[#This Row],[Camp Name]],CL,4,0),"")</f>
        <v>2.6868588177821201E-3</v>
      </c>
      <c r="AV478" s="390"/>
      <c r="AW478" s="392"/>
      <c r="AX478" s="399"/>
      <c r="AY478" s="399"/>
      <c r="AZ478" s="399"/>
      <c r="BA478" s="399"/>
      <c r="BB478" s="399"/>
      <c r="BC478" s="399"/>
      <c r="BD478" s="399"/>
      <c r="BE478" s="399"/>
      <c r="BF478" s="399"/>
      <c r="BG478" s="399"/>
      <c r="BH478" s="399"/>
      <c r="BI478" s="399"/>
      <c r="BJ478" s="399"/>
      <c r="BK478" s="399"/>
      <c r="BL478" s="399"/>
      <c r="BM478" s="399"/>
      <c r="BN478" s="399"/>
      <c r="BO478" s="399"/>
      <c r="BP478" s="399"/>
      <c r="BQ478" s="399"/>
      <c r="BR478" s="399"/>
      <c r="BS478" s="399"/>
      <c r="BT478" s="399"/>
      <c r="BU478" s="399"/>
      <c r="BV478" s="399"/>
      <c r="BW478" s="399"/>
      <c r="BX478" s="399"/>
      <c r="BY478" s="399"/>
      <c r="BZ478" s="399"/>
      <c r="CA478" s="399"/>
      <c r="CB478" s="399"/>
      <c r="CC478" s="399"/>
      <c r="CD478" s="399"/>
      <c r="CE478" s="399"/>
      <c r="CF478" s="399"/>
      <c r="CG478" s="399"/>
      <c r="CH478" s="399"/>
      <c r="CI478" s="399"/>
      <c r="CJ478" s="399"/>
      <c r="CK478" s="399"/>
      <c r="CL478" s="399"/>
      <c r="CM478" s="399"/>
      <c r="CN478" s="399"/>
      <c r="CO478" s="399"/>
      <c r="CP478" s="399"/>
      <c r="CQ478" s="399"/>
      <c r="CR478" s="399"/>
      <c r="CS478" s="399"/>
      <c r="CT478" s="399"/>
      <c r="CU478" s="399"/>
      <c r="CV478" s="399"/>
      <c r="CW478" s="399"/>
      <c r="CX478" s="399"/>
      <c r="CY478" s="399"/>
      <c r="CZ478" s="399"/>
      <c r="DA478" s="399"/>
      <c r="DB478" s="399"/>
      <c r="DC478" s="399"/>
      <c r="DD478" s="399"/>
      <c r="DE478" s="399"/>
      <c r="DF478" s="399"/>
      <c r="DG478" s="399"/>
      <c r="DH478" s="399"/>
      <c r="DI478" s="399"/>
      <c r="DJ478" s="399"/>
      <c r="DK478" s="399"/>
      <c r="DL478" s="399"/>
      <c r="DM478" s="399"/>
      <c r="DN478" s="399"/>
      <c r="DO478" s="399"/>
      <c r="DP478" s="399"/>
      <c r="DQ478" s="399"/>
    </row>
    <row r="479" spans="1:121" s="760" customFormat="1" ht="14.45" customHeight="1" x14ac:dyDescent="0.25">
      <c r="A479" s="266">
        <f t="shared" si="7"/>
        <v>36.93333333333333</v>
      </c>
      <c r="B479" s="389">
        <v>41748</v>
      </c>
      <c r="C479" s="390" t="s">
        <v>451</v>
      </c>
      <c r="D479" s="390"/>
      <c r="E479" s="390" t="s">
        <v>380</v>
      </c>
      <c r="F479" s="390" t="s">
        <v>151</v>
      </c>
      <c r="G479" s="390" t="s">
        <v>154</v>
      </c>
      <c r="H479" s="261"/>
      <c r="I479" s="261"/>
      <c r="J479" s="261"/>
      <c r="K479" s="261">
        <v>400</v>
      </c>
      <c r="L479" s="261">
        <v>190</v>
      </c>
      <c r="M479" s="261">
        <v>870</v>
      </c>
      <c r="N479" s="261">
        <v>190</v>
      </c>
      <c r="O479" s="261"/>
      <c r="P479" s="261">
        <v>190</v>
      </c>
      <c r="Q479" s="261">
        <v>1000</v>
      </c>
      <c r="R479" s="261"/>
      <c r="S479" s="261"/>
      <c r="T479" s="261"/>
      <c r="U479" s="261"/>
      <c r="V479" s="762"/>
      <c r="W479" s="261"/>
      <c r="X479" s="261"/>
      <c r="Y479" s="264">
        <f>IF(NFI_Expiration=1,IF($A479&lt;VLOOKUP(H$5,NFI,5,0),1,0)*Table_NFI[[#This Row],[Hygiene Kit]],Table_NFI[Hygiene Kit])</f>
        <v>0</v>
      </c>
      <c r="Z479" s="264">
        <f>IF(NFI_Expiration=1,IF($A479&lt;VLOOKUP(I$5,NFI,5,0),1,0)*Table_NFI[[#This Row],[NFI Core Kit]],Table_NFI[NFI Core Kit])</f>
        <v>0</v>
      </c>
      <c r="AA479" s="264">
        <f>IF(NFI_Expiration=1,IF($A479&lt;VLOOKUP(J$5,NFI,5,0),1,0)*Table_NFI[[#This Row],[Sanitary Kit]],Table_NFI[Sanitary Kit])</f>
        <v>0</v>
      </c>
      <c r="AB479" s="264">
        <f>IF(NFI_Expiration=1,IF($A479&lt;VLOOKUP(K$5,NFI,5,0),1,0)*Table_NFI[[#This Row],[Mosquito net]],Table_NFI[Mosquito net])</f>
        <v>0</v>
      </c>
      <c r="AC479" s="264">
        <f>IF(NFI_Expiration=1,IF($A479&lt;VLOOKUP(L$5,NFI,5,0),1,0)*Table_NFI[[#This Row],[Tarpaulin]],Table_NFI[[#This Row],[Tarpaulin]])</f>
        <v>0</v>
      </c>
      <c r="AD479" s="264">
        <f>IF(NFI_Expiration=1,IF($A479&lt;VLOOKUP(M$5,NFI,5,0),1,0)*Table_NFI[[#This Row],[Blanket]],Table_NFI[[#This Row],[Blanket]])</f>
        <v>0</v>
      </c>
      <c r="AE479" s="264">
        <f>IF(NFI_Expiration=1,IF($A479&lt;VLOOKUP(N$5,NFI,5,0),1,0)*Table_NFI[[#This Row],[Kitchen Set]],Table_NFI[Kitchen Set])</f>
        <v>0</v>
      </c>
      <c r="AF479" s="264">
        <f>IF(NFI_Expiration=1,IF($A479&lt;VLOOKUP(O$5,NFI,5,0),1,0)*Table_NFI[[#This Row],[Clothes Kit]],Table_NFI[Clothes Kit])</f>
        <v>0</v>
      </c>
      <c r="AG479" s="264">
        <f>IF(NFI_Expiration=1,IF($A479&lt;VLOOKUP(P$5,NFI,5,0),1,0)*Table_NFI[[#This Row],[Plastic Bucket]],Table_NFI[Plastic Bucket])</f>
        <v>0</v>
      </c>
      <c r="AH479" s="264">
        <f>IF(NFI_Expiration=1,IF($A479&lt;VLOOKUP(Q$5,NFI,5,0),1,0)*Table_NFI[[#This Row],[Plastic Mat]],Table_NFI[Plastic Mat])*IF(Table_NFI[[#This Row],[Distribution Date]]&gt;"2014-04-01",1,2.5)</f>
        <v>0</v>
      </c>
      <c r="AI479" s="264">
        <f>IF(NFI_Expiration=1,IF($A479&lt;VLOOKUP(R$5,NFI,5,0),1,0)*Table_NFI[[#This Row],[Winter Clothes Adult]],Table_NFI[Winter Clothes Adult])</f>
        <v>0</v>
      </c>
      <c r="AJ479" s="264">
        <f>IF(NFI_Expiration=1,IF($A479&lt;VLOOKUP(S$5,NFI,5,0),1,0)*Table_NFI[[#This Row],[Winter Clothes Children]],Table_NFI[Winter Clothes Children])</f>
        <v>0</v>
      </c>
      <c r="AK479" s="264">
        <f>IF(NFI_Expiration=1,IF($A479&lt;VLOOKUP(T$5,NFI,5,0),1,0)*Table_NFI[[#This Row],[Winter Items Other]],Table_NFI[Winter Items Other])</f>
        <v>0</v>
      </c>
      <c r="AL479" s="264">
        <f>IF(NFI_Expiration=1,IF($A479&lt;VLOOKUP(M$5,NFI,5,0),1,0)*Table_NFI[[#This Row],[Winter Blanket]],Table_NFI[[#This Row],[Winter Blanket]])</f>
        <v>0</v>
      </c>
      <c r="AM479" s="264">
        <f>IF(Table_NFI[[#This Row],[Winter Clothes Adult]]+Table_NFI[[#This Row],[Winter Clothes Children]]+Table_NFI[[#This Row],[Winter Items Other]]+Table_NFI[[#This Row],[Winter Blanket]]&gt;0,1,0)</f>
        <v>0</v>
      </c>
      <c r="AN479" s="296">
        <f>IF(NFI_Expiration=1,IF($A479&lt;VLOOKUP(V$5,NFI,5,0),1,0)*Table_NFI[[#This Row],[Jerry Can]],Table_NFI[Jerry Can])</f>
        <v>0</v>
      </c>
      <c r="AO479" s="296">
        <f>IF(NFI_Expiration=1,IF($A479&lt;VLOOKUP(V$5,NFI,5,0),1,0)*Table_NFI[[#This Row],[Shelter Tool kit]],Table_NFI[Shelter Tool kit])</f>
        <v>0</v>
      </c>
      <c r="AP479" s="296">
        <f>IF(NFI_Expiration=1,IF($A479&lt;VLOOKUP(V$5,NFI,5,0),1,0)*Table_NFI[[#This Row],[Tent]],Table_NFI[Tent])</f>
        <v>0</v>
      </c>
      <c r="AQ479" s="396" t="str">
        <f>IFERROR(VLOOKUP(Table_NFI[[#This Row],[Camp Name]],CL,2,0),"")</f>
        <v>MMR001CMP132</v>
      </c>
      <c r="AR479" s="702">
        <f ca="1">IF(Table_NFI[[#This Row],[Pcode]]="","",IF(OFFSET(CampList[Opening Date],MATCH(Table_NFI[[#This Row],[Pcode]],CampList[CP_Pcode],0)-1,0,1,1)&gt;=NFI_Monitor_Date,1,0))</f>
        <v>0</v>
      </c>
      <c r="AS479" s="396" t="str">
        <f>IFERROR(VLOOKUP(Table_NFI[[#This Row],[Camp Name]],CL,3,0),"")</f>
        <v>Open</v>
      </c>
      <c r="AT479" s="264" t="str">
        <f ca="1">IF(Table_NFI[[#This Row],[Pcode]]="","",OFFSET(CampList[Priority],MATCH(Table_NFI[[#This Row],[Pcode]],CampList[CP_Pcode],0)-1,0,1,1))</f>
        <v>P4</v>
      </c>
      <c r="AU479" s="263">
        <f>IFERROR(Table_NFI[[#This Row],[Kitchen Set]]/VLOOKUP(Table_NFI[[#This Row],[Camp Name]],CL,4,0),"")</f>
        <v>4.6513905209557387E-3</v>
      </c>
      <c r="AV479" s="390"/>
      <c r="AW479" s="392"/>
      <c r="AX479" s="399"/>
      <c r="AY479" s="399"/>
      <c r="AZ479" s="399"/>
      <c r="BA479" s="399"/>
      <c r="BB479" s="399"/>
      <c r="BC479" s="399"/>
      <c r="BD479" s="399"/>
      <c r="BE479" s="399"/>
      <c r="BF479" s="399"/>
      <c r="BG479" s="399"/>
      <c r="BH479" s="399"/>
      <c r="BI479" s="399"/>
      <c r="BJ479" s="399"/>
      <c r="BK479" s="399"/>
      <c r="BL479" s="399"/>
      <c r="BM479" s="399"/>
      <c r="BN479" s="399"/>
      <c r="BO479" s="399"/>
      <c r="BP479" s="399"/>
      <c r="BQ479" s="399"/>
      <c r="BR479" s="399"/>
      <c r="BS479" s="399"/>
      <c r="BT479" s="399"/>
      <c r="BU479" s="399"/>
      <c r="BV479" s="399"/>
      <c r="BW479" s="399"/>
      <c r="BX479" s="399"/>
      <c r="BY479" s="399"/>
      <c r="BZ479" s="399"/>
      <c r="CA479" s="399"/>
      <c r="CB479" s="399"/>
      <c r="CC479" s="399"/>
      <c r="CD479" s="399"/>
      <c r="CE479" s="399"/>
      <c r="CF479" s="399"/>
      <c r="CG479" s="399"/>
      <c r="CH479" s="399"/>
      <c r="CI479" s="399"/>
      <c r="CJ479" s="399"/>
      <c r="CK479" s="399"/>
      <c r="CL479" s="399"/>
      <c r="CM479" s="399"/>
      <c r="CN479" s="399"/>
      <c r="CO479" s="399"/>
      <c r="CP479" s="399"/>
      <c r="CQ479" s="399"/>
      <c r="CR479" s="399"/>
      <c r="CS479" s="399"/>
      <c r="CT479" s="399"/>
      <c r="CU479" s="399"/>
      <c r="CV479" s="399"/>
      <c r="CW479" s="399"/>
      <c r="CX479" s="399"/>
      <c r="CY479" s="399"/>
      <c r="CZ479" s="399"/>
      <c r="DA479" s="399"/>
      <c r="DB479" s="399"/>
      <c r="DC479" s="399"/>
      <c r="DD479" s="399"/>
      <c r="DE479" s="399"/>
      <c r="DF479" s="399"/>
      <c r="DG479" s="399"/>
      <c r="DH479" s="399"/>
      <c r="DI479" s="399"/>
      <c r="DJ479" s="399"/>
      <c r="DK479" s="399"/>
      <c r="DL479" s="399"/>
      <c r="DM479" s="399"/>
      <c r="DN479" s="399"/>
      <c r="DO479" s="399"/>
      <c r="DP479" s="399"/>
      <c r="DQ479" s="399"/>
    </row>
    <row r="480" spans="1:121" s="760" customFormat="1" ht="14.45" customHeight="1" x14ac:dyDescent="0.25">
      <c r="A480" s="266">
        <f t="shared" si="7"/>
        <v>37</v>
      </c>
      <c r="B480" s="389">
        <v>41746</v>
      </c>
      <c r="C480" s="390" t="s">
        <v>451</v>
      </c>
      <c r="D480" s="390" t="s">
        <v>451</v>
      </c>
      <c r="E480" s="390" t="s">
        <v>380</v>
      </c>
      <c r="F480" s="390" t="s">
        <v>185</v>
      </c>
      <c r="G480" s="390" t="s">
        <v>209</v>
      </c>
      <c r="H480" s="261"/>
      <c r="I480" s="261"/>
      <c r="J480" s="261"/>
      <c r="K480" s="261">
        <v>8</v>
      </c>
      <c r="L480" s="261">
        <v>4</v>
      </c>
      <c r="M480" s="261">
        <v>12</v>
      </c>
      <c r="N480" s="261">
        <v>4</v>
      </c>
      <c r="O480" s="261">
        <v>4</v>
      </c>
      <c r="P480" s="261">
        <v>4</v>
      </c>
      <c r="Q480" s="261">
        <v>41</v>
      </c>
      <c r="R480" s="261"/>
      <c r="S480" s="261"/>
      <c r="T480" s="261"/>
      <c r="U480" s="261"/>
      <c r="V480" s="762"/>
      <c r="W480" s="261"/>
      <c r="X480" s="261"/>
      <c r="Y480" s="264">
        <f>IF(NFI_Expiration=1,IF($A480&lt;VLOOKUP(H$5,NFI,5,0),1,0)*Table_NFI[[#This Row],[Hygiene Kit]],Table_NFI[Hygiene Kit])</f>
        <v>0</v>
      </c>
      <c r="Z480" s="264">
        <f>IF(NFI_Expiration=1,IF($A480&lt;VLOOKUP(I$5,NFI,5,0),1,0)*Table_NFI[[#This Row],[NFI Core Kit]],Table_NFI[NFI Core Kit])</f>
        <v>0</v>
      </c>
      <c r="AA480" s="264">
        <f>IF(NFI_Expiration=1,IF($A480&lt;VLOOKUP(J$5,NFI,5,0),1,0)*Table_NFI[[#This Row],[Sanitary Kit]],Table_NFI[Sanitary Kit])</f>
        <v>0</v>
      </c>
      <c r="AB480" s="264">
        <f>IF(NFI_Expiration=1,IF($A480&lt;VLOOKUP(K$5,NFI,5,0),1,0)*Table_NFI[[#This Row],[Mosquito net]],Table_NFI[Mosquito net])</f>
        <v>0</v>
      </c>
      <c r="AC480" s="264">
        <f>IF(NFI_Expiration=1,IF($A480&lt;VLOOKUP(L$5,NFI,5,0),1,0)*Table_NFI[[#This Row],[Tarpaulin]],Table_NFI[[#This Row],[Tarpaulin]])</f>
        <v>0</v>
      </c>
      <c r="AD480" s="264">
        <f>IF(NFI_Expiration=1,IF($A480&lt;VLOOKUP(M$5,NFI,5,0),1,0)*Table_NFI[[#This Row],[Blanket]],Table_NFI[[#This Row],[Blanket]])</f>
        <v>0</v>
      </c>
      <c r="AE480" s="264">
        <f>IF(NFI_Expiration=1,IF($A480&lt;VLOOKUP(N$5,NFI,5,0),1,0)*Table_NFI[[#This Row],[Kitchen Set]],Table_NFI[Kitchen Set])</f>
        <v>0</v>
      </c>
      <c r="AF480" s="264">
        <f>IF(NFI_Expiration=1,IF($A480&lt;VLOOKUP(O$5,NFI,5,0),1,0)*Table_NFI[[#This Row],[Clothes Kit]],Table_NFI[Clothes Kit])</f>
        <v>0</v>
      </c>
      <c r="AG480" s="264">
        <f>IF(NFI_Expiration=1,IF($A480&lt;VLOOKUP(P$5,NFI,5,0),1,0)*Table_NFI[[#This Row],[Plastic Bucket]],Table_NFI[Plastic Bucket])</f>
        <v>0</v>
      </c>
      <c r="AH480" s="264">
        <f>IF(NFI_Expiration=1,IF($A480&lt;VLOOKUP(Q$5,NFI,5,0),1,0)*Table_NFI[[#This Row],[Plastic Mat]],Table_NFI[Plastic Mat])*IF(Table_NFI[[#This Row],[Distribution Date]]&gt;"2014-04-01",1,2.5)</f>
        <v>0</v>
      </c>
      <c r="AI480" s="264">
        <f>IF(NFI_Expiration=1,IF($A480&lt;VLOOKUP(R$5,NFI,5,0),1,0)*Table_NFI[[#This Row],[Winter Clothes Adult]],Table_NFI[Winter Clothes Adult])</f>
        <v>0</v>
      </c>
      <c r="AJ480" s="264">
        <f>IF(NFI_Expiration=1,IF($A480&lt;VLOOKUP(S$5,NFI,5,0),1,0)*Table_NFI[[#This Row],[Winter Clothes Children]],Table_NFI[Winter Clothes Children])</f>
        <v>0</v>
      </c>
      <c r="AK480" s="264">
        <f>IF(NFI_Expiration=1,IF($A480&lt;VLOOKUP(T$5,NFI,5,0),1,0)*Table_NFI[[#This Row],[Winter Items Other]],Table_NFI[Winter Items Other])</f>
        <v>0</v>
      </c>
      <c r="AL480" s="264">
        <f>IF(NFI_Expiration=1,IF($A480&lt;VLOOKUP(M$5,NFI,5,0),1,0)*Table_NFI[[#This Row],[Winter Blanket]],Table_NFI[[#This Row],[Winter Blanket]])</f>
        <v>0</v>
      </c>
      <c r="AM480" s="264">
        <f>IF(Table_NFI[[#This Row],[Winter Clothes Adult]]+Table_NFI[[#This Row],[Winter Clothes Children]]+Table_NFI[[#This Row],[Winter Items Other]]+Table_NFI[[#This Row],[Winter Blanket]]&gt;0,1,0)</f>
        <v>0</v>
      </c>
      <c r="AN480" s="296">
        <f>IF(NFI_Expiration=1,IF($A480&lt;VLOOKUP(V$5,NFI,5,0),1,0)*Table_NFI[[#This Row],[Jerry Can]],Table_NFI[Jerry Can])</f>
        <v>0</v>
      </c>
      <c r="AO480" s="296">
        <f>IF(NFI_Expiration=1,IF($A480&lt;VLOOKUP(V$5,NFI,5,0),1,0)*Table_NFI[[#This Row],[Shelter Tool kit]],Table_NFI[Shelter Tool kit])</f>
        <v>0</v>
      </c>
      <c r="AP480" s="296">
        <f>IF(NFI_Expiration=1,IF($A480&lt;VLOOKUP(V$5,NFI,5,0),1,0)*Table_NFI[[#This Row],[Tent]],Table_NFI[Tent])</f>
        <v>0</v>
      </c>
      <c r="AQ480" s="396" t="str">
        <f>IFERROR(VLOOKUP(Table_NFI[[#This Row],[Camp Name]],CL,2,0),"")</f>
        <v>MMR001CMP056</v>
      </c>
      <c r="AR480" s="702">
        <f ca="1">IF(Table_NFI[[#This Row],[Pcode]]="","",IF(OFFSET(CampList[Opening Date],MATCH(Table_NFI[[#This Row],[Pcode]],CampList[CP_Pcode],0)-1,0,1,1)&gt;=NFI_Monitor_Date,1,0))</f>
        <v>0</v>
      </c>
      <c r="AS480" s="396" t="str">
        <f>IFERROR(VLOOKUP(Table_NFI[[#This Row],[Camp Name]],CL,3,0),"")</f>
        <v>Open</v>
      </c>
      <c r="AT480" s="264" t="str">
        <f ca="1">IF(Table_NFI[[#This Row],[Pcode]]="","",OFFSET(CampList[Priority],MATCH(Table_NFI[[#This Row],[Pcode]],CampList[CP_Pcode],0)-1,0,1,1))</f>
        <v>P4</v>
      </c>
      <c r="AU480" s="263">
        <f>IFERROR(Table_NFI[[#This Row],[Kitchen Set]]/VLOOKUP(Table_NFI[[#This Row],[Camp Name]],CL,4,0),"")</f>
        <v>9.8292173485686198E-5</v>
      </c>
      <c r="AV480" s="390" t="s">
        <v>1087</v>
      </c>
      <c r="AW480" s="392"/>
      <c r="AX480" s="399"/>
      <c r="AY480" s="399"/>
      <c r="AZ480" s="399"/>
      <c r="BA480" s="399"/>
      <c r="BB480" s="399"/>
      <c r="BC480" s="399"/>
      <c r="BD480" s="399"/>
      <c r="BE480" s="399"/>
      <c r="BF480" s="399"/>
      <c r="BG480" s="399"/>
      <c r="BH480" s="399"/>
      <c r="BI480" s="399"/>
      <c r="BJ480" s="399"/>
      <c r="BK480" s="399"/>
      <c r="BL480" s="399"/>
      <c r="BM480" s="399"/>
      <c r="BN480" s="399"/>
      <c r="BO480" s="399"/>
      <c r="BP480" s="399"/>
      <c r="BQ480" s="399"/>
      <c r="BR480" s="399"/>
      <c r="BS480" s="399"/>
      <c r="BT480" s="399"/>
      <c r="BU480" s="399"/>
      <c r="BV480" s="399"/>
      <c r="BW480" s="399"/>
      <c r="BX480" s="399"/>
      <c r="BY480" s="399"/>
      <c r="BZ480" s="399"/>
      <c r="CA480" s="399"/>
      <c r="CB480" s="399"/>
      <c r="CC480" s="399"/>
      <c r="CD480" s="399"/>
      <c r="CE480" s="399"/>
      <c r="CF480" s="399"/>
      <c r="CG480" s="399"/>
      <c r="CH480" s="399"/>
      <c r="CI480" s="399"/>
      <c r="CJ480" s="399"/>
      <c r="CK480" s="399"/>
      <c r="CL480" s="399"/>
      <c r="CM480" s="399"/>
      <c r="CN480" s="399"/>
      <c r="CO480" s="399"/>
      <c r="CP480" s="399"/>
      <c r="CQ480" s="399"/>
      <c r="CR480" s="399"/>
      <c r="CS480" s="399"/>
      <c r="CT480" s="399"/>
      <c r="CU480" s="399"/>
      <c r="CV480" s="399"/>
      <c r="CW480" s="399"/>
      <c r="CX480" s="399"/>
      <c r="CY480" s="399"/>
      <c r="CZ480" s="399"/>
      <c r="DA480" s="399"/>
      <c r="DB480" s="399"/>
      <c r="DC480" s="399"/>
      <c r="DD480" s="399"/>
      <c r="DE480" s="399"/>
      <c r="DF480" s="399"/>
      <c r="DG480" s="399"/>
      <c r="DH480" s="399"/>
      <c r="DI480" s="399"/>
      <c r="DJ480" s="399"/>
      <c r="DK480" s="399"/>
      <c r="DL480" s="399"/>
      <c r="DM480" s="399"/>
      <c r="DN480" s="399"/>
      <c r="DO480" s="399"/>
      <c r="DP480" s="399"/>
      <c r="DQ480" s="399"/>
    </row>
    <row r="481" spans="1:121" s="760" customFormat="1" ht="14.45" customHeight="1" x14ac:dyDescent="0.25">
      <c r="A481" s="266">
        <f t="shared" si="7"/>
        <v>37.1</v>
      </c>
      <c r="B481" s="389">
        <v>41743</v>
      </c>
      <c r="C481" s="390" t="s">
        <v>451</v>
      </c>
      <c r="D481" s="390" t="s">
        <v>451</v>
      </c>
      <c r="E481" s="390" t="s">
        <v>380</v>
      </c>
      <c r="F481" s="390" t="s">
        <v>185</v>
      </c>
      <c r="G481" s="390" t="s">
        <v>209</v>
      </c>
      <c r="H481" s="261"/>
      <c r="I481" s="261"/>
      <c r="J481" s="261"/>
      <c r="K481" s="261">
        <v>10</v>
      </c>
      <c r="L481" s="261">
        <v>5</v>
      </c>
      <c r="M481" s="261">
        <v>15</v>
      </c>
      <c r="N481" s="261">
        <v>5</v>
      </c>
      <c r="O481" s="261">
        <v>5</v>
      </c>
      <c r="P481" s="261">
        <v>5</v>
      </c>
      <c r="Q481" s="261"/>
      <c r="R481" s="261"/>
      <c r="S481" s="261"/>
      <c r="T481" s="261"/>
      <c r="U481" s="261"/>
      <c r="V481" s="762"/>
      <c r="W481" s="261"/>
      <c r="X481" s="261"/>
      <c r="Y481" s="264">
        <f>IF(NFI_Expiration=1,IF($A481&lt;VLOOKUP(H$5,NFI,5,0),1,0)*Table_NFI[[#This Row],[Hygiene Kit]],Table_NFI[Hygiene Kit])</f>
        <v>0</v>
      </c>
      <c r="Z481" s="264">
        <f>IF(NFI_Expiration=1,IF($A481&lt;VLOOKUP(I$5,NFI,5,0),1,0)*Table_NFI[[#This Row],[NFI Core Kit]],Table_NFI[NFI Core Kit])</f>
        <v>0</v>
      </c>
      <c r="AA481" s="264">
        <f>IF(NFI_Expiration=1,IF($A481&lt;VLOOKUP(J$5,NFI,5,0),1,0)*Table_NFI[[#This Row],[Sanitary Kit]],Table_NFI[Sanitary Kit])</f>
        <v>0</v>
      </c>
      <c r="AB481" s="264">
        <f>IF(NFI_Expiration=1,IF($A481&lt;VLOOKUP(K$5,NFI,5,0),1,0)*Table_NFI[[#This Row],[Mosquito net]],Table_NFI[Mosquito net])</f>
        <v>0</v>
      </c>
      <c r="AC481" s="264">
        <f>IF(NFI_Expiration=1,IF($A481&lt;VLOOKUP(L$5,NFI,5,0),1,0)*Table_NFI[[#This Row],[Tarpaulin]],Table_NFI[[#This Row],[Tarpaulin]])</f>
        <v>0</v>
      </c>
      <c r="AD481" s="264">
        <f>IF(NFI_Expiration=1,IF($A481&lt;VLOOKUP(M$5,NFI,5,0),1,0)*Table_NFI[[#This Row],[Blanket]],Table_NFI[[#This Row],[Blanket]])</f>
        <v>0</v>
      </c>
      <c r="AE481" s="264">
        <f>IF(NFI_Expiration=1,IF($A481&lt;VLOOKUP(N$5,NFI,5,0),1,0)*Table_NFI[[#This Row],[Kitchen Set]],Table_NFI[Kitchen Set])</f>
        <v>0</v>
      </c>
      <c r="AF481" s="264">
        <f>IF(NFI_Expiration=1,IF($A481&lt;VLOOKUP(O$5,NFI,5,0),1,0)*Table_NFI[[#This Row],[Clothes Kit]],Table_NFI[Clothes Kit])</f>
        <v>0</v>
      </c>
      <c r="AG481" s="264">
        <f>IF(NFI_Expiration=1,IF($A481&lt;VLOOKUP(P$5,NFI,5,0),1,0)*Table_NFI[[#This Row],[Plastic Bucket]],Table_NFI[Plastic Bucket])</f>
        <v>0</v>
      </c>
      <c r="AH481" s="264">
        <f>IF(NFI_Expiration=1,IF($A481&lt;VLOOKUP(Q$5,NFI,5,0),1,0)*Table_NFI[[#This Row],[Plastic Mat]],Table_NFI[Plastic Mat])*IF(Table_NFI[[#This Row],[Distribution Date]]&gt;"2014-04-01",1,2.5)</f>
        <v>0</v>
      </c>
      <c r="AI481" s="264">
        <f>IF(NFI_Expiration=1,IF($A481&lt;VLOOKUP(R$5,NFI,5,0),1,0)*Table_NFI[[#This Row],[Winter Clothes Adult]],Table_NFI[Winter Clothes Adult])</f>
        <v>0</v>
      </c>
      <c r="AJ481" s="264">
        <f>IF(NFI_Expiration=1,IF($A481&lt;VLOOKUP(S$5,NFI,5,0),1,0)*Table_NFI[[#This Row],[Winter Clothes Children]],Table_NFI[Winter Clothes Children])</f>
        <v>0</v>
      </c>
      <c r="AK481" s="264">
        <f>IF(NFI_Expiration=1,IF($A481&lt;VLOOKUP(T$5,NFI,5,0),1,0)*Table_NFI[[#This Row],[Winter Items Other]],Table_NFI[Winter Items Other])</f>
        <v>0</v>
      </c>
      <c r="AL481" s="264">
        <f>IF(NFI_Expiration=1,IF($A481&lt;VLOOKUP(M$5,NFI,5,0),1,0)*Table_NFI[[#This Row],[Winter Blanket]],Table_NFI[[#This Row],[Winter Blanket]])</f>
        <v>0</v>
      </c>
      <c r="AM481" s="264">
        <f>IF(Table_NFI[[#This Row],[Winter Clothes Adult]]+Table_NFI[[#This Row],[Winter Clothes Children]]+Table_NFI[[#This Row],[Winter Items Other]]+Table_NFI[[#This Row],[Winter Blanket]]&gt;0,1,0)</f>
        <v>0</v>
      </c>
      <c r="AN481" s="296">
        <f>IF(NFI_Expiration=1,IF($A481&lt;VLOOKUP(V$5,NFI,5,0),1,0)*Table_NFI[[#This Row],[Jerry Can]],Table_NFI[Jerry Can])</f>
        <v>0</v>
      </c>
      <c r="AO481" s="296">
        <f>IF(NFI_Expiration=1,IF($A481&lt;VLOOKUP(V$5,NFI,5,0),1,0)*Table_NFI[[#This Row],[Shelter Tool kit]],Table_NFI[Shelter Tool kit])</f>
        <v>0</v>
      </c>
      <c r="AP481" s="296">
        <f>IF(NFI_Expiration=1,IF($A481&lt;VLOOKUP(V$5,NFI,5,0),1,0)*Table_NFI[[#This Row],[Tent]],Table_NFI[Tent])</f>
        <v>0</v>
      </c>
      <c r="AQ481" s="396" t="str">
        <f>IFERROR(VLOOKUP(Table_NFI[[#This Row],[Camp Name]],CL,2,0),"")</f>
        <v>MMR001CMP056</v>
      </c>
      <c r="AR481" s="702">
        <f ca="1">IF(Table_NFI[[#This Row],[Pcode]]="","",IF(OFFSET(CampList[Opening Date],MATCH(Table_NFI[[#This Row],[Pcode]],CampList[CP_Pcode],0)-1,0,1,1)&gt;=NFI_Monitor_Date,1,0))</f>
        <v>0</v>
      </c>
      <c r="AS481" s="396" t="str">
        <f>IFERROR(VLOOKUP(Table_NFI[[#This Row],[Camp Name]],CL,3,0),"")</f>
        <v>Open</v>
      </c>
      <c r="AT481" s="264" t="str">
        <f ca="1">IF(Table_NFI[[#This Row],[Pcode]]="","",OFFSET(CampList[Priority],MATCH(Table_NFI[[#This Row],[Pcode]],CampList[CP_Pcode],0)-1,0,1,1))</f>
        <v>P4</v>
      </c>
      <c r="AU481" s="263">
        <f>IFERROR(Table_NFI[[#This Row],[Kitchen Set]]/VLOOKUP(Table_NFI[[#This Row],[Camp Name]],CL,4,0),"")</f>
        <v>1.2286521685710776E-4</v>
      </c>
      <c r="AV481" s="390" t="s">
        <v>1087</v>
      </c>
      <c r="AW481" s="392"/>
      <c r="AX481" s="399"/>
      <c r="AY481" s="399"/>
      <c r="AZ481" s="399"/>
      <c r="BA481" s="399"/>
      <c r="BB481" s="399"/>
      <c r="BC481" s="399"/>
      <c r="BD481" s="399"/>
      <c r="BE481" s="399"/>
      <c r="BF481" s="399"/>
      <c r="BG481" s="399"/>
      <c r="BH481" s="399"/>
      <c r="BI481" s="399"/>
      <c r="BJ481" s="399"/>
      <c r="BK481" s="399"/>
      <c r="BL481" s="399"/>
      <c r="BM481" s="399"/>
      <c r="BN481" s="399"/>
      <c r="BO481" s="399"/>
      <c r="BP481" s="399"/>
      <c r="BQ481" s="399"/>
      <c r="BR481" s="399"/>
      <c r="BS481" s="399"/>
      <c r="BT481" s="399"/>
      <c r="BU481" s="399"/>
      <c r="BV481" s="399"/>
      <c r="BW481" s="399"/>
      <c r="BX481" s="399"/>
      <c r="BY481" s="399"/>
      <c r="BZ481" s="399"/>
      <c r="CA481" s="399"/>
      <c r="CB481" s="399"/>
      <c r="CC481" s="399"/>
      <c r="CD481" s="399"/>
      <c r="CE481" s="399"/>
      <c r="CF481" s="399"/>
      <c r="CG481" s="399"/>
      <c r="CH481" s="399"/>
      <c r="CI481" s="399"/>
      <c r="CJ481" s="399"/>
      <c r="CK481" s="399"/>
      <c r="CL481" s="399"/>
      <c r="CM481" s="399"/>
      <c r="CN481" s="399"/>
      <c r="CO481" s="399"/>
      <c r="CP481" s="399"/>
      <c r="CQ481" s="399"/>
      <c r="CR481" s="399"/>
      <c r="CS481" s="399"/>
      <c r="CT481" s="399"/>
      <c r="CU481" s="399"/>
      <c r="CV481" s="399"/>
      <c r="CW481" s="399"/>
      <c r="CX481" s="399"/>
      <c r="CY481" s="399"/>
      <c r="CZ481" s="399"/>
      <c r="DA481" s="399"/>
      <c r="DB481" s="399"/>
      <c r="DC481" s="399"/>
      <c r="DD481" s="399"/>
      <c r="DE481" s="399"/>
      <c r="DF481" s="399"/>
      <c r="DG481" s="399"/>
      <c r="DH481" s="399"/>
      <c r="DI481" s="399"/>
      <c r="DJ481" s="399"/>
      <c r="DK481" s="399"/>
      <c r="DL481" s="399"/>
      <c r="DM481" s="399"/>
      <c r="DN481" s="399"/>
      <c r="DO481" s="399"/>
      <c r="DP481" s="399"/>
      <c r="DQ481" s="399"/>
    </row>
    <row r="482" spans="1:121" s="760" customFormat="1" ht="14.45" customHeight="1" x14ac:dyDescent="0.25">
      <c r="A482" s="266">
        <f t="shared" si="7"/>
        <v>37.266666666666666</v>
      </c>
      <c r="B482" s="389">
        <v>41738</v>
      </c>
      <c r="C482" s="390" t="s">
        <v>1099</v>
      </c>
      <c r="D482" s="390" t="s">
        <v>899</v>
      </c>
      <c r="E482" s="390" t="s">
        <v>380</v>
      </c>
      <c r="F482" s="390" t="s">
        <v>5</v>
      </c>
      <c r="G482" s="390" t="s">
        <v>24</v>
      </c>
      <c r="H482" s="261"/>
      <c r="I482" s="261"/>
      <c r="J482" s="261"/>
      <c r="K482" s="261"/>
      <c r="L482" s="261"/>
      <c r="M482" s="261"/>
      <c r="N482" s="261"/>
      <c r="O482" s="261"/>
      <c r="P482" s="261"/>
      <c r="Q482" s="261"/>
      <c r="R482" s="261"/>
      <c r="S482" s="261"/>
      <c r="T482" s="261"/>
      <c r="U482" s="261">
        <v>122</v>
      </c>
      <c r="V482" s="762"/>
      <c r="W482" s="261"/>
      <c r="X482" s="261"/>
      <c r="Y482" s="264">
        <f>IF(NFI_Expiration=1,IF($A482&lt;VLOOKUP(H$5,NFI,5,0),1,0)*Table_NFI[[#This Row],[Hygiene Kit]],Table_NFI[Hygiene Kit])</f>
        <v>0</v>
      </c>
      <c r="Z482" s="264">
        <f>IF(NFI_Expiration=1,IF($A482&lt;VLOOKUP(I$5,NFI,5,0),1,0)*Table_NFI[[#This Row],[NFI Core Kit]],Table_NFI[NFI Core Kit])</f>
        <v>0</v>
      </c>
      <c r="AA482" s="264">
        <f>IF(NFI_Expiration=1,IF($A482&lt;VLOOKUP(J$5,NFI,5,0),1,0)*Table_NFI[[#This Row],[Sanitary Kit]],Table_NFI[Sanitary Kit])</f>
        <v>0</v>
      </c>
      <c r="AB482" s="264">
        <f>IF(NFI_Expiration=1,IF($A482&lt;VLOOKUP(K$5,NFI,5,0),1,0)*Table_NFI[[#This Row],[Mosquito net]],Table_NFI[Mosquito net])</f>
        <v>0</v>
      </c>
      <c r="AC482" s="264">
        <f>IF(NFI_Expiration=1,IF($A482&lt;VLOOKUP(L$5,NFI,5,0),1,0)*Table_NFI[[#This Row],[Tarpaulin]],Table_NFI[[#This Row],[Tarpaulin]])</f>
        <v>0</v>
      </c>
      <c r="AD482" s="264">
        <f>IF(NFI_Expiration=1,IF($A482&lt;VLOOKUP(M$5,NFI,5,0),1,0)*Table_NFI[[#This Row],[Blanket]],Table_NFI[[#This Row],[Blanket]])</f>
        <v>0</v>
      </c>
      <c r="AE482" s="264">
        <f>IF(NFI_Expiration=1,IF($A482&lt;VLOOKUP(N$5,NFI,5,0),1,0)*Table_NFI[[#This Row],[Kitchen Set]],Table_NFI[Kitchen Set])</f>
        <v>0</v>
      </c>
      <c r="AF482" s="264">
        <f>IF(NFI_Expiration=1,IF($A482&lt;VLOOKUP(O$5,NFI,5,0),1,0)*Table_NFI[[#This Row],[Clothes Kit]],Table_NFI[Clothes Kit])</f>
        <v>0</v>
      </c>
      <c r="AG482" s="264">
        <f>IF(NFI_Expiration=1,IF($A482&lt;VLOOKUP(P$5,NFI,5,0),1,0)*Table_NFI[[#This Row],[Plastic Bucket]],Table_NFI[Plastic Bucket])</f>
        <v>0</v>
      </c>
      <c r="AH482" s="264">
        <f>IF(NFI_Expiration=1,IF($A482&lt;VLOOKUP(Q$5,NFI,5,0),1,0)*Table_NFI[[#This Row],[Plastic Mat]],Table_NFI[Plastic Mat])*IF(Table_NFI[[#This Row],[Distribution Date]]&gt;"2014-04-01",1,2.5)</f>
        <v>0</v>
      </c>
      <c r="AI482" s="264">
        <f>IF(NFI_Expiration=1,IF($A482&lt;VLOOKUP(R$5,NFI,5,0),1,0)*Table_NFI[[#This Row],[Winter Clothes Adult]],Table_NFI[Winter Clothes Adult])</f>
        <v>0</v>
      </c>
      <c r="AJ482" s="264">
        <f>IF(NFI_Expiration=1,IF($A482&lt;VLOOKUP(S$5,NFI,5,0),1,0)*Table_NFI[[#This Row],[Winter Clothes Children]],Table_NFI[Winter Clothes Children])</f>
        <v>0</v>
      </c>
      <c r="AK482" s="264">
        <f>IF(NFI_Expiration=1,IF($A482&lt;VLOOKUP(T$5,NFI,5,0),1,0)*Table_NFI[[#This Row],[Winter Items Other]],Table_NFI[Winter Items Other])</f>
        <v>0</v>
      </c>
      <c r="AL482" s="264">
        <f>IF(NFI_Expiration=1,IF($A482&lt;VLOOKUP(M$5,NFI,5,0),1,0)*Table_NFI[[#This Row],[Winter Blanket]],Table_NFI[[#This Row],[Winter Blanket]])</f>
        <v>0</v>
      </c>
      <c r="AM482" s="264">
        <f>IF(Table_NFI[[#This Row],[Winter Clothes Adult]]+Table_NFI[[#This Row],[Winter Clothes Children]]+Table_NFI[[#This Row],[Winter Items Other]]+Table_NFI[[#This Row],[Winter Blanket]]&gt;0,1,0)</f>
        <v>1</v>
      </c>
      <c r="AN482" s="296">
        <f>IF(NFI_Expiration=1,IF($A482&lt;VLOOKUP(V$5,NFI,5,0),1,0)*Table_NFI[[#This Row],[Jerry Can]],Table_NFI[Jerry Can])</f>
        <v>0</v>
      </c>
      <c r="AO482" s="296">
        <f>IF(NFI_Expiration=1,IF($A482&lt;VLOOKUP(V$5,NFI,5,0),1,0)*Table_NFI[[#This Row],[Shelter Tool kit]],Table_NFI[Shelter Tool kit])</f>
        <v>0</v>
      </c>
      <c r="AP482" s="296">
        <f>IF(NFI_Expiration=1,IF($A482&lt;VLOOKUP(V$5,NFI,5,0),1,0)*Table_NFI[[#This Row],[Tent]],Table_NFI[Tent])</f>
        <v>0</v>
      </c>
      <c r="AQ482" s="396" t="str">
        <f>IFERROR(VLOOKUP(Table_NFI[[#This Row],[Camp Name]],CL,2,0),"")</f>
        <v>MMR001CMP055</v>
      </c>
      <c r="AR482" s="702">
        <f ca="1">IF(Table_NFI[[#This Row],[Pcode]]="","",IF(OFFSET(CampList[Opening Date],MATCH(Table_NFI[[#This Row],[Pcode]],CampList[CP_Pcode],0)-1,0,1,1)&gt;=NFI_Monitor_Date,1,0))</f>
        <v>0</v>
      </c>
      <c r="AS482" s="396" t="str">
        <f>IFERROR(VLOOKUP(Table_NFI[[#This Row],[Camp Name]],CL,3,0),"")</f>
        <v>Open</v>
      </c>
      <c r="AT482" s="264" t="str">
        <f ca="1">IF(Table_NFI[[#This Row],[Pcode]]="","",OFFSET(CampList[Priority],MATCH(Table_NFI[[#This Row],[Pcode]],CampList[CP_Pcode],0)-1,0,1,1))</f>
        <v>P4</v>
      </c>
      <c r="AU482" s="263">
        <f>IFERROR(Table_NFI[[#This Row],[Kitchen Set]]/VLOOKUP(Table_NFI[[#This Row],[Camp Name]],CL,4,0),"")</f>
        <v>0</v>
      </c>
      <c r="AV482" s="390"/>
      <c r="AW482" s="392"/>
      <c r="AX482" s="399"/>
      <c r="AY482" s="399"/>
      <c r="AZ482" s="399"/>
      <c r="BA482" s="399"/>
      <c r="BB482" s="399"/>
      <c r="BC482" s="399"/>
      <c r="BD482" s="399"/>
      <c r="BE482" s="399"/>
      <c r="BF482" s="399"/>
      <c r="BG482" s="399"/>
      <c r="BH482" s="399"/>
      <c r="BI482" s="399"/>
      <c r="BJ482" s="399"/>
      <c r="BK482" s="399"/>
      <c r="BL482" s="399"/>
      <c r="BM482" s="399"/>
      <c r="BN482" s="399"/>
      <c r="BO482" s="399"/>
      <c r="BP482" s="399"/>
      <c r="BQ482" s="399"/>
      <c r="BR482" s="399"/>
      <c r="BS482" s="399"/>
      <c r="BT482" s="399"/>
      <c r="BU482" s="399"/>
      <c r="BV482" s="399"/>
      <c r="BW482" s="399"/>
      <c r="BX482" s="399"/>
      <c r="BY482" s="399"/>
      <c r="BZ482" s="399"/>
      <c r="CA482" s="399"/>
      <c r="CB482" s="399"/>
      <c r="CC482" s="399"/>
      <c r="CD482" s="399"/>
      <c r="CE482" s="399"/>
      <c r="CF482" s="399"/>
      <c r="CG482" s="399"/>
      <c r="CH482" s="399"/>
      <c r="CI482" s="399"/>
      <c r="CJ482" s="399"/>
      <c r="CK482" s="399"/>
      <c r="CL482" s="399"/>
      <c r="CM482" s="399"/>
      <c r="CN482" s="399"/>
      <c r="CO482" s="399"/>
      <c r="CP482" s="399"/>
      <c r="CQ482" s="399"/>
      <c r="CR482" s="399"/>
      <c r="CS482" s="399"/>
      <c r="CT482" s="399"/>
      <c r="CU482" s="399"/>
      <c r="CV482" s="399"/>
      <c r="CW482" s="399"/>
      <c r="CX482" s="399"/>
      <c r="CY482" s="399"/>
      <c r="CZ482" s="399"/>
      <c r="DA482" s="399"/>
      <c r="DB482" s="399"/>
      <c r="DC482" s="399"/>
      <c r="DD482" s="399"/>
      <c r="DE482" s="399"/>
      <c r="DF482" s="399"/>
      <c r="DG482" s="399"/>
      <c r="DH482" s="399"/>
      <c r="DI482" s="399"/>
      <c r="DJ482" s="399"/>
      <c r="DK482" s="399"/>
      <c r="DL482" s="399"/>
      <c r="DM482" s="399"/>
      <c r="DN482" s="399"/>
      <c r="DO482" s="399"/>
      <c r="DP482" s="399"/>
      <c r="DQ482" s="399"/>
    </row>
    <row r="483" spans="1:121" s="760" customFormat="1" ht="14.45" customHeight="1" x14ac:dyDescent="0.25">
      <c r="A483" s="266">
        <f t="shared" si="7"/>
        <v>37.266666666666666</v>
      </c>
      <c r="B483" s="389">
        <v>41738</v>
      </c>
      <c r="C483" s="390" t="s">
        <v>1099</v>
      </c>
      <c r="D483" s="390" t="s">
        <v>899</v>
      </c>
      <c r="E483" s="390" t="s">
        <v>380</v>
      </c>
      <c r="F483" s="390" t="s">
        <v>5</v>
      </c>
      <c r="G483" s="390" t="s">
        <v>26</v>
      </c>
      <c r="H483" s="261"/>
      <c r="I483" s="261"/>
      <c r="J483" s="261"/>
      <c r="K483" s="261"/>
      <c r="L483" s="261"/>
      <c r="M483" s="261"/>
      <c r="N483" s="261"/>
      <c r="O483" s="261"/>
      <c r="P483" s="261"/>
      <c r="Q483" s="261"/>
      <c r="R483" s="261"/>
      <c r="S483" s="261"/>
      <c r="T483" s="261"/>
      <c r="U483" s="261">
        <v>42</v>
      </c>
      <c r="V483" s="762"/>
      <c r="W483" s="261"/>
      <c r="X483" s="261"/>
      <c r="Y483" s="264">
        <f>IF(NFI_Expiration=1,IF($A483&lt;VLOOKUP(H$5,NFI,5,0),1,0)*Table_NFI[[#This Row],[Hygiene Kit]],Table_NFI[Hygiene Kit])</f>
        <v>0</v>
      </c>
      <c r="Z483" s="264">
        <f>IF(NFI_Expiration=1,IF($A483&lt;VLOOKUP(I$5,NFI,5,0),1,0)*Table_NFI[[#This Row],[NFI Core Kit]],Table_NFI[NFI Core Kit])</f>
        <v>0</v>
      </c>
      <c r="AA483" s="264">
        <f>IF(NFI_Expiration=1,IF($A483&lt;VLOOKUP(J$5,NFI,5,0),1,0)*Table_NFI[[#This Row],[Sanitary Kit]],Table_NFI[Sanitary Kit])</f>
        <v>0</v>
      </c>
      <c r="AB483" s="264">
        <f>IF(NFI_Expiration=1,IF($A483&lt;VLOOKUP(K$5,NFI,5,0),1,0)*Table_NFI[[#This Row],[Mosquito net]],Table_NFI[Mosquito net])</f>
        <v>0</v>
      </c>
      <c r="AC483" s="264">
        <f>IF(NFI_Expiration=1,IF($A483&lt;VLOOKUP(L$5,NFI,5,0),1,0)*Table_NFI[[#This Row],[Tarpaulin]],Table_NFI[[#This Row],[Tarpaulin]])</f>
        <v>0</v>
      </c>
      <c r="AD483" s="264">
        <f>IF(NFI_Expiration=1,IF($A483&lt;VLOOKUP(M$5,NFI,5,0),1,0)*Table_NFI[[#This Row],[Blanket]],Table_NFI[[#This Row],[Blanket]])</f>
        <v>0</v>
      </c>
      <c r="AE483" s="264">
        <f>IF(NFI_Expiration=1,IF($A483&lt;VLOOKUP(N$5,NFI,5,0),1,0)*Table_NFI[[#This Row],[Kitchen Set]],Table_NFI[Kitchen Set])</f>
        <v>0</v>
      </c>
      <c r="AF483" s="264">
        <f>IF(NFI_Expiration=1,IF($A483&lt;VLOOKUP(O$5,NFI,5,0),1,0)*Table_NFI[[#This Row],[Clothes Kit]],Table_NFI[Clothes Kit])</f>
        <v>0</v>
      </c>
      <c r="AG483" s="264">
        <f>IF(NFI_Expiration=1,IF($A483&lt;VLOOKUP(P$5,NFI,5,0),1,0)*Table_NFI[[#This Row],[Plastic Bucket]],Table_NFI[Plastic Bucket])</f>
        <v>0</v>
      </c>
      <c r="AH483" s="264">
        <f>IF(NFI_Expiration=1,IF($A483&lt;VLOOKUP(Q$5,NFI,5,0),1,0)*Table_NFI[[#This Row],[Plastic Mat]],Table_NFI[Plastic Mat])*IF(Table_NFI[[#This Row],[Distribution Date]]&gt;"2014-04-01",1,2.5)</f>
        <v>0</v>
      </c>
      <c r="AI483" s="264">
        <f>IF(NFI_Expiration=1,IF($A483&lt;VLOOKUP(R$5,NFI,5,0),1,0)*Table_NFI[[#This Row],[Winter Clothes Adult]],Table_NFI[Winter Clothes Adult])</f>
        <v>0</v>
      </c>
      <c r="AJ483" s="264">
        <f>IF(NFI_Expiration=1,IF($A483&lt;VLOOKUP(S$5,NFI,5,0),1,0)*Table_NFI[[#This Row],[Winter Clothes Children]],Table_NFI[Winter Clothes Children])</f>
        <v>0</v>
      </c>
      <c r="AK483" s="264">
        <f>IF(NFI_Expiration=1,IF($A483&lt;VLOOKUP(T$5,NFI,5,0),1,0)*Table_NFI[[#This Row],[Winter Items Other]],Table_NFI[Winter Items Other])</f>
        <v>0</v>
      </c>
      <c r="AL483" s="264">
        <f>IF(NFI_Expiration=1,IF($A483&lt;VLOOKUP(M$5,NFI,5,0),1,0)*Table_NFI[[#This Row],[Winter Blanket]],Table_NFI[[#This Row],[Winter Blanket]])</f>
        <v>0</v>
      </c>
      <c r="AM483" s="264">
        <f>IF(Table_NFI[[#This Row],[Winter Clothes Adult]]+Table_NFI[[#This Row],[Winter Clothes Children]]+Table_NFI[[#This Row],[Winter Items Other]]+Table_NFI[[#This Row],[Winter Blanket]]&gt;0,1,0)</f>
        <v>1</v>
      </c>
      <c r="AN483" s="296">
        <f>IF(NFI_Expiration=1,IF($A483&lt;VLOOKUP(V$5,NFI,5,0),1,0)*Table_NFI[[#This Row],[Jerry Can]],Table_NFI[Jerry Can])</f>
        <v>0</v>
      </c>
      <c r="AO483" s="296">
        <f>IF(NFI_Expiration=1,IF($A483&lt;VLOOKUP(V$5,NFI,5,0),1,0)*Table_NFI[[#This Row],[Shelter Tool kit]],Table_NFI[Shelter Tool kit])</f>
        <v>0</v>
      </c>
      <c r="AP483" s="296">
        <f>IF(NFI_Expiration=1,IF($A483&lt;VLOOKUP(V$5,NFI,5,0),1,0)*Table_NFI[[#This Row],[Tent]],Table_NFI[Tent])</f>
        <v>0</v>
      </c>
      <c r="AQ483" s="396" t="str">
        <f>IFERROR(VLOOKUP(Table_NFI[[#This Row],[Camp Name]],CL,2,0),"")</f>
        <v>MMR001CMP053</v>
      </c>
      <c r="AR483" s="702">
        <f ca="1">IF(Table_NFI[[#This Row],[Pcode]]="","",IF(OFFSET(CampList[Opening Date],MATCH(Table_NFI[[#This Row],[Pcode]],CampList[CP_Pcode],0)-1,0,1,1)&gt;=NFI_Monitor_Date,1,0))</f>
        <v>0</v>
      </c>
      <c r="AS483" s="396" t="str">
        <f>IFERROR(VLOOKUP(Table_NFI[[#This Row],[Camp Name]],CL,3,0),"")</f>
        <v>Open</v>
      </c>
      <c r="AT483" s="264" t="str">
        <f ca="1">IF(Table_NFI[[#This Row],[Pcode]]="","",OFFSET(CampList[Priority],MATCH(Table_NFI[[#This Row],[Pcode]],CampList[CP_Pcode],0)-1,0,1,1))</f>
        <v>P4</v>
      </c>
      <c r="AU483" s="263">
        <f>IFERROR(Table_NFI[[#This Row],[Kitchen Set]]/VLOOKUP(Table_NFI[[#This Row],[Camp Name]],CL,4,0),"")</f>
        <v>0</v>
      </c>
      <c r="AV483" s="390"/>
      <c r="AW483" s="392"/>
      <c r="AX483" s="399"/>
      <c r="AY483" s="399"/>
      <c r="AZ483" s="399"/>
      <c r="BA483" s="399"/>
      <c r="BB483" s="399"/>
      <c r="BC483" s="399"/>
      <c r="BD483" s="399"/>
      <c r="BE483" s="399"/>
      <c r="BF483" s="399"/>
      <c r="BG483" s="399"/>
      <c r="BH483" s="399"/>
      <c r="BI483" s="399"/>
      <c r="BJ483" s="399"/>
      <c r="BK483" s="399"/>
      <c r="BL483" s="399"/>
      <c r="BM483" s="399"/>
      <c r="BN483" s="399"/>
      <c r="BO483" s="399"/>
      <c r="BP483" s="399"/>
      <c r="BQ483" s="399"/>
      <c r="BR483" s="399"/>
      <c r="BS483" s="399"/>
      <c r="BT483" s="399"/>
      <c r="BU483" s="399"/>
      <c r="BV483" s="399"/>
      <c r="BW483" s="399"/>
      <c r="BX483" s="399"/>
      <c r="BY483" s="399"/>
      <c r="BZ483" s="399"/>
      <c r="CA483" s="399"/>
      <c r="CB483" s="399"/>
      <c r="CC483" s="399"/>
      <c r="CD483" s="399"/>
      <c r="CE483" s="399"/>
      <c r="CF483" s="399"/>
      <c r="CG483" s="399"/>
      <c r="CH483" s="399"/>
      <c r="CI483" s="399"/>
      <c r="CJ483" s="399"/>
      <c r="CK483" s="399"/>
      <c r="CL483" s="399"/>
      <c r="CM483" s="399"/>
      <c r="CN483" s="399"/>
      <c r="CO483" s="399"/>
      <c r="CP483" s="399"/>
      <c r="CQ483" s="399"/>
      <c r="CR483" s="399"/>
      <c r="CS483" s="399"/>
      <c r="CT483" s="399"/>
      <c r="CU483" s="399"/>
      <c r="CV483" s="399"/>
      <c r="CW483" s="399"/>
      <c r="CX483" s="399"/>
      <c r="CY483" s="399"/>
      <c r="CZ483" s="399"/>
      <c r="DA483" s="399"/>
      <c r="DB483" s="399"/>
      <c r="DC483" s="399"/>
      <c r="DD483" s="399"/>
      <c r="DE483" s="399"/>
      <c r="DF483" s="399"/>
      <c r="DG483" s="399"/>
      <c r="DH483" s="399"/>
      <c r="DI483" s="399"/>
      <c r="DJ483" s="399"/>
      <c r="DK483" s="399"/>
      <c r="DL483" s="399"/>
      <c r="DM483" s="399"/>
      <c r="DN483" s="399"/>
      <c r="DO483" s="399"/>
      <c r="DP483" s="399"/>
      <c r="DQ483" s="399"/>
    </row>
    <row r="484" spans="1:121" s="760" customFormat="1" ht="14.45" customHeight="1" x14ac:dyDescent="0.25">
      <c r="A484" s="266">
        <f t="shared" si="7"/>
        <v>37.299999999999997</v>
      </c>
      <c r="B484" s="389">
        <v>41737</v>
      </c>
      <c r="C484" s="390" t="s">
        <v>1099</v>
      </c>
      <c r="D484" s="390" t="s">
        <v>899</v>
      </c>
      <c r="E484" s="390" t="s">
        <v>380</v>
      </c>
      <c r="F484" s="390" t="s">
        <v>5</v>
      </c>
      <c r="G484" s="390" t="s">
        <v>14</v>
      </c>
      <c r="H484" s="261"/>
      <c r="I484" s="261"/>
      <c r="J484" s="261"/>
      <c r="K484" s="261"/>
      <c r="L484" s="261"/>
      <c r="M484" s="261"/>
      <c r="N484" s="261"/>
      <c r="O484" s="261"/>
      <c r="P484" s="261"/>
      <c r="Q484" s="261"/>
      <c r="R484" s="261"/>
      <c r="S484" s="261"/>
      <c r="T484" s="261"/>
      <c r="U484" s="261">
        <v>90</v>
      </c>
      <c r="V484" s="762"/>
      <c r="W484" s="261"/>
      <c r="X484" s="261"/>
      <c r="Y484" s="264">
        <f>IF(NFI_Expiration=1,IF($A484&lt;VLOOKUP(H$5,NFI,5,0),1,0)*Table_NFI[[#This Row],[Hygiene Kit]],Table_NFI[Hygiene Kit])</f>
        <v>0</v>
      </c>
      <c r="Z484" s="264">
        <f>IF(NFI_Expiration=1,IF($A484&lt;VLOOKUP(I$5,NFI,5,0),1,0)*Table_NFI[[#This Row],[NFI Core Kit]],Table_NFI[NFI Core Kit])</f>
        <v>0</v>
      </c>
      <c r="AA484" s="264">
        <f>IF(NFI_Expiration=1,IF($A484&lt;VLOOKUP(J$5,NFI,5,0),1,0)*Table_NFI[[#This Row],[Sanitary Kit]],Table_NFI[Sanitary Kit])</f>
        <v>0</v>
      </c>
      <c r="AB484" s="264">
        <f>IF(NFI_Expiration=1,IF($A484&lt;VLOOKUP(K$5,NFI,5,0),1,0)*Table_NFI[[#This Row],[Mosquito net]],Table_NFI[Mosquito net])</f>
        <v>0</v>
      </c>
      <c r="AC484" s="264">
        <f>IF(NFI_Expiration=1,IF($A484&lt;VLOOKUP(L$5,NFI,5,0),1,0)*Table_NFI[[#This Row],[Tarpaulin]],Table_NFI[[#This Row],[Tarpaulin]])</f>
        <v>0</v>
      </c>
      <c r="AD484" s="264">
        <f>IF(NFI_Expiration=1,IF($A484&lt;VLOOKUP(M$5,NFI,5,0),1,0)*Table_NFI[[#This Row],[Blanket]],Table_NFI[[#This Row],[Blanket]])</f>
        <v>0</v>
      </c>
      <c r="AE484" s="264">
        <f>IF(NFI_Expiration=1,IF($A484&lt;VLOOKUP(N$5,NFI,5,0),1,0)*Table_NFI[[#This Row],[Kitchen Set]],Table_NFI[Kitchen Set])</f>
        <v>0</v>
      </c>
      <c r="AF484" s="264">
        <f>IF(NFI_Expiration=1,IF($A484&lt;VLOOKUP(O$5,NFI,5,0),1,0)*Table_NFI[[#This Row],[Clothes Kit]],Table_NFI[Clothes Kit])</f>
        <v>0</v>
      </c>
      <c r="AG484" s="264">
        <f>IF(NFI_Expiration=1,IF($A484&lt;VLOOKUP(P$5,NFI,5,0),1,0)*Table_NFI[[#This Row],[Plastic Bucket]],Table_NFI[Plastic Bucket])</f>
        <v>0</v>
      </c>
      <c r="AH484" s="264">
        <f>IF(NFI_Expiration=1,IF($A484&lt;VLOOKUP(Q$5,NFI,5,0),1,0)*Table_NFI[[#This Row],[Plastic Mat]],Table_NFI[Plastic Mat])*IF(Table_NFI[[#This Row],[Distribution Date]]&gt;"2014-04-01",1,2.5)</f>
        <v>0</v>
      </c>
      <c r="AI484" s="264">
        <f>IF(NFI_Expiration=1,IF($A484&lt;VLOOKUP(R$5,NFI,5,0),1,0)*Table_NFI[[#This Row],[Winter Clothes Adult]],Table_NFI[Winter Clothes Adult])</f>
        <v>0</v>
      </c>
      <c r="AJ484" s="264">
        <f>IF(NFI_Expiration=1,IF($A484&lt;VLOOKUP(S$5,NFI,5,0),1,0)*Table_NFI[[#This Row],[Winter Clothes Children]],Table_NFI[Winter Clothes Children])</f>
        <v>0</v>
      </c>
      <c r="AK484" s="264">
        <f>IF(NFI_Expiration=1,IF($A484&lt;VLOOKUP(T$5,NFI,5,0),1,0)*Table_NFI[[#This Row],[Winter Items Other]],Table_NFI[Winter Items Other])</f>
        <v>0</v>
      </c>
      <c r="AL484" s="264">
        <f>IF(NFI_Expiration=1,IF($A484&lt;VLOOKUP(M$5,NFI,5,0),1,0)*Table_NFI[[#This Row],[Winter Blanket]],Table_NFI[[#This Row],[Winter Blanket]])</f>
        <v>0</v>
      </c>
      <c r="AM484" s="264">
        <f>IF(Table_NFI[[#This Row],[Winter Clothes Adult]]+Table_NFI[[#This Row],[Winter Clothes Children]]+Table_NFI[[#This Row],[Winter Items Other]]+Table_NFI[[#This Row],[Winter Blanket]]&gt;0,1,0)</f>
        <v>1</v>
      </c>
      <c r="AN484" s="296">
        <f>IF(NFI_Expiration=1,IF($A484&lt;VLOOKUP(V$5,NFI,5,0),1,0)*Table_NFI[[#This Row],[Jerry Can]],Table_NFI[Jerry Can])</f>
        <v>0</v>
      </c>
      <c r="AO484" s="296">
        <f>IF(NFI_Expiration=1,IF($A484&lt;VLOOKUP(V$5,NFI,5,0),1,0)*Table_NFI[[#This Row],[Shelter Tool kit]],Table_NFI[Shelter Tool kit])</f>
        <v>0</v>
      </c>
      <c r="AP484" s="296">
        <f>IF(NFI_Expiration=1,IF($A484&lt;VLOOKUP(V$5,NFI,5,0),1,0)*Table_NFI[[#This Row],[Tent]],Table_NFI[Tent])</f>
        <v>0</v>
      </c>
      <c r="AQ484" s="396" t="str">
        <f>IFERROR(VLOOKUP(Table_NFI[[#This Row],[Camp Name]],CL,2,0),"")</f>
        <v>MMR001CMP052</v>
      </c>
      <c r="AR484" s="702">
        <f ca="1">IF(Table_NFI[[#This Row],[Pcode]]="","",IF(OFFSET(CampList[Opening Date],MATCH(Table_NFI[[#This Row],[Pcode]],CampList[CP_Pcode],0)-1,0,1,1)&gt;=NFI_Monitor_Date,1,0))</f>
        <v>0</v>
      </c>
      <c r="AS484" s="396" t="str">
        <f>IFERROR(VLOOKUP(Table_NFI[[#This Row],[Camp Name]],CL,3,0),"")</f>
        <v>Open</v>
      </c>
      <c r="AT484" s="264" t="str">
        <f ca="1">IF(Table_NFI[[#This Row],[Pcode]]="","",OFFSET(CampList[Priority],MATCH(Table_NFI[[#This Row],[Pcode]],CampList[CP_Pcode],0)-1,0,1,1))</f>
        <v>P4</v>
      </c>
      <c r="AU484" s="263">
        <f>IFERROR(Table_NFI[[#This Row],[Kitchen Set]]/VLOOKUP(Table_NFI[[#This Row],[Camp Name]],CL,4,0),"")</f>
        <v>0</v>
      </c>
      <c r="AV484" s="390"/>
      <c r="AW484" s="392"/>
      <c r="AX484" s="399"/>
      <c r="AY484" s="399"/>
      <c r="AZ484" s="399"/>
      <c r="BA484" s="399"/>
      <c r="BB484" s="399"/>
      <c r="BC484" s="399"/>
      <c r="BD484" s="399"/>
      <c r="BE484" s="399"/>
      <c r="BF484" s="399"/>
      <c r="BG484" s="399"/>
      <c r="BH484" s="399"/>
      <c r="BI484" s="399"/>
      <c r="BJ484" s="399"/>
      <c r="BK484" s="399"/>
      <c r="BL484" s="399"/>
      <c r="BM484" s="399"/>
      <c r="BN484" s="399"/>
      <c r="BO484" s="399"/>
      <c r="BP484" s="399"/>
      <c r="BQ484" s="399"/>
      <c r="BR484" s="399"/>
      <c r="BS484" s="399"/>
      <c r="BT484" s="399"/>
      <c r="BU484" s="399"/>
      <c r="BV484" s="399"/>
      <c r="BW484" s="399"/>
      <c r="BX484" s="399"/>
      <c r="BY484" s="399"/>
      <c r="BZ484" s="399"/>
      <c r="CA484" s="399"/>
      <c r="CB484" s="399"/>
      <c r="CC484" s="399"/>
      <c r="CD484" s="399"/>
      <c r="CE484" s="399"/>
      <c r="CF484" s="399"/>
      <c r="CG484" s="399"/>
      <c r="CH484" s="399"/>
      <c r="CI484" s="399"/>
      <c r="CJ484" s="399"/>
      <c r="CK484" s="399"/>
      <c r="CL484" s="399"/>
      <c r="CM484" s="399"/>
      <c r="CN484" s="399"/>
      <c r="CO484" s="399"/>
      <c r="CP484" s="399"/>
      <c r="CQ484" s="399"/>
      <c r="CR484" s="399"/>
      <c r="CS484" s="399"/>
      <c r="CT484" s="399"/>
      <c r="CU484" s="399"/>
      <c r="CV484" s="399"/>
      <c r="CW484" s="399"/>
      <c r="CX484" s="399"/>
      <c r="CY484" s="399"/>
      <c r="CZ484" s="399"/>
      <c r="DA484" s="399"/>
      <c r="DB484" s="399"/>
      <c r="DC484" s="399"/>
      <c r="DD484" s="399"/>
      <c r="DE484" s="399"/>
      <c r="DF484" s="399"/>
      <c r="DG484" s="399"/>
      <c r="DH484" s="399"/>
      <c r="DI484" s="399"/>
      <c r="DJ484" s="399"/>
      <c r="DK484" s="399"/>
      <c r="DL484" s="399"/>
      <c r="DM484" s="399"/>
      <c r="DN484" s="399"/>
      <c r="DO484" s="399"/>
      <c r="DP484" s="399"/>
      <c r="DQ484" s="399"/>
    </row>
    <row r="485" spans="1:121" s="760" customFormat="1" ht="14.45" customHeight="1" x14ac:dyDescent="0.25">
      <c r="A485" s="266">
        <f t="shared" si="7"/>
        <v>37.299999999999997</v>
      </c>
      <c r="B485" s="389">
        <v>41737</v>
      </c>
      <c r="C485" s="390" t="s">
        <v>1099</v>
      </c>
      <c r="D485" s="390" t="s">
        <v>899</v>
      </c>
      <c r="E485" s="390" t="s">
        <v>380</v>
      </c>
      <c r="F485" s="390" t="s">
        <v>5</v>
      </c>
      <c r="G485" s="390" t="s">
        <v>366</v>
      </c>
      <c r="H485" s="261"/>
      <c r="I485" s="261"/>
      <c r="J485" s="261"/>
      <c r="K485" s="261"/>
      <c r="L485" s="261"/>
      <c r="M485" s="261"/>
      <c r="N485" s="261"/>
      <c r="O485" s="261"/>
      <c r="P485" s="261"/>
      <c r="Q485" s="261"/>
      <c r="R485" s="261"/>
      <c r="S485" s="261"/>
      <c r="T485" s="261"/>
      <c r="U485" s="261">
        <v>372</v>
      </c>
      <c r="V485" s="762"/>
      <c r="W485" s="261"/>
      <c r="X485" s="261"/>
      <c r="Y485" s="264">
        <f>IF(NFI_Expiration=1,IF($A485&lt;VLOOKUP(H$5,NFI,5,0),1,0)*Table_NFI[[#This Row],[Hygiene Kit]],Table_NFI[Hygiene Kit])</f>
        <v>0</v>
      </c>
      <c r="Z485" s="264">
        <f>IF(NFI_Expiration=1,IF($A485&lt;VLOOKUP(I$5,NFI,5,0),1,0)*Table_NFI[[#This Row],[NFI Core Kit]],Table_NFI[NFI Core Kit])</f>
        <v>0</v>
      </c>
      <c r="AA485" s="264">
        <f>IF(NFI_Expiration=1,IF($A485&lt;VLOOKUP(J$5,NFI,5,0),1,0)*Table_NFI[[#This Row],[Sanitary Kit]],Table_NFI[Sanitary Kit])</f>
        <v>0</v>
      </c>
      <c r="AB485" s="264">
        <f>IF(NFI_Expiration=1,IF($A485&lt;VLOOKUP(K$5,NFI,5,0),1,0)*Table_NFI[[#This Row],[Mosquito net]],Table_NFI[Mosquito net])</f>
        <v>0</v>
      </c>
      <c r="AC485" s="264">
        <f>IF(NFI_Expiration=1,IF($A485&lt;VLOOKUP(L$5,NFI,5,0),1,0)*Table_NFI[[#This Row],[Tarpaulin]],Table_NFI[[#This Row],[Tarpaulin]])</f>
        <v>0</v>
      </c>
      <c r="AD485" s="264">
        <f>IF(NFI_Expiration=1,IF($A485&lt;VLOOKUP(M$5,NFI,5,0),1,0)*Table_NFI[[#This Row],[Blanket]],Table_NFI[[#This Row],[Blanket]])</f>
        <v>0</v>
      </c>
      <c r="AE485" s="264">
        <f>IF(NFI_Expiration=1,IF($A485&lt;VLOOKUP(N$5,NFI,5,0),1,0)*Table_NFI[[#This Row],[Kitchen Set]],Table_NFI[Kitchen Set])</f>
        <v>0</v>
      </c>
      <c r="AF485" s="264">
        <f>IF(NFI_Expiration=1,IF($A485&lt;VLOOKUP(O$5,NFI,5,0),1,0)*Table_NFI[[#This Row],[Clothes Kit]],Table_NFI[Clothes Kit])</f>
        <v>0</v>
      </c>
      <c r="AG485" s="264">
        <f>IF(NFI_Expiration=1,IF($A485&lt;VLOOKUP(P$5,NFI,5,0),1,0)*Table_NFI[[#This Row],[Plastic Bucket]],Table_NFI[Plastic Bucket])</f>
        <v>0</v>
      </c>
      <c r="AH485" s="264">
        <f>IF(NFI_Expiration=1,IF($A485&lt;VLOOKUP(Q$5,NFI,5,0),1,0)*Table_NFI[[#This Row],[Plastic Mat]],Table_NFI[Plastic Mat])*IF(Table_NFI[[#This Row],[Distribution Date]]&gt;"2014-04-01",1,2.5)</f>
        <v>0</v>
      </c>
      <c r="AI485" s="264">
        <f>IF(NFI_Expiration=1,IF($A485&lt;VLOOKUP(R$5,NFI,5,0),1,0)*Table_NFI[[#This Row],[Winter Clothes Adult]],Table_NFI[Winter Clothes Adult])</f>
        <v>0</v>
      </c>
      <c r="AJ485" s="264">
        <f>IF(NFI_Expiration=1,IF($A485&lt;VLOOKUP(S$5,NFI,5,0),1,0)*Table_NFI[[#This Row],[Winter Clothes Children]],Table_NFI[Winter Clothes Children])</f>
        <v>0</v>
      </c>
      <c r="AK485" s="264">
        <f>IF(NFI_Expiration=1,IF($A485&lt;VLOOKUP(T$5,NFI,5,0),1,0)*Table_NFI[[#This Row],[Winter Items Other]],Table_NFI[Winter Items Other])</f>
        <v>0</v>
      </c>
      <c r="AL485" s="264">
        <f>IF(NFI_Expiration=1,IF($A485&lt;VLOOKUP(M$5,NFI,5,0),1,0)*Table_NFI[[#This Row],[Winter Blanket]],Table_NFI[[#This Row],[Winter Blanket]])</f>
        <v>0</v>
      </c>
      <c r="AM485" s="264">
        <f>IF(Table_NFI[[#This Row],[Winter Clothes Adult]]+Table_NFI[[#This Row],[Winter Clothes Children]]+Table_NFI[[#This Row],[Winter Items Other]]+Table_NFI[[#This Row],[Winter Blanket]]&gt;0,1,0)</f>
        <v>1</v>
      </c>
      <c r="AN485" s="296">
        <f>IF(NFI_Expiration=1,IF($A485&lt;VLOOKUP(V$5,NFI,5,0),1,0)*Table_NFI[[#This Row],[Jerry Can]],Table_NFI[Jerry Can])</f>
        <v>0</v>
      </c>
      <c r="AO485" s="296">
        <f>IF(NFI_Expiration=1,IF($A485&lt;VLOOKUP(V$5,NFI,5,0),1,0)*Table_NFI[[#This Row],[Shelter Tool kit]],Table_NFI[Shelter Tool kit])</f>
        <v>0</v>
      </c>
      <c r="AP485" s="296">
        <f>IF(NFI_Expiration=1,IF($A485&lt;VLOOKUP(V$5,NFI,5,0),1,0)*Table_NFI[[#This Row],[Tent]],Table_NFI[Tent])</f>
        <v>0</v>
      </c>
      <c r="AQ485" s="396" t="str">
        <f>IFERROR(VLOOKUP(Table_NFI[[#This Row],[Camp Name]],CL,2,0),"")</f>
        <v>MMR001CMP193</v>
      </c>
      <c r="AR485" s="702">
        <f ca="1">IF(Table_NFI[[#This Row],[Pcode]]="","",IF(OFFSET(CampList[Opening Date],MATCH(Table_NFI[[#This Row],[Pcode]],CampList[CP_Pcode],0)-1,0,1,1)&gt;=NFI_Monitor_Date,1,0))</f>
        <v>0</v>
      </c>
      <c r="AS485" s="396" t="str">
        <f>IFERROR(VLOOKUP(Table_NFI[[#This Row],[Camp Name]],CL,3,0),"")</f>
        <v>Open</v>
      </c>
      <c r="AT485" s="264" t="str">
        <f ca="1">IF(Table_NFI[[#This Row],[Pcode]]="","",OFFSET(CampList[Priority],MATCH(Table_NFI[[#This Row],[Pcode]],CampList[CP_Pcode],0)-1,0,1,1))</f>
        <v>P4</v>
      </c>
      <c r="AU485" s="263">
        <f>IFERROR(Table_NFI[[#This Row],[Kitchen Set]]/VLOOKUP(Table_NFI[[#This Row],[Camp Name]],CL,4,0),"")</f>
        <v>0</v>
      </c>
      <c r="AV485" s="390"/>
      <c r="AW485" s="392"/>
      <c r="AX485" s="399"/>
      <c r="AY485" s="399"/>
      <c r="AZ485" s="399"/>
      <c r="BA485" s="399"/>
      <c r="BB485" s="399"/>
      <c r="BC485" s="399"/>
      <c r="BD485" s="399"/>
      <c r="BE485" s="399"/>
      <c r="BF485" s="399"/>
      <c r="BG485" s="399"/>
      <c r="BH485" s="399"/>
      <c r="BI485" s="399"/>
      <c r="BJ485" s="399"/>
      <c r="BK485" s="399"/>
      <c r="BL485" s="399"/>
      <c r="BM485" s="399"/>
      <c r="BN485" s="399"/>
      <c r="BO485" s="399"/>
      <c r="BP485" s="399"/>
      <c r="BQ485" s="399"/>
      <c r="BR485" s="399"/>
      <c r="BS485" s="399"/>
      <c r="BT485" s="399"/>
      <c r="BU485" s="399"/>
      <c r="BV485" s="399"/>
      <c r="BW485" s="399"/>
      <c r="BX485" s="399"/>
      <c r="BY485" s="399"/>
      <c r="BZ485" s="399"/>
      <c r="CA485" s="399"/>
      <c r="CB485" s="399"/>
      <c r="CC485" s="399"/>
      <c r="CD485" s="399"/>
      <c r="CE485" s="399"/>
      <c r="CF485" s="399"/>
      <c r="CG485" s="399"/>
      <c r="CH485" s="399"/>
      <c r="CI485" s="399"/>
      <c r="CJ485" s="399"/>
      <c r="CK485" s="399"/>
      <c r="CL485" s="399"/>
      <c r="CM485" s="399"/>
      <c r="CN485" s="399"/>
      <c r="CO485" s="399"/>
      <c r="CP485" s="399"/>
      <c r="CQ485" s="399"/>
      <c r="CR485" s="399"/>
      <c r="CS485" s="399"/>
      <c r="CT485" s="399"/>
      <c r="CU485" s="399"/>
      <c r="CV485" s="399"/>
      <c r="CW485" s="399"/>
      <c r="CX485" s="399"/>
      <c r="CY485" s="399"/>
      <c r="CZ485" s="399"/>
      <c r="DA485" s="399"/>
      <c r="DB485" s="399"/>
      <c r="DC485" s="399"/>
      <c r="DD485" s="399"/>
      <c r="DE485" s="399"/>
      <c r="DF485" s="399"/>
      <c r="DG485" s="399"/>
      <c r="DH485" s="399"/>
      <c r="DI485" s="399"/>
      <c r="DJ485" s="399"/>
      <c r="DK485" s="399"/>
      <c r="DL485" s="399"/>
      <c r="DM485" s="399"/>
      <c r="DN485" s="399"/>
      <c r="DO485" s="399"/>
      <c r="DP485" s="399"/>
      <c r="DQ485" s="399"/>
    </row>
    <row r="486" spans="1:121" s="760" customFormat="1" ht="14.45" customHeight="1" x14ac:dyDescent="0.25">
      <c r="A486" s="266">
        <f t="shared" si="7"/>
        <v>37.299999999999997</v>
      </c>
      <c r="B486" s="389">
        <v>41737</v>
      </c>
      <c r="C486" s="390" t="s">
        <v>1099</v>
      </c>
      <c r="D486" s="390" t="s">
        <v>899</v>
      </c>
      <c r="E486" s="390" t="s">
        <v>380</v>
      </c>
      <c r="F486" s="390" t="s">
        <v>185</v>
      </c>
      <c r="G486" s="390" t="s">
        <v>207</v>
      </c>
      <c r="H486" s="261"/>
      <c r="I486" s="261"/>
      <c r="J486" s="261"/>
      <c r="K486" s="261"/>
      <c r="L486" s="261"/>
      <c r="M486" s="261"/>
      <c r="N486" s="261"/>
      <c r="O486" s="261"/>
      <c r="P486" s="261"/>
      <c r="Q486" s="261"/>
      <c r="R486" s="261"/>
      <c r="S486" s="261"/>
      <c r="T486" s="261"/>
      <c r="U486" s="261">
        <v>10</v>
      </c>
      <c r="V486" s="762"/>
      <c r="W486" s="261"/>
      <c r="X486" s="261"/>
      <c r="Y486" s="264">
        <f>IF(NFI_Expiration=1,IF($A486&lt;VLOOKUP(H$5,NFI,5,0),1,0)*Table_NFI[[#This Row],[Hygiene Kit]],Table_NFI[Hygiene Kit])</f>
        <v>0</v>
      </c>
      <c r="Z486" s="264">
        <f>IF(NFI_Expiration=1,IF($A486&lt;VLOOKUP(I$5,NFI,5,0),1,0)*Table_NFI[[#This Row],[NFI Core Kit]],Table_NFI[NFI Core Kit])</f>
        <v>0</v>
      </c>
      <c r="AA486" s="264">
        <f>IF(NFI_Expiration=1,IF($A486&lt;VLOOKUP(J$5,NFI,5,0),1,0)*Table_NFI[[#This Row],[Sanitary Kit]],Table_NFI[Sanitary Kit])</f>
        <v>0</v>
      </c>
      <c r="AB486" s="264">
        <f>IF(NFI_Expiration=1,IF($A486&lt;VLOOKUP(K$5,NFI,5,0),1,0)*Table_NFI[[#This Row],[Mosquito net]],Table_NFI[Mosquito net])</f>
        <v>0</v>
      </c>
      <c r="AC486" s="264">
        <f>IF(NFI_Expiration=1,IF($A486&lt;VLOOKUP(L$5,NFI,5,0),1,0)*Table_NFI[[#This Row],[Tarpaulin]],Table_NFI[[#This Row],[Tarpaulin]])</f>
        <v>0</v>
      </c>
      <c r="AD486" s="264">
        <f>IF(NFI_Expiration=1,IF($A486&lt;VLOOKUP(M$5,NFI,5,0),1,0)*Table_NFI[[#This Row],[Blanket]],Table_NFI[[#This Row],[Blanket]])</f>
        <v>0</v>
      </c>
      <c r="AE486" s="264">
        <f>IF(NFI_Expiration=1,IF($A486&lt;VLOOKUP(N$5,NFI,5,0),1,0)*Table_NFI[[#This Row],[Kitchen Set]],Table_NFI[Kitchen Set])</f>
        <v>0</v>
      </c>
      <c r="AF486" s="264">
        <f>IF(NFI_Expiration=1,IF($A486&lt;VLOOKUP(O$5,NFI,5,0),1,0)*Table_NFI[[#This Row],[Clothes Kit]],Table_NFI[Clothes Kit])</f>
        <v>0</v>
      </c>
      <c r="AG486" s="264">
        <f>IF(NFI_Expiration=1,IF($A486&lt;VLOOKUP(P$5,NFI,5,0),1,0)*Table_NFI[[#This Row],[Plastic Bucket]],Table_NFI[Plastic Bucket])</f>
        <v>0</v>
      </c>
      <c r="AH486" s="264">
        <f>IF(NFI_Expiration=1,IF($A486&lt;VLOOKUP(Q$5,NFI,5,0),1,0)*Table_NFI[[#This Row],[Plastic Mat]],Table_NFI[Plastic Mat])*IF(Table_NFI[[#This Row],[Distribution Date]]&gt;"2014-04-01",1,2.5)</f>
        <v>0</v>
      </c>
      <c r="AI486" s="264">
        <f>IF(NFI_Expiration=1,IF($A486&lt;VLOOKUP(R$5,NFI,5,0),1,0)*Table_NFI[[#This Row],[Winter Clothes Adult]],Table_NFI[Winter Clothes Adult])</f>
        <v>0</v>
      </c>
      <c r="AJ486" s="264">
        <f>IF(NFI_Expiration=1,IF($A486&lt;VLOOKUP(S$5,NFI,5,0),1,0)*Table_NFI[[#This Row],[Winter Clothes Children]],Table_NFI[Winter Clothes Children])</f>
        <v>0</v>
      </c>
      <c r="AK486" s="264">
        <f>IF(NFI_Expiration=1,IF($A486&lt;VLOOKUP(T$5,NFI,5,0),1,0)*Table_NFI[[#This Row],[Winter Items Other]],Table_NFI[Winter Items Other])</f>
        <v>0</v>
      </c>
      <c r="AL486" s="264">
        <f>IF(NFI_Expiration=1,IF($A486&lt;VLOOKUP(M$5,NFI,5,0),1,0)*Table_NFI[[#This Row],[Winter Blanket]],Table_NFI[[#This Row],[Winter Blanket]])</f>
        <v>0</v>
      </c>
      <c r="AM486" s="264">
        <f>IF(Table_NFI[[#This Row],[Winter Clothes Adult]]+Table_NFI[[#This Row],[Winter Clothes Children]]+Table_NFI[[#This Row],[Winter Items Other]]+Table_NFI[[#This Row],[Winter Blanket]]&gt;0,1,0)</f>
        <v>1</v>
      </c>
      <c r="AN486" s="296">
        <f>IF(NFI_Expiration=1,IF($A486&lt;VLOOKUP(V$5,NFI,5,0),1,0)*Table_NFI[[#This Row],[Jerry Can]],Table_NFI[Jerry Can])</f>
        <v>0</v>
      </c>
      <c r="AO486" s="296">
        <f>IF(NFI_Expiration=1,IF($A486&lt;VLOOKUP(V$5,NFI,5,0),1,0)*Table_NFI[[#This Row],[Shelter Tool kit]],Table_NFI[Shelter Tool kit])</f>
        <v>0</v>
      </c>
      <c r="AP486" s="296">
        <f>IF(NFI_Expiration=1,IF($A486&lt;VLOOKUP(V$5,NFI,5,0),1,0)*Table_NFI[[#This Row],[Tent]],Table_NFI[Tent])</f>
        <v>0</v>
      </c>
      <c r="AQ486" s="396" t="str">
        <f>IFERROR(VLOOKUP(Table_NFI[[#This Row],[Camp Name]],CL,2,0),"")</f>
        <v>MMR001CMP058</v>
      </c>
      <c r="AR486" s="702">
        <f ca="1">IF(Table_NFI[[#This Row],[Pcode]]="","",IF(OFFSET(CampList[Opening Date],MATCH(Table_NFI[[#This Row],[Pcode]],CampList[CP_Pcode],0)-1,0,1,1)&gt;=NFI_Monitor_Date,1,0))</f>
        <v>0</v>
      </c>
      <c r="AS486" s="396" t="s">
        <v>842</v>
      </c>
      <c r="AT486" s="264" t="str">
        <f ca="1">IF(Table_NFI[[#This Row],[Pcode]]="","",OFFSET(CampList[Priority],MATCH(Table_NFI[[#This Row],[Pcode]],CampList[CP_Pcode],0)-1,0,1,1))</f>
        <v>P4</v>
      </c>
      <c r="AU486" s="263">
        <f>IFERROR(Table_NFI[[#This Row],[Kitchen Set]]/VLOOKUP(Table_NFI[[#This Row],[Camp Name]],CL,4,0),"")</f>
        <v>0</v>
      </c>
      <c r="AV486" s="390"/>
      <c r="AW486" s="392"/>
      <c r="AX486" s="399"/>
      <c r="AY486" s="399"/>
      <c r="AZ486" s="399"/>
      <c r="BA486" s="399"/>
      <c r="BB486" s="399"/>
      <c r="BC486" s="399"/>
      <c r="BD486" s="399"/>
      <c r="BE486" s="399"/>
      <c r="BF486" s="399"/>
      <c r="BG486" s="399"/>
      <c r="BH486" s="399"/>
      <c r="BI486" s="399"/>
      <c r="BJ486" s="399"/>
      <c r="BK486" s="399"/>
      <c r="BL486" s="399"/>
      <c r="BM486" s="399"/>
      <c r="BN486" s="399"/>
      <c r="BO486" s="399"/>
      <c r="BP486" s="399"/>
      <c r="BQ486" s="399"/>
      <c r="BR486" s="399"/>
      <c r="BS486" s="399"/>
      <c r="BT486" s="399"/>
      <c r="BU486" s="399"/>
      <c r="BV486" s="399"/>
      <c r="BW486" s="399"/>
      <c r="BX486" s="399"/>
      <c r="BY486" s="399"/>
      <c r="BZ486" s="399"/>
      <c r="CA486" s="399"/>
      <c r="CB486" s="399"/>
      <c r="CC486" s="399"/>
      <c r="CD486" s="399"/>
      <c r="CE486" s="399"/>
      <c r="CF486" s="399"/>
      <c r="CG486" s="399"/>
      <c r="CH486" s="399"/>
      <c r="CI486" s="399"/>
      <c r="CJ486" s="399"/>
      <c r="CK486" s="399"/>
      <c r="CL486" s="399"/>
      <c r="CM486" s="399"/>
      <c r="CN486" s="399"/>
      <c r="CO486" s="399"/>
      <c r="CP486" s="399"/>
      <c r="CQ486" s="399"/>
      <c r="CR486" s="399"/>
      <c r="CS486" s="399"/>
      <c r="CT486" s="399"/>
      <c r="CU486" s="399"/>
      <c r="CV486" s="399"/>
      <c r="CW486" s="399"/>
      <c r="CX486" s="399"/>
      <c r="CY486" s="399"/>
      <c r="CZ486" s="399"/>
      <c r="DA486" s="399"/>
      <c r="DB486" s="399"/>
      <c r="DC486" s="399"/>
      <c r="DD486" s="399"/>
      <c r="DE486" s="399"/>
      <c r="DF486" s="399"/>
      <c r="DG486" s="399"/>
      <c r="DH486" s="399"/>
      <c r="DI486" s="399"/>
      <c r="DJ486" s="399"/>
      <c r="DK486" s="399"/>
      <c r="DL486" s="399"/>
      <c r="DM486" s="399"/>
      <c r="DN486" s="399"/>
      <c r="DO486" s="399"/>
      <c r="DP486" s="399"/>
      <c r="DQ486" s="399"/>
    </row>
    <row r="487" spans="1:121" s="760" customFormat="1" ht="14.45" customHeight="1" x14ac:dyDescent="0.25">
      <c r="A487" s="266">
        <f t="shared" si="7"/>
        <v>37.299999999999997</v>
      </c>
      <c r="B487" s="389">
        <v>41737</v>
      </c>
      <c r="C487" s="390" t="s">
        <v>1099</v>
      </c>
      <c r="D487" s="390" t="s">
        <v>899</v>
      </c>
      <c r="E487" s="390" t="s">
        <v>380</v>
      </c>
      <c r="F487" s="390" t="s">
        <v>185</v>
      </c>
      <c r="G487" s="390" t="s">
        <v>217</v>
      </c>
      <c r="H487" s="261"/>
      <c r="I487" s="261"/>
      <c r="J487" s="261"/>
      <c r="K487" s="261"/>
      <c r="L487" s="261"/>
      <c r="M487" s="261"/>
      <c r="N487" s="261"/>
      <c r="O487" s="261"/>
      <c r="P487" s="261"/>
      <c r="Q487" s="261"/>
      <c r="R487" s="261"/>
      <c r="S487" s="261"/>
      <c r="T487" s="261"/>
      <c r="U487" s="261">
        <v>46</v>
      </c>
      <c r="V487" s="762"/>
      <c r="W487" s="261"/>
      <c r="X487" s="261"/>
      <c r="Y487" s="264">
        <f>IF(NFI_Expiration=1,IF($A487&lt;VLOOKUP(H$5,NFI,5,0),1,0)*Table_NFI[[#This Row],[Hygiene Kit]],Table_NFI[Hygiene Kit])</f>
        <v>0</v>
      </c>
      <c r="Z487" s="264">
        <f>IF(NFI_Expiration=1,IF($A487&lt;VLOOKUP(I$5,NFI,5,0),1,0)*Table_NFI[[#This Row],[NFI Core Kit]],Table_NFI[NFI Core Kit])</f>
        <v>0</v>
      </c>
      <c r="AA487" s="264">
        <f>IF(NFI_Expiration=1,IF($A487&lt;VLOOKUP(J$5,NFI,5,0),1,0)*Table_NFI[[#This Row],[Sanitary Kit]],Table_NFI[Sanitary Kit])</f>
        <v>0</v>
      </c>
      <c r="AB487" s="264">
        <f>IF(NFI_Expiration=1,IF($A487&lt;VLOOKUP(K$5,NFI,5,0),1,0)*Table_NFI[[#This Row],[Mosquito net]],Table_NFI[Mosquito net])</f>
        <v>0</v>
      </c>
      <c r="AC487" s="264">
        <f>IF(NFI_Expiration=1,IF($A487&lt;VLOOKUP(L$5,NFI,5,0),1,0)*Table_NFI[[#This Row],[Tarpaulin]],Table_NFI[[#This Row],[Tarpaulin]])</f>
        <v>0</v>
      </c>
      <c r="AD487" s="264">
        <f>IF(NFI_Expiration=1,IF($A487&lt;VLOOKUP(M$5,NFI,5,0),1,0)*Table_NFI[[#This Row],[Blanket]],Table_NFI[[#This Row],[Blanket]])</f>
        <v>0</v>
      </c>
      <c r="AE487" s="264">
        <f>IF(NFI_Expiration=1,IF($A487&lt;VLOOKUP(N$5,NFI,5,0),1,0)*Table_NFI[[#This Row],[Kitchen Set]],Table_NFI[Kitchen Set])</f>
        <v>0</v>
      </c>
      <c r="AF487" s="264">
        <f>IF(NFI_Expiration=1,IF($A487&lt;VLOOKUP(O$5,NFI,5,0),1,0)*Table_NFI[[#This Row],[Clothes Kit]],Table_NFI[Clothes Kit])</f>
        <v>0</v>
      </c>
      <c r="AG487" s="264">
        <f>IF(NFI_Expiration=1,IF($A487&lt;VLOOKUP(P$5,NFI,5,0),1,0)*Table_NFI[[#This Row],[Plastic Bucket]],Table_NFI[Plastic Bucket])</f>
        <v>0</v>
      </c>
      <c r="AH487" s="264">
        <f>IF(NFI_Expiration=1,IF($A487&lt;VLOOKUP(Q$5,NFI,5,0),1,0)*Table_NFI[[#This Row],[Plastic Mat]],Table_NFI[Plastic Mat])*IF(Table_NFI[[#This Row],[Distribution Date]]&gt;"2014-04-01",1,2.5)</f>
        <v>0</v>
      </c>
      <c r="AI487" s="264">
        <f>IF(NFI_Expiration=1,IF($A487&lt;VLOOKUP(R$5,NFI,5,0),1,0)*Table_NFI[[#This Row],[Winter Clothes Adult]],Table_NFI[Winter Clothes Adult])</f>
        <v>0</v>
      </c>
      <c r="AJ487" s="264">
        <f>IF(NFI_Expiration=1,IF($A487&lt;VLOOKUP(S$5,NFI,5,0),1,0)*Table_NFI[[#This Row],[Winter Clothes Children]],Table_NFI[Winter Clothes Children])</f>
        <v>0</v>
      </c>
      <c r="AK487" s="264">
        <f>IF(NFI_Expiration=1,IF($A487&lt;VLOOKUP(T$5,NFI,5,0),1,0)*Table_NFI[[#This Row],[Winter Items Other]],Table_NFI[Winter Items Other])</f>
        <v>0</v>
      </c>
      <c r="AL487" s="264">
        <f>IF(NFI_Expiration=1,IF($A487&lt;VLOOKUP(M$5,NFI,5,0),1,0)*Table_NFI[[#This Row],[Winter Blanket]],Table_NFI[[#This Row],[Winter Blanket]])</f>
        <v>0</v>
      </c>
      <c r="AM487" s="264">
        <f>IF(Table_NFI[[#This Row],[Winter Clothes Adult]]+Table_NFI[[#This Row],[Winter Clothes Children]]+Table_NFI[[#This Row],[Winter Items Other]]+Table_NFI[[#This Row],[Winter Blanket]]&gt;0,1,0)</f>
        <v>1</v>
      </c>
      <c r="AN487" s="296">
        <f>IF(NFI_Expiration=1,IF($A487&lt;VLOOKUP(V$5,NFI,5,0),1,0)*Table_NFI[[#This Row],[Jerry Can]],Table_NFI[Jerry Can])</f>
        <v>0</v>
      </c>
      <c r="AO487" s="296">
        <f>IF(NFI_Expiration=1,IF($A487&lt;VLOOKUP(V$5,NFI,5,0),1,0)*Table_NFI[[#This Row],[Shelter Tool kit]],Table_NFI[Shelter Tool kit])</f>
        <v>0</v>
      </c>
      <c r="AP487" s="296">
        <f>IF(NFI_Expiration=1,IF($A487&lt;VLOOKUP(V$5,NFI,5,0),1,0)*Table_NFI[[#This Row],[Tent]],Table_NFI[Tent])</f>
        <v>0</v>
      </c>
      <c r="AQ487" s="396" t="str">
        <f>IFERROR(VLOOKUP(Table_NFI[[#This Row],[Camp Name]],CL,2,0),"")</f>
        <v>MMR001CMP059</v>
      </c>
      <c r="AR487" s="702">
        <f ca="1">IF(Table_NFI[[#This Row],[Pcode]]="","",IF(OFFSET(CampList[Opening Date],MATCH(Table_NFI[[#This Row],[Pcode]],CampList[CP_Pcode],0)-1,0,1,1)&gt;=NFI_Monitor_Date,1,0))</f>
        <v>0</v>
      </c>
      <c r="AS487" s="396" t="str">
        <f>IFERROR(VLOOKUP(Table_NFI[[#This Row],[Camp Name]],CL,3,0),"")</f>
        <v>Closed</v>
      </c>
      <c r="AT487" s="264" t="str">
        <f ca="1">IF(Table_NFI[[#This Row],[Pcode]]="","",OFFSET(CampList[Priority],MATCH(Table_NFI[[#This Row],[Pcode]],CampList[CP_Pcode],0)-1,0,1,1))</f>
        <v>P4</v>
      </c>
      <c r="AU487" s="263">
        <f>IFERROR(Table_NFI[[#This Row],[Kitchen Set]]/VLOOKUP(Table_NFI[[#This Row],[Camp Name]],CL,4,0),"")</f>
        <v>0</v>
      </c>
      <c r="AV487" s="390"/>
      <c r="AW487" s="392"/>
      <c r="AX487" s="399"/>
      <c r="AY487" s="399"/>
      <c r="AZ487" s="399"/>
      <c r="BA487" s="399"/>
      <c r="BB487" s="399"/>
      <c r="BC487" s="399"/>
      <c r="BD487" s="399"/>
      <c r="BE487" s="399"/>
      <c r="BF487" s="399"/>
      <c r="BG487" s="399"/>
      <c r="BH487" s="399"/>
      <c r="BI487" s="399"/>
      <c r="BJ487" s="399"/>
      <c r="BK487" s="399"/>
      <c r="BL487" s="399"/>
      <c r="BM487" s="399"/>
      <c r="BN487" s="399"/>
      <c r="BO487" s="399"/>
      <c r="BP487" s="399"/>
      <c r="BQ487" s="399"/>
      <c r="BR487" s="399"/>
      <c r="BS487" s="399"/>
      <c r="BT487" s="399"/>
      <c r="BU487" s="399"/>
      <c r="BV487" s="399"/>
      <c r="BW487" s="399"/>
      <c r="BX487" s="399"/>
      <c r="BY487" s="399"/>
      <c r="BZ487" s="399"/>
      <c r="CA487" s="399"/>
      <c r="CB487" s="399"/>
      <c r="CC487" s="399"/>
      <c r="CD487" s="399"/>
      <c r="CE487" s="399"/>
      <c r="CF487" s="399"/>
      <c r="CG487" s="399"/>
      <c r="CH487" s="399"/>
      <c r="CI487" s="399"/>
      <c r="CJ487" s="399"/>
      <c r="CK487" s="399"/>
      <c r="CL487" s="399"/>
      <c r="CM487" s="399"/>
      <c r="CN487" s="399"/>
      <c r="CO487" s="399"/>
      <c r="CP487" s="399"/>
      <c r="CQ487" s="399"/>
      <c r="CR487" s="399"/>
      <c r="CS487" s="399"/>
      <c r="CT487" s="399"/>
      <c r="CU487" s="399"/>
      <c r="CV487" s="399"/>
      <c r="CW487" s="399"/>
      <c r="CX487" s="399"/>
      <c r="CY487" s="399"/>
      <c r="CZ487" s="399"/>
      <c r="DA487" s="399"/>
      <c r="DB487" s="399"/>
      <c r="DC487" s="399"/>
      <c r="DD487" s="399"/>
      <c r="DE487" s="399"/>
      <c r="DF487" s="399"/>
      <c r="DG487" s="399"/>
      <c r="DH487" s="399"/>
      <c r="DI487" s="399"/>
      <c r="DJ487" s="399"/>
      <c r="DK487" s="399"/>
      <c r="DL487" s="399"/>
      <c r="DM487" s="399"/>
      <c r="DN487" s="399"/>
      <c r="DO487" s="399"/>
      <c r="DP487" s="399"/>
      <c r="DQ487" s="399"/>
    </row>
    <row r="488" spans="1:121" s="760" customFormat="1" ht="14.45" customHeight="1" x14ac:dyDescent="0.25">
      <c r="A488" s="266">
        <f t="shared" si="7"/>
        <v>37.333333333333336</v>
      </c>
      <c r="B488" s="389">
        <v>41736</v>
      </c>
      <c r="C488" s="390" t="s">
        <v>1099</v>
      </c>
      <c r="D488" s="390" t="s">
        <v>899</v>
      </c>
      <c r="E488" s="390" t="s">
        <v>380</v>
      </c>
      <c r="F488" s="390" t="s">
        <v>151</v>
      </c>
      <c r="G488" s="390" t="s">
        <v>12</v>
      </c>
      <c r="H488" s="261"/>
      <c r="I488" s="261"/>
      <c r="J488" s="261"/>
      <c r="K488" s="261"/>
      <c r="L488" s="261"/>
      <c r="M488" s="261"/>
      <c r="N488" s="261"/>
      <c r="O488" s="261"/>
      <c r="P488" s="261"/>
      <c r="Q488" s="261"/>
      <c r="R488" s="261"/>
      <c r="S488" s="261"/>
      <c r="T488" s="261"/>
      <c r="U488" s="261">
        <v>558</v>
      </c>
      <c r="V488" s="762"/>
      <c r="W488" s="261"/>
      <c r="X488" s="261"/>
      <c r="Y488" s="264">
        <f>IF(NFI_Expiration=1,IF($A488&lt;VLOOKUP(H$5,NFI,5,0),1,0)*Table_NFI[[#This Row],[Hygiene Kit]],Table_NFI[Hygiene Kit])</f>
        <v>0</v>
      </c>
      <c r="Z488" s="264">
        <f>IF(NFI_Expiration=1,IF($A488&lt;VLOOKUP(I$5,NFI,5,0),1,0)*Table_NFI[[#This Row],[NFI Core Kit]],Table_NFI[NFI Core Kit])</f>
        <v>0</v>
      </c>
      <c r="AA488" s="264">
        <f>IF(NFI_Expiration=1,IF($A488&lt;VLOOKUP(J$5,NFI,5,0),1,0)*Table_NFI[[#This Row],[Sanitary Kit]],Table_NFI[Sanitary Kit])</f>
        <v>0</v>
      </c>
      <c r="AB488" s="264">
        <f>IF(NFI_Expiration=1,IF($A488&lt;VLOOKUP(K$5,NFI,5,0),1,0)*Table_NFI[[#This Row],[Mosquito net]],Table_NFI[Mosquito net])</f>
        <v>0</v>
      </c>
      <c r="AC488" s="264">
        <f>IF(NFI_Expiration=1,IF($A488&lt;VLOOKUP(L$5,NFI,5,0),1,0)*Table_NFI[[#This Row],[Tarpaulin]],Table_NFI[[#This Row],[Tarpaulin]])</f>
        <v>0</v>
      </c>
      <c r="AD488" s="264">
        <f>IF(NFI_Expiration=1,IF($A488&lt;VLOOKUP(M$5,NFI,5,0),1,0)*Table_NFI[[#This Row],[Blanket]],Table_NFI[[#This Row],[Blanket]])</f>
        <v>0</v>
      </c>
      <c r="AE488" s="264">
        <f>IF(NFI_Expiration=1,IF($A488&lt;VLOOKUP(N$5,NFI,5,0),1,0)*Table_NFI[[#This Row],[Kitchen Set]],Table_NFI[Kitchen Set])</f>
        <v>0</v>
      </c>
      <c r="AF488" s="264">
        <f>IF(NFI_Expiration=1,IF($A488&lt;VLOOKUP(O$5,NFI,5,0),1,0)*Table_NFI[[#This Row],[Clothes Kit]],Table_NFI[Clothes Kit])</f>
        <v>0</v>
      </c>
      <c r="AG488" s="264">
        <f>IF(NFI_Expiration=1,IF($A488&lt;VLOOKUP(P$5,NFI,5,0),1,0)*Table_NFI[[#This Row],[Plastic Bucket]],Table_NFI[Plastic Bucket])</f>
        <v>0</v>
      </c>
      <c r="AH488" s="264">
        <f>IF(NFI_Expiration=1,IF($A488&lt;VLOOKUP(Q$5,NFI,5,0),1,0)*Table_NFI[[#This Row],[Plastic Mat]],Table_NFI[Plastic Mat])*IF(Table_NFI[[#This Row],[Distribution Date]]&gt;"2014-04-01",1,2.5)</f>
        <v>0</v>
      </c>
      <c r="AI488" s="264">
        <f>IF(NFI_Expiration=1,IF($A488&lt;VLOOKUP(R$5,NFI,5,0),1,0)*Table_NFI[[#This Row],[Winter Clothes Adult]],Table_NFI[Winter Clothes Adult])</f>
        <v>0</v>
      </c>
      <c r="AJ488" s="264">
        <f>IF(NFI_Expiration=1,IF($A488&lt;VLOOKUP(S$5,NFI,5,0),1,0)*Table_NFI[[#This Row],[Winter Clothes Children]],Table_NFI[Winter Clothes Children])</f>
        <v>0</v>
      </c>
      <c r="AK488" s="264">
        <f>IF(NFI_Expiration=1,IF($A488&lt;VLOOKUP(T$5,NFI,5,0),1,0)*Table_NFI[[#This Row],[Winter Items Other]],Table_NFI[Winter Items Other])</f>
        <v>0</v>
      </c>
      <c r="AL488" s="264">
        <f>IF(NFI_Expiration=1,IF($A488&lt;VLOOKUP(M$5,NFI,5,0),1,0)*Table_NFI[[#This Row],[Winter Blanket]],Table_NFI[[#This Row],[Winter Blanket]])</f>
        <v>0</v>
      </c>
      <c r="AM488" s="264">
        <f>IF(Table_NFI[[#This Row],[Winter Clothes Adult]]+Table_NFI[[#This Row],[Winter Clothes Children]]+Table_NFI[[#This Row],[Winter Items Other]]+Table_NFI[[#This Row],[Winter Blanket]]&gt;0,1,0)</f>
        <v>1</v>
      </c>
      <c r="AN488" s="296">
        <f>IF(NFI_Expiration=1,IF($A488&lt;VLOOKUP(V$5,NFI,5,0),1,0)*Table_NFI[[#This Row],[Jerry Can]],Table_NFI[Jerry Can])</f>
        <v>0</v>
      </c>
      <c r="AO488" s="296">
        <f>IF(NFI_Expiration=1,IF($A488&lt;VLOOKUP(V$5,NFI,5,0),1,0)*Table_NFI[[#This Row],[Shelter Tool kit]],Table_NFI[Shelter Tool kit])</f>
        <v>0</v>
      </c>
      <c r="AP488" s="296">
        <f>IF(NFI_Expiration=1,IF($A488&lt;VLOOKUP(V$5,NFI,5,0),1,0)*Table_NFI[[#This Row],[Tent]],Table_NFI[Tent])</f>
        <v>0</v>
      </c>
      <c r="AQ488" s="396" t="str">
        <f>IFERROR(VLOOKUP(Table_NFI[[#This Row],[Camp Name]],CL,2,0),"")</f>
        <v>MMR001CMP163</v>
      </c>
      <c r="AR488" s="702">
        <f ca="1">IF(Table_NFI[[#This Row],[Pcode]]="","",IF(OFFSET(CampList[Opening Date],MATCH(Table_NFI[[#This Row],[Pcode]],CampList[CP_Pcode],0)-1,0,1,1)&gt;=NFI_Monitor_Date,1,0))</f>
        <v>0</v>
      </c>
      <c r="AS488" s="396" t="str">
        <f>IFERROR(VLOOKUP(Table_NFI[[#This Row],[Camp Name]],CL,3,0),"")</f>
        <v>Open</v>
      </c>
      <c r="AT488" s="264" t="str">
        <f ca="1">IF(Table_NFI[[#This Row],[Pcode]]="","",OFFSET(CampList[Priority],MATCH(Table_NFI[[#This Row],[Pcode]],CampList[CP_Pcode],0)-1,0,1,1))</f>
        <v>P4</v>
      </c>
      <c r="AU488" s="263" t="str">
        <f>IFERROR(Table_NFI[[#This Row],[Kitchen Set]]/VLOOKUP(Table_NFI[[#This Row],[Camp Name]],CL,4,0),"")</f>
        <v/>
      </c>
      <c r="AV488" s="390"/>
      <c r="AW488" s="392"/>
      <c r="AX488" s="399"/>
      <c r="AY488" s="399"/>
      <c r="AZ488" s="399"/>
      <c r="BA488" s="399"/>
      <c r="BB488" s="399"/>
      <c r="BC488" s="399"/>
      <c r="BD488" s="399"/>
      <c r="BE488" s="399"/>
      <c r="BF488" s="399"/>
      <c r="BG488" s="399"/>
      <c r="BH488" s="399"/>
      <c r="BI488" s="399"/>
      <c r="BJ488" s="399"/>
      <c r="BK488" s="399"/>
      <c r="BL488" s="399"/>
      <c r="BM488" s="399"/>
      <c r="BN488" s="399"/>
      <c r="BO488" s="399"/>
      <c r="BP488" s="399"/>
      <c r="BQ488" s="399"/>
      <c r="BR488" s="399"/>
      <c r="BS488" s="399"/>
      <c r="BT488" s="399"/>
      <c r="BU488" s="399"/>
      <c r="BV488" s="399"/>
      <c r="BW488" s="399"/>
      <c r="BX488" s="399"/>
      <c r="BY488" s="399"/>
      <c r="BZ488" s="399"/>
      <c r="CA488" s="399"/>
      <c r="CB488" s="399"/>
      <c r="CC488" s="399"/>
      <c r="CD488" s="399"/>
      <c r="CE488" s="399"/>
      <c r="CF488" s="399"/>
      <c r="CG488" s="399"/>
      <c r="CH488" s="399"/>
      <c r="CI488" s="399"/>
      <c r="CJ488" s="399"/>
      <c r="CK488" s="399"/>
      <c r="CL488" s="399"/>
      <c r="CM488" s="399"/>
      <c r="CN488" s="399"/>
      <c r="CO488" s="399"/>
      <c r="CP488" s="399"/>
      <c r="CQ488" s="399"/>
      <c r="CR488" s="399"/>
      <c r="CS488" s="399"/>
      <c r="CT488" s="399"/>
      <c r="CU488" s="399"/>
      <c r="CV488" s="399"/>
      <c r="CW488" s="399"/>
      <c r="CX488" s="399"/>
      <c r="CY488" s="399"/>
      <c r="CZ488" s="399"/>
      <c r="DA488" s="399"/>
      <c r="DB488" s="399"/>
      <c r="DC488" s="399"/>
      <c r="DD488" s="399"/>
      <c r="DE488" s="399"/>
      <c r="DF488" s="399"/>
      <c r="DG488" s="399"/>
      <c r="DH488" s="399"/>
      <c r="DI488" s="399"/>
      <c r="DJ488" s="399"/>
      <c r="DK488" s="399"/>
      <c r="DL488" s="399"/>
      <c r="DM488" s="399"/>
      <c r="DN488" s="399"/>
      <c r="DO488" s="399"/>
      <c r="DP488" s="399"/>
      <c r="DQ488" s="399"/>
    </row>
    <row r="489" spans="1:121" s="760" customFormat="1" ht="14.45" customHeight="1" x14ac:dyDescent="0.25">
      <c r="A489" s="266">
        <f t="shared" si="7"/>
        <v>37.333333333333336</v>
      </c>
      <c r="B489" s="389">
        <v>41736</v>
      </c>
      <c r="C489" s="390" t="s">
        <v>1099</v>
      </c>
      <c r="D489" s="390" t="s">
        <v>899</v>
      </c>
      <c r="E489" s="390" t="s">
        <v>380</v>
      </c>
      <c r="F489" s="390" t="s">
        <v>151</v>
      </c>
      <c r="G489" s="390" t="s">
        <v>884</v>
      </c>
      <c r="H489" s="261"/>
      <c r="I489" s="261"/>
      <c r="J489" s="261"/>
      <c r="K489" s="261"/>
      <c r="L489" s="261"/>
      <c r="M489" s="261"/>
      <c r="N489" s="261"/>
      <c r="O489" s="261"/>
      <c r="P489" s="261"/>
      <c r="Q489" s="261"/>
      <c r="R489" s="261"/>
      <c r="S489" s="261"/>
      <c r="T489" s="261"/>
      <c r="U489" s="261">
        <v>478</v>
      </c>
      <c r="V489" s="762"/>
      <c r="W489" s="261"/>
      <c r="X489" s="261"/>
      <c r="Y489" s="264">
        <f>IF(NFI_Expiration=1,IF($A489&lt;VLOOKUP(H$5,NFI,5,0),1,0)*Table_NFI[[#This Row],[Hygiene Kit]],Table_NFI[Hygiene Kit])</f>
        <v>0</v>
      </c>
      <c r="Z489" s="264">
        <f>IF(NFI_Expiration=1,IF($A489&lt;VLOOKUP(I$5,NFI,5,0),1,0)*Table_NFI[[#This Row],[NFI Core Kit]],Table_NFI[NFI Core Kit])</f>
        <v>0</v>
      </c>
      <c r="AA489" s="264">
        <f>IF(NFI_Expiration=1,IF($A489&lt;VLOOKUP(J$5,NFI,5,0),1,0)*Table_NFI[[#This Row],[Sanitary Kit]],Table_NFI[Sanitary Kit])</f>
        <v>0</v>
      </c>
      <c r="AB489" s="264">
        <f>IF(NFI_Expiration=1,IF($A489&lt;VLOOKUP(K$5,NFI,5,0),1,0)*Table_NFI[[#This Row],[Mosquito net]],Table_NFI[Mosquito net])</f>
        <v>0</v>
      </c>
      <c r="AC489" s="264">
        <f>IF(NFI_Expiration=1,IF($A489&lt;VLOOKUP(L$5,NFI,5,0),1,0)*Table_NFI[[#This Row],[Tarpaulin]],Table_NFI[[#This Row],[Tarpaulin]])</f>
        <v>0</v>
      </c>
      <c r="AD489" s="264">
        <f>IF(NFI_Expiration=1,IF($A489&lt;VLOOKUP(M$5,NFI,5,0),1,0)*Table_NFI[[#This Row],[Blanket]],Table_NFI[[#This Row],[Blanket]])</f>
        <v>0</v>
      </c>
      <c r="AE489" s="264">
        <f>IF(NFI_Expiration=1,IF($A489&lt;VLOOKUP(N$5,NFI,5,0),1,0)*Table_NFI[[#This Row],[Kitchen Set]],Table_NFI[Kitchen Set])</f>
        <v>0</v>
      </c>
      <c r="AF489" s="264">
        <f>IF(NFI_Expiration=1,IF($A489&lt;VLOOKUP(O$5,NFI,5,0),1,0)*Table_NFI[[#This Row],[Clothes Kit]],Table_NFI[Clothes Kit])</f>
        <v>0</v>
      </c>
      <c r="AG489" s="264">
        <f>IF(NFI_Expiration=1,IF($A489&lt;VLOOKUP(P$5,NFI,5,0),1,0)*Table_NFI[[#This Row],[Plastic Bucket]],Table_NFI[Plastic Bucket])</f>
        <v>0</v>
      </c>
      <c r="AH489" s="264">
        <f>IF(NFI_Expiration=1,IF($A489&lt;VLOOKUP(Q$5,NFI,5,0),1,0)*Table_NFI[[#This Row],[Plastic Mat]],Table_NFI[Plastic Mat])*IF(Table_NFI[[#This Row],[Distribution Date]]&gt;"2014-04-01",1,2.5)</f>
        <v>0</v>
      </c>
      <c r="AI489" s="264">
        <f>IF(NFI_Expiration=1,IF($A489&lt;VLOOKUP(R$5,NFI,5,0),1,0)*Table_NFI[[#This Row],[Winter Clothes Adult]],Table_NFI[Winter Clothes Adult])</f>
        <v>0</v>
      </c>
      <c r="AJ489" s="264">
        <f>IF(NFI_Expiration=1,IF($A489&lt;VLOOKUP(S$5,NFI,5,0),1,0)*Table_NFI[[#This Row],[Winter Clothes Children]],Table_NFI[Winter Clothes Children])</f>
        <v>0</v>
      </c>
      <c r="AK489" s="264">
        <f>IF(NFI_Expiration=1,IF($A489&lt;VLOOKUP(T$5,NFI,5,0),1,0)*Table_NFI[[#This Row],[Winter Items Other]],Table_NFI[Winter Items Other])</f>
        <v>0</v>
      </c>
      <c r="AL489" s="264">
        <f>IF(NFI_Expiration=1,IF($A489&lt;VLOOKUP(M$5,NFI,5,0),1,0)*Table_NFI[[#This Row],[Winter Blanket]],Table_NFI[[#This Row],[Winter Blanket]])</f>
        <v>0</v>
      </c>
      <c r="AM489" s="264">
        <f>IF(Table_NFI[[#This Row],[Winter Clothes Adult]]+Table_NFI[[#This Row],[Winter Clothes Children]]+Table_NFI[[#This Row],[Winter Items Other]]+Table_NFI[[#This Row],[Winter Blanket]]&gt;0,1,0)</f>
        <v>1</v>
      </c>
      <c r="AN489" s="296">
        <f>IF(NFI_Expiration=1,IF($A489&lt;VLOOKUP(V$5,NFI,5,0),1,0)*Table_NFI[[#This Row],[Jerry Can]],Table_NFI[Jerry Can])</f>
        <v>0</v>
      </c>
      <c r="AO489" s="296">
        <f>IF(NFI_Expiration=1,IF($A489&lt;VLOOKUP(V$5,NFI,5,0),1,0)*Table_NFI[[#This Row],[Shelter Tool kit]],Table_NFI[Shelter Tool kit])</f>
        <v>0</v>
      </c>
      <c r="AP489" s="296">
        <f>IF(NFI_Expiration=1,IF($A489&lt;VLOOKUP(V$5,NFI,5,0),1,0)*Table_NFI[[#This Row],[Tent]],Table_NFI[Tent])</f>
        <v>0</v>
      </c>
      <c r="AQ489" s="396" t="str">
        <f>IFERROR(VLOOKUP(Table_NFI[[#This Row],[Camp Name]],CL,2,0),"")</f>
        <v>MMR001CMP218</v>
      </c>
      <c r="AR489" s="702">
        <f ca="1">IF(Table_NFI[[#This Row],[Pcode]]="","",IF(OFFSET(CampList[Opening Date],MATCH(Table_NFI[[#This Row],[Pcode]],CampList[CP_Pcode],0)-1,0,1,1)&gt;=NFI_Monitor_Date,1,0))</f>
        <v>0</v>
      </c>
      <c r="AS489" s="396" t="str">
        <f>IFERROR(VLOOKUP(Table_NFI[[#This Row],[Camp Name]],CL,3,0),"")</f>
        <v>Open</v>
      </c>
      <c r="AT489" s="264" t="str">
        <f ca="1">IF(Table_NFI[[#This Row],[Pcode]]="","",OFFSET(CampList[Priority],MATCH(Table_NFI[[#This Row],[Pcode]],CampList[CP_Pcode],0)-1,0,1,1))</f>
        <v>P4</v>
      </c>
      <c r="AU489" s="263">
        <f>IFERROR(Table_NFI[[#This Row],[Kitchen Set]]/VLOOKUP(Table_NFI[[#This Row],[Camp Name]],CL,4,0),"")</f>
        <v>0</v>
      </c>
      <c r="AV489" s="390"/>
      <c r="AW489" s="392"/>
      <c r="AX489" s="399"/>
      <c r="AY489" s="399"/>
      <c r="AZ489" s="399"/>
      <c r="BA489" s="399"/>
      <c r="BB489" s="399"/>
      <c r="BC489" s="399"/>
      <c r="BD489" s="399"/>
      <c r="BE489" s="399"/>
      <c r="BF489" s="399"/>
      <c r="BG489" s="399"/>
      <c r="BH489" s="399"/>
      <c r="BI489" s="399"/>
      <c r="BJ489" s="399"/>
      <c r="BK489" s="399"/>
      <c r="BL489" s="399"/>
      <c r="BM489" s="399"/>
      <c r="BN489" s="399"/>
      <c r="BO489" s="399"/>
      <c r="BP489" s="399"/>
      <c r="BQ489" s="399"/>
      <c r="BR489" s="399"/>
      <c r="BS489" s="399"/>
      <c r="BT489" s="399"/>
      <c r="BU489" s="399"/>
      <c r="BV489" s="399"/>
      <c r="BW489" s="399"/>
      <c r="BX489" s="399"/>
      <c r="BY489" s="399"/>
      <c r="BZ489" s="399"/>
      <c r="CA489" s="399"/>
      <c r="CB489" s="399"/>
      <c r="CC489" s="399"/>
      <c r="CD489" s="399"/>
      <c r="CE489" s="399"/>
      <c r="CF489" s="399"/>
      <c r="CG489" s="399"/>
      <c r="CH489" s="399"/>
      <c r="CI489" s="399"/>
      <c r="CJ489" s="399"/>
      <c r="CK489" s="399"/>
      <c r="CL489" s="399"/>
      <c r="CM489" s="399"/>
      <c r="CN489" s="399"/>
      <c r="CO489" s="399"/>
      <c r="CP489" s="399"/>
      <c r="CQ489" s="399"/>
      <c r="CR489" s="399"/>
      <c r="CS489" s="399"/>
      <c r="CT489" s="399"/>
      <c r="CU489" s="399"/>
      <c r="CV489" s="399"/>
      <c r="CW489" s="399"/>
      <c r="CX489" s="399"/>
      <c r="CY489" s="399"/>
      <c r="CZ489" s="399"/>
      <c r="DA489" s="399"/>
      <c r="DB489" s="399"/>
      <c r="DC489" s="399"/>
      <c r="DD489" s="399"/>
      <c r="DE489" s="399"/>
      <c r="DF489" s="399"/>
      <c r="DG489" s="399"/>
      <c r="DH489" s="399"/>
      <c r="DI489" s="399"/>
      <c r="DJ489" s="399"/>
      <c r="DK489" s="399"/>
      <c r="DL489" s="399"/>
      <c r="DM489" s="399"/>
      <c r="DN489" s="399"/>
      <c r="DO489" s="399"/>
      <c r="DP489" s="399"/>
      <c r="DQ489" s="399"/>
    </row>
    <row r="490" spans="1:121" s="760" customFormat="1" ht="14.45" customHeight="1" x14ac:dyDescent="0.25">
      <c r="A490" s="266">
        <f t="shared" si="7"/>
        <v>37.333333333333336</v>
      </c>
      <c r="B490" s="389">
        <v>41736</v>
      </c>
      <c r="C490" s="390" t="s">
        <v>1099</v>
      </c>
      <c r="D490" s="390" t="s">
        <v>899</v>
      </c>
      <c r="E490" s="390" t="s">
        <v>380</v>
      </c>
      <c r="F490" s="390" t="s">
        <v>151</v>
      </c>
      <c r="G490" s="390" t="s">
        <v>941</v>
      </c>
      <c r="H490" s="261"/>
      <c r="I490" s="261"/>
      <c r="J490" s="261"/>
      <c r="K490" s="261"/>
      <c r="L490" s="261"/>
      <c r="M490" s="261"/>
      <c r="N490" s="261"/>
      <c r="O490" s="261"/>
      <c r="P490" s="261"/>
      <c r="Q490" s="261"/>
      <c r="R490" s="261"/>
      <c r="S490" s="261"/>
      <c r="T490" s="261"/>
      <c r="U490" s="261">
        <v>158</v>
      </c>
      <c r="V490" s="762"/>
      <c r="W490" s="261"/>
      <c r="X490" s="261"/>
      <c r="Y490" s="264">
        <f>IF(NFI_Expiration=1,IF($A490&lt;VLOOKUP(H$5,NFI,5,0),1,0)*Table_NFI[[#This Row],[Hygiene Kit]],Table_NFI[Hygiene Kit])</f>
        <v>0</v>
      </c>
      <c r="Z490" s="264">
        <f>IF(NFI_Expiration=1,IF($A490&lt;VLOOKUP(I$5,NFI,5,0),1,0)*Table_NFI[[#This Row],[NFI Core Kit]],Table_NFI[NFI Core Kit])</f>
        <v>0</v>
      </c>
      <c r="AA490" s="264">
        <f>IF(NFI_Expiration=1,IF($A490&lt;VLOOKUP(J$5,NFI,5,0),1,0)*Table_NFI[[#This Row],[Sanitary Kit]],Table_NFI[Sanitary Kit])</f>
        <v>0</v>
      </c>
      <c r="AB490" s="264">
        <f>IF(NFI_Expiration=1,IF($A490&lt;VLOOKUP(K$5,NFI,5,0),1,0)*Table_NFI[[#This Row],[Mosquito net]],Table_NFI[Mosquito net])</f>
        <v>0</v>
      </c>
      <c r="AC490" s="264">
        <f>IF(NFI_Expiration=1,IF($A490&lt;VLOOKUP(L$5,NFI,5,0),1,0)*Table_NFI[[#This Row],[Tarpaulin]],Table_NFI[[#This Row],[Tarpaulin]])</f>
        <v>0</v>
      </c>
      <c r="AD490" s="264">
        <f>IF(NFI_Expiration=1,IF($A490&lt;VLOOKUP(M$5,NFI,5,0),1,0)*Table_NFI[[#This Row],[Blanket]],Table_NFI[[#This Row],[Blanket]])</f>
        <v>0</v>
      </c>
      <c r="AE490" s="264">
        <f>IF(NFI_Expiration=1,IF($A490&lt;VLOOKUP(N$5,NFI,5,0),1,0)*Table_NFI[[#This Row],[Kitchen Set]],Table_NFI[Kitchen Set])</f>
        <v>0</v>
      </c>
      <c r="AF490" s="264">
        <f>IF(NFI_Expiration=1,IF($A490&lt;VLOOKUP(O$5,NFI,5,0),1,0)*Table_NFI[[#This Row],[Clothes Kit]],Table_NFI[Clothes Kit])</f>
        <v>0</v>
      </c>
      <c r="AG490" s="264">
        <f>IF(NFI_Expiration=1,IF($A490&lt;VLOOKUP(P$5,NFI,5,0),1,0)*Table_NFI[[#This Row],[Plastic Bucket]],Table_NFI[Plastic Bucket])</f>
        <v>0</v>
      </c>
      <c r="AH490" s="264">
        <f>IF(NFI_Expiration=1,IF($A490&lt;VLOOKUP(Q$5,NFI,5,0),1,0)*Table_NFI[[#This Row],[Plastic Mat]],Table_NFI[Plastic Mat])*IF(Table_NFI[[#This Row],[Distribution Date]]&gt;"2014-04-01",1,2.5)</f>
        <v>0</v>
      </c>
      <c r="AI490" s="264">
        <f>IF(NFI_Expiration=1,IF($A490&lt;VLOOKUP(R$5,NFI,5,0),1,0)*Table_NFI[[#This Row],[Winter Clothes Adult]],Table_NFI[Winter Clothes Adult])</f>
        <v>0</v>
      </c>
      <c r="AJ490" s="264">
        <f>IF(NFI_Expiration=1,IF($A490&lt;VLOOKUP(S$5,NFI,5,0),1,0)*Table_NFI[[#This Row],[Winter Clothes Children]],Table_NFI[Winter Clothes Children])</f>
        <v>0</v>
      </c>
      <c r="AK490" s="264">
        <f>IF(NFI_Expiration=1,IF($A490&lt;VLOOKUP(T$5,NFI,5,0),1,0)*Table_NFI[[#This Row],[Winter Items Other]],Table_NFI[Winter Items Other])</f>
        <v>0</v>
      </c>
      <c r="AL490" s="264">
        <f>IF(NFI_Expiration=1,IF($A490&lt;VLOOKUP(M$5,NFI,5,0),1,0)*Table_NFI[[#This Row],[Winter Blanket]],Table_NFI[[#This Row],[Winter Blanket]])</f>
        <v>0</v>
      </c>
      <c r="AM490" s="264">
        <f>IF(Table_NFI[[#This Row],[Winter Clothes Adult]]+Table_NFI[[#This Row],[Winter Clothes Children]]+Table_NFI[[#This Row],[Winter Items Other]]+Table_NFI[[#This Row],[Winter Blanket]]&gt;0,1,0)</f>
        <v>1</v>
      </c>
      <c r="AN490" s="296">
        <f>IF(NFI_Expiration=1,IF($A490&lt;VLOOKUP(V$5,NFI,5,0),1,0)*Table_NFI[[#This Row],[Jerry Can]],Table_NFI[Jerry Can])</f>
        <v>0</v>
      </c>
      <c r="AO490" s="296">
        <f>IF(NFI_Expiration=1,IF($A490&lt;VLOOKUP(V$5,NFI,5,0),1,0)*Table_NFI[[#This Row],[Shelter Tool kit]],Table_NFI[Shelter Tool kit])</f>
        <v>0</v>
      </c>
      <c r="AP490" s="296">
        <f>IF(NFI_Expiration=1,IF($A490&lt;VLOOKUP(V$5,NFI,5,0),1,0)*Table_NFI[[#This Row],[Tent]],Table_NFI[Tent])</f>
        <v>0</v>
      </c>
      <c r="AQ490" s="396" t="str">
        <f>IFERROR(VLOOKUP(Table_NFI[[#This Row],[Camp Name]],CL,2,0),"")</f>
        <v>MMR001CMP223</v>
      </c>
      <c r="AR490" s="702">
        <f ca="1">IF(Table_NFI[[#This Row],[Pcode]]="","",IF(OFFSET(CampList[Opening Date],MATCH(Table_NFI[[#This Row],[Pcode]],CampList[CP_Pcode],0)-1,0,1,1)&gt;=NFI_Monitor_Date,1,0))</f>
        <v>0</v>
      </c>
      <c r="AS490" s="396" t="str">
        <f>IFERROR(VLOOKUP(Table_NFI[[#This Row],[Camp Name]],CL,3,0),"")</f>
        <v>Open</v>
      </c>
      <c r="AT490" s="264" t="str">
        <f ca="1">IF(Table_NFI[[#This Row],[Pcode]]="","",OFFSET(CampList[Priority],MATCH(Table_NFI[[#This Row],[Pcode]],CampList[CP_Pcode],0)-1,0,1,1))</f>
        <v>P4</v>
      </c>
      <c r="AU490" s="263">
        <f>IFERROR(Table_NFI[[#This Row],[Kitchen Set]]/VLOOKUP(Table_NFI[[#This Row],[Camp Name]],CL,4,0),"")</f>
        <v>0</v>
      </c>
      <c r="AV490" s="390"/>
      <c r="AW490" s="392"/>
      <c r="AX490" s="399"/>
      <c r="AY490" s="399"/>
      <c r="AZ490" s="399"/>
      <c r="BA490" s="399"/>
      <c r="BB490" s="399"/>
      <c r="BC490" s="399"/>
      <c r="BD490" s="399"/>
      <c r="BE490" s="399"/>
      <c r="BF490" s="399"/>
      <c r="BG490" s="399"/>
      <c r="BH490" s="399"/>
      <c r="BI490" s="399"/>
      <c r="BJ490" s="399"/>
      <c r="BK490" s="399"/>
      <c r="BL490" s="399"/>
      <c r="BM490" s="399"/>
      <c r="BN490" s="399"/>
      <c r="BO490" s="399"/>
      <c r="BP490" s="399"/>
      <c r="BQ490" s="399"/>
      <c r="BR490" s="399"/>
      <c r="BS490" s="399"/>
      <c r="BT490" s="399"/>
      <c r="BU490" s="399"/>
      <c r="BV490" s="399"/>
      <c r="BW490" s="399"/>
      <c r="BX490" s="399"/>
      <c r="BY490" s="399"/>
      <c r="BZ490" s="399"/>
      <c r="CA490" s="399"/>
      <c r="CB490" s="399"/>
      <c r="CC490" s="399"/>
      <c r="CD490" s="399"/>
      <c r="CE490" s="399"/>
      <c r="CF490" s="399"/>
      <c r="CG490" s="399"/>
      <c r="CH490" s="399"/>
      <c r="CI490" s="399"/>
      <c r="CJ490" s="399"/>
      <c r="CK490" s="399"/>
      <c r="CL490" s="399"/>
      <c r="CM490" s="399"/>
      <c r="CN490" s="399"/>
      <c r="CO490" s="399"/>
      <c r="CP490" s="399"/>
      <c r="CQ490" s="399"/>
      <c r="CR490" s="399"/>
      <c r="CS490" s="399"/>
      <c r="CT490" s="399"/>
      <c r="CU490" s="399"/>
      <c r="CV490" s="399"/>
      <c r="CW490" s="399"/>
      <c r="CX490" s="399"/>
      <c r="CY490" s="399"/>
      <c r="CZ490" s="399"/>
      <c r="DA490" s="399"/>
      <c r="DB490" s="399"/>
      <c r="DC490" s="399"/>
      <c r="DD490" s="399"/>
      <c r="DE490" s="399"/>
      <c r="DF490" s="399"/>
      <c r="DG490" s="399"/>
      <c r="DH490" s="399"/>
      <c r="DI490" s="399"/>
      <c r="DJ490" s="399"/>
      <c r="DK490" s="399"/>
      <c r="DL490" s="399"/>
      <c r="DM490" s="399"/>
      <c r="DN490" s="399"/>
      <c r="DO490" s="399"/>
      <c r="DP490" s="399"/>
      <c r="DQ490" s="399"/>
    </row>
    <row r="491" spans="1:121" s="760" customFormat="1" ht="14.45" customHeight="1" x14ac:dyDescent="0.25">
      <c r="A491" s="266">
        <f t="shared" si="7"/>
        <v>37.333333333333336</v>
      </c>
      <c r="B491" s="389">
        <v>41736</v>
      </c>
      <c r="C491" s="390" t="s">
        <v>1099</v>
      </c>
      <c r="D491" s="390" t="s">
        <v>899</v>
      </c>
      <c r="E491" s="390" t="s">
        <v>380</v>
      </c>
      <c r="F491" s="390" t="s">
        <v>151</v>
      </c>
      <c r="G491" s="390" t="s">
        <v>152</v>
      </c>
      <c r="H491" s="261"/>
      <c r="I491" s="261"/>
      <c r="J491" s="261"/>
      <c r="K491" s="261"/>
      <c r="L491" s="261"/>
      <c r="M491" s="261"/>
      <c r="N491" s="261"/>
      <c r="O491" s="261"/>
      <c r="P491" s="261"/>
      <c r="Q491" s="261"/>
      <c r="R491" s="261"/>
      <c r="S491" s="261"/>
      <c r="T491" s="261"/>
      <c r="U491" s="261">
        <v>262</v>
      </c>
      <c r="V491" s="762"/>
      <c r="W491" s="261"/>
      <c r="X491" s="261"/>
      <c r="Y491" s="264">
        <f>IF(NFI_Expiration=1,IF($A491&lt;VLOOKUP(H$5,NFI,5,0),1,0)*Table_NFI[[#This Row],[Hygiene Kit]],Table_NFI[Hygiene Kit])</f>
        <v>0</v>
      </c>
      <c r="Z491" s="264">
        <f>IF(NFI_Expiration=1,IF($A491&lt;VLOOKUP(I$5,NFI,5,0),1,0)*Table_NFI[[#This Row],[NFI Core Kit]],Table_NFI[NFI Core Kit])</f>
        <v>0</v>
      </c>
      <c r="AA491" s="264">
        <f>IF(NFI_Expiration=1,IF($A491&lt;VLOOKUP(J$5,NFI,5,0),1,0)*Table_NFI[[#This Row],[Sanitary Kit]],Table_NFI[Sanitary Kit])</f>
        <v>0</v>
      </c>
      <c r="AB491" s="264">
        <f>IF(NFI_Expiration=1,IF($A491&lt;VLOOKUP(K$5,NFI,5,0),1,0)*Table_NFI[[#This Row],[Mosquito net]],Table_NFI[Mosquito net])</f>
        <v>0</v>
      </c>
      <c r="AC491" s="264">
        <f>IF(NFI_Expiration=1,IF($A491&lt;VLOOKUP(L$5,NFI,5,0),1,0)*Table_NFI[[#This Row],[Tarpaulin]],Table_NFI[[#This Row],[Tarpaulin]])</f>
        <v>0</v>
      </c>
      <c r="AD491" s="264">
        <f>IF(NFI_Expiration=1,IF($A491&lt;VLOOKUP(M$5,NFI,5,0),1,0)*Table_NFI[[#This Row],[Blanket]],Table_NFI[[#This Row],[Blanket]])</f>
        <v>0</v>
      </c>
      <c r="AE491" s="264">
        <f>IF(NFI_Expiration=1,IF($A491&lt;VLOOKUP(N$5,NFI,5,0),1,0)*Table_NFI[[#This Row],[Kitchen Set]],Table_NFI[Kitchen Set])</f>
        <v>0</v>
      </c>
      <c r="AF491" s="264">
        <f>IF(NFI_Expiration=1,IF($A491&lt;VLOOKUP(O$5,NFI,5,0),1,0)*Table_NFI[[#This Row],[Clothes Kit]],Table_NFI[Clothes Kit])</f>
        <v>0</v>
      </c>
      <c r="AG491" s="264">
        <f>IF(NFI_Expiration=1,IF($A491&lt;VLOOKUP(P$5,NFI,5,0),1,0)*Table_NFI[[#This Row],[Plastic Bucket]],Table_NFI[Plastic Bucket])</f>
        <v>0</v>
      </c>
      <c r="AH491" s="264">
        <f>IF(NFI_Expiration=1,IF($A491&lt;VLOOKUP(Q$5,NFI,5,0),1,0)*Table_NFI[[#This Row],[Plastic Mat]],Table_NFI[Plastic Mat])*IF(Table_NFI[[#This Row],[Distribution Date]]&gt;"2014-04-01",1,2.5)</f>
        <v>0</v>
      </c>
      <c r="AI491" s="264">
        <f>IF(NFI_Expiration=1,IF($A491&lt;VLOOKUP(R$5,NFI,5,0),1,0)*Table_NFI[[#This Row],[Winter Clothes Adult]],Table_NFI[Winter Clothes Adult])</f>
        <v>0</v>
      </c>
      <c r="AJ491" s="264">
        <f>IF(NFI_Expiration=1,IF($A491&lt;VLOOKUP(S$5,NFI,5,0),1,0)*Table_NFI[[#This Row],[Winter Clothes Children]],Table_NFI[Winter Clothes Children])</f>
        <v>0</v>
      </c>
      <c r="AK491" s="264">
        <f>IF(NFI_Expiration=1,IF($A491&lt;VLOOKUP(T$5,NFI,5,0),1,0)*Table_NFI[[#This Row],[Winter Items Other]],Table_NFI[Winter Items Other])</f>
        <v>0</v>
      </c>
      <c r="AL491" s="264">
        <f>IF(NFI_Expiration=1,IF($A491&lt;VLOOKUP(M$5,NFI,5,0),1,0)*Table_NFI[[#This Row],[Winter Blanket]],Table_NFI[[#This Row],[Winter Blanket]])</f>
        <v>0</v>
      </c>
      <c r="AM491" s="264">
        <f>IF(Table_NFI[[#This Row],[Winter Clothes Adult]]+Table_NFI[[#This Row],[Winter Clothes Children]]+Table_NFI[[#This Row],[Winter Items Other]]+Table_NFI[[#This Row],[Winter Blanket]]&gt;0,1,0)</f>
        <v>1</v>
      </c>
      <c r="AN491" s="296">
        <f>IF(NFI_Expiration=1,IF($A491&lt;VLOOKUP(V$5,NFI,5,0),1,0)*Table_NFI[[#This Row],[Jerry Can]],Table_NFI[Jerry Can])</f>
        <v>0</v>
      </c>
      <c r="AO491" s="296">
        <f>IF(NFI_Expiration=1,IF($A491&lt;VLOOKUP(V$5,NFI,5,0),1,0)*Table_NFI[[#This Row],[Shelter Tool kit]],Table_NFI[Shelter Tool kit])</f>
        <v>0</v>
      </c>
      <c r="AP491" s="296">
        <f>IF(NFI_Expiration=1,IF($A491&lt;VLOOKUP(V$5,NFI,5,0),1,0)*Table_NFI[[#This Row],[Tent]],Table_NFI[Tent])</f>
        <v>0</v>
      </c>
      <c r="AQ491" s="396" t="str">
        <f>IFERROR(VLOOKUP(Table_NFI[[#This Row],[Camp Name]],CL,2,0),"")</f>
        <v>MMR001CMP066</v>
      </c>
      <c r="AR491" s="702">
        <f ca="1">IF(Table_NFI[[#This Row],[Pcode]]="","",IF(OFFSET(CampList[Opening Date],MATCH(Table_NFI[[#This Row],[Pcode]],CampList[CP_Pcode],0)-1,0,1,1)&gt;=NFI_Monitor_Date,1,0))</f>
        <v>0</v>
      </c>
      <c r="AS491" s="396" t="str">
        <f>IFERROR(VLOOKUP(Table_NFI[[#This Row],[Camp Name]],CL,3,0),"")</f>
        <v>Open</v>
      </c>
      <c r="AT491" s="264" t="str">
        <f ca="1">IF(Table_NFI[[#This Row],[Pcode]]="","",OFFSET(CampList[Priority],MATCH(Table_NFI[[#This Row],[Pcode]],CampList[CP_Pcode],0)-1,0,1,1))</f>
        <v>P4</v>
      </c>
      <c r="AU491" s="263">
        <f>IFERROR(Table_NFI[[#This Row],[Kitchen Set]]/VLOOKUP(Table_NFI[[#This Row],[Camp Name]],CL,4,0),"")</f>
        <v>0</v>
      </c>
      <c r="AV491" s="390"/>
      <c r="AW491" s="392"/>
      <c r="AX491" s="399"/>
      <c r="AY491" s="399"/>
      <c r="AZ491" s="399"/>
      <c r="BA491" s="399"/>
      <c r="BB491" s="399"/>
      <c r="BC491" s="399"/>
      <c r="BD491" s="399"/>
      <c r="BE491" s="399"/>
      <c r="BF491" s="399"/>
      <c r="BG491" s="399"/>
      <c r="BH491" s="399"/>
      <c r="BI491" s="399"/>
      <c r="BJ491" s="399"/>
      <c r="BK491" s="399"/>
      <c r="BL491" s="399"/>
      <c r="BM491" s="399"/>
      <c r="BN491" s="399"/>
      <c r="BO491" s="399"/>
      <c r="BP491" s="399"/>
      <c r="BQ491" s="399"/>
      <c r="BR491" s="399"/>
      <c r="BS491" s="399"/>
      <c r="BT491" s="399"/>
      <c r="BU491" s="399"/>
      <c r="BV491" s="399"/>
      <c r="BW491" s="399"/>
      <c r="BX491" s="399"/>
      <c r="BY491" s="399"/>
      <c r="BZ491" s="399"/>
      <c r="CA491" s="399"/>
      <c r="CB491" s="399"/>
      <c r="CC491" s="399"/>
      <c r="CD491" s="399"/>
      <c r="CE491" s="399"/>
      <c r="CF491" s="399"/>
      <c r="CG491" s="399"/>
      <c r="CH491" s="399"/>
      <c r="CI491" s="399"/>
      <c r="CJ491" s="399"/>
      <c r="CK491" s="399"/>
      <c r="CL491" s="399"/>
      <c r="CM491" s="399"/>
      <c r="CN491" s="399"/>
      <c r="CO491" s="399"/>
      <c r="CP491" s="399"/>
      <c r="CQ491" s="399"/>
      <c r="CR491" s="399"/>
      <c r="CS491" s="399"/>
      <c r="CT491" s="399"/>
      <c r="CU491" s="399"/>
      <c r="CV491" s="399"/>
      <c r="CW491" s="399"/>
      <c r="CX491" s="399"/>
      <c r="CY491" s="399"/>
      <c r="CZ491" s="399"/>
      <c r="DA491" s="399"/>
      <c r="DB491" s="399"/>
      <c r="DC491" s="399"/>
      <c r="DD491" s="399"/>
      <c r="DE491" s="399"/>
      <c r="DF491" s="399"/>
      <c r="DG491" s="399"/>
      <c r="DH491" s="399"/>
      <c r="DI491" s="399"/>
      <c r="DJ491" s="399"/>
      <c r="DK491" s="399"/>
      <c r="DL491" s="399"/>
      <c r="DM491" s="399"/>
      <c r="DN491" s="399"/>
      <c r="DO491" s="399"/>
      <c r="DP491" s="399"/>
      <c r="DQ491" s="399"/>
    </row>
    <row r="492" spans="1:121" s="760" customFormat="1" ht="14.45" customHeight="1" x14ac:dyDescent="0.25">
      <c r="A492" s="266">
        <f t="shared" si="7"/>
        <v>37.366666666666667</v>
      </c>
      <c r="B492" s="389">
        <v>41735</v>
      </c>
      <c r="C492" s="390" t="s">
        <v>1099</v>
      </c>
      <c r="D492" s="390" t="s">
        <v>899</v>
      </c>
      <c r="E492" s="390" t="s">
        <v>380</v>
      </c>
      <c r="F492" s="390" t="s">
        <v>526</v>
      </c>
      <c r="G492" s="390" t="s">
        <v>58</v>
      </c>
      <c r="H492" s="261"/>
      <c r="I492" s="261"/>
      <c r="J492" s="261"/>
      <c r="K492" s="261"/>
      <c r="L492" s="261"/>
      <c r="M492" s="261"/>
      <c r="N492" s="261"/>
      <c r="O492" s="261"/>
      <c r="P492" s="261"/>
      <c r="Q492" s="261"/>
      <c r="R492" s="261"/>
      <c r="S492" s="261"/>
      <c r="T492" s="261"/>
      <c r="U492" s="261">
        <v>30</v>
      </c>
      <c r="V492" s="762"/>
      <c r="W492" s="261"/>
      <c r="X492" s="261"/>
      <c r="Y492" s="264">
        <f>IF(NFI_Expiration=1,IF($A492&lt;VLOOKUP(H$5,NFI,5,0),1,0)*Table_NFI[[#This Row],[Hygiene Kit]],Table_NFI[Hygiene Kit])</f>
        <v>0</v>
      </c>
      <c r="Z492" s="264">
        <f>IF(NFI_Expiration=1,IF($A492&lt;VLOOKUP(I$5,NFI,5,0),1,0)*Table_NFI[[#This Row],[NFI Core Kit]],Table_NFI[NFI Core Kit])</f>
        <v>0</v>
      </c>
      <c r="AA492" s="264">
        <f>IF(NFI_Expiration=1,IF($A492&lt;VLOOKUP(J$5,NFI,5,0),1,0)*Table_NFI[[#This Row],[Sanitary Kit]],Table_NFI[Sanitary Kit])</f>
        <v>0</v>
      </c>
      <c r="AB492" s="264">
        <f>IF(NFI_Expiration=1,IF($A492&lt;VLOOKUP(K$5,NFI,5,0),1,0)*Table_NFI[[#This Row],[Mosquito net]],Table_NFI[Mosquito net])</f>
        <v>0</v>
      </c>
      <c r="AC492" s="264">
        <f>IF(NFI_Expiration=1,IF($A492&lt;VLOOKUP(L$5,NFI,5,0),1,0)*Table_NFI[[#This Row],[Tarpaulin]],Table_NFI[[#This Row],[Tarpaulin]])</f>
        <v>0</v>
      </c>
      <c r="AD492" s="264">
        <f>IF(NFI_Expiration=1,IF($A492&lt;VLOOKUP(M$5,NFI,5,0),1,0)*Table_NFI[[#This Row],[Blanket]],Table_NFI[[#This Row],[Blanket]])</f>
        <v>0</v>
      </c>
      <c r="AE492" s="264">
        <f>IF(NFI_Expiration=1,IF($A492&lt;VLOOKUP(N$5,NFI,5,0),1,0)*Table_NFI[[#This Row],[Kitchen Set]],Table_NFI[Kitchen Set])</f>
        <v>0</v>
      </c>
      <c r="AF492" s="264">
        <f>IF(NFI_Expiration=1,IF($A492&lt;VLOOKUP(O$5,NFI,5,0),1,0)*Table_NFI[[#This Row],[Clothes Kit]],Table_NFI[Clothes Kit])</f>
        <v>0</v>
      </c>
      <c r="AG492" s="264">
        <f>IF(NFI_Expiration=1,IF($A492&lt;VLOOKUP(P$5,NFI,5,0),1,0)*Table_NFI[[#This Row],[Plastic Bucket]],Table_NFI[Plastic Bucket])</f>
        <v>0</v>
      </c>
      <c r="AH492" s="264">
        <f>IF(NFI_Expiration=1,IF($A492&lt;VLOOKUP(Q$5,NFI,5,0),1,0)*Table_NFI[[#This Row],[Plastic Mat]],Table_NFI[Plastic Mat])*IF(Table_NFI[[#This Row],[Distribution Date]]&gt;"2014-04-01",1,2.5)</f>
        <v>0</v>
      </c>
      <c r="AI492" s="264">
        <f>IF(NFI_Expiration=1,IF($A492&lt;VLOOKUP(R$5,NFI,5,0),1,0)*Table_NFI[[#This Row],[Winter Clothes Adult]],Table_NFI[Winter Clothes Adult])</f>
        <v>0</v>
      </c>
      <c r="AJ492" s="264">
        <f>IF(NFI_Expiration=1,IF($A492&lt;VLOOKUP(S$5,NFI,5,0),1,0)*Table_NFI[[#This Row],[Winter Clothes Children]],Table_NFI[Winter Clothes Children])</f>
        <v>0</v>
      </c>
      <c r="AK492" s="264">
        <f>IF(NFI_Expiration=1,IF($A492&lt;VLOOKUP(T$5,NFI,5,0),1,0)*Table_NFI[[#This Row],[Winter Items Other]],Table_NFI[Winter Items Other])</f>
        <v>0</v>
      </c>
      <c r="AL492" s="264">
        <f>IF(NFI_Expiration=1,IF($A492&lt;VLOOKUP(M$5,NFI,5,0),1,0)*Table_NFI[[#This Row],[Winter Blanket]],Table_NFI[[#This Row],[Winter Blanket]])</f>
        <v>0</v>
      </c>
      <c r="AM492" s="264">
        <f>IF(Table_NFI[[#This Row],[Winter Clothes Adult]]+Table_NFI[[#This Row],[Winter Clothes Children]]+Table_NFI[[#This Row],[Winter Items Other]]+Table_NFI[[#This Row],[Winter Blanket]]&gt;0,1,0)</f>
        <v>1</v>
      </c>
      <c r="AN492" s="296">
        <f>IF(NFI_Expiration=1,IF($A492&lt;VLOOKUP(V$5,NFI,5,0),1,0)*Table_NFI[[#This Row],[Jerry Can]],Table_NFI[Jerry Can])</f>
        <v>0</v>
      </c>
      <c r="AO492" s="296">
        <f>IF(NFI_Expiration=1,IF($A492&lt;VLOOKUP(V$5,NFI,5,0),1,0)*Table_NFI[[#This Row],[Shelter Tool kit]],Table_NFI[Shelter Tool kit])</f>
        <v>0</v>
      </c>
      <c r="AP492" s="296">
        <f>IF(NFI_Expiration=1,IF($A492&lt;VLOOKUP(V$5,NFI,5,0),1,0)*Table_NFI[[#This Row],[Tent]],Table_NFI[Tent])</f>
        <v>0</v>
      </c>
      <c r="AQ492" s="396" t="str">
        <f>IFERROR(VLOOKUP(Table_NFI[[#This Row],[Camp Name]],CL,2,0),"")</f>
        <v>MMR001CMP188</v>
      </c>
      <c r="AR492" s="702">
        <f ca="1">IF(Table_NFI[[#This Row],[Pcode]]="","",IF(OFFSET(CampList[Opening Date],MATCH(Table_NFI[[#This Row],[Pcode]],CampList[CP_Pcode],0)-1,0,1,1)&gt;=NFI_Monitor_Date,1,0))</f>
        <v>0</v>
      </c>
      <c r="AS492" s="396" t="str">
        <f>IFERROR(VLOOKUP(Table_NFI[[#This Row],[Camp Name]],CL,3,0),"")</f>
        <v>Closed</v>
      </c>
      <c r="AT492" s="264" t="str">
        <f ca="1">IF(Table_NFI[[#This Row],[Pcode]]="","",OFFSET(CampList[Priority],MATCH(Table_NFI[[#This Row],[Pcode]],CampList[CP_Pcode],0)-1,0,1,1))</f>
        <v>P4</v>
      </c>
      <c r="AU492" s="263" t="str">
        <f>IFERROR(Table_NFI[[#This Row],[Kitchen Set]]/VLOOKUP(Table_NFI[[#This Row],[Camp Name]],CL,4,0),"")</f>
        <v/>
      </c>
      <c r="AV492" s="390"/>
      <c r="AW492" s="392"/>
      <c r="AX492" s="399"/>
      <c r="AY492" s="399"/>
      <c r="AZ492" s="399"/>
      <c r="BA492" s="399"/>
      <c r="BB492" s="399"/>
      <c r="BC492" s="399"/>
      <c r="BD492" s="399"/>
      <c r="BE492" s="399"/>
      <c r="BF492" s="399"/>
      <c r="BG492" s="399"/>
      <c r="BH492" s="399"/>
      <c r="BI492" s="399"/>
      <c r="BJ492" s="399"/>
      <c r="BK492" s="399"/>
      <c r="BL492" s="399"/>
      <c r="BM492" s="399"/>
      <c r="BN492" s="399"/>
      <c r="BO492" s="399"/>
      <c r="BP492" s="399"/>
      <c r="BQ492" s="399"/>
      <c r="BR492" s="399"/>
      <c r="BS492" s="399"/>
      <c r="BT492" s="399"/>
      <c r="BU492" s="399"/>
      <c r="BV492" s="399"/>
      <c r="BW492" s="399"/>
      <c r="BX492" s="399"/>
      <c r="BY492" s="399"/>
      <c r="BZ492" s="399"/>
      <c r="CA492" s="399"/>
      <c r="CB492" s="399"/>
      <c r="CC492" s="399"/>
      <c r="CD492" s="399"/>
      <c r="CE492" s="399"/>
      <c r="CF492" s="399"/>
      <c r="CG492" s="399"/>
      <c r="CH492" s="399"/>
      <c r="CI492" s="399"/>
      <c r="CJ492" s="399"/>
      <c r="CK492" s="399"/>
      <c r="CL492" s="399"/>
      <c r="CM492" s="399"/>
      <c r="CN492" s="399"/>
      <c r="CO492" s="399"/>
      <c r="CP492" s="399"/>
      <c r="CQ492" s="399"/>
      <c r="CR492" s="399"/>
      <c r="CS492" s="399"/>
      <c r="CT492" s="399"/>
      <c r="CU492" s="399"/>
      <c r="CV492" s="399"/>
      <c r="CW492" s="399"/>
      <c r="CX492" s="399"/>
      <c r="CY492" s="399"/>
      <c r="CZ492" s="399"/>
      <c r="DA492" s="399"/>
      <c r="DB492" s="399"/>
      <c r="DC492" s="399"/>
      <c r="DD492" s="399"/>
      <c r="DE492" s="399"/>
      <c r="DF492" s="399"/>
      <c r="DG492" s="399"/>
      <c r="DH492" s="399"/>
      <c r="DI492" s="399"/>
      <c r="DJ492" s="399"/>
      <c r="DK492" s="399"/>
      <c r="DL492" s="399"/>
      <c r="DM492" s="399"/>
      <c r="DN492" s="399"/>
      <c r="DO492" s="399"/>
      <c r="DP492" s="399"/>
      <c r="DQ492" s="399"/>
    </row>
    <row r="493" spans="1:121" s="760" customFormat="1" ht="15" customHeight="1" x14ac:dyDescent="0.25">
      <c r="A493" s="266">
        <f t="shared" si="7"/>
        <v>37.4</v>
      </c>
      <c r="B493" s="389">
        <v>41734</v>
      </c>
      <c r="C493" s="390" t="s">
        <v>1099</v>
      </c>
      <c r="D493" s="390" t="s">
        <v>899</v>
      </c>
      <c r="E493" s="390" t="s">
        <v>380</v>
      </c>
      <c r="F493" s="390" t="s">
        <v>526</v>
      </c>
      <c r="G493" s="390" t="s">
        <v>88</v>
      </c>
      <c r="H493" s="261"/>
      <c r="I493" s="261"/>
      <c r="J493" s="261"/>
      <c r="K493" s="261"/>
      <c r="L493" s="261"/>
      <c r="M493" s="261"/>
      <c r="N493" s="261"/>
      <c r="O493" s="261"/>
      <c r="P493" s="261"/>
      <c r="Q493" s="261"/>
      <c r="R493" s="261"/>
      <c r="S493" s="261"/>
      <c r="T493" s="261"/>
      <c r="U493" s="261">
        <v>44</v>
      </c>
      <c r="V493" s="762"/>
      <c r="W493" s="261"/>
      <c r="X493" s="261"/>
      <c r="Y493" s="264">
        <f>IF(NFI_Expiration=1,IF($A493&lt;VLOOKUP(H$5,NFI,5,0),1,0)*Table_NFI[[#This Row],[Hygiene Kit]],Table_NFI[Hygiene Kit])</f>
        <v>0</v>
      </c>
      <c r="Z493" s="264">
        <f>IF(NFI_Expiration=1,IF($A493&lt;VLOOKUP(I$5,NFI,5,0),1,0)*Table_NFI[[#This Row],[NFI Core Kit]],Table_NFI[NFI Core Kit])</f>
        <v>0</v>
      </c>
      <c r="AA493" s="264">
        <f>IF(NFI_Expiration=1,IF($A493&lt;VLOOKUP(J$5,NFI,5,0),1,0)*Table_NFI[[#This Row],[Sanitary Kit]],Table_NFI[Sanitary Kit])</f>
        <v>0</v>
      </c>
      <c r="AB493" s="264">
        <f>IF(NFI_Expiration=1,IF($A493&lt;VLOOKUP(K$5,NFI,5,0),1,0)*Table_NFI[[#This Row],[Mosquito net]],Table_NFI[Mosquito net])</f>
        <v>0</v>
      </c>
      <c r="AC493" s="264">
        <f>IF(NFI_Expiration=1,IF($A493&lt;VLOOKUP(L$5,NFI,5,0),1,0)*Table_NFI[[#This Row],[Tarpaulin]],Table_NFI[[#This Row],[Tarpaulin]])</f>
        <v>0</v>
      </c>
      <c r="AD493" s="264">
        <f>IF(NFI_Expiration=1,IF($A493&lt;VLOOKUP(M$5,NFI,5,0),1,0)*Table_NFI[[#This Row],[Blanket]],Table_NFI[[#This Row],[Blanket]])</f>
        <v>0</v>
      </c>
      <c r="AE493" s="264">
        <f>IF(NFI_Expiration=1,IF($A493&lt;VLOOKUP(N$5,NFI,5,0),1,0)*Table_NFI[[#This Row],[Kitchen Set]],Table_NFI[Kitchen Set])</f>
        <v>0</v>
      </c>
      <c r="AF493" s="264">
        <f>IF(NFI_Expiration=1,IF($A493&lt;VLOOKUP(O$5,NFI,5,0),1,0)*Table_NFI[[#This Row],[Clothes Kit]],Table_NFI[Clothes Kit])</f>
        <v>0</v>
      </c>
      <c r="AG493" s="264">
        <f>IF(NFI_Expiration=1,IF($A493&lt;VLOOKUP(P$5,NFI,5,0),1,0)*Table_NFI[[#This Row],[Plastic Bucket]],Table_NFI[Plastic Bucket])</f>
        <v>0</v>
      </c>
      <c r="AH493" s="264">
        <f>IF(NFI_Expiration=1,IF($A493&lt;VLOOKUP(Q$5,NFI,5,0),1,0)*Table_NFI[[#This Row],[Plastic Mat]],Table_NFI[Plastic Mat])*IF(Table_NFI[[#This Row],[Distribution Date]]&gt;"2014-04-01",1,2.5)</f>
        <v>0</v>
      </c>
      <c r="AI493" s="264">
        <f>IF(NFI_Expiration=1,IF($A493&lt;VLOOKUP(R$5,NFI,5,0),1,0)*Table_NFI[[#This Row],[Winter Clothes Adult]],Table_NFI[Winter Clothes Adult])</f>
        <v>0</v>
      </c>
      <c r="AJ493" s="264">
        <f>IF(NFI_Expiration=1,IF($A493&lt;VLOOKUP(S$5,NFI,5,0),1,0)*Table_NFI[[#This Row],[Winter Clothes Children]],Table_NFI[Winter Clothes Children])</f>
        <v>0</v>
      </c>
      <c r="AK493" s="264">
        <f>IF(NFI_Expiration=1,IF($A493&lt;VLOOKUP(T$5,NFI,5,0),1,0)*Table_NFI[[#This Row],[Winter Items Other]],Table_NFI[Winter Items Other])</f>
        <v>0</v>
      </c>
      <c r="AL493" s="264">
        <f>IF(NFI_Expiration=1,IF($A493&lt;VLOOKUP(M$5,NFI,5,0),1,0)*Table_NFI[[#This Row],[Winter Blanket]],Table_NFI[[#This Row],[Winter Blanket]])</f>
        <v>0</v>
      </c>
      <c r="AM493" s="264">
        <f>IF(Table_NFI[[#This Row],[Winter Clothes Adult]]+Table_NFI[[#This Row],[Winter Clothes Children]]+Table_NFI[[#This Row],[Winter Items Other]]+Table_NFI[[#This Row],[Winter Blanket]]&gt;0,1,0)</f>
        <v>1</v>
      </c>
      <c r="AN493" s="296">
        <f>IF(NFI_Expiration=1,IF($A493&lt;VLOOKUP(V$5,NFI,5,0),1,0)*Table_NFI[[#This Row],[Jerry Can]],Table_NFI[Jerry Can])</f>
        <v>0</v>
      </c>
      <c r="AO493" s="296">
        <f>IF(NFI_Expiration=1,IF($A493&lt;VLOOKUP(V$5,NFI,5,0),1,0)*Table_NFI[[#This Row],[Shelter Tool kit]],Table_NFI[Shelter Tool kit])</f>
        <v>0</v>
      </c>
      <c r="AP493" s="296">
        <f>IF(NFI_Expiration=1,IF($A493&lt;VLOOKUP(V$5,NFI,5,0),1,0)*Table_NFI[[#This Row],[Tent]],Table_NFI[Tent])</f>
        <v>0</v>
      </c>
      <c r="AQ493" s="396" t="str">
        <f>IFERROR(VLOOKUP(Table_NFI[[#This Row],[Camp Name]],CL,2,0),"")</f>
        <v>MMR001CMP148</v>
      </c>
      <c r="AR493" s="702">
        <f ca="1">IF(Table_NFI[[#This Row],[Pcode]]="","",IF(OFFSET(CampList[Opening Date],MATCH(Table_NFI[[#This Row],[Pcode]],CampList[CP_Pcode],0)-1,0,1,1)&gt;=NFI_Monitor_Date,1,0))</f>
        <v>0</v>
      </c>
      <c r="AS493" s="396" t="str">
        <f>IFERROR(VLOOKUP(Table_NFI[[#This Row],[Camp Name]],CL,3,0),"")</f>
        <v>Open</v>
      </c>
      <c r="AT493" s="264" t="str">
        <f ca="1">IF(Table_NFI[[#This Row],[Pcode]]="","",OFFSET(CampList[Priority],MATCH(Table_NFI[[#This Row],[Pcode]],CampList[CP_Pcode],0)-1,0,1,1))</f>
        <v>P4</v>
      </c>
      <c r="AU493" s="263">
        <f>IFERROR(Table_NFI[[#This Row],[Kitchen Set]]/VLOOKUP(Table_NFI[[#This Row],[Camp Name]],CL,4,0),"")</f>
        <v>0</v>
      </c>
      <c r="AV493" s="390"/>
      <c r="AW493" s="392"/>
      <c r="AX493" s="399"/>
      <c r="AY493" s="399"/>
      <c r="AZ493" s="399"/>
      <c r="BA493" s="399"/>
      <c r="BB493" s="399"/>
      <c r="BC493" s="399"/>
      <c r="BD493" s="399"/>
      <c r="BE493" s="399"/>
      <c r="BF493" s="399"/>
      <c r="BG493" s="399"/>
      <c r="BH493" s="399"/>
      <c r="BI493" s="399"/>
      <c r="BJ493" s="399"/>
      <c r="BK493" s="399"/>
      <c r="BL493" s="399"/>
      <c r="BM493" s="399"/>
      <c r="BN493" s="399"/>
      <c r="BO493" s="399"/>
      <c r="BP493" s="399"/>
      <c r="BQ493" s="399"/>
      <c r="BR493" s="399"/>
      <c r="BS493" s="399"/>
      <c r="BT493" s="399"/>
      <c r="BU493" s="399"/>
      <c r="BV493" s="399"/>
      <c r="BW493" s="399"/>
      <c r="BX493" s="399"/>
      <c r="BY493" s="399"/>
      <c r="BZ493" s="399"/>
      <c r="CA493" s="399"/>
      <c r="CB493" s="399"/>
      <c r="CC493" s="399"/>
      <c r="CD493" s="399"/>
      <c r="CE493" s="399"/>
      <c r="CF493" s="399"/>
      <c r="CG493" s="399"/>
      <c r="CH493" s="399"/>
      <c r="CI493" s="399"/>
      <c r="CJ493" s="399"/>
      <c r="CK493" s="399"/>
      <c r="CL493" s="399"/>
      <c r="CM493" s="399"/>
      <c r="CN493" s="399"/>
      <c r="CO493" s="399"/>
      <c r="CP493" s="399"/>
      <c r="CQ493" s="399"/>
      <c r="CR493" s="399"/>
      <c r="CS493" s="399"/>
      <c r="CT493" s="399"/>
      <c r="CU493" s="399"/>
      <c r="CV493" s="399"/>
      <c r="CW493" s="399"/>
      <c r="CX493" s="399"/>
      <c r="CY493" s="399"/>
      <c r="CZ493" s="399"/>
      <c r="DA493" s="399"/>
      <c r="DB493" s="399"/>
      <c r="DC493" s="399"/>
      <c r="DD493" s="399"/>
      <c r="DE493" s="399"/>
      <c r="DF493" s="399"/>
      <c r="DG493" s="399"/>
      <c r="DH493" s="399"/>
      <c r="DI493" s="399"/>
      <c r="DJ493" s="399"/>
      <c r="DK493" s="399"/>
      <c r="DL493" s="399"/>
      <c r="DM493" s="399"/>
      <c r="DN493" s="399"/>
      <c r="DO493" s="399"/>
      <c r="DP493" s="399"/>
      <c r="DQ493" s="399"/>
    </row>
    <row r="494" spans="1:121" s="760" customFormat="1" ht="15" customHeight="1" x14ac:dyDescent="0.25">
      <c r="A494" s="266">
        <f t="shared" si="7"/>
        <v>37.5</v>
      </c>
      <c r="B494" s="389">
        <v>41731</v>
      </c>
      <c r="C494" s="390" t="s">
        <v>451</v>
      </c>
      <c r="D494" s="390" t="s">
        <v>451</v>
      </c>
      <c r="E494" s="390" t="s">
        <v>380</v>
      </c>
      <c r="F494" s="390" t="s">
        <v>5</v>
      </c>
      <c r="G494" s="390" t="s">
        <v>8</v>
      </c>
      <c r="H494" s="261"/>
      <c r="I494" s="261"/>
      <c r="J494" s="261"/>
      <c r="K494" s="261"/>
      <c r="L494" s="261">
        <v>1</v>
      </c>
      <c r="M494" s="261">
        <v>3</v>
      </c>
      <c r="N494" s="261">
        <v>2</v>
      </c>
      <c r="O494" s="261"/>
      <c r="P494" s="261">
        <v>3</v>
      </c>
      <c r="Q494" s="261"/>
      <c r="R494" s="261"/>
      <c r="S494" s="261"/>
      <c r="T494" s="261"/>
      <c r="U494" s="261"/>
      <c r="V494" s="762"/>
      <c r="W494" s="762"/>
      <c r="X494" s="762"/>
      <c r="Y494" s="264">
        <f>IF(NFI_Expiration=1,IF($A494&lt;VLOOKUP(H$5,NFI,5,0),1,0)*Table_NFI[[#This Row],[Hygiene Kit]],Table_NFI[Hygiene Kit])</f>
        <v>0</v>
      </c>
      <c r="Z494" s="264">
        <f>IF(NFI_Expiration=1,IF($A494&lt;VLOOKUP(I$5,NFI,5,0),1,0)*Table_NFI[[#This Row],[NFI Core Kit]],Table_NFI[NFI Core Kit])</f>
        <v>0</v>
      </c>
      <c r="AA494" s="264">
        <f>IF(NFI_Expiration=1,IF($A494&lt;VLOOKUP(J$5,NFI,5,0),1,0)*Table_NFI[[#This Row],[Sanitary Kit]],Table_NFI[Sanitary Kit])</f>
        <v>0</v>
      </c>
      <c r="AB494" s="264">
        <f>IF(NFI_Expiration=1,IF($A494&lt;VLOOKUP(K$5,NFI,5,0),1,0)*Table_NFI[[#This Row],[Mosquito net]],Table_NFI[Mosquito net])</f>
        <v>0</v>
      </c>
      <c r="AC494" s="264">
        <f>IF(NFI_Expiration=1,IF($A494&lt;VLOOKUP(L$5,NFI,5,0),1,0)*Table_NFI[[#This Row],[Tarpaulin]],Table_NFI[[#This Row],[Tarpaulin]])</f>
        <v>0</v>
      </c>
      <c r="AD494" s="264">
        <f>IF(NFI_Expiration=1,IF($A494&lt;VLOOKUP(M$5,NFI,5,0),1,0)*Table_NFI[[#This Row],[Blanket]],Table_NFI[[#This Row],[Blanket]])</f>
        <v>0</v>
      </c>
      <c r="AE494" s="264">
        <f>IF(NFI_Expiration=1,IF($A494&lt;VLOOKUP(N$5,NFI,5,0),1,0)*Table_NFI[[#This Row],[Kitchen Set]],Table_NFI[Kitchen Set])</f>
        <v>0</v>
      </c>
      <c r="AF494" s="264">
        <f>IF(NFI_Expiration=1,IF($A494&lt;VLOOKUP(O$5,NFI,5,0),1,0)*Table_NFI[[#This Row],[Clothes Kit]],Table_NFI[Clothes Kit])</f>
        <v>0</v>
      </c>
      <c r="AG494" s="264">
        <f>IF(NFI_Expiration=1,IF($A494&lt;VLOOKUP(P$5,NFI,5,0),1,0)*Table_NFI[[#This Row],[Plastic Bucket]],Table_NFI[Plastic Bucket])</f>
        <v>0</v>
      </c>
      <c r="AH494" s="264">
        <f>IF(NFI_Expiration=1,IF($A494&lt;VLOOKUP(Q$5,NFI,5,0),1,0)*Table_NFI[[#This Row],[Plastic Mat]],Table_NFI[Plastic Mat])*IF(Table_NFI[[#This Row],[Distribution Date]]&gt;"2014-04-01",1,2.5)</f>
        <v>0</v>
      </c>
      <c r="AI494" s="264">
        <f>IF(NFI_Expiration=1,IF($A494&lt;VLOOKUP(R$5,NFI,5,0),1,0)*Table_NFI[[#This Row],[Winter Clothes Adult]],Table_NFI[Winter Clothes Adult])</f>
        <v>0</v>
      </c>
      <c r="AJ494" s="264">
        <f>IF(NFI_Expiration=1,IF($A494&lt;VLOOKUP(S$5,NFI,5,0),1,0)*Table_NFI[[#This Row],[Winter Clothes Children]],Table_NFI[Winter Clothes Children])</f>
        <v>0</v>
      </c>
      <c r="AK494" s="264">
        <f>IF(NFI_Expiration=1,IF($A494&lt;VLOOKUP(T$5,NFI,5,0),1,0)*Table_NFI[[#This Row],[Winter Items Other]],Table_NFI[Winter Items Other])</f>
        <v>0</v>
      </c>
      <c r="AL494" s="264">
        <f>IF(NFI_Expiration=1,IF($A494&lt;VLOOKUP(M$5,NFI,5,0),1,0)*Table_NFI[[#This Row],[Winter Blanket]],Table_NFI[[#This Row],[Winter Blanket]])</f>
        <v>0</v>
      </c>
      <c r="AM494" s="264">
        <f>IF(Table_NFI[[#This Row],[Winter Clothes Adult]]+Table_NFI[[#This Row],[Winter Clothes Children]]+Table_NFI[[#This Row],[Winter Items Other]]+Table_NFI[[#This Row],[Winter Blanket]]&gt;0,1,0)</f>
        <v>0</v>
      </c>
      <c r="AN494" s="296">
        <f>IF(NFI_Expiration=1,IF($A494&lt;VLOOKUP(V$5,NFI,5,0),1,0)*Table_NFI[[#This Row],[Jerry Can]],Table_NFI[Jerry Can])</f>
        <v>0</v>
      </c>
      <c r="AO494" s="296">
        <f>IF(NFI_Expiration=1,IF($A494&lt;VLOOKUP(V$5,NFI,5,0),1,0)*Table_NFI[[#This Row],[Shelter Tool kit]],Table_NFI[Shelter Tool kit])</f>
        <v>0</v>
      </c>
      <c r="AP494" s="296">
        <f>IF(NFI_Expiration=1,IF($A494&lt;VLOOKUP(V$5,NFI,5,0),1,0)*Table_NFI[[#This Row],[Tent]],Table_NFI[Tent])</f>
        <v>0</v>
      </c>
      <c r="AQ494" s="396" t="str">
        <f>IFERROR(VLOOKUP(Table_NFI[[#This Row],[Camp Name]],CL,2,0),"")</f>
        <v>MMR001CMP051</v>
      </c>
      <c r="AR494" s="702">
        <f ca="1">IF(Table_NFI[[#This Row],[Pcode]]="","",IF(OFFSET(CampList[Opening Date],MATCH(Table_NFI[[#This Row],[Pcode]],CampList[CP_Pcode],0)-1,0,1,1)&gt;=NFI_Monitor_Date,1,0))</f>
        <v>0</v>
      </c>
      <c r="AS494" s="396" t="str">
        <f>IFERROR(VLOOKUP(Table_NFI[[#This Row],[Camp Name]],CL,3,0),"")</f>
        <v>Open</v>
      </c>
      <c r="AT494" s="264" t="str">
        <f ca="1">IF(Table_NFI[[#This Row],[Pcode]]="","",OFFSET(CampList[Priority],MATCH(Table_NFI[[#This Row],[Pcode]],CampList[CP_Pcode],0)-1,0,1,1))</f>
        <v>P4</v>
      </c>
      <c r="AU494" s="263">
        <f>IFERROR(Table_NFI[[#This Row],[Kitchen Set]]/VLOOKUP(Table_NFI[[#This Row],[Camp Name]],CL,4,0),"")</f>
        <v>4.8563727751742226E-5</v>
      </c>
      <c r="AV494" s="390" t="s">
        <v>1087</v>
      </c>
      <c r="AW494" s="392"/>
      <c r="AX494" s="399"/>
      <c r="AY494" s="399"/>
      <c r="AZ494" s="399"/>
      <c r="BA494" s="399"/>
      <c r="BB494" s="399"/>
      <c r="BC494" s="399"/>
      <c r="BD494" s="399"/>
      <c r="BE494" s="399"/>
      <c r="BF494" s="399"/>
      <c r="BG494" s="399"/>
      <c r="BH494" s="399"/>
      <c r="BI494" s="399"/>
      <c r="BJ494" s="399"/>
      <c r="BK494" s="399"/>
      <c r="BL494" s="399"/>
      <c r="BM494" s="399"/>
      <c r="BN494" s="399"/>
      <c r="BO494" s="399"/>
      <c r="BP494" s="399"/>
      <c r="BQ494" s="399"/>
      <c r="BR494" s="399"/>
      <c r="BS494" s="399"/>
      <c r="BT494" s="399"/>
      <c r="BU494" s="399"/>
      <c r="BV494" s="399"/>
      <c r="BW494" s="399"/>
      <c r="BX494" s="399"/>
      <c r="BY494" s="399"/>
      <c r="BZ494" s="399"/>
      <c r="CA494" s="399"/>
      <c r="CB494" s="399"/>
      <c r="CC494" s="399"/>
      <c r="CD494" s="399"/>
      <c r="CE494" s="399"/>
      <c r="CF494" s="399"/>
      <c r="CG494" s="399"/>
      <c r="CH494" s="399"/>
      <c r="CI494" s="399"/>
      <c r="CJ494" s="399"/>
      <c r="CK494" s="399"/>
      <c r="CL494" s="399"/>
      <c r="CM494" s="399"/>
      <c r="CN494" s="399"/>
      <c r="CO494" s="399"/>
      <c r="CP494" s="399"/>
      <c r="CQ494" s="399"/>
      <c r="CR494" s="399"/>
      <c r="CS494" s="399"/>
      <c r="CT494" s="399"/>
      <c r="CU494" s="399"/>
      <c r="CV494" s="399"/>
      <c r="CW494" s="399"/>
      <c r="CX494" s="399"/>
      <c r="CY494" s="399"/>
      <c r="CZ494" s="399"/>
      <c r="DA494" s="399"/>
      <c r="DB494" s="399"/>
      <c r="DC494" s="399"/>
      <c r="DD494" s="399"/>
      <c r="DE494" s="399"/>
      <c r="DF494" s="399"/>
      <c r="DG494" s="399"/>
      <c r="DH494" s="399"/>
      <c r="DI494" s="399"/>
      <c r="DJ494" s="399"/>
      <c r="DK494" s="399"/>
      <c r="DL494" s="399"/>
      <c r="DM494" s="399"/>
      <c r="DN494" s="399"/>
      <c r="DO494" s="399"/>
      <c r="DP494" s="399"/>
      <c r="DQ494" s="399"/>
    </row>
    <row r="495" spans="1:121" s="760" customFormat="1" ht="15" customHeight="1" x14ac:dyDescent="0.25">
      <c r="A495" s="266">
        <f t="shared" si="7"/>
        <v>38.700000000000003</v>
      </c>
      <c r="B495" s="389">
        <v>41695</v>
      </c>
      <c r="C495" s="390" t="s">
        <v>1099</v>
      </c>
      <c r="D495" s="390" t="s">
        <v>899</v>
      </c>
      <c r="E495" s="390" t="s">
        <v>380</v>
      </c>
      <c r="F495" s="390" t="s">
        <v>173</v>
      </c>
      <c r="G495" s="390" t="s">
        <v>174</v>
      </c>
      <c r="H495" s="261"/>
      <c r="I495" s="261"/>
      <c r="J495" s="261"/>
      <c r="K495" s="261"/>
      <c r="L495" s="261"/>
      <c r="M495" s="261"/>
      <c r="N495" s="261"/>
      <c r="O495" s="261"/>
      <c r="P495" s="261"/>
      <c r="Q495" s="261"/>
      <c r="R495" s="261"/>
      <c r="S495" s="261"/>
      <c r="T495" s="261"/>
      <c r="U495" s="261">
        <v>26</v>
      </c>
      <c r="V495" s="762"/>
      <c r="W495" s="261"/>
      <c r="X495" s="261"/>
      <c r="Y495" s="264">
        <f>IF(NFI_Expiration=1,IF($A495&lt;VLOOKUP(H$5,NFI,5,0),1,0)*Table_NFI[[#This Row],[Hygiene Kit]],Table_NFI[Hygiene Kit])</f>
        <v>0</v>
      </c>
      <c r="Z495" s="264">
        <f>IF(NFI_Expiration=1,IF($A495&lt;VLOOKUP(I$5,NFI,5,0),1,0)*Table_NFI[[#This Row],[NFI Core Kit]],Table_NFI[NFI Core Kit])</f>
        <v>0</v>
      </c>
      <c r="AA495" s="264">
        <f>IF(NFI_Expiration=1,IF($A495&lt;VLOOKUP(J$5,NFI,5,0),1,0)*Table_NFI[[#This Row],[Sanitary Kit]],Table_NFI[Sanitary Kit])</f>
        <v>0</v>
      </c>
      <c r="AB495" s="264">
        <f>IF(NFI_Expiration=1,IF($A495&lt;VLOOKUP(K$5,NFI,5,0),1,0)*Table_NFI[[#This Row],[Mosquito net]],Table_NFI[Mosquito net])</f>
        <v>0</v>
      </c>
      <c r="AC495" s="264">
        <f>IF(NFI_Expiration=1,IF($A495&lt;VLOOKUP(L$5,NFI,5,0),1,0)*Table_NFI[[#This Row],[Tarpaulin]],Table_NFI[[#This Row],[Tarpaulin]])</f>
        <v>0</v>
      </c>
      <c r="AD495" s="264">
        <f>IF(NFI_Expiration=1,IF($A495&lt;VLOOKUP(M$5,NFI,5,0),1,0)*Table_NFI[[#This Row],[Blanket]],Table_NFI[[#This Row],[Blanket]])</f>
        <v>0</v>
      </c>
      <c r="AE495" s="264">
        <f>IF(NFI_Expiration=1,IF($A495&lt;VLOOKUP(N$5,NFI,5,0),1,0)*Table_NFI[[#This Row],[Kitchen Set]],Table_NFI[Kitchen Set])</f>
        <v>0</v>
      </c>
      <c r="AF495" s="264">
        <f>IF(NFI_Expiration=1,IF($A495&lt;VLOOKUP(O$5,NFI,5,0),1,0)*Table_NFI[[#This Row],[Clothes Kit]],Table_NFI[Clothes Kit])</f>
        <v>0</v>
      </c>
      <c r="AG495" s="264">
        <f>IF(NFI_Expiration=1,IF($A495&lt;VLOOKUP(P$5,NFI,5,0),1,0)*Table_NFI[[#This Row],[Plastic Bucket]],Table_NFI[Plastic Bucket])</f>
        <v>0</v>
      </c>
      <c r="AH495" s="264">
        <f>IF(NFI_Expiration=1,IF($A495&lt;VLOOKUP(Q$5,NFI,5,0),1,0)*Table_NFI[[#This Row],[Plastic Mat]],Table_NFI[Plastic Mat])*IF(Table_NFI[[#This Row],[Distribution Date]]&gt;"2014-04-01",1,2.5)</f>
        <v>0</v>
      </c>
      <c r="AI495" s="264">
        <f>IF(NFI_Expiration=1,IF($A495&lt;VLOOKUP(R$5,NFI,5,0),1,0)*Table_NFI[[#This Row],[Winter Clothes Adult]],Table_NFI[Winter Clothes Adult])</f>
        <v>0</v>
      </c>
      <c r="AJ495" s="264">
        <f>IF(NFI_Expiration=1,IF($A495&lt;VLOOKUP(S$5,NFI,5,0),1,0)*Table_NFI[[#This Row],[Winter Clothes Children]],Table_NFI[Winter Clothes Children])</f>
        <v>0</v>
      </c>
      <c r="AK495" s="264">
        <f>IF(NFI_Expiration=1,IF($A495&lt;VLOOKUP(T$5,NFI,5,0),1,0)*Table_NFI[[#This Row],[Winter Items Other]],Table_NFI[Winter Items Other])</f>
        <v>0</v>
      </c>
      <c r="AL495" s="264">
        <f>IF(NFI_Expiration=1,IF($A495&lt;VLOOKUP(M$5,NFI,5,0),1,0)*Table_NFI[[#This Row],[Winter Blanket]],Table_NFI[[#This Row],[Winter Blanket]])</f>
        <v>0</v>
      </c>
      <c r="AM495" s="264">
        <f>IF(Table_NFI[[#This Row],[Winter Clothes Adult]]+Table_NFI[[#This Row],[Winter Clothes Children]]+Table_NFI[[#This Row],[Winter Items Other]]+Table_NFI[[#This Row],[Winter Blanket]]&gt;0,1,0)</f>
        <v>1</v>
      </c>
      <c r="AN495" s="296">
        <f>IF(NFI_Expiration=1,IF($A495&lt;VLOOKUP(V$5,NFI,5,0),1,0)*Table_NFI[[#This Row],[Jerry Can]],Table_NFI[Jerry Can])</f>
        <v>0</v>
      </c>
      <c r="AO495" s="296">
        <f>IF(NFI_Expiration=1,IF($A495&lt;VLOOKUP(V$5,NFI,5,0),1,0)*Table_NFI[[#This Row],[Shelter Tool kit]],Table_NFI[Shelter Tool kit])</f>
        <v>0</v>
      </c>
      <c r="AP495" s="296">
        <f>IF(NFI_Expiration=1,IF($A495&lt;VLOOKUP(V$5,NFI,5,0),1,0)*Table_NFI[[#This Row],[Tent]],Table_NFI[Tent])</f>
        <v>0</v>
      </c>
      <c r="AQ495" s="396" t="str">
        <f>IFERROR(VLOOKUP(Table_NFI[[#This Row],[Camp Name]],CL,2,0),"")</f>
        <v>MMR001CMP078</v>
      </c>
      <c r="AR495" s="702">
        <f ca="1">IF(Table_NFI[[#This Row],[Pcode]]="","",IF(OFFSET(CampList[Opening Date],MATCH(Table_NFI[[#This Row],[Pcode]],CampList[CP_Pcode],0)-1,0,1,1)&gt;=NFI_Monitor_Date,1,0))</f>
        <v>0</v>
      </c>
      <c r="AS495" s="396" t="str">
        <f>IFERROR(VLOOKUP(Table_NFI[[#This Row],[Camp Name]],CL,3,0),"")</f>
        <v>Open</v>
      </c>
      <c r="AT495" s="264" t="str">
        <f ca="1">IF(Table_NFI[[#This Row],[Pcode]]="","",OFFSET(CampList[Priority],MATCH(Table_NFI[[#This Row],[Pcode]],CampList[CP_Pcode],0)-1,0,1,1))</f>
        <v>P4</v>
      </c>
      <c r="AU495" s="263">
        <f>IFERROR(Table_NFI[[#This Row],[Kitchen Set]]/VLOOKUP(Table_NFI[[#This Row],[Camp Name]],CL,4,0),"")</f>
        <v>0</v>
      </c>
      <c r="AV495" s="390"/>
      <c r="AW495" s="392"/>
      <c r="AX495" s="399"/>
      <c r="AY495" s="399"/>
      <c r="AZ495" s="399"/>
      <c r="BA495" s="399"/>
      <c r="BB495" s="399"/>
      <c r="BC495" s="399"/>
      <c r="BD495" s="399"/>
      <c r="BE495" s="399"/>
      <c r="BF495" s="399"/>
      <c r="BG495" s="399"/>
      <c r="BH495" s="399"/>
      <c r="BI495" s="399"/>
      <c r="BJ495" s="399"/>
      <c r="BK495" s="399"/>
      <c r="BL495" s="399"/>
      <c r="BM495" s="399"/>
      <c r="BN495" s="399"/>
      <c r="BO495" s="399"/>
      <c r="BP495" s="399"/>
      <c r="BQ495" s="399"/>
      <c r="BR495" s="399"/>
      <c r="BS495" s="399"/>
      <c r="BT495" s="399"/>
      <c r="BU495" s="399"/>
      <c r="BV495" s="399"/>
      <c r="BW495" s="399"/>
      <c r="BX495" s="399"/>
      <c r="BY495" s="399"/>
      <c r="BZ495" s="399"/>
      <c r="CA495" s="399"/>
      <c r="CB495" s="399"/>
      <c r="CC495" s="399"/>
      <c r="CD495" s="399"/>
      <c r="CE495" s="399"/>
      <c r="CF495" s="399"/>
      <c r="CG495" s="399"/>
      <c r="CH495" s="399"/>
      <c r="CI495" s="399"/>
      <c r="CJ495" s="399"/>
      <c r="CK495" s="399"/>
      <c r="CL495" s="399"/>
      <c r="CM495" s="399"/>
      <c r="CN495" s="399"/>
      <c r="CO495" s="399"/>
      <c r="CP495" s="399"/>
      <c r="CQ495" s="399"/>
      <c r="CR495" s="399"/>
      <c r="CS495" s="399"/>
      <c r="CT495" s="399"/>
      <c r="CU495" s="399"/>
      <c r="CV495" s="399"/>
      <c r="CW495" s="399"/>
      <c r="CX495" s="399"/>
      <c r="CY495" s="399"/>
      <c r="CZ495" s="399"/>
      <c r="DA495" s="399"/>
      <c r="DB495" s="399"/>
      <c r="DC495" s="399"/>
      <c r="DD495" s="399"/>
      <c r="DE495" s="399"/>
      <c r="DF495" s="399"/>
      <c r="DG495" s="399"/>
      <c r="DH495" s="399"/>
      <c r="DI495" s="399"/>
      <c r="DJ495" s="399"/>
      <c r="DK495" s="399"/>
      <c r="DL495" s="399"/>
      <c r="DM495" s="399"/>
      <c r="DN495" s="399"/>
      <c r="DO495" s="399"/>
      <c r="DP495" s="399"/>
      <c r="DQ495" s="399"/>
    </row>
    <row r="496" spans="1:121" s="393" customFormat="1" ht="14.45" customHeight="1" x14ac:dyDescent="0.25">
      <c r="A496" s="266">
        <f t="shared" si="7"/>
        <v>38.700000000000003</v>
      </c>
      <c r="B496" s="389">
        <v>41695</v>
      </c>
      <c r="C496" s="390" t="s">
        <v>1099</v>
      </c>
      <c r="D496" s="390" t="s">
        <v>899</v>
      </c>
      <c r="E496" s="390" t="s">
        <v>380</v>
      </c>
      <c r="F496" s="390" t="s">
        <v>173</v>
      </c>
      <c r="G496" s="390" t="s">
        <v>176</v>
      </c>
      <c r="H496" s="261"/>
      <c r="I496" s="261"/>
      <c r="J496" s="261"/>
      <c r="K496" s="261"/>
      <c r="L496" s="261"/>
      <c r="M496" s="261"/>
      <c r="N496" s="261"/>
      <c r="O496" s="261"/>
      <c r="P496" s="261"/>
      <c r="Q496" s="261"/>
      <c r="R496" s="261"/>
      <c r="S496" s="261"/>
      <c r="T496" s="261"/>
      <c r="U496" s="261">
        <v>26</v>
      </c>
      <c r="V496" s="762"/>
      <c r="W496" s="261"/>
      <c r="X496" s="261"/>
      <c r="Y496" s="264">
        <f>IF(NFI_Expiration=1,IF($A496&lt;VLOOKUP(H$5,NFI,5,0),1,0)*Table_NFI[[#This Row],[Hygiene Kit]],Table_NFI[Hygiene Kit])</f>
        <v>0</v>
      </c>
      <c r="Z496" s="264">
        <f>IF(NFI_Expiration=1,IF($A496&lt;VLOOKUP(I$5,NFI,5,0),1,0)*Table_NFI[[#This Row],[NFI Core Kit]],Table_NFI[NFI Core Kit])</f>
        <v>0</v>
      </c>
      <c r="AA496" s="264">
        <f>IF(NFI_Expiration=1,IF($A496&lt;VLOOKUP(J$5,NFI,5,0),1,0)*Table_NFI[[#This Row],[Sanitary Kit]],Table_NFI[Sanitary Kit])</f>
        <v>0</v>
      </c>
      <c r="AB496" s="264">
        <f>IF(NFI_Expiration=1,IF($A496&lt;VLOOKUP(K$5,NFI,5,0),1,0)*Table_NFI[[#This Row],[Mosquito net]],Table_NFI[Mosquito net])</f>
        <v>0</v>
      </c>
      <c r="AC496" s="264">
        <f>IF(NFI_Expiration=1,IF($A496&lt;VLOOKUP(L$5,NFI,5,0),1,0)*Table_NFI[[#This Row],[Tarpaulin]],Table_NFI[[#This Row],[Tarpaulin]])</f>
        <v>0</v>
      </c>
      <c r="AD496" s="264">
        <f>IF(NFI_Expiration=1,IF($A496&lt;VLOOKUP(M$5,NFI,5,0),1,0)*Table_NFI[[#This Row],[Blanket]],Table_NFI[[#This Row],[Blanket]])</f>
        <v>0</v>
      </c>
      <c r="AE496" s="264">
        <f>IF(NFI_Expiration=1,IF($A496&lt;VLOOKUP(N$5,NFI,5,0),1,0)*Table_NFI[[#This Row],[Kitchen Set]],Table_NFI[Kitchen Set])</f>
        <v>0</v>
      </c>
      <c r="AF496" s="264">
        <f>IF(NFI_Expiration=1,IF($A496&lt;VLOOKUP(O$5,NFI,5,0),1,0)*Table_NFI[[#This Row],[Clothes Kit]],Table_NFI[Clothes Kit])</f>
        <v>0</v>
      </c>
      <c r="AG496" s="264">
        <f>IF(NFI_Expiration=1,IF($A496&lt;VLOOKUP(P$5,NFI,5,0),1,0)*Table_NFI[[#This Row],[Plastic Bucket]],Table_NFI[Plastic Bucket])</f>
        <v>0</v>
      </c>
      <c r="AH496" s="264">
        <f>IF(NFI_Expiration=1,IF($A496&lt;VLOOKUP(Q$5,NFI,5,0),1,0)*Table_NFI[[#This Row],[Plastic Mat]],Table_NFI[Plastic Mat])*IF(Table_NFI[[#This Row],[Distribution Date]]&gt;"2014-04-01",1,2.5)</f>
        <v>0</v>
      </c>
      <c r="AI496" s="264">
        <f>IF(NFI_Expiration=1,IF($A496&lt;VLOOKUP(R$5,NFI,5,0),1,0)*Table_NFI[[#This Row],[Winter Clothes Adult]],Table_NFI[Winter Clothes Adult])</f>
        <v>0</v>
      </c>
      <c r="AJ496" s="264">
        <f>IF(NFI_Expiration=1,IF($A496&lt;VLOOKUP(S$5,NFI,5,0),1,0)*Table_NFI[[#This Row],[Winter Clothes Children]],Table_NFI[Winter Clothes Children])</f>
        <v>0</v>
      </c>
      <c r="AK496" s="264">
        <f>IF(NFI_Expiration=1,IF($A496&lt;VLOOKUP(T$5,NFI,5,0),1,0)*Table_NFI[[#This Row],[Winter Items Other]],Table_NFI[Winter Items Other])</f>
        <v>0</v>
      </c>
      <c r="AL496" s="264">
        <f>IF(NFI_Expiration=1,IF($A496&lt;VLOOKUP(M$5,NFI,5,0),1,0)*Table_NFI[[#This Row],[Winter Blanket]],Table_NFI[[#This Row],[Winter Blanket]])</f>
        <v>0</v>
      </c>
      <c r="AM496" s="264">
        <f>IF(Table_NFI[[#This Row],[Winter Clothes Adult]]+Table_NFI[[#This Row],[Winter Clothes Children]]+Table_NFI[[#This Row],[Winter Items Other]]+Table_NFI[[#This Row],[Winter Blanket]]&gt;0,1,0)</f>
        <v>1</v>
      </c>
      <c r="AN496" s="296">
        <f>IF(NFI_Expiration=1,IF($A496&lt;VLOOKUP(V$5,NFI,5,0),1,0)*Table_NFI[[#This Row],[Jerry Can]],Table_NFI[Jerry Can])</f>
        <v>0</v>
      </c>
      <c r="AO496" s="296">
        <f>IF(NFI_Expiration=1,IF($A496&lt;VLOOKUP(V$5,NFI,5,0),1,0)*Table_NFI[[#This Row],[Shelter Tool kit]],Table_NFI[Shelter Tool kit])</f>
        <v>0</v>
      </c>
      <c r="AP496" s="296">
        <f>IF(NFI_Expiration=1,IF($A496&lt;VLOOKUP(V$5,NFI,5,0),1,0)*Table_NFI[[#This Row],[Tent]],Table_NFI[Tent])</f>
        <v>0</v>
      </c>
      <c r="AQ496" s="396" t="str">
        <f>IFERROR(VLOOKUP(Table_NFI[[#This Row],[Camp Name]],CL,2,0),"")</f>
        <v>MMR001CMP077</v>
      </c>
      <c r="AR496" s="702">
        <f ca="1">IF(Table_NFI[[#This Row],[Pcode]]="","",IF(OFFSET(CampList[Opening Date],MATCH(Table_NFI[[#This Row],[Pcode]],CampList[CP_Pcode],0)-1,0,1,1)&gt;=NFI_Monitor_Date,1,0))</f>
        <v>0</v>
      </c>
      <c r="AS496" s="396" t="str">
        <f>IFERROR(VLOOKUP(Table_NFI[[#This Row],[Camp Name]],CL,3,0),"")</f>
        <v>Open</v>
      </c>
      <c r="AT496" s="264" t="str">
        <f ca="1">IF(Table_NFI[[#This Row],[Pcode]]="","",OFFSET(CampList[Priority],MATCH(Table_NFI[[#This Row],[Pcode]],CampList[CP_Pcode],0)-1,0,1,1))</f>
        <v>P4</v>
      </c>
      <c r="AU496" s="263">
        <f>IFERROR(Table_NFI[[#This Row],[Kitchen Set]]/VLOOKUP(Table_NFI[[#This Row],[Camp Name]],CL,4,0),"")</f>
        <v>0</v>
      </c>
      <c r="AV496" s="390"/>
      <c r="AW496" s="392"/>
      <c r="AX496" s="399"/>
      <c r="AY496" s="399"/>
      <c r="AZ496" s="399"/>
      <c r="BA496" s="399"/>
      <c r="BB496" s="399"/>
      <c r="BC496" s="399"/>
      <c r="BD496" s="399"/>
      <c r="BE496" s="399"/>
      <c r="BF496" s="399"/>
      <c r="BG496" s="399"/>
      <c r="BH496" s="399"/>
      <c r="BI496" s="399"/>
      <c r="BJ496" s="399"/>
      <c r="BK496" s="399"/>
      <c r="BL496" s="399"/>
      <c r="BM496" s="399"/>
      <c r="BN496" s="399"/>
      <c r="BO496" s="399"/>
      <c r="BP496" s="399"/>
      <c r="BQ496" s="399"/>
      <c r="BR496" s="399"/>
      <c r="BS496" s="399"/>
      <c r="BT496" s="399"/>
      <c r="BU496" s="399"/>
      <c r="BV496" s="399"/>
      <c r="BW496" s="399"/>
      <c r="BX496" s="399"/>
      <c r="BY496" s="399"/>
      <c r="BZ496" s="399"/>
      <c r="CA496" s="399"/>
      <c r="CB496" s="399"/>
      <c r="CC496" s="399"/>
      <c r="CD496" s="399"/>
      <c r="CE496" s="399"/>
      <c r="CF496" s="399"/>
      <c r="CG496" s="399"/>
      <c r="CH496" s="399"/>
      <c r="CI496" s="399"/>
      <c r="CJ496" s="399"/>
      <c r="CK496" s="399"/>
      <c r="CL496" s="399"/>
      <c r="CM496" s="399"/>
      <c r="CN496" s="399"/>
      <c r="CO496" s="399"/>
      <c r="CP496" s="399"/>
      <c r="CQ496" s="399"/>
      <c r="CR496" s="399"/>
      <c r="CS496" s="399"/>
      <c r="CT496" s="399"/>
      <c r="CU496" s="399"/>
      <c r="CV496" s="399"/>
      <c r="CW496" s="399"/>
      <c r="CX496" s="399"/>
      <c r="CY496" s="399"/>
      <c r="CZ496" s="399"/>
      <c r="DA496" s="399"/>
      <c r="DB496" s="399"/>
      <c r="DC496" s="399"/>
      <c r="DD496" s="399"/>
      <c r="DE496" s="399"/>
      <c r="DF496" s="399"/>
      <c r="DG496" s="399"/>
      <c r="DH496" s="399"/>
      <c r="DI496" s="399"/>
      <c r="DJ496" s="399"/>
      <c r="DK496" s="399"/>
      <c r="DL496" s="399"/>
      <c r="DM496" s="399"/>
      <c r="DN496" s="399"/>
      <c r="DO496" s="399"/>
      <c r="DP496" s="399"/>
      <c r="DQ496" s="399"/>
    </row>
    <row r="497" spans="1:121" s="393" customFormat="1" ht="14.45" customHeight="1" x14ac:dyDescent="0.25">
      <c r="A497" s="266">
        <f t="shared" si="7"/>
        <v>38.700000000000003</v>
      </c>
      <c r="B497" s="389">
        <v>41695</v>
      </c>
      <c r="C497" s="390" t="s">
        <v>1099</v>
      </c>
      <c r="D497" s="390" t="s">
        <v>899</v>
      </c>
      <c r="E497" s="390" t="s">
        <v>380</v>
      </c>
      <c r="F497" s="390" t="s">
        <v>173</v>
      </c>
      <c r="G497" s="390" t="s">
        <v>178</v>
      </c>
      <c r="H497" s="261"/>
      <c r="I497" s="261"/>
      <c r="J497" s="261"/>
      <c r="K497" s="261"/>
      <c r="L497" s="261"/>
      <c r="M497" s="261"/>
      <c r="N497" s="261"/>
      <c r="O497" s="261"/>
      <c r="P497" s="261"/>
      <c r="Q497" s="261"/>
      <c r="R497" s="261"/>
      <c r="S497" s="261"/>
      <c r="T497" s="261"/>
      <c r="U497" s="261">
        <v>28</v>
      </c>
      <c r="V497" s="762"/>
      <c r="W497" s="261"/>
      <c r="X497" s="261"/>
      <c r="Y497" s="264">
        <f>IF(NFI_Expiration=1,IF($A497&lt;VLOOKUP(H$5,NFI,5,0),1,0)*Table_NFI[[#This Row],[Hygiene Kit]],Table_NFI[Hygiene Kit])</f>
        <v>0</v>
      </c>
      <c r="Z497" s="264">
        <f>IF(NFI_Expiration=1,IF($A497&lt;VLOOKUP(I$5,NFI,5,0),1,0)*Table_NFI[[#This Row],[NFI Core Kit]],Table_NFI[NFI Core Kit])</f>
        <v>0</v>
      </c>
      <c r="AA497" s="264">
        <f>IF(NFI_Expiration=1,IF($A497&lt;VLOOKUP(J$5,NFI,5,0),1,0)*Table_NFI[[#This Row],[Sanitary Kit]],Table_NFI[Sanitary Kit])</f>
        <v>0</v>
      </c>
      <c r="AB497" s="264">
        <f>IF(NFI_Expiration=1,IF($A497&lt;VLOOKUP(K$5,NFI,5,0),1,0)*Table_NFI[[#This Row],[Mosquito net]],Table_NFI[Mosquito net])</f>
        <v>0</v>
      </c>
      <c r="AC497" s="264">
        <f>IF(NFI_Expiration=1,IF($A497&lt;VLOOKUP(L$5,NFI,5,0),1,0)*Table_NFI[[#This Row],[Tarpaulin]],Table_NFI[[#This Row],[Tarpaulin]])</f>
        <v>0</v>
      </c>
      <c r="AD497" s="264">
        <f>IF(NFI_Expiration=1,IF($A497&lt;VLOOKUP(M$5,NFI,5,0),1,0)*Table_NFI[[#This Row],[Blanket]],Table_NFI[[#This Row],[Blanket]])</f>
        <v>0</v>
      </c>
      <c r="AE497" s="264">
        <f>IF(NFI_Expiration=1,IF($A497&lt;VLOOKUP(N$5,NFI,5,0),1,0)*Table_NFI[[#This Row],[Kitchen Set]],Table_NFI[Kitchen Set])</f>
        <v>0</v>
      </c>
      <c r="AF497" s="264">
        <f>IF(NFI_Expiration=1,IF($A497&lt;VLOOKUP(O$5,NFI,5,0),1,0)*Table_NFI[[#This Row],[Clothes Kit]],Table_NFI[Clothes Kit])</f>
        <v>0</v>
      </c>
      <c r="AG497" s="264">
        <f>IF(NFI_Expiration=1,IF($A497&lt;VLOOKUP(P$5,NFI,5,0),1,0)*Table_NFI[[#This Row],[Plastic Bucket]],Table_NFI[Plastic Bucket])</f>
        <v>0</v>
      </c>
      <c r="AH497" s="264">
        <f>IF(NFI_Expiration=1,IF($A497&lt;VLOOKUP(Q$5,NFI,5,0),1,0)*Table_NFI[[#This Row],[Plastic Mat]],Table_NFI[Plastic Mat])*IF(Table_NFI[[#This Row],[Distribution Date]]&gt;"2014-04-01",1,2.5)</f>
        <v>0</v>
      </c>
      <c r="AI497" s="264">
        <f>IF(NFI_Expiration=1,IF($A497&lt;VLOOKUP(R$5,NFI,5,0),1,0)*Table_NFI[[#This Row],[Winter Clothes Adult]],Table_NFI[Winter Clothes Adult])</f>
        <v>0</v>
      </c>
      <c r="AJ497" s="264">
        <f>IF(NFI_Expiration=1,IF($A497&lt;VLOOKUP(S$5,NFI,5,0),1,0)*Table_NFI[[#This Row],[Winter Clothes Children]],Table_NFI[Winter Clothes Children])</f>
        <v>0</v>
      </c>
      <c r="AK497" s="264">
        <f>IF(NFI_Expiration=1,IF($A497&lt;VLOOKUP(T$5,NFI,5,0),1,0)*Table_NFI[[#This Row],[Winter Items Other]],Table_NFI[Winter Items Other])</f>
        <v>0</v>
      </c>
      <c r="AL497" s="264">
        <f>IF(NFI_Expiration=1,IF($A497&lt;VLOOKUP(M$5,NFI,5,0),1,0)*Table_NFI[[#This Row],[Winter Blanket]],Table_NFI[[#This Row],[Winter Blanket]])</f>
        <v>0</v>
      </c>
      <c r="AM497" s="264">
        <f>IF(Table_NFI[[#This Row],[Winter Clothes Adult]]+Table_NFI[[#This Row],[Winter Clothes Children]]+Table_NFI[[#This Row],[Winter Items Other]]+Table_NFI[[#This Row],[Winter Blanket]]&gt;0,1,0)</f>
        <v>1</v>
      </c>
      <c r="AN497" s="296">
        <f>IF(NFI_Expiration=1,IF($A497&lt;VLOOKUP(V$5,NFI,5,0),1,0)*Table_NFI[[#This Row],[Jerry Can]],Table_NFI[Jerry Can])</f>
        <v>0</v>
      </c>
      <c r="AO497" s="296">
        <f>IF(NFI_Expiration=1,IF($A497&lt;VLOOKUP(V$5,NFI,5,0),1,0)*Table_NFI[[#This Row],[Shelter Tool kit]],Table_NFI[Shelter Tool kit])</f>
        <v>0</v>
      </c>
      <c r="AP497" s="296">
        <f>IF(NFI_Expiration=1,IF($A497&lt;VLOOKUP(V$5,NFI,5,0),1,0)*Table_NFI[[#This Row],[Tent]],Table_NFI[Tent])</f>
        <v>0</v>
      </c>
      <c r="AQ497" s="396" t="str">
        <f>IFERROR(VLOOKUP(Table_NFI[[#This Row],[Camp Name]],CL,2,0),"")</f>
        <v>MMR001CMP079</v>
      </c>
      <c r="AR497" s="702">
        <f ca="1">IF(Table_NFI[[#This Row],[Pcode]]="","",IF(OFFSET(CampList[Opening Date],MATCH(Table_NFI[[#This Row],[Pcode]],CampList[CP_Pcode],0)-1,0,1,1)&gt;=NFI_Monitor_Date,1,0))</f>
        <v>0</v>
      </c>
      <c r="AS497" s="396" t="str">
        <f>IFERROR(VLOOKUP(Table_NFI[[#This Row],[Camp Name]],CL,3,0),"")</f>
        <v>Open</v>
      </c>
      <c r="AT497" s="264" t="str">
        <f ca="1">IF(Table_NFI[[#This Row],[Pcode]]="","",OFFSET(CampList[Priority],MATCH(Table_NFI[[#This Row],[Pcode]],CampList[CP_Pcode],0)-1,0,1,1))</f>
        <v>P4</v>
      </c>
      <c r="AU497" s="263">
        <f>IFERROR(Table_NFI[[#This Row],[Kitchen Set]]/VLOOKUP(Table_NFI[[#This Row],[Camp Name]],CL,4,0),"")</f>
        <v>0</v>
      </c>
      <c r="AV497" s="390"/>
      <c r="AW497" s="392"/>
      <c r="AX497" s="399"/>
      <c r="AY497" s="399"/>
      <c r="AZ497" s="399"/>
      <c r="BA497" s="399"/>
      <c r="BB497" s="399"/>
      <c r="BC497" s="399"/>
      <c r="BD497" s="399"/>
      <c r="BE497" s="399"/>
      <c r="BF497" s="399"/>
      <c r="BG497" s="399"/>
      <c r="BH497" s="399"/>
      <c r="BI497" s="399"/>
      <c r="BJ497" s="399"/>
      <c r="BK497" s="399"/>
      <c r="BL497" s="399"/>
      <c r="BM497" s="399"/>
      <c r="BN497" s="399"/>
      <c r="BO497" s="399"/>
      <c r="BP497" s="399"/>
      <c r="BQ497" s="399"/>
      <c r="BR497" s="399"/>
      <c r="BS497" s="399"/>
      <c r="BT497" s="399"/>
      <c r="BU497" s="399"/>
      <c r="BV497" s="399"/>
      <c r="BW497" s="399"/>
      <c r="BX497" s="399"/>
      <c r="BY497" s="399"/>
      <c r="BZ497" s="399"/>
      <c r="CA497" s="399"/>
      <c r="CB497" s="399"/>
      <c r="CC497" s="399"/>
      <c r="CD497" s="399"/>
      <c r="CE497" s="399"/>
      <c r="CF497" s="399"/>
      <c r="CG497" s="399"/>
      <c r="CH497" s="399"/>
      <c r="CI497" s="399"/>
      <c r="CJ497" s="399"/>
      <c r="CK497" s="399"/>
      <c r="CL497" s="399"/>
      <c r="CM497" s="399"/>
      <c r="CN497" s="399"/>
      <c r="CO497" s="399"/>
      <c r="CP497" s="399"/>
      <c r="CQ497" s="399"/>
      <c r="CR497" s="399"/>
      <c r="CS497" s="399"/>
      <c r="CT497" s="399"/>
      <c r="CU497" s="399"/>
      <c r="CV497" s="399"/>
      <c r="CW497" s="399"/>
      <c r="CX497" s="399"/>
      <c r="CY497" s="399"/>
      <c r="CZ497" s="399"/>
      <c r="DA497" s="399"/>
      <c r="DB497" s="399"/>
      <c r="DC497" s="399"/>
      <c r="DD497" s="399"/>
      <c r="DE497" s="399"/>
      <c r="DF497" s="399"/>
      <c r="DG497" s="399"/>
      <c r="DH497" s="399"/>
      <c r="DI497" s="399"/>
      <c r="DJ497" s="399"/>
      <c r="DK497" s="399"/>
      <c r="DL497" s="399"/>
      <c r="DM497" s="399"/>
      <c r="DN497" s="399"/>
      <c r="DO497" s="399"/>
      <c r="DP497" s="399"/>
      <c r="DQ497" s="399"/>
    </row>
    <row r="498" spans="1:121" s="760" customFormat="1" ht="14.45" customHeight="1" x14ac:dyDescent="0.25">
      <c r="A498" s="266">
        <f t="shared" si="7"/>
        <v>38.766666666666666</v>
      </c>
      <c r="B498" s="389">
        <v>41693</v>
      </c>
      <c r="C498" s="390" t="s">
        <v>1099</v>
      </c>
      <c r="D498" s="390" t="s">
        <v>899</v>
      </c>
      <c r="E498" s="390" t="s">
        <v>380</v>
      </c>
      <c r="F498" s="390" t="s">
        <v>27</v>
      </c>
      <c r="G498" s="390" t="s">
        <v>28</v>
      </c>
      <c r="H498" s="261"/>
      <c r="I498" s="261"/>
      <c r="J498" s="261"/>
      <c r="K498" s="261"/>
      <c r="L498" s="261"/>
      <c r="M498" s="261"/>
      <c r="N498" s="261"/>
      <c r="O498" s="261"/>
      <c r="P498" s="261"/>
      <c r="Q498" s="261"/>
      <c r="R498" s="261"/>
      <c r="S498" s="261"/>
      <c r="T498" s="261"/>
      <c r="U498" s="261">
        <v>222</v>
      </c>
      <c r="V498" s="762"/>
      <c r="W498" s="261"/>
      <c r="X498" s="261"/>
      <c r="Y498" s="264">
        <f>IF(NFI_Expiration=1,IF($A498&lt;VLOOKUP(H$5,NFI,5,0),1,0)*Table_NFI[[#This Row],[Hygiene Kit]],Table_NFI[Hygiene Kit])</f>
        <v>0</v>
      </c>
      <c r="Z498" s="264">
        <f>IF(NFI_Expiration=1,IF($A498&lt;VLOOKUP(I$5,NFI,5,0),1,0)*Table_NFI[[#This Row],[NFI Core Kit]],Table_NFI[NFI Core Kit])</f>
        <v>0</v>
      </c>
      <c r="AA498" s="264">
        <f>IF(NFI_Expiration=1,IF($A498&lt;VLOOKUP(J$5,NFI,5,0),1,0)*Table_NFI[[#This Row],[Sanitary Kit]],Table_NFI[Sanitary Kit])</f>
        <v>0</v>
      </c>
      <c r="AB498" s="264">
        <f>IF(NFI_Expiration=1,IF($A498&lt;VLOOKUP(K$5,NFI,5,0),1,0)*Table_NFI[[#This Row],[Mosquito net]],Table_NFI[Mosquito net])</f>
        <v>0</v>
      </c>
      <c r="AC498" s="264">
        <f>IF(NFI_Expiration=1,IF($A498&lt;VLOOKUP(L$5,NFI,5,0),1,0)*Table_NFI[[#This Row],[Tarpaulin]],Table_NFI[[#This Row],[Tarpaulin]])</f>
        <v>0</v>
      </c>
      <c r="AD498" s="264">
        <f>IF(NFI_Expiration=1,IF($A498&lt;VLOOKUP(M$5,NFI,5,0),1,0)*Table_NFI[[#This Row],[Blanket]],Table_NFI[[#This Row],[Blanket]])</f>
        <v>0</v>
      </c>
      <c r="AE498" s="264">
        <f>IF(NFI_Expiration=1,IF($A498&lt;VLOOKUP(N$5,NFI,5,0),1,0)*Table_NFI[[#This Row],[Kitchen Set]],Table_NFI[Kitchen Set])</f>
        <v>0</v>
      </c>
      <c r="AF498" s="264">
        <f>IF(NFI_Expiration=1,IF($A498&lt;VLOOKUP(O$5,NFI,5,0),1,0)*Table_NFI[[#This Row],[Clothes Kit]],Table_NFI[Clothes Kit])</f>
        <v>0</v>
      </c>
      <c r="AG498" s="264">
        <f>IF(NFI_Expiration=1,IF($A498&lt;VLOOKUP(P$5,NFI,5,0),1,0)*Table_NFI[[#This Row],[Plastic Bucket]],Table_NFI[Plastic Bucket])</f>
        <v>0</v>
      </c>
      <c r="AH498" s="264">
        <f>IF(NFI_Expiration=1,IF($A498&lt;VLOOKUP(Q$5,NFI,5,0),1,0)*Table_NFI[[#This Row],[Plastic Mat]],Table_NFI[Plastic Mat])*IF(Table_NFI[[#This Row],[Distribution Date]]&gt;"2014-04-01",1,2.5)</f>
        <v>0</v>
      </c>
      <c r="AI498" s="264">
        <f>IF(NFI_Expiration=1,IF($A498&lt;VLOOKUP(R$5,NFI,5,0),1,0)*Table_NFI[[#This Row],[Winter Clothes Adult]],Table_NFI[Winter Clothes Adult])</f>
        <v>0</v>
      </c>
      <c r="AJ498" s="264">
        <f>IF(NFI_Expiration=1,IF($A498&lt;VLOOKUP(S$5,NFI,5,0),1,0)*Table_NFI[[#This Row],[Winter Clothes Children]],Table_NFI[Winter Clothes Children])</f>
        <v>0</v>
      </c>
      <c r="AK498" s="264">
        <f>IF(NFI_Expiration=1,IF($A498&lt;VLOOKUP(T$5,NFI,5,0),1,0)*Table_NFI[[#This Row],[Winter Items Other]],Table_NFI[Winter Items Other])</f>
        <v>0</v>
      </c>
      <c r="AL498" s="264">
        <f>IF(NFI_Expiration=1,IF($A498&lt;VLOOKUP(M$5,NFI,5,0),1,0)*Table_NFI[[#This Row],[Winter Blanket]],Table_NFI[[#This Row],[Winter Blanket]])</f>
        <v>0</v>
      </c>
      <c r="AM498" s="264">
        <f>IF(Table_NFI[[#This Row],[Winter Clothes Adult]]+Table_NFI[[#This Row],[Winter Clothes Children]]+Table_NFI[[#This Row],[Winter Items Other]]+Table_NFI[[#This Row],[Winter Blanket]]&gt;0,1,0)</f>
        <v>1</v>
      </c>
      <c r="AN498" s="296">
        <f>IF(NFI_Expiration=1,IF($A498&lt;VLOOKUP(V$5,NFI,5,0),1,0)*Table_NFI[[#This Row],[Jerry Can]],Table_NFI[Jerry Can])</f>
        <v>0</v>
      </c>
      <c r="AO498" s="296">
        <f>IF(NFI_Expiration=1,IF($A498&lt;VLOOKUP(V$5,NFI,5,0),1,0)*Table_NFI[[#This Row],[Shelter Tool kit]],Table_NFI[Shelter Tool kit])</f>
        <v>0</v>
      </c>
      <c r="AP498" s="296">
        <f>IF(NFI_Expiration=1,IF($A498&lt;VLOOKUP(V$5,NFI,5,0),1,0)*Table_NFI[[#This Row],[Tent]],Table_NFI[Tent])</f>
        <v>0</v>
      </c>
      <c r="AQ498" s="396" t="str">
        <f>IFERROR(VLOOKUP(Table_NFI[[#This Row],[Camp Name]],CL,2,0),"")</f>
        <v>MMR001CMP042</v>
      </c>
      <c r="AR498" s="702">
        <f ca="1">IF(Table_NFI[[#This Row],[Pcode]]="","",IF(OFFSET(CampList[Opening Date],MATCH(Table_NFI[[#This Row],[Pcode]],CampList[CP_Pcode],0)-1,0,1,1)&gt;=NFI_Monitor_Date,1,0))</f>
        <v>0</v>
      </c>
      <c r="AS498" s="396" t="str">
        <f>IFERROR(VLOOKUP(Table_NFI[[#This Row],[Camp Name]],CL,3,0),"")</f>
        <v>Open</v>
      </c>
      <c r="AT498" s="264" t="str">
        <f ca="1">IF(Table_NFI[[#This Row],[Pcode]]="","",OFFSET(CampList[Priority],MATCH(Table_NFI[[#This Row],[Pcode]],CampList[CP_Pcode],0)-1,0,1,1))</f>
        <v>P1</v>
      </c>
      <c r="AU498" s="263">
        <f>IFERROR(Table_NFI[[#This Row],[Kitchen Set]]/VLOOKUP(Table_NFI[[#This Row],[Camp Name]],CL,4,0),"")</f>
        <v>0</v>
      </c>
      <c r="AV498" s="390"/>
      <c r="AW498" s="392"/>
      <c r="AX498" s="399"/>
      <c r="AY498" s="399"/>
      <c r="AZ498" s="399"/>
      <c r="BA498" s="399"/>
      <c r="BB498" s="399"/>
      <c r="BC498" s="399"/>
      <c r="BD498" s="399"/>
      <c r="BE498" s="399"/>
      <c r="BF498" s="399"/>
      <c r="BG498" s="399"/>
      <c r="BH498" s="399"/>
      <c r="BI498" s="399"/>
      <c r="BJ498" s="399"/>
      <c r="BK498" s="399"/>
      <c r="BL498" s="399"/>
      <c r="BM498" s="399"/>
      <c r="BN498" s="399"/>
      <c r="BO498" s="399"/>
      <c r="BP498" s="399"/>
      <c r="BQ498" s="399"/>
      <c r="BR498" s="399"/>
      <c r="BS498" s="399"/>
      <c r="BT498" s="399"/>
      <c r="BU498" s="399"/>
      <c r="BV498" s="399"/>
      <c r="BW498" s="399"/>
      <c r="BX498" s="399"/>
      <c r="BY498" s="399"/>
      <c r="BZ498" s="399"/>
      <c r="CA498" s="399"/>
      <c r="CB498" s="399"/>
      <c r="CC498" s="399"/>
      <c r="CD498" s="399"/>
      <c r="CE498" s="399"/>
      <c r="CF498" s="399"/>
      <c r="CG498" s="399"/>
      <c r="CH498" s="399"/>
      <c r="CI498" s="399"/>
      <c r="CJ498" s="399"/>
      <c r="CK498" s="399"/>
      <c r="CL498" s="399"/>
      <c r="CM498" s="399"/>
      <c r="CN498" s="399"/>
      <c r="CO498" s="399"/>
      <c r="CP498" s="399"/>
      <c r="CQ498" s="399"/>
      <c r="CR498" s="399"/>
      <c r="CS498" s="399"/>
      <c r="CT498" s="399"/>
      <c r="CU498" s="399"/>
      <c r="CV498" s="399"/>
      <c r="CW498" s="399"/>
      <c r="CX498" s="399"/>
      <c r="CY498" s="399"/>
      <c r="CZ498" s="399"/>
      <c r="DA498" s="399"/>
      <c r="DB498" s="399"/>
      <c r="DC498" s="399"/>
      <c r="DD498" s="399"/>
      <c r="DE498" s="399"/>
      <c r="DF498" s="399"/>
      <c r="DG498" s="399"/>
      <c r="DH498" s="399"/>
      <c r="DI498" s="399"/>
      <c r="DJ498" s="399"/>
      <c r="DK498" s="399"/>
      <c r="DL498" s="399"/>
      <c r="DM498" s="399"/>
      <c r="DN498" s="399"/>
      <c r="DO498" s="399"/>
      <c r="DP498" s="399"/>
      <c r="DQ498" s="399"/>
    </row>
    <row r="499" spans="1:121" s="760" customFormat="1" ht="14.45" customHeight="1" x14ac:dyDescent="0.25">
      <c r="A499" s="266">
        <f t="shared" si="7"/>
        <v>38.766666666666666</v>
      </c>
      <c r="B499" s="389">
        <v>41693</v>
      </c>
      <c r="C499" s="390" t="s">
        <v>1099</v>
      </c>
      <c r="D499" s="390" t="s">
        <v>899</v>
      </c>
      <c r="E499" s="390" t="s">
        <v>380</v>
      </c>
      <c r="F499" s="390" t="s">
        <v>27</v>
      </c>
      <c r="G499" s="390" t="s">
        <v>365</v>
      </c>
      <c r="H499" s="261"/>
      <c r="I499" s="261"/>
      <c r="J499" s="261"/>
      <c r="K499" s="261"/>
      <c r="L499" s="261"/>
      <c r="M499" s="261"/>
      <c r="N499" s="261"/>
      <c r="O499" s="261"/>
      <c r="P499" s="261"/>
      <c r="Q499" s="261"/>
      <c r="R499" s="261"/>
      <c r="S499" s="261"/>
      <c r="T499" s="261"/>
      <c r="U499" s="261">
        <v>278</v>
      </c>
      <c r="V499" s="762"/>
      <c r="W499" s="261"/>
      <c r="X499" s="261"/>
      <c r="Y499" s="264">
        <f>IF(NFI_Expiration=1,IF($A499&lt;VLOOKUP(H$5,NFI,5,0),1,0)*Table_NFI[[#This Row],[Hygiene Kit]],Table_NFI[Hygiene Kit])</f>
        <v>0</v>
      </c>
      <c r="Z499" s="264">
        <f>IF(NFI_Expiration=1,IF($A499&lt;VLOOKUP(I$5,NFI,5,0),1,0)*Table_NFI[[#This Row],[NFI Core Kit]],Table_NFI[NFI Core Kit])</f>
        <v>0</v>
      </c>
      <c r="AA499" s="264">
        <f>IF(NFI_Expiration=1,IF($A499&lt;VLOOKUP(J$5,NFI,5,0),1,0)*Table_NFI[[#This Row],[Sanitary Kit]],Table_NFI[Sanitary Kit])</f>
        <v>0</v>
      </c>
      <c r="AB499" s="264">
        <f>IF(NFI_Expiration=1,IF($A499&lt;VLOOKUP(K$5,NFI,5,0),1,0)*Table_NFI[[#This Row],[Mosquito net]],Table_NFI[Mosquito net])</f>
        <v>0</v>
      </c>
      <c r="AC499" s="264">
        <f>IF(NFI_Expiration=1,IF($A499&lt;VLOOKUP(L$5,NFI,5,0),1,0)*Table_NFI[[#This Row],[Tarpaulin]],Table_NFI[[#This Row],[Tarpaulin]])</f>
        <v>0</v>
      </c>
      <c r="AD499" s="264">
        <f>IF(NFI_Expiration=1,IF($A499&lt;VLOOKUP(M$5,NFI,5,0),1,0)*Table_NFI[[#This Row],[Blanket]],Table_NFI[[#This Row],[Blanket]])</f>
        <v>0</v>
      </c>
      <c r="AE499" s="264">
        <f>IF(NFI_Expiration=1,IF($A499&lt;VLOOKUP(N$5,NFI,5,0),1,0)*Table_NFI[[#This Row],[Kitchen Set]],Table_NFI[Kitchen Set])</f>
        <v>0</v>
      </c>
      <c r="AF499" s="264">
        <f>IF(NFI_Expiration=1,IF($A499&lt;VLOOKUP(O$5,NFI,5,0),1,0)*Table_NFI[[#This Row],[Clothes Kit]],Table_NFI[Clothes Kit])</f>
        <v>0</v>
      </c>
      <c r="AG499" s="264">
        <f>IF(NFI_Expiration=1,IF($A499&lt;VLOOKUP(P$5,NFI,5,0),1,0)*Table_NFI[[#This Row],[Plastic Bucket]],Table_NFI[Plastic Bucket])</f>
        <v>0</v>
      </c>
      <c r="AH499" s="264">
        <f>IF(NFI_Expiration=1,IF($A499&lt;VLOOKUP(Q$5,NFI,5,0),1,0)*Table_NFI[[#This Row],[Plastic Mat]],Table_NFI[Plastic Mat])*IF(Table_NFI[[#This Row],[Distribution Date]]&gt;"2014-04-01",1,2.5)</f>
        <v>0</v>
      </c>
      <c r="AI499" s="264">
        <f>IF(NFI_Expiration=1,IF($A499&lt;VLOOKUP(R$5,NFI,5,0),1,0)*Table_NFI[[#This Row],[Winter Clothes Adult]],Table_NFI[Winter Clothes Adult])</f>
        <v>0</v>
      </c>
      <c r="AJ499" s="264">
        <f>IF(NFI_Expiration=1,IF($A499&lt;VLOOKUP(S$5,NFI,5,0),1,0)*Table_NFI[[#This Row],[Winter Clothes Children]],Table_NFI[Winter Clothes Children])</f>
        <v>0</v>
      </c>
      <c r="AK499" s="264">
        <f>IF(NFI_Expiration=1,IF($A499&lt;VLOOKUP(T$5,NFI,5,0),1,0)*Table_NFI[[#This Row],[Winter Items Other]],Table_NFI[Winter Items Other])</f>
        <v>0</v>
      </c>
      <c r="AL499" s="264">
        <f>IF(NFI_Expiration=1,IF($A499&lt;VLOOKUP(M$5,NFI,5,0),1,0)*Table_NFI[[#This Row],[Winter Blanket]],Table_NFI[[#This Row],[Winter Blanket]])</f>
        <v>0</v>
      </c>
      <c r="AM499" s="264">
        <f>IF(Table_NFI[[#This Row],[Winter Clothes Adult]]+Table_NFI[[#This Row],[Winter Clothes Children]]+Table_NFI[[#This Row],[Winter Items Other]]+Table_NFI[[#This Row],[Winter Blanket]]&gt;0,1,0)</f>
        <v>1</v>
      </c>
      <c r="AN499" s="296">
        <f>IF(NFI_Expiration=1,IF($A499&lt;VLOOKUP(V$5,NFI,5,0),1,0)*Table_NFI[[#This Row],[Jerry Can]],Table_NFI[Jerry Can])</f>
        <v>0</v>
      </c>
      <c r="AO499" s="296">
        <f>IF(NFI_Expiration=1,IF($A499&lt;VLOOKUP(V$5,NFI,5,0),1,0)*Table_NFI[[#This Row],[Shelter Tool kit]],Table_NFI[Shelter Tool kit])</f>
        <v>0</v>
      </c>
      <c r="AP499" s="296">
        <f>IF(NFI_Expiration=1,IF($A499&lt;VLOOKUP(V$5,NFI,5,0),1,0)*Table_NFI[[#This Row],[Tent]],Table_NFI[Tent])</f>
        <v>0</v>
      </c>
      <c r="AQ499" s="396" t="str">
        <f>IFERROR(VLOOKUP(Table_NFI[[#This Row],[Camp Name]],CL,2,0),"")</f>
        <v>MMR001CMP195</v>
      </c>
      <c r="AR499" s="702">
        <f ca="1">IF(Table_NFI[[#This Row],[Pcode]]="","",IF(OFFSET(CampList[Opening Date],MATCH(Table_NFI[[#This Row],[Pcode]],CampList[CP_Pcode],0)-1,0,1,1)&gt;=NFI_Monitor_Date,1,0))</f>
        <v>0</v>
      </c>
      <c r="AS499" s="396" t="str">
        <f>IFERROR(VLOOKUP(Table_NFI[[#This Row],[Camp Name]],CL,3,0),"")</f>
        <v>Open</v>
      </c>
      <c r="AT499" s="264" t="str">
        <f ca="1">IF(Table_NFI[[#This Row],[Pcode]]="","",OFFSET(CampList[Priority],MATCH(Table_NFI[[#This Row],[Pcode]],CampList[CP_Pcode],0)-1,0,1,1))</f>
        <v>P1</v>
      </c>
      <c r="AU499" s="263">
        <f>IFERROR(Table_NFI[[#This Row],[Kitchen Set]]/VLOOKUP(Table_NFI[[#This Row],[Camp Name]],CL,4,0),"")</f>
        <v>0</v>
      </c>
      <c r="AV499" s="390"/>
      <c r="AW499" s="392"/>
      <c r="AX499" s="399"/>
      <c r="AY499" s="399"/>
      <c r="AZ499" s="399"/>
      <c r="BA499" s="399"/>
      <c r="BB499" s="399"/>
      <c r="BC499" s="399"/>
      <c r="BD499" s="399"/>
      <c r="BE499" s="399"/>
      <c r="BF499" s="399"/>
      <c r="BG499" s="399"/>
      <c r="BH499" s="399"/>
      <c r="BI499" s="399"/>
      <c r="BJ499" s="399"/>
      <c r="BK499" s="399"/>
      <c r="BL499" s="399"/>
      <c r="BM499" s="399"/>
      <c r="BN499" s="399"/>
      <c r="BO499" s="399"/>
      <c r="BP499" s="399"/>
      <c r="BQ499" s="399"/>
      <c r="BR499" s="399"/>
      <c r="BS499" s="399"/>
      <c r="BT499" s="399"/>
      <c r="BU499" s="399"/>
      <c r="BV499" s="399"/>
      <c r="BW499" s="399"/>
      <c r="BX499" s="399"/>
      <c r="BY499" s="399"/>
      <c r="BZ499" s="399"/>
      <c r="CA499" s="399"/>
      <c r="CB499" s="399"/>
      <c r="CC499" s="399"/>
      <c r="CD499" s="399"/>
      <c r="CE499" s="399"/>
      <c r="CF499" s="399"/>
      <c r="CG499" s="399"/>
      <c r="CH499" s="399"/>
      <c r="CI499" s="399"/>
      <c r="CJ499" s="399"/>
      <c r="CK499" s="399"/>
      <c r="CL499" s="399"/>
      <c r="CM499" s="399"/>
      <c r="CN499" s="399"/>
      <c r="CO499" s="399"/>
      <c r="CP499" s="399"/>
      <c r="CQ499" s="399"/>
      <c r="CR499" s="399"/>
      <c r="CS499" s="399"/>
      <c r="CT499" s="399"/>
      <c r="CU499" s="399"/>
      <c r="CV499" s="399"/>
      <c r="CW499" s="399"/>
      <c r="CX499" s="399"/>
      <c r="CY499" s="399"/>
      <c r="CZ499" s="399"/>
      <c r="DA499" s="399"/>
      <c r="DB499" s="399"/>
      <c r="DC499" s="399"/>
      <c r="DD499" s="399"/>
      <c r="DE499" s="399"/>
      <c r="DF499" s="399"/>
      <c r="DG499" s="399"/>
      <c r="DH499" s="399"/>
      <c r="DI499" s="399"/>
      <c r="DJ499" s="399"/>
      <c r="DK499" s="399"/>
      <c r="DL499" s="399"/>
      <c r="DM499" s="399"/>
      <c r="DN499" s="399"/>
      <c r="DO499" s="399"/>
      <c r="DP499" s="399"/>
      <c r="DQ499" s="399"/>
    </row>
    <row r="500" spans="1:121" s="760" customFormat="1" ht="14.45" customHeight="1" x14ac:dyDescent="0.25">
      <c r="A500" s="266">
        <f t="shared" si="7"/>
        <v>38.766666666666666</v>
      </c>
      <c r="B500" s="389">
        <v>41693</v>
      </c>
      <c r="C500" s="390" t="s">
        <v>1099</v>
      </c>
      <c r="D500" s="390" t="s">
        <v>899</v>
      </c>
      <c r="E500" s="390" t="s">
        <v>380</v>
      </c>
      <c r="F500" s="390" t="s">
        <v>185</v>
      </c>
      <c r="G500" s="390" t="s">
        <v>225</v>
      </c>
      <c r="H500" s="261"/>
      <c r="I500" s="261"/>
      <c r="J500" s="261"/>
      <c r="K500" s="261"/>
      <c r="L500" s="261"/>
      <c r="M500" s="261"/>
      <c r="N500" s="261"/>
      <c r="O500" s="261"/>
      <c r="P500" s="261"/>
      <c r="Q500" s="261"/>
      <c r="R500" s="261"/>
      <c r="S500" s="261"/>
      <c r="T500" s="261"/>
      <c r="U500" s="261">
        <v>376</v>
      </c>
      <c r="V500" s="762"/>
      <c r="W500" s="261"/>
      <c r="X500" s="261"/>
      <c r="Y500" s="264">
        <f>IF(NFI_Expiration=1,IF($A500&lt;VLOOKUP(H$5,NFI,5,0),1,0)*Table_NFI[[#This Row],[Hygiene Kit]],Table_NFI[Hygiene Kit])</f>
        <v>0</v>
      </c>
      <c r="Z500" s="264">
        <f>IF(NFI_Expiration=1,IF($A500&lt;VLOOKUP(I$5,NFI,5,0),1,0)*Table_NFI[[#This Row],[NFI Core Kit]],Table_NFI[NFI Core Kit])</f>
        <v>0</v>
      </c>
      <c r="AA500" s="264">
        <f>IF(NFI_Expiration=1,IF($A500&lt;VLOOKUP(J$5,NFI,5,0),1,0)*Table_NFI[[#This Row],[Sanitary Kit]],Table_NFI[Sanitary Kit])</f>
        <v>0</v>
      </c>
      <c r="AB500" s="264">
        <f>IF(NFI_Expiration=1,IF($A500&lt;VLOOKUP(K$5,NFI,5,0),1,0)*Table_NFI[[#This Row],[Mosquito net]],Table_NFI[Mosquito net])</f>
        <v>0</v>
      </c>
      <c r="AC500" s="264">
        <f>IF(NFI_Expiration=1,IF($A500&lt;VLOOKUP(L$5,NFI,5,0),1,0)*Table_NFI[[#This Row],[Tarpaulin]],Table_NFI[[#This Row],[Tarpaulin]])</f>
        <v>0</v>
      </c>
      <c r="AD500" s="264">
        <f>IF(NFI_Expiration=1,IF($A500&lt;VLOOKUP(M$5,NFI,5,0),1,0)*Table_NFI[[#This Row],[Blanket]],Table_NFI[[#This Row],[Blanket]])</f>
        <v>0</v>
      </c>
      <c r="AE500" s="264">
        <f>IF(NFI_Expiration=1,IF($A500&lt;VLOOKUP(N$5,NFI,5,0),1,0)*Table_NFI[[#This Row],[Kitchen Set]],Table_NFI[Kitchen Set])</f>
        <v>0</v>
      </c>
      <c r="AF500" s="264">
        <f>IF(NFI_Expiration=1,IF($A500&lt;VLOOKUP(O$5,NFI,5,0),1,0)*Table_NFI[[#This Row],[Clothes Kit]],Table_NFI[Clothes Kit])</f>
        <v>0</v>
      </c>
      <c r="AG500" s="264">
        <f>IF(NFI_Expiration=1,IF($A500&lt;VLOOKUP(P$5,NFI,5,0),1,0)*Table_NFI[[#This Row],[Plastic Bucket]],Table_NFI[Plastic Bucket])</f>
        <v>0</v>
      </c>
      <c r="AH500" s="264">
        <f>IF(NFI_Expiration=1,IF($A500&lt;VLOOKUP(Q$5,NFI,5,0),1,0)*Table_NFI[[#This Row],[Plastic Mat]],Table_NFI[Plastic Mat])*IF(Table_NFI[[#This Row],[Distribution Date]]&gt;"2014-04-01",1,2.5)</f>
        <v>0</v>
      </c>
      <c r="AI500" s="264">
        <f>IF(NFI_Expiration=1,IF($A500&lt;VLOOKUP(R$5,NFI,5,0),1,0)*Table_NFI[[#This Row],[Winter Clothes Adult]],Table_NFI[Winter Clothes Adult])</f>
        <v>0</v>
      </c>
      <c r="AJ500" s="264">
        <f>IF(NFI_Expiration=1,IF($A500&lt;VLOOKUP(S$5,NFI,5,0),1,0)*Table_NFI[[#This Row],[Winter Clothes Children]],Table_NFI[Winter Clothes Children])</f>
        <v>0</v>
      </c>
      <c r="AK500" s="264">
        <f>IF(NFI_Expiration=1,IF($A500&lt;VLOOKUP(T$5,NFI,5,0),1,0)*Table_NFI[[#This Row],[Winter Items Other]],Table_NFI[Winter Items Other])</f>
        <v>0</v>
      </c>
      <c r="AL500" s="264">
        <f>IF(NFI_Expiration=1,IF($A500&lt;VLOOKUP(M$5,NFI,5,0),1,0)*Table_NFI[[#This Row],[Winter Blanket]],Table_NFI[[#This Row],[Winter Blanket]])</f>
        <v>0</v>
      </c>
      <c r="AM500" s="264">
        <f>IF(Table_NFI[[#This Row],[Winter Clothes Adult]]+Table_NFI[[#This Row],[Winter Clothes Children]]+Table_NFI[[#This Row],[Winter Items Other]]+Table_NFI[[#This Row],[Winter Blanket]]&gt;0,1,0)</f>
        <v>1</v>
      </c>
      <c r="AN500" s="296">
        <f>IF(NFI_Expiration=1,IF($A500&lt;VLOOKUP(V$5,NFI,5,0),1,0)*Table_NFI[[#This Row],[Jerry Can]],Table_NFI[Jerry Can])</f>
        <v>0</v>
      </c>
      <c r="AO500" s="296">
        <f>IF(NFI_Expiration=1,IF($A500&lt;VLOOKUP(V$5,NFI,5,0),1,0)*Table_NFI[[#This Row],[Shelter Tool kit]],Table_NFI[Shelter Tool kit])</f>
        <v>0</v>
      </c>
      <c r="AP500" s="296">
        <f>IF(NFI_Expiration=1,IF($A500&lt;VLOOKUP(V$5,NFI,5,0),1,0)*Table_NFI[[#This Row],[Tent]],Table_NFI[Tent])</f>
        <v>0</v>
      </c>
      <c r="AQ500" s="396" t="str">
        <f>IFERROR(VLOOKUP(Table_NFI[[#This Row],[Camp Name]],CL,2,0),"")</f>
        <v>MMR001CMP073</v>
      </c>
      <c r="AR500" s="702">
        <f ca="1">IF(Table_NFI[[#This Row],[Pcode]]="","",IF(OFFSET(CampList[Opening Date],MATCH(Table_NFI[[#This Row],[Pcode]],CampList[CP_Pcode],0)-1,0,1,1)&gt;=NFI_Monitor_Date,1,0))</f>
        <v>0</v>
      </c>
      <c r="AS500" s="396" t="str">
        <f>IFERROR(VLOOKUP(Table_NFI[[#This Row],[Camp Name]],CL,3,0),"")</f>
        <v>Open</v>
      </c>
      <c r="AT500" s="264" t="str">
        <f ca="1">IF(Table_NFI[[#This Row],[Pcode]]="","",OFFSET(CampList[Priority],MATCH(Table_NFI[[#This Row],[Pcode]],CampList[CP_Pcode],0)-1,0,1,1))</f>
        <v>P3</v>
      </c>
      <c r="AU500" s="263">
        <f>IFERROR(Table_NFI[[#This Row],[Kitchen Set]]/VLOOKUP(Table_NFI[[#This Row],[Camp Name]],CL,4,0),"")</f>
        <v>0</v>
      </c>
      <c r="AV500" s="390"/>
      <c r="AW500" s="392"/>
      <c r="AX500" s="399"/>
      <c r="AY500" s="399"/>
      <c r="AZ500" s="399"/>
      <c r="BA500" s="399"/>
      <c r="BB500" s="399"/>
      <c r="BC500" s="399"/>
      <c r="BD500" s="399"/>
      <c r="BE500" s="399"/>
      <c r="BF500" s="399"/>
      <c r="BG500" s="399"/>
      <c r="BH500" s="399"/>
      <c r="BI500" s="399"/>
      <c r="BJ500" s="399"/>
      <c r="BK500" s="399"/>
      <c r="BL500" s="399"/>
      <c r="BM500" s="399"/>
      <c r="BN500" s="399"/>
      <c r="BO500" s="399"/>
      <c r="BP500" s="399"/>
      <c r="BQ500" s="399"/>
      <c r="BR500" s="399"/>
      <c r="BS500" s="399"/>
      <c r="BT500" s="399"/>
      <c r="BU500" s="399"/>
      <c r="BV500" s="399"/>
      <c r="BW500" s="399"/>
      <c r="BX500" s="399"/>
      <c r="BY500" s="399"/>
      <c r="BZ500" s="399"/>
      <c r="CA500" s="399"/>
      <c r="CB500" s="399"/>
      <c r="CC500" s="399"/>
      <c r="CD500" s="399"/>
      <c r="CE500" s="399"/>
      <c r="CF500" s="399"/>
      <c r="CG500" s="399"/>
      <c r="CH500" s="399"/>
      <c r="CI500" s="399"/>
      <c r="CJ500" s="399"/>
      <c r="CK500" s="399"/>
      <c r="CL500" s="399"/>
      <c r="CM500" s="399"/>
      <c r="CN500" s="399"/>
      <c r="CO500" s="399"/>
      <c r="CP500" s="399"/>
      <c r="CQ500" s="399"/>
      <c r="CR500" s="399"/>
      <c r="CS500" s="399"/>
      <c r="CT500" s="399"/>
      <c r="CU500" s="399"/>
      <c r="CV500" s="399"/>
      <c r="CW500" s="399"/>
      <c r="CX500" s="399"/>
      <c r="CY500" s="399"/>
      <c r="CZ500" s="399"/>
      <c r="DA500" s="399"/>
      <c r="DB500" s="399"/>
      <c r="DC500" s="399"/>
      <c r="DD500" s="399"/>
      <c r="DE500" s="399"/>
      <c r="DF500" s="399"/>
      <c r="DG500" s="399"/>
      <c r="DH500" s="399"/>
      <c r="DI500" s="399"/>
      <c r="DJ500" s="399"/>
      <c r="DK500" s="399"/>
      <c r="DL500" s="399"/>
      <c r="DM500" s="399"/>
      <c r="DN500" s="399"/>
      <c r="DO500" s="399"/>
      <c r="DP500" s="399"/>
      <c r="DQ500" s="399"/>
    </row>
    <row r="501" spans="1:121" s="760" customFormat="1" ht="14.45" customHeight="1" x14ac:dyDescent="0.25">
      <c r="A501" s="266">
        <f t="shared" si="7"/>
        <v>38.799999999999997</v>
      </c>
      <c r="B501" s="389">
        <v>41692</v>
      </c>
      <c r="C501" s="390" t="s">
        <v>1099</v>
      </c>
      <c r="D501" s="390" t="s">
        <v>899</v>
      </c>
      <c r="E501" s="390" t="s">
        <v>380</v>
      </c>
      <c r="F501" s="390" t="s">
        <v>27</v>
      </c>
      <c r="G501" s="390" t="s">
        <v>863</v>
      </c>
      <c r="H501" s="261"/>
      <c r="I501" s="261"/>
      <c r="J501" s="261"/>
      <c r="K501" s="261"/>
      <c r="L501" s="261"/>
      <c r="M501" s="261"/>
      <c r="N501" s="261"/>
      <c r="O501" s="261"/>
      <c r="P501" s="261"/>
      <c r="Q501" s="261"/>
      <c r="R501" s="261"/>
      <c r="S501" s="261"/>
      <c r="T501" s="261"/>
      <c r="U501" s="261">
        <v>126</v>
      </c>
      <c r="V501" s="762"/>
      <c r="W501" s="261"/>
      <c r="X501" s="261"/>
      <c r="Y501" s="264">
        <f>IF(NFI_Expiration=1,IF($A501&lt;VLOOKUP(H$5,NFI,5,0),1,0)*Table_NFI[[#This Row],[Hygiene Kit]],Table_NFI[Hygiene Kit])</f>
        <v>0</v>
      </c>
      <c r="Z501" s="264">
        <f>IF(NFI_Expiration=1,IF($A501&lt;VLOOKUP(I$5,NFI,5,0),1,0)*Table_NFI[[#This Row],[NFI Core Kit]],Table_NFI[NFI Core Kit])</f>
        <v>0</v>
      </c>
      <c r="AA501" s="264">
        <f>IF(NFI_Expiration=1,IF($A501&lt;VLOOKUP(J$5,NFI,5,0),1,0)*Table_NFI[[#This Row],[Sanitary Kit]],Table_NFI[Sanitary Kit])</f>
        <v>0</v>
      </c>
      <c r="AB501" s="264">
        <f>IF(NFI_Expiration=1,IF($A501&lt;VLOOKUP(K$5,NFI,5,0),1,0)*Table_NFI[[#This Row],[Mosquito net]],Table_NFI[Mosquito net])</f>
        <v>0</v>
      </c>
      <c r="AC501" s="264">
        <f>IF(NFI_Expiration=1,IF($A501&lt;VLOOKUP(L$5,NFI,5,0),1,0)*Table_NFI[[#This Row],[Tarpaulin]],Table_NFI[[#This Row],[Tarpaulin]])</f>
        <v>0</v>
      </c>
      <c r="AD501" s="264">
        <f>IF(NFI_Expiration=1,IF($A501&lt;VLOOKUP(M$5,NFI,5,0),1,0)*Table_NFI[[#This Row],[Blanket]],Table_NFI[[#This Row],[Blanket]])</f>
        <v>0</v>
      </c>
      <c r="AE501" s="264">
        <f>IF(NFI_Expiration=1,IF($A501&lt;VLOOKUP(N$5,NFI,5,0),1,0)*Table_NFI[[#This Row],[Kitchen Set]],Table_NFI[Kitchen Set])</f>
        <v>0</v>
      </c>
      <c r="AF501" s="264">
        <f>IF(NFI_Expiration=1,IF($A501&lt;VLOOKUP(O$5,NFI,5,0),1,0)*Table_NFI[[#This Row],[Clothes Kit]],Table_NFI[Clothes Kit])</f>
        <v>0</v>
      </c>
      <c r="AG501" s="264">
        <f>IF(NFI_Expiration=1,IF($A501&lt;VLOOKUP(P$5,NFI,5,0),1,0)*Table_NFI[[#This Row],[Plastic Bucket]],Table_NFI[Plastic Bucket])</f>
        <v>0</v>
      </c>
      <c r="AH501" s="264">
        <f>IF(NFI_Expiration=1,IF($A501&lt;VLOOKUP(Q$5,NFI,5,0),1,0)*Table_NFI[[#This Row],[Plastic Mat]],Table_NFI[Plastic Mat])*IF(Table_NFI[[#This Row],[Distribution Date]]&gt;"2014-04-01",1,2.5)</f>
        <v>0</v>
      </c>
      <c r="AI501" s="264">
        <f>IF(NFI_Expiration=1,IF($A501&lt;VLOOKUP(R$5,NFI,5,0),1,0)*Table_NFI[[#This Row],[Winter Clothes Adult]],Table_NFI[Winter Clothes Adult])</f>
        <v>0</v>
      </c>
      <c r="AJ501" s="264">
        <f>IF(NFI_Expiration=1,IF($A501&lt;VLOOKUP(S$5,NFI,5,0),1,0)*Table_NFI[[#This Row],[Winter Clothes Children]],Table_NFI[Winter Clothes Children])</f>
        <v>0</v>
      </c>
      <c r="AK501" s="264">
        <f>IF(NFI_Expiration=1,IF($A501&lt;VLOOKUP(T$5,NFI,5,0),1,0)*Table_NFI[[#This Row],[Winter Items Other]],Table_NFI[Winter Items Other])</f>
        <v>0</v>
      </c>
      <c r="AL501" s="264">
        <f>IF(NFI_Expiration=1,IF($A501&lt;VLOOKUP(M$5,NFI,5,0),1,0)*Table_NFI[[#This Row],[Winter Blanket]],Table_NFI[[#This Row],[Winter Blanket]])</f>
        <v>0</v>
      </c>
      <c r="AM501" s="264">
        <f>IF(Table_NFI[[#This Row],[Winter Clothes Adult]]+Table_NFI[[#This Row],[Winter Clothes Children]]+Table_NFI[[#This Row],[Winter Items Other]]+Table_NFI[[#This Row],[Winter Blanket]]&gt;0,1,0)</f>
        <v>1</v>
      </c>
      <c r="AN501" s="296">
        <f>IF(NFI_Expiration=1,IF($A501&lt;VLOOKUP(V$5,NFI,5,0),1,0)*Table_NFI[[#This Row],[Jerry Can]],Table_NFI[Jerry Can])</f>
        <v>0</v>
      </c>
      <c r="AO501" s="296">
        <f>IF(NFI_Expiration=1,IF($A501&lt;VLOOKUP(V$5,NFI,5,0),1,0)*Table_NFI[[#This Row],[Shelter Tool kit]],Table_NFI[Shelter Tool kit])</f>
        <v>0</v>
      </c>
      <c r="AP501" s="296">
        <f>IF(NFI_Expiration=1,IF($A501&lt;VLOOKUP(V$5,NFI,5,0),1,0)*Table_NFI[[#This Row],[Tent]],Table_NFI[Tent])</f>
        <v>0</v>
      </c>
      <c r="AQ501" s="396" t="str">
        <f>IFERROR(VLOOKUP(Table_NFI[[#This Row],[Camp Name]],CL,2,0),"")</f>
        <v>MMR001CMP210</v>
      </c>
      <c r="AR501" s="702">
        <f ca="1">IF(Table_NFI[[#This Row],[Pcode]]="","",IF(OFFSET(CampList[Opening Date],MATCH(Table_NFI[[#This Row],[Pcode]],CampList[CP_Pcode],0)-1,0,1,1)&gt;=NFI_Monitor_Date,1,0))</f>
        <v>0</v>
      </c>
      <c r="AS501" s="396" t="str">
        <f>IFERROR(VLOOKUP(Table_NFI[[#This Row],[Camp Name]],CL,3,0),"")</f>
        <v>Open</v>
      </c>
      <c r="AT501" s="264" t="str">
        <f ca="1">IF(Table_NFI[[#This Row],[Pcode]]="","",OFFSET(CampList[Priority],MATCH(Table_NFI[[#This Row],[Pcode]],CampList[CP_Pcode],0)-1,0,1,1))</f>
        <v>P1</v>
      </c>
      <c r="AU501" s="263">
        <f>IFERROR(Table_NFI[[#This Row],[Kitchen Set]]/VLOOKUP(Table_NFI[[#This Row],[Camp Name]],CL,4,0),"")</f>
        <v>0</v>
      </c>
      <c r="AV501" s="390"/>
      <c r="AW501" s="392"/>
      <c r="AX501" s="399"/>
      <c r="AY501" s="399"/>
      <c r="AZ501" s="399"/>
      <c r="BA501" s="399"/>
      <c r="BB501" s="399"/>
      <c r="BC501" s="399"/>
      <c r="BD501" s="399"/>
      <c r="BE501" s="399"/>
      <c r="BF501" s="399"/>
      <c r="BG501" s="399"/>
      <c r="BH501" s="399"/>
      <c r="BI501" s="399"/>
      <c r="BJ501" s="399"/>
      <c r="BK501" s="399"/>
      <c r="BL501" s="399"/>
      <c r="BM501" s="399"/>
      <c r="BN501" s="399"/>
      <c r="BO501" s="399"/>
      <c r="BP501" s="399"/>
      <c r="BQ501" s="399"/>
      <c r="BR501" s="399"/>
      <c r="BS501" s="399"/>
      <c r="BT501" s="399"/>
      <c r="BU501" s="399"/>
      <c r="BV501" s="399"/>
      <c r="BW501" s="399"/>
      <c r="BX501" s="399"/>
      <c r="BY501" s="399"/>
      <c r="BZ501" s="399"/>
      <c r="CA501" s="399"/>
      <c r="CB501" s="399"/>
      <c r="CC501" s="399"/>
      <c r="CD501" s="399"/>
      <c r="CE501" s="399"/>
      <c r="CF501" s="399"/>
      <c r="CG501" s="399"/>
      <c r="CH501" s="399"/>
      <c r="CI501" s="399"/>
      <c r="CJ501" s="399"/>
      <c r="CK501" s="399"/>
      <c r="CL501" s="399"/>
      <c r="CM501" s="399"/>
      <c r="CN501" s="399"/>
      <c r="CO501" s="399"/>
      <c r="CP501" s="399"/>
      <c r="CQ501" s="399"/>
      <c r="CR501" s="399"/>
      <c r="CS501" s="399"/>
      <c r="CT501" s="399"/>
      <c r="CU501" s="399"/>
      <c r="CV501" s="399"/>
      <c r="CW501" s="399"/>
      <c r="CX501" s="399"/>
      <c r="CY501" s="399"/>
      <c r="CZ501" s="399"/>
      <c r="DA501" s="399"/>
      <c r="DB501" s="399"/>
      <c r="DC501" s="399"/>
      <c r="DD501" s="399"/>
      <c r="DE501" s="399"/>
      <c r="DF501" s="399"/>
      <c r="DG501" s="399"/>
      <c r="DH501" s="399"/>
      <c r="DI501" s="399"/>
      <c r="DJ501" s="399"/>
      <c r="DK501" s="399"/>
      <c r="DL501" s="399"/>
      <c r="DM501" s="399"/>
      <c r="DN501" s="399"/>
      <c r="DO501" s="399"/>
      <c r="DP501" s="399"/>
      <c r="DQ501" s="399"/>
    </row>
    <row r="502" spans="1:121" s="760" customFormat="1" ht="14.45" customHeight="1" x14ac:dyDescent="0.25">
      <c r="A502" s="266">
        <f t="shared" si="7"/>
        <v>38.799999999999997</v>
      </c>
      <c r="B502" s="389">
        <v>41692</v>
      </c>
      <c r="C502" s="390" t="s">
        <v>1099</v>
      </c>
      <c r="D502" s="390" t="s">
        <v>899</v>
      </c>
      <c r="E502" s="390" t="s">
        <v>380</v>
      </c>
      <c r="F502" s="390" t="s">
        <v>27</v>
      </c>
      <c r="G502" s="390" t="s">
        <v>1017</v>
      </c>
      <c r="H502" s="261"/>
      <c r="I502" s="261"/>
      <c r="J502" s="261"/>
      <c r="K502" s="261"/>
      <c r="L502" s="261"/>
      <c r="M502" s="261"/>
      <c r="N502" s="261"/>
      <c r="O502" s="261"/>
      <c r="P502" s="261"/>
      <c r="Q502" s="261"/>
      <c r="R502" s="261"/>
      <c r="S502" s="261"/>
      <c r="T502" s="261"/>
      <c r="U502" s="261">
        <v>58</v>
      </c>
      <c r="V502" s="762"/>
      <c r="W502" s="261"/>
      <c r="X502" s="261"/>
      <c r="Y502" s="264">
        <f>IF(NFI_Expiration=1,IF($A502&lt;VLOOKUP(H$5,NFI,5,0),1,0)*Table_NFI[[#This Row],[Hygiene Kit]],Table_NFI[Hygiene Kit])</f>
        <v>0</v>
      </c>
      <c r="Z502" s="264">
        <f>IF(NFI_Expiration=1,IF($A502&lt;VLOOKUP(I$5,NFI,5,0),1,0)*Table_NFI[[#This Row],[NFI Core Kit]],Table_NFI[NFI Core Kit])</f>
        <v>0</v>
      </c>
      <c r="AA502" s="264">
        <f>IF(NFI_Expiration=1,IF($A502&lt;VLOOKUP(J$5,NFI,5,0),1,0)*Table_NFI[[#This Row],[Sanitary Kit]],Table_NFI[Sanitary Kit])</f>
        <v>0</v>
      </c>
      <c r="AB502" s="264">
        <f>IF(NFI_Expiration=1,IF($A502&lt;VLOOKUP(K$5,NFI,5,0),1,0)*Table_NFI[[#This Row],[Mosquito net]],Table_NFI[Mosquito net])</f>
        <v>0</v>
      </c>
      <c r="AC502" s="264">
        <f>IF(NFI_Expiration=1,IF($A502&lt;VLOOKUP(L$5,NFI,5,0),1,0)*Table_NFI[[#This Row],[Tarpaulin]],Table_NFI[[#This Row],[Tarpaulin]])</f>
        <v>0</v>
      </c>
      <c r="AD502" s="264">
        <f>IF(NFI_Expiration=1,IF($A502&lt;VLOOKUP(M$5,NFI,5,0),1,0)*Table_NFI[[#This Row],[Blanket]],Table_NFI[[#This Row],[Blanket]])</f>
        <v>0</v>
      </c>
      <c r="AE502" s="264">
        <f>IF(NFI_Expiration=1,IF($A502&lt;VLOOKUP(N$5,NFI,5,0),1,0)*Table_NFI[[#This Row],[Kitchen Set]],Table_NFI[Kitchen Set])</f>
        <v>0</v>
      </c>
      <c r="AF502" s="264">
        <f>IF(NFI_Expiration=1,IF($A502&lt;VLOOKUP(O$5,NFI,5,0),1,0)*Table_NFI[[#This Row],[Clothes Kit]],Table_NFI[Clothes Kit])</f>
        <v>0</v>
      </c>
      <c r="AG502" s="264">
        <f>IF(NFI_Expiration=1,IF($A502&lt;VLOOKUP(P$5,NFI,5,0),1,0)*Table_NFI[[#This Row],[Plastic Bucket]],Table_NFI[Plastic Bucket])</f>
        <v>0</v>
      </c>
      <c r="AH502" s="264">
        <f>IF(NFI_Expiration=1,IF($A502&lt;VLOOKUP(Q$5,NFI,5,0),1,0)*Table_NFI[[#This Row],[Plastic Mat]],Table_NFI[Plastic Mat])*IF(Table_NFI[[#This Row],[Distribution Date]]&gt;"2014-04-01",1,2.5)</f>
        <v>0</v>
      </c>
      <c r="AI502" s="264">
        <f>IF(NFI_Expiration=1,IF($A502&lt;VLOOKUP(R$5,NFI,5,0),1,0)*Table_NFI[[#This Row],[Winter Clothes Adult]],Table_NFI[Winter Clothes Adult])</f>
        <v>0</v>
      </c>
      <c r="AJ502" s="264">
        <f>IF(NFI_Expiration=1,IF($A502&lt;VLOOKUP(S$5,NFI,5,0),1,0)*Table_NFI[[#This Row],[Winter Clothes Children]],Table_NFI[Winter Clothes Children])</f>
        <v>0</v>
      </c>
      <c r="AK502" s="264">
        <f>IF(NFI_Expiration=1,IF($A502&lt;VLOOKUP(T$5,NFI,5,0),1,0)*Table_NFI[[#This Row],[Winter Items Other]],Table_NFI[Winter Items Other])</f>
        <v>0</v>
      </c>
      <c r="AL502" s="264">
        <f>IF(NFI_Expiration=1,IF($A502&lt;VLOOKUP(M$5,NFI,5,0),1,0)*Table_NFI[[#This Row],[Winter Blanket]],Table_NFI[[#This Row],[Winter Blanket]])</f>
        <v>0</v>
      </c>
      <c r="AM502" s="264">
        <f>IF(Table_NFI[[#This Row],[Winter Clothes Adult]]+Table_NFI[[#This Row],[Winter Clothes Children]]+Table_NFI[[#This Row],[Winter Items Other]]+Table_NFI[[#This Row],[Winter Blanket]]&gt;0,1,0)</f>
        <v>1</v>
      </c>
      <c r="AN502" s="296">
        <f>IF(NFI_Expiration=1,IF($A502&lt;VLOOKUP(V$5,NFI,5,0),1,0)*Table_NFI[[#This Row],[Jerry Can]],Table_NFI[Jerry Can])</f>
        <v>0</v>
      </c>
      <c r="AO502" s="296">
        <f>IF(NFI_Expiration=1,IF($A502&lt;VLOOKUP(V$5,NFI,5,0),1,0)*Table_NFI[[#This Row],[Shelter Tool kit]],Table_NFI[Shelter Tool kit])</f>
        <v>0</v>
      </c>
      <c r="AP502" s="296">
        <f>IF(NFI_Expiration=1,IF($A502&lt;VLOOKUP(V$5,NFI,5,0),1,0)*Table_NFI[[#This Row],[Tent]],Table_NFI[Tent])</f>
        <v>0</v>
      </c>
      <c r="AQ502" s="396" t="str">
        <f>IFERROR(VLOOKUP(Table_NFI[[#This Row],[Camp Name]],CL,2,0),"")</f>
        <v>MMR001CMP225</v>
      </c>
      <c r="AR502" s="702">
        <f ca="1">IF(Table_NFI[[#This Row],[Pcode]]="","",IF(OFFSET(CampList[Opening Date],MATCH(Table_NFI[[#This Row],[Pcode]],CampList[CP_Pcode],0)-1,0,1,1)&gt;=NFI_Monitor_Date,1,0))</f>
        <v>0</v>
      </c>
      <c r="AS502" s="396" t="str">
        <f>IFERROR(VLOOKUP(Table_NFI[[#This Row],[Camp Name]],CL,3,0),"")</f>
        <v>Open</v>
      </c>
      <c r="AT502" s="264" t="str">
        <f ca="1">IF(Table_NFI[[#This Row],[Pcode]]="","",OFFSET(CampList[Priority],MATCH(Table_NFI[[#This Row],[Pcode]],CampList[CP_Pcode],0)-1,0,1,1))</f>
        <v>P1</v>
      </c>
      <c r="AU502" s="263">
        <f>IFERROR(Table_NFI[[#This Row],[Kitchen Set]]/VLOOKUP(Table_NFI[[#This Row],[Camp Name]],CL,4,0),"")</f>
        <v>0</v>
      </c>
      <c r="AV502" s="390"/>
      <c r="AW502" s="392"/>
      <c r="AX502" s="399"/>
      <c r="AY502" s="399"/>
      <c r="AZ502" s="399"/>
      <c r="BA502" s="399"/>
      <c r="BB502" s="399"/>
      <c r="BC502" s="399"/>
      <c r="BD502" s="399"/>
      <c r="BE502" s="399"/>
      <c r="BF502" s="399"/>
      <c r="BG502" s="399"/>
      <c r="BH502" s="399"/>
      <c r="BI502" s="399"/>
      <c r="BJ502" s="399"/>
      <c r="BK502" s="399"/>
      <c r="BL502" s="399"/>
      <c r="BM502" s="399"/>
      <c r="BN502" s="399"/>
      <c r="BO502" s="399"/>
      <c r="BP502" s="399"/>
      <c r="BQ502" s="399"/>
      <c r="BR502" s="399"/>
      <c r="BS502" s="399"/>
      <c r="BT502" s="399"/>
      <c r="BU502" s="399"/>
      <c r="BV502" s="399"/>
      <c r="BW502" s="399"/>
      <c r="BX502" s="399"/>
      <c r="BY502" s="399"/>
      <c r="BZ502" s="399"/>
      <c r="CA502" s="399"/>
      <c r="CB502" s="399"/>
      <c r="CC502" s="399"/>
      <c r="CD502" s="399"/>
      <c r="CE502" s="399"/>
      <c r="CF502" s="399"/>
      <c r="CG502" s="399"/>
      <c r="CH502" s="399"/>
      <c r="CI502" s="399"/>
      <c r="CJ502" s="399"/>
      <c r="CK502" s="399"/>
      <c r="CL502" s="399"/>
      <c r="CM502" s="399"/>
      <c r="CN502" s="399"/>
      <c r="CO502" s="399"/>
      <c r="CP502" s="399"/>
      <c r="CQ502" s="399"/>
      <c r="CR502" s="399"/>
      <c r="CS502" s="399"/>
      <c r="CT502" s="399"/>
      <c r="CU502" s="399"/>
      <c r="CV502" s="399"/>
      <c r="CW502" s="399"/>
      <c r="CX502" s="399"/>
      <c r="CY502" s="399"/>
      <c r="CZ502" s="399"/>
      <c r="DA502" s="399"/>
      <c r="DB502" s="399"/>
      <c r="DC502" s="399"/>
      <c r="DD502" s="399"/>
      <c r="DE502" s="399"/>
      <c r="DF502" s="399"/>
      <c r="DG502" s="399"/>
      <c r="DH502" s="399"/>
      <c r="DI502" s="399"/>
      <c r="DJ502" s="399"/>
      <c r="DK502" s="399"/>
      <c r="DL502" s="399"/>
      <c r="DM502" s="399"/>
      <c r="DN502" s="399"/>
      <c r="DO502" s="399"/>
      <c r="DP502" s="399"/>
      <c r="DQ502" s="399"/>
    </row>
    <row r="503" spans="1:121" s="760" customFormat="1" ht="15" customHeight="1" x14ac:dyDescent="0.25">
      <c r="A503" s="266">
        <f t="shared" si="7"/>
        <v>38.799999999999997</v>
      </c>
      <c r="B503" s="389">
        <v>41692</v>
      </c>
      <c r="C503" s="390" t="s">
        <v>1099</v>
      </c>
      <c r="D503" s="390" t="s">
        <v>899</v>
      </c>
      <c r="E503" s="390" t="s">
        <v>380</v>
      </c>
      <c r="F503" s="390" t="s">
        <v>807</v>
      </c>
      <c r="G503" s="390" t="s">
        <v>807</v>
      </c>
      <c r="H503" s="261"/>
      <c r="I503" s="261"/>
      <c r="J503" s="261"/>
      <c r="K503" s="261"/>
      <c r="L503" s="261"/>
      <c r="M503" s="261"/>
      <c r="N503" s="261"/>
      <c r="O503" s="261"/>
      <c r="P503" s="261"/>
      <c r="Q503" s="261"/>
      <c r="R503" s="261"/>
      <c r="S503" s="261"/>
      <c r="T503" s="261"/>
      <c r="U503" s="261">
        <v>16</v>
      </c>
      <c r="V503" s="762"/>
      <c r="W503" s="261"/>
      <c r="X503" s="261"/>
      <c r="Y503" s="264">
        <f>IF(NFI_Expiration=1,IF($A503&lt;VLOOKUP(H$5,NFI,5,0),1,0)*Table_NFI[[#This Row],[Hygiene Kit]],Table_NFI[Hygiene Kit])</f>
        <v>0</v>
      </c>
      <c r="Z503" s="264">
        <f>IF(NFI_Expiration=1,IF($A503&lt;VLOOKUP(I$5,NFI,5,0),1,0)*Table_NFI[[#This Row],[NFI Core Kit]],Table_NFI[NFI Core Kit])</f>
        <v>0</v>
      </c>
      <c r="AA503" s="264">
        <f>IF(NFI_Expiration=1,IF($A503&lt;VLOOKUP(J$5,NFI,5,0),1,0)*Table_NFI[[#This Row],[Sanitary Kit]],Table_NFI[Sanitary Kit])</f>
        <v>0</v>
      </c>
      <c r="AB503" s="264">
        <f>IF(NFI_Expiration=1,IF($A503&lt;VLOOKUP(K$5,NFI,5,0),1,0)*Table_NFI[[#This Row],[Mosquito net]],Table_NFI[Mosquito net])</f>
        <v>0</v>
      </c>
      <c r="AC503" s="264">
        <f>IF(NFI_Expiration=1,IF($A503&lt;VLOOKUP(L$5,NFI,5,0),1,0)*Table_NFI[[#This Row],[Tarpaulin]],Table_NFI[[#This Row],[Tarpaulin]])</f>
        <v>0</v>
      </c>
      <c r="AD503" s="264">
        <f>IF(NFI_Expiration=1,IF($A503&lt;VLOOKUP(M$5,NFI,5,0),1,0)*Table_NFI[[#This Row],[Blanket]],Table_NFI[[#This Row],[Blanket]])</f>
        <v>0</v>
      </c>
      <c r="AE503" s="264">
        <f>IF(NFI_Expiration=1,IF($A503&lt;VLOOKUP(N$5,NFI,5,0),1,0)*Table_NFI[[#This Row],[Kitchen Set]],Table_NFI[Kitchen Set])</f>
        <v>0</v>
      </c>
      <c r="AF503" s="264">
        <f>IF(NFI_Expiration=1,IF($A503&lt;VLOOKUP(O$5,NFI,5,0),1,0)*Table_NFI[[#This Row],[Clothes Kit]],Table_NFI[Clothes Kit])</f>
        <v>0</v>
      </c>
      <c r="AG503" s="264">
        <f>IF(NFI_Expiration=1,IF($A503&lt;VLOOKUP(P$5,NFI,5,0),1,0)*Table_NFI[[#This Row],[Plastic Bucket]],Table_NFI[Plastic Bucket])</f>
        <v>0</v>
      </c>
      <c r="AH503" s="264">
        <f>IF(NFI_Expiration=1,IF($A503&lt;VLOOKUP(Q$5,NFI,5,0),1,0)*Table_NFI[[#This Row],[Plastic Mat]],Table_NFI[Plastic Mat])*IF(Table_NFI[[#This Row],[Distribution Date]]&gt;"2014-04-01",1,2.5)</f>
        <v>0</v>
      </c>
      <c r="AI503" s="264">
        <f>IF(NFI_Expiration=1,IF($A503&lt;VLOOKUP(R$5,NFI,5,0),1,0)*Table_NFI[[#This Row],[Winter Clothes Adult]],Table_NFI[Winter Clothes Adult])</f>
        <v>0</v>
      </c>
      <c r="AJ503" s="264">
        <f>IF(NFI_Expiration=1,IF($A503&lt;VLOOKUP(S$5,NFI,5,0),1,0)*Table_NFI[[#This Row],[Winter Clothes Children]],Table_NFI[Winter Clothes Children])</f>
        <v>0</v>
      </c>
      <c r="AK503" s="264">
        <f>IF(NFI_Expiration=1,IF($A503&lt;VLOOKUP(T$5,NFI,5,0),1,0)*Table_NFI[[#This Row],[Winter Items Other]],Table_NFI[Winter Items Other])</f>
        <v>0</v>
      </c>
      <c r="AL503" s="264">
        <f>IF(NFI_Expiration=1,IF($A503&lt;VLOOKUP(M$5,NFI,5,0),1,0)*Table_NFI[[#This Row],[Winter Blanket]],Table_NFI[[#This Row],[Winter Blanket]])</f>
        <v>0</v>
      </c>
      <c r="AM503" s="264">
        <f>IF(Table_NFI[[#This Row],[Winter Clothes Adult]]+Table_NFI[[#This Row],[Winter Clothes Children]]+Table_NFI[[#This Row],[Winter Items Other]]+Table_NFI[[#This Row],[Winter Blanket]]&gt;0,1,0)</f>
        <v>1</v>
      </c>
      <c r="AN503" s="296">
        <f>IF(NFI_Expiration=1,IF($A503&lt;VLOOKUP(V$5,NFI,5,0),1,0)*Table_NFI[[#This Row],[Jerry Can]],Table_NFI[Jerry Can])</f>
        <v>0</v>
      </c>
      <c r="AO503" s="296">
        <f>IF(NFI_Expiration=1,IF($A503&lt;VLOOKUP(V$5,NFI,5,0),1,0)*Table_NFI[[#This Row],[Shelter Tool kit]],Table_NFI[Shelter Tool kit])</f>
        <v>0</v>
      </c>
      <c r="AP503" s="296">
        <f>IF(NFI_Expiration=1,IF($A503&lt;VLOOKUP(V$5,NFI,5,0),1,0)*Table_NFI[[#This Row],[Tent]],Table_NFI[Tent])</f>
        <v>0</v>
      </c>
      <c r="AQ503" s="396" t="str">
        <f>IFERROR(VLOOKUP(Table_NFI[[#This Row],[Camp Name]],CL,2,0),"")</f>
        <v>MMR001CMP206</v>
      </c>
      <c r="AR503" s="702">
        <f ca="1">IF(Table_NFI[[#This Row],[Pcode]]="","",IF(OFFSET(CampList[Opening Date],MATCH(Table_NFI[[#This Row],[Pcode]],CampList[CP_Pcode],0)-1,0,1,1)&gt;=NFI_Monitor_Date,1,0))</f>
        <v>0</v>
      </c>
      <c r="AS503" s="396" t="str">
        <f>IFERROR(VLOOKUP(Table_NFI[[#This Row],[Camp Name]],CL,3,0),"")</f>
        <v>Open</v>
      </c>
      <c r="AT503" s="264" t="str">
        <f ca="1">IF(Table_NFI[[#This Row],[Pcode]]="","",OFFSET(CampList[Priority],MATCH(Table_NFI[[#This Row],[Pcode]],CampList[CP_Pcode],0)-1,0,1,1))</f>
        <v>P4</v>
      </c>
      <c r="AU503" s="263" t="str">
        <f>IFERROR(Table_NFI[[#This Row],[Kitchen Set]]/VLOOKUP(Table_NFI[[#This Row],[Camp Name]],CL,4,0),"")</f>
        <v/>
      </c>
      <c r="AV503" s="390"/>
      <c r="AW503" s="392"/>
      <c r="AX503" s="399"/>
      <c r="AY503" s="399"/>
      <c r="AZ503" s="399"/>
      <c r="BA503" s="399"/>
      <c r="BB503" s="399"/>
      <c r="BC503" s="399"/>
      <c r="BD503" s="399"/>
      <c r="BE503" s="399"/>
      <c r="BF503" s="399"/>
      <c r="BG503" s="399"/>
      <c r="BH503" s="399"/>
      <c r="BI503" s="399"/>
      <c r="BJ503" s="399"/>
      <c r="BK503" s="399"/>
      <c r="BL503" s="399"/>
      <c r="BM503" s="399"/>
      <c r="BN503" s="399"/>
      <c r="BO503" s="399"/>
      <c r="BP503" s="399"/>
      <c r="BQ503" s="399"/>
      <c r="BR503" s="399"/>
      <c r="BS503" s="399"/>
      <c r="BT503" s="399"/>
      <c r="BU503" s="399"/>
      <c r="BV503" s="399"/>
      <c r="BW503" s="399"/>
      <c r="BX503" s="399"/>
      <c r="BY503" s="399"/>
      <c r="BZ503" s="399"/>
      <c r="CA503" s="399"/>
      <c r="CB503" s="399"/>
      <c r="CC503" s="399"/>
      <c r="CD503" s="399"/>
      <c r="CE503" s="399"/>
      <c r="CF503" s="399"/>
      <c r="CG503" s="399"/>
      <c r="CH503" s="399"/>
      <c r="CI503" s="399"/>
      <c r="CJ503" s="399"/>
      <c r="CK503" s="399"/>
      <c r="CL503" s="399"/>
      <c r="CM503" s="399"/>
      <c r="CN503" s="399"/>
      <c r="CO503" s="399"/>
      <c r="CP503" s="399"/>
      <c r="CQ503" s="399"/>
      <c r="CR503" s="399"/>
      <c r="CS503" s="399"/>
      <c r="CT503" s="399"/>
      <c r="CU503" s="399"/>
      <c r="CV503" s="399"/>
      <c r="CW503" s="399"/>
      <c r="CX503" s="399"/>
      <c r="CY503" s="399"/>
      <c r="CZ503" s="399"/>
      <c r="DA503" s="399"/>
      <c r="DB503" s="399"/>
      <c r="DC503" s="399"/>
      <c r="DD503" s="399"/>
      <c r="DE503" s="399"/>
      <c r="DF503" s="399"/>
      <c r="DG503" s="399"/>
      <c r="DH503" s="399"/>
      <c r="DI503" s="399"/>
      <c r="DJ503" s="399"/>
      <c r="DK503" s="399"/>
      <c r="DL503" s="399"/>
      <c r="DM503" s="399"/>
      <c r="DN503" s="399"/>
      <c r="DO503" s="399"/>
      <c r="DP503" s="399"/>
      <c r="DQ503" s="399"/>
    </row>
    <row r="504" spans="1:121" s="760" customFormat="1" ht="15" customHeight="1" x14ac:dyDescent="0.25">
      <c r="A504" s="266">
        <f t="shared" si="7"/>
        <v>39.6</v>
      </c>
      <c r="B504" s="389">
        <v>41668</v>
      </c>
      <c r="C504" s="390" t="s">
        <v>451</v>
      </c>
      <c r="D504" s="391" t="s">
        <v>451</v>
      </c>
      <c r="E504" s="390" t="s">
        <v>380</v>
      </c>
      <c r="F504" s="262" t="s">
        <v>151</v>
      </c>
      <c r="G504" s="262" t="s">
        <v>884</v>
      </c>
      <c r="H504" s="261"/>
      <c r="I504" s="261"/>
      <c r="J504" s="261"/>
      <c r="K504" s="261">
        <v>100</v>
      </c>
      <c r="L504" s="261">
        <v>58</v>
      </c>
      <c r="M504" s="261">
        <v>100</v>
      </c>
      <c r="N504" s="261">
        <v>58</v>
      </c>
      <c r="O504" s="261"/>
      <c r="P504" s="261">
        <v>58</v>
      </c>
      <c r="Q504" s="261">
        <v>290</v>
      </c>
      <c r="R504" s="261"/>
      <c r="S504" s="261"/>
      <c r="T504" s="261"/>
      <c r="U504" s="261"/>
      <c r="V504" s="762"/>
      <c r="W504" s="261"/>
      <c r="X504" s="261"/>
      <c r="Y504" s="264">
        <f>IF(NFI_Expiration=1,IF($A504&lt;VLOOKUP(H$5,NFI,5,0),1,0)*Table_NFI[[#This Row],[Hygiene Kit]],Table_NFI[Hygiene Kit])</f>
        <v>0</v>
      </c>
      <c r="Z504" s="264">
        <f>IF(NFI_Expiration=1,IF($A504&lt;VLOOKUP(I$5,NFI,5,0),1,0)*Table_NFI[[#This Row],[NFI Core Kit]],Table_NFI[NFI Core Kit])</f>
        <v>0</v>
      </c>
      <c r="AA504" s="264">
        <f>IF(NFI_Expiration=1,IF($A504&lt;VLOOKUP(J$5,NFI,5,0),1,0)*Table_NFI[[#This Row],[Sanitary Kit]],Table_NFI[Sanitary Kit])</f>
        <v>0</v>
      </c>
      <c r="AB504" s="264">
        <f>IF(NFI_Expiration=1,IF($A504&lt;VLOOKUP(K$5,NFI,5,0),1,0)*Table_NFI[[#This Row],[Mosquito net]],Table_NFI[Mosquito net])</f>
        <v>0</v>
      </c>
      <c r="AC504" s="264">
        <f>IF(NFI_Expiration=1,IF($A504&lt;VLOOKUP(L$5,NFI,5,0),1,0)*Table_NFI[[#This Row],[Tarpaulin]],Table_NFI[[#This Row],[Tarpaulin]])</f>
        <v>0</v>
      </c>
      <c r="AD504" s="264">
        <f>IF(NFI_Expiration=1,IF($A504&lt;VLOOKUP(M$5,NFI,5,0),1,0)*Table_NFI[[#This Row],[Blanket]],Table_NFI[[#This Row],[Blanket]])</f>
        <v>0</v>
      </c>
      <c r="AE504" s="264">
        <f>IF(NFI_Expiration=1,IF($A504&lt;VLOOKUP(N$5,NFI,5,0),1,0)*Table_NFI[[#This Row],[Kitchen Set]],Table_NFI[Kitchen Set])</f>
        <v>0</v>
      </c>
      <c r="AF504" s="264">
        <f>IF(NFI_Expiration=1,IF($A504&lt;VLOOKUP(O$5,NFI,5,0),1,0)*Table_NFI[[#This Row],[Clothes Kit]],Table_NFI[Clothes Kit])</f>
        <v>0</v>
      </c>
      <c r="AG504" s="264">
        <f>IF(NFI_Expiration=1,IF($A504&lt;VLOOKUP(P$5,NFI,5,0),1,0)*Table_NFI[[#This Row],[Plastic Bucket]],Table_NFI[Plastic Bucket])</f>
        <v>0</v>
      </c>
      <c r="AH504" s="264">
        <f>IF(NFI_Expiration=1,IF($A504&lt;VLOOKUP(Q$5,NFI,5,0),1,0)*Table_NFI[[#This Row],[Plastic Mat]],Table_NFI[Plastic Mat])*IF(Table_NFI[[#This Row],[Distribution Date]]&gt;"2014-04-01",1,2.5)</f>
        <v>0</v>
      </c>
      <c r="AI504" s="264">
        <f>IF(NFI_Expiration=1,IF($A504&lt;VLOOKUP(R$5,NFI,5,0),1,0)*Table_NFI[[#This Row],[Winter Clothes Adult]],Table_NFI[Winter Clothes Adult])</f>
        <v>0</v>
      </c>
      <c r="AJ504" s="264">
        <f>IF(NFI_Expiration=1,IF($A504&lt;VLOOKUP(S$5,NFI,5,0),1,0)*Table_NFI[[#This Row],[Winter Clothes Children]],Table_NFI[Winter Clothes Children])</f>
        <v>0</v>
      </c>
      <c r="AK504" s="264">
        <f>IF(NFI_Expiration=1,IF($A504&lt;VLOOKUP(T$5,NFI,5,0),1,0)*Table_NFI[[#This Row],[Winter Items Other]],Table_NFI[Winter Items Other])</f>
        <v>0</v>
      </c>
      <c r="AL504" s="264">
        <f>IF(NFI_Expiration=1,IF($A504&lt;VLOOKUP(M$5,NFI,5,0),1,0)*Table_NFI[[#This Row],[Winter Blanket]],Table_NFI[[#This Row],[Winter Blanket]])</f>
        <v>0</v>
      </c>
      <c r="AM504" s="264">
        <f>IF(Table_NFI[[#This Row],[Winter Clothes Adult]]+Table_NFI[[#This Row],[Winter Clothes Children]]+Table_NFI[[#This Row],[Winter Items Other]]+Table_NFI[[#This Row],[Winter Blanket]]&gt;0,1,0)</f>
        <v>0</v>
      </c>
      <c r="AN504" s="296">
        <f>IF(NFI_Expiration=1,IF($A504&lt;VLOOKUP(V$5,NFI,5,0),1,0)*Table_NFI[[#This Row],[Jerry Can]],Table_NFI[Jerry Can])</f>
        <v>0</v>
      </c>
      <c r="AO504" s="296">
        <f>IF(NFI_Expiration=1,IF($A504&lt;VLOOKUP(V$5,NFI,5,0),1,0)*Table_NFI[[#This Row],[Shelter Tool kit]],Table_NFI[Shelter Tool kit])</f>
        <v>0</v>
      </c>
      <c r="AP504" s="296">
        <f>IF(NFI_Expiration=1,IF($A504&lt;VLOOKUP(V$5,NFI,5,0),1,0)*Table_NFI[[#This Row],[Tent]],Table_NFI[Tent])</f>
        <v>0</v>
      </c>
      <c r="AQ504" s="396" t="str">
        <f>IFERROR(VLOOKUP(Table_NFI[[#This Row],[Camp Name]],CL,2,0),"")</f>
        <v>MMR001CMP218</v>
      </c>
      <c r="AR504" s="702">
        <f ca="1">IF(Table_NFI[[#This Row],[Pcode]]="","",IF(OFFSET(CampList[Opening Date],MATCH(Table_NFI[[#This Row],[Pcode]],CampList[CP_Pcode],0)-1,0,1,1)&gt;=NFI_Monitor_Date,1,0))</f>
        <v>0</v>
      </c>
      <c r="AS504" s="396" t="str">
        <f>IFERROR(VLOOKUP(Table_NFI[[#This Row],[Camp Name]],CL,3,0),"")</f>
        <v>Open</v>
      </c>
      <c r="AT504" s="264" t="str">
        <f ca="1">IF(Table_NFI[[#This Row],[Pcode]]="","",OFFSET(CampList[Priority],MATCH(Table_NFI[[#This Row],[Pcode]],CampList[CP_Pcode],0)-1,0,1,1))</f>
        <v>P4</v>
      </c>
      <c r="AU504" s="263">
        <f>IFERROR(Table_NFI[[#This Row],[Kitchen Set]]/VLOOKUP(Table_NFI[[#This Row],[Camp Name]],CL,4,0),"")</f>
        <v>1.3959757389043997E-3</v>
      </c>
      <c r="AV504" s="390" t="s">
        <v>1087</v>
      </c>
      <c r="AW504" s="392"/>
      <c r="AX504" s="399"/>
      <c r="AY504" s="399"/>
      <c r="AZ504" s="399"/>
      <c r="BA504" s="399"/>
      <c r="BB504" s="399"/>
      <c r="BC504" s="399"/>
      <c r="BD504" s="399"/>
      <c r="BE504" s="399"/>
      <c r="BF504" s="399"/>
      <c r="BG504" s="399"/>
      <c r="BH504" s="399"/>
      <c r="BI504" s="399"/>
      <c r="BJ504" s="399"/>
      <c r="BK504" s="399"/>
      <c r="BL504" s="399"/>
      <c r="BM504" s="399"/>
      <c r="BN504" s="399"/>
      <c r="BO504" s="399"/>
      <c r="BP504" s="399"/>
      <c r="BQ504" s="399"/>
      <c r="BR504" s="399"/>
      <c r="BS504" s="399"/>
      <c r="BT504" s="399"/>
      <c r="BU504" s="399"/>
      <c r="BV504" s="399"/>
      <c r="BW504" s="399"/>
      <c r="BX504" s="399"/>
      <c r="BY504" s="399"/>
      <c r="BZ504" s="399"/>
      <c r="CA504" s="399"/>
      <c r="CB504" s="399"/>
      <c r="CC504" s="399"/>
      <c r="CD504" s="399"/>
      <c r="CE504" s="399"/>
      <c r="CF504" s="399"/>
      <c r="CG504" s="399"/>
      <c r="CH504" s="399"/>
      <c r="CI504" s="399"/>
      <c r="CJ504" s="399"/>
      <c r="CK504" s="399"/>
      <c r="CL504" s="399"/>
      <c r="CM504" s="399"/>
      <c r="CN504" s="399"/>
      <c r="CO504" s="399"/>
      <c r="CP504" s="399"/>
      <c r="CQ504" s="399"/>
      <c r="CR504" s="399"/>
      <c r="CS504" s="399"/>
      <c r="CT504" s="399"/>
      <c r="CU504" s="399"/>
      <c r="CV504" s="399"/>
      <c r="CW504" s="399"/>
      <c r="CX504" s="399"/>
      <c r="CY504" s="399"/>
      <c r="CZ504" s="399"/>
      <c r="DA504" s="399"/>
      <c r="DB504" s="399"/>
      <c r="DC504" s="399"/>
      <c r="DD504" s="399"/>
      <c r="DE504" s="399"/>
      <c r="DF504" s="399"/>
      <c r="DG504" s="399"/>
      <c r="DH504" s="399"/>
      <c r="DI504" s="399"/>
      <c r="DJ504" s="399"/>
      <c r="DK504" s="399"/>
      <c r="DL504" s="399"/>
      <c r="DM504" s="399"/>
      <c r="DN504" s="399"/>
      <c r="DO504" s="399"/>
      <c r="DP504" s="399"/>
      <c r="DQ504" s="399"/>
    </row>
    <row r="505" spans="1:121" s="760" customFormat="1" ht="15" customHeight="1" x14ac:dyDescent="0.25">
      <c r="A505" s="266">
        <f t="shared" si="7"/>
        <v>39.633333333333333</v>
      </c>
      <c r="B505" s="389">
        <v>41667</v>
      </c>
      <c r="C505" s="390" t="s">
        <v>451</v>
      </c>
      <c r="D505" s="394"/>
      <c r="E505" s="390" t="s">
        <v>380</v>
      </c>
      <c r="F505" s="390" t="s">
        <v>151</v>
      </c>
      <c r="G505" s="390" t="s">
        <v>941</v>
      </c>
      <c r="H505" s="261"/>
      <c r="I505" s="261"/>
      <c r="J505" s="261"/>
      <c r="K505" s="261">
        <v>18</v>
      </c>
      <c r="L505" s="261">
        <v>10</v>
      </c>
      <c r="M505" s="261">
        <v>18</v>
      </c>
      <c r="N505" s="261">
        <v>40</v>
      </c>
      <c r="O505" s="261"/>
      <c r="P505" s="261">
        <v>10</v>
      </c>
      <c r="Q505" s="261">
        <v>50</v>
      </c>
      <c r="R505" s="261"/>
      <c r="S505" s="261"/>
      <c r="T505" s="261"/>
      <c r="U505" s="261"/>
      <c r="V505" s="762"/>
      <c r="W505" s="261"/>
      <c r="X505" s="261"/>
      <c r="Y505" s="264">
        <f>IF(NFI_Expiration=1,IF($A505&lt;VLOOKUP(H$5,NFI,5,0),1,0)*Table_NFI[[#This Row],[Hygiene Kit]],Table_NFI[Hygiene Kit])</f>
        <v>0</v>
      </c>
      <c r="Z505" s="264">
        <f>IF(NFI_Expiration=1,IF($A505&lt;VLOOKUP(I$5,NFI,5,0),1,0)*Table_NFI[[#This Row],[NFI Core Kit]],Table_NFI[NFI Core Kit])</f>
        <v>0</v>
      </c>
      <c r="AA505" s="264">
        <f>IF(NFI_Expiration=1,IF($A505&lt;VLOOKUP(J$5,NFI,5,0),1,0)*Table_NFI[[#This Row],[Sanitary Kit]],Table_NFI[Sanitary Kit])</f>
        <v>0</v>
      </c>
      <c r="AB505" s="264">
        <f>IF(NFI_Expiration=1,IF($A505&lt;VLOOKUP(K$5,NFI,5,0),1,0)*Table_NFI[[#This Row],[Mosquito net]],Table_NFI[Mosquito net])</f>
        <v>0</v>
      </c>
      <c r="AC505" s="264">
        <f>IF(NFI_Expiration=1,IF($A505&lt;VLOOKUP(L$5,NFI,5,0),1,0)*Table_NFI[[#This Row],[Tarpaulin]],Table_NFI[[#This Row],[Tarpaulin]])</f>
        <v>0</v>
      </c>
      <c r="AD505" s="264">
        <f>IF(NFI_Expiration=1,IF($A505&lt;VLOOKUP(M$5,NFI,5,0),1,0)*Table_NFI[[#This Row],[Blanket]],Table_NFI[[#This Row],[Blanket]])</f>
        <v>0</v>
      </c>
      <c r="AE505" s="264">
        <f>IF(NFI_Expiration=1,IF($A505&lt;VLOOKUP(N$5,NFI,5,0),1,0)*Table_NFI[[#This Row],[Kitchen Set]],Table_NFI[Kitchen Set])</f>
        <v>0</v>
      </c>
      <c r="AF505" s="264">
        <f>IF(NFI_Expiration=1,IF($A505&lt;VLOOKUP(O$5,NFI,5,0),1,0)*Table_NFI[[#This Row],[Clothes Kit]],Table_NFI[Clothes Kit])</f>
        <v>0</v>
      </c>
      <c r="AG505" s="264">
        <f>IF(NFI_Expiration=1,IF($A505&lt;VLOOKUP(P$5,NFI,5,0),1,0)*Table_NFI[[#This Row],[Plastic Bucket]],Table_NFI[Plastic Bucket])</f>
        <v>0</v>
      </c>
      <c r="AH505" s="264">
        <f>IF(NFI_Expiration=1,IF($A505&lt;VLOOKUP(Q$5,NFI,5,0),1,0)*Table_NFI[[#This Row],[Plastic Mat]],Table_NFI[Plastic Mat])*IF(Table_NFI[[#This Row],[Distribution Date]]&gt;"2014-04-01",1,2.5)</f>
        <v>0</v>
      </c>
      <c r="AI505" s="264">
        <f>IF(NFI_Expiration=1,IF($A505&lt;VLOOKUP(R$5,NFI,5,0),1,0)*Table_NFI[[#This Row],[Winter Clothes Adult]],Table_NFI[Winter Clothes Adult])</f>
        <v>0</v>
      </c>
      <c r="AJ505" s="264">
        <f>IF(NFI_Expiration=1,IF($A505&lt;VLOOKUP(S$5,NFI,5,0),1,0)*Table_NFI[[#This Row],[Winter Clothes Children]],Table_NFI[Winter Clothes Children])</f>
        <v>0</v>
      </c>
      <c r="AK505" s="264">
        <f>IF(NFI_Expiration=1,IF($A505&lt;VLOOKUP(T$5,NFI,5,0),1,0)*Table_NFI[[#This Row],[Winter Items Other]],Table_NFI[Winter Items Other])</f>
        <v>0</v>
      </c>
      <c r="AL505" s="264">
        <f>IF(NFI_Expiration=1,IF($A505&lt;VLOOKUP(M$5,NFI,5,0),1,0)*Table_NFI[[#This Row],[Winter Blanket]],Table_NFI[[#This Row],[Winter Blanket]])</f>
        <v>0</v>
      </c>
      <c r="AM505" s="264">
        <f>IF(Table_NFI[[#This Row],[Winter Clothes Adult]]+Table_NFI[[#This Row],[Winter Clothes Children]]+Table_NFI[[#This Row],[Winter Items Other]]+Table_NFI[[#This Row],[Winter Blanket]]&gt;0,1,0)</f>
        <v>0</v>
      </c>
      <c r="AN505" s="296">
        <f>IF(NFI_Expiration=1,IF($A505&lt;VLOOKUP(V$5,NFI,5,0),1,0)*Table_NFI[[#This Row],[Jerry Can]],Table_NFI[Jerry Can])</f>
        <v>0</v>
      </c>
      <c r="AO505" s="296">
        <f>IF(NFI_Expiration=1,IF($A505&lt;VLOOKUP(V$5,NFI,5,0),1,0)*Table_NFI[[#This Row],[Shelter Tool kit]],Table_NFI[Shelter Tool kit])</f>
        <v>0</v>
      </c>
      <c r="AP505" s="296">
        <f>IF(NFI_Expiration=1,IF($A505&lt;VLOOKUP(V$5,NFI,5,0),1,0)*Table_NFI[[#This Row],[Tent]],Table_NFI[Tent])</f>
        <v>0</v>
      </c>
      <c r="AQ505" s="396" t="str">
        <f>IFERROR(VLOOKUP(Table_NFI[[#This Row],[Camp Name]],CL,2,0),"")</f>
        <v>MMR001CMP223</v>
      </c>
      <c r="AR505" s="702">
        <f ca="1">IF(Table_NFI[[#This Row],[Pcode]]="","",IF(OFFSET(CampList[Opening Date],MATCH(Table_NFI[[#This Row],[Pcode]],CampList[CP_Pcode],0)-1,0,1,1)&gt;=NFI_Monitor_Date,1,0))</f>
        <v>0</v>
      </c>
      <c r="AS505" s="396" t="str">
        <f>IFERROR(VLOOKUP(Table_NFI[[#This Row],[Camp Name]],CL,3,0),"")</f>
        <v>Open</v>
      </c>
      <c r="AT505" s="264" t="str">
        <f ca="1">IF(Table_NFI[[#This Row],[Pcode]]="","",OFFSET(CampList[Priority],MATCH(Table_NFI[[#This Row],[Pcode]],CampList[CP_Pcode],0)-1,0,1,1))</f>
        <v>P4</v>
      </c>
      <c r="AU505" s="263">
        <f>IFERROR(Table_NFI[[#This Row],[Kitchen Set]]/VLOOKUP(Table_NFI[[#This Row],[Camp Name]],CL,4,0),"")</f>
        <v>9.6274188889958602E-4</v>
      </c>
      <c r="AV505" s="394"/>
      <c r="AW505" s="397"/>
      <c r="AX505" s="399"/>
      <c r="AY505" s="399"/>
      <c r="AZ505" s="399"/>
      <c r="BA505" s="399"/>
      <c r="BB505" s="399"/>
      <c r="BC505" s="399"/>
      <c r="BD505" s="399"/>
      <c r="BE505" s="399"/>
      <c r="BF505" s="399"/>
      <c r="BG505" s="399"/>
      <c r="BH505" s="399"/>
      <c r="BI505" s="399"/>
      <c r="BJ505" s="399"/>
      <c r="BK505" s="399"/>
      <c r="BL505" s="399"/>
      <c r="BM505" s="399"/>
      <c r="BN505" s="399"/>
      <c r="BO505" s="399"/>
      <c r="BP505" s="399"/>
      <c r="BQ505" s="399"/>
      <c r="BR505" s="399"/>
      <c r="BS505" s="399"/>
      <c r="BT505" s="399"/>
      <c r="BU505" s="399"/>
      <c r="BV505" s="399"/>
      <c r="BW505" s="399"/>
      <c r="BX505" s="399"/>
      <c r="BY505" s="399"/>
      <c r="BZ505" s="399"/>
      <c r="CA505" s="399"/>
      <c r="CB505" s="399"/>
      <c r="CC505" s="399"/>
      <c r="CD505" s="399"/>
      <c r="CE505" s="399"/>
      <c r="CF505" s="399"/>
      <c r="CG505" s="399"/>
      <c r="CH505" s="399"/>
      <c r="CI505" s="399"/>
      <c r="CJ505" s="399"/>
      <c r="CK505" s="399"/>
      <c r="CL505" s="399"/>
      <c r="CM505" s="399"/>
      <c r="CN505" s="399"/>
      <c r="CO505" s="399"/>
      <c r="CP505" s="399"/>
      <c r="CQ505" s="399"/>
      <c r="CR505" s="399"/>
      <c r="CS505" s="399"/>
      <c r="CT505" s="399"/>
      <c r="CU505" s="399"/>
      <c r="CV505" s="399"/>
      <c r="CW505" s="399"/>
      <c r="CX505" s="399"/>
      <c r="CY505" s="399"/>
      <c r="CZ505" s="399"/>
      <c r="DA505" s="399"/>
      <c r="DB505" s="399"/>
      <c r="DC505" s="399"/>
      <c r="DD505" s="399"/>
      <c r="DE505" s="399"/>
      <c r="DF505" s="399"/>
      <c r="DG505" s="399"/>
      <c r="DH505" s="399"/>
      <c r="DI505" s="399"/>
      <c r="DJ505" s="399"/>
      <c r="DK505" s="399"/>
      <c r="DL505" s="399"/>
      <c r="DM505" s="399"/>
      <c r="DN505" s="399"/>
      <c r="DO505" s="399"/>
      <c r="DP505" s="399"/>
      <c r="DQ505" s="399"/>
    </row>
    <row r="506" spans="1:121" s="760" customFormat="1" ht="14.45" customHeight="1" x14ac:dyDescent="0.25">
      <c r="A506" s="266">
        <f t="shared" si="7"/>
        <v>39.666666666666664</v>
      </c>
      <c r="B506" s="389">
        <v>41666</v>
      </c>
      <c r="C506" s="390" t="s">
        <v>1034</v>
      </c>
      <c r="D506" s="390" t="s">
        <v>459</v>
      </c>
      <c r="E506" s="390" t="s">
        <v>380</v>
      </c>
      <c r="F506" s="390" t="s">
        <v>310</v>
      </c>
      <c r="G506" s="390" t="s">
        <v>336</v>
      </c>
      <c r="H506" s="261"/>
      <c r="I506" s="261"/>
      <c r="J506" s="261"/>
      <c r="K506" s="261"/>
      <c r="L506" s="261"/>
      <c r="M506" s="261">
        <v>181</v>
      </c>
      <c r="N506" s="261">
        <v>181</v>
      </c>
      <c r="O506" s="261">
        <v>181</v>
      </c>
      <c r="P506" s="261"/>
      <c r="Q506" s="261">
        <v>181</v>
      </c>
      <c r="R506" s="261"/>
      <c r="S506" s="261"/>
      <c r="T506" s="261"/>
      <c r="U506" s="261"/>
      <c r="V506" s="762"/>
      <c r="W506" s="261"/>
      <c r="X506" s="261"/>
      <c r="Y506" s="264">
        <f>IF(NFI_Expiration=1,IF($A506&lt;VLOOKUP(H$5,NFI,5,0),1,0)*Table_NFI[[#This Row],[Hygiene Kit]],Table_NFI[Hygiene Kit])</f>
        <v>0</v>
      </c>
      <c r="Z506" s="264">
        <f>IF(NFI_Expiration=1,IF($A506&lt;VLOOKUP(I$5,NFI,5,0),1,0)*Table_NFI[[#This Row],[NFI Core Kit]],Table_NFI[NFI Core Kit])</f>
        <v>0</v>
      </c>
      <c r="AA506" s="264">
        <f>IF(NFI_Expiration=1,IF($A506&lt;VLOOKUP(J$5,NFI,5,0),1,0)*Table_NFI[[#This Row],[Sanitary Kit]],Table_NFI[Sanitary Kit])</f>
        <v>0</v>
      </c>
      <c r="AB506" s="264">
        <f>IF(NFI_Expiration=1,IF($A506&lt;VLOOKUP(K$5,NFI,5,0),1,0)*Table_NFI[[#This Row],[Mosquito net]],Table_NFI[Mosquito net])</f>
        <v>0</v>
      </c>
      <c r="AC506" s="264">
        <f>IF(NFI_Expiration=1,IF($A506&lt;VLOOKUP(L$5,NFI,5,0),1,0)*Table_NFI[[#This Row],[Tarpaulin]],Table_NFI[[#This Row],[Tarpaulin]])</f>
        <v>0</v>
      </c>
      <c r="AD506" s="264">
        <f>IF(NFI_Expiration=1,IF($A506&lt;VLOOKUP(M$5,NFI,5,0),1,0)*Table_NFI[[#This Row],[Blanket]],Table_NFI[[#This Row],[Blanket]])</f>
        <v>0</v>
      </c>
      <c r="AE506" s="264">
        <f>IF(NFI_Expiration=1,IF($A506&lt;VLOOKUP(N$5,NFI,5,0),1,0)*Table_NFI[[#This Row],[Kitchen Set]],Table_NFI[Kitchen Set])</f>
        <v>0</v>
      </c>
      <c r="AF506" s="264">
        <f>IF(NFI_Expiration=1,IF($A506&lt;VLOOKUP(O$5,NFI,5,0),1,0)*Table_NFI[[#This Row],[Clothes Kit]],Table_NFI[Clothes Kit])</f>
        <v>0</v>
      </c>
      <c r="AG506" s="264">
        <f>IF(NFI_Expiration=1,IF($A506&lt;VLOOKUP(P$5,NFI,5,0),1,0)*Table_NFI[[#This Row],[Plastic Bucket]],Table_NFI[Plastic Bucket])</f>
        <v>0</v>
      </c>
      <c r="AH506" s="264">
        <f>IF(NFI_Expiration=1,IF($A506&lt;VLOOKUP(Q$5,NFI,5,0),1,0)*Table_NFI[[#This Row],[Plastic Mat]],Table_NFI[Plastic Mat])*IF(Table_NFI[[#This Row],[Distribution Date]]&gt;"2014-04-01",1,2.5)</f>
        <v>0</v>
      </c>
      <c r="AI506" s="264">
        <f>IF(NFI_Expiration=1,IF($A506&lt;VLOOKUP(R$5,NFI,5,0),1,0)*Table_NFI[[#This Row],[Winter Clothes Adult]],Table_NFI[Winter Clothes Adult])</f>
        <v>0</v>
      </c>
      <c r="AJ506" s="264">
        <f>IF(NFI_Expiration=1,IF($A506&lt;VLOOKUP(S$5,NFI,5,0),1,0)*Table_NFI[[#This Row],[Winter Clothes Children]],Table_NFI[Winter Clothes Children])</f>
        <v>0</v>
      </c>
      <c r="AK506" s="264">
        <f>IF(NFI_Expiration=1,IF($A506&lt;VLOOKUP(T$5,NFI,5,0),1,0)*Table_NFI[[#This Row],[Winter Items Other]],Table_NFI[Winter Items Other])</f>
        <v>0</v>
      </c>
      <c r="AL506" s="264">
        <f>IF(NFI_Expiration=1,IF($A506&lt;VLOOKUP(M$5,NFI,5,0),1,0)*Table_NFI[[#This Row],[Winter Blanket]],Table_NFI[[#This Row],[Winter Blanket]])</f>
        <v>0</v>
      </c>
      <c r="AM506" s="264">
        <f>IF(Table_NFI[[#This Row],[Winter Clothes Adult]]+Table_NFI[[#This Row],[Winter Clothes Children]]+Table_NFI[[#This Row],[Winter Items Other]]+Table_NFI[[#This Row],[Winter Blanket]]&gt;0,1,0)</f>
        <v>0</v>
      </c>
      <c r="AN506" s="296">
        <f>IF(NFI_Expiration=1,IF($A506&lt;VLOOKUP(V$5,NFI,5,0),1,0)*Table_NFI[[#This Row],[Jerry Can]],Table_NFI[Jerry Can])</f>
        <v>0</v>
      </c>
      <c r="AO506" s="296">
        <f>IF(NFI_Expiration=1,IF($A506&lt;VLOOKUP(V$5,NFI,5,0),1,0)*Table_NFI[[#This Row],[Shelter Tool kit]],Table_NFI[Shelter Tool kit])</f>
        <v>0</v>
      </c>
      <c r="AP506" s="296">
        <f>IF(NFI_Expiration=1,IF($A506&lt;VLOOKUP(V$5,NFI,5,0),1,0)*Table_NFI[[#This Row],[Tent]],Table_NFI[Tent])</f>
        <v>0</v>
      </c>
      <c r="AQ506" s="396" t="str">
        <f>IFERROR(VLOOKUP(Table_NFI[[#This Row],[Camp Name]],CL,2,0),"")</f>
        <v>MMR001CMP115</v>
      </c>
      <c r="AR506" s="702">
        <f ca="1">IF(Table_NFI[[#This Row],[Pcode]]="","",IF(OFFSET(CampList[Opening Date],MATCH(Table_NFI[[#This Row],[Pcode]],CampList[CP_Pcode],0)-1,0,1,1)&gt;=NFI_Monitor_Date,1,0))</f>
        <v>0</v>
      </c>
      <c r="AS506" s="396" t="str">
        <f>IFERROR(VLOOKUP(Table_NFI[[#This Row],[Camp Name]],CL,3,0),"")</f>
        <v>Open</v>
      </c>
      <c r="AT506" s="264" t="str">
        <f ca="1">IF(Table_NFI[[#This Row],[Pcode]]="","",OFFSET(CampList[Priority],MATCH(Table_NFI[[#This Row],[Pcode]],CampList[CP_Pcode],0)-1,0,1,1))</f>
        <v>P1</v>
      </c>
      <c r="AU506" s="263">
        <f>IFERROR(Table_NFI[[#This Row],[Kitchen Set]]/VLOOKUP(Table_NFI[[#This Row],[Camp Name]],CL,4,0),"")</f>
        <v>4.4278095797250358E-3</v>
      </c>
      <c r="AV506" s="390" t="s">
        <v>1087</v>
      </c>
      <c r="AW506" s="392"/>
      <c r="AX506" s="399"/>
      <c r="AY506" s="399"/>
      <c r="AZ506" s="399"/>
      <c r="BA506" s="399"/>
      <c r="BB506" s="399"/>
      <c r="BC506" s="399"/>
      <c r="BD506" s="399"/>
      <c r="BE506" s="399"/>
      <c r="BF506" s="399"/>
      <c r="BG506" s="399"/>
      <c r="BH506" s="399"/>
      <c r="BI506" s="399"/>
      <c r="BJ506" s="399"/>
      <c r="BK506" s="399"/>
      <c r="BL506" s="399"/>
      <c r="BM506" s="399"/>
      <c r="BN506" s="399"/>
      <c r="BO506" s="399"/>
      <c r="BP506" s="399"/>
      <c r="BQ506" s="399"/>
      <c r="BR506" s="399"/>
      <c r="BS506" s="399"/>
      <c r="BT506" s="399"/>
      <c r="BU506" s="399"/>
      <c r="BV506" s="399"/>
      <c r="BW506" s="399"/>
      <c r="BX506" s="399"/>
      <c r="BY506" s="399"/>
      <c r="BZ506" s="399"/>
      <c r="CA506" s="399"/>
      <c r="CB506" s="399"/>
      <c r="CC506" s="399"/>
      <c r="CD506" s="399"/>
      <c r="CE506" s="399"/>
      <c r="CF506" s="399"/>
      <c r="CG506" s="399"/>
      <c r="CH506" s="399"/>
      <c r="CI506" s="399"/>
      <c r="CJ506" s="399"/>
      <c r="CK506" s="399"/>
      <c r="CL506" s="399"/>
      <c r="CM506" s="399"/>
      <c r="CN506" s="399"/>
      <c r="CO506" s="399"/>
      <c r="CP506" s="399"/>
      <c r="CQ506" s="399"/>
      <c r="CR506" s="399"/>
      <c r="CS506" s="399"/>
      <c r="CT506" s="399"/>
      <c r="CU506" s="399"/>
      <c r="CV506" s="399"/>
      <c r="CW506" s="399"/>
      <c r="CX506" s="399"/>
      <c r="CY506" s="399"/>
      <c r="CZ506" s="399"/>
      <c r="DA506" s="399"/>
      <c r="DB506" s="399"/>
      <c r="DC506" s="399"/>
      <c r="DD506" s="399"/>
      <c r="DE506" s="399"/>
      <c r="DF506" s="399"/>
      <c r="DG506" s="399"/>
      <c r="DH506" s="399"/>
      <c r="DI506" s="399"/>
      <c r="DJ506" s="399"/>
      <c r="DK506" s="399"/>
      <c r="DL506" s="399"/>
      <c r="DM506" s="399"/>
      <c r="DN506" s="399"/>
      <c r="DO506" s="399"/>
      <c r="DP506" s="399"/>
      <c r="DQ506" s="399"/>
    </row>
    <row r="507" spans="1:121" s="760" customFormat="1" ht="15" customHeight="1" x14ac:dyDescent="0.25">
      <c r="A507" s="266">
        <f t="shared" si="7"/>
        <v>39.666666666666664</v>
      </c>
      <c r="B507" s="389">
        <v>41666</v>
      </c>
      <c r="C507" s="390" t="s">
        <v>1034</v>
      </c>
      <c r="D507" s="390" t="s">
        <v>459</v>
      </c>
      <c r="E507" s="390" t="s">
        <v>380</v>
      </c>
      <c r="F507" s="390" t="s">
        <v>27</v>
      </c>
      <c r="G507" s="390" t="s">
        <v>364</v>
      </c>
      <c r="H507" s="261"/>
      <c r="I507" s="261"/>
      <c r="J507" s="261"/>
      <c r="K507" s="261"/>
      <c r="L507" s="261"/>
      <c r="M507" s="261">
        <v>155</v>
      </c>
      <c r="N507" s="261">
        <v>155</v>
      </c>
      <c r="O507" s="261">
        <v>155</v>
      </c>
      <c r="P507" s="261"/>
      <c r="Q507" s="261">
        <v>155</v>
      </c>
      <c r="R507" s="261"/>
      <c r="S507" s="261"/>
      <c r="T507" s="261"/>
      <c r="U507" s="261"/>
      <c r="V507" s="762"/>
      <c r="W507" s="261"/>
      <c r="X507" s="261"/>
      <c r="Y507" s="264">
        <f>IF(NFI_Expiration=1,IF($A507&lt;VLOOKUP(H$5,NFI,5,0),1,0)*Table_NFI[[#This Row],[Hygiene Kit]],Table_NFI[Hygiene Kit])</f>
        <v>0</v>
      </c>
      <c r="Z507" s="264">
        <f>IF(NFI_Expiration=1,IF($A507&lt;VLOOKUP(I$5,NFI,5,0),1,0)*Table_NFI[[#This Row],[NFI Core Kit]],Table_NFI[NFI Core Kit])</f>
        <v>0</v>
      </c>
      <c r="AA507" s="264">
        <f>IF(NFI_Expiration=1,IF($A507&lt;VLOOKUP(J$5,NFI,5,0),1,0)*Table_NFI[[#This Row],[Sanitary Kit]],Table_NFI[Sanitary Kit])</f>
        <v>0</v>
      </c>
      <c r="AB507" s="264">
        <f>IF(NFI_Expiration=1,IF($A507&lt;VLOOKUP(K$5,NFI,5,0),1,0)*Table_NFI[[#This Row],[Mosquito net]],Table_NFI[Mosquito net])</f>
        <v>0</v>
      </c>
      <c r="AC507" s="264">
        <f>IF(NFI_Expiration=1,IF($A507&lt;VLOOKUP(L$5,NFI,5,0),1,0)*Table_NFI[[#This Row],[Tarpaulin]],Table_NFI[[#This Row],[Tarpaulin]])</f>
        <v>0</v>
      </c>
      <c r="AD507" s="264">
        <f>IF(NFI_Expiration=1,IF($A507&lt;VLOOKUP(M$5,NFI,5,0),1,0)*Table_NFI[[#This Row],[Blanket]],Table_NFI[[#This Row],[Blanket]])</f>
        <v>0</v>
      </c>
      <c r="AE507" s="264">
        <f>IF(NFI_Expiration=1,IF($A507&lt;VLOOKUP(N$5,NFI,5,0),1,0)*Table_NFI[[#This Row],[Kitchen Set]],Table_NFI[Kitchen Set])</f>
        <v>0</v>
      </c>
      <c r="AF507" s="264">
        <f>IF(NFI_Expiration=1,IF($A507&lt;VLOOKUP(O$5,NFI,5,0),1,0)*Table_NFI[[#This Row],[Clothes Kit]],Table_NFI[Clothes Kit])</f>
        <v>0</v>
      </c>
      <c r="AG507" s="264">
        <f>IF(NFI_Expiration=1,IF($A507&lt;VLOOKUP(P$5,NFI,5,0),1,0)*Table_NFI[[#This Row],[Plastic Bucket]],Table_NFI[Plastic Bucket])</f>
        <v>0</v>
      </c>
      <c r="AH507" s="264">
        <f>IF(NFI_Expiration=1,IF($A507&lt;VLOOKUP(Q$5,NFI,5,0),1,0)*Table_NFI[[#This Row],[Plastic Mat]],Table_NFI[Plastic Mat])*IF(Table_NFI[[#This Row],[Distribution Date]]&gt;"2014-04-01",1,2.5)</f>
        <v>0</v>
      </c>
      <c r="AI507" s="264">
        <f>IF(NFI_Expiration=1,IF($A507&lt;VLOOKUP(R$5,NFI,5,0),1,0)*Table_NFI[[#This Row],[Winter Clothes Adult]],Table_NFI[Winter Clothes Adult])</f>
        <v>0</v>
      </c>
      <c r="AJ507" s="264">
        <f>IF(NFI_Expiration=1,IF($A507&lt;VLOOKUP(S$5,NFI,5,0),1,0)*Table_NFI[[#This Row],[Winter Clothes Children]],Table_NFI[Winter Clothes Children])</f>
        <v>0</v>
      </c>
      <c r="AK507" s="264">
        <f>IF(NFI_Expiration=1,IF($A507&lt;VLOOKUP(T$5,NFI,5,0),1,0)*Table_NFI[[#This Row],[Winter Items Other]],Table_NFI[Winter Items Other])</f>
        <v>0</v>
      </c>
      <c r="AL507" s="264">
        <f>IF(NFI_Expiration=1,IF($A507&lt;VLOOKUP(M$5,NFI,5,0),1,0)*Table_NFI[[#This Row],[Winter Blanket]],Table_NFI[[#This Row],[Winter Blanket]])</f>
        <v>0</v>
      </c>
      <c r="AM507" s="264">
        <f>IF(Table_NFI[[#This Row],[Winter Clothes Adult]]+Table_NFI[[#This Row],[Winter Clothes Children]]+Table_NFI[[#This Row],[Winter Items Other]]+Table_NFI[[#This Row],[Winter Blanket]]&gt;0,1,0)</f>
        <v>0</v>
      </c>
      <c r="AN507" s="296">
        <f>IF(NFI_Expiration=1,IF($A507&lt;VLOOKUP(V$5,NFI,5,0),1,0)*Table_NFI[[#This Row],[Jerry Can]],Table_NFI[Jerry Can])</f>
        <v>0</v>
      </c>
      <c r="AO507" s="296">
        <f>IF(NFI_Expiration=1,IF($A507&lt;VLOOKUP(V$5,NFI,5,0),1,0)*Table_NFI[[#This Row],[Shelter Tool kit]],Table_NFI[Shelter Tool kit])</f>
        <v>0</v>
      </c>
      <c r="AP507" s="296">
        <f>IF(NFI_Expiration=1,IF($A507&lt;VLOOKUP(V$5,NFI,5,0),1,0)*Table_NFI[[#This Row],[Tent]],Table_NFI[Tent])</f>
        <v>0</v>
      </c>
      <c r="AQ507" s="396" t="str">
        <f>IFERROR(VLOOKUP(Table_NFI[[#This Row],[Camp Name]],CL,2,0),"")</f>
        <v>MMR001CMP043</v>
      </c>
      <c r="AR507" s="702">
        <f ca="1">IF(Table_NFI[[#This Row],[Pcode]]="","",IF(OFFSET(CampList[Opening Date],MATCH(Table_NFI[[#This Row],[Pcode]],CampList[CP_Pcode],0)-1,0,1,1)&gt;=NFI_Monitor_Date,1,0))</f>
        <v>0</v>
      </c>
      <c r="AS507" s="396" t="str">
        <f>IFERROR(VLOOKUP(Table_NFI[[#This Row],[Camp Name]],CL,3,0),"")</f>
        <v>Open</v>
      </c>
      <c r="AT507" s="264" t="str">
        <f ca="1">IF(Table_NFI[[#This Row],[Pcode]]="","",OFFSET(CampList[Priority],MATCH(Table_NFI[[#This Row],[Pcode]],CampList[CP_Pcode],0)-1,0,1,1))</f>
        <v>P1</v>
      </c>
      <c r="AU507" s="263">
        <f>IFERROR(Table_NFI[[#This Row],[Kitchen Set]]/VLOOKUP(Table_NFI[[#This Row],[Camp Name]],CL,4,0),"")</f>
        <v>3.777723616865708E-3</v>
      </c>
      <c r="AV507" s="390" t="s">
        <v>1087</v>
      </c>
      <c r="AW507" s="392"/>
      <c r="AX507" s="399"/>
      <c r="AY507" s="399"/>
      <c r="AZ507" s="399"/>
      <c r="BA507" s="399"/>
      <c r="BB507" s="399"/>
      <c r="BC507" s="399"/>
      <c r="BD507" s="399"/>
      <c r="BE507" s="399"/>
      <c r="BF507" s="399"/>
      <c r="BG507" s="399"/>
      <c r="BH507" s="399"/>
      <c r="BI507" s="399"/>
      <c r="BJ507" s="399"/>
      <c r="BK507" s="399"/>
      <c r="BL507" s="399"/>
      <c r="BM507" s="399"/>
      <c r="BN507" s="399"/>
      <c r="BO507" s="399"/>
      <c r="BP507" s="399"/>
      <c r="BQ507" s="399"/>
      <c r="BR507" s="399"/>
      <c r="BS507" s="399"/>
      <c r="BT507" s="399"/>
      <c r="BU507" s="399"/>
      <c r="BV507" s="399"/>
      <c r="BW507" s="399"/>
      <c r="BX507" s="399"/>
      <c r="BY507" s="399"/>
      <c r="BZ507" s="399"/>
      <c r="CA507" s="399"/>
      <c r="CB507" s="399"/>
      <c r="CC507" s="399"/>
      <c r="CD507" s="399"/>
      <c r="CE507" s="399"/>
      <c r="CF507" s="399"/>
      <c r="CG507" s="399"/>
      <c r="CH507" s="399"/>
      <c r="CI507" s="399"/>
      <c r="CJ507" s="399"/>
      <c r="CK507" s="399"/>
      <c r="CL507" s="399"/>
      <c r="CM507" s="399"/>
      <c r="CN507" s="399"/>
      <c r="CO507" s="399"/>
      <c r="CP507" s="399"/>
      <c r="CQ507" s="399"/>
      <c r="CR507" s="399"/>
      <c r="CS507" s="399"/>
      <c r="CT507" s="399"/>
      <c r="CU507" s="399"/>
      <c r="CV507" s="399"/>
      <c r="CW507" s="399"/>
      <c r="CX507" s="399"/>
      <c r="CY507" s="399"/>
      <c r="CZ507" s="399"/>
      <c r="DA507" s="399"/>
      <c r="DB507" s="399"/>
      <c r="DC507" s="399"/>
      <c r="DD507" s="399"/>
      <c r="DE507" s="399"/>
      <c r="DF507" s="399"/>
      <c r="DG507" s="399"/>
      <c r="DH507" s="399"/>
      <c r="DI507" s="399"/>
      <c r="DJ507" s="399"/>
      <c r="DK507" s="399"/>
      <c r="DL507" s="399"/>
      <c r="DM507" s="399"/>
      <c r="DN507" s="399"/>
      <c r="DO507" s="399"/>
      <c r="DP507" s="399"/>
      <c r="DQ507" s="399"/>
    </row>
    <row r="508" spans="1:121" s="393" customFormat="1" ht="15" customHeight="1" x14ac:dyDescent="0.25">
      <c r="A508" s="266">
        <f t="shared" si="7"/>
        <v>39.733333333333334</v>
      </c>
      <c r="B508" s="389">
        <v>41664</v>
      </c>
      <c r="C508" s="390" t="s">
        <v>451</v>
      </c>
      <c r="D508" s="391" t="s">
        <v>451</v>
      </c>
      <c r="E508" s="390" t="s">
        <v>380</v>
      </c>
      <c r="F508" s="262" t="s">
        <v>185</v>
      </c>
      <c r="G508" s="262" t="s">
        <v>192</v>
      </c>
      <c r="H508" s="261"/>
      <c r="I508" s="261"/>
      <c r="J508" s="261"/>
      <c r="K508" s="261">
        <v>62</v>
      </c>
      <c r="L508" s="261">
        <v>31</v>
      </c>
      <c r="M508" s="261">
        <v>62</v>
      </c>
      <c r="N508" s="261">
        <v>31</v>
      </c>
      <c r="O508" s="261"/>
      <c r="P508" s="261">
        <v>31</v>
      </c>
      <c r="Q508" s="261">
        <v>155</v>
      </c>
      <c r="R508" s="261"/>
      <c r="S508" s="261"/>
      <c r="T508" s="261"/>
      <c r="U508" s="261"/>
      <c r="V508" s="762"/>
      <c r="W508" s="261"/>
      <c r="X508" s="261"/>
      <c r="Y508" s="264">
        <f>IF(NFI_Expiration=1,IF($A508&lt;VLOOKUP(H$5,NFI,5,0),1,0)*Table_NFI[[#This Row],[Hygiene Kit]],Table_NFI[Hygiene Kit])</f>
        <v>0</v>
      </c>
      <c r="Z508" s="264">
        <f>IF(NFI_Expiration=1,IF($A508&lt;VLOOKUP(I$5,NFI,5,0),1,0)*Table_NFI[[#This Row],[NFI Core Kit]],Table_NFI[NFI Core Kit])</f>
        <v>0</v>
      </c>
      <c r="AA508" s="264">
        <f>IF(NFI_Expiration=1,IF($A508&lt;VLOOKUP(J$5,NFI,5,0),1,0)*Table_NFI[[#This Row],[Sanitary Kit]],Table_NFI[Sanitary Kit])</f>
        <v>0</v>
      </c>
      <c r="AB508" s="264">
        <f>IF(NFI_Expiration=1,IF($A508&lt;VLOOKUP(K$5,NFI,5,0),1,0)*Table_NFI[[#This Row],[Mosquito net]],Table_NFI[Mosquito net])</f>
        <v>0</v>
      </c>
      <c r="AC508" s="264">
        <f>IF(NFI_Expiration=1,IF($A508&lt;VLOOKUP(L$5,NFI,5,0),1,0)*Table_NFI[[#This Row],[Tarpaulin]],Table_NFI[[#This Row],[Tarpaulin]])</f>
        <v>0</v>
      </c>
      <c r="AD508" s="264">
        <f>IF(NFI_Expiration=1,IF($A508&lt;VLOOKUP(M$5,NFI,5,0),1,0)*Table_NFI[[#This Row],[Blanket]],Table_NFI[[#This Row],[Blanket]])</f>
        <v>0</v>
      </c>
      <c r="AE508" s="264">
        <f>IF(NFI_Expiration=1,IF($A508&lt;VLOOKUP(N$5,NFI,5,0),1,0)*Table_NFI[[#This Row],[Kitchen Set]],Table_NFI[Kitchen Set])</f>
        <v>0</v>
      </c>
      <c r="AF508" s="264">
        <f>IF(NFI_Expiration=1,IF($A508&lt;VLOOKUP(O$5,NFI,5,0),1,0)*Table_NFI[[#This Row],[Clothes Kit]],Table_NFI[Clothes Kit])</f>
        <v>0</v>
      </c>
      <c r="AG508" s="264">
        <f>IF(NFI_Expiration=1,IF($A508&lt;VLOOKUP(P$5,NFI,5,0),1,0)*Table_NFI[[#This Row],[Plastic Bucket]],Table_NFI[Plastic Bucket])</f>
        <v>0</v>
      </c>
      <c r="AH508" s="264">
        <f>IF(NFI_Expiration=1,IF($A508&lt;VLOOKUP(Q$5,NFI,5,0),1,0)*Table_NFI[[#This Row],[Plastic Mat]],Table_NFI[Plastic Mat])*IF(Table_NFI[[#This Row],[Distribution Date]]&gt;"2014-04-01",1,2.5)</f>
        <v>0</v>
      </c>
      <c r="AI508" s="264">
        <f>IF(NFI_Expiration=1,IF($A508&lt;VLOOKUP(R$5,NFI,5,0),1,0)*Table_NFI[[#This Row],[Winter Clothes Adult]],Table_NFI[Winter Clothes Adult])</f>
        <v>0</v>
      </c>
      <c r="AJ508" s="264">
        <f>IF(NFI_Expiration=1,IF($A508&lt;VLOOKUP(S$5,NFI,5,0),1,0)*Table_NFI[[#This Row],[Winter Clothes Children]],Table_NFI[Winter Clothes Children])</f>
        <v>0</v>
      </c>
      <c r="AK508" s="264">
        <f>IF(NFI_Expiration=1,IF($A508&lt;VLOOKUP(T$5,NFI,5,0),1,0)*Table_NFI[[#This Row],[Winter Items Other]],Table_NFI[Winter Items Other])</f>
        <v>0</v>
      </c>
      <c r="AL508" s="264">
        <f>IF(NFI_Expiration=1,IF($A508&lt;VLOOKUP(M$5,NFI,5,0),1,0)*Table_NFI[[#This Row],[Winter Blanket]],Table_NFI[[#This Row],[Winter Blanket]])</f>
        <v>0</v>
      </c>
      <c r="AM508" s="264">
        <f>IF(Table_NFI[[#This Row],[Winter Clothes Adult]]+Table_NFI[[#This Row],[Winter Clothes Children]]+Table_NFI[[#This Row],[Winter Items Other]]+Table_NFI[[#This Row],[Winter Blanket]]&gt;0,1,0)</f>
        <v>0</v>
      </c>
      <c r="AN508" s="296">
        <f>IF(NFI_Expiration=1,IF($A508&lt;VLOOKUP(V$5,NFI,5,0),1,0)*Table_NFI[[#This Row],[Jerry Can]],Table_NFI[Jerry Can])</f>
        <v>0</v>
      </c>
      <c r="AO508" s="296">
        <f>IF(NFI_Expiration=1,IF($A508&lt;VLOOKUP(V$5,NFI,5,0),1,0)*Table_NFI[[#This Row],[Shelter Tool kit]],Table_NFI[Shelter Tool kit])</f>
        <v>0</v>
      </c>
      <c r="AP508" s="296">
        <f>IF(NFI_Expiration=1,IF($A508&lt;VLOOKUP(V$5,NFI,5,0),1,0)*Table_NFI[[#This Row],[Tent]],Table_NFI[Tent])</f>
        <v>0</v>
      </c>
      <c r="AQ508" s="396" t="str">
        <f>IFERROR(VLOOKUP(Table_NFI[[#This Row],[Camp Name]],CL,2,0),"")</f>
        <v>MMR001CMP123</v>
      </c>
      <c r="AR508" s="702">
        <f ca="1">IF(Table_NFI[[#This Row],[Pcode]]="","",IF(OFFSET(CampList[Opening Date],MATCH(Table_NFI[[#This Row],[Pcode]],CampList[CP_Pcode],0)-1,0,1,1)&gt;=NFI_Monitor_Date,1,0))</f>
        <v>0</v>
      </c>
      <c r="AS508" s="396" t="str">
        <f>IFERROR(VLOOKUP(Table_NFI[[#This Row],[Camp Name]],CL,3,0),"")</f>
        <v>Open</v>
      </c>
      <c r="AT508" s="264" t="str">
        <f ca="1">IF(Table_NFI[[#This Row],[Pcode]]="","",OFFSET(CampList[Priority],MATCH(Table_NFI[[#This Row],[Pcode]],CampList[CP_Pcode],0)-1,0,1,1))</f>
        <v>P2</v>
      </c>
      <c r="AU508" s="263">
        <f>IFERROR(Table_NFI[[#This Row],[Kitchen Set]]/VLOOKUP(Table_NFI[[#This Row],[Camp Name]],CL,4,0),"")</f>
        <v>7.6062420257140052E-4</v>
      </c>
      <c r="AV508" s="390" t="s">
        <v>1087</v>
      </c>
      <c r="AW508" s="392"/>
      <c r="AX508" s="399"/>
      <c r="AY508" s="399"/>
      <c r="AZ508" s="399"/>
      <c r="BA508" s="399"/>
      <c r="BB508" s="399"/>
      <c r="BC508" s="399"/>
      <c r="BD508" s="399"/>
      <c r="BE508" s="399"/>
      <c r="BF508" s="399"/>
      <c r="BG508" s="399"/>
      <c r="BH508" s="399"/>
      <c r="BI508" s="399"/>
      <c r="BJ508" s="399"/>
      <c r="BK508" s="399"/>
      <c r="BL508" s="399"/>
      <c r="BM508" s="399"/>
      <c r="BN508" s="399"/>
      <c r="BO508" s="399"/>
      <c r="BP508" s="399"/>
      <c r="BQ508" s="399"/>
      <c r="BR508" s="399"/>
      <c r="BS508" s="399"/>
      <c r="BT508" s="399"/>
      <c r="BU508" s="399"/>
      <c r="BV508" s="399"/>
      <c r="BW508" s="399"/>
      <c r="BX508" s="399"/>
      <c r="BY508" s="399"/>
      <c r="BZ508" s="399"/>
      <c r="CA508" s="399"/>
      <c r="CB508" s="399"/>
      <c r="CC508" s="399"/>
      <c r="CD508" s="399"/>
      <c r="CE508" s="399"/>
      <c r="CF508" s="399"/>
      <c r="CG508" s="399"/>
      <c r="CH508" s="399"/>
      <c r="CI508" s="399"/>
      <c r="CJ508" s="399"/>
      <c r="CK508" s="399"/>
      <c r="CL508" s="399"/>
      <c r="CM508" s="399"/>
      <c r="CN508" s="399"/>
      <c r="CO508" s="399"/>
      <c r="CP508" s="399"/>
      <c r="CQ508" s="399"/>
      <c r="CR508" s="399"/>
      <c r="CS508" s="399"/>
      <c r="CT508" s="399"/>
      <c r="CU508" s="399"/>
      <c r="CV508" s="399"/>
      <c r="CW508" s="399"/>
      <c r="CX508" s="399"/>
      <c r="CY508" s="399"/>
      <c r="CZ508" s="399"/>
      <c r="DA508" s="399"/>
      <c r="DB508" s="399"/>
      <c r="DC508" s="399"/>
      <c r="DD508" s="399"/>
      <c r="DE508" s="399"/>
      <c r="DF508" s="399"/>
      <c r="DG508" s="399"/>
      <c r="DH508" s="399"/>
      <c r="DI508" s="399"/>
      <c r="DJ508" s="399"/>
      <c r="DK508" s="399"/>
      <c r="DL508" s="399"/>
      <c r="DM508" s="399"/>
      <c r="DN508" s="399"/>
      <c r="DO508" s="399"/>
      <c r="DP508" s="399"/>
      <c r="DQ508" s="399"/>
    </row>
    <row r="509" spans="1:121" s="760" customFormat="1" ht="14.45" customHeight="1" x14ac:dyDescent="0.25">
      <c r="A509" s="266">
        <f t="shared" si="7"/>
        <v>39.733333333333334</v>
      </c>
      <c r="B509" s="389">
        <v>41664</v>
      </c>
      <c r="C509" s="390" t="s">
        <v>1034</v>
      </c>
      <c r="D509" s="390" t="s">
        <v>459</v>
      </c>
      <c r="E509" s="390" t="s">
        <v>380</v>
      </c>
      <c r="F509" s="390" t="s">
        <v>310</v>
      </c>
      <c r="G509" s="390" t="s">
        <v>1231</v>
      </c>
      <c r="H509" s="261"/>
      <c r="I509" s="261"/>
      <c r="J509" s="261"/>
      <c r="K509" s="261"/>
      <c r="L509" s="261"/>
      <c r="M509" s="261">
        <v>191</v>
      </c>
      <c r="N509" s="261">
        <v>191</v>
      </c>
      <c r="O509" s="261">
        <v>191</v>
      </c>
      <c r="P509" s="261"/>
      <c r="Q509" s="261">
        <v>191</v>
      </c>
      <c r="R509" s="261"/>
      <c r="S509" s="261"/>
      <c r="T509" s="261"/>
      <c r="U509" s="261"/>
      <c r="V509" s="762"/>
      <c r="W509" s="261"/>
      <c r="X509" s="261"/>
      <c r="Y509" s="264">
        <f>IF(NFI_Expiration=1,IF($A509&lt;VLOOKUP(H$5,NFI,5,0),1,0)*Table_NFI[[#This Row],[Hygiene Kit]],Table_NFI[Hygiene Kit])</f>
        <v>0</v>
      </c>
      <c r="Z509" s="264">
        <f>IF(NFI_Expiration=1,IF($A509&lt;VLOOKUP(I$5,NFI,5,0),1,0)*Table_NFI[[#This Row],[NFI Core Kit]],Table_NFI[NFI Core Kit])</f>
        <v>0</v>
      </c>
      <c r="AA509" s="264">
        <f>IF(NFI_Expiration=1,IF($A509&lt;VLOOKUP(J$5,NFI,5,0),1,0)*Table_NFI[[#This Row],[Sanitary Kit]],Table_NFI[Sanitary Kit])</f>
        <v>0</v>
      </c>
      <c r="AB509" s="264">
        <f>IF(NFI_Expiration=1,IF($A509&lt;VLOOKUP(K$5,NFI,5,0),1,0)*Table_NFI[[#This Row],[Mosquito net]],Table_NFI[Mosquito net])</f>
        <v>0</v>
      </c>
      <c r="AC509" s="264">
        <f>IF(NFI_Expiration=1,IF($A509&lt;VLOOKUP(L$5,NFI,5,0),1,0)*Table_NFI[[#This Row],[Tarpaulin]],Table_NFI[[#This Row],[Tarpaulin]])</f>
        <v>0</v>
      </c>
      <c r="AD509" s="264">
        <f>IF(NFI_Expiration=1,IF($A509&lt;VLOOKUP(M$5,NFI,5,0),1,0)*Table_NFI[[#This Row],[Blanket]],Table_NFI[[#This Row],[Blanket]])</f>
        <v>0</v>
      </c>
      <c r="AE509" s="264">
        <f>IF(NFI_Expiration=1,IF($A509&lt;VLOOKUP(N$5,NFI,5,0),1,0)*Table_NFI[[#This Row],[Kitchen Set]],Table_NFI[Kitchen Set])</f>
        <v>0</v>
      </c>
      <c r="AF509" s="264">
        <f>IF(NFI_Expiration=1,IF($A509&lt;VLOOKUP(O$5,NFI,5,0),1,0)*Table_NFI[[#This Row],[Clothes Kit]],Table_NFI[Clothes Kit])</f>
        <v>0</v>
      </c>
      <c r="AG509" s="264">
        <f>IF(NFI_Expiration=1,IF($A509&lt;VLOOKUP(P$5,NFI,5,0),1,0)*Table_NFI[[#This Row],[Plastic Bucket]],Table_NFI[Plastic Bucket])</f>
        <v>0</v>
      </c>
      <c r="AH509" s="264">
        <f>IF(NFI_Expiration=1,IF($A509&lt;VLOOKUP(Q$5,NFI,5,0),1,0)*Table_NFI[[#This Row],[Plastic Mat]],Table_NFI[Plastic Mat])*IF(Table_NFI[[#This Row],[Distribution Date]]&gt;"2014-04-01",1,2.5)</f>
        <v>0</v>
      </c>
      <c r="AI509" s="264">
        <f>IF(NFI_Expiration=1,IF($A509&lt;VLOOKUP(R$5,NFI,5,0),1,0)*Table_NFI[[#This Row],[Winter Clothes Adult]],Table_NFI[Winter Clothes Adult])</f>
        <v>0</v>
      </c>
      <c r="AJ509" s="264">
        <f>IF(NFI_Expiration=1,IF($A509&lt;VLOOKUP(S$5,NFI,5,0),1,0)*Table_NFI[[#This Row],[Winter Clothes Children]],Table_NFI[Winter Clothes Children])</f>
        <v>0</v>
      </c>
      <c r="AK509" s="264">
        <f>IF(NFI_Expiration=1,IF($A509&lt;VLOOKUP(T$5,NFI,5,0),1,0)*Table_NFI[[#This Row],[Winter Items Other]],Table_NFI[Winter Items Other])</f>
        <v>0</v>
      </c>
      <c r="AL509" s="264">
        <f>IF(NFI_Expiration=1,IF($A509&lt;VLOOKUP(M$5,NFI,5,0),1,0)*Table_NFI[[#This Row],[Winter Blanket]],Table_NFI[[#This Row],[Winter Blanket]])</f>
        <v>0</v>
      </c>
      <c r="AM509" s="264">
        <f>IF(Table_NFI[[#This Row],[Winter Clothes Adult]]+Table_NFI[[#This Row],[Winter Clothes Children]]+Table_NFI[[#This Row],[Winter Items Other]]+Table_NFI[[#This Row],[Winter Blanket]]&gt;0,1,0)</f>
        <v>0</v>
      </c>
      <c r="AN509" s="296">
        <f>IF(NFI_Expiration=1,IF($A509&lt;VLOOKUP(V$5,NFI,5,0),1,0)*Table_NFI[[#This Row],[Jerry Can]],Table_NFI[Jerry Can])</f>
        <v>0</v>
      </c>
      <c r="AO509" s="296">
        <f>IF(NFI_Expiration=1,IF($A509&lt;VLOOKUP(V$5,NFI,5,0),1,0)*Table_NFI[[#This Row],[Shelter Tool kit]],Table_NFI[Shelter Tool kit])</f>
        <v>0</v>
      </c>
      <c r="AP509" s="296">
        <f>IF(NFI_Expiration=1,IF($A509&lt;VLOOKUP(V$5,NFI,5,0),1,0)*Table_NFI[[#This Row],[Tent]],Table_NFI[Tent])</f>
        <v>0</v>
      </c>
      <c r="AQ509" s="396" t="str">
        <f>IFERROR(VLOOKUP(Table_NFI[[#This Row],[Camp Name]],CL,2,0),"")</f>
        <v>MMR001CMP120</v>
      </c>
      <c r="AR509" s="702">
        <f ca="1">IF(Table_NFI[[#This Row],[Pcode]]="","",IF(OFFSET(CampList[Opening Date],MATCH(Table_NFI[[#This Row],[Pcode]],CampList[CP_Pcode],0)-1,0,1,1)&gt;=NFI_Monitor_Date,1,0))</f>
        <v>0</v>
      </c>
      <c r="AS509" s="396" t="str">
        <f>IFERROR(VLOOKUP(Table_NFI[[#This Row],[Camp Name]],CL,3,0),"")</f>
        <v>Open</v>
      </c>
      <c r="AT509" s="264" t="str">
        <f ca="1">IF(Table_NFI[[#This Row],[Pcode]]="","",OFFSET(CampList[Priority],MATCH(Table_NFI[[#This Row],[Pcode]],CampList[CP_Pcode],0)-1,0,1,1))</f>
        <v>P1</v>
      </c>
      <c r="AU509" s="263">
        <f>IFERROR(Table_NFI[[#This Row],[Kitchen Set]]/VLOOKUP(Table_NFI[[#This Row],[Camp Name]],CL,4,0),"")</f>
        <v>4.6899938612645796E-3</v>
      </c>
      <c r="AV509" s="390" t="s">
        <v>1087</v>
      </c>
      <c r="AW509" s="392"/>
      <c r="AX509" s="399"/>
      <c r="AY509" s="399"/>
      <c r="AZ509" s="399"/>
      <c r="BA509" s="399"/>
      <c r="BB509" s="399"/>
      <c r="BC509" s="399"/>
      <c r="BD509" s="399"/>
      <c r="BE509" s="399"/>
      <c r="BF509" s="399"/>
      <c r="BG509" s="399"/>
      <c r="BH509" s="399"/>
      <c r="BI509" s="399"/>
      <c r="BJ509" s="399"/>
      <c r="BK509" s="399"/>
      <c r="BL509" s="399"/>
      <c r="BM509" s="399"/>
      <c r="BN509" s="399"/>
      <c r="BO509" s="399"/>
      <c r="BP509" s="399"/>
      <c r="BQ509" s="399"/>
      <c r="BR509" s="399"/>
      <c r="BS509" s="399"/>
      <c r="BT509" s="399"/>
      <c r="BU509" s="399"/>
      <c r="BV509" s="399"/>
      <c r="BW509" s="399"/>
      <c r="BX509" s="399"/>
      <c r="BY509" s="399"/>
      <c r="BZ509" s="399"/>
      <c r="CA509" s="399"/>
      <c r="CB509" s="399"/>
      <c r="CC509" s="399"/>
      <c r="CD509" s="399"/>
      <c r="CE509" s="399"/>
      <c r="CF509" s="399"/>
      <c r="CG509" s="399"/>
      <c r="CH509" s="399"/>
      <c r="CI509" s="399"/>
      <c r="CJ509" s="399"/>
      <c r="CK509" s="399"/>
      <c r="CL509" s="399"/>
      <c r="CM509" s="399"/>
      <c r="CN509" s="399"/>
      <c r="CO509" s="399"/>
      <c r="CP509" s="399"/>
      <c r="CQ509" s="399"/>
      <c r="CR509" s="399"/>
      <c r="CS509" s="399"/>
      <c r="CT509" s="399"/>
      <c r="CU509" s="399"/>
      <c r="CV509" s="399"/>
      <c r="CW509" s="399"/>
      <c r="CX509" s="399"/>
      <c r="CY509" s="399"/>
      <c r="CZ509" s="399"/>
      <c r="DA509" s="399"/>
      <c r="DB509" s="399"/>
      <c r="DC509" s="399"/>
      <c r="DD509" s="399"/>
      <c r="DE509" s="399"/>
      <c r="DF509" s="399"/>
      <c r="DG509" s="399"/>
      <c r="DH509" s="399"/>
      <c r="DI509" s="399"/>
      <c r="DJ509" s="399"/>
      <c r="DK509" s="399"/>
      <c r="DL509" s="399"/>
      <c r="DM509" s="399"/>
      <c r="DN509" s="399"/>
      <c r="DO509" s="399"/>
      <c r="DP509" s="399"/>
      <c r="DQ509" s="399"/>
    </row>
    <row r="510" spans="1:121" s="393" customFormat="1" ht="14.45" customHeight="1" x14ac:dyDescent="0.25">
      <c r="A510" s="266">
        <f t="shared" si="7"/>
        <v>39.733333333333334</v>
      </c>
      <c r="B510" s="389">
        <v>41664</v>
      </c>
      <c r="C510" s="390" t="s">
        <v>1034</v>
      </c>
      <c r="D510" s="390" t="s">
        <v>459</v>
      </c>
      <c r="E510" s="390" t="s">
        <v>380</v>
      </c>
      <c r="F510" s="390" t="s">
        <v>310</v>
      </c>
      <c r="G510" s="390" t="s">
        <v>347</v>
      </c>
      <c r="H510" s="261"/>
      <c r="I510" s="261"/>
      <c r="J510" s="261"/>
      <c r="K510" s="261"/>
      <c r="L510" s="261"/>
      <c r="M510" s="261">
        <v>198</v>
      </c>
      <c r="N510" s="261">
        <v>198</v>
      </c>
      <c r="O510" s="261">
        <v>198</v>
      </c>
      <c r="P510" s="261"/>
      <c r="Q510" s="261">
        <v>198</v>
      </c>
      <c r="R510" s="261"/>
      <c r="S510" s="261"/>
      <c r="T510" s="261"/>
      <c r="U510" s="261"/>
      <c r="V510" s="762"/>
      <c r="W510" s="261"/>
      <c r="X510" s="261"/>
      <c r="Y510" s="264">
        <f>IF(NFI_Expiration=1,IF($A510&lt;VLOOKUP(H$5,NFI,5,0),1,0)*Table_NFI[[#This Row],[Hygiene Kit]],Table_NFI[Hygiene Kit])</f>
        <v>0</v>
      </c>
      <c r="Z510" s="264">
        <f>IF(NFI_Expiration=1,IF($A510&lt;VLOOKUP(I$5,NFI,5,0),1,0)*Table_NFI[[#This Row],[NFI Core Kit]],Table_NFI[NFI Core Kit])</f>
        <v>0</v>
      </c>
      <c r="AA510" s="264">
        <f>IF(NFI_Expiration=1,IF($A510&lt;VLOOKUP(J$5,NFI,5,0),1,0)*Table_NFI[[#This Row],[Sanitary Kit]],Table_NFI[Sanitary Kit])</f>
        <v>0</v>
      </c>
      <c r="AB510" s="264">
        <f>IF(NFI_Expiration=1,IF($A510&lt;VLOOKUP(K$5,NFI,5,0),1,0)*Table_NFI[[#This Row],[Mosquito net]],Table_NFI[Mosquito net])</f>
        <v>0</v>
      </c>
      <c r="AC510" s="264">
        <f>IF(NFI_Expiration=1,IF($A510&lt;VLOOKUP(L$5,NFI,5,0),1,0)*Table_NFI[[#This Row],[Tarpaulin]],Table_NFI[[#This Row],[Tarpaulin]])</f>
        <v>0</v>
      </c>
      <c r="AD510" s="264">
        <f>IF(NFI_Expiration=1,IF($A510&lt;VLOOKUP(M$5,NFI,5,0),1,0)*Table_NFI[[#This Row],[Blanket]],Table_NFI[[#This Row],[Blanket]])</f>
        <v>0</v>
      </c>
      <c r="AE510" s="264">
        <f>IF(NFI_Expiration=1,IF($A510&lt;VLOOKUP(N$5,NFI,5,0),1,0)*Table_NFI[[#This Row],[Kitchen Set]],Table_NFI[Kitchen Set])</f>
        <v>0</v>
      </c>
      <c r="AF510" s="264">
        <f>IF(NFI_Expiration=1,IF($A510&lt;VLOOKUP(O$5,NFI,5,0),1,0)*Table_NFI[[#This Row],[Clothes Kit]],Table_NFI[Clothes Kit])</f>
        <v>0</v>
      </c>
      <c r="AG510" s="264">
        <f>IF(NFI_Expiration=1,IF($A510&lt;VLOOKUP(P$5,NFI,5,0),1,0)*Table_NFI[[#This Row],[Plastic Bucket]],Table_NFI[Plastic Bucket])</f>
        <v>0</v>
      </c>
      <c r="AH510" s="264">
        <f>IF(NFI_Expiration=1,IF($A510&lt;VLOOKUP(Q$5,NFI,5,0),1,0)*Table_NFI[[#This Row],[Plastic Mat]],Table_NFI[Plastic Mat])*IF(Table_NFI[[#This Row],[Distribution Date]]&gt;"2014-04-01",1,2.5)</f>
        <v>0</v>
      </c>
      <c r="AI510" s="264">
        <f>IF(NFI_Expiration=1,IF($A510&lt;VLOOKUP(R$5,NFI,5,0),1,0)*Table_NFI[[#This Row],[Winter Clothes Adult]],Table_NFI[Winter Clothes Adult])</f>
        <v>0</v>
      </c>
      <c r="AJ510" s="264">
        <f>IF(NFI_Expiration=1,IF($A510&lt;VLOOKUP(S$5,NFI,5,0),1,0)*Table_NFI[[#This Row],[Winter Clothes Children]],Table_NFI[Winter Clothes Children])</f>
        <v>0</v>
      </c>
      <c r="AK510" s="264">
        <f>IF(NFI_Expiration=1,IF($A510&lt;VLOOKUP(T$5,NFI,5,0),1,0)*Table_NFI[[#This Row],[Winter Items Other]],Table_NFI[Winter Items Other])</f>
        <v>0</v>
      </c>
      <c r="AL510" s="264">
        <f>IF(NFI_Expiration=1,IF($A510&lt;VLOOKUP(M$5,NFI,5,0),1,0)*Table_NFI[[#This Row],[Winter Blanket]],Table_NFI[[#This Row],[Winter Blanket]])</f>
        <v>0</v>
      </c>
      <c r="AM510" s="264">
        <f>IF(Table_NFI[[#This Row],[Winter Clothes Adult]]+Table_NFI[[#This Row],[Winter Clothes Children]]+Table_NFI[[#This Row],[Winter Items Other]]+Table_NFI[[#This Row],[Winter Blanket]]&gt;0,1,0)</f>
        <v>0</v>
      </c>
      <c r="AN510" s="296">
        <f>IF(NFI_Expiration=1,IF($A510&lt;VLOOKUP(V$5,NFI,5,0),1,0)*Table_NFI[[#This Row],[Jerry Can]],Table_NFI[Jerry Can])</f>
        <v>0</v>
      </c>
      <c r="AO510" s="296">
        <f>IF(NFI_Expiration=1,IF($A510&lt;VLOOKUP(V$5,NFI,5,0),1,0)*Table_NFI[[#This Row],[Shelter Tool kit]],Table_NFI[Shelter Tool kit])</f>
        <v>0</v>
      </c>
      <c r="AP510" s="296">
        <f>IF(NFI_Expiration=1,IF($A510&lt;VLOOKUP(V$5,NFI,5,0),1,0)*Table_NFI[[#This Row],[Tent]],Table_NFI[Tent])</f>
        <v>0</v>
      </c>
      <c r="AQ510" s="396" t="str">
        <f>IFERROR(VLOOKUP(Table_NFI[[#This Row],[Camp Name]],CL,2,0),"")</f>
        <v>MMR001CMP041</v>
      </c>
      <c r="AR510" s="702">
        <f ca="1">IF(Table_NFI[[#This Row],[Pcode]]="","",IF(OFFSET(CampList[Opening Date],MATCH(Table_NFI[[#This Row],[Pcode]],CampList[CP_Pcode],0)-1,0,1,1)&gt;=NFI_Monitor_Date,1,0))</f>
        <v>0</v>
      </c>
      <c r="AS510" s="396" t="str">
        <f>IFERROR(VLOOKUP(Table_NFI[[#This Row],[Camp Name]],CL,3,0),"")</f>
        <v>Open</v>
      </c>
      <c r="AT510" s="264" t="str">
        <f ca="1">IF(Table_NFI[[#This Row],[Pcode]]="","",OFFSET(CampList[Priority],MATCH(Table_NFI[[#This Row],[Pcode]],CampList[CP_Pcode],0)-1,0,1,1))</f>
        <v>P1</v>
      </c>
      <c r="AU510" s="263">
        <f>IFERROR(Table_NFI[[#This Row],[Kitchen Set]]/VLOOKUP(Table_NFI[[#This Row],[Camp Name]],CL,4,0),"")</f>
        <v>4.847238542890717E-3</v>
      </c>
      <c r="AV510" s="390" t="s">
        <v>1087</v>
      </c>
      <c r="AW510" s="392"/>
      <c r="AX510" s="399"/>
      <c r="AY510" s="399"/>
      <c r="AZ510" s="399"/>
      <c r="BA510" s="399"/>
      <c r="BB510" s="399"/>
      <c r="BC510" s="399"/>
      <c r="BD510" s="399"/>
      <c r="BE510" s="399"/>
      <c r="BF510" s="399"/>
      <c r="BG510" s="399"/>
      <c r="BH510" s="399"/>
      <c r="BI510" s="399"/>
      <c r="BJ510" s="399"/>
      <c r="BK510" s="399"/>
      <c r="BL510" s="399"/>
      <c r="BM510" s="399"/>
      <c r="BN510" s="399"/>
      <c r="BO510" s="399"/>
      <c r="BP510" s="399"/>
      <c r="BQ510" s="399"/>
      <c r="BR510" s="399"/>
      <c r="BS510" s="399"/>
      <c r="BT510" s="399"/>
      <c r="BU510" s="399"/>
      <c r="BV510" s="399"/>
      <c r="BW510" s="399"/>
      <c r="BX510" s="399"/>
      <c r="BY510" s="399"/>
      <c r="BZ510" s="399"/>
      <c r="CA510" s="399"/>
      <c r="CB510" s="399"/>
      <c r="CC510" s="399"/>
      <c r="CD510" s="399"/>
      <c r="CE510" s="399"/>
      <c r="CF510" s="399"/>
      <c r="CG510" s="399"/>
      <c r="CH510" s="399"/>
      <c r="CI510" s="399"/>
      <c r="CJ510" s="399"/>
      <c r="CK510" s="399"/>
      <c r="CL510" s="399"/>
      <c r="CM510" s="399"/>
      <c r="CN510" s="399"/>
      <c r="CO510" s="399"/>
      <c r="CP510" s="399"/>
      <c r="CQ510" s="399"/>
      <c r="CR510" s="399"/>
      <c r="CS510" s="399"/>
      <c r="CT510" s="399"/>
      <c r="CU510" s="399"/>
      <c r="CV510" s="399"/>
      <c r="CW510" s="399"/>
      <c r="CX510" s="399"/>
      <c r="CY510" s="399"/>
      <c r="CZ510" s="399"/>
      <c r="DA510" s="399"/>
      <c r="DB510" s="399"/>
      <c r="DC510" s="399"/>
      <c r="DD510" s="399"/>
      <c r="DE510" s="399"/>
      <c r="DF510" s="399"/>
      <c r="DG510" s="399"/>
      <c r="DH510" s="399"/>
      <c r="DI510" s="399"/>
      <c r="DJ510" s="399"/>
      <c r="DK510" s="399"/>
      <c r="DL510" s="399"/>
      <c r="DM510" s="399"/>
      <c r="DN510" s="399"/>
      <c r="DO510" s="399"/>
      <c r="DP510" s="399"/>
      <c r="DQ510" s="399"/>
    </row>
    <row r="511" spans="1:121" s="393" customFormat="1" ht="14.45" customHeight="1" x14ac:dyDescent="0.25">
      <c r="A511" s="266">
        <f t="shared" si="7"/>
        <v>39.733333333333334</v>
      </c>
      <c r="B511" s="389">
        <v>41664</v>
      </c>
      <c r="C511" s="390" t="s">
        <v>1034</v>
      </c>
      <c r="D511" s="390" t="s">
        <v>459</v>
      </c>
      <c r="E511" s="390" t="s">
        <v>380</v>
      </c>
      <c r="F511" s="390" t="s">
        <v>310</v>
      </c>
      <c r="G511" s="390" t="s">
        <v>1233</v>
      </c>
      <c r="H511" s="261"/>
      <c r="I511" s="261"/>
      <c r="J511" s="261"/>
      <c r="K511" s="261"/>
      <c r="L511" s="261"/>
      <c r="M511" s="261">
        <v>646</v>
      </c>
      <c r="N511" s="261">
        <v>646</v>
      </c>
      <c r="O511" s="261">
        <v>646</v>
      </c>
      <c r="P511" s="261"/>
      <c r="Q511" s="261">
        <v>646</v>
      </c>
      <c r="R511" s="261"/>
      <c r="S511" s="261"/>
      <c r="T511" s="261"/>
      <c r="U511" s="261"/>
      <c r="V511" s="762"/>
      <c r="W511" s="261"/>
      <c r="X511" s="261"/>
      <c r="Y511" s="264">
        <f>IF(NFI_Expiration=1,IF($A511&lt;VLOOKUP(H$5,NFI,5,0),1,0)*Table_NFI[[#This Row],[Hygiene Kit]],Table_NFI[Hygiene Kit])</f>
        <v>0</v>
      </c>
      <c r="Z511" s="264">
        <f>IF(NFI_Expiration=1,IF($A511&lt;VLOOKUP(I$5,NFI,5,0),1,0)*Table_NFI[[#This Row],[NFI Core Kit]],Table_NFI[NFI Core Kit])</f>
        <v>0</v>
      </c>
      <c r="AA511" s="264">
        <f>IF(NFI_Expiration=1,IF($A511&lt;VLOOKUP(J$5,NFI,5,0),1,0)*Table_NFI[[#This Row],[Sanitary Kit]],Table_NFI[Sanitary Kit])</f>
        <v>0</v>
      </c>
      <c r="AB511" s="264">
        <f>IF(NFI_Expiration=1,IF($A511&lt;VLOOKUP(K$5,NFI,5,0),1,0)*Table_NFI[[#This Row],[Mosquito net]],Table_NFI[Mosquito net])</f>
        <v>0</v>
      </c>
      <c r="AC511" s="264">
        <f>IF(NFI_Expiration=1,IF($A511&lt;VLOOKUP(L$5,NFI,5,0),1,0)*Table_NFI[[#This Row],[Tarpaulin]],Table_NFI[[#This Row],[Tarpaulin]])</f>
        <v>0</v>
      </c>
      <c r="AD511" s="264">
        <f>IF(NFI_Expiration=1,IF($A511&lt;VLOOKUP(M$5,NFI,5,0),1,0)*Table_NFI[[#This Row],[Blanket]],Table_NFI[[#This Row],[Blanket]])</f>
        <v>0</v>
      </c>
      <c r="AE511" s="264">
        <f>IF(NFI_Expiration=1,IF($A511&lt;VLOOKUP(N$5,NFI,5,0),1,0)*Table_NFI[[#This Row],[Kitchen Set]],Table_NFI[Kitchen Set])</f>
        <v>0</v>
      </c>
      <c r="AF511" s="264">
        <f>IF(NFI_Expiration=1,IF($A511&lt;VLOOKUP(O$5,NFI,5,0),1,0)*Table_NFI[[#This Row],[Clothes Kit]],Table_NFI[Clothes Kit])</f>
        <v>0</v>
      </c>
      <c r="AG511" s="264">
        <f>IF(NFI_Expiration=1,IF($A511&lt;VLOOKUP(P$5,NFI,5,0),1,0)*Table_NFI[[#This Row],[Plastic Bucket]],Table_NFI[Plastic Bucket])</f>
        <v>0</v>
      </c>
      <c r="AH511" s="264">
        <f>IF(NFI_Expiration=1,IF($A511&lt;VLOOKUP(Q$5,NFI,5,0),1,0)*Table_NFI[[#This Row],[Plastic Mat]],Table_NFI[Plastic Mat])*IF(Table_NFI[[#This Row],[Distribution Date]]&gt;"2014-04-01",1,2.5)</f>
        <v>0</v>
      </c>
      <c r="AI511" s="264">
        <f>IF(NFI_Expiration=1,IF($A511&lt;VLOOKUP(R$5,NFI,5,0),1,0)*Table_NFI[[#This Row],[Winter Clothes Adult]],Table_NFI[Winter Clothes Adult])</f>
        <v>0</v>
      </c>
      <c r="AJ511" s="264">
        <f>IF(NFI_Expiration=1,IF($A511&lt;VLOOKUP(S$5,NFI,5,0),1,0)*Table_NFI[[#This Row],[Winter Clothes Children]],Table_NFI[Winter Clothes Children])</f>
        <v>0</v>
      </c>
      <c r="AK511" s="264">
        <f>IF(NFI_Expiration=1,IF($A511&lt;VLOOKUP(T$5,NFI,5,0),1,0)*Table_NFI[[#This Row],[Winter Items Other]],Table_NFI[Winter Items Other])</f>
        <v>0</v>
      </c>
      <c r="AL511" s="264">
        <f>IF(NFI_Expiration=1,IF($A511&lt;VLOOKUP(M$5,NFI,5,0),1,0)*Table_NFI[[#This Row],[Winter Blanket]],Table_NFI[[#This Row],[Winter Blanket]])</f>
        <v>0</v>
      </c>
      <c r="AM511" s="264">
        <f>IF(Table_NFI[[#This Row],[Winter Clothes Adult]]+Table_NFI[[#This Row],[Winter Clothes Children]]+Table_NFI[[#This Row],[Winter Items Other]]+Table_NFI[[#This Row],[Winter Blanket]]&gt;0,1,0)</f>
        <v>0</v>
      </c>
      <c r="AN511" s="296">
        <f>IF(NFI_Expiration=1,IF($A511&lt;VLOOKUP(V$5,NFI,5,0),1,0)*Table_NFI[[#This Row],[Jerry Can]],Table_NFI[Jerry Can])</f>
        <v>0</v>
      </c>
      <c r="AO511" s="296">
        <f>IF(NFI_Expiration=1,IF($A511&lt;VLOOKUP(V$5,NFI,5,0),1,0)*Table_NFI[[#This Row],[Shelter Tool kit]],Table_NFI[Shelter Tool kit])</f>
        <v>0</v>
      </c>
      <c r="AP511" s="296">
        <f>IF(NFI_Expiration=1,IF($A511&lt;VLOOKUP(V$5,NFI,5,0),1,0)*Table_NFI[[#This Row],[Tent]],Table_NFI[Tent])</f>
        <v>0</v>
      </c>
      <c r="AQ511" s="396" t="str">
        <f>IFERROR(VLOOKUP(Table_NFI[[#This Row],[Camp Name]],CL,2,0),"")</f>
        <v>MMR001CMP111</v>
      </c>
      <c r="AR511" s="702">
        <f ca="1">IF(Table_NFI[[#This Row],[Pcode]]="","",IF(OFFSET(CampList[Opening Date],MATCH(Table_NFI[[#This Row],[Pcode]],CampList[CP_Pcode],0)-1,0,1,1)&gt;=NFI_Monitor_Date,1,0))</f>
        <v>0</v>
      </c>
      <c r="AS511" s="396" t="str">
        <f>IFERROR(VLOOKUP(Table_NFI[[#This Row],[Camp Name]],CL,3,0),"")</f>
        <v>Closed</v>
      </c>
      <c r="AT511" s="264" t="str">
        <f ca="1">IF(Table_NFI[[#This Row],[Pcode]]="","",OFFSET(CampList[Priority],MATCH(Table_NFI[[#This Row],[Pcode]],CampList[CP_Pcode],0)-1,0,1,1))</f>
        <v>P2</v>
      </c>
      <c r="AU511" s="263">
        <f>IFERROR(Table_NFI[[#This Row],[Kitchen Set]]/VLOOKUP(Table_NFI[[#This Row],[Camp Name]],CL,4,0),"")</f>
        <v>1.5814727771249509E-2</v>
      </c>
      <c r="AV511" s="390" t="s">
        <v>1087</v>
      </c>
      <c r="AW511" s="392"/>
      <c r="AX511" s="399"/>
      <c r="AY511" s="399"/>
      <c r="AZ511" s="399"/>
      <c r="BA511" s="399"/>
      <c r="BB511" s="399"/>
      <c r="BC511" s="399"/>
      <c r="BD511" s="399"/>
      <c r="BE511" s="399"/>
      <c r="BF511" s="399"/>
      <c r="BG511" s="399"/>
      <c r="BH511" s="399"/>
      <c r="BI511" s="399"/>
      <c r="BJ511" s="399"/>
      <c r="BK511" s="399"/>
      <c r="BL511" s="399"/>
      <c r="BM511" s="399"/>
      <c r="BN511" s="399"/>
      <c r="BO511" s="399"/>
      <c r="BP511" s="399"/>
      <c r="BQ511" s="399"/>
      <c r="BR511" s="399"/>
      <c r="BS511" s="399"/>
      <c r="BT511" s="399"/>
      <c r="BU511" s="399"/>
      <c r="BV511" s="399"/>
      <c r="BW511" s="399"/>
      <c r="BX511" s="399"/>
      <c r="BY511" s="399"/>
      <c r="BZ511" s="399"/>
      <c r="CA511" s="399"/>
      <c r="CB511" s="399"/>
      <c r="CC511" s="399"/>
      <c r="CD511" s="399"/>
      <c r="CE511" s="399"/>
      <c r="CF511" s="399"/>
      <c r="CG511" s="399"/>
      <c r="CH511" s="399"/>
      <c r="CI511" s="399"/>
      <c r="CJ511" s="399"/>
      <c r="CK511" s="399"/>
      <c r="CL511" s="399"/>
      <c r="CM511" s="399"/>
      <c r="CN511" s="399"/>
      <c r="CO511" s="399"/>
      <c r="CP511" s="399"/>
      <c r="CQ511" s="399"/>
      <c r="CR511" s="399"/>
      <c r="CS511" s="399"/>
      <c r="CT511" s="399"/>
      <c r="CU511" s="399"/>
      <c r="CV511" s="399"/>
      <c r="CW511" s="399"/>
      <c r="CX511" s="399"/>
      <c r="CY511" s="399"/>
      <c r="CZ511" s="399"/>
      <c r="DA511" s="399"/>
      <c r="DB511" s="399"/>
      <c r="DC511" s="399"/>
      <c r="DD511" s="399"/>
      <c r="DE511" s="399"/>
      <c r="DF511" s="399"/>
      <c r="DG511" s="399"/>
      <c r="DH511" s="399"/>
      <c r="DI511" s="399"/>
      <c r="DJ511" s="399"/>
      <c r="DK511" s="399"/>
      <c r="DL511" s="399"/>
      <c r="DM511" s="399"/>
      <c r="DN511" s="399"/>
      <c r="DO511" s="399"/>
      <c r="DP511" s="399"/>
      <c r="DQ511" s="399"/>
    </row>
    <row r="512" spans="1:121" s="760" customFormat="1" ht="14.45" customHeight="1" x14ac:dyDescent="0.25">
      <c r="A512" s="266">
        <f t="shared" si="7"/>
        <v>39.766666666666666</v>
      </c>
      <c r="B512" s="389">
        <v>41663</v>
      </c>
      <c r="C512" s="390" t="s">
        <v>452</v>
      </c>
      <c r="D512" s="390"/>
      <c r="E512" s="390" t="s">
        <v>380</v>
      </c>
      <c r="F512" s="262" t="s">
        <v>151</v>
      </c>
      <c r="G512" s="390" t="s">
        <v>188</v>
      </c>
      <c r="H512" s="261"/>
      <c r="I512" s="261"/>
      <c r="J512" s="261"/>
      <c r="K512" s="261"/>
      <c r="L512" s="261"/>
      <c r="M512" s="261"/>
      <c r="N512" s="261"/>
      <c r="O512" s="261"/>
      <c r="P512" s="261"/>
      <c r="Q512" s="261"/>
      <c r="R512" s="261"/>
      <c r="S512" s="261">
        <v>838</v>
      </c>
      <c r="T512" s="261"/>
      <c r="U512" s="261"/>
      <c r="V512" s="762"/>
      <c r="W512" s="261"/>
      <c r="X512" s="261"/>
      <c r="Y512" s="264">
        <f>IF(NFI_Expiration=1,IF($A512&lt;VLOOKUP(H$5,NFI,5,0),1,0)*Table_NFI[[#This Row],[Hygiene Kit]],Table_NFI[Hygiene Kit])</f>
        <v>0</v>
      </c>
      <c r="Z512" s="264">
        <f>IF(NFI_Expiration=1,IF($A512&lt;VLOOKUP(I$5,NFI,5,0),1,0)*Table_NFI[[#This Row],[NFI Core Kit]],Table_NFI[NFI Core Kit])</f>
        <v>0</v>
      </c>
      <c r="AA512" s="264">
        <f>IF(NFI_Expiration=1,IF($A512&lt;VLOOKUP(J$5,NFI,5,0),1,0)*Table_NFI[[#This Row],[Sanitary Kit]],Table_NFI[Sanitary Kit])</f>
        <v>0</v>
      </c>
      <c r="AB512" s="264">
        <f>IF(NFI_Expiration=1,IF($A512&lt;VLOOKUP(K$5,NFI,5,0),1,0)*Table_NFI[[#This Row],[Mosquito net]],Table_NFI[Mosquito net])</f>
        <v>0</v>
      </c>
      <c r="AC512" s="264">
        <f>IF(NFI_Expiration=1,IF($A512&lt;VLOOKUP(L$5,NFI,5,0),1,0)*Table_NFI[[#This Row],[Tarpaulin]],Table_NFI[[#This Row],[Tarpaulin]])</f>
        <v>0</v>
      </c>
      <c r="AD512" s="264">
        <f>IF(NFI_Expiration=1,IF($A512&lt;VLOOKUP(M$5,NFI,5,0),1,0)*Table_NFI[[#This Row],[Blanket]],Table_NFI[[#This Row],[Blanket]])</f>
        <v>0</v>
      </c>
      <c r="AE512" s="264">
        <f>IF(NFI_Expiration=1,IF($A512&lt;VLOOKUP(N$5,NFI,5,0),1,0)*Table_NFI[[#This Row],[Kitchen Set]],Table_NFI[Kitchen Set])</f>
        <v>0</v>
      </c>
      <c r="AF512" s="264">
        <f>IF(NFI_Expiration=1,IF($A512&lt;VLOOKUP(O$5,NFI,5,0),1,0)*Table_NFI[[#This Row],[Clothes Kit]],Table_NFI[Clothes Kit])</f>
        <v>0</v>
      </c>
      <c r="AG512" s="264">
        <f>IF(NFI_Expiration=1,IF($A512&lt;VLOOKUP(P$5,NFI,5,0),1,0)*Table_NFI[[#This Row],[Plastic Bucket]],Table_NFI[Plastic Bucket])</f>
        <v>0</v>
      </c>
      <c r="AH512" s="264">
        <f>IF(NFI_Expiration=1,IF($A512&lt;VLOOKUP(Q$5,NFI,5,0),1,0)*Table_NFI[[#This Row],[Plastic Mat]],Table_NFI[Plastic Mat])*IF(Table_NFI[[#This Row],[Distribution Date]]&gt;"2014-04-01",1,2.5)</f>
        <v>0</v>
      </c>
      <c r="AI512" s="264">
        <f>IF(NFI_Expiration=1,IF($A512&lt;VLOOKUP(R$5,NFI,5,0),1,0)*Table_NFI[[#This Row],[Winter Clothes Adult]],Table_NFI[Winter Clothes Adult])</f>
        <v>0</v>
      </c>
      <c r="AJ512" s="264">
        <f>IF(NFI_Expiration=1,IF($A512&lt;VLOOKUP(S$5,NFI,5,0),1,0)*Table_NFI[[#This Row],[Winter Clothes Children]],Table_NFI[Winter Clothes Children])</f>
        <v>0</v>
      </c>
      <c r="AK512" s="264">
        <f>IF(NFI_Expiration=1,IF($A512&lt;VLOOKUP(T$5,NFI,5,0),1,0)*Table_NFI[[#This Row],[Winter Items Other]],Table_NFI[Winter Items Other])</f>
        <v>0</v>
      </c>
      <c r="AL512" s="264">
        <f>IF(NFI_Expiration=1,IF($A512&lt;VLOOKUP(M$5,NFI,5,0),1,0)*Table_NFI[[#This Row],[Winter Blanket]],Table_NFI[[#This Row],[Winter Blanket]])</f>
        <v>0</v>
      </c>
      <c r="AM512" s="264">
        <f>IF(Table_NFI[[#This Row],[Winter Clothes Adult]]+Table_NFI[[#This Row],[Winter Clothes Children]]+Table_NFI[[#This Row],[Winter Items Other]]+Table_NFI[[#This Row],[Winter Blanket]]&gt;0,1,0)</f>
        <v>1</v>
      </c>
      <c r="AN512" s="296">
        <f>IF(NFI_Expiration=1,IF($A512&lt;VLOOKUP(V$5,NFI,5,0),1,0)*Table_NFI[[#This Row],[Jerry Can]],Table_NFI[Jerry Can])</f>
        <v>0</v>
      </c>
      <c r="AO512" s="296">
        <f>IF(NFI_Expiration=1,IF($A512&lt;VLOOKUP(V$5,NFI,5,0),1,0)*Table_NFI[[#This Row],[Shelter Tool kit]],Table_NFI[Shelter Tool kit])</f>
        <v>0</v>
      </c>
      <c r="AP512" s="296">
        <f>IF(NFI_Expiration=1,IF($A512&lt;VLOOKUP(V$5,NFI,5,0),1,0)*Table_NFI[[#This Row],[Tent]],Table_NFI[Tent])</f>
        <v>0</v>
      </c>
      <c r="AQ512" s="396" t="str">
        <f>IFERROR(VLOOKUP(Table_NFI[[#This Row],[Camp Name]],CL,2,0),"")</f>
        <v>MMR001CMP129</v>
      </c>
      <c r="AR512" s="702">
        <f ca="1">IF(Table_NFI[[#This Row],[Pcode]]="","",IF(OFFSET(CampList[Opening Date],MATCH(Table_NFI[[#This Row],[Pcode]],CampList[CP_Pcode],0)-1,0,1,1)&gt;=NFI_Monitor_Date,1,0))</f>
        <v>0</v>
      </c>
      <c r="AS512" s="396" t="str">
        <f>IFERROR(VLOOKUP(Table_NFI[[#This Row],[Camp Name]],CL,3,0),"")</f>
        <v>Open</v>
      </c>
      <c r="AT512" s="264" t="str">
        <f ca="1">IF(Table_NFI[[#This Row],[Pcode]]="","",OFFSET(CampList[Priority],MATCH(Table_NFI[[#This Row],[Pcode]],CampList[CP_Pcode],0)-1,0,1,1))</f>
        <v>P2</v>
      </c>
      <c r="AU512" s="263">
        <f>IFERROR(Table_NFI[[#This Row],[Kitchen Set]]/VLOOKUP(Table_NFI[[#This Row],[Camp Name]],CL,4,0),"")</f>
        <v>0</v>
      </c>
      <c r="AV512" s="390" t="s">
        <v>1087</v>
      </c>
      <c r="AW512" s="392"/>
      <c r="AX512" s="399"/>
      <c r="AY512" s="399"/>
      <c r="AZ512" s="399"/>
      <c r="BA512" s="399"/>
      <c r="BB512" s="399"/>
      <c r="BC512" s="399"/>
      <c r="BD512" s="399"/>
      <c r="BE512" s="399"/>
      <c r="BF512" s="399"/>
      <c r="BG512" s="399"/>
      <c r="BH512" s="399"/>
      <c r="BI512" s="399"/>
      <c r="BJ512" s="399"/>
      <c r="BK512" s="399"/>
      <c r="BL512" s="399"/>
      <c r="BM512" s="399"/>
      <c r="BN512" s="399"/>
      <c r="BO512" s="399"/>
      <c r="BP512" s="399"/>
      <c r="BQ512" s="399"/>
      <c r="BR512" s="399"/>
      <c r="BS512" s="399"/>
      <c r="BT512" s="399"/>
      <c r="BU512" s="399"/>
      <c r="BV512" s="399"/>
      <c r="BW512" s="399"/>
      <c r="BX512" s="399"/>
      <c r="BY512" s="399"/>
      <c r="BZ512" s="399"/>
      <c r="CA512" s="399"/>
      <c r="CB512" s="399"/>
      <c r="CC512" s="399"/>
      <c r="CD512" s="399"/>
      <c r="CE512" s="399"/>
      <c r="CF512" s="399"/>
      <c r="CG512" s="399"/>
      <c r="CH512" s="399"/>
      <c r="CI512" s="399"/>
      <c r="CJ512" s="399"/>
      <c r="CK512" s="399"/>
      <c r="CL512" s="399"/>
      <c r="CM512" s="399"/>
      <c r="CN512" s="399"/>
      <c r="CO512" s="399"/>
      <c r="CP512" s="399"/>
      <c r="CQ512" s="399"/>
      <c r="CR512" s="399"/>
      <c r="CS512" s="399"/>
      <c r="CT512" s="399"/>
      <c r="CU512" s="399"/>
      <c r="CV512" s="399"/>
      <c r="CW512" s="399"/>
      <c r="CX512" s="399"/>
      <c r="CY512" s="399"/>
      <c r="CZ512" s="399"/>
      <c r="DA512" s="399"/>
      <c r="DB512" s="399"/>
      <c r="DC512" s="399"/>
      <c r="DD512" s="399"/>
      <c r="DE512" s="399"/>
      <c r="DF512" s="399"/>
      <c r="DG512" s="399"/>
      <c r="DH512" s="399"/>
      <c r="DI512" s="399"/>
      <c r="DJ512" s="399"/>
      <c r="DK512" s="399"/>
      <c r="DL512" s="399"/>
      <c r="DM512" s="399"/>
      <c r="DN512" s="399"/>
      <c r="DO512" s="399"/>
      <c r="DP512" s="399"/>
      <c r="DQ512" s="399"/>
    </row>
    <row r="513" spans="1:121" s="760" customFormat="1" ht="14.45" customHeight="1" x14ac:dyDescent="0.25">
      <c r="A513" s="266">
        <f t="shared" si="7"/>
        <v>39.766666666666666</v>
      </c>
      <c r="B513" s="389">
        <v>41663</v>
      </c>
      <c r="C513" s="390" t="s">
        <v>451</v>
      </c>
      <c r="D513" s="391" t="s">
        <v>451</v>
      </c>
      <c r="E513" s="390" t="s">
        <v>380</v>
      </c>
      <c r="F513" s="390" t="s">
        <v>185</v>
      </c>
      <c r="G513" s="262" t="s">
        <v>219</v>
      </c>
      <c r="H513" s="261"/>
      <c r="I513" s="261"/>
      <c r="J513" s="261"/>
      <c r="K513" s="261">
        <v>60</v>
      </c>
      <c r="L513" s="261">
        <v>30</v>
      </c>
      <c r="M513" s="261">
        <v>60</v>
      </c>
      <c r="N513" s="261">
        <v>30</v>
      </c>
      <c r="O513" s="261"/>
      <c r="P513" s="261">
        <v>30</v>
      </c>
      <c r="Q513" s="261">
        <v>150</v>
      </c>
      <c r="R513" s="261"/>
      <c r="S513" s="261"/>
      <c r="T513" s="261"/>
      <c r="U513" s="261"/>
      <c r="V513" s="762"/>
      <c r="W513" s="261"/>
      <c r="X513" s="261"/>
      <c r="Y513" s="264">
        <f>IF(NFI_Expiration=1,IF($A513&lt;VLOOKUP(H$5,NFI,5,0),1,0)*Table_NFI[[#This Row],[Hygiene Kit]],Table_NFI[Hygiene Kit])</f>
        <v>0</v>
      </c>
      <c r="Z513" s="264">
        <f>IF(NFI_Expiration=1,IF($A513&lt;VLOOKUP(I$5,NFI,5,0),1,0)*Table_NFI[[#This Row],[NFI Core Kit]],Table_NFI[NFI Core Kit])</f>
        <v>0</v>
      </c>
      <c r="AA513" s="264">
        <f>IF(NFI_Expiration=1,IF($A513&lt;VLOOKUP(J$5,NFI,5,0),1,0)*Table_NFI[[#This Row],[Sanitary Kit]],Table_NFI[Sanitary Kit])</f>
        <v>0</v>
      </c>
      <c r="AB513" s="264">
        <f>IF(NFI_Expiration=1,IF($A513&lt;VLOOKUP(K$5,NFI,5,0),1,0)*Table_NFI[[#This Row],[Mosquito net]],Table_NFI[Mosquito net])</f>
        <v>0</v>
      </c>
      <c r="AC513" s="264">
        <f>IF(NFI_Expiration=1,IF($A513&lt;VLOOKUP(L$5,NFI,5,0),1,0)*Table_NFI[[#This Row],[Tarpaulin]],Table_NFI[[#This Row],[Tarpaulin]])</f>
        <v>0</v>
      </c>
      <c r="AD513" s="264">
        <f>IF(NFI_Expiration=1,IF($A513&lt;VLOOKUP(M$5,NFI,5,0),1,0)*Table_NFI[[#This Row],[Blanket]],Table_NFI[[#This Row],[Blanket]])</f>
        <v>0</v>
      </c>
      <c r="AE513" s="264">
        <f>IF(NFI_Expiration=1,IF($A513&lt;VLOOKUP(N$5,NFI,5,0),1,0)*Table_NFI[[#This Row],[Kitchen Set]],Table_NFI[Kitchen Set])</f>
        <v>0</v>
      </c>
      <c r="AF513" s="264">
        <f>IF(NFI_Expiration=1,IF($A513&lt;VLOOKUP(O$5,NFI,5,0),1,0)*Table_NFI[[#This Row],[Clothes Kit]],Table_NFI[Clothes Kit])</f>
        <v>0</v>
      </c>
      <c r="AG513" s="264">
        <f>IF(NFI_Expiration=1,IF($A513&lt;VLOOKUP(P$5,NFI,5,0),1,0)*Table_NFI[[#This Row],[Plastic Bucket]],Table_NFI[Plastic Bucket])</f>
        <v>0</v>
      </c>
      <c r="AH513" s="264">
        <f>IF(NFI_Expiration=1,IF($A513&lt;VLOOKUP(Q$5,NFI,5,0),1,0)*Table_NFI[[#This Row],[Plastic Mat]],Table_NFI[Plastic Mat])*IF(Table_NFI[[#This Row],[Distribution Date]]&gt;"2014-04-01",1,2.5)</f>
        <v>0</v>
      </c>
      <c r="AI513" s="264">
        <f>IF(NFI_Expiration=1,IF($A513&lt;VLOOKUP(R$5,NFI,5,0),1,0)*Table_NFI[[#This Row],[Winter Clothes Adult]],Table_NFI[Winter Clothes Adult])</f>
        <v>0</v>
      </c>
      <c r="AJ513" s="264">
        <f>IF(NFI_Expiration=1,IF($A513&lt;VLOOKUP(S$5,NFI,5,0),1,0)*Table_NFI[[#This Row],[Winter Clothes Children]],Table_NFI[Winter Clothes Children])</f>
        <v>0</v>
      </c>
      <c r="AK513" s="264">
        <f>IF(NFI_Expiration=1,IF($A513&lt;VLOOKUP(T$5,NFI,5,0),1,0)*Table_NFI[[#This Row],[Winter Items Other]],Table_NFI[Winter Items Other])</f>
        <v>0</v>
      </c>
      <c r="AL513" s="264">
        <f>IF(NFI_Expiration=1,IF($A513&lt;VLOOKUP(M$5,NFI,5,0),1,0)*Table_NFI[[#This Row],[Winter Blanket]],Table_NFI[[#This Row],[Winter Blanket]])</f>
        <v>0</v>
      </c>
      <c r="AM513" s="264">
        <f>IF(Table_NFI[[#This Row],[Winter Clothes Adult]]+Table_NFI[[#This Row],[Winter Clothes Children]]+Table_NFI[[#This Row],[Winter Items Other]]+Table_NFI[[#This Row],[Winter Blanket]]&gt;0,1,0)</f>
        <v>0</v>
      </c>
      <c r="AN513" s="296">
        <f>IF(NFI_Expiration=1,IF($A513&lt;VLOOKUP(V$5,NFI,5,0),1,0)*Table_NFI[[#This Row],[Jerry Can]],Table_NFI[Jerry Can])</f>
        <v>0</v>
      </c>
      <c r="AO513" s="296">
        <f>IF(NFI_Expiration=1,IF($A513&lt;VLOOKUP(V$5,NFI,5,0),1,0)*Table_NFI[[#This Row],[Shelter Tool kit]],Table_NFI[Shelter Tool kit])</f>
        <v>0</v>
      </c>
      <c r="AP513" s="296">
        <f>IF(NFI_Expiration=1,IF($A513&lt;VLOOKUP(V$5,NFI,5,0),1,0)*Table_NFI[[#This Row],[Tent]],Table_NFI[Tent])</f>
        <v>0</v>
      </c>
      <c r="AQ513" s="396" t="str">
        <f>IFERROR(VLOOKUP(Table_NFI[[#This Row],[Camp Name]],CL,2,0),"")</f>
        <v>MMR001CMP126</v>
      </c>
      <c r="AR513" s="702">
        <f ca="1">IF(Table_NFI[[#This Row],[Pcode]]="","",IF(OFFSET(CampList[Opening Date],MATCH(Table_NFI[[#This Row],[Pcode]],CampList[CP_Pcode],0)-1,0,1,1)&gt;=NFI_Monitor_Date,1,0))</f>
        <v>0</v>
      </c>
      <c r="AS513" s="396" t="str">
        <f>IFERROR(VLOOKUP(Table_NFI[[#This Row],[Camp Name]],CL,3,0),"")</f>
        <v>Open</v>
      </c>
      <c r="AT513" s="264" t="str">
        <f ca="1">IF(Table_NFI[[#This Row],[Pcode]]="","",OFFSET(CampList[Priority],MATCH(Table_NFI[[#This Row],[Pcode]],CampList[CP_Pcode],0)-1,0,1,1))</f>
        <v>P2</v>
      </c>
      <c r="AU513" s="263">
        <f>IFERROR(Table_NFI[[#This Row],[Kitchen Set]]/VLOOKUP(Table_NFI[[#This Row],[Camp Name]],CL,4,0),"")</f>
        <v>7.3170731707317073E-4</v>
      </c>
      <c r="AV513" s="390" t="s">
        <v>1087</v>
      </c>
      <c r="AW513" s="392"/>
      <c r="AX513" s="399"/>
      <c r="AY513" s="399"/>
      <c r="AZ513" s="399"/>
      <c r="BA513" s="399"/>
      <c r="BB513" s="399"/>
      <c r="BC513" s="399"/>
      <c r="BD513" s="399"/>
      <c r="BE513" s="399"/>
      <c r="BF513" s="399"/>
      <c r="BG513" s="399"/>
      <c r="BH513" s="399"/>
      <c r="BI513" s="399"/>
      <c r="BJ513" s="399"/>
      <c r="BK513" s="399"/>
      <c r="BL513" s="399"/>
      <c r="BM513" s="399"/>
      <c r="BN513" s="399"/>
      <c r="BO513" s="399"/>
      <c r="BP513" s="399"/>
      <c r="BQ513" s="399"/>
      <c r="BR513" s="399"/>
      <c r="BS513" s="399"/>
      <c r="BT513" s="399"/>
      <c r="BU513" s="399"/>
      <c r="BV513" s="399"/>
      <c r="BW513" s="399"/>
      <c r="BX513" s="399"/>
      <c r="BY513" s="399"/>
      <c r="BZ513" s="399"/>
      <c r="CA513" s="399"/>
      <c r="CB513" s="399"/>
      <c r="CC513" s="399"/>
      <c r="CD513" s="399"/>
      <c r="CE513" s="399"/>
      <c r="CF513" s="399"/>
      <c r="CG513" s="399"/>
      <c r="CH513" s="399"/>
      <c r="CI513" s="399"/>
      <c r="CJ513" s="399"/>
      <c r="CK513" s="399"/>
      <c r="CL513" s="399"/>
      <c r="CM513" s="399"/>
      <c r="CN513" s="399"/>
      <c r="CO513" s="399"/>
      <c r="CP513" s="399"/>
      <c r="CQ513" s="399"/>
      <c r="CR513" s="399"/>
      <c r="CS513" s="399"/>
      <c r="CT513" s="399"/>
      <c r="CU513" s="399"/>
      <c r="CV513" s="399"/>
      <c r="CW513" s="399"/>
      <c r="CX513" s="399"/>
      <c r="CY513" s="399"/>
      <c r="CZ513" s="399"/>
      <c r="DA513" s="399"/>
      <c r="DB513" s="399"/>
      <c r="DC513" s="399"/>
      <c r="DD513" s="399"/>
      <c r="DE513" s="399"/>
      <c r="DF513" s="399"/>
      <c r="DG513" s="399"/>
      <c r="DH513" s="399"/>
      <c r="DI513" s="399"/>
      <c r="DJ513" s="399"/>
      <c r="DK513" s="399"/>
      <c r="DL513" s="399"/>
      <c r="DM513" s="399"/>
      <c r="DN513" s="399"/>
      <c r="DO513" s="399"/>
      <c r="DP513" s="399"/>
      <c r="DQ513" s="399"/>
    </row>
    <row r="514" spans="1:121" s="760" customFormat="1" ht="15" customHeight="1" x14ac:dyDescent="0.25">
      <c r="A514" s="266">
        <f t="shared" si="7"/>
        <v>39.9</v>
      </c>
      <c r="B514" s="389">
        <v>41659</v>
      </c>
      <c r="C514" s="390" t="s">
        <v>452</v>
      </c>
      <c r="D514" s="390" t="s">
        <v>505</v>
      </c>
      <c r="E514" s="390" t="s">
        <v>380</v>
      </c>
      <c r="F514" s="390" t="s">
        <v>310</v>
      </c>
      <c r="G514" s="390" t="s">
        <v>322</v>
      </c>
      <c r="H514" s="261"/>
      <c r="I514" s="261"/>
      <c r="J514" s="261"/>
      <c r="K514" s="261"/>
      <c r="L514" s="261"/>
      <c r="M514" s="261"/>
      <c r="N514" s="261"/>
      <c r="O514" s="261"/>
      <c r="P514" s="261"/>
      <c r="Q514" s="261"/>
      <c r="R514" s="261">
        <v>1497</v>
      </c>
      <c r="S514" s="261">
        <v>925</v>
      </c>
      <c r="T514" s="261"/>
      <c r="U514" s="261"/>
      <c r="V514" s="762"/>
      <c r="W514" s="261"/>
      <c r="X514" s="261"/>
      <c r="Y514" s="264">
        <f>IF(NFI_Expiration=1,IF($A514&lt;VLOOKUP(H$5,NFI,5,0),1,0)*Table_NFI[[#This Row],[Hygiene Kit]],Table_NFI[Hygiene Kit])</f>
        <v>0</v>
      </c>
      <c r="Z514" s="264">
        <f>IF(NFI_Expiration=1,IF($A514&lt;VLOOKUP(I$5,NFI,5,0),1,0)*Table_NFI[[#This Row],[NFI Core Kit]],Table_NFI[NFI Core Kit])</f>
        <v>0</v>
      </c>
      <c r="AA514" s="264">
        <f>IF(NFI_Expiration=1,IF($A514&lt;VLOOKUP(J$5,NFI,5,0),1,0)*Table_NFI[[#This Row],[Sanitary Kit]],Table_NFI[Sanitary Kit])</f>
        <v>0</v>
      </c>
      <c r="AB514" s="264">
        <f>IF(NFI_Expiration=1,IF($A514&lt;VLOOKUP(K$5,NFI,5,0),1,0)*Table_NFI[[#This Row],[Mosquito net]],Table_NFI[Mosquito net])</f>
        <v>0</v>
      </c>
      <c r="AC514" s="264">
        <f>IF(NFI_Expiration=1,IF($A514&lt;VLOOKUP(L$5,NFI,5,0),1,0)*Table_NFI[[#This Row],[Tarpaulin]],Table_NFI[[#This Row],[Tarpaulin]])</f>
        <v>0</v>
      </c>
      <c r="AD514" s="264">
        <f>IF(NFI_Expiration=1,IF($A514&lt;VLOOKUP(M$5,NFI,5,0),1,0)*Table_NFI[[#This Row],[Blanket]],Table_NFI[[#This Row],[Blanket]])</f>
        <v>0</v>
      </c>
      <c r="AE514" s="264">
        <f>IF(NFI_Expiration=1,IF($A514&lt;VLOOKUP(N$5,NFI,5,0),1,0)*Table_NFI[[#This Row],[Kitchen Set]],Table_NFI[Kitchen Set])</f>
        <v>0</v>
      </c>
      <c r="AF514" s="264">
        <f>IF(NFI_Expiration=1,IF($A514&lt;VLOOKUP(O$5,NFI,5,0),1,0)*Table_NFI[[#This Row],[Clothes Kit]],Table_NFI[Clothes Kit])</f>
        <v>0</v>
      </c>
      <c r="AG514" s="264">
        <f>IF(NFI_Expiration=1,IF($A514&lt;VLOOKUP(P$5,NFI,5,0),1,0)*Table_NFI[[#This Row],[Plastic Bucket]],Table_NFI[Plastic Bucket])</f>
        <v>0</v>
      </c>
      <c r="AH514" s="264">
        <f>IF(NFI_Expiration=1,IF($A514&lt;VLOOKUP(Q$5,NFI,5,0),1,0)*Table_NFI[[#This Row],[Plastic Mat]],Table_NFI[Plastic Mat])*IF(Table_NFI[[#This Row],[Distribution Date]]&gt;"2014-04-01",1,2.5)</f>
        <v>0</v>
      </c>
      <c r="AI514" s="264">
        <f>IF(NFI_Expiration=1,IF($A514&lt;VLOOKUP(R$5,NFI,5,0),1,0)*Table_NFI[[#This Row],[Winter Clothes Adult]],Table_NFI[Winter Clothes Adult])</f>
        <v>0</v>
      </c>
      <c r="AJ514" s="264">
        <f>IF(NFI_Expiration=1,IF($A514&lt;VLOOKUP(S$5,NFI,5,0),1,0)*Table_NFI[[#This Row],[Winter Clothes Children]],Table_NFI[Winter Clothes Children])</f>
        <v>0</v>
      </c>
      <c r="AK514" s="264">
        <f>IF(NFI_Expiration=1,IF($A514&lt;VLOOKUP(T$5,NFI,5,0),1,0)*Table_NFI[[#This Row],[Winter Items Other]],Table_NFI[Winter Items Other])</f>
        <v>0</v>
      </c>
      <c r="AL514" s="264">
        <f>IF(NFI_Expiration=1,IF($A514&lt;VLOOKUP(M$5,NFI,5,0),1,0)*Table_NFI[[#This Row],[Winter Blanket]],Table_NFI[[#This Row],[Winter Blanket]])</f>
        <v>0</v>
      </c>
      <c r="AM514" s="264">
        <f>IF(Table_NFI[[#This Row],[Winter Clothes Adult]]+Table_NFI[[#This Row],[Winter Clothes Children]]+Table_NFI[[#This Row],[Winter Items Other]]+Table_NFI[[#This Row],[Winter Blanket]]&gt;0,1,0)</f>
        <v>1</v>
      </c>
      <c r="AN514" s="296">
        <f>IF(NFI_Expiration=1,IF($A514&lt;VLOOKUP(V$5,NFI,5,0),1,0)*Table_NFI[[#This Row],[Jerry Can]],Table_NFI[Jerry Can])</f>
        <v>0</v>
      </c>
      <c r="AO514" s="296">
        <f>IF(NFI_Expiration=1,IF($A514&lt;VLOOKUP(V$5,NFI,5,0),1,0)*Table_NFI[[#This Row],[Shelter Tool kit]],Table_NFI[Shelter Tool kit])</f>
        <v>0</v>
      </c>
      <c r="AP514" s="296">
        <f>IF(NFI_Expiration=1,IF($A514&lt;VLOOKUP(V$5,NFI,5,0),1,0)*Table_NFI[[#This Row],[Tent]],Table_NFI[Tent])</f>
        <v>0</v>
      </c>
      <c r="AQ514" s="396" t="str">
        <f>IFERROR(VLOOKUP(Table_NFI[[#This Row],[Camp Name]],CL,2,0),"")</f>
        <v>MMR001CMP119</v>
      </c>
      <c r="AR514" s="702">
        <f ca="1">IF(Table_NFI[[#This Row],[Pcode]]="","",IF(OFFSET(CampList[Opening Date],MATCH(Table_NFI[[#This Row],[Pcode]],CampList[CP_Pcode],0)-1,0,1,1)&gt;=NFI_Monitor_Date,1,0))</f>
        <v>0</v>
      </c>
      <c r="AS514" s="396" t="str">
        <f>IFERROR(VLOOKUP(Table_NFI[[#This Row],[Camp Name]],CL,3,0),"")</f>
        <v>Open</v>
      </c>
      <c r="AT514" s="264" t="str">
        <f ca="1">IF(Table_NFI[[#This Row],[Pcode]]="","",OFFSET(CampList[Priority],MATCH(Table_NFI[[#This Row],[Pcode]],CampList[CP_Pcode],0)-1,0,1,1))</f>
        <v>P2</v>
      </c>
      <c r="AU514" s="263">
        <f>IFERROR(Table_NFI[[#This Row],[Kitchen Set]]/VLOOKUP(Table_NFI[[#This Row],[Camp Name]],CL,4,0),"")</f>
        <v>0</v>
      </c>
      <c r="AV514" s="390" t="s">
        <v>1087</v>
      </c>
      <c r="AW514" s="392"/>
      <c r="AX514" s="399"/>
      <c r="AY514" s="399"/>
      <c r="AZ514" s="399"/>
      <c r="BA514" s="399"/>
      <c r="BB514" s="399"/>
      <c r="BC514" s="399"/>
      <c r="BD514" s="399"/>
      <c r="BE514" s="399"/>
      <c r="BF514" s="399"/>
      <c r="BG514" s="399"/>
      <c r="BH514" s="399"/>
      <c r="BI514" s="399"/>
      <c r="BJ514" s="399"/>
      <c r="BK514" s="399"/>
      <c r="BL514" s="399"/>
      <c r="BM514" s="399"/>
      <c r="BN514" s="399"/>
      <c r="BO514" s="399"/>
      <c r="BP514" s="399"/>
      <c r="BQ514" s="399"/>
      <c r="BR514" s="399"/>
      <c r="BS514" s="399"/>
      <c r="BT514" s="399"/>
      <c r="BU514" s="399"/>
      <c r="BV514" s="399"/>
      <c r="BW514" s="399"/>
      <c r="BX514" s="399"/>
      <c r="BY514" s="399"/>
      <c r="BZ514" s="399"/>
      <c r="CA514" s="399"/>
      <c r="CB514" s="399"/>
      <c r="CC514" s="399"/>
      <c r="CD514" s="399"/>
      <c r="CE514" s="399"/>
      <c r="CF514" s="399"/>
      <c r="CG514" s="399"/>
      <c r="CH514" s="399"/>
      <c r="CI514" s="399"/>
      <c r="CJ514" s="399"/>
      <c r="CK514" s="399"/>
      <c r="CL514" s="399"/>
      <c r="CM514" s="399"/>
      <c r="CN514" s="399"/>
      <c r="CO514" s="399"/>
      <c r="CP514" s="399"/>
      <c r="CQ514" s="399"/>
      <c r="CR514" s="399"/>
      <c r="CS514" s="399"/>
      <c r="CT514" s="399"/>
      <c r="CU514" s="399"/>
      <c r="CV514" s="399"/>
      <c r="CW514" s="399"/>
      <c r="CX514" s="399"/>
      <c r="CY514" s="399"/>
      <c r="CZ514" s="399"/>
      <c r="DA514" s="399"/>
      <c r="DB514" s="399"/>
      <c r="DC514" s="399"/>
      <c r="DD514" s="399"/>
      <c r="DE514" s="399"/>
      <c r="DF514" s="399"/>
      <c r="DG514" s="399"/>
      <c r="DH514" s="399"/>
      <c r="DI514" s="399"/>
      <c r="DJ514" s="399"/>
      <c r="DK514" s="399"/>
      <c r="DL514" s="399"/>
      <c r="DM514" s="399"/>
      <c r="DN514" s="399"/>
      <c r="DO514" s="399"/>
      <c r="DP514" s="399"/>
      <c r="DQ514" s="399"/>
    </row>
    <row r="515" spans="1:121" s="760" customFormat="1" ht="15" customHeight="1" x14ac:dyDescent="0.25">
      <c r="A515" s="266">
        <f t="shared" si="7"/>
        <v>39.9</v>
      </c>
      <c r="B515" s="389">
        <v>41659</v>
      </c>
      <c r="C515" s="390" t="s">
        <v>452</v>
      </c>
      <c r="D515" s="390" t="s">
        <v>505</v>
      </c>
      <c r="E515" s="390" t="s">
        <v>380</v>
      </c>
      <c r="F515" s="390" t="s">
        <v>310</v>
      </c>
      <c r="G515" s="390" t="s">
        <v>355</v>
      </c>
      <c r="H515" s="261"/>
      <c r="I515" s="261"/>
      <c r="J515" s="261"/>
      <c r="K515" s="261"/>
      <c r="L515" s="261"/>
      <c r="M515" s="261"/>
      <c r="N515" s="261"/>
      <c r="O515" s="261">
        <v>127</v>
      </c>
      <c r="P515" s="261"/>
      <c r="Q515" s="261"/>
      <c r="R515" s="261"/>
      <c r="S515" s="261"/>
      <c r="T515" s="261"/>
      <c r="U515" s="261"/>
      <c r="V515" s="762"/>
      <c r="W515" s="261"/>
      <c r="X515" s="261"/>
      <c r="Y515" s="264">
        <f>IF(NFI_Expiration=1,IF($A515&lt;VLOOKUP(H$5,NFI,5,0),1,0)*Table_NFI[[#This Row],[Hygiene Kit]],Table_NFI[Hygiene Kit])</f>
        <v>0</v>
      </c>
      <c r="Z515" s="264">
        <f>IF(NFI_Expiration=1,IF($A515&lt;VLOOKUP(I$5,NFI,5,0),1,0)*Table_NFI[[#This Row],[NFI Core Kit]],Table_NFI[NFI Core Kit])</f>
        <v>0</v>
      </c>
      <c r="AA515" s="264">
        <f>IF(NFI_Expiration=1,IF($A515&lt;VLOOKUP(J$5,NFI,5,0),1,0)*Table_NFI[[#This Row],[Sanitary Kit]],Table_NFI[Sanitary Kit])</f>
        <v>0</v>
      </c>
      <c r="AB515" s="264">
        <f>IF(NFI_Expiration=1,IF($A515&lt;VLOOKUP(K$5,NFI,5,0),1,0)*Table_NFI[[#This Row],[Mosquito net]],Table_NFI[Mosquito net])</f>
        <v>0</v>
      </c>
      <c r="AC515" s="264">
        <f>IF(NFI_Expiration=1,IF($A515&lt;VLOOKUP(L$5,NFI,5,0),1,0)*Table_NFI[[#This Row],[Tarpaulin]],Table_NFI[[#This Row],[Tarpaulin]])</f>
        <v>0</v>
      </c>
      <c r="AD515" s="264">
        <f>IF(NFI_Expiration=1,IF($A515&lt;VLOOKUP(M$5,NFI,5,0),1,0)*Table_NFI[[#This Row],[Blanket]],Table_NFI[[#This Row],[Blanket]])</f>
        <v>0</v>
      </c>
      <c r="AE515" s="264">
        <f>IF(NFI_Expiration=1,IF($A515&lt;VLOOKUP(N$5,NFI,5,0),1,0)*Table_NFI[[#This Row],[Kitchen Set]],Table_NFI[Kitchen Set])</f>
        <v>0</v>
      </c>
      <c r="AF515" s="264">
        <f>IF(NFI_Expiration=1,IF($A515&lt;VLOOKUP(O$5,NFI,5,0),1,0)*Table_NFI[[#This Row],[Clothes Kit]],Table_NFI[Clothes Kit])</f>
        <v>0</v>
      </c>
      <c r="AG515" s="264">
        <f>IF(NFI_Expiration=1,IF($A515&lt;VLOOKUP(P$5,NFI,5,0),1,0)*Table_NFI[[#This Row],[Plastic Bucket]],Table_NFI[Plastic Bucket])</f>
        <v>0</v>
      </c>
      <c r="AH515" s="264">
        <f>IF(NFI_Expiration=1,IF($A515&lt;VLOOKUP(Q$5,NFI,5,0),1,0)*Table_NFI[[#This Row],[Plastic Mat]],Table_NFI[Plastic Mat])*IF(Table_NFI[[#This Row],[Distribution Date]]&gt;"2014-04-01",1,2.5)</f>
        <v>0</v>
      </c>
      <c r="AI515" s="264">
        <f>IF(NFI_Expiration=1,IF($A515&lt;VLOOKUP(R$5,NFI,5,0),1,0)*Table_NFI[[#This Row],[Winter Clothes Adult]],Table_NFI[Winter Clothes Adult])</f>
        <v>0</v>
      </c>
      <c r="AJ515" s="264">
        <f>IF(NFI_Expiration=1,IF($A515&lt;VLOOKUP(S$5,NFI,5,0),1,0)*Table_NFI[[#This Row],[Winter Clothes Children]],Table_NFI[Winter Clothes Children])</f>
        <v>0</v>
      </c>
      <c r="AK515" s="264">
        <f>IF(NFI_Expiration=1,IF($A515&lt;VLOOKUP(T$5,NFI,5,0),1,0)*Table_NFI[[#This Row],[Winter Items Other]],Table_NFI[Winter Items Other])</f>
        <v>0</v>
      </c>
      <c r="AL515" s="264">
        <f>IF(NFI_Expiration=1,IF($A515&lt;VLOOKUP(M$5,NFI,5,0),1,0)*Table_NFI[[#This Row],[Winter Blanket]],Table_NFI[[#This Row],[Winter Blanket]])</f>
        <v>0</v>
      </c>
      <c r="AM515" s="264">
        <f>IF(Table_NFI[[#This Row],[Winter Clothes Adult]]+Table_NFI[[#This Row],[Winter Clothes Children]]+Table_NFI[[#This Row],[Winter Items Other]]+Table_NFI[[#This Row],[Winter Blanket]]&gt;0,1,0)</f>
        <v>0</v>
      </c>
      <c r="AN515" s="296">
        <f>IF(NFI_Expiration=1,IF($A515&lt;VLOOKUP(V$5,NFI,5,0),1,0)*Table_NFI[[#This Row],[Jerry Can]],Table_NFI[Jerry Can])</f>
        <v>0</v>
      </c>
      <c r="AO515" s="296">
        <f>IF(NFI_Expiration=1,IF($A515&lt;VLOOKUP(V$5,NFI,5,0),1,0)*Table_NFI[[#This Row],[Shelter Tool kit]],Table_NFI[Shelter Tool kit])</f>
        <v>0</v>
      </c>
      <c r="AP515" s="296">
        <f>IF(NFI_Expiration=1,IF($A515&lt;VLOOKUP(V$5,NFI,5,0),1,0)*Table_NFI[[#This Row],[Tent]],Table_NFI[Tent])</f>
        <v>0</v>
      </c>
      <c r="AQ515" s="396" t="str">
        <f>IFERROR(VLOOKUP(Table_NFI[[#This Row],[Camp Name]],CL,2,0),"")</f>
        <v>MMR001CMP160</v>
      </c>
      <c r="AR515" s="702">
        <f ca="1">IF(Table_NFI[[#This Row],[Pcode]]="","",IF(OFFSET(CampList[Opening Date],MATCH(Table_NFI[[#This Row],[Pcode]],CampList[CP_Pcode],0)-1,0,1,1)&gt;=NFI_Monitor_Date,1,0))</f>
        <v>0</v>
      </c>
      <c r="AS515" s="396" t="str">
        <f>IFERROR(VLOOKUP(Table_NFI[[#This Row],[Camp Name]],CL,3,0),"")</f>
        <v>Open</v>
      </c>
      <c r="AT515" s="264" t="str">
        <f ca="1">IF(Table_NFI[[#This Row],[Pcode]]="","",OFFSET(CampList[Priority],MATCH(Table_NFI[[#This Row],[Pcode]],CampList[CP_Pcode],0)-1,0,1,1))</f>
        <v>P1</v>
      </c>
      <c r="AU515" s="263">
        <f>IFERROR(Table_NFI[[#This Row],[Kitchen Set]]/VLOOKUP(Table_NFI[[#This Row],[Camp Name]],CL,4,0),"")</f>
        <v>0</v>
      </c>
      <c r="AV515" s="390" t="s">
        <v>1087</v>
      </c>
      <c r="AW515" s="392"/>
      <c r="AX515" s="399"/>
      <c r="AY515" s="399"/>
      <c r="AZ515" s="399"/>
      <c r="BA515" s="399"/>
      <c r="BB515" s="399"/>
      <c r="BC515" s="399"/>
      <c r="BD515" s="399"/>
      <c r="BE515" s="399"/>
      <c r="BF515" s="399"/>
      <c r="BG515" s="399"/>
      <c r="BH515" s="399"/>
      <c r="BI515" s="399"/>
      <c r="BJ515" s="399"/>
      <c r="BK515" s="399"/>
      <c r="BL515" s="399"/>
      <c r="BM515" s="399"/>
      <c r="BN515" s="399"/>
      <c r="BO515" s="399"/>
      <c r="BP515" s="399"/>
      <c r="BQ515" s="399"/>
      <c r="BR515" s="399"/>
      <c r="BS515" s="399"/>
      <c r="BT515" s="399"/>
      <c r="BU515" s="399"/>
      <c r="BV515" s="399"/>
      <c r="BW515" s="399"/>
      <c r="BX515" s="399"/>
      <c r="BY515" s="399"/>
      <c r="BZ515" s="399"/>
      <c r="CA515" s="399"/>
      <c r="CB515" s="399"/>
      <c r="CC515" s="399"/>
      <c r="CD515" s="399"/>
      <c r="CE515" s="399"/>
      <c r="CF515" s="399"/>
      <c r="CG515" s="399"/>
      <c r="CH515" s="399"/>
      <c r="CI515" s="399"/>
      <c r="CJ515" s="399"/>
      <c r="CK515" s="399"/>
      <c r="CL515" s="399"/>
      <c r="CM515" s="399"/>
      <c r="CN515" s="399"/>
      <c r="CO515" s="399"/>
      <c r="CP515" s="399"/>
      <c r="CQ515" s="399"/>
      <c r="CR515" s="399"/>
      <c r="CS515" s="399"/>
      <c r="CT515" s="399"/>
      <c r="CU515" s="399"/>
      <c r="CV515" s="399"/>
      <c r="CW515" s="399"/>
      <c r="CX515" s="399"/>
      <c r="CY515" s="399"/>
      <c r="CZ515" s="399"/>
      <c r="DA515" s="399"/>
      <c r="DB515" s="399"/>
      <c r="DC515" s="399"/>
      <c r="DD515" s="399"/>
      <c r="DE515" s="399"/>
      <c r="DF515" s="399"/>
      <c r="DG515" s="399"/>
      <c r="DH515" s="399"/>
      <c r="DI515" s="399"/>
      <c r="DJ515" s="399"/>
      <c r="DK515" s="399"/>
      <c r="DL515" s="399"/>
      <c r="DM515" s="399"/>
      <c r="DN515" s="399"/>
      <c r="DO515" s="399"/>
      <c r="DP515" s="399"/>
      <c r="DQ515" s="399"/>
    </row>
    <row r="516" spans="1:121" s="760" customFormat="1" ht="14.45" customHeight="1" x14ac:dyDescent="0.25">
      <c r="A516" s="266">
        <f t="shared" si="7"/>
        <v>39.9</v>
      </c>
      <c r="B516" s="389">
        <v>41659</v>
      </c>
      <c r="C516" s="390" t="s">
        <v>1089</v>
      </c>
      <c r="D516" s="390" t="s">
        <v>899</v>
      </c>
      <c r="E516" s="390" t="s">
        <v>380</v>
      </c>
      <c r="F516" s="390" t="s">
        <v>891</v>
      </c>
      <c r="G516" s="390" t="s">
        <v>893</v>
      </c>
      <c r="H516" s="261"/>
      <c r="I516" s="261"/>
      <c r="J516" s="261"/>
      <c r="K516" s="261">
        <v>8</v>
      </c>
      <c r="L516" s="261">
        <v>16</v>
      </c>
      <c r="M516" s="261">
        <v>16</v>
      </c>
      <c r="N516" s="261">
        <v>8</v>
      </c>
      <c r="O516" s="261"/>
      <c r="P516" s="261"/>
      <c r="Q516" s="261"/>
      <c r="R516" s="261">
        <v>19</v>
      </c>
      <c r="S516" s="261">
        <v>9</v>
      </c>
      <c r="T516" s="261"/>
      <c r="U516" s="261"/>
      <c r="V516" s="762"/>
      <c r="W516" s="261"/>
      <c r="X516" s="261"/>
      <c r="Y516" s="264">
        <f>IF(NFI_Expiration=1,IF($A516&lt;VLOOKUP(H$5,NFI,5,0),1,0)*Table_NFI[[#This Row],[Hygiene Kit]],Table_NFI[Hygiene Kit])</f>
        <v>0</v>
      </c>
      <c r="Z516" s="264">
        <f>IF(NFI_Expiration=1,IF($A516&lt;VLOOKUP(I$5,NFI,5,0),1,0)*Table_NFI[[#This Row],[NFI Core Kit]],Table_NFI[NFI Core Kit])</f>
        <v>0</v>
      </c>
      <c r="AA516" s="264">
        <f>IF(NFI_Expiration=1,IF($A516&lt;VLOOKUP(J$5,NFI,5,0),1,0)*Table_NFI[[#This Row],[Sanitary Kit]],Table_NFI[Sanitary Kit])</f>
        <v>0</v>
      </c>
      <c r="AB516" s="264">
        <f>IF(NFI_Expiration=1,IF($A516&lt;VLOOKUP(K$5,NFI,5,0),1,0)*Table_NFI[[#This Row],[Mosquito net]],Table_NFI[Mosquito net])</f>
        <v>0</v>
      </c>
      <c r="AC516" s="264">
        <f>IF(NFI_Expiration=1,IF($A516&lt;VLOOKUP(L$5,NFI,5,0),1,0)*Table_NFI[[#This Row],[Tarpaulin]],Table_NFI[[#This Row],[Tarpaulin]])</f>
        <v>0</v>
      </c>
      <c r="AD516" s="264">
        <f>IF(NFI_Expiration=1,IF($A516&lt;VLOOKUP(M$5,NFI,5,0),1,0)*Table_NFI[[#This Row],[Blanket]],Table_NFI[[#This Row],[Blanket]])</f>
        <v>0</v>
      </c>
      <c r="AE516" s="264">
        <f>IF(NFI_Expiration=1,IF($A516&lt;VLOOKUP(N$5,NFI,5,0),1,0)*Table_NFI[[#This Row],[Kitchen Set]],Table_NFI[Kitchen Set])</f>
        <v>0</v>
      </c>
      <c r="AF516" s="264">
        <f>IF(NFI_Expiration=1,IF($A516&lt;VLOOKUP(O$5,NFI,5,0),1,0)*Table_NFI[[#This Row],[Clothes Kit]],Table_NFI[Clothes Kit])</f>
        <v>0</v>
      </c>
      <c r="AG516" s="264">
        <f>IF(NFI_Expiration=1,IF($A516&lt;VLOOKUP(P$5,NFI,5,0),1,0)*Table_NFI[[#This Row],[Plastic Bucket]],Table_NFI[Plastic Bucket])</f>
        <v>0</v>
      </c>
      <c r="AH516" s="264">
        <f>IF(NFI_Expiration=1,IF($A516&lt;VLOOKUP(Q$5,NFI,5,0),1,0)*Table_NFI[[#This Row],[Plastic Mat]],Table_NFI[Plastic Mat])*IF(Table_NFI[[#This Row],[Distribution Date]]&gt;"2014-04-01",1,2.5)</f>
        <v>0</v>
      </c>
      <c r="AI516" s="264">
        <f>IF(NFI_Expiration=1,IF($A516&lt;VLOOKUP(R$5,NFI,5,0),1,0)*Table_NFI[[#This Row],[Winter Clothes Adult]],Table_NFI[Winter Clothes Adult])</f>
        <v>0</v>
      </c>
      <c r="AJ516" s="264">
        <f>IF(NFI_Expiration=1,IF($A516&lt;VLOOKUP(S$5,NFI,5,0),1,0)*Table_NFI[[#This Row],[Winter Clothes Children]],Table_NFI[Winter Clothes Children])</f>
        <v>0</v>
      </c>
      <c r="AK516" s="264">
        <f>IF(NFI_Expiration=1,IF($A516&lt;VLOOKUP(T$5,NFI,5,0),1,0)*Table_NFI[[#This Row],[Winter Items Other]],Table_NFI[Winter Items Other])</f>
        <v>0</v>
      </c>
      <c r="AL516" s="264">
        <f>IF(NFI_Expiration=1,IF($A516&lt;VLOOKUP(M$5,NFI,5,0),1,0)*Table_NFI[[#This Row],[Winter Blanket]],Table_NFI[[#This Row],[Winter Blanket]])</f>
        <v>0</v>
      </c>
      <c r="AM516" s="264">
        <f>IF(Table_NFI[[#This Row],[Winter Clothes Adult]]+Table_NFI[[#This Row],[Winter Clothes Children]]+Table_NFI[[#This Row],[Winter Items Other]]+Table_NFI[[#This Row],[Winter Blanket]]&gt;0,1,0)</f>
        <v>1</v>
      </c>
      <c r="AN516" s="296">
        <f>IF(NFI_Expiration=1,IF($A516&lt;VLOOKUP(V$5,NFI,5,0),1,0)*Table_NFI[[#This Row],[Jerry Can]],Table_NFI[Jerry Can])</f>
        <v>0</v>
      </c>
      <c r="AO516" s="296">
        <f>IF(NFI_Expiration=1,IF($A516&lt;VLOOKUP(V$5,NFI,5,0),1,0)*Table_NFI[[#This Row],[Shelter Tool kit]],Table_NFI[Shelter Tool kit])</f>
        <v>0</v>
      </c>
      <c r="AP516" s="296">
        <f>IF(NFI_Expiration=1,IF($A516&lt;VLOOKUP(V$5,NFI,5,0),1,0)*Table_NFI[[#This Row],[Tent]],Table_NFI[Tent])</f>
        <v>0</v>
      </c>
      <c r="AQ516" s="396" t="str">
        <f>IFERROR(VLOOKUP(Table_NFI[[#This Row],[Camp Name]],CL,2,0),"")</f>
        <v>MMR001CMP221</v>
      </c>
      <c r="AR516" s="702">
        <f ca="1">IF(Table_NFI[[#This Row],[Pcode]]="","",IF(OFFSET(CampList[Opening Date],MATCH(Table_NFI[[#This Row],[Pcode]],CampList[CP_Pcode],0)-1,0,1,1)&gt;=NFI_Monitor_Date,1,0))</f>
        <v>0</v>
      </c>
      <c r="AS516" s="396" t="str">
        <f>IFERROR(VLOOKUP(Table_NFI[[#This Row],[Camp Name]],CL,3,0),"")</f>
        <v>Closed</v>
      </c>
      <c r="AT516" s="264" t="str">
        <f ca="1">IF(Table_NFI[[#This Row],[Pcode]]="","",OFFSET(CampList[Priority],MATCH(Table_NFI[[#This Row],[Pcode]],CampList[CP_Pcode],0)-1,0,1,1))</f>
        <v>P3</v>
      </c>
      <c r="AU516" s="263">
        <f>IFERROR(Table_NFI[[#This Row],[Kitchen Set]]/VLOOKUP(Table_NFI[[#This Row],[Camp Name]],CL,4,0),"")</f>
        <v>1.9268750903222699E-4</v>
      </c>
      <c r="AV516" s="390"/>
      <c r="AW516" s="392"/>
      <c r="AX516" s="399"/>
      <c r="AY516" s="399"/>
      <c r="AZ516" s="399"/>
      <c r="BA516" s="399"/>
      <c r="BB516" s="399"/>
      <c r="BC516" s="399"/>
      <c r="BD516" s="399"/>
      <c r="BE516" s="399"/>
      <c r="BF516" s="399"/>
      <c r="BG516" s="399"/>
      <c r="BH516" s="399"/>
      <c r="BI516" s="399"/>
      <c r="BJ516" s="399"/>
      <c r="BK516" s="399"/>
      <c r="BL516" s="399"/>
      <c r="BM516" s="399"/>
      <c r="BN516" s="399"/>
      <c r="BO516" s="399"/>
      <c r="BP516" s="399"/>
      <c r="BQ516" s="399"/>
      <c r="BR516" s="399"/>
      <c r="BS516" s="399"/>
      <c r="BT516" s="399"/>
      <c r="BU516" s="399"/>
      <c r="BV516" s="399"/>
      <c r="BW516" s="399"/>
      <c r="BX516" s="399"/>
      <c r="BY516" s="399"/>
      <c r="BZ516" s="399"/>
      <c r="CA516" s="399"/>
      <c r="CB516" s="399"/>
      <c r="CC516" s="399"/>
      <c r="CD516" s="399"/>
      <c r="CE516" s="399"/>
      <c r="CF516" s="399"/>
      <c r="CG516" s="399"/>
      <c r="CH516" s="399"/>
      <c r="CI516" s="399"/>
      <c r="CJ516" s="399"/>
      <c r="CK516" s="399"/>
      <c r="CL516" s="399"/>
      <c r="CM516" s="399"/>
      <c r="CN516" s="399"/>
      <c r="CO516" s="399"/>
      <c r="CP516" s="399"/>
      <c r="CQ516" s="399"/>
      <c r="CR516" s="399"/>
      <c r="CS516" s="399"/>
      <c r="CT516" s="399"/>
      <c r="CU516" s="399"/>
      <c r="CV516" s="399"/>
      <c r="CW516" s="399"/>
      <c r="CX516" s="399"/>
      <c r="CY516" s="399"/>
      <c r="CZ516" s="399"/>
      <c r="DA516" s="399"/>
      <c r="DB516" s="399"/>
      <c r="DC516" s="399"/>
      <c r="DD516" s="399"/>
      <c r="DE516" s="399"/>
      <c r="DF516" s="399"/>
      <c r="DG516" s="399"/>
      <c r="DH516" s="399"/>
      <c r="DI516" s="399"/>
      <c r="DJ516" s="399"/>
      <c r="DK516" s="399"/>
      <c r="DL516" s="399"/>
      <c r="DM516" s="399"/>
      <c r="DN516" s="399"/>
      <c r="DO516" s="399"/>
      <c r="DP516" s="399"/>
      <c r="DQ516" s="399"/>
    </row>
    <row r="517" spans="1:121" s="760" customFormat="1" ht="15" customHeight="1" x14ac:dyDescent="0.25">
      <c r="A517" s="266">
        <f t="shared" si="7"/>
        <v>39.9</v>
      </c>
      <c r="B517" s="389">
        <v>41659</v>
      </c>
      <c r="C517" s="390" t="s">
        <v>1089</v>
      </c>
      <c r="D517" s="390" t="s">
        <v>899</v>
      </c>
      <c r="E517" s="390" t="s">
        <v>380</v>
      </c>
      <c r="F517" s="390" t="s">
        <v>300</v>
      </c>
      <c r="G517" s="390" t="s">
        <v>889</v>
      </c>
      <c r="H517" s="261"/>
      <c r="I517" s="261"/>
      <c r="J517" s="261"/>
      <c r="K517" s="261">
        <v>17</v>
      </c>
      <c r="L517" s="261">
        <v>34</v>
      </c>
      <c r="M517" s="261">
        <v>34</v>
      </c>
      <c r="N517" s="261">
        <v>17</v>
      </c>
      <c r="O517" s="261"/>
      <c r="P517" s="261"/>
      <c r="Q517" s="261"/>
      <c r="R517" s="261">
        <v>31</v>
      </c>
      <c r="S517" s="261">
        <v>28</v>
      </c>
      <c r="T517" s="261"/>
      <c r="U517" s="261"/>
      <c r="V517" s="762"/>
      <c r="W517" s="261"/>
      <c r="X517" s="261"/>
      <c r="Y517" s="264">
        <f>IF(NFI_Expiration=1,IF($A517&lt;VLOOKUP(H$5,NFI,5,0),1,0)*Table_NFI[[#This Row],[Hygiene Kit]],Table_NFI[Hygiene Kit])</f>
        <v>0</v>
      </c>
      <c r="Z517" s="264">
        <f>IF(NFI_Expiration=1,IF($A517&lt;VLOOKUP(I$5,NFI,5,0),1,0)*Table_NFI[[#This Row],[NFI Core Kit]],Table_NFI[NFI Core Kit])</f>
        <v>0</v>
      </c>
      <c r="AA517" s="264">
        <f>IF(NFI_Expiration=1,IF($A517&lt;VLOOKUP(J$5,NFI,5,0),1,0)*Table_NFI[[#This Row],[Sanitary Kit]],Table_NFI[Sanitary Kit])</f>
        <v>0</v>
      </c>
      <c r="AB517" s="264">
        <f>IF(NFI_Expiration=1,IF($A517&lt;VLOOKUP(K$5,NFI,5,0),1,0)*Table_NFI[[#This Row],[Mosquito net]],Table_NFI[Mosquito net])</f>
        <v>0</v>
      </c>
      <c r="AC517" s="264">
        <f>IF(NFI_Expiration=1,IF($A517&lt;VLOOKUP(L$5,NFI,5,0),1,0)*Table_NFI[[#This Row],[Tarpaulin]],Table_NFI[[#This Row],[Tarpaulin]])</f>
        <v>0</v>
      </c>
      <c r="AD517" s="264">
        <f>IF(NFI_Expiration=1,IF($A517&lt;VLOOKUP(M$5,NFI,5,0),1,0)*Table_NFI[[#This Row],[Blanket]],Table_NFI[[#This Row],[Blanket]])</f>
        <v>0</v>
      </c>
      <c r="AE517" s="264">
        <f>IF(NFI_Expiration=1,IF($A517&lt;VLOOKUP(N$5,NFI,5,0),1,0)*Table_NFI[[#This Row],[Kitchen Set]],Table_NFI[Kitchen Set])</f>
        <v>0</v>
      </c>
      <c r="AF517" s="264">
        <f>IF(NFI_Expiration=1,IF($A517&lt;VLOOKUP(O$5,NFI,5,0),1,0)*Table_NFI[[#This Row],[Clothes Kit]],Table_NFI[Clothes Kit])</f>
        <v>0</v>
      </c>
      <c r="AG517" s="264">
        <f>IF(NFI_Expiration=1,IF($A517&lt;VLOOKUP(P$5,NFI,5,0),1,0)*Table_NFI[[#This Row],[Plastic Bucket]],Table_NFI[Plastic Bucket])</f>
        <v>0</v>
      </c>
      <c r="AH517" s="264">
        <f>IF(NFI_Expiration=1,IF($A517&lt;VLOOKUP(Q$5,NFI,5,0),1,0)*Table_NFI[[#This Row],[Plastic Mat]],Table_NFI[Plastic Mat])*IF(Table_NFI[[#This Row],[Distribution Date]]&gt;"2014-04-01",1,2.5)</f>
        <v>0</v>
      </c>
      <c r="AI517" s="264">
        <f>IF(NFI_Expiration=1,IF($A517&lt;VLOOKUP(R$5,NFI,5,0),1,0)*Table_NFI[[#This Row],[Winter Clothes Adult]],Table_NFI[Winter Clothes Adult])</f>
        <v>0</v>
      </c>
      <c r="AJ517" s="264">
        <f>IF(NFI_Expiration=1,IF($A517&lt;VLOOKUP(S$5,NFI,5,0),1,0)*Table_NFI[[#This Row],[Winter Clothes Children]],Table_NFI[Winter Clothes Children])</f>
        <v>0</v>
      </c>
      <c r="AK517" s="264">
        <f>IF(NFI_Expiration=1,IF($A517&lt;VLOOKUP(T$5,NFI,5,0),1,0)*Table_NFI[[#This Row],[Winter Items Other]],Table_NFI[Winter Items Other])</f>
        <v>0</v>
      </c>
      <c r="AL517" s="264">
        <f>IF(NFI_Expiration=1,IF($A517&lt;VLOOKUP(M$5,NFI,5,0),1,0)*Table_NFI[[#This Row],[Winter Blanket]],Table_NFI[[#This Row],[Winter Blanket]])</f>
        <v>0</v>
      </c>
      <c r="AM517" s="264">
        <f>IF(Table_NFI[[#This Row],[Winter Clothes Adult]]+Table_NFI[[#This Row],[Winter Clothes Children]]+Table_NFI[[#This Row],[Winter Items Other]]+Table_NFI[[#This Row],[Winter Blanket]]&gt;0,1,0)</f>
        <v>1</v>
      </c>
      <c r="AN517" s="296">
        <f>IF(NFI_Expiration=1,IF($A517&lt;VLOOKUP(V$5,NFI,5,0),1,0)*Table_NFI[[#This Row],[Jerry Can]],Table_NFI[Jerry Can])</f>
        <v>0</v>
      </c>
      <c r="AO517" s="296">
        <f>IF(NFI_Expiration=1,IF($A517&lt;VLOOKUP(V$5,NFI,5,0),1,0)*Table_NFI[[#This Row],[Shelter Tool kit]],Table_NFI[Shelter Tool kit])</f>
        <v>0</v>
      </c>
      <c r="AP517" s="296">
        <f>IF(NFI_Expiration=1,IF($A517&lt;VLOOKUP(V$5,NFI,5,0),1,0)*Table_NFI[[#This Row],[Tent]],Table_NFI[Tent])</f>
        <v>0</v>
      </c>
      <c r="AQ517" s="396" t="str">
        <f>IFERROR(VLOOKUP(Table_NFI[[#This Row],[Camp Name]],CL,2,0),"")</f>
        <v>MMR001CMP220</v>
      </c>
      <c r="AR517" s="702">
        <f ca="1">IF(Table_NFI[[#This Row],[Pcode]]="","",IF(OFFSET(CampList[Opening Date],MATCH(Table_NFI[[#This Row],[Pcode]],CampList[CP_Pcode],0)-1,0,1,1)&gt;=NFI_Monitor_Date,1,0))</f>
        <v>0</v>
      </c>
      <c r="AS517" s="396" t="str">
        <f>IFERROR(VLOOKUP(Table_NFI[[#This Row],[Camp Name]],CL,3,0),"")</f>
        <v>Closed</v>
      </c>
      <c r="AT517" s="264" t="str">
        <f ca="1">IF(Table_NFI[[#This Row],[Pcode]]="","",OFFSET(CampList[Priority],MATCH(Table_NFI[[#This Row],[Pcode]],CampList[CP_Pcode],0)-1,0,1,1))</f>
        <v>P3</v>
      </c>
      <c r="AU517" s="263">
        <f>IFERROR(Table_NFI[[#This Row],[Kitchen Set]]/VLOOKUP(Table_NFI[[#This Row],[Camp Name]],CL,4,0),"")</f>
        <v>4.0976691493720927E-4</v>
      </c>
      <c r="AV517" s="390"/>
      <c r="AW517" s="392"/>
      <c r="AX517" s="399"/>
      <c r="AY517" s="399"/>
      <c r="AZ517" s="399"/>
      <c r="BA517" s="399"/>
      <c r="BB517" s="399"/>
      <c r="BC517" s="399"/>
      <c r="BD517" s="399"/>
      <c r="BE517" s="399"/>
      <c r="BF517" s="399"/>
      <c r="BG517" s="399"/>
      <c r="BH517" s="399"/>
      <c r="BI517" s="399"/>
      <c r="BJ517" s="399"/>
      <c r="BK517" s="399"/>
      <c r="BL517" s="399"/>
      <c r="BM517" s="399"/>
      <c r="BN517" s="399"/>
      <c r="BO517" s="399"/>
      <c r="BP517" s="399"/>
      <c r="BQ517" s="399"/>
      <c r="BR517" s="399"/>
      <c r="BS517" s="399"/>
      <c r="BT517" s="399"/>
      <c r="BU517" s="399"/>
      <c r="BV517" s="399"/>
      <c r="BW517" s="399"/>
      <c r="BX517" s="399"/>
      <c r="BY517" s="399"/>
      <c r="BZ517" s="399"/>
      <c r="CA517" s="399"/>
      <c r="CB517" s="399"/>
      <c r="CC517" s="399"/>
      <c r="CD517" s="399"/>
      <c r="CE517" s="399"/>
      <c r="CF517" s="399"/>
      <c r="CG517" s="399"/>
      <c r="CH517" s="399"/>
      <c r="CI517" s="399"/>
      <c r="CJ517" s="399"/>
      <c r="CK517" s="399"/>
      <c r="CL517" s="399"/>
      <c r="CM517" s="399"/>
      <c r="CN517" s="399"/>
      <c r="CO517" s="399"/>
      <c r="CP517" s="399"/>
      <c r="CQ517" s="399"/>
      <c r="CR517" s="399"/>
      <c r="CS517" s="399"/>
      <c r="CT517" s="399"/>
      <c r="CU517" s="399"/>
      <c r="CV517" s="399"/>
      <c r="CW517" s="399"/>
      <c r="CX517" s="399"/>
      <c r="CY517" s="399"/>
      <c r="CZ517" s="399"/>
      <c r="DA517" s="399"/>
      <c r="DB517" s="399"/>
      <c r="DC517" s="399"/>
      <c r="DD517" s="399"/>
      <c r="DE517" s="399"/>
      <c r="DF517" s="399"/>
      <c r="DG517" s="399"/>
      <c r="DH517" s="399"/>
      <c r="DI517" s="399"/>
      <c r="DJ517" s="399"/>
      <c r="DK517" s="399"/>
      <c r="DL517" s="399"/>
      <c r="DM517" s="399"/>
      <c r="DN517" s="399"/>
      <c r="DO517" s="399"/>
      <c r="DP517" s="399"/>
      <c r="DQ517" s="399"/>
    </row>
    <row r="518" spans="1:121" s="760" customFormat="1" ht="15" customHeight="1" x14ac:dyDescent="0.25">
      <c r="A518" s="266">
        <f t="shared" ref="A518:A581" si="8">IF(ISBLANK(B518),"",(Report_Date-B518)/30)</f>
        <v>39.9</v>
      </c>
      <c r="B518" s="389">
        <v>41659</v>
      </c>
      <c r="C518" s="390" t="s">
        <v>452</v>
      </c>
      <c r="D518" s="390" t="s">
        <v>505</v>
      </c>
      <c r="E518" s="390" t="s">
        <v>380</v>
      </c>
      <c r="F518" s="390" t="s">
        <v>310</v>
      </c>
      <c r="G518" s="390" t="s">
        <v>355</v>
      </c>
      <c r="H518" s="261"/>
      <c r="I518" s="261"/>
      <c r="J518" s="261"/>
      <c r="K518" s="261"/>
      <c r="L518" s="261"/>
      <c r="M518" s="261"/>
      <c r="N518" s="261"/>
      <c r="O518" s="261"/>
      <c r="P518" s="261"/>
      <c r="Q518" s="261"/>
      <c r="R518" s="261">
        <v>443</v>
      </c>
      <c r="S518" s="261">
        <v>218</v>
      </c>
      <c r="T518" s="261"/>
      <c r="U518" s="261"/>
      <c r="V518" s="762"/>
      <c r="W518" s="261"/>
      <c r="X518" s="261"/>
      <c r="Y518" s="264">
        <f>IF(NFI_Expiration=1,IF($A518&lt;VLOOKUP(H$5,NFI,5,0),1,0)*Table_NFI[[#This Row],[Hygiene Kit]],Table_NFI[Hygiene Kit])</f>
        <v>0</v>
      </c>
      <c r="Z518" s="264">
        <f>IF(NFI_Expiration=1,IF($A518&lt;VLOOKUP(I$5,NFI,5,0),1,0)*Table_NFI[[#This Row],[NFI Core Kit]],Table_NFI[NFI Core Kit])</f>
        <v>0</v>
      </c>
      <c r="AA518" s="264">
        <f>IF(NFI_Expiration=1,IF($A518&lt;VLOOKUP(J$5,NFI,5,0),1,0)*Table_NFI[[#This Row],[Sanitary Kit]],Table_NFI[Sanitary Kit])</f>
        <v>0</v>
      </c>
      <c r="AB518" s="264">
        <f>IF(NFI_Expiration=1,IF($A518&lt;VLOOKUP(K$5,NFI,5,0),1,0)*Table_NFI[[#This Row],[Mosquito net]],Table_NFI[Mosquito net])</f>
        <v>0</v>
      </c>
      <c r="AC518" s="264">
        <f>IF(NFI_Expiration=1,IF($A518&lt;VLOOKUP(L$5,NFI,5,0),1,0)*Table_NFI[[#This Row],[Tarpaulin]],Table_NFI[[#This Row],[Tarpaulin]])</f>
        <v>0</v>
      </c>
      <c r="AD518" s="264">
        <f>IF(NFI_Expiration=1,IF($A518&lt;VLOOKUP(M$5,NFI,5,0),1,0)*Table_NFI[[#This Row],[Blanket]],Table_NFI[[#This Row],[Blanket]])</f>
        <v>0</v>
      </c>
      <c r="AE518" s="264">
        <f>IF(NFI_Expiration=1,IF($A518&lt;VLOOKUP(N$5,NFI,5,0),1,0)*Table_NFI[[#This Row],[Kitchen Set]],Table_NFI[Kitchen Set])</f>
        <v>0</v>
      </c>
      <c r="AF518" s="264">
        <f>IF(NFI_Expiration=1,IF($A518&lt;VLOOKUP(O$5,NFI,5,0),1,0)*Table_NFI[[#This Row],[Clothes Kit]],Table_NFI[Clothes Kit])</f>
        <v>0</v>
      </c>
      <c r="AG518" s="264">
        <f>IF(NFI_Expiration=1,IF($A518&lt;VLOOKUP(P$5,NFI,5,0),1,0)*Table_NFI[[#This Row],[Plastic Bucket]],Table_NFI[Plastic Bucket])</f>
        <v>0</v>
      </c>
      <c r="AH518" s="264">
        <f>IF(NFI_Expiration=1,IF($A518&lt;VLOOKUP(Q$5,NFI,5,0),1,0)*Table_NFI[[#This Row],[Plastic Mat]],Table_NFI[Plastic Mat])*IF(Table_NFI[[#This Row],[Distribution Date]]&gt;"2014-04-01",1,2.5)</f>
        <v>0</v>
      </c>
      <c r="AI518" s="264">
        <f>IF(NFI_Expiration=1,IF($A518&lt;VLOOKUP(R$5,NFI,5,0),1,0)*Table_NFI[[#This Row],[Winter Clothes Adult]],Table_NFI[Winter Clothes Adult])</f>
        <v>0</v>
      </c>
      <c r="AJ518" s="264">
        <f>IF(NFI_Expiration=1,IF($A518&lt;VLOOKUP(S$5,NFI,5,0),1,0)*Table_NFI[[#This Row],[Winter Clothes Children]],Table_NFI[Winter Clothes Children])</f>
        <v>0</v>
      </c>
      <c r="AK518" s="264">
        <f>IF(NFI_Expiration=1,IF($A518&lt;VLOOKUP(T$5,NFI,5,0),1,0)*Table_NFI[[#This Row],[Winter Items Other]],Table_NFI[Winter Items Other])</f>
        <v>0</v>
      </c>
      <c r="AL518" s="264">
        <f>IF(NFI_Expiration=1,IF($A518&lt;VLOOKUP(M$5,NFI,5,0),1,0)*Table_NFI[[#This Row],[Winter Blanket]],Table_NFI[[#This Row],[Winter Blanket]])</f>
        <v>0</v>
      </c>
      <c r="AM518" s="264">
        <f>IF(Table_NFI[[#This Row],[Winter Clothes Adult]]+Table_NFI[[#This Row],[Winter Clothes Children]]+Table_NFI[[#This Row],[Winter Items Other]]+Table_NFI[[#This Row],[Winter Blanket]]&gt;0,1,0)</f>
        <v>1</v>
      </c>
      <c r="AN518" s="296">
        <f>IF(NFI_Expiration=1,IF($A518&lt;VLOOKUP(V$5,NFI,5,0),1,0)*Table_NFI[[#This Row],[Jerry Can]],Table_NFI[Jerry Can])</f>
        <v>0</v>
      </c>
      <c r="AO518" s="296">
        <f>IF(NFI_Expiration=1,IF($A518&lt;VLOOKUP(V$5,NFI,5,0),1,0)*Table_NFI[[#This Row],[Shelter Tool kit]],Table_NFI[Shelter Tool kit])</f>
        <v>0</v>
      </c>
      <c r="AP518" s="296">
        <f>IF(NFI_Expiration=1,IF($A518&lt;VLOOKUP(V$5,NFI,5,0),1,0)*Table_NFI[[#This Row],[Tent]],Table_NFI[Tent])</f>
        <v>0</v>
      </c>
      <c r="AQ518" s="396" t="str">
        <f>IFERROR(VLOOKUP(Table_NFI[[#This Row],[Camp Name]],CL,2,0),"")</f>
        <v>MMR001CMP160</v>
      </c>
      <c r="AR518" s="702">
        <f ca="1">IF(Table_NFI[[#This Row],[Pcode]]="","",IF(OFFSET(CampList[Opening Date],MATCH(Table_NFI[[#This Row],[Pcode]],CampList[CP_Pcode],0)-1,0,1,1)&gt;=NFI_Monitor_Date,1,0))</f>
        <v>0</v>
      </c>
      <c r="AS518" s="396" t="str">
        <f>IFERROR(VLOOKUP(Table_NFI[[#This Row],[Camp Name]],CL,3,0),"")</f>
        <v>Open</v>
      </c>
      <c r="AT518" s="264" t="str">
        <f ca="1">IF(Table_NFI[[#This Row],[Pcode]]="","",OFFSET(CampList[Priority],MATCH(Table_NFI[[#This Row],[Pcode]],CampList[CP_Pcode],0)-1,0,1,1))</f>
        <v>P1</v>
      </c>
      <c r="AU518" s="263">
        <f>IFERROR(Table_NFI[[#This Row],[Kitchen Set]]/VLOOKUP(Table_NFI[[#This Row],[Camp Name]],CL,4,0),"")</f>
        <v>0</v>
      </c>
      <c r="AV518" s="390" t="s">
        <v>1087</v>
      </c>
      <c r="AW518" s="392"/>
      <c r="AX518" s="399"/>
      <c r="AY518" s="399"/>
      <c r="AZ518" s="399"/>
      <c r="BA518" s="399"/>
      <c r="BB518" s="399"/>
      <c r="BC518" s="399"/>
      <c r="BD518" s="399"/>
      <c r="BE518" s="399"/>
      <c r="BF518" s="399"/>
      <c r="BG518" s="399"/>
      <c r="BH518" s="399"/>
      <c r="BI518" s="399"/>
      <c r="BJ518" s="399"/>
      <c r="BK518" s="399"/>
      <c r="BL518" s="399"/>
      <c r="BM518" s="399"/>
      <c r="BN518" s="399"/>
      <c r="BO518" s="399"/>
      <c r="BP518" s="399"/>
      <c r="BQ518" s="399"/>
      <c r="BR518" s="399"/>
      <c r="BS518" s="399"/>
      <c r="BT518" s="399"/>
      <c r="BU518" s="399"/>
      <c r="BV518" s="399"/>
      <c r="BW518" s="399"/>
      <c r="BX518" s="399"/>
      <c r="BY518" s="399"/>
      <c r="BZ518" s="399"/>
      <c r="CA518" s="399"/>
      <c r="CB518" s="399"/>
      <c r="CC518" s="399"/>
      <c r="CD518" s="399"/>
      <c r="CE518" s="399"/>
      <c r="CF518" s="399"/>
      <c r="CG518" s="399"/>
      <c r="CH518" s="399"/>
      <c r="CI518" s="399"/>
      <c r="CJ518" s="399"/>
      <c r="CK518" s="399"/>
      <c r="CL518" s="399"/>
      <c r="CM518" s="399"/>
      <c r="CN518" s="399"/>
      <c r="CO518" s="399"/>
      <c r="CP518" s="399"/>
      <c r="CQ518" s="399"/>
      <c r="CR518" s="399"/>
      <c r="CS518" s="399"/>
      <c r="CT518" s="399"/>
      <c r="CU518" s="399"/>
      <c r="CV518" s="399"/>
      <c r="CW518" s="399"/>
      <c r="CX518" s="399"/>
      <c r="CY518" s="399"/>
      <c r="CZ518" s="399"/>
      <c r="DA518" s="399"/>
      <c r="DB518" s="399"/>
      <c r="DC518" s="399"/>
      <c r="DD518" s="399"/>
      <c r="DE518" s="399"/>
      <c r="DF518" s="399"/>
      <c r="DG518" s="399"/>
      <c r="DH518" s="399"/>
      <c r="DI518" s="399"/>
      <c r="DJ518" s="399"/>
      <c r="DK518" s="399"/>
      <c r="DL518" s="399"/>
      <c r="DM518" s="399"/>
      <c r="DN518" s="399"/>
      <c r="DO518" s="399"/>
      <c r="DP518" s="399"/>
      <c r="DQ518" s="399"/>
    </row>
    <row r="519" spans="1:121" s="760" customFormat="1" ht="14.45" customHeight="1" x14ac:dyDescent="0.25">
      <c r="A519" s="266">
        <f t="shared" si="8"/>
        <v>39.9</v>
      </c>
      <c r="B519" s="389">
        <v>41659</v>
      </c>
      <c r="C519" s="390" t="s">
        <v>1089</v>
      </c>
      <c r="D519" s="390" t="s">
        <v>899</v>
      </c>
      <c r="E519" s="390" t="s">
        <v>380</v>
      </c>
      <c r="F519" s="390" t="s">
        <v>300</v>
      </c>
      <c r="G519" s="390" t="s">
        <v>301</v>
      </c>
      <c r="H519" s="261"/>
      <c r="I519" s="261"/>
      <c r="J519" s="261"/>
      <c r="K519" s="261">
        <v>18</v>
      </c>
      <c r="L519" s="261">
        <v>36</v>
      </c>
      <c r="M519" s="261">
        <v>36</v>
      </c>
      <c r="N519" s="261">
        <v>18</v>
      </c>
      <c r="O519" s="261"/>
      <c r="P519" s="261"/>
      <c r="Q519" s="261"/>
      <c r="R519" s="261">
        <v>53</v>
      </c>
      <c r="S519" s="261">
        <v>42</v>
      </c>
      <c r="T519" s="261"/>
      <c r="U519" s="261"/>
      <c r="V519" s="762"/>
      <c r="W519" s="261"/>
      <c r="X519" s="261"/>
      <c r="Y519" s="264">
        <f>IF(NFI_Expiration=1,IF($A519&lt;VLOOKUP(H$5,NFI,5,0),1,0)*Table_NFI[[#This Row],[Hygiene Kit]],Table_NFI[Hygiene Kit])</f>
        <v>0</v>
      </c>
      <c r="Z519" s="264">
        <f>IF(NFI_Expiration=1,IF($A519&lt;VLOOKUP(I$5,NFI,5,0),1,0)*Table_NFI[[#This Row],[NFI Core Kit]],Table_NFI[NFI Core Kit])</f>
        <v>0</v>
      </c>
      <c r="AA519" s="264">
        <f>IF(NFI_Expiration=1,IF($A519&lt;VLOOKUP(J$5,NFI,5,0),1,0)*Table_NFI[[#This Row],[Sanitary Kit]],Table_NFI[Sanitary Kit])</f>
        <v>0</v>
      </c>
      <c r="AB519" s="264">
        <f>IF(NFI_Expiration=1,IF($A519&lt;VLOOKUP(K$5,NFI,5,0),1,0)*Table_NFI[[#This Row],[Mosquito net]],Table_NFI[Mosquito net])</f>
        <v>0</v>
      </c>
      <c r="AC519" s="264">
        <f>IF(NFI_Expiration=1,IF($A519&lt;VLOOKUP(L$5,NFI,5,0),1,0)*Table_NFI[[#This Row],[Tarpaulin]],Table_NFI[[#This Row],[Tarpaulin]])</f>
        <v>0</v>
      </c>
      <c r="AD519" s="264">
        <f>IF(NFI_Expiration=1,IF($A519&lt;VLOOKUP(M$5,NFI,5,0),1,0)*Table_NFI[[#This Row],[Blanket]],Table_NFI[[#This Row],[Blanket]])</f>
        <v>0</v>
      </c>
      <c r="AE519" s="264">
        <f>IF(NFI_Expiration=1,IF($A519&lt;VLOOKUP(N$5,NFI,5,0),1,0)*Table_NFI[[#This Row],[Kitchen Set]],Table_NFI[Kitchen Set])</f>
        <v>0</v>
      </c>
      <c r="AF519" s="264">
        <f>IF(NFI_Expiration=1,IF($A519&lt;VLOOKUP(O$5,NFI,5,0),1,0)*Table_NFI[[#This Row],[Clothes Kit]],Table_NFI[Clothes Kit])</f>
        <v>0</v>
      </c>
      <c r="AG519" s="264">
        <f>IF(NFI_Expiration=1,IF($A519&lt;VLOOKUP(P$5,NFI,5,0),1,0)*Table_NFI[[#This Row],[Plastic Bucket]],Table_NFI[Plastic Bucket])</f>
        <v>0</v>
      </c>
      <c r="AH519" s="264">
        <f>IF(NFI_Expiration=1,IF($A519&lt;VLOOKUP(Q$5,NFI,5,0),1,0)*Table_NFI[[#This Row],[Plastic Mat]],Table_NFI[Plastic Mat])*IF(Table_NFI[[#This Row],[Distribution Date]]&gt;"2014-04-01",1,2.5)</f>
        <v>0</v>
      </c>
      <c r="AI519" s="264">
        <f>IF(NFI_Expiration=1,IF($A519&lt;VLOOKUP(R$5,NFI,5,0),1,0)*Table_NFI[[#This Row],[Winter Clothes Adult]],Table_NFI[Winter Clothes Adult])</f>
        <v>0</v>
      </c>
      <c r="AJ519" s="264">
        <f>IF(NFI_Expiration=1,IF($A519&lt;VLOOKUP(S$5,NFI,5,0),1,0)*Table_NFI[[#This Row],[Winter Clothes Children]],Table_NFI[Winter Clothes Children])</f>
        <v>0</v>
      </c>
      <c r="AK519" s="264">
        <f>IF(NFI_Expiration=1,IF($A519&lt;VLOOKUP(T$5,NFI,5,0),1,0)*Table_NFI[[#This Row],[Winter Items Other]],Table_NFI[Winter Items Other])</f>
        <v>0</v>
      </c>
      <c r="AL519" s="264">
        <f>IF(NFI_Expiration=1,IF($A519&lt;VLOOKUP(M$5,NFI,5,0),1,0)*Table_NFI[[#This Row],[Winter Blanket]],Table_NFI[[#This Row],[Winter Blanket]])</f>
        <v>0</v>
      </c>
      <c r="AM519" s="264">
        <f>IF(Table_NFI[[#This Row],[Winter Clothes Adult]]+Table_NFI[[#This Row],[Winter Clothes Children]]+Table_NFI[[#This Row],[Winter Items Other]]+Table_NFI[[#This Row],[Winter Blanket]]&gt;0,1,0)</f>
        <v>1</v>
      </c>
      <c r="AN519" s="296">
        <f>IF(NFI_Expiration=1,IF($A519&lt;VLOOKUP(V$5,NFI,5,0),1,0)*Table_NFI[[#This Row],[Jerry Can]],Table_NFI[Jerry Can])</f>
        <v>0</v>
      </c>
      <c r="AO519" s="296">
        <f>IF(NFI_Expiration=1,IF($A519&lt;VLOOKUP(V$5,NFI,5,0),1,0)*Table_NFI[[#This Row],[Shelter Tool kit]],Table_NFI[Shelter Tool kit])</f>
        <v>0</v>
      </c>
      <c r="AP519" s="296">
        <f>IF(NFI_Expiration=1,IF($A519&lt;VLOOKUP(V$5,NFI,5,0),1,0)*Table_NFI[[#This Row],[Tent]],Table_NFI[Tent])</f>
        <v>0</v>
      </c>
      <c r="AQ519" s="396" t="str">
        <f>IFERROR(VLOOKUP(Table_NFI[[#This Row],[Camp Name]],CL,2,0),"")</f>
        <v>MMR001CMP075</v>
      </c>
      <c r="AR519" s="702">
        <f ca="1">IF(Table_NFI[[#This Row],[Pcode]]="","",IF(OFFSET(CampList[Opening Date],MATCH(Table_NFI[[#This Row],[Pcode]],CampList[CP_Pcode],0)-1,0,1,1)&gt;=NFI_Monitor_Date,1,0))</f>
        <v>0</v>
      </c>
      <c r="AS519" s="396" t="str">
        <f>IFERROR(VLOOKUP(Table_NFI[[#This Row],[Camp Name]],CL,3,0),"")</f>
        <v>Open</v>
      </c>
      <c r="AT519" s="264" t="str">
        <f ca="1">IF(Table_NFI[[#This Row],[Pcode]]="","",OFFSET(CampList[Priority],MATCH(Table_NFI[[#This Row],[Pcode]],CampList[CP_Pcode],0)-1,0,1,1))</f>
        <v>P3</v>
      </c>
      <c r="AU519" s="263" t="str">
        <f>IFERROR(Table_NFI[[#This Row],[Kitchen Set]]/VLOOKUP(Table_NFI[[#This Row],[Camp Name]],CL,4,0),"")</f>
        <v/>
      </c>
      <c r="AV519" s="390"/>
      <c r="AW519" s="392"/>
      <c r="AX519" s="399"/>
      <c r="AY519" s="399"/>
      <c r="AZ519" s="399"/>
      <c r="BA519" s="399"/>
      <c r="BB519" s="399"/>
      <c r="BC519" s="399"/>
      <c r="BD519" s="399"/>
      <c r="BE519" s="399"/>
      <c r="BF519" s="399"/>
      <c r="BG519" s="399"/>
      <c r="BH519" s="399"/>
      <c r="BI519" s="399"/>
      <c r="BJ519" s="399"/>
      <c r="BK519" s="399"/>
      <c r="BL519" s="399"/>
      <c r="BM519" s="399"/>
      <c r="BN519" s="399"/>
      <c r="BO519" s="399"/>
      <c r="BP519" s="399"/>
      <c r="BQ519" s="399"/>
      <c r="BR519" s="399"/>
      <c r="BS519" s="399"/>
      <c r="BT519" s="399"/>
      <c r="BU519" s="399"/>
      <c r="BV519" s="399"/>
      <c r="BW519" s="399"/>
      <c r="BX519" s="399"/>
      <c r="BY519" s="399"/>
      <c r="BZ519" s="399"/>
      <c r="CA519" s="399"/>
      <c r="CB519" s="399"/>
      <c r="CC519" s="399"/>
      <c r="CD519" s="399"/>
      <c r="CE519" s="399"/>
      <c r="CF519" s="399"/>
      <c r="CG519" s="399"/>
      <c r="CH519" s="399"/>
      <c r="CI519" s="399"/>
      <c r="CJ519" s="399"/>
      <c r="CK519" s="399"/>
      <c r="CL519" s="399"/>
      <c r="CM519" s="399"/>
      <c r="CN519" s="399"/>
      <c r="CO519" s="399"/>
      <c r="CP519" s="399"/>
      <c r="CQ519" s="399"/>
      <c r="CR519" s="399"/>
      <c r="CS519" s="399"/>
      <c r="CT519" s="399"/>
      <c r="CU519" s="399"/>
      <c r="CV519" s="399"/>
      <c r="CW519" s="399"/>
      <c r="CX519" s="399"/>
      <c r="CY519" s="399"/>
      <c r="CZ519" s="399"/>
      <c r="DA519" s="399"/>
      <c r="DB519" s="399"/>
      <c r="DC519" s="399"/>
      <c r="DD519" s="399"/>
      <c r="DE519" s="399"/>
      <c r="DF519" s="399"/>
      <c r="DG519" s="399"/>
      <c r="DH519" s="399"/>
      <c r="DI519" s="399"/>
      <c r="DJ519" s="399"/>
      <c r="DK519" s="399"/>
      <c r="DL519" s="399"/>
      <c r="DM519" s="399"/>
      <c r="DN519" s="399"/>
      <c r="DO519" s="399"/>
      <c r="DP519" s="399"/>
      <c r="DQ519" s="399"/>
    </row>
    <row r="520" spans="1:121" s="760" customFormat="1" ht="14.45" customHeight="1" x14ac:dyDescent="0.25">
      <c r="A520" s="266">
        <f t="shared" si="8"/>
        <v>40.033333333333331</v>
      </c>
      <c r="B520" s="389">
        <v>41655</v>
      </c>
      <c r="C520" s="390" t="s">
        <v>451</v>
      </c>
      <c r="D520" s="391" t="s">
        <v>451</v>
      </c>
      <c r="E520" s="390" t="s">
        <v>380</v>
      </c>
      <c r="F520" s="262" t="s">
        <v>151</v>
      </c>
      <c r="G520" s="262" t="s">
        <v>188</v>
      </c>
      <c r="H520" s="261"/>
      <c r="I520" s="261"/>
      <c r="J520" s="261"/>
      <c r="K520" s="261">
        <v>45</v>
      </c>
      <c r="L520" s="261">
        <v>30</v>
      </c>
      <c r="M520" s="261">
        <v>45</v>
      </c>
      <c r="N520" s="261">
        <v>30</v>
      </c>
      <c r="O520" s="261"/>
      <c r="P520" s="261">
        <v>30</v>
      </c>
      <c r="Q520" s="261">
        <v>150</v>
      </c>
      <c r="R520" s="261"/>
      <c r="S520" s="261"/>
      <c r="T520" s="261"/>
      <c r="U520" s="261"/>
      <c r="V520" s="762"/>
      <c r="W520" s="261"/>
      <c r="X520" s="261"/>
      <c r="Y520" s="264">
        <f>IF(NFI_Expiration=1,IF($A520&lt;VLOOKUP(H$5,NFI,5,0),1,0)*Table_NFI[[#This Row],[Hygiene Kit]],Table_NFI[Hygiene Kit])</f>
        <v>0</v>
      </c>
      <c r="Z520" s="264">
        <f>IF(NFI_Expiration=1,IF($A520&lt;VLOOKUP(I$5,NFI,5,0),1,0)*Table_NFI[[#This Row],[NFI Core Kit]],Table_NFI[NFI Core Kit])</f>
        <v>0</v>
      </c>
      <c r="AA520" s="264">
        <f>IF(NFI_Expiration=1,IF($A520&lt;VLOOKUP(J$5,NFI,5,0),1,0)*Table_NFI[[#This Row],[Sanitary Kit]],Table_NFI[Sanitary Kit])</f>
        <v>0</v>
      </c>
      <c r="AB520" s="264">
        <f>IF(NFI_Expiration=1,IF($A520&lt;VLOOKUP(K$5,NFI,5,0),1,0)*Table_NFI[[#This Row],[Mosquito net]],Table_NFI[Mosquito net])</f>
        <v>0</v>
      </c>
      <c r="AC520" s="264">
        <f>IF(NFI_Expiration=1,IF($A520&lt;VLOOKUP(L$5,NFI,5,0),1,0)*Table_NFI[[#This Row],[Tarpaulin]],Table_NFI[[#This Row],[Tarpaulin]])</f>
        <v>0</v>
      </c>
      <c r="AD520" s="264">
        <f>IF(NFI_Expiration=1,IF($A520&lt;VLOOKUP(M$5,NFI,5,0),1,0)*Table_NFI[[#This Row],[Blanket]],Table_NFI[[#This Row],[Blanket]])</f>
        <v>0</v>
      </c>
      <c r="AE520" s="264">
        <f>IF(NFI_Expiration=1,IF($A520&lt;VLOOKUP(N$5,NFI,5,0),1,0)*Table_NFI[[#This Row],[Kitchen Set]],Table_NFI[Kitchen Set])</f>
        <v>0</v>
      </c>
      <c r="AF520" s="264">
        <f>IF(NFI_Expiration=1,IF($A520&lt;VLOOKUP(O$5,NFI,5,0),1,0)*Table_NFI[[#This Row],[Clothes Kit]],Table_NFI[Clothes Kit])</f>
        <v>0</v>
      </c>
      <c r="AG520" s="264">
        <f>IF(NFI_Expiration=1,IF($A520&lt;VLOOKUP(P$5,NFI,5,0),1,0)*Table_NFI[[#This Row],[Plastic Bucket]],Table_NFI[Plastic Bucket])</f>
        <v>0</v>
      </c>
      <c r="AH520" s="264">
        <f>IF(NFI_Expiration=1,IF($A520&lt;VLOOKUP(Q$5,NFI,5,0),1,0)*Table_NFI[[#This Row],[Plastic Mat]],Table_NFI[Plastic Mat])*IF(Table_NFI[[#This Row],[Distribution Date]]&gt;"2014-04-01",1,2.5)</f>
        <v>0</v>
      </c>
      <c r="AI520" s="264">
        <f>IF(NFI_Expiration=1,IF($A520&lt;VLOOKUP(R$5,NFI,5,0),1,0)*Table_NFI[[#This Row],[Winter Clothes Adult]],Table_NFI[Winter Clothes Adult])</f>
        <v>0</v>
      </c>
      <c r="AJ520" s="264">
        <f>IF(NFI_Expiration=1,IF($A520&lt;VLOOKUP(S$5,NFI,5,0),1,0)*Table_NFI[[#This Row],[Winter Clothes Children]],Table_NFI[Winter Clothes Children])</f>
        <v>0</v>
      </c>
      <c r="AK520" s="264">
        <f>IF(NFI_Expiration=1,IF($A520&lt;VLOOKUP(T$5,NFI,5,0),1,0)*Table_NFI[[#This Row],[Winter Items Other]],Table_NFI[Winter Items Other])</f>
        <v>0</v>
      </c>
      <c r="AL520" s="264">
        <f>IF(NFI_Expiration=1,IF($A520&lt;VLOOKUP(M$5,NFI,5,0),1,0)*Table_NFI[[#This Row],[Winter Blanket]],Table_NFI[[#This Row],[Winter Blanket]])</f>
        <v>0</v>
      </c>
      <c r="AM520" s="264">
        <f>IF(Table_NFI[[#This Row],[Winter Clothes Adult]]+Table_NFI[[#This Row],[Winter Clothes Children]]+Table_NFI[[#This Row],[Winter Items Other]]+Table_NFI[[#This Row],[Winter Blanket]]&gt;0,1,0)</f>
        <v>0</v>
      </c>
      <c r="AN520" s="296">
        <f>IF(NFI_Expiration=1,IF($A520&lt;VLOOKUP(V$5,NFI,5,0),1,0)*Table_NFI[[#This Row],[Jerry Can]],Table_NFI[Jerry Can])</f>
        <v>0</v>
      </c>
      <c r="AO520" s="296">
        <f>IF(NFI_Expiration=1,IF($A520&lt;VLOOKUP(V$5,NFI,5,0),1,0)*Table_NFI[[#This Row],[Shelter Tool kit]],Table_NFI[Shelter Tool kit])</f>
        <v>0</v>
      </c>
      <c r="AP520" s="296">
        <f>IF(NFI_Expiration=1,IF($A520&lt;VLOOKUP(V$5,NFI,5,0),1,0)*Table_NFI[[#This Row],[Tent]],Table_NFI[Tent])</f>
        <v>0</v>
      </c>
      <c r="AQ520" s="396" t="str">
        <f>IFERROR(VLOOKUP(Table_NFI[[#This Row],[Camp Name]],CL,2,0),"")</f>
        <v>MMR001CMP129</v>
      </c>
      <c r="AR520" s="702">
        <f ca="1">IF(Table_NFI[[#This Row],[Pcode]]="","",IF(OFFSET(CampList[Opening Date],MATCH(Table_NFI[[#This Row],[Pcode]],CampList[CP_Pcode],0)-1,0,1,1)&gt;=NFI_Monitor_Date,1,0))</f>
        <v>0</v>
      </c>
      <c r="AS520" s="396" t="str">
        <f>IFERROR(VLOOKUP(Table_NFI[[#This Row],[Camp Name]],CL,3,0),"")</f>
        <v>Open</v>
      </c>
      <c r="AT520" s="264" t="str">
        <f ca="1">IF(Table_NFI[[#This Row],[Pcode]]="","",OFFSET(CampList[Priority],MATCH(Table_NFI[[#This Row],[Pcode]],CampList[CP_Pcode],0)-1,0,1,1))</f>
        <v>P2</v>
      </c>
      <c r="AU520" s="263">
        <f>IFERROR(Table_NFI[[#This Row],[Kitchen Set]]/VLOOKUP(Table_NFI[[#This Row],[Camp Name]],CL,4,0),"")</f>
        <v>7.3498787270010043E-4</v>
      </c>
      <c r="AV520" s="390" t="s">
        <v>1087</v>
      </c>
      <c r="AW520" s="392"/>
      <c r="AX520" s="399"/>
      <c r="AY520" s="399"/>
      <c r="AZ520" s="399"/>
      <c r="BA520" s="399"/>
      <c r="BB520" s="399"/>
      <c r="BC520" s="399"/>
      <c r="BD520" s="399"/>
      <c r="BE520" s="399"/>
      <c r="BF520" s="399"/>
      <c r="BG520" s="399"/>
      <c r="BH520" s="399"/>
      <c r="BI520" s="399"/>
      <c r="BJ520" s="399"/>
      <c r="BK520" s="399"/>
      <c r="BL520" s="399"/>
      <c r="BM520" s="399"/>
      <c r="BN520" s="399"/>
      <c r="BO520" s="399"/>
      <c r="BP520" s="399"/>
      <c r="BQ520" s="399"/>
      <c r="BR520" s="399"/>
      <c r="BS520" s="399"/>
      <c r="BT520" s="399"/>
      <c r="BU520" s="399"/>
      <c r="BV520" s="399"/>
      <c r="BW520" s="399"/>
      <c r="BX520" s="399"/>
      <c r="BY520" s="399"/>
      <c r="BZ520" s="399"/>
      <c r="CA520" s="399"/>
      <c r="CB520" s="399"/>
      <c r="CC520" s="399"/>
      <c r="CD520" s="399"/>
      <c r="CE520" s="399"/>
      <c r="CF520" s="399"/>
      <c r="CG520" s="399"/>
      <c r="CH520" s="399"/>
      <c r="CI520" s="399"/>
      <c r="CJ520" s="399"/>
      <c r="CK520" s="399"/>
      <c r="CL520" s="399"/>
      <c r="CM520" s="399"/>
      <c r="CN520" s="399"/>
      <c r="CO520" s="399"/>
      <c r="CP520" s="399"/>
      <c r="CQ520" s="399"/>
      <c r="CR520" s="399"/>
      <c r="CS520" s="399"/>
      <c r="CT520" s="399"/>
      <c r="CU520" s="399"/>
      <c r="CV520" s="399"/>
      <c r="CW520" s="399"/>
      <c r="CX520" s="399"/>
      <c r="CY520" s="399"/>
      <c r="CZ520" s="399"/>
      <c r="DA520" s="399"/>
      <c r="DB520" s="399"/>
      <c r="DC520" s="399"/>
      <c r="DD520" s="399"/>
      <c r="DE520" s="399"/>
      <c r="DF520" s="399"/>
      <c r="DG520" s="399"/>
      <c r="DH520" s="399"/>
      <c r="DI520" s="399"/>
      <c r="DJ520" s="399"/>
      <c r="DK520" s="399"/>
      <c r="DL520" s="399"/>
      <c r="DM520" s="399"/>
      <c r="DN520" s="399"/>
      <c r="DO520" s="399"/>
      <c r="DP520" s="399"/>
      <c r="DQ520" s="399"/>
    </row>
    <row r="521" spans="1:121" s="393" customFormat="1" ht="14.45" customHeight="1" x14ac:dyDescent="0.25">
      <c r="A521" s="266">
        <f t="shared" si="8"/>
        <v>40.033333333333331</v>
      </c>
      <c r="B521" s="389">
        <v>41655</v>
      </c>
      <c r="C521" s="390" t="s">
        <v>452</v>
      </c>
      <c r="D521" s="390" t="s">
        <v>505</v>
      </c>
      <c r="E521" s="390" t="s">
        <v>380</v>
      </c>
      <c r="F521" s="390" t="s">
        <v>310</v>
      </c>
      <c r="G521" s="390" t="s">
        <v>322</v>
      </c>
      <c r="H521" s="261"/>
      <c r="I521" s="261"/>
      <c r="J521" s="261"/>
      <c r="K521" s="261"/>
      <c r="L521" s="261"/>
      <c r="M521" s="261"/>
      <c r="N521" s="261"/>
      <c r="O521" s="261">
        <v>600</v>
      </c>
      <c r="P521" s="261"/>
      <c r="Q521" s="261"/>
      <c r="R521" s="261"/>
      <c r="S521" s="261"/>
      <c r="T521" s="261"/>
      <c r="U521" s="261"/>
      <c r="V521" s="762"/>
      <c r="W521" s="261"/>
      <c r="X521" s="261"/>
      <c r="Y521" s="264">
        <f>IF(NFI_Expiration=1,IF($A521&lt;VLOOKUP(H$5,NFI,5,0),1,0)*Table_NFI[[#This Row],[Hygiene Kit]],Table_NFI[Hygiene Kit])</f>
        <v>0</v>
      </c>
      <c r="Z521" s="264">
        <f>IF(NFI_Expiration=1,IF($A521&lt;VLOOKUP(I$5,NFI,5,0),1,0)*Table_NFI[[#This Row],[NFI Core Kit]],Table_NFI[NFI Core Kit])</f>
        <v>0</v>
      </c>
      <c r="AA521" s="264">
        <f>IF(NFI_Expiration=1,IF($A521&lt;VLOOKUP(J$5,NFI,5,0),1,0)*Table_NFI[[#This Row],[Sanitary Kit]],Table_NFI[Sanitary Kit])</f>
        <v>0</v>
      </c>
      <c r="AB521" s="264">
        <f>IF(NFI_Expiration=1,IF($A521&lt;VLOOKUP(K$5,NFI,5,0),1,0)*Table_NFI[[#This Row],[Mosquito net]],Table_NFI[Mosquito net])</f>
        <v>0</v>
      </c>
      <c r="AC521" s="264">
        <f>IF(NFI_Expiration=1,IF($A521&lt;VLOOKUP(L$5,NFI,5,0),1,0)*Table_NFI[[#This Row],[Tarpaulin]],Table_NFI[[#This Row],[Tarpaulin]])</f>
        <v>0</v>
      </c>
      <c r="AD521" s="264">
        <f>IF(NFI_Expiration=1,IF($A521&lt;VLOOKUP(M$5,NFI,5,0),1,0)*Table_NFI[[#This Row],[Blanket]],Table_NFI[[#This Row],[Blanket]])</f>
        <v>0</v>
      </c>
      <c r="AE521" s="264">
        <f>IF(NFI_Expiration=1,IF($A521&lt;VLOOKUP(N$5,NFI,5,0),1,0)*Table_NFI[[#This Row],[Kitchen Set]],Table_NFI[Kitchen Set])</f>
        <v>0</v>
      </c>
      <c r="AF521" s="264">
        <f>IF(NFI_Expiration=1,IF($A521&lt;VLOOKUP(O$5,NFI,5,0),1,0)*Table_NFI[[#This Row],[Clothes Kit]],Table_NFI[Clothes Kit])</f>
        <v>0</v>
      </c>
      <c r="AG521" s="264">
        <f>IF(NFI_Expiration=1,IF($A521&lt;VLOOKUP(P$5,NFI,5,0),1,0)*Table_NFI[[#This Row],[Plastic Bucket]],Table_NFI[Plastic Bucket])</f>
        <v>0</v>
      </c>
      <c r="AH521" s="264">
        <f>IF(NFI_Expiration=1,IF($A521&lt;VLOOKUP(Q$5,NFI,5,0),1,0)*Table_NFI[[#This Row],[Plastic Mat]],Table_NFI[Plastic Mat])*IF(Table_NFI[[#This Row],[Distribution Date]]&gt;"2014-04-01",1,2.5)</f>
        <v>0</v>
      </c>
      <c r="AI521" s="264">
        <f>IF(NFI_Expiration=1,IF($A521&lt;VLOOKUP(R$5,NFI,5,0),1,0)*Table_NFI[[#This Row],[Winter Clothes Adult]],Table_NFI[Winter Clothes Adult])</f>
        <v>0</v>
      </c>
      <c r="AJ521" s="264">
        <f>IF(NFI_Expiration=1,IF($A521&lt;VLOOKUP(S$5,NFI,5,0),1,0)*Table_NFI[[#This Row],[Winter Clothes Children]],Table_NFI[Winter Clothes Children])</f>
        <v>0</v>
      </c>
      <c r="AK521" s="264">
        <f>IF(NFI_Expiration=1,IF($A521&lt;VLOOKUP(T$5,NFI,5,0),1,0)*Table_NFI[[#This Row],[Winter Items Other]],Table_NFI[Winter Items Other])</f>
        <v>0</v>
      </c>
      <c r="AL521" s="264">
        <f>IF(NFI_Expiration=1,IF($A521&lt;VLOOKUP(M$5,NFI,5,0),1,0)*Table_NFI[[#This Row],[Winter Blanket]],Table_NFI[[#This Row],[Winter Blanket]])</f>
        <v>0</v>
      </c>
      <c r="AM521" s="264">
        <f>IF(Table_NFI[[#This Row],[Winter Clothes Adult]]+Table_NFI[[#This Row],[Winter Clothes Children]]+Table_NFI[[#This Row],[Winter Items Other]]+Table_NFI[[#This Row],[Winter Blanket]]&gt;0,1,0)</f>
        <v>0</v>
      </c>
      <c r="AN521" s="296">
        <f>IF(NFI_Expiration=1,IF($A521&lt;VLOOKUP(V$5,NFI,5,0),1,0)*Table_NFI[[#This Row],[Jerry Can]],Table_NFI[Jerry Can])</f>
        <v>0</v>
      </c>
      <c r="AO521" s="296">
        <f>IF(NFI_Expiration=1,IF($A521&lt;VLOOKUP(V$5,NFI,5,0),1,0)*Table_NFI[[#This Row],[Shelter Tool kit]],Table_NFI[Shelter Tool kit])</f>
        <v>0</v>
      </c>
      <c r="AP521" s="296">
        <f>IF(NFI_Expiration=1,IF($A521&lt;VLOOKUP(V$5,NFI,5,0),1,0)*Table_NFI[[#This Row],[Tent]],Table_NFI[Tent])</f>
        <v>0</v>
      </c>
      <c r="AQ521" s="396" t="str">
        <f>IFERROR(VLOOKUP(Table_NFI[[#This Row],[Camp Name]],CL,2,0),"")</f>
        <v>MMR001CMP119</v>
      </c>
      <c r="AR521" s="702">
        <f ca="1">IF(Table_NFI[[#This Row],[Pcode]]="","",IF(OFFSET(CampList[Opening Date],MATCH(Table_NFI[[#This Row],[Pcode]],CampList[CP_Pcode],0)-1,0,1,1)&gt;=NFI_Monitor_Date,1,0))</f>
        <v>0</v>
      </c>
      <c r="AS521" s="396" t="str">
        <f>IFERROR(VLOOKUP(Table_NFI[[#This Row],[Camp Name]],CL,3,0),"")</f>
        <v>Open</v>
      </c>
      <c r="AT521" s="264" t="str">
        <f ca="1">IF(Table_NFI[[#This Row],[Pcode]]="","",OFFSET(CampList[Priority],MATCH(Table_NFI[[#This Row],[Pcode]],CampList[CP_Pcode],0)-1,0,1,1))</f>
        <v>P2</v>
      </c>
      <c r="AU521" s="263">
        <f>IFERROR(Table_NFI[[#This Row],[Kitchen Set]]/VLOOKUP(Table_NFI[[#This Row],[Camp Name]],CL,4,0),"")</f>
        <v>0</v>
      </c>
      <c r="AV521" s="390" t="s">
        <v>1087</v>
      </c>
      <c r="AW521" s="392"/>
      <c r="AX521" s="399"/>
      <c r="AY521" s="399"/>
      <c r="AZ521" s="399"/>
      <c r="BA521" s="399"/>
      <c r="BB521" s="399"/>
      <c r="BC521" s="399"/>
      <c r="BD521" s="399"/>
      <c r="BE521" s="399"/>
      <c r="BF521" s="399"/>
      <c r="BG521" s="399"/>
      <c r="BH521" s="399"/>
      <c r="BI521" s="399"/>
      <c r="BJ521" s="399"/>
      <c r="BK521" s="399"/>
      <c r="BL521" s="399"/>
      <c r="BM521" s="399"/>
      <c r="BN521" s="399"/>
      <c r="BO521" s="399"/>
      <c r="BP521" s="399"/>
      <c r="BQ521" s="399"/>
      <c r="BR521" s="399"/>
      <c r="BS521" s="399"/>
      <c r="BT521" s="399"/>
      <c r="BU521" s="399"/>
      <c r="BV521" s="399"/>
      <c r="BW521" s="399"/>
      <c r="BX521" s="399"/>
      <c r="BY521" s="399"/>
      <c r="BZ521" s="399"/>
      <c r="CA521" s="399"/>
      <c r="CB521" s="399"/>
      <c r="CC521" s="399"/>
      <c r="CD521" s="399"/>
      <c r="CE521" s="399"/>
      <c r="CF521" s="399"/>
      <c r="CG521" s="399"/>
      <c r="CH521" s="399"/>
      <c r="CI521" s="399"/>
      <c r="CJ521" s="399"/>
      <c r="CK521" s="399"/>
      <c r="CL521" s="399"/>
      <c r="CM521" s="399"/>
      <c r="CN521" s="399"/>
      <c r="CO521" s="399"/>
      <c r="CP521" s="399"/>
      <c r="CQ521" s="399"/>
      <c r="CR521" s="399"/>
      <c r="CS521" s="399"/>
      <c r="CT521" s="399"/>
      <c r="CU521" s="399"/>
      <c r="CV521" s="399"/>
      <c r="CW521" s="399"/>
      <c r="CX521" s="399"/>
      <c r="CY521" s="399"/>
      <c r="CZ521" s="399"/>
      <c r="DA521" s="399"/>
      <c r="DB521" s="399"/>
      <c r="DC521" s="399"/>
      <c r="DD521" s="399"/>
      <c r="DE521" s="399"/>
      <c r="DF521" s="399"/>
      <c r="DG521" s="399"/>
      <c r="DH521" s="399"/>
      <c r="DI521" s="399"/>
      <c r="DJ521" s="399"/>
      <c r="DK521" s="399"/>
      <c r="DL521" s="399"/>
      <c r="DM521" s="399"/>
      <c r="DN521" s="399"/>
      <c r="DO521" s="399"/>
      <c r="DP521" s="399"/>
      <c r="DQ521" s="399"/>
    </row>
    <row r="522" spans="1:121" s="760" customFormat="1" ht="14.45" customHeight="1" x14ac:dyDescent="0.25">
      <c r="A522" s="266">
        <f t="shared" si="8"/>
        <v>40.1</v>
      </c>
      <c r="B522" s="389">
        <v>41653</v>
      </c>
      <c r="C522" s="390" t="s">
        <v>452</v>
      </c>
      <c r="D522" s="390" t="s">
        <v>505</v>
      </c>
      <c r="E522" s="390" t="s">
        <v>380</v>
      </c>
      <c r="F522" s="390" t="s">
        <v>310</v>
      </c>
      <c r="G522" s="390" t="s">
        <v>334</v>
      </c>
      <c r="H522" s="261"/>
      <c r="I522" s="261"/>
      <c r="J522" s="261"/>
      <c r="K522" s="261"/>
      <c r="L522" s="261"/>
      <c r="M522" s="261"/>
      <c r="N522" s="261"/>
      <c r="O522" s="261">
        <v>180</v>
      </c>
      <c r="P522" s="261"/>
      <c r="Q522" s="261"/>
      <c r="R522" s="261"/>
      <c r="S522" s="261"/>
      <c r="T522" s="261"/>
      <c r="U522" s="261"/>
      <c r="V522" s="762"/>
      <c r="W522" s="261"/>
      <c r="X522" s="261"/>
      <c r="Y522" s="264">
        <f>IF(NFI_Expiration=1,IF($A522&lt;VLOOKUP(H$5,NFI,5,0),1,0)*Table_NFI[[#This Row],[Hygiene Kit]],Table_NFI[Hygiene Kit])</f>
        <v>0</v>
      </c>
      <c r="Z522" s="264">
        <f>IF(NFI_Expiration=1,IF($A522&lt;VLOOKUP(I$5,NFI,5,0),1,0)*Table_NFI[[#This Row],[NFI Core Kit]],Table_NFI[NFI Core Kit])</f>
        <v>0</v>
      </c>
      <c r="AA522" s="264">
        <f>IF(NFI_Expiration=1,IF($A522&lt;VLOOKUP(J$5,NFI,5,0),1,0)*Table_NFI[[#This Row],[Sanitary Kit]],Table_NFI[Sanitary Kit])</f>
        <v>0</v>
      </c>
      <c r="AB522" s="264">
        <f>IF(NFI_Expiration=1,IF($A522&lt;VLOOKUP(K$5,NFI,5,0),1,0)*Table_NFI[[#This Row],[Mosquito net]],Table_NFI[Mosquito net])</f>
        <v>0</v>
      </c>
      <c r="AC522" s="264">
        <f>IF(NFI_Expiration=1,IF($A522&lt;VLOOKUP(L$5,NFI,5,0),1,0)*Table_NFI[[#This Row],[Tarpaulin]],Table_NFI[[#This Row],[Tarpaulin]])</f>
        <v>0</v>
      </c>
      <c r="AD522" s="264">
        <f>IF(NFI_Expiration=1,IF($A522&lt;VLOOKUP(M$5,NFI,5,0),1,0)*Table_NFI[[#This Row],[Blanket]],Table_NFI[[#This Row],[Blanket]])</f>
        <v>0</v>
      </c>
      <c r="AE522" s="264">
        <f>IF(NFI_Expiration=1,IF($A522&lt;VLOOKUP(N$5,NFI,5,0),1,0)*Table_NFI[[#This Row],[Kitchen Set]],Table_NFI[Kitchen Set])</f>
        <v>0</v>
      </c>
      <c r="AF522" s="264">
        <f>IF(NFI_Expiration=1,IF($A522&lt;VLOOKUP(O$5,NFI,5,0),1,0)*Table_NFI[[#This Row],[Clothes Kit]],Table_NFI[Clothes Kit])</f>
        <v>0</v>
      </c>
      <c r="AG522" s="264">
        <f>IF(NFI_Expiration=1,IF($A522&lt;VLOOKUP(P$5,NFI,5,0),1,0)*Table_NFI[[#This Row],[Plastic Bucket]],Table_NFI[Plastic Bucket])</f>
        <v>0</v>
      </c>
      <c r="AH522" s="264">
        <f>IF(NFI_Expiration=1,IF($A522&lt;VLOOKUP(Q$5,NFI,5,0),1,0)*Table_NFI[[#This Row],[Plastic Mat]],Table_NFI[Plastic Mat])*IF(Table_NFI[[#This Row],[Distribution Date]]&gt;"2014-04-01",1,2.5)</f>
        <v>0</v>
      </c>
      <c r="AI522" s="264">
        <f>IF(NFI_Expiration=1,IF($A522&lt;VLOOKUP(R$5,NFI,5,0),1,0)*Table_NFI[[#This Row],[Winter Clothes Adult]],Table_NFI[Winter Clothes Adult])</f>
        <v>0</v>
      </c>
      <c r="AJ522" s="264">
        <f>IF(NFI_Expiration=1,IF($A522&lt;VLOOKUP(S$5,NFI,5,0),1,0)*Table_NFI[[#This Row],[Winter Clothes Children]],Table_NFI[Winter Clothes Children])</f>
        <v>0</v>
      </c>
      <c r="AK522" s="264">
        <f>IF(NFI_Expiration=1,IF($A522&lt;VLOOKUP(T$5,NFI,5,0),1,0)*Table_NFI[[#This Row],[Winter Items Other]],Table_NFI[Winter Items Other])</f>
        <v>0</v>
      </c>
      <c r="AL522" s="264">
        <f>IF(NFI_Expiration=1,IF($A522&lt;VLOOKUP(M$5,NFI,5,0),1,0)*Table_NFI[[#This Row],[Winter Blanket]],Table_NFI[[#This Row],[Winter Blanket]])</f>
        <v>0</v>
      </c>
      <c r="AM522" s="264">
        <f>IF(Table_NFI[[#This Row],[Winter Clothes Adult]]+Table_NFI[[#This Row],[Winter Clothes Children]]+Table_NFI[[#This Row],[Winter Items Other]]+Table_NFI[[#This Row],[Winter Blanket]]&gt;0,1,0)</f>
        <v>0</v>
      </c>
      <c r="AN522" s="296">
        <f>IF(NFI_Expiration=1,IF($A522&lt;VLOOKUP(V$5,NFI,5,0),1,0)*Table_NFI[[#This Row],[Jerry Can]],Table_NFI[Jerry Can])</f>
        <v>0</v>
      </c>
      <c r="AO522" s="296">
        <f>IF(NFI_Expiration=1,IF($A522&lt;VLOOKUP(V$5,NFI,5,0),1,0)*Table_NFI[[#This Row],[Shelter Tool kit]],Table_NFI[Shelter Tool kit])</f>
        <v>0</v>
      </c>
      <c r="AP522" s="296">
        <f>IF(NFI_Expiration=1,IF($A522&lt;VLOOKUP(V$5,NFI,5,0),1,0)*Table_NFI[[#This Row],[Tent]],Table_NFI[Tent])</f>
        <v>0</v>
      </c>
      <c r="AQ522" s="396" t="str">
        <f>IFERROR(VLOOKUP(Table_NFI[[#This Row],[Camp Name]],CL,2,0),"")</f>
        <v>MMR001CMP113</v>
      </c>
      <c r="AR522" s="702">
        <f ca="1">IF(Table_NFI[[#This Row],[Pcode]]="","",IF(OFFSET(CampList[Opening Date],MATCH(Table_NFI[[#This Row],[Pcode]],CampList[CP_Pcode],0)-1,0,1,1)&gt;=NFI_Monitor_Date,1,0))</f>
        <v>0</v>
      </c>
      <c r="AS522" s="396" t="str">
        <f>IFERROR(VLOOKUP(Table_NFI[[#This Row],[Camp Name]],CL,3,0),"")</f>
        <v>Open</v>
      </c>
      <c r="AT522" s="264" t="str">
        <f ca="1">IF(Table_NFI[[#This Row],[Pcode]]="","",OFFSET(CampList[Priority],MATCH(Table_NFI[[#This Row],[Pcode]],CampList[CP_Pcode],0)-1,0,1,1))</f>
        <v>P1</v>
      </c>
      <c r="AU522" s="263">
        <f>IFERROR(Table_NFI[[#This Row],[Kitchen Set]]/VLOOKUP(Table_NFI[[#This Row],[Camp Name]],CL,4,0),"")</f>
        <v>0</v>
      </c>
      <c r="AV522" s="390" t="s">
        <v>1087</v>
      </c>
      <c r="AW522" s="392"/>
      <c r="AX522" s="399"/>
      <c r="AY522" s="399"/>
      <c r="AZ522" s="399"/>
      <c r="BA522" s="399"/>
      <c r="BB522" s="399"/>
      <c r="BC522" s="399"/>
      <c r="BD522" s="399"/>
      <c r="BE522" s="399"/>
      <c r="BF522" s="399"/>
      <c r="BG522" s="399"/>
      <c r="BH522" s="399"/>
      <c r="BI522" s="399"/>
      <c r="BJ522" s="399"/>
      <c r="BK522" s="399"/>
      <c r="BL522" s="399"/>
      <c r="BM522" s="399"/>
      <c r="BN522" s="399"/>
      <c r="BO522" s="399"/>
      <c r="BP522" s="399"/>
      <c r="BQ522" s="399"/>
      <c r="BR522" s="399"/>
      <c r="BS522" s="399"/>
      <c r="BT522" s="399"/>
      <c r="BU522" s="399"/>
      <c r="BV522" s="399"/>
      <c r="BW522" s="399"/>
      <c r="BX522" s="399"/>
      <c r="BY522" s="399"/>
      <c r="BZ522" s="399"/>
      <c r="CA522" s="399"/>
      <c r="CB522" s="399"/>
      <c r="CC522" s="399"/>
      <c r="CD522" s="399"/>
      <c r="CE522" s="399"/>
      <c r="CF522" s="399"/>
      <c r="CG522" s="399"/>
      <c r="CH522" s="399"/>
      <c r="CI522" s="399"/>
      <c r="CJ522" s="399"/>
      <c r="CK522" s="399"/>
      <c r="CL522" s="399"/>
      <c r="CM522" s="399"/>
      <c r="CN522" s="399"/>
      <c r="CO522" s="399"/>
      <c r="CP522" s="399"/>
      <c r="CQ522" s="399"/>
      <c r="CR522" s="399"/>
      <c r="CS522" s="399"/>
      <c r="CT522" s="399"/>
      <c r="CU522" s="399"/>
      <c r="CV522" s="399"/>
      <c r="CW522" s="399"/>
      <c r="CX522" s="399"/>
      <c r="CY522" s="399"/>
      <c r="CZ522" s="399"/>
      <c r="DA522" s="399"/>
      <c r="DB522" s="399"/>
      <c r="DC522" s="399"/>
      <c r="DD522" s="399"/>
      <c r="DE522" s="399"/>
      <c r="DF522" s="399"/>
      <c r="DG522" s="399"/>
      <c r="DH522" s="399"/>
      <c r="DI522" s="399"/>
      <c r="DJ522" s="399"/>
      <c r="DK522" s="399"/>
      <c r="DL522" s="399"/>
      <c r="DM522" s="399"/>
      <c r="DN522" s="399"/>
      <c r="DO522" s="399"/>
      <c r="DP522" s="399"/>
      <c r="DQ522" s="399"/>
    </row>
    <row r="523" spans="1:121" s="760" customFormat="1" ht="14.45" customHeight="1" x14ac:dyDescent="0.25">
      <c r="A523" s="266">
        <f t="shared" si="8"/>
        <v>40.1</v>
      </c>
      <c r="B523" s="389">
        <v>41653</v>
      </c>
      <c r="C523" s="390" t="s">
        <v>452</v>
      </c>
      <c r="D523" s="390" t="s">
        <v>505</v>
      </c>
      <c r="E523" s="390" t="s">
        <v>380</v>
      </c>
      <c r="F523" s="390" t="s">
        <v>310</v>
      </c>
      <c r="G523" s="390" t="s">
        <v>334</v>
      </c>
      <c r="H523" s="261"/>
      <c r="I523" s="261"/>
      <c r="J523" s="261"/>
      <c r="K523" s="261"/>
      <c r="L523" s="261"/>
      <c r="M523" s="261"/>
      <c r="N523" s="261"/>
      <c r="O523" s="261"/>
      <c r="P523" s="261"/>
      <c r="Q523" s="261"/>
      <c r="R523" s="261">
        <v>501</v>
      </c>
      <c r="S523" s="261">
        <v>335</v>
      </c>
      <c r="T523" s="261"/>
      <c r="U523" s="261"/>
      <c r="V523" s="762"/>
      <c r="W523" s="261"/>
      <c r="X523" s="261"/>
      <c r="Y523" s="264">
        <f>IF(NFI_Expiration=1,IF($A523&lt;VLOOKUP(H$5,NFI,5,0),1,0)*Table_NFI[[#This Row],[Hygiene Kit]],Table_NFI[Hygiene Kit])</f>
        <v>0</v>
      </c>
      <c r="Z523" s="264">
        <f>IF(NFI_Expiration=1,IF($A523&lt;VLOOKUP(I$5,NFI,5,0),1,0)*Table_NFI[[#This Row],[NFI Core Kit]],Table_NFI[NFI Core Kit])</f>
        <v>0</v>
      </c>
      <c r="AA523" s="264">
        <f>IF(NFI_Expiration=1,IF($A523&lt;VLOOKUP(J$5,NFI,5,0),1,0)*Table_NFI[[#This Row],[Sanitary Kit]],Table_NFI[Sanitary Kit])</f>
        <v>0</v>
      </c>
      <c r="AB523" s="264">
        <f>IF(NFI_Expiration=1,IF($A523&lt;VLOOKUP(K$5,NFI,5,0),1,0)*Table_NFI[[#This Row],[Mosquito net]],Table_NFI[Mosquito net])</f>
        <v>0</v>
      </c>
      <c r="AC523" s="264">
        <f>IF(NFI_Expiration=1,IF($A523&lt;VLOOKUP(L$5,NFI,5,0),1,0)*Table_NFI[[#This Row],[Tarpaulin]],Table_NFI[[#This Row],[Tarpaulin]])</f>
        <v>0</v>
      </c>
      <c r="AD523" s="264">
        <f>IF(NFI_Expiration=1,IF($A523&lt;VLOOKUP(M$5,NFI,5,0),1,0)*Table_NFI[[#This Row],[Blanket]],Table_NFI[[#This Row],[Blanket]])</f>
        <v>0</v>
      </c>
      <c r="AE523" s="264">
        <f>IF(NFI_Expiration=1,IF($A523&lt;VLOOKUP(N$5,NFI,5,0),1,0)*Table_NFI[[#This Row],[Kitchen Set]],Table_NFI[Kitchen Set])</f>
        <v>0</v>
      </c>
      <c r="AF523" s="264">
        <f>IF(NFI_Expiration=1,IF($A523&lt;VLOOKUP(O$5,NFI,5,0),1,0)*Table_NFI[[#This Row],[Clothes Kit]],Table_NFI[Clothes Kit])</f>
        <v>0</v>
      </c>
      <c r="AG523" s="264">
        <f>IF(NFI_Expiration=1,IF($A523&lt;VLOOKUP(P$5,NFI,5,0),1,0)*Table_NFI[[#This Row],[Plastic Bucket]],Table_NFI[Plastic Bucket])</f>
        <v>0</v>
      </c>
      <c r="AH523" s="264">
        <f>IF(NFI_Expiration=1,IF($A523&lt;VLOOKUP(Q$5,NFI,5,0),1,0)*Table_NFI[[#This Row],[Plastic Mat]],Table_NFI[Plastic Mat])*IF(Table_NFI[[#This Row],[Distribution Date]]&gt;"2014-04-01",1,2.5)</f>
        <v>0</v>
      </c>
      <c r="AI523" s="264">
        <f>IF(NFI_Expiration=1,IF($A523&lt;VLOOKUP(R$5,NFI,5,0),1,0)*Table_NFI[[#This Row],[Winter Clothes Adult]],Table_NFI[Winter Clothes Adult])</f>
        <v>0</v>
      </c>
      <c r="AJ523" s="264">
        <f>IF(NFI_Expiration=1,IF($A523&lt;VLOOKUP(S$5,NFI,5,0),1,0)*Table_NFI[[#This Row],[Winter Clothes Children]],Table_NFI[Winter Clothes Children])</f>
        <v>0</v>
      </c>
      <c r="AK523" s="264">
        <f>IF(NFI_Expiration=1,IF($A523&lt;VLOOKUP(T$5,NFI,5,0),1,0)*Table_NFI[[#This Row],[Winter Items Other]],Table_NFI[Winter Items Other])</f>
        <v>0</v>
      </c>
      <c r="AL523" s="264">
        <f>IF(NFI_Expiration=1,IF($A523&lt;VLOOKUP(M$5,NFI,5,0),1,0)*Table_NFI[[#This Row],[Winter Blanket]],Table_NFI[[#This Row],[Winter Blanket]])</f>
        <v>0</v>
      </c>
      <c r="AM523" s="264">
        <f>IF(Table_NFI[[#This Row],[Winter Clothes Adult]]+Table_NFI[[#This Row],[Winter Clothes Children]]+Table_NFI[[#This Row],[Winter Items Other]]+Table_NFI[[#This Row],[Winter Blanket]]&gt;0,1,0)</f>
        <v>1</v>
      </c>
      <c r="AN523" s="296">
        <f>IF(NFI_Expiration=1,IF($A523&lt;VLOOKUP(V$5,NFI,5,0),1,0)*Table_NFI[[#This Row],[Jerry Can]],Table_NFI[Jerry Can])</f>
        <v>0</v>
      </c>
      <c r="AO523" s="296">
        <f>IF(NFI_Expiration=1,IF($A523&lt;VLOOKUP(V$5,NFI,5,0),1,0)*Table_NFI[[#This Row],[Shelter Tool kit]],Table_NFI[Shelter Tool kit])</f>
        <v>0</v>
      </c>
      <c r="AP523" s="296">
        <f>IF(NFI_Expiration=1,IF($A523&lt;VLOOKUP(V$5,NFI,5,0),1,0)*Table_NFI[[#This Row],[Tent]],Table_NFI[Tent])</f>
        <v>0</v>
      </c>
      <c r="AQ523" s="396" t="str">
        <f>IFERROR(VLOOKUP(Table_NFI[[#This Row],[Camp Name]],CL,2,0),"")</f>
        <v>MMR001CMP113</v>
      </c>
      <c r="AR523" s="702">
        <f ca="1">IF(Table_NFI[[#This Row],[Pcode]]="","",IF(OFFSET(CampList[Opening Date],MATCH(Table_NFI[[#This Row],[Pcode]],CampList[CP_Pcode],0)-1,0,1,1)&gt;=NFI_Monitor_Date,1,0))</f>
        <v>0</v>
      </c>
      <c r="AS523" s="396" t="str">
        <f>IFERROR(VLOOKUP(Table_NFI[[#This Row],[Camp Name]],CL,3,0),"")</f>
        <v>Open</v>
      </c>
      <c r="AT523" s="264" t="str">
        <f ca="1">IF(Table_NFI[[#This Row],[Pcode]]="","",OFFSET(CampList[Priority],MATCH(Table_NFI[[#This Row],[Pcode]],CampList[CP_Pcode],0)-1,0,1,1))</f>
        <v>P1</v>
      </c>
      <c r="AU523" s="263">
        <f>IFERROR(Table_NFI[[#This Row],[Kitchen Set]]/VLOOKUP(Table_NFI[[#This Row],[Camp Name]],CL,4,0),"")</f>
        <v>0</v>
      </c>
      <c r="AV523" s="390" t="s">
        <v>1087</v>
      </c>
      <c r="AW523" s="392"/>
      <c r="AX523" s="399"/>
      <c r="AY523" s="399"/>
      <c r="AZ523" s="399"/>
      <c r="BA523" s="399"/>
      <c r="BB523" s="399"/>
      <c r="BC523" s="399"/>
      <c r="BD523" s="399"/>
      <c r="BE523" s="399"/>
      <c r="BF523" s="399"/>
      <c r="BG523" s="399"/>
      <c r="BH523" s="399"/>
      <c r="BI523" s="399"/>
      <c r="BJ523" s="399"/>
      <c r="BK523" s="399"/>
      <c r="BL523" s="399"/>
      <c r="BM523" s="399"/>
      <c r="BN523" s="399"/>
      <c r="BO523" s="399"/>
      <c r="BP523" s="399"/>
      <c r="BQ523" s="399"/>
      <c r="BR523" s="399"/>
      <c r="BS523" s="399"/>
      <c r="BT523" s="399"/>
      <c r="BU523" s="399"/>
      <c r="BV523" s="399"/>
      <c r="BW523" s="399"/>
      <c r="BX523" s="399"/>
      <c r="BY523" s="399"/>
      <c r="BZ523" s="399"/>
      <c r="CA523" s="399"/>
      <c r="CB523" s="399"/>
      <c r="CC523" s="399"/>
      <c r="CD523" s="399"/>
      <c r="CE523" s="399"/>
      <c r="CF523" s="399"/>
      <c r="CG523" s="399"/>
      <c r="CH523" s="399"/>
      <c r="CI523" s="399"/>
      <c r="CJ523" s="399"/>
      <c r="CK523" s="399"/>
      <c r="CL523" s="399"/>
      <c r="CM523" s="399"/>
      <c r="CN523" s="399"/>
      <c r="CO523" s="399"/>
      <c r="CP523" s="399"/>
      <c r="CQ523" s="399"/>
      <c r="CR523" s="399"/>
      <c r="CS523" s="399"/>
      <c r="CT523" s="399"/>
      <c r="CU523" s="399"/>
      <c r="CV523" s="399"/>
      <c r="CW523" s="399"/>
      <c r="CX523" s="399"/>
      <c r="CY523" s="399"/>
      <c r="CZ523" s="399"/>
      <c r="DA523" s="399"/>
      <c r="DB523" s="399"/>
      <c r="DC523" s="399"/>
      <c r="DD523" s="399"/>
      <c r="DE523" s="399"/>
      <c r="DF523" s="399"/>
      <c r="DG523" s="399"/>
      <c r="DH523" s="399"/>
      <c r="DI523" s="399"/>
      <c r="DJ523" s="399"/>
      <c r="DK523" s="399"/>
      <c r="DL523" s="399"/>
      <c r="DM523" s="399"/>
      <c r="DN523" s="399"/>
      <c r="DO523" s="399"/>
      <c r="DP523" s="399"/>
      <c r="DQ523" s="399"/>
    </row>
    <row r="524" spans="1:121" s="760" customFormat="1" ht="14.45" customHeight="1" x14ac:dyDescent="0.25">
      <c r="A524" s="266">
        <f t="shared" si="8"/>
        <v>40.1</v>
      </c>
      <c r="B524" s="389">
        <v>41653</v>
      </c>
      <c r="C524" s="390" t="s">
        <v>451</v>
      </c>
      <c r="D524" s="391" t="s">
        <v>451</v>
      </c>
      <c r="E524" s="390" t="s">
        <v>380</v>
      </c>
      <c r="F524" s="262" t="s">
        <v>151</v>
      </c>
      <c r="G524" s="262" t="s">
        <v>198</v>
      </c>
      <c r="H524" s="261"/>
      <c r="I524" s="261"/>
      <c r="J524" s="261"/>
      <c r="K524" s="261">
        <v>140</v>
      </c>
      <c r="L524" s="261">
        <v>70</v>
      </c>
      <c r="M524" s="261">
        <v>140</v>
      </c>
      <c r="N524" s="261">
        <v>70</v>
      </c>
      <c r="O524" s="261"/>
      <c r="P524" s="261">
        <v>70</v>
      </c>
      <c r="Q524" s="261">
        <v>350</v>
      </c>
      <c r="R524" s="261"/>
      <c r="S524" s="261"/>
      <c r="T524" s="261"/>
      <c r="U524" s="261"/>
      <c r="V524" s="762"/>
      <c r="W524" s="261"/>
      <c r="X524" s="261"/>
      <c r="Y524" s="264">
        <f>IF(NFI_Expiration=1,IF($A524&lt;VLOOKUP(H$5,NFI,5,0),1,0)*Table_NFI[[#This Row],[Hygiene Kit]],Table_NFI[Hygiene Kit])</f>
        <v>0</v>
      </c>
      <c r="Z524" s="264">
        <f>IF(NFI_Expiration=1,IF($A524&lt;VLOOKUP(I$5,NFI,5,0),1,0)*Table_NFI[[#This Row],[NFI Core Kit]],Table_NFI[NFI Core Kit])</f>
        <v>0</v>
      </c>
      <c r="AA524" s="264">
        <f>IF(NFI_Expiration=1,IF($A524&lt;VLOOKUP(J$5,NFI,5,0),1,0)*Table_NFI[[#This Row],[Sanitary Kit]],Table_NFI[Sanitary Kit])</f>
        <v>0</v>
      </c>
      <c r="AB524" s="264">
        <f>IF(NFI_Expiration=1,IF($A524&lt;VLOOKUP(K$5,NFI,5,0),1,0)*Table_NFI[[#This Row],[Mosquito net]],Table_NFI[Mosquito net])</f>
        <v>0</v>
      </c>
      <c r="AC524" s="264">
        <f>IF(NFI_Expiration=1,IF($A524&lt;VLOOKUP(L$5,NFI,5,0),1,0)*Table_NFI[[#This Row],[Tarpaulin]],Table_NFI[[#This Row],[Tarpaulin]])</f>
        <v>0</v>
      </c>
      <c r="AD524" s="264">
        <f>IF(NFI_Expiration=1,IF($A524&lt;VLOOKUP(M$5,NFI,5,0),1,0)*Table_NFI[[#This Row],[Blanket]],Table_NFI[[#This Row],[Blanket]])</f>
        <v>0</v>
      </c>
      <c r="AE524" s="264">
        <f>IF(NFI_Expiration=1,IF($A524&lt;VLOOKUP(N$5,NFI,5,0),1,0)*Table_NFI[[#This Row],[Kitchen Set]],Table_NFI[Kitchen Set])</f>
        <v>0</v>
      </c>
      <c r="AF524" s="264">
        <f>IF(NFI_Expiration=1,IF($A524&lt;VLOOKUP(O$5,NFI,5,0),1,0)*Table_NFI[[#This Row],[Clothes Kit]],Table_NFI[Clothes Kit])</f>
        <v>0</v>
      </c>
      <c r="AG524" s="264">
        <f>IF(NFI_Expiration=1,IF($A524&lt;VLOOKUP(P$5,NFI,5,0),1,0)*Table_NFI[[#This Row],[Plastic Bucket]],Table_NFI[Plastic Bucket])</f>
        <v>0</v>
      </c>
      <c r="AH524" s="264">
        <f>IF(NFI_Expiration=1,IF($A524&lt;VLOOKUP(Q$5,NFI,5,0),1,0)*Table_NFI[[#This Row],[Plastic Mat]],Table_NFI[Plastic Mat])*IF(Table_NFI[[#This Row],[Distribution Date]]&gt;"2014-04-01",1,2.5)</f>
        <v>0</v>
      </c>
      <c r="AI524" s="264">
        <f>IF(NFI_Expiration=1,IF($A524&lt;VLOOKUP(R$5,NFI,5,0),1,0)*Table_NFI[[#This Row],[Winter Clothes Adult]],Table_NFI[Winter Clothes Adult])</f>
        <v>0</v>
      </c>
      <c r="AJ524" s="264">
        <f>IF(NFI_Expiration=1,IF($A524&lt;VLOOKUP(S$5,NFI,5,0),1,0)*Table_NFI[[#This Row],[Winter Clothes Children]],Table_NFI[Winter Clothes Children])</f>
        <v>0</v>
      </c>
      <c r="AK524" s="264">
        <f>IF(NFI_Expiration=1,IF($A524&lt;VLOOKUP(T$5,NFI,5,0),1,0)*Table_NFI[[#This Row],[Winter Items Other]],Table_NFI[Winter Items Other])</f>
        <v>0</v>
      </c>
      <c r="AL524" s="264">
        <f>IF(NFI_Expiration=1,IF($A524&lt;VLOOKUP(M$5,NFI,5,0),1,0)*Table_NFI[[#This Row],[Winter Blanket]],Table_NFI[[#This Row],[Winter Blanket]])</f>
        <v>0</v>
      </c>
      <c r="AM524" s="264">
        <f>IF(Table_NFI[[#This Row],[Winter Clothes Adult]]+Table_NFI[[#This Row],[Winter Clothes Children]]+Table_NFI[[#This Row],[Winter Items Other]]+Table_NFI[[#This Row],[Winter Blanket]]&gt;0,1,0)</f>
        <v>0</v>
      </c>
      <c r="AN524" s="296">
        <f>IF(NFI_Expiration=1,IF($A524&lt;VLOOKUP(V$5,NFI,5,0),1,0)*Table_NFI[[#This Row],[Jerry Can]],Table_NFI[Jerry Can])</f>
        <v>0</v>
      </c>
      <c r="AO524" s="296">
        <f>IF(NFI_Expiration=1,IF($A524&lt;VLOOKUP(V$5,NFI,5,0),1,0)*Table_NFI[[#This Row],[Shelter Tool kit]],Table_NFI[Shelter Tool kit])</f>
        <v>0</v>
      </c>
      <c r="AP524" s="296">
        <f>IF(NFI_Expiration=1,IF($A524&lt;VLOOKUP(V$5,NFI,5,0),1,0)*Table_NFI[[#This Row],[Tent]],Table_NFI[Tent])</f>
        <v>0</v>
      </c>
      <c r="AQ524" s="396" t="str">
        <f>IFERROR(VLOOKUP(Table_NFI[[#This Row],[Camp Name]],CL,2,0),"")</f>
        <v>MMR001CMP128</v>
      </c>
      <c r="AR524" s="702">
        <f ca="1">IF(Table_NFI[[#This Row],[Pcode]]="","",IF(OFFSET(CampList[Opening Date],MATCH(Table_NFI[[#This Row],[Pcode]],CampList[CP_Pcode],0)-1,0,1,1)&gt;=NFI_Monitor_Date,1,0))</f>
        <v>0</v>
      </c>
      <c r="AS524" s="396" t="str">
        <f>IFERROR(VLOOKUP(Table_NFI[[#This Row],[Camp Name]],CL,3,0),"")</f>
        <v>Open</v>
      </c>
      <c r="AT524" s="264" t="str">
        <f ca="1">IF(Table_NFI[[#This Row],[Pcode]]="","",OFFSET(CampList[Priority],MATCH(Table_NFI[[#This Row],[Pcode]],CampList[CP_Pcode],0)-1,0,1,1))</f>
        <v>P2</v>
      </c>
      <c r="AU524" s="263">
        <f>IFERROR(Table_NFI[[#This Row],[Kitchen Set]]/VLOOKUP(Table_NFI[[#This Row],[Camp Name]],CL,4,0),"")</f>
        <v>1.7149717029669011E-3</v>
      </c>
      <c r="AV524" s="390" t="s">
        <v>1087</v>
      </c>
      <c r="AW524" s="392"/>
      <c r="AX524" s="399"/>
      <c r="AY524" s="399"/>
      <c r="AZ524" s="399"/>
      <c r="BA524" s="399"/>
      <c r="BB524" s="399"/>
      <c r="BC524" s="399"/>
      <c r="BD524" s="399"/>
      <c r="BE524" s="399"/>
      <c r="BF524" s="399"/>
      <c r="BG524" s="399"/>
      <c r="BH524" s="399"/>
      <c r="BI524" s="399"/>
      <c r="BJ524" s="399"/>
      <c r="BK524" s="399"/>
      <c r="BL524" s="399"/>
      <c r="BM524" s="399"/>
      <c r="BN524" s="399"/>
      <c r="BO524" s="399"/>
      <c r="BP524" s="399"/>
      <c r="BQ524" s="399"/>
      <c r="BR524" s="399"/>
      <c r="BS524" s="399"/>
      <c r="BT524" s="399"/>
      <c r="BU524" s="399"/>
      <c r="BV524" s="399"/>
      <c r="BW524" s="399"/>
      <c r="BX524" s="399"/>
      <c r="BY524" s="399"/>
      <c r="BZ524" s="399"/>
      <c r="CA524" s="399"/>
      <c r="CB524" s="399"/>
      <c r="CC524" s="399"/>
      <c r="CD524" s="399"/>
      <c r="CE524" s="399"/>
      <c r="CF524" s="399"/>
      <c r="CG524" s="399"/>
      <c r="CH524" s="399"/>
      <c r="CI524" s="399"/>
      <c r="CJ524" s="399"/>
      <c r="CK524" s="399"/>
      <c r="CL524" s="399"/>
      <c r="CM524" s="399"/>
      <c r="CN524" s="399"/>
      <c r="CO524" s="399"/>
      <c r="CP524" s="399"/>
      <c r="CQ524" s="399"/>
      <c r="CR524" s="399"/>
      <c r="CS524" s="399"/>
      <c r="CT524" s="399"/>
      <c r="CU524" s="399"/>
      <c r="CV524" s="399"/>
      <c r="CW524" s="399"/>
      <c r="CX524" s="399"/>
      <c r="CY524" s="399"/>
      <c r="CZ524" s="399"/>
      <c r="DA524" s="399"/>
      <c r="DB524" s="399"/>
      <c r="DC524" s="399"/>
      <c r="DD524" s="399"/>
      <c r="DE524" s="399"/>
      <c r="DF524" s="399"/>
      <c r="DG524" s="399"/>
      <c r="DH524" s="399"/>
      <c r="DI524" s="399"/>
      <c r="DJ524" s="399"/>
      <c r="DK524" s="399"/>
      <c r="DL524" s="399"/>
      <c r="DM524" s="399"/>
      <c r="DN524" s="399"/>
      <c r="DO524" s="399"/>
      <c r="DP524" s="399"/>
      <c r="DQ524" s="399"/>
    </row>
    <row r="525" spans="1:121" s="393" customFormat="1" ht="14.45" customHeight="1" x14ac:dyDescent="0.25">
      <c r="A525" s="266">
        <f t="shared" si="8"/>
        <v>40.166666666666664</v>
      </c>
      <c r="B525" s="389">
        <v>41651</v>
      </c>
      <c r="C525" s="390" t="s">
        <v>452</v>
      </c>
      <c r="D525" s="390" t="s">
        <v>505</v>
      </c>
      <c r="E525" s="390" t="s">
        <v>380</v>
      </c>
      <c r="F525" s="390" t="s">
        <v>185</v>
      </c>
      <c r="G525" s="390" t="s">
        <v>192</v>
      </c>
      <c r="H525" s="261"/>
      <c r="I525" s="261"/>
      <c r="J525" s="261"/>
      <c r="K525" s="261"/>
      <c r="L525" s="261"/>
      <c r="M525" s="261"/>
      <c r="N525" s="261"/>
      <c r="O525" s="261">
        <v>125</v>
      </c>
      <c r="P525" s="261"/>
      <c r="Q525" s="261"/>
      <c r="R525" s="261"/>
      <c r="S525" s="261"/>
      <c r="T525" s="261"/>
      <c r="U525" s="261"/>
      <c r="V525" s="762"/>
      <c r="W525" s="261"/>
      <c r="X525" s="261"/>
      <c r="Y525" s="264">
        <f>IF(NFI_Expiration=1,IF($A525&lt;VLOOKUP(H$5,NFI,5,0),1,0)*Table_NFI[[#This Row],[Hygiene Kit]],Table_NFI[Hygiene Kit])</f>
        <v>0</v>
      </c>
      <c r="Z525" s="264">
        <f>IF(NFI_Expiration=1,IF($A525&lt;VLOOKUP(I$5,NFI,5,0),1,0)*Table_NFI[[#This Row],[NFI Core Kit]],Table_NFI[NFI Core Kit])</f>
        <v>0</v>
      </c>
      <c r="AA525" s="264">
        <f>IF(NFI_Expiration=1,IF($A525&lt;VLOOKUP(J$5,NFI,5,0),1,0)*Table_NFI[[#This Row],[Sanitary Kit]],Table_NFI[Sanitary Kit])</f>
        <v>0</v>
      </c>
      <c r="AB525" s="264">
        <f>IF(NFI_Expiration=1,IF($A525&lt;VLOOKUP(K$5,NFI,5,0),1,0)*Table_NFI[[#This Row],[Mosquito net]],Table_NFI[Mosquito net])</f>
        <v>0</v>
      </c>
      <c r="AC525" s="264">
        <f>IF(NFI_Expiration=1,IF($A525&lt;VLOOKUP(L$5,NFI,5,0),1,0)*Table_NFI[[#This Row],[Tarpaulin]],Table_NFI[[#This Row],[Tarpaulin]])</f>
        <v>0</v>
      </c>
      <c r="AD525" s="264">
        <f>IF(NFI_Expiration=1,IF($A525&lt;VLOOKUP(M$5,NFI,5,0),1,0)*Table_NFI[[#This Row],[Blanket]],Table_NFI[[#This Row],[Blanket]])</f>
        <v>0</v>
      </c>
      <c r="AE525" s="264">
        <f>IF(NFI_Expiration=1,IF($A525&lt;VLOOKUP(N$5,NFI,5,0),1,0)*Table_NFI[[#This Row],[Kitchen Set]],Table_NFI[Kitchen Set])</f>
        <v>0</v>
      </c>
      <c r="AF525" s="264">
        <f>IF(NFI_Expiration=1,IF($A525&lt;VLOOKUP(O$5,NFI,5,0),1,0)*Table_NFI[[#This Row],[Clothes Kit]],Table_NFI[Clothes Kit])</f>
        <v>0</v>
      </c>
      <c r="AG525" s="264">
        <f>IF(NFI_Expiration=1,IF($A525&lt;VLOOKUP(P$5,NFI,5,0),1,0)*Table_NFI[[#This Row],[Plastic Bucket]],Table_NFI[Plastic Bucket])</f>
        <v>0</v>
      </c>
      <c r="AH525" s="264">
        <f>IF(NFI_Expiration=1,IF($A525&lt;VLOOKUP(Q$5,NFI,5,0),1,0)*Table_NFI[[#This Row],[Plastic Mat]],Table_NFI[Plastic Mat])*IF(Table_NFI[[#This Row],[Distribution Date]]&gt;"2014-04-01",1,2.5)</f>
        <v>0</v>
      </c>
      <c r="AI525" s="264">
        <f>IF(NFI_Expiration=1,IF($A525&lt;VLOOKUP(R$5,NFI,5,0),1,0)*Table_NFI[[#This Row],[Winter Clothes Adult]],Table_NFI[Winter Clothes Adult])</f>
        <v>0</v>
      </c>
      <c r="AJ525" s="264">
        <f>IF(NFI_Expiration=1,IF($A525&lt;VLOOKUP(S$5,NFI,5,0),1,0)*Table_NFI[[#This Row],[Winter Clothes Children]],Table_NFI[Winter Clothes Children])</f>
        <v>0</v>
      </c>
      <c r="AK525" s="264">
        <f>IF(NFI_Expiration=1,IF($A525&lt;VLOOKUP(T$5,NFI,5,0),1,0)*Table_NFI[[#This Row],[Winter Items Other]],Table_NFI[Winter Items Other])</f>
        <v>0</v>
      </c>
      <c r="AL525" s="264">
        <f>IF(NFI_Expiration=1,IF($A525&lt;VLOOKUP(M$5,NFI,5,0),1,0)*Table_NFI[[#This Row],[Winter Blanket]],Table_NFI[[#This Row],[Winter Blanket]])</f>
        <v>0</v>
      </c>
      <c r="AM525" s="264">
        <f>IF(Table_NFI[[#This Row],[Winter Clothes Adult]]+Table_NFI[[#This Row],[Winter Clothes Children]]+Table_NFI[[#This Row],[Winter Items Other]]+Table_NFI[[#This Row],[Winter Blanket]]&gt;0,1,0)</f>
        <v>0</v>
      </c>
      <c r="AN525" s="296">
        <f>IF(NFI_Expiration=1,IF($A525&lt;VLOOKUP(V$5,NFI,5,0),1,0)*Table_NFI[[#This Row],[Jerry Can]],Table_NFI[Jerry Can])</f>
        <v>0</v>
      </c>
      <c r="AO525" s="296">
        <f>IF(NFI_Expiration=1,IF($A525&lt;VLOOKUP(V$5,NFI,5,0),1,0)*Table_NFI[[#This Row],[Shelter Tool kit]],Table_NFI[Shelter Tool kit])</f>
        <v>0</v>
      </c>
      <c r="AP525" s="296">
        <f>IF(NFI_Expiration=1,IF($A525&lt;VLOOKUP(V$5,NFI,5,0),1,0)*Table_NFI[[#This Row],[Tent]],Table_NFI[Tent])</f>
        <v>0</v>
      </c>
      <c r="AQ525" s="396" t="str">
        <f>IFERROR(VLOOKUP(Table_NFI[[#This Row],[Camp Name]],CL,2,0),"")</f>
        <v>MMR001CMP123</v>
      </c>
      <c r="AR525" s="702">
        <f ca="1">IF(Table_NFI[[#This Row],[Pcode]]="","",IF(OFFSET(CampList[Opening Date],MATCH(Table_NFI[[#This Row],[Pcode]],CampList[CP_Pcode],0)-1,0,1,1)&gt;=NFI_Monitor_Date,1,0))</f>
        <v>0</v>
      </c>
      <c r="AS525" s="396" t="str">
        <f>IFERROR(VLOOKUP(Table_NFI[[#This Row],[Camp Name]],CL,3,0),"")</f>
        <v>Open</v>
      </c>
      <c r="AT525" s="264" t="str">
        <f ca="1">IF(Table_NFI[[#This Row],[Pcode]]="","",OFFSET(CampList[Priority],MATCH(Table_NFI[[#This Row],[Pcode]],CampList[CP_Pcode],0)-1,0,1,1))</f>
        <v>P2</v>
      </c>
      <c r="AU525" s="263">
        <f>IFERROR(Table_NFI[[#This Row],[Kitchen Set]]/VLOOKUP(Table_NFI[[#This Row],[Camp Name]],CL,4,0),"")</f>
        <v>0</v>
      </c>
      <c r="AV525" s="390" t="s">
        <v>1087</v>
      </c>
      <c r="AW525" s="392"/>
      <c r="AX525" s="399"/>
      <c r="AY525" s="399"/>
      <c r="AZ525" s="399"/>
      <c r="BA525" s="399"/>
      <c r="BB525" s="399"/>
      <c r="BC525" s="399"/>
      <c r="BD525" s="399"/>
      <c r="BE525" s="399"/>
      <c r="BF525" s="399"/>
      <c r="BG525" s="399"/>
      <c r="BH525" s="399"/>
      <c r="BI525" s="399"/>
      <c r="BJ525" s="399"/>
      <c r="BK525" s="399"/>
      <c r="BL525" s="399"/>
      <c r="BM525" s="399"/>
      <c r="BN525" s="399"/>
      <c r="BO525" s="399"/>
      <c r="BP525" s="399"/>
      <c r="BQ525" s="399"/>
      <c r="BR525" s="399"/>
      <c r="BS525" s="399"/>
      <c r="BT525" s="399"/>
      <c r="BU525" s="399"/>
      <c r="BV525" s="399"/>
      <c r="BW525" s="399"/>
      <c r="BX525" s="399"/>
      <c r="BY525" s="399"/>
      <c r="BZ525" s="399"/>
      <c r="CA525" s="399"/>
      <c r="CB525" s="399"/>
      <c r="CC525" s="399"/>
      <c r="CD525" s="399"/>
      <c r="CE525" s="399"/>
      <c r="CF525" s="399"/>
      <c r="CG525" s="399"/>
      <c r="CH525" s="399"/>
      <c r="CI525" s="399"/>
      <c r="CJ525" s="399"/>
      <c r="CK525" s="399"/>
      <c r="CL525" s="399"/>
      <c r="CM525" s="399"/>
      <c r="CN525" s="399"/>
      <c r="CO525" s="399"/>
      <c r="CP525" s="399"/>
      <c r="CQ525" s="399"/>
      <c r="CR525" s="399"/>
      <c r="CS525" s="399"/>
      <c r="CT525" s="399"/>
      <c r="CU525" s="399"/>
      <c r="CV525" s="399"/>
      <c r="CW525" s="399"/>
      <c r="CX525" s="399"/>
      <c r="CY525" s="399"/>
      <c r="CZ525" s="399"/>
      <c r="DA525" s="399"/>
      <c r="DB525" s="399"/>
      <c r="DC525" s="399"/>
      <c r="DD525" s="399"/>
      <c r="DE525" s="399"/>
      <c r="DF525" s="399"/>
      <c r="DG525" s="399"/>
      <c r="DH525" s="399"/>
      <c r="DI525" s="399"/>
      <c r="DJ525" s="399"/>
      <c r="DK525" s="399"/>
      <c r="DL525" s="399"/>
      <c r="DM525" s="399"/>
      <c r="DN525" s="399"/>
      <c r="DO525" s="399"/>
      <c r="DP525" s="399"/>
      <c r="DQ525" s="399"/>
    </row>
    <row r="526" spans="1:121" s="760" customFormat="1" ht="14.45" customHeight="1" x14ac:dyDescent="0.25">
      <c r="A526" s="266">
        <f t="shared" si="8"/>
        <v>40.166666666666664</v>
      </c>
      <c r="B526" s="389">
        <v>41651</v>
      </c>
      <c r="C526" s="390" t="s">
        <v>452</v>
      </c>
      <c r="D526" s="390" t="s">
        <v>505</v>
      </c>
      <c r="E526" s="390" t="s">
        <v>380</v>
      </c>
      <c r="F526" s="390" t="s">
        <v>185</v>
      </c>
      <c r="G526" s="390" t="s">
        <v>192</v>
      </c>
      <c r="H526" s="261"/>
      <c r="I526" s="261"/>
      <c r="J526" s="261"/>
      <c r="K526" s="261"/>
      <c r="L526" s="261"/>
      <c r="M526" s="261"/>
      <c r="N526" s="261"/>
      <c r="O526" s="261"/>
      <c r="P526" s="261"/>
      <c r="Q526" s="261"/>
      <c r="R526" s="261">
        <v>393</v>
      </c>
      <c r="S526" s="261">
        <v>232</v>
      </c>
      <c r="T526" s="261"/>
      <c r="U526" s="261"/>
      <c r="V526" s="762"/>
      <c r="W526" s="261"/>
      <c r="X526" s="261"/>
      <c r="Y526" s="264">
        <f>IF(NFI_Expiration=1,IF($A526&lt;VLOOKUP(H$5,NFI,5,0),1,0)*Table_NFI[[#This Row],[Hygiene Kit]],Table_NFI[Hygiene Kit])</f>
        <v>0</v>
      </c>
      <c r="Z526" s="264">
        <f>IF(NFI_Expiration=1,IF($A526&lt;VLOOKUP(I$5,NFI,5,0),1,0)*Table_NFI[[#This Row],[NFI Core Kit]],Table_NFI[NFI Core Kit])</f>
        <v>0</v>
      </c>
      <c r="AA526" s="264">
        <f>IF(NFI_Expiration=1,IF($A526&lt;VLOOKUP(J$5,NFI,5,0),1,0)*Table_NFI[[#This Row],[Sanitary Kit]],Table_NFI[Sanitary Kit])</f>
        <v>0</v>
      </c>
      <c r="AB526" s="264">
        <f>IF(NFI_Expiration=1,IF($A526&lt;VLOOKUP(K$5,NFI,5,0),1,0)*Table_NFI[[#This Row],[Mosquito net]],Table_NFI[Mosquito net])</f>
        <v>0</v>
      </c>
      <c r="AC526" s="264">
        <f>IF(NFI_Expiration=1,IF($A526&lt;VLOOKUP(L$5,NFI,5,0),1,0)*Table_NFI[[#This Row],[Tarpaulin]],Table_NFI[[#This Row],[Tarpaulin]])</f>
        <v>0</v>
      </c>
      <c r="AD526" s="264">
        <f>IF(NFI_Expiration=1,IF($A526&lt;VLOOKUP(M$5,NFI,5,0),1,0)*Table_NFI[[#This Row],[Blanket]],Table_NFI[[#This Row],[Blanket]])</f>
        <v>0</v>
      </c>
      <c r="AE526" s="264">
        <f>IF(NFI_Expiration=1,IF($A526&lt;VLOOKUP(N$5,NFI,5,0),1,0)*Table_NFI[[#This Row],[Kitchen Set]],Table_NFI[Kitchen Set])</f>
        <v>0</v>
      </c>
      <c r="AF526" s="264">
        <f>IF(NFI_Expiration=1,IF($A526&lt;VLOOKUP(O$5,NFI,5,0),1,0)*Table_NFI[[#This Row],[Clothes Kit]],Table_NFI[Clothes Kit])</f>
        <v>0</v>
      </c>
      <c r="AG526" s="264">
        <f>IF(NFI_Expiration=1,IF($A526&lt;VLOOKUP(P$5,NFI,5,0),1,0)*Table_NFI[[#This Row],[Plastic Bucket]],Table_NFI[Plastic Bucket])</f>
        <v>0</v>
      </c>
      <c r="AH526" s="264">
        <f>IF(NFI_Expiration=1,IF($A526&lt;VLOOKUP(Q$5,NFI,5,0),1,0)*Table_NFI[[#This Row],[Plastic Mat]],Table_NFI[Plastic Mat])*IF(Table_NFI[[#This Row],[Distribution Date]]&gt;"2014-04-01",1,2.5)</f>
        <v>0</v>
      </c>
      <c r="AI526" s="264">
        <f>IF(NFI_Expiration=1,IF($A526&lt;VLOOKUP(R$5,NFI,5,0),1,0)*Table_NFI[[#This Row],[Winter Clothes Adult]],Table_NFI[Winter Clothes Adult])</f>
        <v>0</v>
      </c>
      <c r="AJ526" s="264">
        <f>IF(NFI_Expiration=1,IF($A526&lt;VLOOKUP(S$5,NFI,5,0),1,0)*Table_NFI[[#This Row],[Winter Clothes Children]],Table_NFI[Winter Clothes Children])</f>
        <v>0</v>
      </c>
      <c r="AK526" s="264">
        <f>IF(NFI_Expiration=1,IF($A526&lt;VLOOKUP(T$5,NFI,5,0),1,0)*Table_NFI[[#This Row],[Winter Items Other]],Table_NFI[Winter Items Other])</f>
        <v>0</v>
      </c>
      <c r="AL526" s="264">
        <f>IF(NFI_Expiration=1,IF($A526&lt;VLOOKUP(M$5,NFI,5,0),1,0)*Table_NFI[[#This Row],[Winter Blanket]],Table_NFI[[#This Row],[Winter Blanket]])</f>
        <v>0</v>
      </c>
      <c r="AM526" s="264">
        <f>IF(Table_NFI[[#This Row],[Winter Clothes Adult]]+Table_NFI[[#This Row],[Winter Clothes Children]]+Table_NFI[[#This Row],[Winter Items Other]]+Table_NFI[[#This Row],[Winter Blanket]]&gt;0,1,0)</f>
        <v>1</v>
      </c>
      <c r="AN526" s="296">
        <f>IF(NFI_Expiration=1,IF($A526&lt;VLOOKUP(V$5,NFI,5,0),1,0)*Table_NFI[[#This Row],[Jerry Can]],Table_NFI[Jerry Can])</f>
        <v>0</v>
      </c>
      <c r="AO526" s="296">
        <f>IF(NFI_Expiration=1,IF($A526&lt;VLOOKUP(V$5,NFI,5,0),1,0)*Table_NFI[[#This Row],[Shelter Tool kit]],Table_NFI[Shelter Tool kit])</f>
        <v>0</v>
      </c>
      <c r="AP526" s="296">
        <f>IF(NFI_Expiration=1,IF($A526&lt;VLOOKUP(V$5,NFI,5,0),1,0)*Table_NFI[[#This Row],[Tent]],Table_NFI[Tent])</f>
        <v>0</v>
      </c>
      <c r="AQ526" s="396" t="str">
        <f>IFERROR(VLOOKUP(Table_NFI[[#This Row],[Camp Name]],CL,2,0),"")</f>
        <v>MMR001CMP123</v>
      </c>
      <c r="AR526" s="702">
        <f ca="1">IF(Table_NFI[[#This Row],[Pcode]]="","",IF(OFFSET(CampList[Opening Date],MATCH(Table_NFI[[#This Row],[Pcode]],CampList[CP_Pcode],0)-1,0,1,1)&gt;=NFI_Monitor_Date,1,0))</f>
        <v>0</v>
      </c>
      <c r="AS526" s="396" t="str">
        <f>IFERROR(VLOOKUP(Table_NFI[[#This Row],[Camp Name]],CL,3,0),"")</f>
        <v>Open</v>
      </c>
      <c r="AT526" s="264" t="str">
        <f ca="1">IF(Table_NFI[[#This Row],[Pcode]]="","",OFFSET(CampList[Priority],MATCH(Table_NFI[[#This Row],[Pcode]],CampList[CP_Pcode],0)-1,0,1,1))</f>
        <v>P2</v>
      </c>
      <c r="AU526" s="263">
        <f>IFERROR(Table_NFI[[#This Row],[Kitchen Set]]/VLOOKUP(Table_NFI[[#This Row],[Camp Name]],CL,4,0),"")</f>
        <v>0</v>
      </c>
      <c r="AV526" s="390" t="s">
        <v>1087</v>
      </c>
      <c r="AW526" s="392"/>
      <c r="AX526" s="399"/>
      <c r="AY526" s="399"/>
      <c r="AZ526" s="399"/>
      <c r="BA526" s="399"/>
      <c r="BB526" s="399"/>
      <c r="BC526" s="399"/>
      <c r="BD526" s="399"/>
      <c r="BE526" s="399"/>
      <c r="BF526" s="399"/>
      <c r="BG526" s="399"/>
      <c r="BH526" s="399"/>
      <c r="BI526" s="399"/>
      <c r="BJ526" s="399"/>
      <c r="BK526" s="399"/>
      <c r="BL526" s="399"/>
      <c r="BM526" s="399"/>
      <c r="BN526" s="399"/>
      <c r="BO526" s="399"/>
      <c r="BP526" s="399"/>
      <c r="BQ526" s="399"/>
      <c r="BR526" s="399"/>
      <c r="BS526" s="399"/>
      <c r="BT526" s="399"/>
      <c r="BU526" s="399"/>
      <c r="BV526" s="399"/>
      <c r="BW526" s="399"/>
      <c r="BX526" s="399"/>
      <c r="BY526" s="399"/>
      <c r="BZ526" s="399"/>
      <c r="CA526" s="399"/>
      <c r="CB526" s="399"/>
      <c r="CC526" s="399"/>
      <c r="CD526" s="399"/>
      <c r="CE526" s="399"/>
      <c r="CF526" s="399"/>
      <c r="CG526" s="399"/>
      <c r="CH526" s="399"/>
      <c r="CI526" s="399"/>
      <c r="CJ526" s="399"/>
      <c r="CK526" s="399"/>
      <c r="CL526" s="399"/>
      <c r="CM526" s="399"/>
      <c r="CN526" s="399"/>
      <c r="CO526" s="399"/>
      <c r="CP526" s="399"/>
      <c r="CQ526" s="399"/>
      <c r="CR526" s="399"/>
      <c r="CS526" s="399"/>
      <c r="CT526" s="399"/>
      <c r="CU526" s="399"/>
      <c r="CV526" s="399"/>
      <c r="CW526" s="399"/>
      <c r="CX526" s="399"/>
      <c r="CY526" s="399"/>
      <c r="CZ526" s="399"/>
      <c r="DA526" s="399"/>
      <c r="DB526" s="399"/>
      <c r="DC526" s="399"/>
      <c r="DD526" s="399"/>
      <c r="DE526" s="399"/>
      <c r="DF526" s="399"/>
      <c r="DG526" s="399"/>
      <c r="DH526" s="399"/>
      <c r="DI526" s="399"/>
      <c r="DJ526" s="399"/>
      <c r="DK526" s="399"/>
      <c r="DL526" s="399"/>
      <c r="DM526" s="399"/>
      <c r="DN526" s="399"/>
      <c r="DO526" s="399"/>
      <c r="DP526" s="399"/>
      <c r="DQ526" s="399"/>
    </row>
    <row r="527" spans="1:121" s="760" customFormat="1" ht="14.45" customHeight="1" x14ac:dyDescent="0.25">
      <c r="A527" s="266">
        <f t="shared" si="8"/>
        <v>40.200000000000003</v>
      </c>
      <c r="B527" s="389">
        <v>41650</v>
      </c>
      <c r="C527" s="394" t="s">
        <v>451</v>
      </c>
      <c r="D527" s="394"/>
      <c r="E527" s="394" t="s">
        <v>380</v>
      </c>
      <c r="F527" s="394" t="s">
        <v>5</v>
      </c>
      <c r="G527" s="394" t="s">
        <v>366</v>
      </c>
      <c r="H527" s="261"/>
      <c r="I527" s="261"/>
      <c r="J527" s="261"/>
      <c r="K527" s="261"/>
      <c r="L527" s="261">
        <v>10</v>
      </c>
      <c r="M527" s="261"/>
      <c r="N527" s="261"/>
      <c r="O527" s="261"/>
      <c r="P527" s="261"/>
      <c r="Q527" s="261"/>
      <c r="R527" s="261"/>
      <c r="S527" s="261"/>
      <c r="T527" s="261"/>
      <c r="U527" s="261"/>
      <c r="V527" s="762"/>
      <c r="W527" s="261"/>
      <c r="X527" s="261"/>
      <c r="Y527" s="264">
        <f>IF(NFI_Expiration=1,IF($A527&lt;VLOOKUP(H$5,NFI,5,0),1,0)*Table_NFI[[#This Row],[Hygiene Kit]],Table_NFI[Hygiene Kit])</f>
        <v>0</v>
      </c>
      <c r="Z527" s="264">
        <f>IF(NFI_Expiration=1,IF($A527&lt;VLOOKUP(I$5,NFI,5,0),1,0)*Table_NFI[[#This Row],[NFI Core Kit]],Table_NFI[NFI Core Kit])</f>
        <v>0</v>
      </c>
      <c r="AA527" s="264">
        <f>IF(NFI_Expiration=1,IF($A527&lt;VLOOKUP(J$5,NFI,5,0),1,0)*Table_NFI[[#This Row],[Sanitary Kit]],Table_NFI[Sanitary Kit])</f>
        <v>0</v>
      </c>
      <c r="AB527" s="264">
        <f>IF(NFI_Expiration=1,IF($A527&lt;VLOOKUP(K$5,NFI,5,0),1,0)*Table_NFI[[#This Row],[Mosquito net]],Table_NFI[Mosquito net])</f>
        <v>0</v>
      </c>
      <c r="AC527" s="264">
        <f>IF(NFI_Expiration=1,IF($A527&lt;VLOOKUP(L$5,NFI,5,0),1,0)*Table_NFI[[#This Row],[Tarpaulin]],Table_NFI[[#This Row],[Tarpaulin]])</f>
        <v>0</v>
      </c>
      <c r="AD527" s="264">
        <f>IF(NFI_Expiration=1,IF($A527&lt;VLOOKUP(M$5,NFI,5,0),1,0)*Table_NFI[[#This Row],[Blanket]],Table_NFI[[#This Row],[Blanket]])</f>
        <v>0</v>
      </c>
      <c r="AE527" s="264">
        <f>IF(NFI_Expiration=1,IF($A527&lt;VLOOKUP(N$5,NFI,5,0),1,0)*Table_NFI[[#This Row],[Kitchen Set]],Table_NFI[Kitchen Set])</f>
        <v>0</v>
      </c>
      <c r="AF527" s="264">
        <f>IF(NFI_Expiration=1,IF($A527&lt;VLOOKUP(O$5,NFI,5,0),1,0)*Table_NFI[[#This Row],[Clothes Kit]],Table_NFI[Clothes Kit])</f>
        <v>0</v>
      </c>
      <c r="AG527" s="264">
        <f>IF(NFI_Expiration=1,IF($A527&lt;VLOOKUP(P$5,NFI,5,0),1,0)*Table_NFI[[#This Row],[Plastic Bucket]],Table_NFI[Plastic Bucket])</f>
        <v>0</v>
      </c>
      <c r="AH527" s="264">
        <f>IF(NFI_Expiration=1,IF($A527&lt;VLOOKUP(Q$5,NFI,5,0),1,0)*Table_NFI[[#This Row],[Plastic Mat]],Table_NFI[Plastic Mat])*IF(Table_NFI[[#This Row],[Distribution Date]]&gt;"2014-04-01",1,2.5)</f>
        <v>0</v>
      </c>
      <c r="AI527" s="264">
        <f>IF(NFI_Expiration=1,IF($A527&lt;VLOOKUP(R$5,NFI,5,0),1,0)*Table_NFI[[#This Row],[Winter Clothes Adult]],Table_NFI[Winter Clothes Adult])</f>
        <v>0</v>
      </c>
      <c r="AJ527" s="264">
        <f>IF(NFI_Expiration=1,IF($A527&lt;VLOOKUP(S$5,NFI,5,0),1,0)*Table_NFI[[#This Row],[Winter Clothes Children]],Table_NFI[Winter Clothes Children])</f>
        <v>0</v>
      </c>
      <c r="AK527" s="264">
        <f>IF(NFI_Expiration=1,IF($A527&lt;VLOOKUP(T$5,NFI,5,0),1,0)*Table_NFI[[#This Row],[Winter Items Other]],Table_NFI[Winter Items Other])</f>
        <v>0</v>
      </c>
      <c r="AL527" s="264">
        <f>IF(NFI_Expiration=1,IF($A527&lt;VLOOKUP(M$5,NFI,5,0),1,0)*Table_NFI[[#This Row],[Winter Blanket]],Table_NFI[[#This Row],[Winter Blanket]])</f>
        <v>0</v>
      </c>
      <c r="AM527" s="264">
        <f>IF(Table_NFI[[#This Row],[Winter Clothes Adult]]+Table_NFI[[#This Row],[Winter Clothes Children]]+Table_NFI[[#This Row],[Winter Items Other]]+Table_NFI[[#This Row],[Winter Blanket]]&gt;0,1,0)</f>
        <v>0</v>
      </c>
      <c r="AN527" s="296">
        <f>IF(NFI_Expiration=1,IF($A527&lt;VLOOKUP(V$5,NFI,5,0),1,0)*Table_NFI[[#This Row],[Jerry Can]],Table_NFI[Jerry Can])</f>
        <v>0</v>
      </c>
      <c r="AO527" s="296">
        <f>IF(NFI_Expiration=1,IF($A527&lt;VLOOKUP(V$5,NFI,5,0),1,0)*Table_NFI[[#This Row],[Shelter Tool kit]],Table_NFI[Shelter Tool kit])</f>
        <v>0</v>
      </c>
      <c r="AP527" s="296">
        <f>IF(NFI_Expiration=1,IF($A527&lt;VLOOKUP(V$5,NFI,5,0),1,0)*Table_NFI[[#This Row],[Tent]],Table_NFI[Tent])</f>
        <v>0</v>
      </c>
      <c r="AQ527" s="396" t="str">
        <f>IFERROR(VLOOKUP(Table_NFI[[#This Row],[Camp Name]],CL,2,0),"")</f>
        <v>MMR001CMP193</v>
      </c>
      <c r="AR527" s="702">
        <f ca="1">IF(Table_NFI[[#This Row],[Pcode]]="","",IF(OFFSET(CampList[Opening Date],MATCH(Table_NFI[[#This Row],[Pcode]],CampList[CP_Pcode],0)-1,0,1,1)&gt;=NFI_Monitor_Date,1,0))</f>
        <v>0</v>
      </c>
      <c r="AS527" s="396" t="str">
        <f>IFERROR(VLOOKUP(Table_NFI[[#This Row],[Camp Name]],CL,3,0),"")</f>
        <v>Open</v>
      </c>
      <c r="AT527" s="264" t="str">
        <f ca="1">IF(Table_NFI[[#This Row],[Pcode]]="","",OFFSET(CampList[Priority],MATCH(Table_NFI[[#This Row],[Pcode]],CampList[CP_Pcode],0)-1,0,1,1))</f>
        <v>P4</v>
      </c>
      <c r="AU527" s="263">
        <f>IFERROR(Table_NFI[[#This Row],[Kitchen Set]]/VLOOKUP(Table_NFI[[#This Row],[Camp Name]],CL,4,0),"")</f>
        <v>0</v>
      </c>
      <c r="AV527" s="394"/>
      <c r="AW527" s="397"/>
      <c r="AX527" s="399"/>
      <c r="AY527" s="399"/>
      <c r="AZ527" s="399"/>
      <c r="BA527" s="399"/>
      <c r="BB527" s="399"/>
      <c r="BC527" s="399"/>
      <c r="BD527" s="399"/>
      <c r="BE527" s="399"/>
      <c r="BF527" s="399"/>
      <c r="BG527" s="399"/>
      <c r="BH527" s="399"/>
      <c r="BI527" s="399"/>
      <c r="BJ527" s="399"/>
      <c r="BK527" s="399"/>
      <c r="BL527" s="399"/>
      <c r="BM527" s="399"/>
      <c r="BN527" s="399"/>
      <c r="BO527" s="399"/>
      <c r="BP527" s="399"/>
      <c r="BQ527" s="399"/>
      <c r="BR527" s="399"/>
      <c r="BS527" s="399"/>
      <c r="BT527" s="399"/>
      <c r="BU527" s="399"/>
      <c r="BV527" s="399"/>
      <c r="BW527" s="399"/>
      <c r="BX527" s="399"/>
      <c r="BY527" s="399"/>
      <c r="BZ527" s="399"/>
      <c r="CA527" s="399"/>
      <c r="CB527" s="399"/>
      <c r="CC527" s="399"/>
      <c r="CD527" s="399"/>
      <c r="CE527" s="399"/>
      <c r="CF527" s="399"/>
      <c r="CG527" s="399"/>
      <c r="CH527" s="399"/>
      <c r="CI527" s="399"/>
      <c r="CJ527" s="399"/>
      <c r="CK527" s="399"/>
      <c r="CL527" s="399"/>
      <c r="CM527" s="399"/>
      <c r="CN527" s="399"/>
      <c r="CO527" s="399"/>
      <c r="CP527" s="399"/>
      <c r="CQ527" s="399"/>
      <c r="CR527" s="399"/>
      <c r="CS527" s="399"/>
      <c r="CT527" s="399"/>
      <c r="CU527" s="399"/>
      <c r="CV527" s="399"/>
      <c r="CW527" s="399"/>
      <c r="CX527" s="399"/>
      <c r="CY527" s="399"/>
      <c r="CZ527" s="399"/>
      <c r="DA527" s="399"/>
      <c r="DB527" s="399"/>
      <c r="DC527" s="399"/>
      <c r="DD527" s="399"/>
      <c r="DE527" s="399"/>
      <c r="DF527" s="399"/>
      <c r="DG527" s="399"/>
      <c r="DH527" s="399"/>
      <c r="DI527" s="399"/>
      <c r="DJ527" s="399"/>
      <c r="DK527" s="399"/>
      <c r="DL527" s="399"/>
      <c r="DM527" s="399"/>
      <c r="DN527" s="399"/>
      <c r="DO527" s="399"/>
      <c r="DP527" s="399"/>
      <c r="DQ527" s="399"/>
    </row>
    <row r="528" spans="1:121" s="393" customFormat="1" ht="14.45" customHeight="1" x14ac:dyDescent="0.25">
      <c r="A528" s="266">
        <f t="shared" si="8"/>
        <v>40.266666666666666</v>
      </c>
      <c r="B528" s="389">
        <v>41648</v>
      </c>
      <c r="C528" s="390" t="s">
        <v>904</v>
      </c>
      <c r="D528" s="390" t="s">
        <v>459</v>
      </c>
      <c r="E528" s="390" t="s">
        <v>380</v>
      </c>
      <c r="F528" s="390" t="s">
        <v>151</v>
      </c>
      <c r="G528" s="390" t="s">
        <v>883</v>
      </c>
      <c r="H528" s="261"/>
      <c r="I528" s="261"/>
      <c r="J528" s="261"/>
      <c r="K528" s="261"/>
      <c r="L528" s="261"/>
      <c r="M528" s="261"/>
      <c r="N528" s="261"/>
      <c r="O528" s="261"/>
      <c r="P528" s="261"/>
      <c r="Q528" s="261"/>
      <c r="R528" s="261">
        <v>142</v>
      </c>
      <c r="S528" s="261">
        <v>284</v>
      </c>
      <c r="T528" s="261">
        <v>852</v>
      </c>
      <c r="U528" s="261">
        <v>426</v>
      </c>
      <c r="V528" s="762"/>
      <c r="W528" s="261"/>
      <c r="X528" s="261"/>
      <c r="Y528" s="264">
        <f>IF(NFI_Expiration=1,IF($A528&lt;VLOOKUP(H$5,NFI,5,0),1,0)*Table_NFI[[#This Row],[Hygiene Kit]],Table_NFI[Hygiene Kit])</f>
        <v>0</v>
      </c>
      <c r="Z528" s="264">
        <f>IF(NFI_Expiration=1,IF($A528&lt;VLOOKUP(I$5,NFI,5,0),1,0)*Table_NFI[[#This Row],[NFI Core Kit]],Table_NFI[NFI Core Kit])</f>
        <v>0</v>
      </c>
      <c r="AA528" s="264">
        <f>IF(NFI_Expiration=1,IF($A528&lt;VLOOKUP(J$5,NFI,5,0),1,0)*Table_NFI[[#This Row],[Sanitary Kit]],Table_NFI[Sanitary Kit])</f>
        <v>0</v>
      </c>
      <c r="AB528" s="264">
        <f>IF(NFI_Expiration=1,IF($A528&lt;VLOOKUP(K$5,NFI,5,0),1,0)*Table_NFI[[#This Row],[Mosquito net]],Table_NFI[Mosquito net])</f>
        <v>0</v>
      </c>
      <c r="AC528" s="264">
        <f>IF(NFI_Expiration=1,IF($A528&lt;VLOOKUP(L$5,NFI,5,0),1,0)*Table_NFI[[#This Row],[Tarpaulin]],Table_NFI[[#This Row],[Tarpaulin]])</f>
        <v>0</v>
      </c>
      <c r="AD528" s="264">
        <f>IF(NFI_Expiration=1,IF($A528&lt;VLOOKUP(M$5,NFI,5,0),1,0)*Table_NFI[[#This Row],[Blanket]],Table_NFI[[#This Row],[Blanket]])</f>
        <v>0</v>
      </c>
      <c r="AE528" s="264">
        <f>IF(NFI_Expiration=1,IF($A528&lt;VLOOKUP(N$5,NFI,5,0),1,0)*Table_NFI[[#This Row],[Kitchen Set]],Table_NFI[Kitchen Set])</f>
        <v>0</v>
      </c>
      <c r="AF528" s="264">
        <f>IF(NFI_Expiration=1,IF($A528&lt;VLOOKUP(O$5,NFI,5,0),1,0)*Table_NFI[[#This Row],[Clothes Kit]],Table_NFI[Clothes Kit])</f>
        <v>0</v>
      </c>
      <c r="AG528" s="264">
        <f>IF(NFI_Expiration=1,IF($A528&lt;VLOOKUP(P$5,NFI,5,0),1,0)*Table_NFI[[#This Row],[Plastic Bucket]],Table_NFI[Plastic Bucket])</f>
        <v>0</v>
      </c>
      <c r="AH528" s="264">
        <f>IF(NFI_Expiration=1,IF($A528&lt;VLOOKUP(Q$5,NFI,5,0),1,0)*Table_NFI[[#This Row],[Plastic Mat]],Table_NFI[Plastic Mat])*IF(Table_NFI[[#This Row],[Distribution Date]]&gt;"2014-04-01",1,2.5)</f>
        <v>0</v>
      </c>
      <c r="AI528" s="264">
        <f>IF(NFI_Expiration=1,IF($A528&lt;VLOOKUP(R$5,NFI,5,0),1,0)*Table_NFI[[#This Row],[Winter Clothes Adult]],Table_NFI[Winter Clothes Adult])</f>
        <v>0</v>
      </c>
      <c r="AJ528" s="264">
        <f>IF(NFI_Expiration=1,IF($A528&lt;VLOOKUP(S$5,NFI,5,0),1,0)*Table_NFI[[#This Row],[Winter Clothes Children]],Table_NFI[Winter Clothes Children])</f>
        <v>0</v>
      </c>
      <c r="AK528" s="264">
        <f>IF(NFI_Expiration=1,IF($A528&lt;VLOOKUP(T$5,NFI,5,0),1,0)*Table_NFI[[#This Row],[Winter Items Other]],Table_NFI[Winter Items Other])</f>
        <v>0</v>
      </c>
      <c r="AL528" s="264">
        <f>IF(NFI_Expiration=1,IF($A528&lt;VLOOKUP(M$5,NFI,5,0),1,0)*Table_NFI[[#This Row],[Winter Blanket]],Table_NFI[[#This Row],[Winter Blanket]])</f>
        <v>0</v>
      </c>
      <c r="AM528" s="264">
        <f>IF(Table_NFI[[#This Row],[Winter Clothes Adult]]+Table_NFI[[#This Row],[Winter Clothes Children]]+Table_NFI[[#This Row],[Winter Items Other]]+Table_NFI[[#This Row],[Winter Blanket]]&gt;0,1,0)</f>
        <v>1</v>
      </c>
      <c r="AN528" s="296">
        <f>IF(NFI_Expiration=1,IF($A528&lt;VLOOKUP(V$5,NFI,5,0),1,0)*Table_NFI[[#This Row],[Jerry Can]],Table_NFI[Jerry Can])</f>
        <v>0</v>
      </c>
      <c r="AO528" s="296">
        <f>IF(NFI_Expiration=1,IF($A528&lt;VLOOKUP(V$5,NFI,5,0),1,0)*Table_NFI[[#This Row],[Shelter Tool kit]],Table_NFI[Shelter Tool kit])</f>
        <v>0</v>
      </c>
      <c r="AP528" s="296">
        <f>IF(NFI_Expiration=1,IF($A528&lt;VLOOKUP(V$5,NFI,5,0),1,0)*Table_NFI[[#This Row],[Tent]],Table_NFI[Tent])</f>
        <v>0</v>
      </c>
      <c r="AQ528" s="396" t="str">
        <f>IFERROR(VLOOKUP(Table_NFI[[#This Row],[Camp Name]],CL,2,0),"")</f>
        <v>MMR001CMP217</v>
      </c>
      <c r="AR528" s="702">
        <f ca="1">IF(Table_NFI[[#This Row],[Pcode]]="","",IF(OFFSET(CampList[Opening Date],MATCH(Table_NFI[[#This Row],[Pcode]],CampList[CP_Pcode],0)-1,0,1,1)&gt;=NFI_Monitor_Date,1,0))</f>
        <v>0</v>
      </c>
      <c r="AS528" s="396" t="str">
        <f>IFERROR(VLOOKUP(Table_NFI[[#This Row],[Camp Name]],CL,3,0),"")</f>
        <v>Closed</v>
      </c>
      <c r="AT528" s="264" t="str">
        <f ca="1">IF(Table_NFI[[#This Row],[Pcode]]="","",OFFSET(CampList[Priority],MATCH(Table_NFI[[#This Row],[Pcode]],CampList[CP_Pcode],0)-1,0,1,1))</f>
        <v/>
      </c>
      <c r="AU528" s="263" t="str">
        <f>IFERROR(Table_NFI[[#This Row],[Kitchen Set]]/VLOOKUP(Table_NFI[[#This Row],[Camp Name]],CL,4,0),"")</f>
        <v/>
      </c>
      <c r="AV528" s="390"/>
      <c r="AW528" s="392"/>
      <c r="AX528" s="399"/>
      <c r="AY528" s="399"/>
      <c r="AZ528" s="399"/>
      <c r="BA528" s="399"/>
      <c r="BB528" s="399"/>
      <c r="BC528" s="399"/>
      <c r="BD528" s="399"/>
      <c r="BE528" s="399"/>
      <c r="BF528" s="399"/>
      <c r="BG528" s="399"/>
      <c r="BH528" s="399"/>
      <c r="BI528" s="399"/>
      <c r="BJ528" s="399"/>
      <c r="BK528" s="399"/>
      <c r="BL528" s="399"/>
      <c r="BM528" s="399"/>
      <c r="BN528" s="399"/>
      <c r="BO528" s="399"/>
      <c r="BP528" s="399"/>
      <c r="BQ528" s="399"/>
      <c r="BR528" s="399"/>
      <c r="BS528" s="399"/>
      <c r="BT528" s="399"/>
      <c r="BU528" s="399"/>
      <c r="BV528" s="399"/>
      <c r="BW528" s="399"/>
      <c r="BX528" s="399"/>
      <c r="BY528" s="399"/>
      <c r="BZ528" s="399"/>
      <c r="CA528" s="399"/>
      <c r="CB528" s="399"/>
      <c r="CC528" s="399"/>
      <c r="CD528" s="399"/>
      <c r="CE528" s="399"/>
      <c r="CF528" s="399"/>
      <c r="CG528" s="399"/>
      <c r="CH528" s="399"/>
      <c r="CI528" s="399"/>
      <c r="CJ528" s="399"/>
      <c r="CK528" s="399"/>
      <c r="CL528" s="399"/>
      <c r="CM528" s="399"/>
      <c r="CN528" s="399"/>
      <c r="CO528" s="399"/>
      <c r="CP528" s="399"/>
      <c r="CQ528" s="399"/>
      <c r="CR528" s="399"/>
      <c r="CS528" s="399"/>
      <c r="CT528" s="399"/>
      <c r="CU528" s="399"/>
      <c r="CV528" s="399"/>
      <c r="CW528" s="399"/>
      <c r="CX528" s="399"/>
      <c r="CY528" s="399"/>
      <c r="CZ528" s="399"/>
      <c r="DA528" s="399"/>
      <c r="DB528" s="399"/>
      <c r="DC528" s="399"/>
      <c r="DD528" s="399"/>
      <c r="DE528" s="399"/>
      <c r="DF528" s="399"/>
      <c r="DG528" s="399"/>
      <c r="DH528" s="399"/>
      <c r="DI528" s="399"/>
      <c r="DJ528" s="399"/>
      <c r="DK528" s="399"/>
      <c r="DL528" s="399"/>
      <c r="DM528" s="399"/>
      <c r="DN528" s="399"/>
      <c r="DO528" s="399"/>
      <c r="DP528" s="399"/>
      <c r="DQ528" s="399"/>
    </row>
    <row r="529" spans="1:121" s="393" customFormat="1" ht="15" customHeight="1" x14ac:dyDescent="0.25">
      <c r="A529" s="266">
        <f t="shared" si="8"/>
        <v>40.333333333333336</v>
      </c>
      <c r="B529" s="389">
        <v>41646</v>
      </c>
      <c r="C529" s="390" t="s">
        <v>451</v>
      </c>
      <c r="D529" s="391" t="s">
        <v>451</v>
      </c>
      <c r="E529" s="390" t="s">
        <v>380</v>
      </c>
      <c r="F529" s="262" t="s">
        <v>5</v>
      </c>
      <c r="G529" s="262" t="s">
        <v>22</v>
      </c>
      <c r="H529" s="261"/>
      <c r="I529" s="261"/>
      <c r="J529" s="261"/>
      <c r="K529" s="261">
        <v>44</v>
      </c>
      <c r="L529" s="261">
        <v>30</v>
      </c>
      <c r="M529" s="261">
        <v>44</v>
      </c>
      <c r="N529" s="261">
        <v>20</v>
      </c>
      <c r="O529" s="261">
        <v>20</v>
      </c>
      <c r="P529" s="261"/>
      <c r="Q529" s="261"/>
      <c r="R529" s="261"/>
      <c r="S529" s="261"/>
      <c r="T529" s="261"/>
      <c r="U529" s="261"/>
      <c r="V529" s="762"/>
      <c r="W529" s="261"/>
      <c r="X529" s="261"/>
      <c r="Y529" s="264">
        <f>IF(NFI_Expiration=1,IF($A529&lt;VLOOKUP(H$5,NFI,5,0),1,0)*Table_NFI[[#This Row],[Hygiene Kit]],Table_NFI[Hygiene Kit])</f>
        <v>0</v>
      </c>
      <c r="Z529" s="264">
        <f>IF(NFI_Expiration=1,IF($A529&lt;VLOOKUP(I$5,NFI,5,0),1,0)*Table_NFI[[#This Row],[NFI Core Kit]],Table_NFI[NFI Core Kit])</f>
        <v>0</v>
      </c>
      <c r="AA529" s="264">
        <f>IF(NFI_Expiration=1,IF($A529&lt;VLOOKUP(J$5,NFI,5,0),1,0)*Table_NFI[[#This Row],[Sanitary Kit]],Table_NFI[Sanitary Kit])</f>
        <v>0</v>
      </c>
      <c r="AB529" s="264">
        <f>IF(NFI_Expiration=1,IF($A529&lt;VLOOKUP(K$5,NFI,5,0),1,0)*Table_NFI[[#This Row],[Mosquito net]],Table_NFI[Mosquito net])</f>
        <v>0</v>
      </c>
      <c r="AC529" s="264">
        <f>IF(NFI_Expiration=1,IF($A529&lt;VLOOKUP(L$5,NFI,5,0),1,0)*Table_NFI[[#This Row],[Tarpaulin]],Table_NFI[[#This Row],[Tarpaulin]])</f>
        <v>0</v>
      </c>
      <c r="AD529" s="264">
        <f>IF(NFI_Expiration=1,IF($A529&lt;VLOOKUP(M$5,NFI,5,0),1,0)*Table_NFI[[#This Row],[Blanket]],Table_NFI[[#This Row],[Blanket]])</f>
        <v>0</v>
      </c>
      <c r="AE529" s="264">
        <f>IF(NFI_Expiration=1,IF($A529&lt;VLOOKUP(N$5,NFI,5,0),1,0)*Table_NFI[[#This Row],[Kitchen Set]],Table_NFI[Kitchen Set])</f>
        <v>0</v>
      </c>
      <c r="AF529" s="264">
        <f>IF(NFI_Expiration=1,IF($A529&lt;VLOOKUP(O$5,NFI,5,0),1,0)*Table_NFI[[#This Row],[Clothes Kit]],Table_NFI[Clothes Kit])</f>
        <v>0</v>
      </c>
      <c r="AG529" s="264">
        <f>IF(NFI_Expiration=1,IF($A529&lt;VLOOKUP(P$5,NFI,5,0),1,0)*Table_NFI[[#This Row],[Plastic Bucket]],Table_NFI[Plastic Bucket])</f>
        <v>0</v>
      </c>
      <c r="AH529" s="264">
        <f>IF(NFI_Expiration=1,IF($A529&lt;VLOOKUP(Q$5,NFI,5,0),1,0)*Table_NFI[[#This Row],[Plastic Mat]],Table_NFI[Plastic Mat])*IF(Table_NFI[[#This Row],[Distribution Date]]&gt;"2014-04-01",1,2.5)</f>
        <v>0</v>
      </c>
      <c r="AI529" s="264">
        <f>IF(NFI_Expiration=1,IF($A529&lt;VLOOKUP(R$5,NFI,5,0),1,0)*Table_NFI[[#This Row],[Winter Clothes Adult]],Table_NFI[Winter Clothes Adult])</f>
        <v>0</v>
      </c>
      <c r="AJ529" s="264">
        <f>IF(NFI_Expiration=1,IF($A529&lt;VLOOKUP(S$5,NFI,5,0),1,0)*Table_NFI[[#This Row],[Winter Clothes Children]],Table_NFI[Winter Clothes Children])</f>
        <v>0</v>
      </c>
      <c r="AK529" s="264">
        <f>IF(NFI_Expiration=1,IF($A529&lt;VLOOKUP(T$5,NFI,5,0),1,0)*Table_NFI[[#This Row],[Winter Items Other]],Table_NFI[Winter Items Other])</f>
        <v>0</v>
      </c>
      <c r="AL529" s="264">
        <f>IF(NFI_Expiration=1,IF($A529&lt;VLOOKUP(M$5,NFI,5,0),1,0)*Table_NFI[[#This Row],[Winter Blanket]],Table_NFI[[#This Row],[Winter Blanket]])</f>
        <v>0</v>
      </c>
      <c r="AM529" s="264">
        <f>IF(Table_NFI[[#This Row],[Winter Clothes Adult]]+Table_NFI[[#This Row],[Winter Clothes Children]]+Table_NFI[[#This Row],[Winter Items Other]]+Table_NFI[[#This Row],[Winter Blanket]]&gt;0,1,0)</f>
        <v>0</v>
      </c>
      <c r="AN529" s="296">
        <f>IF(NFI_Expiration=1,IF($A529&lt;VLOOKUP(V$5,NFI,5,0),1,0)*Table_NFI[[#This Row],[Jerry Can]],Table_NFI[Jerry Can])</f>
        <v>0</v>
      </c>
      <c r="AO529" s="296">
        <f>IF(NFI_Expiration=1,IF($A529&lt;VLOOKUP(V$5,NFI,5,0),1,0)*Table_NFI[[#This Row],[Shelter Tool kit]],Table_NFI[Shelter Tool kit])</f>
        <v>0</v>
      </c>
      <c r="AP529" s="296">
        <f>IF(NFI_Expiration=1,IF($A529&lt;VLOOKUP(V$5,NFI,5,0),1,0)*Table_NFI[[#This Row],[Tent]],Table_NFI[Tent])</f>
        <v>0</v>
      </c>
      <c r="AQ529" s="396" t="str">
        <f>IFERROR(VLOOKUP(Table_NFI[[#This Row],[Camp Name]],CL,2,0),"")</f>
        <v>MMR001CMP047</v>
      </c>
      <c r="AR529" s="702">
        <f ca="1">IF(Table_NFI[[#This Row],[Pcode]]="","",IF(OFFSET(CampList[Opening Date],MATCH(Table_NFI[[#This Row],[Pcode]],CampList[CP_Pcode],0)-1,0,1,1)&gt;=NFI_Monitor_Date,1,0))</f>
        <v>0</v>
      </c>
      <c r="AS529" s="396" t="str">
        <f>IFERROR(VLOOKUP(Table_NFI[[#This Row],[Camp Name]],CL,3,0),"")</f>
        <v>Open</v>
      </c>
      <c r="AT529" s="264" t="str">
        <f ca="1">IF(Table_NFI[[#This Row],[Pcode]]="","",OFFSET(CampList[Priority],MATCH(Table_NFI[[#This Row],[Pcode]],CampList[CP_Pcode],0)-1,0,1,1))</f>
        <v>P4</v>
      </c>
      <c r="AU529" s="263">
        <f>IFERROR(Table_NFI[[#This Row],[Kitchen Set]]/VLOOKUP(Table_NFI[[#This Row],[Camp Name]],CL,4,0),"")</f>
        <v>4.9109883364027013E-4</v>
      </c>
      <c r="AV529" s="390" t="s">
        <v>1087</v>
      </c>
      <c r="AW529" s="392"/>
      <c r="AX529" s="399"/>
      <c r="AY529" s="399"/>
      <c r="AZ529" s="399"/>
      <c r="BA529" s="399"/>
      <c r="BB529" s="399"/>
      <c r="BC529" s="399"/>
      <c r="BD529" s="399"/>
      <c r="BE529" s="399"/>
      <c r="BF529" s="399"/>
      <c r="BG529" s="399"/>
      <c r="BH529" s="399"/>
      <c r="BI529" s="399"/>
      <c r="BJ529" s="399"/>
      <c r="BK529" s="399"/>
      <c r="BL529" s="399"/>
      <c r="BM529" s="399"/>
      <c r="BN529" s="399"/>
      <c r="BO529" s="399"/>
      <c r="BP529" s="399"/>
      <c r="BQ529" s="399"/>
      <c r="BR529" s="399"/>
      <c r="BS529" s="399"/>
      <c r="BT529" s="399"/>
      <c r="BU529" s="399"/>
      <c r="BV529" s="399"/>
      <c r="BW529" s="399"/>
      <c r="BX529" s="399"/>
      <c r="BY529" s="399"/>
      <c r="BZ529" s="399"/>
      <c r="CA529" s="399"/>
      <c r="CB529" s="399"/>
      <c r="CC529" s="399"/>
      <c r="CD529" s="399"/>
      <c r="CE529" s="399"/>
      <c r="CF529" s="399"/>
      <c r="CG529" s="399"/>
      <c r="CH529" s="399"/>
      <c r="CI529" s="399"/>
      <c r="CJ529" s="399"/>
      <c r="CK529" s="399"/>
      <c r="CL529" s="399"/>
      <c r="CM529" s="399"/>
      <c r="CN529" s="399"/>
      <c r="CO529" s="399"/>
      <c r="CP529" s="399"/>
      <c r="CQ529" s="399"/>
      <c r="CR529" s="399"/>
      <c r="CS529" s="399"/>
      <c r="CT529" s="399"/>
      <c r="CU529" s="399"/>
      <c r="CV529" s="399"/>
      <c r="CW529" s="399"/>
      <c r="CX529" s="399"/>
      <c r="CY529" s="399"/>
      <c r="CZ529" s="399"/>
      <c r="DA529" s="399"/>
      <c r="DB529" s="399"/>
      <c r="DC529" s="399"/>
      <c r="DD529" s="399"/>
      <c r="DE529" s="399"/>
      <c r="DF529" s="399"/>
      <c r="DG529" s="399"/>
      <c r="DH529" s="399"/>
      <c r="DI529" s="399"/>
      <c r="DJ529" s="399"/>
      <c r="DK529" s="399"/>
      <c r="DL529" s="399"/>
      <c r="DM529" s="399"/>
      <c r="DN529" s="399"/>
      <c r="DO529" s="399"/>
      <c r="DP529" s="399"/>
      <c r="DQ529" s="399"/>
    </row>
    <row r="530" spans="1:121" s="760" customFormat="1" ht="15" customHeight="1" x14ac:dyDescent="0.25">
      <c r="A530" s="266">
        <f t="shared" si="8"/>
        <v>40.533333333333331</v>
      </c>
      <c r="B530" s="389">
        <v>41640</v>
      </c>
      <c r="C530" s="390" t="s">
        <v>1035</v>
      </c>
      <c r="D530" s="390" t="s">
        <v>899</v>
      </c>
      <c r="E530" s="390" t="s">
        <v>380</v>
      </c>
      <c r="F530" s="390" t="s">
        <v>173</v>
      </c>
      <c r="G530" s="390" t="s">
        <v>176</v>
      </c>
      <c r="H530" s="261"/>
      <c r="I530" s="261"/>
      <c r="J530" s="261"/>
      <c r="K530" s="261"/>
      <c r="L530" s="261"/>
      <c r="M530" s="261"/>
      <c r="N530" s="261">
        <v>14</v>
      </c>
      <c r="O530" s="261"/>
      <c r="P530" s="261"/>
      <c r="Q530" s="261"/>
      <c r="R530" s="261"/>
      <c r="S530" s="261"/>
      <c r="T530" s="261"/>
      <c r="U530" s="261"/>
      <c r="V530" s="762"/>
      <c r="W530" s="261"/>
      <c r="X530" s="261"/>
      <c r="Y530" s="264">
        <f>IF(NFI_Expiration=1,IF($A530&lt;VLOOKUP(H$5,NFI,5,0),1,0)*Table_NFI[[#This Row],[Hygiene Kit]],Table_NFI[Hygiene Kit])</f>
        <v>0</v>
      </c>
      <c r="Z530" s="264">
        <f>IF(NFI_Expiration=1,IF($A530&lt;VLOOKUP(I$5,NFI,5,0),1,0)*Table_NFI[[#This Row],[NFI Core Kit]],Table_NFI[NFI Core Kit])</f>
        <v>0</v>
      </c>
      <c r="AA530" s="264">
        <f>IF(NFI_Expiration=1,IF($A530&lt;VLOOKUP(J$5,NFI,5,0),1,0)*Table_NFI[[#This Row],[Sanitary Kit]],Table_NFI[Sanitary Kit])</f>
        <v>0</v>
      </c>
      <c r="AB530" s="264">
        <f>IF(NFI_Expiration=1,IF($A530&lt;VLOOKUP(K$5,NFI,5,0),1,0)*Table_NFI[[#This Row],[Mosquito net]],Table_NFI[Mosquito net])</f>
        <v>0</v>
      </c>
      <c r="AC530" s="264">
        <f>IF(NFI_Expiration=1,IF($A530&lt;VLOOKUP(L$5,NFI,5,0),1,0)*Table_NFI[[#This Row],[Tarpaulin]],Table_NFI[[#This Row],[Tarpaulin]])</f>
        <v>0</v>
      </c>
      <c r="AD530" s="264">
        <f>IF(NFI_Expiration=1,IF($A530&lt;VLOOKUP(M$5,NFI,5,0),1,0)*Table_NFI[[#This Row],[Blanket]],Table_NFI[[#This Row],[Blanket]])</f>
        <v>0</v>
      </c>
      <c r="AE530" s="264">
        <f>IF(NFI_Expiration=1,IF($A530&lt;VLOOKUP(N$5,NFI,5,0),1,0)*Table_NFI[[#This Row],[Kitchen Set]],Table_NFI[Kitchen Set])</f>
        <v>0</v>
      </c>
      <c r="AF530" s="264">
        <f>IF(NFI_Expiration=1,IF($A530&lt;VLOOKUP(O$5,NFI,5,0),1,0)*Table_NFI[[#This Row],[Clothes Kit]],Table_NFI[Clothes Kit])</f>
        <v>0</v>
      </c>
      <c r="AG530" s="264">
        <f>IF(NFI_Expiration=1,IF($A530&lt;VLOOKUP(P$5,NFI,5,0),1,0)*Table_NFI[[#This Row],[Plastic Bucket]],Table_NFI[Plastic Bucket])</f>
        <v>0</v>
      </c>
      <c r="AH530" s="264">
        <f>IF(NFI_Expiration=1,IF($A530&lt;VLOOKUP(Q$5,NFI,5,0),1,0)*Table_NFI[[#This Row],[Plastic Mat]],Table_NFI[Plastic Mat])*IF(Table_NFI[[#This Row],[Distribution Date]]&gt;"2014-04-01",1,2.5)</f>
        <v>0</v>
      </c>
      <c r="AI530" s="264">
        <f>IF(NFI_Expiration=1,IF($A530&lt;VLOOKUP(R$5,NFI,5,0),1,0)*Table_NFI[[#This Row],[Winter Clothes Adult]],Table_NFI[Winter Clothes Adult])</f>
        <v>0</v>
      </c>
      <c r="AJ530" s="264">
        <f>IF(NFI_Expiration=1,IF($A530&lt;VLOOKUP(S$5,NFI,5,0),1,0)*Table_NFI[[#This Row],[Winter Clothes Children]],Table_NFI[Winter Clothes Children])</f>
        <v>0</v>
      </c>
      <c r="AK530" s="264">
        <f>IF(NFI_Expiration=1,IF($A530&lt;VLOOKUP(T$5,NFI,5,0),1,0)*Table_NFI[[#This Row],[Winter Items Other]],Table_NFI[Winter Items Other])</f>
        <v>0</v>
      </c>
      <c r="AL530" s="264">
        <f>IF(NFI_Expiration=1,IF($A530&lt;VLOOKUP(M$5,NFI,5,0),1,0)*Table_NFI[[#This Row],[Winter Blanket]],Table_NFI[[#This Row],[Winter Blanket]])</f>
        <v>0</v>
      </c>
      <c r="AM530" s="264">
        <f>IF(Table_NFI[[#This Row],[Winter Clothes Adult]]+Table_NFI[[#This Row],[Winter Clothes Children]]+Table_NFI[[#This Row],[Winter Items Other]]+Table_NFI[[#This Row],[Winter Blanket]]&gt;0,1,0)</f>
        <v>0</v>
      </c>
      <c r="AN530" s="296">
        <f>IF(NFI_Expiration=1,IF($A530&lt;VLOOKUP(V$5,NFI,5,0),1,0)*Table_NFI[[#This Row],[Jerry Can]],Table_NFI[Jerry Can])</f>
        <v>0</v>
      </c>
      <c r="AO530" s="296">
        <f>IF(NFI_Expiration=1,IF($A530&lt;VLOOKUP(V$5,NFI,5,0),1,0)*Table_NFI[[#This Row],[Shelter Tool kit]],Table_NFI[Shelter Tool kit])</f>
        <v>0</v>
      </c>
      <c r="AP530" s="296">
        <f>IF(NFI_Expiration=1,IF($A530&lt;VLOOKUP(V$5,NFI,5,0),1,0)*Table_NFI[[#This Row],[Tent]],Table_NFI[Tent])</f>
        <v>0</v>
      </c>
      <c r="AQ530" s="396" t="str">
        <f>IFERROR(VLOOKUP(Table_NFI[[#This Row],[Camp Name]],CL,2,0),"")</f>
        <v>MMR001CMP077</v>
      </c>
      <c r="AR530" s="702">
        <f ca="1">IF(Table_NFI[[#This Row],[Pcode]]="","",IF(OFFSET(CampList[Opening Date],MATCH(Table_NFI[[#This Row],[Pcode]],CampList[CP_Pcode],0)-1,0,1,1)&gt;=NFI_Monitor_Date,1,0))</f>
        <v>0</v>
      </c>
      <c r="AS530" s="396" t="str">
        <f>IFERROR(VLOOKUP(Table_NFI[[#This Row],[Camp Name]],CL,3,0),"")</f>
        <v>Open</v>
      </c>
      <c r="AT530" s="264" t="str">
        <f ca="1">IF(Table_NFI[[#This Row],[Pcode]]="","",OFFSET(CampList[Priority],MATCH(Table_NFI[[#This Row],[Pcode]],CampList[CP_Pcode],0)-1,0,1,1))</f>
        <v>P4</v>
      </c>
      <c r="AU530" s="263">
        <f>IFERROR(Table_NFI[[#This Row],[Kitchen Set]]/VLOOKUP(Table_NFI[[#This Row],[Camp Name]],CL,4,0),"")</f>
        <v>3.4121374603948332E-4</v>
      </c>
      <c r="AV530" s="390" t="s">
        <v>1087</v>
      </c>
      <c r="AW530" s="392"/>
      <c r="AX530" s="399"/>
      <c r="AY530" s="399"/>
      <c r="AZ530" s="399"/>
      <c r="BA530" s="399"/>
      <c r="BB530" s="399"/>
      <c r="BC530" s="399"/>
      <c r="BD530" s="399"/>
      <c r="BE530" s="399"/>
      <c r="BF530" s="399"/>
      <c r="BG530" s="399"/>
      <c r="BH530" s="399"/>
      <c r="BI530" s="399"/>
      <c r="BJ530" s="399"/>
      <c r="BK530" s="399"/>
      <c r="BL530" s="399"/>
      <c r="BM530" s="399"/>
      <c r="BN530" s="399"/>
      <c r="BO530" s="399"/>
      <c r="BP530" s="399"/>
      <c r="BQ530" s="399"/>
      <c r="BR530" s="399"/>
      <c r="BS530" s="399"/>
      <c r="BT530" s="399"/>
      <c r="BU530" s="399"/>
      <c r="BV530" s="399"/>
      <c r="BW530" s="399"/>
      <c r="BX530" s="399"/>
      <c r="BY530" s="399"/>
      <c r="BZ530" s="399"/>
      <c r="CA530" s="399"/>
      <c r="CB530" s="399"/>
      <c r="CC530" s="399"/>
      <c r="CD530" s="399"/>
      <c r="CE530" s="399"/>
      <c r="CF530" s="399"/>
      <c r="CG530" s="399"/>
      <c r="CH530" s="399"/>
      <c r="CI530" s="399"/>
      <c r="CJ530" s="399"/>
      <c r="CK530" s="399"/>
      <c r="CL530" s="399"/>
      <c r="CM530" s="399"/>
      <c r="CN530" s="399"/>
      <c r="CO530" s="399"/>
      <c r="CP530" s="399"/>
      <c r="CQ530" s="399"/>
      <c r="CR530" s="399"/>
      <c r="CS530" s="399"/>
      <c r="CT530" s="399"/>
      <c r="CU530" s="399"/>
      <c r="CV530" s="399"/>
      <c r="CW530" s="399"/>
      <c r="CX530" s="399"/>
      <c r="CY530" s="399"/>
      <c r="CZ530" s="399"/>
      <c r="DA530" s="399"/>
      <c r="DB530" s="399"/>
      <c r="DC530" s="399"/>
      <c r="DD530" s="399"/>
      <c r="DE530" s="399"/>
      <c r="DF530" s="399"/>
      <c r="DG530" s="399"/>
      <c r="DH530" s="399"/>
      <c r="DI530" s="399"/>
      <c r="DJ530" s="399"/>
      <c r="DK530" s="399"/>
      <c r="DL530" s="399"/>
      <c r="DM530" s="399"/>
      <c r="DN530" s="399"/>
      <c r="DO530" s="399"/>
      <c r="DP530" s="399"/>
      <c r="DQ530" s="399"/>
    </row>
    <row r="531" spans="1:121" s="760" customFormat="1" ht="14.45" customHeight="1" x14ac:dyDescent="0.25">
      <c r="A531" s="266">
        <f t="shared" si="8"/>
        <v>40.533333333333331</v>
      </c>
      <c r="B531" s="389">
        <v>41640</v>
      </c>
      <c r="C531" s="390" t="s">
        <v>1035</v>
      </c>
      <c r="D531" s="390" t="s">
        <v>899</v>
      </c>
      <c r="E531" s="390" t="s">
        <v>380</v>
      </c>
      <c r="F531" s="390" t="s">
        <v>173</v>
      </c>
      <c r="G531" s="390" t="s">
        <v>178</v>
      </c>
      <c r="H531" s="261"/>
      <c r="I531" s="261"/>
      <c r="J531" s="261"/>
      <c r="K531" s="261"/>
      <c r="L531" s="261"/>
      <c r="M531" s="261"/>
      <c r="N531" s="261">
        <v>13</v>
      </c>
      <c r="O531" s="261"/>
      <c r="P531" s="261"/>
      <c r="Q531" s="261"/>
      <c r="R531" s="261"/>
      <c r="S531" s="261"/>
      <c r="T531" s="261"/>
      <c r="U531" s="261"/>
      <c r="V531" s="762"/>
      <c r="W531" s="261"/>
      <c r="X531" s="261"/>
      <c r="Y531" s="264">
        <f>IF(NFI_Expiration=1,IF($A531&lt;VLOOKUP(H$5,NFI,5,0),1,0)*Table_NFI[[#This Row],[Hygiene Kit]],Table_NFI[Hygiene Kit])</f>
        <v>0</v>
      </c>
      <c r="Z531" s="264">
        <f>IF(NFI_Expiration=1,IF($A531&lt;VLOOKUP(I$5,NFI,5,0),1,0)*Table_NFI[[#This Row],[NFI Core Kit]],Table_NFI[NFI Core Kit])</f>
        <v>0</v>
      </c>
      <c r="AA531" s="264">
        <f>IF(NFI_Expiration=1,IF($A531&lt;VLOOKUP(J$5,NFI,5,0),1,0)*Table_NFI[[#This Row],[Sanitary Kit]],Table_NFI[Sanitary Kit])</f>
        <v>0</v>
      </c>
      <c r="AB531" s="264">
        <f>IF(NFI_Expiration=1,IF($A531&lt;VLOOKUP(K$5,NFI,5,0),1,0)*Table_NFI[[#This Row],[Mosquito net]],Table_NFI[Mosquito net])</f>
        <v>0</v>
      </c>
      <c r="AC531" s="264">
        <f>IF(NFI_Expiration=1,IF($A531&lt;VLOOKUP(L$5,NFI,5,0),1,0)*Table_NFI[[#This Row],[Tarpaulin]],Table_NFI[[#This Row],[Tarpaulin]])</f>
        <v>0</v>
      </c>
      <c r="AD531" s="264">
        <f>IF(NFI_Expiration=1,IF($A531&lt;VLOOKUP(M$5,NFI,5,0),1,0)*Table_NFI[[#This Row],[Blanket]],Table_NFI[[#This Row],[Blanket]])</f>
        <v>0</v>
      </c>
      <c r="AE531" s="264">
        <f>IF(NFI_Expiration=1,IF($A531&lt;VLOOKUP(N$5,NFI,5,0),1,0)*Table_NFI[[#This Row],[Kitchen Set]],Table_NFI[Kitchen Set])</f>
        <v>0</v>
      </c>
      <c r="AF531" s="264">
        <f>IF(NFI_Expiration=1,IF($A531&lt;VLOOKUP(O$5,NFI,5,0),1,0)*Table_NFI[[#This Row],[Clothes Kit]],Table_NFI[Clothes Kit])</f>
        <v>0</v>
      </c>
      <c r="AG531" s="264">
        <f>IF(NFI_Expiration=1,IF($A531&lt;VLOOKUP(P$5,NFI,5,0),1,0)*Table_NFI[[#This Row],[Plastic Bucket]],Table_NFI[Plastic Bucket])</f>
        <v>0</v>
      </c>
      <c r="AH531" s="264">
        <f>IF(NFI_Expiration=1,IF($A531&lt;VLOOKUP(Q$5,NFI,5,0),1,0)*Table_NFI[[#This Row],[Plastic Mat]],Table_NFI[Plastic Mat])*IF(Table_NFI[[#This Row],[Distribution Date]]&gt;"2014-04-01",1,2.5)</f>
        <v>0</v>
      </c>
      <c r="AI531" s="264">
        <f>IF(NFI_Expiration=1,IF($A531&lt;VLOOKUP(R$5,NFI,5,0),1,0)*Table_NFI[[#This Row],[Winter Clothes Adult]],Table_NFI[Winter Clothes Adult])</f>
        <v>0</v>
      </c>
      <c r="AJ531" s="264">
        <f>IF(NFI_Expiration=1,IF($A531&lt;VLOOKUP(S$5,NFI,5,0),1,0)*Table_NFI[[#This Row],[Winter Clothes Children]],Table_NFI[Winter Clothes Children])</f>
        <v>0</v>
      </c>
      <c r="AK531" s="264">
        <f>IF(NFI_Expiration=1,IF($A531&lt;VLOOKUP(T$5,NFI,5,0),1,0)*Table_NFI[[#This Row],[Winter Items Other]],Table_NFI[Winter Items Other])</f>
        <v>0</v>
      </c>
      <c r="AL531" s="264">
        <f>IF(NFI_Expiration=1,IF($A531&lt;VLOOKUP(M$5,NFI,5,0),1,0)*Table_NFI[[#This Row],[Winter Blanket]],Table_NFI[[#This Row],[Winter Blanket]])</f>
        <v>0</v>
      </c>
      <c r="AM531" s="264">
        <f>IF(Table_NFI[[#This Row],[Winter Clothes Adult]]+Table_NFI[[#This Row],[Winter Clothes Children]]+Table_NFI[[#This Row],[Winter Items Other]]+Table_NFI[[#This Row],[Winter Blanket]]&gt;0,1,0)</f>
        <v>0</v>
      </c>
      <c r="AN531" s="296">
        <f>IF(NFI_Expiration=1,IF($A531&lt;VLOOKUP(V$5,NFI,5,0),1,0)*Table_NFI[[#This Row],[Jerry Can]],Table_NFI[Jerry Can])</f>
        <v>0</v>
      </c>
      <c r="AO531" s="296">
        <f>IF(NFI_Expiration=1,IF($A531&lt;VLOOKUP(V$5,NFI,5,0),1,0)*Table_NFI[[#This Row],[Shelter Tool kit]],Table_NFI[Shelter Tool kit])</f>
        <v>0</v>
      </c>
      <c r="AP531" s="296">
        <f>IF(NFI_Expiration=1,IF($A531&lt;VLOOKUP(V$5,NFI,5,0),1,0)*Table_NFI[[#This Row],[Tent]],Table_NFI[Tent])</f>
        <v>0</v>
      </c>
      <c r="AQ531" s="396" t="str">
        <f>IFERROR(VLOOKUP(Table_NFI[[#This Row],[Camp Name]],CL,2,0),"")</f>
        <v>MMR001CMP079</v>
      </c>
      <c r="AR531" s="702">
        <f ca="1">IF(Table_NFI[[#This Row],[Pcode]]="","",IF(OFFSET(CampList[Opening Date],MATCH(Table_NFI[[#This Row],[Pcode]],CampList[CP_Pcode],0)-1,0,1,1)&gt;=NFI_Monitor_Date,1,0))</f>
        <v>0</v>
      </c>
      <c r="AS531" s="396" t="str">
        <f>IFERROR(VLOOKUP(Table_NFI[[#This Row],[Camp Name]],CL,3,0),"")</f>
        <v>Open</v>
      </c>
      <c r="AT531" s="264" t="str">
        <f ca="1">IF(Table_NFI[[#This Row],[Pcode]]="","",OFFSET(CampList[Priority],MATCH(Table_NFI[[#This Row],[Pcode]],CampList[CP_Pcode],0)-1,0,1,1))</f>
        <v>P4</v>
      </c>
      <c r="AU531" s="263">
        <f>IFERROR(Table_NFI[[#This Row],[Kitchen Set]]/VLOOKUP(Table_NFI[[#This Row],[Camp Name]],CL,4,0),"")</f>
        <v>3.1731309038541335E-4</v>
      </c>
      <c r="AV531" s="390" t="s">
        <v>1087</v>
      </c>
      <c r="AW531" s="392"/>
      <c r="AX531" s="399"/>
      <c r="AY531" s="399"/>
      <c r="AZ531" s="399"/>
      <c r="BA531" s="399"/>
      <c r="BB531" s="399"/>
      <c r="BC531" s="399"/>
      <c r="BD531" s="399"/>
      <c r="BE531" s="399"/>
      <c r="BF531" s="399"/>
      <c r="BG531" s="399"/>
      <c r="BH531" s="399"/>
      <c r="BI531" s="399"/>
      <c r="BJ531" s="399"/>
      <c r="BK531" s="399"/>
      <c r="BL531" s="399"/>
      <c r="BM531" s="399"/>
      <c r="BN531" s="399"/>
      <c r="BO531" s="399"/>
      <c r="BP531" s="399"/>
      <c r="BQ531" s="399"/>
      <c r="BR531" s="399"/>
      <c r="BS531" s="399"/>
      <c r="BT531" s="399"/>
      <c r="BU531" s="399"/>
      <c r="BV531" s="399"/>
      <c r="BW531" s="399"/>
      <c r="BX531" s="399"/>
      <c r="BY531" s="399"/>
      <c r="BZ531" s="399"/>
      <c r="CA531" s="399"/>
      <c r="CB531" s="399"/>
      <c r="CC531" s="399"/>
      <c r="CD531" s="399"/>
      <c r="CE531" s="399"/>
      <c r="CF531" s="399"/>
      <c r="CG531" s="399"/>
      <c r="CH531" s="399"/>
      <c r="CI531" s="399"/>
      <c r="CJ531" s="399"/>
      <c r="CK531" s="399"/>
      <c r="CL531" s="399"/>
      <c r="CM531" s="399"/>
      <c r="CN531" s="399"/>
      <c r="CO531" s="399"/>
      <c r="CP531" s="399"/>
      <c r="CQ531" s="399"/>
      <c r="CR531" s="399"/>
      <c r="CS531" s="399"/>
      <c r="CT531" s="399"/>
      <c r="CU531" s="399"/>
      <c r="CV531" s="399"/>
      <c r="CW531" s="399"/>
      <c r="CX531" s="399"/>
      <c r="CY531" s="399"/>
      <c r="CZ531" s="399"/>
      <c r="DA531" s="399"/>
      <c r="DB531" s="399"/>
      <c r="DC531" s="399"/>
      <c r="DD531" s="399"/>
      <c r="DE531" s="399"/>
      <c r="DF531" s="399"/>
      <c r="DG531" s="399"/>
      <c r="DH531" s="399"/>
      <c r="DI531" s="399"/>
      <c r="DJ531" s="399"/>
      <c r="DK531" s="399"/>
      <c r="DL531" s="399"/>
      <c r="DM531" s="399"/>
      <c r="DN531" s="399"/>
      <c r="DO531" s="399"/>
      <c r="DP531" s="399"/>
      <c r="DQ531" s="399"/>
    </row>
    <row r="532" spans="1:121" s="760" customFormat="1" ht="14.45" customHeight="1" x14ac:dyDescent="0.25">
      <c r="A532" s="266">
        <f t="shared" si="8"/>
        <v>40.533333333333331</v>
      </c>
      <c r="B532" s="389">
        <v>41640</v>
      </c>
      <c r="C532" s="390" t="s">
        <v>1035</v>
      </c>
      <c r="D532" s="390" t="s">
        <v>899</v>
      </c>
      <c r="E532" s="390" t="s">
        <v>380</v>
      </c>
      <c r="F532" s="262" t="s">
        <v>180</v>
      </c>
      <c r="G532" s="390" t="s">
        <v>183</v>
      </c>
      <c r="H532" s="261"/>
      <c r="I532" s="261"/>
      <c r="J532" s="261"/>
      <c r="K532" s="261"/>
      <c r="L532" s="261"/>
      <c r="M532" s="261"/>
      <c r="N532" s="261">
        <v>12</v>
      </c>
      <c r="O532" s="261"/>
      <c r="P532" s="261"/>
      <c r="Q532" s="261"/>
      <c r="R532" s="261"/>
      <c r="S532" s="261"/>
      <c r="T532" s="261"/>
      <c r="U532" s="261"/>
      <c r="V532" s="762"/>
      <c r="W532" s="261"/>
      <c r="X532" s="261"/>
      <c r="Y532" s="264">
        <f>IF(NFI_Expiration=1,IF($A532&lt;VLOOKUP(H$5,NFI,5,0),1,0)*Table_NFI[[#This Row],[Hygiene Kit]],Table_NFI[Hygiene Kit])</f>
        <v>0</v>
      </c>
      <c r="Z532" s="264">
        <f>IF(NFI_Expiration=1,IF($A532&lt;VLOOKUP(I$5,NFI,5,0),1,0)*Table_NFI[[#This Row],[NFI Core Kit]],Table_NFI[NFI Core Kit])</f>
        <v>0</v>
      </c>
      <c r="AA532" s="264">
        <f>IF(NFI_Expiration=1,IF($A532&lt;VLOOKUP(J$5,NFI,5,0),1,0)*Table_NFI[[#This Row],[Sanitary Kit]],Table_NFI[Sanitary Kit])</f>
        <v>0</v>
      </c>
      <c r="AB532" s="264">
        <f>IF(NFI_Expiration=1,IF($A532&lt;VLOOKUP(K$5,NFI,5,0),1,0)*Table_NFI[[#This Row],[Mosquito net]],Table_NFI[Mosquito net])</f>
        <v>0</v>
      </c>
      <c r="AC532" s="264">
        <f>IF(NFI_Expiration=1,IF($A532&lt;VLOOKUP(L$5,NFI,5,0),1,0)*Table_NFI[[#This Row],[Tarpaulin]],Table_NFI[[#This Row],[Tarpaulin]])</f>
        <v>0</v>
      </c>
      <c r="AD532" s="264">
        <f>IF(NFI_Expiration=1,IF($A532&lt;VLOOKUP(M$5,NFI,5,0),1,0)*Table_NFI[[#This Row],[Blanket]],Table_NFI[[#This Row],[Blanket]])</f>
        <v>0</v>
      </c>
      <c r="AE532" s="264">
        <f>IF(NFI_Expiration=1,IF($A532&lt;VLOOKUP(N$5,NFI,5,0),1,0)*Table_NFI[[#This Row],[Kitchen Set]],Table_NFI[Kitchen Set])</f>
        <v>0</v>
      </c>
      <c r="AF532" s="264">
        <f>IF(NFI_Expiration=1,IF($A532&lt;VLOOKUP(O$5,NFI,5,0),1,0)*Table_NFI[[#This Row],[Clothes Kit]],Table_NFI[Clothes Kit])</f>
        <v>0</v>
      </c>
      <c r="AG532" s="264">
        <f>IF(NFI_Expiration=1,IF($A532&lt;VLOOKUP(P$5,NFI,5,0),1,0)*Table_NFI[[#This Row],[Plastic Bucket]],Table_NFI[Plastic Bucket])</f>
        <v>0</v>
      </c>
      <c r="AH532" s="264">
        <f>IF(NFI_Expiration=1,IF($A532&lt;VLOOKUP(Q$5,NFI,5,0),1,0)*Table_NFI[[#This Row],[Plastic Mat]],Table_NFI[Plastic Mat])*IF(Table_NFI[[#This Row],[Distribution Date]]&gt;"2014-04-01",1,2.5)</f>
        <v>0</v>
      </c>
      <c r="AI532" s="264">
        <f>IF(NFI_Expiration=1,IF($A532&lt;VLOOKUP(R$5,NFI,5,0),1,0)*Table_NFI[[#This Row],[Winter Clothes Adult]],Table_NFI[Winter Clothes Adult])</f>
        <v>0</v>
      </c>
      <c r="AJ532" s="264">
        <f>IF(NFI_Expiration=1,IF($A532&lt;VLOOKUP(S$5,NFI,5,0),1,0)*Table_NFI[[#This Row],[Winter Clothes Children]],Table_NFI[Winter Clothes Children])</f>
        <v>0</v>
      </c>
      <c r="AK532" s="264">
        <f>IF(NFI_Expiration=1,IF($A532&lt;VLOOKUP(T$5,NFI,5,0),1,0)*Table_NFI[[#This Row],[Winter Items Other]],Table_NFI[Winter Items Other])</f>
        <v>0</v>
      </c>
      <c r="AL532" s="264">
        <f>IF(NFI_Expiration=1,IF($A532&lt;VLOOKUP(M$5,NFI,5,0),1,0)*Table_NFI[[#This Row],[Winter Blanket]],Table_NFI[[#This Row],[Winter Blanket]])</f>
        <v>0</v>
      </c>
      <c r="AM532" s="264">
        <f>IF(Table_NFI[[#This Row],[Winter Clothes Adult]]+Table_NFI[[#This Row],[Winter Clothes Children]]+Table_NFI[[#This Row],[Winter Items Other]]+Table_NFI[[#This Row],[Winter Blanket]]&gt;0,1,0)</f>
        <v>0</v>
      </c>
      <c r="AN532" s="296">
        <f>IF(NFI_Expiration=1,IF($A532&lt;VLOOKUP(V$5,NFI,5,0),1,0)*Table_NFI[[#This Row],[Jerry Can]],Table_NFI[Jerry Can])</f>
        <v>0</v>
      </c>
      <c r="AO532" s="296">
        <f>IF(NFI_Expiration=1,IF($A532&lt;VLOOKUP(V$5,NFI,5,0),1,0)*Table_NFI[[#This Row],[Shelter Tool kit]],Table_NFI[Shelter Tool kit])</f>
        <v>0</v>
      </c>
      <c r="AP532" s="296">
        <f>IF(NFI_Expiration=1,IF($A532&lt;VLOOKUP(V$5,NFI,5,0),1,0)*Table_NFI[[#This Row],[Tent]],Table_NFI[Tent])</f>
        <v>0</v>
      </c>
      <c r="AQ532" s="396" t="str">
        <f>IFERROR(VLOOKUP(Table_NFI[[#This Row],[Camp Name]],CL,2,0),"")</f>
        <v>MMR001CMP081</v>
      </c>
      <c r="AR532" s="702">
        <f ca="1">IF(Table_NFI[[#This Row],[Pcode]]="","",IF(OFFSET(CampList[Opening Date],MATCH(Table_NFI[[#This Row],[Pcode]],CampList[CP_Pcode],0)-1,0,1,1)&gt;=NFI_Monitor_Date,1,0))</f>
        <v>0</v>
      </c>
      <c r="AS532" s="396" t="str">
        <f>IFERROR(VLOOKUP(Table_NFI[[#This Row],[Camp Name]],CL,3,0),"")</f>
        <v>Closed</v>
      </c>
      <c r="AT532" s="264" t="str">
        <f ca="1">IF(Table_NFI[[#This Row],[Pcode]]="","",OFFSET(CampList[Priority],MATCH(Table_NFI[[#This Row],[Pcode]],CampList[CP_Pcode],0)-1,0,1,1))</f>
        <v>P4</v>
      </c>
      <c r="AU532" s="263">
        <f>IFERROR(Table_NFI[[#This Row],[Kitchen Set]]/VLOOKUP(Table_NFI[[#This Row],[Camp Name]],CL,4,0),"")</f>
        <v>2.9290439112499695E-4</v>
      </c>
      <c r="AV532" s="390" t="s">
        <v>1087</v>
      </c>
      <c r="AW532" s="392"/>
      <c r="AX532" s="399"/>
      <c r="AY532" s="399"/>
      <c r="AZ532" s="399"/>
      <c r="BA532" s="399"/>
      <c r="BB532" s="399"/>
      <c r="BC532" s="399"/>
      <c r="BD532" s="399"/>
      <c r="BE532" s="399"/>
      <c r="BF532" s="399"/>
      <c r="BG532" s="399"/>
      <c r="BH532" s="399"/>
      <c r="BI532" s="399"/>
      <c r="BJ532" s="399"/>
      <c r="BK532" s="399"/>
      <c r="BL532" s="399"/>
      <c r="BM532" s="399"/>
      <c r="BN532" s="399"/>
      <c r="BO532" s="399"/>
      <c r="BP532" s="399"/>
      <c r="BQ532" s="399"/>
      <c r="BR532" s="399"/>
      <c r="BS532" s="399"/>
      <c r="BT532" s="399"/>
      <c r="BU532" s="399"/>
      <c r="BV532" s="399"/>
      <c r="BW532" s="399"/>
      <c r="BX532" s="399"/>
      <c r="BY532" s="399"/>
      <c r="BZ532" s="399"/>
      <c r="CA532" s="399"/>
      <c r="CB532" s="399"/>
      <c r="CC532" s="399"/>
      <c r="CD532" s="399"/>
      <c r="CE532" s="399"/>
      <c r="CF532" s="399"/>
      <c r="CG532" s="399"/>
      <c r="CH532" s="399"/>
      <c r="CI532" s="399"/>
      <c r="CJ532" s="399"/>
      <c r="CK532" s="399"/>
      <c r="CL532" s="399"/>
      <c r="CM532" s="399"/>
      <c r="CN532" s="399"/>
      <c r="CO532" s="399"/>
      <c r="CP532" s="399"/>
      <c r="CQ532" s="399"/>
      <c r="CR532" s="399"/>
      <c r="CS532" s="399"/>
      <c r="CT532" s="399"/>
      <c r="CU532" s="399"/>
      <c r="CV532" s="399"/>
      <c r="CW532" s="399"/>
      <c r="CX532" s="399"/>
      <c r="CY532" s="399"/>
      <c r="CZ532" s="399"/>
      <c r="DA532" s="399"/>
      <c r="DB532" s="399"/>
      <c r="DC532" s="399"/>
      <c r="DD532" s="399"/>
      <c r="DE532" s="399"/>
      <c r="DF532" s="399"/>
      <c r="DG532" s="399"/>
      <c r="DH532" s="399"/>
      <c r="DI532" s="399"/>
      <c r="DJ532" s="399"/>
      <c r="DK532" s="399"/>
      <c r="DL532" s="399"/>
      <c r="DM532" s="399"/>
      <c r="DN532" s="399"/>
      <c r="DO532" s="399"/>
      <c r="DP532" s="399"/>
      <c r="DQ532" s="399"/>
    </row>
    <row r="533" spans="1:121" s="760" customFormat="1" ht="14.45" customHeight="1" x14ac:dyDescent="0.25">
      <c r="A533" s="266">
        <f t="shared" si="8"/>
        <v>40.533333333333331</v>
      </c>
      <c r="B533" s="389">
        <v>41640</v>
      </c>
      <c r="C533" s="390" t="s">
        <v>1035</v>
      </c>
      <c r="D533" s="390" t="s">
        <v>899</v>
      </c>
      <c r="E533" s="390" t="s">
        <v>380</v>
      </c>
      <c r="F533" s="390" t="s">
        <v>27</v>
      </c>
      <c r="G533" s="390" t="s">
        <v>863</v>
      </c>
      <c r="H533" s="261"/>
      <c r="I533" s="261"/>
      <c r="J533" s="261"/>
      <c r="K533" s="261"/>
      <c r="L533" s="261"/>
      <c r="M533" s="261"/>
      <c r="N533" s="261">
        <v>92</v>
      </c>
      <c r="O533" s="261"/>
      <c r="P533" s="261"/>
      <c r="Q533" s="261"/>
      <c r="R533" s="261"/>
      <c r="S533" s="261"/>
      <c r="T533" s="261"/>
      <c r="U533" s="261"/>
      <c r="V533" s="762"/>
      <c r="W533" s="261"/>
      <c r="X533" s="261"/>
      <c r="Y533" s="264">
        <f>IF(NFI_Expiration=1,IF($A533&lt;VLOOKUP(H$5,NFI,5,0),1,0)*Table_NFI[[#This Row],[Hygiene Kit]],Table_NFI[Hygiene Kit])</f>
        <v>0</v>
      </c>
      <c r="Z533" s="264">
        <f>IF(NFI_Expiration=1,IF($A533&lt;VLOOKUP(I$5,NFI,5,0),1,0)*Table_NFI[[#This Row],[NFI Core Kit]],Table_NFI[NFI Core Kit])</f>
        <v>0</v>
      </c>
      <c r="AA533" s="264">
        <f>IF(NFI_Expiration=1,IF($A533&lt;VLOOKUP(J$5,NFI,5,0),1,0)*Table_NFI[[#This Row],[Sanitary Kit]],Table_NFI[Sanitary Kit])</f>
        <v>0</v>
      </c>
      <c r="AB533" s="264">
        <f>IF(NFI_Expiration=1,IF($A533&lt;VLOOKUP(K$5,NFI,5,0),1,0)*Table_NFI[[#This Row],[Mosquito net]],Table_NFI[Mosquito net])</f>
        <v>0</v>
      </c>
      <c r="AC533" s="264">
        <f>IF(NFI_Expiration=1,IF($A533&lt;VLOOKUP(L$5,NFI,5,0),1,0)*Table_NFI[[#This Row],[Tarpaulin]],Table_NFI[[#This Row],[Tarpaulin]])</f>
        <v>0</v>
      </c>
      <c r="AD533" s="264">
        <f>IF(NFI_Expiration=1,IF($A533&lt;VLOOKUP(M$5,NFI,5,0),1,0)*Table_NFI[[#This Row],[Blanket]],Table_NFI[[#This Row],[Blanket]])</f>
        <v>0</v>
      </c>
      <c r="AE533" s="264">
        <f>IF(NFI_Expiration=1,IF($A533&lt;VLOOKUP(N$5,NFI,5,0),1,0)*Table_NFI[[#This Row],[Kitchen Set]],Table_NFI[Kitchen Set])</f>
        <v>0</v>
      </c>
      <c r="AF533" s="264">
        <f>IF(NFI_Expiration=1,IF($A533&lt;VLOOKUP(O$5,NFI,5,0),1,0)*Table_NFI[[#This Row],[Clothes Kit]],Table_NFI[Clothes Kit])</f>
        <v>0</v>
      </c>
      <c r="AG533" s="264">
        <f>IF(NFI_Expiration=1,IF($A533&lt;VLOOKUP(P$5,NFI,5,0),1,0)*Table_NFI[[#This Row],[Plastic Bucket]],Table_NFI[Plastic Bucket])</f>
        <v>0</v>
      </c>
      <c r="AH533" s="264">
        <f>IF(NFI_Expiration=1,IF($A533&lt;VLOOKUP(Q$5,NFI,5,0),1,0)*Table_NFI[[#This Row],[Plastic Mat]],Table_NFI[Plastic Mat])*IF(Table_NFI[[#This Row],[Distribution Date]]&gt;"2014-04-01",1,2.5)</f>
        <v>0</v>
      </c>
      <c r="AI533" s="264">
        <f>IF(NFI_Expiration=1,IF($A533&lt;VLOOKUP(R$5,NFI,5,0),1,0)*Table_NFI[[#This Row],[Winter Clothes Adult]],Table_NFI[Winter Clothes Adult])</f>
        <v>0</v>
      </c>
      <c r="AJ533" s="264">
        <f>IF(NFI_Expiration=1,IF($A533&lt;VLOOKUP(S$5,NFI,5,0),1,0)*Table_NFI[[#This Row],[Winter Clothes Children]],Table_NFI[Winter Clothes Children])</f>
        <v>0</v>
      </c>
      <c r="AK533" s="264">
        <f>IF(NFI_Expiration=1,IF($A533&lt;VLOOKUP(T$5,NFI,5,0),1,0)*Table_NFI[[#This Row],[Winter Items Other]],Table_NFI[Winter Items Other])</f>
        <v>0</v>
      </c>
      <c r="AL533" s="264">
        <f>IF(NFI_Expiration=1,IF($A533&lt;VLOOKUP(M$5,NFI,5,0),1,0)*Table_NFI[[#This Row],[Winter Blanket]],Table_NFI[[#This Row],[Winter Blanket]])</f>
        <v>0</v>
      </c>
      <c r="AM533" s="264">
        <f>IF(Table_NFI[[#This Row],[Winter Clothes Adult]]+Table_NFI[[#This Row],[Winter Clothes Children]]+Table_NFI[[#This Row],[Winter Items Other]]+Table_NFI[[#This Row],[Winter Blanket]]&gt;0,1,0)</f>
        <v>0</v>
      </c>
      <c r="AN533" s="296">
        <f>IF(NFI_Expiration=1,IF($A533&lt;VLOOKUP(V$5,NFI,5,0),1,0)*Table_NFI[[#This Row],[Jerry Can]],Table_NFI[Jerry Can])</f>
        <v>0</v>
      </c>
      <c r="AO533" s="296">
        <f>IF(NFI_Expiration=1,IF($A533&lt;VLOOKUP(V$5,NFI,5,0),1,0)*Table_NFI[[#This Row],[Shelter Tool kit]],Table_NFI[Shelter Tool kit])</f>
        <v>0</v>
      </c>
      <c r="AP533" s="296">
        <f>IF(NFI_Expiration=1,IF($A533&lt;VLOOKUP(V$5,NFI,5,0),1,0)*Table_NFI[[#This Row],[Tent]],Table_NFI[Tent])</f>
        <v>0</v>
      </c>
      <c r="AQ533" s="396" t="str">
        <f>IFERROR(VLOOKUP(Table_NFI[[#This Row],[Camp Name]],CL,2,0),"")</f>
        <v>MMR001CMP210</v>
      </c>
      <c r="AR533" s="702">
        <f ca="1">IF(Table_NFI[[#This Row],[Pcode]]="","",IF(OFFSET(CampList[Opening Date],MATCH(Table_NFI[[#This Row],[Pcode]],CampList[CP_Pcode],0)-1,0,1,1)&gt;=NFI_Monitor_Date,1,0))</f>
        <v>0</v>
      </c>
      <c r="AS533" s="396" t="str">
        <f>IFERROR(VLOOKUP(Table_NFI[[#This Row],[Camp Name]],CL,3,0),"")</f>
        <v>Open</v>
      </c>
      <c r="AT533" s="264" t="str">
        <f ca="1">IF(Table_NFI[[#This Row],[Pcode]]="","",OFFSET(CampList[Priority],MATCH(Table_NFI[[#This Row],[Pcode]],CampList[CP_Pcode],0)-1,0,1,1))</f>
        <v>P1</v>
      </c>
      <c r="AU533" s="263">
        <f>IFERROR(Table_NFI[[#This Row],[Kitchen Set]]/VLOOKUP(Table_NFI[[#This Row],[Camp Name]],CL,4,0),"")</f>
        <v>2.2389330997055318E-3</v>
      </c>
      <c r="AV533" s="390" t="s">
        <v>1087</v>
      </c>
      <c r="AW533" s="392"/>
      <c r="AX533" s="399"/>
      <c r="AY533" s="399"/>
      <c r="AZ533" s="399"/>
      <c r="BA533" s="399"/>
      <c r="BB533" s="399"/>
      <c r="BC533" s="399"/>
      <c r="BD533" s="399"/>
      <c r="BE533" s="399"/>
      <c r="BF533" s="399"/>
      <c r="BG533" s="399"/>
      <c r="BH533" s="399"/>
      <c r="BI533" s="399"/>
      <c r="BJ533" s="399"/>
      <c r="BK533" s="399"/>
      <c r="BL533" s="399"/>
      <c r="BM533" s="399"/>
      <c r="BN533" s="399"/>
      <c r="BO533" s="399"/>
      <c r="BP533" s="399"/>
      <c r="BQ533" s="399"/>
      <c r="BR533" s="399"/>
      <c r="BS533" s="399"/>
      <c r="BT533" s="399"/>
      <c r="BU533" s="399"/>
      <c r="BV533" s="399"/>
      <c r="BW533" s="399"/>
      <c r="BX533" s="399"/>
      <c r="BY533" s="399"/>
      <c r="BZ533" s="399"/>
      <c r="CA533" s="399"/>
      <c r="CB533" s="399"/>
      <c r="CC533" s="399"/>
      <c r="CD533" s="399"/>
      <c r="CE533" s="399"/>
      <c r="CF533" s="399"/>
      <c r="CG533" s="399"/>
      <c r="CH533" s="399"/>
      <c r="CI533" s="399"/>
      <c r="CJ533" s="399"/>
      <c r="CK533" s="399"/>
      <c r="CL533" s="399"/>
      <c r="CM533" s="399"/>
      <c r="CN533" s="399"/>
      <c r="CO533" s="399"/>
      <c r="CP533" s="399"/>
      <c r="CQ533" s="399"/>
      <c r="CR533" s="399"/>
      <c r="CS533" s="399"/>
      <c r="CT533" s="399"/>
      <c r="CU533" s="399"/>
      <c r="CV533" s="399"/>
      <c r="CW533" s="399"/>
      <c r="CX533" s="399"/>
      <c r="CY533" s="399"/>
      <c r="CZ533" s="399"/>
      <c r="DA533" s="399"/>
      <c r="DB533" s="399"/>
      <c r="DC533" s="399"/>
      <c r="DD533" s="399"/>
      <c r="DE533" s="399"/>
      <c r="DF533" s="399"/>
      <c r="DG533" s="399"/>
      <c r="DH533" s="399"/>
      <c r="DI533" s="399"/>
      <c r="DJ533" s="399"/>
      <c r="DK533" s="399"/>
      <c r="DL533" s="399"/>
      <c r="DM533" s="399"/>
      <c r="DN533" s="399"/>
      <c r="DO533" s="399"/>
      <c r="DP533" s="399"/>
      <c r="DQ533" s="399"/>
    </row>
    <row r="534" spans="1:121" s="760" customFormat="1" ht="14.45" customHeight="1" x14ac:dyDescent="0.25">
      <c r="A534" s="266">
        <f t="shared" si="8"/>
        <v>40.833333333333336</v>
      </c>
      <c r="B534" s="389">
        <v>41631</v>
      </c>
      <c r="C534" s="390" t="s">
        <v>451</v>
      </c>
      <c r="D534" s="391" t="s">
        <v>451</v>
      </c>
      <c r="E534" s="390" t="s">
        <v>380</v>
      </c>
      <c r="F534" s="262" t="s">
        <v>5</v>
      </c>
      <c r="G534" s="262" t="s">
        <v>6</v>
      </c>
      <c r="H534" s="261"/>
      <c r="I534" s="261"/>
      <c r="J534" s="261">
        <v>10</v>
      </c>
      <c r="K534" s="261">
        <v>10</v>
      </c>
      <c r="L534" s="261">
        <v>7</v>
      </c>
      <c r="M534" s="261">
        <v>10</v>
      </c>
      <c r="N534" s="261">
        <v>7</v>
      </c>
      <c r="O534" s="261">
        <v>7</v>
      </c>
      <c r="P534" s="261"/>
      <c r="Q534" s="261"/>
      <c r="R534" s="261"/>
      <c r="S534" s="261"/>
      <c r="T534" s="261"/>
      <c r="U534" s="261"/>
      <c r="V534" s="762"/>
      <c r="W534" s="261"/>
      <c r="X534" s="261"/>
      <c r="Y534" s="264">
        <f>IF(NFI_Expiration=1,IF($A534&lt;VLOOKUP(H$5,NFI,5,0),1,0)*Table_NFI[[#This Row],[Hygiene Kit]],Table_NFI[Hygiene Kit])</f>
        <v>0</v>
      </c>
      <c r="Z534" s="264">
        <f>IF(NFI_Expiration=1,IF($A534&lt;VLOOKUP(I$5,NFI,5,0),1,0)*Table_NFI[[#This Row],[NFI Core Kit]],Table_NFI[NFI Core Kit])</f>
        <v>0</v>
      </c>
      <c r="AA534" s="264">
        <f>IF(NFI_Expiration=1,IF($A534&lt;VLOOKUP(J$5,NFI,5,0),1,0)*Table_NFI[[#This Row],[Sanitary Kit]],Table_NFI[Sanitary Kit])</f>
        <v>0</v>
      </c>
      <c r="AB534" s="264">
        <f>IF(NFI_Expiration=1,IF($A534&lt;VLOOKUP(K$5,NFI,5,0),1,0)*Table_NFI[[#This Row],[Mosquito net]],Table_NFI[Mosquito net])</f>
        <v>0</v>
      </c>
      <c r="AC534" s="264">
        <f>IF(NFI_Expiration=1,IF($A534&lt;VLOOKUP(L$5,NFI,5,0),1,0)*Table_NFI[[#This Row],[Tarpaulin]],Table_NFI[[#This Row],[Tarpaulin]])</f>
        <v>0</v>
      </c>
      <c r="AD534" s="264">
        <f>IF(NFI_Expiration=1,IF($A534&lt;VLOOKUP(M$5,NFI,5,0),1,0)*Table_NFI[[#This Row],[Blanket]],Table_NFI[[#This Row],[Blanket]])</f>
        <v>0</v>
      </c>
      <c r="AE534" s="264">
        <f>IF(NFI_Expiration=1,IF($A534&lt;VLOOKUP(N$5,NFI,5,0),1,0)*Table_NFI[[#This Row],[Kitchen Set]],Table_NFI[Kitchen Set])</f>
        <v>0</v>
      </c>
      <c r="AF534" s="264">
        <f>IF(NFI_Expiration=1,IF($A534&lt;VLOOKUP(O$5,NFI,5,0),1,0)*Table_NFI[[#This Row],[Clothes Kit]],Table_NFI[Clothes Kit])</f>
        <v>0</v>
      </c>
      <c r="AG534" s="264">
        <f>IF(NFI_Expiration=1,IF($A534&lt;VLOOKUP(P$5,NFI,5,0),1,0)*Table_NFI[[#This Row],[Plastic Bucket]],Table_NFI[Plastic Bucket])</f>
        <v>0</v>
      </c>
      <c r="AH534" s="264">
        <f>IF(NFI_Expiration=1,IF($A534&lt;VLOOKUP(Q$5,NFI,5,0),1,0)*Table_NFI[[#This Row],[Plastic Mat]],Table_NFI[Plastic Mat])*IF(Table_NFI[[#This Row],[Distribution Date]]&gt;"2014-04-01",1,2.5)</f>
        <v>0</v>
      </c>
      <c r="AI534" s="264">
        <f>IF(NFI_Expiration=1,IF($A534&lt;VLOOKUP(R$5,NFI,5,0),1,0)*Table_NFI[[#This Row],[Winter Clothes Adult]],Table_NFI[Winter Clothes Adult])</f>
        <v>0</v>
      </c>
      <c r="AJ534" s="264">
        <f>IF(NFI_Expiration=1,IF($A534&lt;VLOOKUP(S$5,NFI,5,0),1,0)*Table_NFI[[#This Row],[Winter Clothes Children]],Table_NFI[Winter Clothes Children])</f>
        <v>0</v>
      </c>
      <c r="AK534" s="264">
        <f>IF(NFI_Expiration=1,IF($A534&lt;VLOOKUP(T$5,NFI,5,0),1,0)*Table_NFI[[#This Row],[Winter Items Other]],Table_NFI[Winter Items Other])</f>
        <v>0</v>
      </c>
      <c r="AL534" s="264">
        <f>IF(NFI_Expiration=1,IF($A534&lt;VLOOKUP(M$5,NFI,5,0),1,0)*Table_NFI[[#This Row],[Winter Blanket]],Table_NFI[[#This Row],[Winter Blanket]])</f>
        <v>0</v>
      </c>
      <c r="AM534" s="264">
        <f>IF(Table_NFI[[#This Row],[Winter Clothes Adult]]+Table_NFI[[#This Row],[Winter Clothes Children]]+Table_NFI[[#This Row],[Winter Items Other]]+Table_NFI[[#This Row],[Winter Blanket]]&gt;0,1,0)</f>
        <v>0</v>
      </c>
      <c r="AN534" s="296">
        <f>IF(NFI_Expiration=1,IF($A534&lt;VLOOKUP(V$5,NFI,5,0),1,0)*Table_NFI[[#This Row],[Jerry Can]],Table_NFI[Jerry Can])</f>
        <v>0</v>
      </c>
      <c r="AO534" s="296">
        <f>IF(NFI_Expiration=1,IF($A534&lt;VLOOKUP(V$5,NFI,5,0),1,0)*Table_NFI[[#This Row],[Shelter Tool kit]],Table_NFI[Shelter Tool kit])</f>
        <v>0</v>
      </c>
      <c r="AP534" s="296">
        <f>IF(NFI_Expiration=1,IF($A534&lt;VLOOKUP(V$5,NFI,5,0),1,0)*Table_NFI[[#This Row],[Tent]],Table_NFI[Tent])</f>
        <v>0</v>
      </c>
      <c r="AQ534" s="396" t="str">
        <f>IFERROR(VLOOKUP(Table_NFI[[#This Row],[Camp Name]],CL,2,0),"")</f>
        <v>MMR001CMP050</v>
      </c>
      <c r="AR534" s="702">
        <f ca="1">IF(Table_NFI[[#This Row],[Pcode]]="","",IF(OFFSET(CampList[Opening Date],MATCH(Table_NFI[[#This Row],[Pcode]],CampList[CP_Pcode],0)-1,0,1,1)&gt;=NFI_Monitor_Date,1,0))</f>
        <v>0</v>
      </c>
      <c r="AS534" s="396" t="str">
        <f>IFERROR(VLOOKUP(Table_NFI[[#This Row],[Camp Name]],CL,3,0),"")</f>
        <v>Open</v>
      </c>
      <c r="AT534" s="264" t="str">
        <f ca="1">IF(Table_NFI[[#This Row],[Pcode]]="","",OFFSET(CampList[Priority],MATCH(Table_NFI[[#This Row],[Pcode]],CampList[CP_Pcode],0)-1,0,1,1))</f>
        <v>P4</v>
      </c>
      <c r="AU534" s="263">
        <f>IFERROR(Table_NFI[[#This Row],[Kitchen Set]]/VLOOKUP(Table_NFI[[#This Row],[Camp Name]],CL,4,0),"")</f>
        <v>1.7136701919310616E-4</v>
      </c>
      <c r="AV534" s="390" t="s">
        <v>1087</v>
      </c>
      <c r="AW534" s="392"/>
      <c r="AX534" s="399"/>
      <c r="AY534" s="399"/>
      <c r="AZ534" s="399"/>
      <c r="BA534" s="399"/>
      <c r="BB534" s="399"/>
      <c r="BC534" s="399"/>
      <c r="BD534" s="399"/>
      <c r="BE534" s="399"/>
      <c r="BF534" s="399"/>
      <c r="BG534" s="399"/>
      <c r="BH534" s="399"/>
      <c r="BI534" s="399"/>
      <c r="BJ534" s="399"/>
      <c r="BK534" s="399"/>
      <c r="BL534" s="399"/>
      <c r="BM534" s="399"/>
      <c r="BN534" s="399"/>
      <c r="BO534" s="399"/>
      <c r="BP534" s="399"/>
      <c r="BQ534" s="399"/>
      <c r="BR534" s="399"/>
      <c r="BS534" s="399"/>
      <c r="BT534" s="399"/>
      <c r="BU534" s="399"/>
      <c r="BV534" s="399"/>
      <c r="BW534" s="399"/>
      <c r="BX534" s="399"/>
      <c r="BY534" s="399"/>
      <c r="BZ534" s="399"/>
      <c r="CA534" s="399"/>
      <c r="CB534" s="399"/>
      <c r="CC534" s="399"/>
      <c r="CD534" s="399"/>
      <c r="CE534" s="399"/>
      <c r="CF534" s="399"/>
      <c r="CG534" s="399"/>
      <c r="CH534" s="399"/>
      <c r="CI534" s="399"/>
      <c r="CJ534" s="399"/>
      <c r="CK534" s="399"/>
      <c r="CL534" s="399"/>
      <c r="CM534" s="399"/>
      <c r="CN534" s="399"/>
      <c r="CO534" s="399"/>
      <c r="CP534" s="399"/>
      <c r="CQ534" s="399"/>
      <c r="CR534" s="399"/>
      <c r="CS534" s="399"/>
      <c r="CT534" s="399"/>
      <c r="CU534" s="399"/>
      <c r="CV534" s="399"/>
      <c r="CW534" s="399"/>
      <c r="CX534" s="399"/>
      <c r="CY534" s="399"/>
      <c r="CZ534" s="399"/>
      <c r="DA534" s="399"/>
      <c r="DB534" s="399"/>
      <c r="DC534" s="399"/>
      <c r="DD534" s="399"/>
      <c r="DE534" s="399"/>
      <c r="DF534" s="399"/>
      <c r="DG534" s="399"/>
      <c r="DH534" s="399"/>
      <c r="DI534" s="399"/>
      <c r="DJ534" s="399"/>
      <c r="DK534" s="399"/>
      <c r="DL534" s="399"/>
      <c r="DM534" s="399"/>
      <c r="DN534" s="399"/>
      <c r="DO534" s="399"/>
      <c r="DP534" s="399"/>
      <c r="DQ534" s="399"/>
    </row>
    <row r="535" spans="1:121" s="760" customFormat="1" ht="14.45" customHeight="1" x14ac:dyDescent="0.25">
      <c r="A535" s="266">
        <f t="shared" si="8"/>
        <v>40.833333333333336</v>
      </c>
      <c r="B535" s="389">
        <v>41631</v>
      </c>
      <c r="C535" s="390" t="s">
        <v>904</v>
      </c>
      <c r="D535" s="390" t="s">
        <v>459</v>
      </c>
      <c r="E535" s="390" t="s">
        <v>380</v>
      </c>
      <c r="F535" s="390" t="s">
        <v>310</v>
      </c>
      <c r="G535" s="390" t="s">
        <v>812</v>
      </c>
      <c r="H535" s="261"/>
      <c r="I535" s="261"/>
      <c r="J535" s="261"/>
      <c r="K535" s="261"/>
      <c r="L535" s="261"/>
      <c r="M535" s="261"/>
      <c r="N535" s="261"/>
      <c r="O535" s="261"/>
      <c r="P535" s="261"/>
      <c r="Q535" s="261"/>
      <c r="R535" s="261">
        <v>2</v>
      </c>
      <c r="S535" s="261">
        <v>111</v>
      </c>
      <c r="T535" s="261">
        <v>226</v>
      </c>
      <c r="U535" s="261">
        <v>113</v>
      </c>
      <c r="V535" s="762"/>
      <c r="W535" s="261"/>
      <c r="X535" s="261"/>
      <c r="Y535" s="264">
        <f>IF(NFI_Expiration=1,IF($A535&lt;VLOOKUP(H$5,NFI,5,0),1,0)*Table_NFI[[#This Row],[Hygiene Kit]],Table_NFI[Hygiene Kit])</f>
        <v>0</v>
      </c>
      <c r="Z535" s="264">
        <f>IF(NFI_Expiration=1,IF($A535&lt;VLOOKUP(I$5,NFI,5,0),1,0)*Table_NFI[[#This Row],[NFI Core Kit]],Table_NFI[NFI Core Kit])</f>
        <v>0</v>
      </c>
      <c r="AA535" s="264">
        <f>IF(NFI_Expiration=1,IF($A535&lt;VLOOKUP(J$5,NFI,5,0),1,0)*Table_NFI[[#This Row],[Sanitary Kit]],Table_NFI[Sanitary Kit])</f>
        <v>0</v>
      </c>
      <c r="AB535" s="264">
        <f>IF(NFI_Expiration=1,IF($A535&lt;VLOOKUP(K$5,NFI,5,0),1,0)*Table_NFI[[#This Row],[Mosquito net]],Table_NFI[Mosquito net])</f>
        <v>0</v>
      </c>
      <c r="AC535" s="264">
        <f>IF(NFI_Expiration=1,IF($A535&lt;VLOOKUP(L$5,NFI,5,0),1,0)*Table_NFI[[#This Row],[Tarpaulin]],Table_NFI[[#This Row],[Tarpaulin]])</f>
        <v>0</v>
      </c>
      <c r="AD535" s="264">
        <f>IF(NFI_Expiration=1,IF($A535&lt;VLOOKUP(M$5,NFI,5,0),1,0)*Table_NFI[[#This Row],[Blanket]],Table_NFI[[#This Row],[Blanket]])</f>
        <v>0</v>
      </c>
      <c r="AE535" s="264">
        <f>IF(NFI_Expiration=1,IF($A535&lt;VLOOKUP(N$5,NFI,5,0),1,0)*Table_NFI[[#This Row],[Kitchen Set]],Table_NFI[Kitchen Set])</f>
        <v>0</v>
      </c>
      <c r="AF535" s="264">
        <f>IF(NFI_Expiration=1,IF($A535&lt;VLOOKUP(O$5,NFI,5,0),1,0)*Table_NFI[[#This Row],[Clothes Kit]],Table_NFI[Clothes Kit])</f>
        <v>0</v>
      </c>
      <c r="AG535" s="264">
        <f>IF(NFI_Expiration=1,IF($A535&lt;VLOOKUP(P$5,NFI,5,0),1,0)*Table_NFI[[#This Row],[Plastic Bucket]],Table_NFI[Plastic Bucket])</f>
        <v>0</v>
      </c>
      <c r="AH535" s="264">
        <f>IF(NFI_Expiration=1,IF($A535&lt;VLOOKUP(Q$5,NFI,5,0),1,0)*Table_NFI[[#This Row],[Plastic Mat]],Table_NFI[Plastic Mat])*IF(Table_NFI[[#This Row],[Distribution Date]]&gt;"2014-04-01",1,2.5)</f>
        <v>0</v>
      </c>
      <c r="AI535" s="264">
        <f>IF(NFI_Expiration=1,IF($A535&lt;VLOOKUP(R$5,NFI,5,0),1,0)*Table_NFI[[#This Row],[Winter Clothes Adult]],Table_NFI[Winter Clothes Adult])</f>
        <v>0</v>
      </c>
      <c r="AJ535" s="264">
        <f>IF(NFI_Expiration=1,IF($A535&lt;VLOOKUP(S$5,NFI,5,0),1,0)*Table_NFI[[#This Row],[Winter Clothes Children]],Table_NFI[Winter Clothes Children])</f>
        <v>0</v>
      </c>
      <c r="AK535" s="264">
        <f>IF(NFI_Expiration=1,IF($A535&lt;VLOOKUP(T$5,NFI,5,0),1,0)*Table_NFI[[#This Row],[Winter Items Other]],Table_NFI[Winter Items Other])</f>
        <v>0</v>
      </c>
      <c r="AL535" s="264">
        <f>IF(NFI_Expiration=1,IF($A535&lt;VLOOKUP(M$5,NFI,5,0),1,0)*Table_NFI[[#This Row],[Winter Blanket]],Table_NFI[[#This Row],[Winter Blanket]])</f>
        <v>0</v>
      </c>
      <c r="AM535" s="264">
        <f>IF(Table_NFI[[#This Row],[Winter Clothes Adult]]+Table_NFI[[#This Row],[Winter Clothes Children]]+Table_NFI[[#This Row],[Winter Items Other]]+Table_NFI[[#This Row],[Winter Blanket]]&gt;0,1,0)</f>
        <v>1</v>
      </c>
      <c r="AN535" s="296">
        <f>IF(NFI_Expiration=1,IF($A535&lt;VLOOKUP(V$5,NFI,5,0),1,0)*Table_NFI[[#This Row],[Jerry Can]],Table_NFI[Jerry Can])</f>
        <v>0</v>
      </c>
      <c r="AO535" s="296">
        <f>IF(NFI_Expiration=1,IF($A535&lt;VLOOKUP(V$5,NFI,5,0),1,0)*Table_NFI[[#This Row],[Shelter Tool kit]],Table_NFI[Shelter Tool kit])</f>
        <v>0</v>
      </c>
      <c r="AP535" s="296">
        <f>IF(NFI_Expiration=1,IF($A535&lt;VLOOKUP(V$5,NFI,5,0),1,0)*Table_NFI[[#This Row],[Tent]],Table_NFI[Tent])</f>
        <v>0</v>
      </c>
      <c r="AQ535" s="396" t="str">
        <f>IFERROR(VLOOKUP(Table_NFI[[#This Row],[Camp Name]],CL,2,0),"")</f>
        <v>MMR001CMP208</v>
      </c>
      <c r="AR535" s="702">
        <f ca="1">IF(Table_NFI[[#This Row],[Pcode]]="","",IF(OFFSET(CampList[Opening Date],MATCH(Table_NFI[[#This Row],[Pcode]],CampList[CP_Pcode],0)-1,0,1,1)&gt;=NFI_Monitor_Date,1,0))</f>
        <v>0</v>
      </c>
      <c r="AS535" s="396" t="str">
        <f>IFERROR(VLOOKUP(Table_NFI[[#This Row],[Camp Name]],CL,3,0),"")</f>
        <v>Open</v>
      </c>
      <c r="AT535" s="264" t="str">
        <f ca="1">IF(Table_NFI[[#This Row],[Pcode]]="","",OFFSET(CampList[Priority],MATCH(Table_NFI[[#This Row],[Pcode]],CampList[CP_Pcode],0)-1,0,1,1))</f>
        <v>P2</v>
      </c>
      <c r="AU535" s="263" t="str">
        <f>IFERROR(Table_NFI[[#This Row],[Kitchen Set]]/VLOOKUP(Table_NFI[[#This Row],[Camp Name]],CL,4,0),"")</f>
        <v/>
      </c>
      <c r="AV535" s="390"/>
      <c r="AW535" s="392"/>
      <c r="AX535" s="399"/>
      <c r="AY535" s="399"/>
      <c r="AZ535" s="399"/>
      <c r="BA535" s="399"/>
      <c r="BB535" s="399"/>
      <c r="BC535" s="399"/>
      <c r="BD535" s="399"/>
      <c r="BE535" s="399"/>
      <c r="BF535" s="399"/>
      <c r="BG535" s="399"/>
      <c r="BH535" s="399"/>
      <c r="BI535" s="399"/>
      <c r="BJ535" s="399"/>
      <c r="BK535" s="399"/>
      <c r="BL535" s="399"/>
      <c r="BM535" s="399"/>
      <c r="BN535" s="399"/>
      <c r="BO535" s="399"/>
      <c r="BP535" s="399"/>
      <c r="BQ535" s="399"/>
      <c r="BR535" s="399"/>
      <c r="BS535" s="399"/>
      <c r="BT535" s="399"/>
      <c r="BU535" s="399"/>
      <c r="BV535" s="399"/>
      <c r="BW535" s="399"/>
      <c r="BX535" s="399"/>
      <c r="BY535" s="399"/>
      <c r="BZ535" s="399"/>
      <c r="CA535" s="399"/>
      <c r="CB535" s="399"/>
      <c r="CC535" s="399"/>
      <c r="CD535" s="399"/>
      <c r="CE535" s="399"/>
      <c r="CF535" s="399"/>
      <c r="CG535" s="399"/>
      <c r="CH535" s="399"/>
      <c r="CI535" s="399"/>
      <c r="CJ535" s="399"/>
      <c r="CK535" s="399"/>
      <c r="CL535" s="399"/>
      <c r="CM535" s="399"/>
      <c r="CN535" s="399"/>
      <c r="CO535" s="399"/>
      <c r="CP535" s="399"/>
      <c r="CQ535" s="399"/>
      <c r="CR535" s="399"/>
      <c r="CS535" s="399"/>
      <c r="CT535" s="399"/>
      <c r="CU535" s="399"/>
      <c r="CV535" s="399"/>
      <c r="CW535" s="399"/>
      <c r="CX535" s="399"/>
      <c r="CY535" s="399"/>
      <c r="CZ535" s="399"/>
      <c r="DA535" s="399"/>
      <c r="DB535" s="399"/>
      <c r="DC535" s="399"/>
      <c r="DD535" s="399"/>
      <c r="DE535" s="399"/>
      <c r="DF535" s="399"/>
      <c r="DG535" s="399"/>
      <c r="DH535" s="399"/>
      <c r="DI535" s="399"/>
      <c r="DJ535" s="399"/>
      <c r="DK535" s="399"/>
      <c r="DL535" s="399"/>
      <c r="DM535" s="399"/>
      <c r="DN535" s="399"/>
      <c r="DO535" s="399"/>
      <c r="DP535" s="399"/>
      <c r="DQ535" s="399"/>
    </row>
    <row r="536" spans="1:121" s="760" customFormat="1" ht="15" customHeight="1" x14ac:dyDescent="0.25">
      <c r="A536" s="266">
        <f t="shared" si="8"/>
        <v>40.833333333333336</v>
      </c>
      <c r="B536" s="389">
        <v>41631</v>
      </c>
      <c r="C536" s="390" t="s">
        <v>904</v>
      </c>
      <c r="D536" s="390" t="s">
        <v>459</v>
      </c>
      <c r="E536" s="390" t="s">
        <v>380</v>
      </c>
      <c r="F536" s="390" t="s">
        <v>310</v>
      </c>
      <c r="G536" s="390" t="s">
        <v>318</v>
      </c>
      <c r="H536" s="261"/>
      <c r="I536" s="261"/>
      <c r="J536" s="261"/>
      <c r="K536" s="261"/>
      <c r="L536" s="261"/>
      <c r="M536" s="261"/>
      <c r="N536" s="261"/>
      <c r="O536" s="261"/>
      <c r="P536" s="261"/>
      <c r="Q536" s="261"/>
      <c r="R536" s="261">
        <v>59</v>
      </c>
      <c r="S536" s="261">
        <v>196</v>
      </c>
      <c r="T536" s="261">
        <v>510</v>
      </c>
      <c r="U536" s="261">
        <v>255</v>
      </c>
      <c r="V536" s="762"/>
      <c r="W536" s="762"/>
      <c r="X536" s="762"/>
      <c r="Y536" s="264">
        <f>IF(NFI_Expiration=1,IF($A536&lt;VLOOKUP(H$5,NFI,5,0),1,0)*Table_NFI[[#This Row],[Hygiene Kit]],Table_NFI[Hygiene Kit])</f>
        <v>0</v>
      </c>
      <c r="Z536" s="264">
        <f>IF(NFI_Expiration=1,IF($A536&lt;VLOOKUP(I$5,NFI,5,0),1,0)*Table_NFI[[#This Row],[NFI Core Kit]],Table_NFI[NFI Core Kit])</f>
        <v>0</v>
      </c>
      <c r="AA536" s="264">
        <f>IF(NFI_Expiration=1,IF($A536&lt;VLOOKUP(J$5,NFI,5,0),1,0)*Table_NFI[[#This Row],[Sanitary Kit]],Table_NFI[Sanitary Kit])</f>
        <v>0</v>
      </c>
      <c r="AB536" s="264">
        <f>IF(NFI_Expiration=1,IF($A536&lt;VLOOKUP(K$5,NFI,5,0),1,0)*Table_NFI[[#This Row],[Mosquito net]],Table_NFI[Mosquito net])</f>
        <v>0</v>
      </c>
      <c r="AC536" s="264">
        <f>IF(NFI_Expiration=1,IF($A536&lt;VLOOKUP(L$5,NFI,5,0),1,0)*Table_NFI[[#This Row],[Tarpaulin]],Table_NFI[[#This Row],[Tarpaulin]])</f>
        <v>0</v>
      </c>
      <c r="AD536" s="264">
        <f>IF(NFI_Expiration=1,IF($A536&lt;VLOOKUP(M$5,NFI,5,0),1,0)*Table_NFI[[#This Row],[Blanket]],Table_NFI[[#This Row],[Blanket]])</f>
        <v>0</v>
      </c>
      <c r="AE536" s="264">
        <f>IF(NFI_Expiration=1,IF($A536&lt;VLOOKUP(N$5,NFI,5,0),1,0)*Table_NFI[[#This Row],[Kitchen Set]],Table_NFI[Kitchen Set])</f>
        <v>0</v>
      </c>
      <c r="AF536" s="264">
        <f>IF(NFI_Expiration=1,IF($A536&lt;VLOOKUP(O$5,NFI,5,0),1,0)*Table_NFI[[#This Row],[Clothes Kit]],Table_NFI[Clothes Kit])</f>
        <v>0</v>
      </c>
      <c r="AG536" s="264">
        <f>IF(NFI_Expiration=1,IF($A536&lt;VLOOKUP(P$5,NFI,5,0),1,0)*Table_NFI[[#This Row],[Plastic Bucket]],Table_NFI[Plastic Bucket])</f>
        <v>0</v>
      </c>
      <c r="AH536" s="264">
        <f>IF(NFI_Expiration=1,IF($A536&lt;VLOOKUP(Q$5,NFI,5,0),1,0)*Table_NFI[[#This Row],[Plastic Mat]],Table_NFI[Plastic Mat])*IF(Table_NFI[[#This Row],[Distribution Date]]&gt;"2014-04-01",1,2.5)</f>
        <v>0</v>
      </c>
      <c r="AI536" s="264">
        <f>IF(NFI_Expiration=1,IF($A536&lt;VLOOKUP(R$5,NFI,5,0),1,0)*Table_NFI[[#This Row],[Winter Clothes Adult]],Table_NFI[Winter Clothes Adult])</f>
        <v>0</v>
      </c>
      <c r="AJ536" s="264">
        <f>IF(NFI_Expiration=1,IF($A536&lt;VLOOKUP(S$5,NFI,5,0),1,0)*Table_NFI[[#This Row],[Winter Clothes Children]],Table_NFI[Winter Clothes Children])</f>
        <v>0</v>
      </c>
      <c r="AK536" s="264">
        <f>IF(NFI_Expiration=1,IF($A536&lt;VLOOKUP(T$5,NFI,5,0),1,0)*Table_NFI[[#This Row],[Winter Items Other]],Table_NFI[Winter Items Other])</f>
        <v>0</v>
      </c>
      <c r="AL536" s="264">
        <f>IF(NFI_Expiration=1,IF($A536&lt;VLOOKUP(M$5,NFI,5,0),1,0)*Table_NFI[[#This Row],[Winter Blanket]],Table_NFI[[#This Row],[Winter Blanket]])</f>
        <v>0</v>
      </c>
      <c r="AM536" s="264">
        <f>IF(Table_NFI[[#This Row],[Winter Clothes Adult]]+Table_NFI[[#This Row],[Winter Clothes Children]]+Table_NFI[[#This Row],[Winter Items Other]]+Table_NFI[[#This Row],[Winter Blanket]]&gt;0,1,0)</f>
        <v>1</v>
      </c>
      <c r="AN536" s="296">
        <f>IF(NFI_Expiration=1,IF($A536&lt;VLOOKUP(V$5,NFI,5,0),1,0)*Table_NFI[[#This Row],[Jerry Can]],Table_NFI[Jerry Can])</f>
        <v>0</v>
      </c>
      <c r="AO536" s="296">
        <f>IF(NFI_Expiration=1,IF($A536&lt;VLOOKUP(V$5,NFI,5,0),1,0)*Table_NFI[[#This Row],[Shelter Tool kit]],Table_NFI[Shelter Tool kit])</f>
        <v>0</v>
      </c>
      <c r="AP536" s="296">
        <f>IF(NFI_Expiration=1,IF($A536&lt;VLOOKUP(V$5,NFI,5,0),1,0)*Table_NFI[[#This Row],[Tent]],Table_NFI[Tent])</f>
        <v>0</v>
      </c>
      <c r="AQ536" s="396" t="str">
        <f>IFERROR(VLOOKUP(Table_NFI[[#This Row],[Camp Name]],CL,2,0),"")</f>
        <v>MMR001CMP032</v>
      </c>
      <c r="AR536" s="702">
        <f ca="1">IF(Table_NFI[[#This Row],[Pcode]]="","",IF(OFFSET(CampList[Opening Date],MATCH(Table_NFI[[#This Row],[Pcode]],CampList[CP_Pcode],0)-1,0,1,1)&gt;=NFI_Monitor_Date,1,0))</f>
        <v>0</v>
      </c>
      <c r="AS536" s="396" t="str">
        <f>IFERROR(VLOOKUP(Table_NFI[[#This Row],[Camp Name]],CL,3,0),"")</f>
        <v>Open</v>
      </c>
      <c r="AT536" s="264" t="str">
        <f ca="1">IF(Table_NFI[[#This Row],[Pcode]]="","",OFFSET(CampList[Priority],MATCH(Table_NFI[[#This Row],[Pcode]],CampList[CP_Pcode],0)-1,0,1,1))</f>
        <v>P4</v>
      </c>
      <c r="AU536" s="263">
        <f>IFERROR(Table_NFI[[#This Row],[Kitchen Set]]/VLOOKUP(Table_NFI[[#This Row],[Camp Name]],CL,4,0),"")</f>
        <v>0</v>
      </c>
      <c r="AV536" s="390"/>
      <c r="AW536" s="392"/>
      <c r="AX536" s="399"/>
      <c r="AY536" s="399"/>
      <c r="AZ536" s="399"/>
      <c r="BA536" s="399"/>
      <c r="BB536" s="399"/>
      <c r="BC536" s="399"/>
      <c r="BD536" s="399"/>
      <c r="BE536" s="399"/>
      <c r="BF536" s="399"/>
      <c r="BG536" s="399"/>
      <c r="BH536" s="399"/>
      <c r="BI536" s="399"/>
      <c r="BJ536" s="399"/>
      <c r="BK536" s="399"/>
      <c r="BL536" s="399"/>
      <c r="BM536" s="399"/>
      <c r="BN536" s="399"/>
      <c r="BO536" s="399"/>
      <c r="BP536" s="399"/>
      <c r="BQ536" s="399"/>
      <c r="BR536" s="399"/>
      <c r="BS536" s="399"/>
      <c r="BT536" s="399"/>
      <c r="BU536" s="399"/>
      <c r="BV536" s="399"/>
      <c r="BW536" s="399"/>
      <c r="BX536" s="399"/>
      <c r="BY536" s="399"/>
      <c r="BZ536" s="399"/>
      <c r="CA536" s="399"/>
      <c r="CB536" s="399"/>
      <c r="CC536" s="399"/>
      <c r="CD536" s="399"/>
      <c r="CE536" s="399"/>
      <c r="CF536" s="399"/>
      <c r="CG536" s="399"/>
      <c r="CH536" s="399"/>
      <c r="CI536" s="399"/>
      <c r="CJ536" s="399"/>
      <c r="CK536" s="399"/>
      <c r="CL536" s="399"/>
      <c r="CM536" s="399"/>
      <c r="CN536" s="399"/>
      <c r="CO536" s="399"/>
      <c r="CP536" s="399"/>
      <c r="CQ536" s="399"/>
      <c r="CR536" s="399"/>
      <c r="CS536" s="399"/>
      <c r="CT536" s="399"/>
      <c r="CU536" s="399"/>
      <c r="CV536" s="399"/>
      <c r="CW536" s="399"/>
      <c r="CX536" s="399"/>
      <c r="CY536" s="399"/>
      <c r="CZ536" s="399"/>
      <c r="DA536" s="399"/>
      <c r="DB536" s="399"/>
      <c r="DC536" s="399"/>
      <c r="DD536" s="399"/>
      <c r="DE536" s="399"/>
      <c r="DF536" s="399"/>
      <c r="DG536" s="399"/>
      <c r="DH536" s="399"/>
      <c r="DI536" s="399"/>
      <c r="DJ536" s="399"/>
      <c r="DK536" s="399"/>
      <c r="DL536" s="399"/>
      <c r="DM536" s="399"/>
      <c r="DN536" s="399"/>
      <c r="DO536" s="399"/>
      <c r="DP536" s="399"/>
      <c r="DQ536" s="399"/>
    </row>
    <row r="537" spans="1:121" s="760" customFormat="1" ht="15" customHeight="1" x14ac:dyDescent="0.25">
      <c r="A537" s="266">
        <f t="shared" si="8"/>
        <v>40.9</v>
      </c>
      <c r="B537" s="389">
        <v>41629</v>
      </c>
      <c r="C537" s="390" t="s">
        <v>904</v>
      </c>
      <c r="D537" s="390" t="s">
        <v>459</v>
      </c>
      <c r="E537" s="390" t="s">
        <v>380</v>
      </c>
      <c r="F537" s="390" t="s">
        <v>310</v>
      </c>
      <c r="G537" s="390" t="s">
        <v>349</v>
      </c>
      <c r="H537" s="261"/>
      <c r="I537" s="261"/>
      <c r="J537" s="261"/>
      <c r="K537" s="261"/>
      <c r="L537" s="261"/>
      <c r="M537" s="261"/>
      <c r="N537" s="261"/>
      <c r="O537" s="261"/>
      <c r="P537" s="261"/>
      <c r="Q537" s="261"/>
      <c r="R537" s="261">
        <v>75</v>
      </c>
      <c r="S537" s="261">
        <v>139</v>
      </c>
      <c r="T537" s="261">
        <v>428</v>
      </c>
      <c r="U537" s="261">
        <v>214</v>
      </c>
      <c r="V537" s="762"/>
      <c r="W537" s="261"/>
      <c r="X537" s="261"/>
      <c r="Y537" s="264">
        <f>IF(NFI_Expiration=1,IF($A537&lt;VLOOKUP(H$5,NFI,5,0),1,0)*Table_NFI[[#This Row],[Hygiene Kit]],Table_NFI[Hygiene Kit])</f>
        <v>0</v>
      </c>
      <c r="Z537" s="264">
        <f>IF(NFI_Expiration=1,IF($A537&lt;VLOOKUP(I$5,NFI,5,0),1,0)*Table_NFI[[#This Row],[NFI Core Kit]],Table_NFI[NFI Core Kit])</f>
        <v>0</v>
      </c>
      <c r="AA537" s="264">
        <f>IF(NFI_Expiration=1,IF($A537&lt;VLOOKUP(J$5,NFI,5,0),1,0)*Table_NFI[[#This Row],[Sanitary Kit]],Table_NFI[Sanitary Kit])</f>
        <v>0</v>
      </c>
      <c r="AB537" s="264">
        <f>IF(NFI_Expiration=1,IF($A537&lt;VLOOKUP(K$5,NFI,5,0),1,0)*Table_NFI[[#This Row],[Mosquito net]],Table_NFI[Mosquito net])</f>
        <v>0</v>
      </c>
      <c r="AC537" s="264">
        <f>IF(NFI_Expiration=1,IF($A537&lt;VLOOKUP(L$5,NFI,5,0),1,0)*Table_NFI[[#This Row],[Tarpaulin]],Table_NFI[[#This Row],[Tarpaulin]])</f>
        <v>0</v>
      </c>
      <c r="AD537" s="264">
        <f>IF(NFI_Expiration=1,IF($A537&lt;VLOOKUP(M$5,NFI,5,0),1,0)*Table_NFI[[#This Row],[Blanket]],Table_NFI[[#This Row],[Blanket]])</f>
        <v>0</v>
      </c>
      <c r="AE537" s="264">
        <f>IF(NFI_Expiration=1,IF($A537&lt;VLOOKUP(N$5,NFI,5,0),1,0)*Table_NFI[[#This Row],[Kitchen Set]],Table_NFI[Kitchen Set])</f>
        <v>0</v>
      </c>
      <c r="AF537" s="264">
        <f>IF(NFI_Expiration=1,IF($A537&lt;VLOOKUP(O$5,NFI,5,0),1,0)*Table_NFI[[#This Row],[Clothes Kit]],Table_NFI[Clothes Kit])</f>
        <v>0</v>
      </c>
      <c r="AG537" s="264">
        <f>IF(NFI_Expiration=1,IF($A537&lt;VLOOKUP(P$5,NFI,5,0),1,0)*Table_NFI[[#This Row],[Plastic Bucket]],Table_NFI[Plastic Bucket])</f>
        <v>0</v>
      </c>
      <c r="AH537" s="264">
        <f>IF(NFI_Expiration=1,IF($A537&lt;VLOOKUP(Q$5,NFI,5,0),1,0)*Table_NFI[[#This Row],[Plastic Mat]],Table_NFI[Plastic Mat])*IF(Table_NFI[[#This Row],[Distribution Date]]&gt;"2014-04-01",1,2.5)</f>
        <v>0</v>
      </c>
      <c r="AI537" s="264">
        <f>IF(NFI_Expiration=1,IF($A537&lt;VLOOKUP(R$5,NFI,5,0),1,0)*Table_NFI[[#This Row],[Winter Clothes Adult]],Table_NFI[Winter Clothes Adult])</f>
        <v>0</v>
      </c>
      <c r="AJ537" s="264">
        <f>IF(NFI_Expiration=1,IF($A537&lt;VLOOKUP(S$5,NFI,5,0),1,0)*Table_NFI[[#This Row],[Winter Clothes Children]],Table_NFI[Winter Clothes Children])</f>
        <v>0</v>
      </c>
      <c r="AK537" s="264">
        <f>IF(NFI_Expiration=1,IF($A537&lt;VLOOKUP(T$5,NFI,5,0),1,0)*Table_NFI[[#This Row],[Winter Items Other]],Table_NFI[Winter Items Other])</f>
        <v>0</v>
      </c>
      <c r="AL537" s="264">
        <f>IF(NFI_Expiration=1,IF($A537&lt;VLOOKUP(M$5,NFI,5,0),1,0)*Table_NFI[[#This Row],[Winter Blanket]],Table_NFI[[#This Row],[Winter Blanket]])</f>
        <v>0</v>
      </c>
      <c r="AM537" s="264">
        <f>IF(Table_NFI[[#This Row],[Winter Clothes Adult]]+Table_NFI[[#This Row],[Winter Clothes Children]]+Table_NFI[[#This Row],[Winter Items Other]]+Table_NFI[[#This Row],[Winter Blanket]]&gt;0,1,0)</f>
        <v>1</v>
      </c>
      <c r="AN537" s="296">
        <f>IF(NFI_Expiration=1,IF($A537&lt;VLOOKUP(V$5,NFI,5,0),1,0)*Table_NFI[[#This Row],[Jerry Can]],Table_NFI[Jerry Can])</f>
        <v>0</v>
      </c>
      <c r="AO537" s="296">
        <f>IF(NFI_Expiration=1,IF($A537&lt;VLOOKUP(V$5,NFI,5,0),1,0)*Table_NFI[[#This Row],[Shelter Tool kit]],Table_NFI[Shelter Tool kit])</f>
        <v>0</v>
      </c>
      <c r="AP537" s="296">
        <f>IF(NFI_Expiration=1,IF($A537&lt;VLOOKUP(V$5,NFI,5,0),1,0)*Table_NFI[[#This Row],[Tent]],Table_NFI[Tent])</f>
        <v>0</v>
      </c>
      <c r="AQ537" s="396" t="str">
        <f>IFERROR(VLOOKUP(Table_NFI[[#This Row],[Camp Name]],CL,2,0),"")</f>
        <v>MMR001CMP037</v>
      </c>
      <c r="AR537" s="702">
        <f ca="1">IF(Table_NFI[[#This Row],[Pcode]]="","",IF(OFFSET(CampList[Opening Date],MATCH(Table_NFI[[#This Row],[Pcode]],CampList[CP_Pcode],0)-1,0,1,1)&gt;=NFI_Monitor_Date,1,0))</f>
        <v>0</v>
      </c>
      <c r="AS537" s="396" t="str">
        <f>IFERROR(VLOOKUP(Table_NFI[[#This Row],[Camp Name]],CL,3,0),"")</f>
        <v>Open</v>
      </c>
      <c r="AT537" s="264" t="str">
        <f ca="1">IF(Table_NFI[[#This Row],[Pcode]]="","",OFFSET(CampList[Priority],MATCH(Table_NFI[[#This Row],[Pcode]],CampList[CP_Pcode],0)-1,0,1,1))</f>
        <v>P4</v>
      </c>
      <c r="AU537" s="263">
        <f>IFERROR(Table_NFI[[#This Row],[Kitchen Set]]/VLOOKUP(Table_NFI[[#This Row],[Camp Name]],CL,4,0),"")</f>
        <v>0</v>
      </c>
      <c r="AV537" s="390"/>
      <c r="AW537" s="392"/>
      <c r="AX537" s="399"/>
      <c r="AY537" s="399"/>
      <c r="AZ537" s="399"/>
      <c r="BA537" s="399"/>
      <c r="BB537" s="399"/>
      <c r="BC537" s="399"/>
      <c r="BD537" s="399"/>
      <c r="BE537" s="399"/>
      <c r="BF537" s="399"/>
      <c r="BG537" s="399"/>
      <c r="BH537" s="399"/>
      <c r="BI537" s="399"/>
      <c r="BJ537" s="399"/>
      <c r="BK537" s="399"/>
      <c r="BL537" s="399"/>
      <c r="BM537" s="399"/>
      <c r="BN537" s="399"/>
      <c r="BO537" s="399"/>
      <c r="BP537" s="399"/>
      <c r="BQ537" s="399"/>
      <c r="BR537" s="399"/>
      <c r="BS537" s="399"/>
      <c r="BT537" s="399"/>
      <c r="BU537" s="399"/>
      <c r="BV537" s="399"/>
      <c r="BW537" s="399"/>
      <c r="BX537" s="399"/>
      <c r="BY537" s="399"/>
      <c r="BZ537" s="399"/>
      <c r="CA537" s="399"/>
      <c r="CB537" s="399"/>
      <c r="CC537" s="399"/>
      <c r="CD537" s="399"/>
      <c r="CE537" s="399"/>
      <c r="CF537" s="399"/>
      <c r="CG537" s="399"/>
      <c r="CH537" s="399"/>
      <c r="CI537" s="399"/>
      <c r="CJ537" s="399"/>
      <c r="CK537" s="399"/>
      <c r="CL537" s="399"/>
      <c r="CM537" s="399"/>
      <c r="CN537" s="399"/>
      <c r="CO537" s="399"/>
      <c r="CP537" s="399"/>
      <c r="CQ537" s="399"/>
      <c r="CR537" s="399"/>
      <c r="CS537" s="399"/>
      <c r="CT537" s="399"/>
      <c r="CU537" s="399"/>
      <c r="CV537" s="399"/>
      <c r="CW537" s="399"/>
      <c r="CX537" s="399"/>
      <c r="CY537" s="399"/>
      <c r="CZ537" s="399"/>
      <c r="DA537" s="399"/>
      <c r="DB537" s="399"/>
      <c r="DC537" s="399"/>
      <c r="DD537" s="399"/>
      <c r="DE537" s="399"/>
      <c r="DF537" s="399"/>
      <c r="DG537" s="399"/>
      <c r="DH537" s="399"/>
      <c r="DI537" s="399"/>
      <c r="DJ537" s="399"/>
      <c r="DK537" s="399"/>
      <c r="DL537" s="399"/>
      <c r="DM537" s="399"/>
      <c r="DN537" s="399"/>
      <c r="DO537" s="399"/>
      <c r="DP537" s="399"/>
      <c r="DQ537" s="399"/>
    </row>
    <row r="538" spans="1:121" s="393" customFormat="1" ht="14.45" customHeight="1" x14ac:dyDescent="0.25">
      <c r="A538" s="266">
        <f t="shared" si="8"/>
        <v>40.93333333333333</v>
      </c>
      <c r="B538" s="389">
        <v>41628</v>
      </c>
      <c r="C538" s="390" t="s">
        <v>904</v>
      </c>
      <c r="D538" s="390" t="s">
        <v>459</v>
      </c>
      <c r="E538" s="390" t="s">
        <v>380</v>
      </c>
      <c r="F538" s="390" t="s">
        <v>310</v>
      </c>
      <c r="G538" s="390" t="s">
        <v>328</v>
      </c>
      <c r="H538" s="261"/>
      <c r="I538" s="261"/>
      <c r="J538" s="261"/>
      <c r="K538" s="261"/>
      <c r="L538" s="261"/>
      <c r="M538" s="261"/>
      <c r="N538" s="261"/>
      <c r="O538" s="261"/>
      <c r="P538" s="261"/>
      <c r="Q538" s="261"/>
      <c r="R538" s="261">
        <v>141</v>
      </c>
      <c r="S538" s="261">
        <v>265</v>
      </c>
      <c r="T538" s="261">
        <v>812</v>
      </c>
      <c r="U538" s="261">
        <v>406</v>
      </c>
      <c r="V538" s="762"/>
      <c r="W538" s="261"/>
      <c r="X538" s="261"/>
      <c r="Y538" s="264">
        <f>IF(NFI_Expiration=1,IF($A538&lt;VLOOKUP(H$5,NFI,5,0),1,0)*Table_NFI[[#This Row],[Hygiene Kit]],Table_NFI[Hygiene Kit])</f>
        <v>0</v>
      </c>
      <c r="Z538" s="264">
        <f>IF(NFI_Expiration=1,IF($A538&lt;VLOOKUP(I$5,NFI,5,0),1,0)*Table_NFI[[#This Row],[NFI Core Kit]],Table_NFI[NFI Core Kit])</f>
        <v>0</v>
      </c>
      <c r="AA538" s="264">
        <f>IF(NFI_Expiration=1,IF($A538&lt;VLOOKUP(J$5,NFI,5,0),1,0)*Table_NFI[[#This Row],[Sanitary Kit]],Table_NFI[Sanitary Kit])</f>
        <v>0</v>
      </c>
      <c r="AB538" s="264">
        <f>IF(NFI_Expiration=1,IF($A538&lt;VLOOKUP(K$5,NFI,5,0),1,0)*Table_NFI[[#This Row],[Mosquito net]],Table_NFI[Mosquito net])</f>
        <v>0</v>
      </c>
      <c r="AC538" s="264">
        <f>IF(NFI_Expiration=1,IF($A538&lt;VLOOKUP(L$5,NFI,5,0),1,0)*Table_NFI[[#This Row],[Tarpaulin]],Table_NFI[[#This Row],[Tarpaulin]])</f>
        <v>0</v>
      </c>
      <c r="AD538" s="264">
        <f>IF(NFI_Expiration=1,IF($A538&lt;VLOOKUP(M$5,NFI,5,0),1,0)*Table_NFI[[#This Row],[Blanket]],Table_NFI[[#This Row],[Blanket]])</f>
        <v>0</v>
      </c>
      <c r="AE538" s="264">
        <f>IF(NFI_Expiration=1,IF($A538&lt;VLOOKUP(N$5,NFI,5,0),1,0)*Table_NFI[[#This Row],[Kitchen Set]],Table_NFI[Kitchen Set])</f>
        <v>0</v>
      </c>
      <c r="AF538" s="264">
        <f>IF(NFI_Expiration=1,IF($A538&lt;VLOOKUP(O$5,NFI,5,0),1,0)*Table_NFI[[#This Row],[Clothes Kit]],Table_NFI[Clothes Kit])</f>
        <v>0</v>
      </c>
      <c r="AG538" s="264">
        <f>IF(NFI_Expiration=1,IF($A538&lt;VLOOKUP(P$5,NFI,5,0),1,0)*Table_NFI[[#This Row],[Plastic Bucket]],Table_NFI[Plastic Bucket])</f>
        <v>0</v>
      </c>
      <c r="AH538" s="264">
        <f>IF(NFI_Expiration=1,IF($A538&lt;VLOOKUP(Q$5,NFI,5,0),1,0)*Table_NFI[[#This Row],[Plastic Mat]],Table_NFI[Plastic Mat])*IF(Table_NFI[[#This Row],[Distribution Date]]&gt;"2014-04-01",1,2.5)</f>
        <v>0</v>
      </c>
      <c r="AI538" s="264">
        <f>IF(NFI_Expiration=1,IF($A538&lt;VLOOKUP(R$5,NFI,5,0),1,0)*Table_NFI[[#This Row],[Winter Clothes Adult]],Table_NFI[Winter Clothes Adult])</f>
        <v>0</v>
      </c>
      <c r="AJ538" s="264">
        <f>IF(NFI_Expiration=1,IF($A538&lt;VLOOKUP(S$5,NFI,5,0),1,0)*Table_NFI[[#This Row],[Winter Clothes Children]],Table_NFI[Winter Clothes Children])</f>
        <v>0</v>
      </c>
      <c r="AK538" s="264">
        <f>IF(NFI_Expiration=1,IF($A538&lt;VLOOKUP(T$5,NFI,5,0),1,0)*Table_NFI[[#This Row],[Winter Items Other]],Table_NFI[Winter Items Other])</f>
        <v>0</v>
      </c>
      <c r="AL538" s="264">
        <f>IF(NFI_Expiration=1,IF($A538&lt;VLOOKUP(M$5,NFI,5,0),1,0)*Table_NFI[[#This Row],[Winter Blanket]],Table_NFI[[#This Row],[Winter Blanket]])</f>
        <v>0</v>
      </c>
      <c r="AM538" s="264">
        <f>IF(Table_NFI[[#This Row],[Winter Clothes Adult]]+Table_NFI[[#This Row],[Winter Clothes Children]]+Table_NFI[[#This Row],[Winter Items Other]]+Table_NFI[[#This Row],[Winter Blanket]]&gt;0,1,0)</f>
        <v>1</v>
      </c>
      <c r="AN538" s="296">
        <f>IF(NFI_Expiration=1,IF($A538&lt;VLOOKUP(V$5,NFI,5,0),1,0)*Table_NFI[[#This Row],[Jerry Can]],Table_NFI[Jerry Can])</f>
        <v>0</v>
      </c>
      <c r="AO538" s="296">
        <f>IF(NFI_Expiration=1,IF($A538&lt;VLOOKUP(V$5,NFI,5,0),1,0)*Table_NFI[[#This Row],[Shelter Tool kit]],Table_NFI[Shelter Tool kit])</f>
        <v>0</v>
      </c>
      <c r="AP538" s="296">
        <f>IF(NFI_Expiration=1,IF($A538&lt;VLOOKUP(V$5,NFI,5,0),1,0)*Table_NFI[[#This Row],[Tent]],Table_NFI[Tent])</f>
        <v>0</v>
      </c>
      <c r="AQ538" s="396" t="str">
        <f>IFERROR(VLOOKUP(Table_NFI[[#This Row],[Camp Name]],CL,2,0),"")</f>
        <v>MMR001CMP031</v>
      </c>
      <c r="AR538" s="702">
        <f ca="1">IF(Table_NFI[[#This Row],[Pcode]]="","",IF(OFFSET(CampList[Opening Date],MATCH(Table_NFI[[#This Row],[Pcode]],CampList[CP_Pcode],0)-1,0,1,1)&gt;=NFI_Monitor_Date,1,0))</f>
        <v>0</v>
      </c>
      <c r="AS538" s="396" t="str">
        <f>IFERROR(VLOOKUP(Table_NFI[[#This Row],[Camp Name]],CL,3,0),"")</f>
        <v>Open</v>
      </c>
      <c r="AT538" s="264" t="str">
        <f ca="1">IF(Table_NFI[[#This Row],[Pcode]]="","",OFFSET(CampList[Priority],MATCH(Table_NFI[[#This Row],[Pcode]],CampList[CP_Pcode],0)-1,0,1,1))</f>
        <v>P4</v>
      </c>
      <c r="AU538" s="263">
        <f>IFERROR(Table_NFI[[#This Row],[Kitchen Set]]/VLOOKUP(Table_NFI[[#This Row],[Camp Name]],CL,4,0),"")</f>
        <v>0</v>
      </c>
      <c r="AV538" s="390"/>
      <c r="AW538" s="392"/>
      <c r="AX538" s="399"/>
      <c r="AY538" s="399"/>
      <c r="AZ538" s="399"/>
      <c r="BA538" s="399"/>
      <c r="BB538" s="399"/>
      <c r="BC538" s="399"/>
      <c r="BD538" s="399"/>
      <c r="BE538" s="399"/>
      <c r="BF538" s="399"/>
      <c r="BG538" s="399"/>
      <c r="BH538" s="399"/>
      <c r="BI538" s="399"/>
      <c r="BJ538" s="399"/>
      <c r="BK538" s="399"/>
      <c r="BL538" s="399"/>
      <c r="BM538" s="399"/>
      <c r="BN538" s="399"/>
      <c r="BO538" s="399"/>
      <c r="BP538" s="399"/>
      <c r="BQ538" s="399"/>
      <c r="BR538" s="399"/>
      <c r="BS538" s="399"/>
      <c r="BT538" s="399"/>
      <c r="BU538" s="399"/>
      <c r="BV538" s="399"/>
      <c r="BW538" s="399"/>
      <c r="BX538" s="399"/>
      <c r="BY538" s="399"/>
      <c r="BZ538" s="399"/>
      <c r="CA538" s="399"/>
      <c r="CB538" s="399"/>
      <c r="CC538" s="399"/>
      <c r="CD538" s="399"/>
      <c r="CE538" s="399"/>
      <c r="CF538" s="399"/>
      <c r="CG538" s="399"/>
      <c r="CH538" s="399"/>
      <c r="CI538" s="399"/>
      <c r="CJ538" s="399"/>
      <c r="CK538" s="399"/>
      <c r="CL538" s="399"/>
      <c r="CM538" s="399"/>
      <c r="CN538" s="399"/>
      <c r="CO538" s="399"/>
      <c r="CP538" s="399"/>
      <c r="CQ538" s="399"/>
      <c r="CR538" s="399"/>
      <c r="CS538" s="399"/>
      <c r="CT538" s="399"/>
      <c r="CU538" s="399"/>
      <c r="CV538" s="399"/>
      <c r="CW538" s="399"/>
      <c r="CX538" s="399"/>
      <c r="CY538" s="399"/>
      <c r="CZ538" s="399"/>
      <c r="DA538" s="399"/>
      <c r="DB538" s="399"/>
      <c r="DC538" s="399"/>
      <c r="DD538" s="399"/>
      <c r="DE538" s="399"/>
      <c r="DF538" s="399"/>
      <c r="DG538" s="399"/>
      <c r="DH538" s="399"/>
      <c r="DI538" s="399"/>
      <c r="DJ538" s="399"/>
      <c r="DK538" s="399"/>
      <c r="DL538" s="399"/>
      <c r="DM538" s="399"/>
      <c r="DN538" s="399"/>
      <c r="DO538" s="399"/>
      <c r="DP538" s="399"/>
      <c r="DQ538" s="399"/>
    </row>
    <row r="539" spans="1:121" s="760" customFormat="1" ht="14.45" customHeight="1" x14ac:dyDescent="0.25">
      <c r="A539" s="266">
        <f t="shared" si="8"/>
        <v>40.93333333333333</v>
      </c>
      <c r="B539" s="389">
        <v>41628</v>
      </c>
      <c r="C539" s="390" t="s">
        <v>904</v>
      </c>
      <c r="D539" s="390" t="s">
        <v>459</v>
      </c>
      <c r="E539" s="390" t="s">
        <v>380</v>
      </c>
      <c r="F539" s="390" t="s">
        <v>310</v>
      </c>
      <c r="G539" s="390" t="s">
        <v>326</v>
      </c>
      <c r="H539" s="261"/>
      <c r="I539" s="261"/>
      <c r="J539" s="261"/>
      <c r="K539" s="261"/>
      <c r="L539" s="261"/>
      <c r="M539" s="261"/>
      <c r="N539" s="261"/>
      <c r="O539" s="261"/>
      <c r="P539" s="261"/>
      <c r="Q539" s="261"/>
      <c r="R539" s="261">
        <v>47</v>
      </c>
      <c r="S539" s="261">
        <v>85</v>
      </c>
      <c r="T539" s="261">
        <v>264</v>
      </c>
      <c r="U539" s="261">
        <v>132</v>
      </c>
      <c r="V539" s="762"/>
      <c r="W539" s="261"/>
      <c r="X539" s="261"/>
      <c r="Y539" s="264">
        <f>IF(NFI_Expiration=1,IF($A539&lt;VLOOKUP(H$5,NFI,5,0),1,0)*Table_NFI[[#This Row],[Hygiene Kit]],Table_NFI[Hygiene Kit])</f>
        <v>0</v>
      </c>
      <c r="Z539" s="264">
        <f>IF(NFI_Expiration=1,IF($A539&lt;VLOOKUP(I$5,NFI,5,0),1,0)*Table_NFI[[#This Row],[NFI Core Kit]],Table_NFI[NFI Core Kit])</f>
        <v>0</v>
      </c>
      <c r="AA539" s="264">
        <f>IF(NFI_Expiration=1,IF($A539&lt;VLOOKUP(J$5,NFI,5,0),1,0)*Table_NFI[[#This Row],[Sanitary Kit]],Table_NFI[Sanitary Kit])</f>
        <v>0</v>
      </c>
      <c r="AB539" s="264">
        <f>IF(NFI_Expiration=1,IF($A539&lt;VLOOKUP(K$5,NFI,5,0),1,0)*Table_NFI[[#This Row],[Mosquito net]],Table_NFI[Mosquito net])</f>
        <v>0</v>
      </c>
      <c r="AC539" s="264">
        <f>IF(NFI_Expiration=1,IF($A539&lt;VLOOKUP(L$5,NFI,5,0),1,0)*Table_NFI[[#This Row],[Tarpaulin]],Table_NFI[[#This Row],[Tarpaulin]])</f>
        <v>0</v>
      </c>
      <c r="AD539" s="264">
        <f>IF(NFI_Expiration=1,IF($A539&lt;VLOOKUP(M$5,NFI,5,0),1,0)*Table_NFI[[#This Row],[Blanket]],Table_NFI[[#This Row],[Blanket]])</f>
        <v>0</v>
      </c>
      <c r="AE539" s="264">
        <f>IF(NFI_Expiration=1,IF($A539&lt;VLOOKUP(N$5,NFI,5,0),1,0)*Table_NFI[[#This Row],[Kitchen Set]],Table_NFI[Kitchen Set])</f>
        <v>0</v>
      </c>
      <c r="AF539" s="264">
        <f>IF(NFI_Expiration=1,IF($A539&lt;VLOOKUP(O$5,NFI,5,0),1,0)*Table_NFI[[#This Row],[Clothes Kit]],Table_NFI[Clothes Kit])</f>
        <v>0</v>
      </c>
      <c r="AG539" s="264">
        <f>IF(NFI_Expiration=1,IF($A539&lt;VLOOKUP(P$5,NFI,5,0),1,0)*Table_NFI[[#This Row],[Plastic Bucket]],Table_NFI[Plastic Bucket])</f>
        <v>0</v>
      </c>
      <c r="AH539" s="264">
        <f>IF(NFI_Expiration=1,IF($A539&lt;VLOOKUP(Q$5,NFI,5,0),1,0)*Table_NFI[[#This Row],[Plastic Mat]],Table_NFI[Plastic Mat])*IF(Table_NFI[[#This Row],[Distribution Date]]&gt;"2014-04-01",1,2.5)</f>
        <v>0</v>
      </c>
      <c r="AI539" s="264">
        <f>IF(NFI_Expiration=1,IF($A539&lt;VLOOKUP(R$5,NFI,5,0),1,0)*Table_NFI[[#This Row],[Winter Clothes Adult]],Table_NFI[Winter Clothes Adult])</f>
        <v>0</v>
      </c>
      <c r="AJ539" s="264">
        <f>IF(NFI_Expiration=1,IF($A539&lt;VLOOKUP(S$5,NFI,5,0),1,0)*Table_NFI[[#This Row],[Winter Clothes Children]],Table_NFI[Winter Clothes Children])</f>
        <v>0</v>
      </c>
      <c r="AK539" s="264">
        <f>IF(NFI_Expiration=1,IF($A539&lt;VLOOKUP(T$5,NFI,5,0),1,0)*Table_NFI[[#This Row],[Winter Items Other]],Table_NFI[Winter Items Other])</f>
        <v>0</v>
      </c>
      <c r="AL539" s="264">
        <f>IF(NFI_Expiration=1,IF($A539&lt;VLOOKUP(M$5,NFI,5,0),1,0)*Table_NFI[[#This Row],[Winter Blanket]],Table_NFI[[#This Row],[Winter Blanket]])</f>
        <v>0</v>
      </c>
      <c r="AM539" s="264">
        <f>IF(Table_NFI[[#This Row],[Winter Clothes Adult]]+Table_NFI[[#This Row],[Winter Clothes Children]]+Table_NFI[[#This Row],[Winter Items Other]]+Table_NFI[[#This Row],[Winter Blanket]]&gt;0,1,0)</f>
        <v>1</v>
      </c>
      <c r="AN539" s="296">
        <f>IF(NFI_Expiration=1,IF($A539&lt;VLOOKUP(V$5,NFI,5,0),1,0)*Table_NFI[[#This Row],[Jerry Can]],Table_NFI[Jerry Can])</f>
        <v>0</v>
      </c>
      <c r="AO539" s="296">
        <f>IF(NFI_Expiration=1,IF($A539&lt;VLOOKUP(V$5,NFI,5,0),1,0)*Table_NFI[[#This Row],[Shelter Tool kit]],Table_NFI[Shelter Tool kit])</f>
        <v>0</v>
      </c>
      <c r="AP539" s="296">
        <f>IF(NFI_Expiration=1,IF($A539&lt;VLOOKUP(V$5,NFI,5,0),1,0)*Table_NFI[[#This Row],[Tent]],Table_NFI[Tent])</f>
        <v>0</v>
      </c>
      <c r="AQ539" s="396" t="str">
        <f>IFERROR(VLOOKUP(Table_NFI[[#This Row],[Camp Name]],CL,2,0),"")</f>
        <v>MMR001CMP039</v>
      </c>
      <c r="AR539" s="702">
        <f ca="1">IF(Table_NFI[[#This Row],[Pcode]]="","",IF(OFFSET(CampList[Opening Date],MATCH(Table_NFI[[#This Row],[Pcode]],CampList[CP_Pcode],0)-1,0,1,1)&gt;=NFI_Monitor_Date,1,0))</f>
        <v>0</v>
      </c>
      <c r="AS539" s="396" t="str">
        <f>IFERROR(VLOOKUP(Table_NFI[[#This Row],[Camp Name]],CL,3,0),"")</f>
        <v>Open</v>
      </c>
      <c r="AT539" s="264" t="str">
        <f ca="1">IF(Table_NFI[[#This Row],[Pcode]]="","",OFFSET(CampList[Priority],MATCH(Table_NFI[[#This Row],[Pcode]],CampList[CP_Pcode],0)-1,0,1,1))</f>
        <v>P4</v>
      </c>
      <c r="AU539" s="263">
        <f>IFERROR(Table_NFI[[#This Row],[Kitchen Set]]/VLOOKUP(Table_NFI[[#This Row],[Camp Name]],CL,4,0),"")</f>
        <v>0</v>
      </c>
      <c r="AV539" s="390"/>
      <c r="AW539" s="392"/>
      <c r="AX539" s="399"/>
      <c r="AY539" s="399"/>
      <c r="AZ539" s="399"/>
      <c r="BA539" s="399"/>
      <c r="BB539" s="399"/>
      <c r="BC539" s="399"/>
      <c r="BD539" s="399"/>
      <c r="BE539" s="399"/>
      <c r="BF539" s="399"/>
      <c r="BG539" s="399"/>
      <c r="BH539" s="399"/>
      <c r="BI539" s="399"/>
      <c r="BJ539" s="399"/>
      <c r="BK539" s="399"/>
      <c r="BL539" s="399"/>
      <c r="BM539" s="399"/>
      <c r="BN539" s="399"/>
      <c r="BO539" s="399"/>
      <c r="BP539" s="399"/>
      <c r="BQ539" s="399"/>
      <c r="BR539" s="399"/>
      <c r="BS539" s="399"/>
      <c r="BT539" s="399"/>
      <c r="BU539" s="399"/>
      <c r="BV539" s="399"/>
      <c r="BW539" s="399"/>
      <c r="BX539" s="399"/>
      <c r="BY539" s="399"/>
      <c r="BZ539" s="399"/>
      <c r="CA539" s="399"/>
      <c r="CB539" s="399"/>
      <c r="CC539" s="399"/>
      <c r="CD539" s="399"/>
      <c r="CE539" s="399"/>
      <c r="CF539" s="399"/>
      <c r="CG539" s="399"/>
      <c r="CH539" s="399"/>
      <c r="CI539" s="399"/>
      <c r="CJ539" s="399"/>
      <c r="CK539" s="399"/>
      <c r="CL539" s="399"/>
      <c r="CM539" s="399"/>
      <c r="CN539" s="399"/>
      <c r="CO539" s="399"/>
      <c r="CP539" s="399"/>
      <c r="CQ539" s="399"/>
      <c r="CR539" s="399"/>
      <c r="CS539" s="399"/>
      <c r="CT539" s="399"/>
      <c r="CU539" s="399"/>
      <c r="CV539" s="399"/>
      <c r="CW539" s="399"/>
      <c r="CX539" s="399"/>
      <c r="CY539" s="399"/>
      <c r="CZ539" s="399"/>
      <c r="DA539" s="399"/>
      <c r="DB539" s="399"/>
      <c r="DC539" s="399"/>
      <c r="DD539" s="399"/>
      <c r="DE539" s="399"/>
      <c r="DF539" s="399"/>
      <c r="DG539" s="399"/>
      <c r="DH539" s="399"/>
      <c r="DI539" s="399"/>
      <c r="DJ539" s="399"/>
      <c r="DK539" s="399"/>
      <c r="DL539" s="399"/>
      <c r="DM539" s="399"/>
      <c r="DN539" s="399"/>
      <c r="DO539" s="399"/>
      <c r="DP539" s="399"/>
      <c r="DQ539" s="399"/>
    </row>
    <row r="540" spans="1:121" s="760" customFormat="1" ht="14.45" customHeight="1" x14ac:dyDescent="0.25">
      <c r="A540" s="266">
        <f t="shared" si="8"/>
        <v>40.93333333333333</v>
      </c>
      <c r="B540" s="389">
        <v>41628</v>
      </c>
      <c r="C540" s="390" t="s">
        <v>904</v>
      </c>
      <c r="D540" s="390" t="s">
        <v>459</v>
      </c>
      <c r="E540" s="390" t="s">
        <v>380</v>
      </c>
      <c r="F540" s="390" t="s">
        <v>310</v>
      </c>
      <c r="G540" s="390" t="s">
        <v>351</v>
      </c>
      <c r="H540" s="261"/>
      <c r="I540" s="261"/>
      <c r="J540" s="261"/>
      <c r="K540" s="261"/>
      <c r="L540" s="261"/>
      <c r="M540" s="261"/>
      <c r="N540" s="261"/>
      <c r="O540" s="261"/>
      <c r="P540" s="261"/>
      <c r="Q540" s="261"/>
      <c r="R540" s="261">
        <v>102</v>
      </c>
      <c r="S540" s="261">
        <v>188</v>
      </c>
      <c r="T540" s="261">
        <v>580</v>
      </c>
      <c r="U540" s="261">
        <v>290</v>
      </c>
      <c r="V540" s="762"/>
      <c r="W540" s="261"/>
      <c r="X540" s="261"/>
      <c r="Y540" s="264">
        <f>IF(NFI_Expiration=1,IF($A540&lt;VLOOKUP(H$5,NFI,5,0),1,0)*Table_NFI[[#This Row],[Hygiene Kit]],Table_NFI[Hygiene Kit])</f>
        <v>0</v>
      </c>
      <c r="Z540" s="264">
        <f>IF(NFI_Expiration=1,IF($A540&lt;VLOOKUP(I$5,NFI,5,0),1,0)*Table_NFI[[#This Row],[NFI Core Kit]],Table_NFI[NFI Core Kit])</f>
        <v>0</v>
      </c>
      <c r="AA540" s="264">
        <f>IF(NFI_Expiration=1,IF($A540&lt;VLOOKUP(J$5,NFI,5,0),1,0)*Table_NFI[[#This Row],[Sanitary Kit]],Table_NFI[Sanitary Kit])</f>
        <v>0</v>
      </c>
      <c r="AB540" s="264">
        <f>IF(NFI_Expiration=1,IF($A540&lt;VLOOKUP(K$5,NFI,5,0),1,0)*Table_NFI[[#This Row],[Mosquito net]],Table_NFI[Mosquito net])</f>
        <v>0</v>
      </c>
      <c r="AC540" s="264">
        <f>IF(NFI_Expiration=1,IF($A540&lt;VLOOKUP(L$5,NFI,5,0),1,0)*Table_NFI[[#This Row],[Tarpaulin]],Table_NFI[[#This Row],[Tarpaulin]])</f>
        <v>0</v>
      </c>
      <c r="AD540" s="264">
        <f>IF(NFI_Expiration=1,IF($A540&lt;VLOOKUP(M$5,NFI,5,0),1,0)*Table_NFI[[#This Row],[Blanket]],Table_NFI[[#This Row],[Blanket]])</f>
        <v>0</v>
      </c>
      <c r="AE540" s="264">
        <f>IF(NFI_Expiration=1,IF($A540&lt;VLOOKUP(N$5,NFI,5,0),1,0)*Table_NFI[[#This Row],[Kitchen Set]],Table_NFI[Kitchen Set])</f>
        <v>0</v>
      </c>
      <c r="AF540" s="264">
        <f>IF(NFI_Expiration=1,IF($A540&lt;VLOOKUP(O$5,NFI,5,0),1,0)*Table_NFI[[#This Row],[Clothes Kit]],Table_NFI[Clothes Kit])</f>
        <v>0</v>
      </c>
      <c r="AG540" s="264">
        <f>IF(NFI_Expiration=1,IF($A540&lt;VLOOKUP(P$5,NFI,5,0),1,0)*Table_NFI[[#This Row],[Plastic Bucket]],Table_NFI[Plastic Bucket])</f>
        <v>0</v>
      </c>
      <c r="AH540" s="264">
        <f>IF(NFI_Expiration=1,IF($A540&lt;VLOOKUP(Q$5,NFI,5,0),1,0)*Table_NFI[[#This Row],[Plastic Mat]],Table_NFI[Plastic Mat])*IF(Table_NFI[[#This Row],[Distribution Date]]&gt;"2014-04-01",1,2.5)</f>
        <v>0</v>
      </c>
      <c r="AI540" s="264">
        <f>IF(NFI_Expiration=1,IF($A540&lt;VLOOKUP(R$5,NFI,5,0),1,0)*Table_NFI[[#This Row],[Winter Clothes Adult]],Table_NFI[Winter Clothes Adult])</f>
        <v>0</v>
      </c>
      <c r="AJ540" s="264">
        <f>IF(NFI_Expiration=1,IF($A540&lt;VLOOKUP(S$5,NFI,5,0),1,0)*Table_NFI[[#This Row],[Winter Clothes Children]],Table_NFI[Winter Clothes Children])</f>
        <v>0</v>
      </c>
      <c r="AK540" s="264">
        <f>IF(NFI_Expiration=1,IF($A540&lt;VLOOKUP(T$5,NFI,5,0),1,0)*Table_NFI[[#This Row],[Winter Items Other]],Table_NFI[Winter Items Other])</f>
        <v>0</v>
      </c>
      <c r="AL540" s="264">
        <f>IF(NFI_Expiration=1,IF($A540&lt;VLOOKUP(M$5,NFI,5,0),1,0)*Table_NFI[[#This Row],[Winter Blanket]],Table_NFI[[#This Row],[Winter Blanket]])</f>
        <v>0</v>
      </c>
      <c r="AM540" s="264">
        <f>IF(Table_NFI[[#This Row],[Winter Clothes Adult]]+Table_NFI[[#This Row],[Winter Clothes Children]]+Table_NFI[[#This Row],[Winter Items Other]]+Table_NFI[[#This Row],[Winter Blanket]]&gt;0,1,0)</f>
        <v>1</v>
      </c>
      <c r="AN540" s="296">
        <f>IF(NFI_Expiration=1,IF($A540&lt;VLOOKUP(V$5,NFI,5,0),1,0)*Table_NFI[[#This Row],[Jerry Can]],Table_NFI[Jerry Can])</f>
        <v>0</v>
      </c>
      <c r="AO540" s="296">
        <f>IF(NFI_Expiration=1,IF($A540&lt;VLOOKUP(V$5,NFI,5,0),1,0)*Table_NFI[[#This Row],[Shelter Tool kit]],Table_NFI[Shelter Tool kit])</f>
        <v>0</v>
      </c>
      <c r="AP540" s="296">
        <f>IF(NFI_Expiration=1,IF($A540&lt;VLOOKUP(V$5,NFI,5,0),1,0)*Table_NFI[[#This Row],[Tent]],Table_NFI[Tent])</f>
        <v>0</v>
      </c>
      <c r="AQ540" s="396" t="str">
        <f>IFERROR(VLOOKUP(Table_NFI[[#This Row],[Camp Name]],CL,2,0),"")</f>
        <v>MMR001CMP026</v>
      </c>
      <c r="AR540" s="702">
        <f ca="1">IF(Table_NFI[[#This Row],[Pcode]]="","",IF(OFFSET(CampList[Opening Date],MATCH(Table_NFI[[#This Row],[Pcode]],CampList[CP_Pcode],0)-1,0,1,1)&gt;=NFI_Monitor_Date,1,0))</f>
        <v>0</v>
      </c>
      <c r="AS540" s="396" t="str">
        <f>IFERROR(VLOOKUP(Table_NFI[[#This Row],[Camp Name]],CL,3,0),"")</f>
        <v>Open</v>
      </c>
      <c r="AT540" s="264" t="str">
        <f ca="1">IF(Table_NFI[[#This Row],[Pcode]]="","",OFFSET(CampList[Priority],MATCH(Table_NFI[[#This Row],[Pcode]],CampList[CP_Pcode],0)-1,0,1,1))</f>
        <v>P4</v>
      </c>
      <c r="AU540" s="263">
        <f>IFERROR(Table_NFI[[#This Row],[Kitchen Set]]/VLOOKUP(Table_NFI[[#This Row],[Camp Name]],CL,4,0),"")</f>
        <v>0</v>
      </c>
      <c r="AV540" s="390"/>
      <c r="AW540" s="392"/>
      <c r="AX540" s="399"/>
      <c r="AY540" s="399"/>
      <c r="AZ540" s="399"/>
      <c r="BA540" s="399"/>
      <c r="BB540" s="399"/>
      <c r="BC540" s="399"/>
      <c r="BD540" s="399"/>
      <c r="BE540" s="399"/>
      <c r="BF540" s="399"/>
      <c r="BG540" s="399"/>
      <c r="BH540" s="399"/>
      <c r="BI540" s="399"/>
      <c r="BJ540" s="399"/>
      <c r="BK540" s="399"/>
      <c r="BL540" s="399"/>
      <c r="BM540" s="399"/>
      <c r="BN540" s="399"/>
      <c r="BO540" s="399"/>
      <c r="BP540" s="399"/>
      <c r="BQ540" s="399"/>
      <c r="BR540" s="399"/>
      <c r="BS540" s="399"/>
      <c r="BT540" s="399"/>
      <c r="BU540" s="399"/>
      <c r="BV540" s="399"/>
      <c r="BW540" s="399"/>
      <c r="BX540" s="399"/>
      <c r="BY540" s="399"/>
      <c r="BZ540" s="399"/>
      <c r="CA540" s="399"/>
      <c r="CB540" s="399"/>
      <c r="CC540" s="399"/>
      <c r="CD540" s="399"/>
      <c r="CE540" s="399"/>
      <c r="CF540" s="399"/>
      <c r="CG540" s="399"/>
      <c r="CH540" s="399"/>
      <c r="CI540" s="399"/>
      <c r="CJ540" s="399"/>
      <c r="CK540" s="399"/>
      <c r="CL540" s="399"/>
      <c r="CM540" s="399"/>
      <c r="CN540" s="399"/>
      <c r="CO540" s="399"/>
      <c r="CP540" s="399"/>
      <c r="CQ540" s="399"/>
      <c r="CR540" s="399"/>
      <c r="CS540" s="399"/>
      <c r="CT540" s="399"/>
      <c r="CU540" s="399"/>
      <c r="CV540" s="399"/>
      <c r="CW540" s="399"/>
      <c r="CX540" s="399"/>
      <c r="CY540" s="399"/>
      <c r="CZ540" s="399"/>
      <c r="DA540" s="399"/>
      <c r="DB540" s="399"/>
      <c r="DC540" s="399"/>
      <c r="DD540" s="399"/>
      <c r="DE540" s="399"/>
      <c r="DF540" s="399"/>
      <c r="DG540" s="399"/>
      <c r="DH540" s="399"/>
      <c r="DI540" s="399"/>
      <c r="DJ540" s="399"/>
      <c r="DK540" s="399"/>
      <c r="DL540" s="399"/>
      <c r="DM540" s="399"/>
      <c r="DN540" s="399"/>
      <c r="DO540" s="399"/>
      <c r="DP540" s="399"/>
      <c r="DQ540" s="399"/>
    </row>
    <row r="541" spans="1:121" s="760" customFormat="1" ht="14.45" customHeight="1" x14ac:dyDescent="0.25">
      <c r="A541" s="266">
        <f t="shared" si="8"/>
        <v>40.966666666666669</v>
      </c>
      <c r="B541" s="389">
        <v>41627</v>
      </c>
      <c r="C541" s="390" t="s">
        <v>904</v>
      </c>
      <c r="D541" s="390" t="s">
        <v>459</v>
      </c>
      <c r="E541" s="390" t="s">
        <v>380</v>
      </c>
      <c r="F541" s="390" t="s">
        <v>310</v>
      </c>
      <c r="G541" s="390" t="s">
        <v>324</v>
      </c>
      <c r="H541" s="261"/>
      <c r="I541" s="261"/>
      <c r="J541" s="261"/>
      <c r="K541" s="261"/>
      <c r="L541" s="261"/>
      <c r="M541" s="261"/>
      <c r="N541" s="261"/>
      <c r="O541" s="261"/>
      <c r="P541" s="261"/>
      <c r="Q541" s="261"/>
      <c r="R541" s="261">
        <v>414</v>
      </c>
      <c r="S541" s="261">
        <v>764</v>
      </c>
      <c r="T541" s="261">
        <v>2356</v>
      </c>
      <c r="U541" s="261">
        <v>1178</v>
      </c>
      <c r="V541" s="762"/>
      <c r="W541" s="261"/>
      <c r="X541" s="261"/>
      <c r="Y541" s="264">
        <f>IF(NFI_Expiration=1,IF($A541&lt;VLOOKUP(H$5,NFI,5,0),1,0)*Table_NFI[[#This Row],[Hygiene Kit]],Table_NFI[Hygiene Kit])</f>
        <v>0</v>
      </c>
      <c r="Z541" s="264">
        <f>IF(NFI_Expiration=1,IF($A541&lt;VLOOKUP(I$5,NFI,5,0),1,0)*Table_NFI[[#This Row],[NFI Core Kit]],Table_NFI[NFI Core Kit])</f>
        <v>0</v>
      </c>
      <c r="AA541" s="264">
        <f>IF(NFI_Expiration=1,IF($A541&lt;VLOOKUP(J$5,NFI,5,0),1,0)*Table_NFI[[#This Row],[Sanitary Kit]],Table_NFI[Sanitary Kit])</f>
        <v>0</v>
      </c>
      <c r="AB541" s="264">
        <f>IF(NFI_Expiration=1,IF($A541&lt;VLOOKUP(K$5,NFI,5,0),1,0)*Table_NFI[[#This Row],[Mosquito net]],Table_NFI[Mosquito net])</f>
        <v>0</v>
      </c>
      <c r="AC541" s="264">
        <f>IF(NFI_Expiration=1,IF($A541&lt;VLOOKUP(L$5,NFI,5,0),1,0)*Table_NFI[[#This Row],[Tarpaulin]],Table_NFI[[#This Row],[Tarpaulin]])</f>
        <v>0</v>
      </c>
      <c r="AD541" s="264">
        <f>IF(NFI_Expiration=1,IF($A541&lt;VLOOKUP(M$5,NFI,5,0),1,0)*Table_NFI[[#This Row],[Blanket]],Table_NFI[[#This Row],[Blanket]])</f>
        <v>0</v>
      </c>
      <c r="AE541" s="264">
        <f>IF(NFI_Expiration=1,IF($A541&lt;VLOOKUP(N$5,NFI,5,0),1,0)*Table_NFI[[#This Row],[Kitchen Set]],Table_NFI[Kitchen Set])</f>
        <v>0</v>
      </c>
      <c r="AF541" s="264">
        <f>IF(NFI_Expiration=1,IF($A541&lt;VLOOKUP(O$5,NFI,5,0),1,0)*Table_NFI[[#This Row],[Clothes Kit]],Table_NFI[Clothes Kit])</f>
        <v>0</v>
      </c>
      <c r="AG541" s="264">
        <f>IF(NFI_Expiration=1,IF($A541&lt;VLOOKUP(P$5,NFI,5,0),1,0)*Table_NFI[[#This Row],[Plastic Bucket]],Table_NFI[Plastic Bucket])</f>
        <v>0</v>
      </c>
      <c r="AH541" s="264">
        <f>IF(NFI_Expiration=1,IF($A541&lt;VLOOKUP(Q$5,NFI,5,0),1,0)*Table_NFI[[#This Row],[Plastic Mat]],Table_NFI[Plastic Mat])*IF(Table_NFI[[#This Row],[Distribution Date]]&gt;"2014-04-01",1,2.5)</f>
        <v>0</v>
      </c>
      <c r="AI541" s="264">
        <f>IF(NFI_Expiration=1,IF($A541&lt;VLOOKUP(R$5,NFI,5,0),1,0)*Table_NFI[[#This Row],[Winter Clothes Adult]],Table_NFI[Winter Clothes Adult])</f>
        <v>0</v>
      </c>
      <c r="AJ541" s="264">
        <f>IF(NFI_Expiration=1,IF($A541&lt;VLOOKUP(S$5,NFI,5,0),1,0)*Table_NFI[[#This Row],[Winter Clothes Children]],Table_NFI[Winter Clothes Children])</f>
        <v>0</v>
      </c>
      <c r="AK541" s="264">
        <f>IF(NFI_Expiration=1,IF($A541&lt;VLOOKUP(T$5,NFI,5,0),1,0)*Table_NFI[[#This Row],[Winter Items Other]],Table_NFI[Winter Items Other])</f>
        <v>0</v>
      </c>
      <c r="AL541" s="264">
        <f>IF(NFI_Expiration=1,IF($A541&lt;VLOOKUP(M$5,NFI,5,0),1,0)*Table_NFI[[#This Row],[Winter Blanket]],Table_NFI[[#This Row],[Winter Blanket]])</f>
        <v>0</v>
      </c>
      <c r="AM541" s="264">
        <f>IF(Table_NFI[[#This Row],[Winter Clothes Adult]]+Table_NFI[[#This Row],[Winter Clothes Children]]+Table_NFI[[#This Row],[Winter Items Other]]+Table_NFI[[#This Row],[Winter Blanket]]&gt;0,1,0)</f>
        <v>1</v>
      </c>
      <c r="AN541" s="296">
        <f>IF(NFI_Expiration=1,IF($A541&lt;VLOOKUP(V$5,NFI,5,0),1,0)*Table_NFI[[#This Row],[Jerry Can]],Table_NFI[Jerry Can])</f>
        <v>0</v>
      </c>
      <c r="AO541" s="296">
        <f>IF(NFI_Expiration=1,IF($A541&lt;VLOOKUP(V$5,NFI,5,0),1,0)*Table_NFI[[#This Row],[Shelter Tool kit]],Table_NFI[Shelter Tool kit])</f>
        <v>0</v>
      </c>
      <c r="AP541" s="296">
        <f>IF(NFI_Expiration=1,IF($A541&lt;VLOOKUP(V$5,NFI,5,0),1,0)*Table_NFI[[#This Row],[Tent]],Table_NFI[Tent])</f>
        <v>0</v>
      </c>
      <c r="AQ541" s="396" t="str">
        <f>IFERROR(VLOOKUP(Table_NFI[[#This Row],[Camp Name]],CL,2,0),"")</f>
        <v>MMR001CMP040</v>
      </c>
      <c r="AR541" s="702">
        <f ca="1">IF(Table_NFI[[#This Row],[Pcode]]="","",IF(OFFSET(CampList[Opening Date],MATCH(Table_NFI[[#This Row],[Pcode]],CampList[CP_Pcode],0)-1,0,1,1)&gt;=NFI_Monitor_Date,1,0))</f>
        <v>0</v>
      </c>
      <c r="AS541" s="396" t="str">
        <f>IFERROR(VLOOKUP(Table_NFI[[#This Row],[Camp Name]],CL,3,0),"")</f>
        <v>Open</v>
      </c>
      <c r="AT541" s="264" t="str">
        <f ca="1">IF(Table_NFI[[#This Row],[Pcode]]="","",OFFSET(CampList[Priority],MATCH(Table_NFI[[#This Row],[Pcode]],CampList[CP_Pcode],0)-1,0,1,1))</f>
        <v>P4</v>
      </c>
      <c r="AU541" s="263">
        <f>IFERROR(Table_NFI[[#This Row],[Kitchen Set]]/VLOOKUP(Table_NFI[[#This Row],[Camp Name]],CL,4,0),"")</f>
        <v>0</v>
      </c>
      <c r="AV541" s="390"/>
      <c r="AW541" s="392"/>
      <c r="AX541" s="399"/>
      <c r="AY541" s="399"/>
      <c r="AZ541" s="399"/>
      <c r="BA541" s="399"/>
      <c r="BB541" s="399"/>
      <c r="BC541" s="399"/>
      <c r="BD541" s="399"/>
      <c r="BE541" s="399"/>
      <c r="BF541" s="399"/>
      <c r="BG541" s="399"/>
      <c r="BH541" s="399"/>
      <c r="BI541" s="399"/>
      <c r="BJ541" s="399"/>
      <c r="BK541" s="399"/>
      <c r="BL541" s="399"/>
      <c r="BM541" s="399"/>
      <c r="BN541" s="399"/>
      <c r="BO541" s="399"/>
      <c r="BP541" s="399"/>
      <c r="BQ541" s="399"/>
      <c r="BR541" s="399"/>
      <c r="BS541" s="399"/>
      <c r="BT541" s="399"/>
      <c r="BU541" s="399"/>
      <c r="BV541" s="399"/>
      <c r="BW541" s="399"/>
      <c r="BX541" s="399"/>
      <c r="BY541" s="399"/>
      <c r="BZ541" s="399"/>
      <c r="CA541" s="399"/>
      <c r="CB541" s="399"/>
      <c r="CC541" s="399"/>
      <c r="CD541" s="399"/>
      <c r="CE541" s="399"/>
      <c r="CF541" s="399"/>
      <c r="CG541" s="399"/>
      <c r="CH541" s="399"/>
      <c r="CI541" s="399"/>
      <c r="CJ541" s="399"/>
      <c r="CK541" s="399"/>
      <c r="CL541" s="399"/>
      <c r="CM541" s="399"/>
      <c r="CN541" s="399"/>
      <c r="CO541" s="399"/>
      <c r="CP541" s="399"/>
      <c r="CQ541" s="399"/>
      <c r="CR541" s="399"/>
      <c r="CS541" s="399"/>
      <c r="CT541" s="399"/>
      <c r="CU541" s="399"/>
      <c r="CV541" s="399"/>
      <c r="CW541" s="399"/>
      <c r="CX541" s="399"/>
      <c r="CY541" s="399"/>
      <c r="CZ541" s="399"/>
      <c r="DA541" s="399"/>
      <c r="DB541" s="399"/>
      <c r="DC541" s="399"/>
      <c r="DD541" s="399"/>
      <c r="DE541" s="399"/>
      <c r="DF541" s="399"/>
      <c r="DG541" s="399"/>
      <c r="DH541" s="399"/>
      <c r="DI541" s="399"/>
      <c r="DJ541" s="399"/>
      <c r="DK541" s="399"/>
      <c r="DL541" s="399"/>
      <c r="DM541" s="399"/>
      <c r="DN541" s="399"/>
      <c r="DO541" s="399"/>
      <c r="DP541" s="399"/>
      <c r="DQ541" s="399"/>
    </row>
    <row r="542" spans="1:121" s="393" customFormat="1" ht="14.45" customHeight="1" x14ac:dyDescent="0.25">
      <c r="A542" s="266">
        <f t="shared" si="8"/>
        <v>41</v>
      </c>
      <c r="B542" s="389">
        <v>41626</v>
      </c>
      <c r="C542" s="390" t="s">
        <v>904</v>
      </c>
      <c r="D542" s="390" t="s">
        <v>459</v>
      </c>
      <c r="E542" s="390" t="s">
        <v>380</v>
      </c>
      <c r="F542" s="390" t="s">
        <v>310</v>
      </c>
      <c r="G542" s="390" t="s">
        <v>313</v>
      </c>
      <c r="H542" s="261"/>
      <c r="I542" s="261"/>
      <c r="J542" s="261"/>
      <c r="K542" s="261"/>
      <c r="L542" s="261"/>
      <c r="M542" s="261"/>
      <c r="N542" s="261"/>
      <c r="O542" s="261"/>
      <c r="P542" s="261"/>
      <c r="Q542" s="261"/>
      <c r="R542" s="261">
        <v>134</v>
      </c>
      <c r="S542" s="261">
        <v>238</v>
      </c>
      <c r="T542" s="261">
        <v>744</v>
      </c>
      <c r="U542" s="261">
        <v>372</v>
      </c>
      <c r="V542" s="762"/>
      <c r="W542" s="261"/>
      <c r="X542" s="261"/>
      <c r="Y542" s="264">
        <f>IF(NFI_Expiration=1,IF($A542&lt;VLOOKUP(H$5,NFI,5,0),1,0)*Table_NFI[[#This Row],[Hygiene Kit]],Table_NFI[Hygiene Kit])</f>
        <v>0</v>
      </c>
      <c r="Z542" s="264">
        <f>IF(NFI_Expiration=1,IF($A542&lt;VLOOKUP(I$5,NFI,5,0),1,0)*Table_NFI[[#This Row],[NFI Core Kit]],Table_NFI[NFI Core Kit])</f>
        <v>0</v>
      </c>
      <c r="AA542" s="264">
        <f>IF(NFI_Expiration=1,IF($A542&lt;VLOOKUP(J$5,NFI,5,0),1,0)*Table_NFI[[#This Row],[Sanitary Kit]],Table_NFI[Sanitary Kit])</f>
        <v>0</v>
      </c>
      <c r="AB542" s="264">
        <f>IF(NFI_Expiration=1,IF($A542&lt;VLOOKUP(K$5,NFI,5,0),1,0)*Table_NFI[[#This Row],[Mosquito net]],Table_NFI[Mosquito net])</f>
        <v>0</v>
      </c>
      <c r="AC542" s="264">
        <f>IF(NFI_Expiration=1,IF($A542&lt;VLOOKUP(L$5,NFI,5,0),1,0)*Table_NFI[[#This Row],[Tarpaulin]],Table_NFI[[#This Row],[Tarpaulin]])</f>
        <v>0</v>
      </c>
      <c r="AD542" s="264">
        <f>IF(NFI_Expiration=1,IF($A542&lt;VLOOKUP(M$5,NFI,5,0),1,0)*Table_NFI[[#This Row],[Blanket]],Table_NFI[[#This Row],[Blanket]])</f>
        <v>0</v>
      </c>
      <c r="AE542" s="264">
        <f>IF(NFI_Expiration=1,IF($A542&lt;VLOOKUP(N$5,NFI,5,0),1,0)*Table_NFI[[#This Row],[Kitchen Set]],Table_NFI[Kitchen Set])</f>
        <v>0</v>
      </c>
      <c r="AF542" s="264">
        <f>IF(NFI_Expiration=1,IF($A542&lt;VLOOKUP(O$5,NFI,5,0),1,0)*Table_NFI[[#This Row],[Clothes Kit]],Table_NFI[Clothes Kit])</f>
        <v>0</v>
      </c>
      <c r="AG542" s="264">
        <f>IF(NFI_Expiration=1,IF($A542&lt;VLOOKUP(P$5,NFI,5,0),1,0)*Table_NFI[[#This Row],[Plastic Bucket]],Table_NFI[Plastic Bucket])</f>
        <v>0</v>
      </c>
      <c r="AH542" s="264">
        <f>IF(NFI_Expiration=1,IF($A542&lt;VLOOKUP(Q$5,NFI,5,0),1,0)*Table_NFI[[#This Row],[Plastic Mat]],Table_NFI[Plastic Mat])*IF(Table_NFI[[#This Row],[Distribution Date]]&gt;"2014-04-01",1,2.5)</f>
        <v>0</v>
      </c>
      <c r="AI542" s="264">
        <f>IF(NFI_Expiration=1,IF($A542&lt;VLOOKUP(R$5,NFI,5,0),1,0)*Table_NFI[[#This Row],[Winter Clothes Adult]],Table_NFI[Winter Clothes Adult])</f>
        <v>0</v>
      </c>
      <c r="AJ542" s="264">
        <f>IF(NFI_Expiration=1,IF($A542&lt;VLOOKUP(S$5,NFI,5,0),1,0)*Table_NFI[[#This Row],[Winter Clothes Children]],Table_NFI[Winter Clothes Children])</f>
        <v>0</v>
      </c>
      <c r="AK542" s="264">
        <f>IF(NFI_Expiration=1,IF($A542&lt;VLOOKUP(T$5,NFI,5,0),1,0)*Table_NFI[[#This Row],[Winter Items Other]],Table_NFI[Winter Items Other])</f>
        <v>0</v>
      </c>
      <c r="AL542" s="264">
        <f>IF(NFI_Expiration=1,IF($A542&lt;VLOOKUP(M$5,NFI,5,0),1,0)*Table_NFI[[#This Row],[Winter Blanket]],Table_NFI[[#This Row],[Winter Blanket]])</f>
        <v>0</v>
      </c>
      <c r="AM542" s="264">
        <f>IF(Table_NFI[[#This Row],[Winter Clothes Adult]]+Table_NFI[[#This Row],[Winter Clothes Children]]+Table_NFI[[#This Row],[Winter Items Other]]+Table_NFI[[#This Row],[Winter Blanket]]&gt;0,1,0)</f>
        <v>1</v>
      </c>
      <c r="AN542" s="296">
        <f>IF(NFI_Expiration=1,IF($A542&lt;VLOOKUP(V$5,NFI,5,0),1,0)*Table_NFI[[#This Row],[Jerry Can]],Table_NFI[Jerry Can])</f>
        <v>0</v>
      </c>
      <c r="AO542" s="296">
        <f>IF(NFI_Expiration=1,IF($A542&lt;VLOOKUP(V$5,NFI,5,0),1,0)*Table_NFI[[#This Row],[Shelter Tool kit]],Table_NFI[Shelter Tool kit])</f>
        <v>0</v>
      </c>
      <c r="AP542" s="296">
        <f>IF(NFI_Expiration=1,IF($A542&lt;VLOOKUP(V$5,NFI,5,0),1,0)*Table_NFI[[#This Row],[Tent]],Table_NFI[Tent])</f>
        <v>0</v>
      </c>
      <c r="AQ542" s="396" t="str">
        <f>IFERROR(VLOOKUP(Table_NFI[[#This Row],[Camp Name]],CL,2,0),"")</f>
        <v>MMR001CMP028</v>
      </c>
      <c r="AR542" s="702">
        <f ca="1">IF(Table_NFI[[#This Row],[Pcode]]="","",IF(OFFSET(CampList[Opening Date],MATCH(Table_NFI[[#This Row],[Pcode]],CampList[CP_Pcode],0)-1,0,1,1)&gt;=NFI_Monitor_Date,1,0))</f>
        <v>0</v>
      </c>
      <c r="AS542" s="396" t="str">
        <f>IFERROR(VLOOKUP(Table_NFI[[#This Row],[Camp Name]],CL,3,0),"")</f>
        <v>Open</v>
      </c>
      <c r="AT542" s="264" t="str">
        <f ca="1">IF(Table_NFI[[#This Row],[Pcode]]="","",OFFSET(CampList[Priority],MATCH(Table_NFI[[#This Row],[Pcode]],CampList[CP_Pcode],0)-1,0,1,1))</f>
        <v>P4</v>
      </c>
      <c r="AU542" s="263">
        <f>IFERROR(Table_NFI[[#This Row],[Kitchen Set]]/VLOOKUP(Table_NFI[[#This Row],[Camp Name]],CL,4,0),"")</f>
        <v>0</v>
      </c>
      <c r="AV542" s="390"/>
      <c r="AW542" s="392"/>
      <c r="AX542" s="399"/>
      <c r="AY542" s="399"/>
      <c r="AZ542" s="399"/>
      <c r="BA542" s="399"/>
      <c r="BB542" s="399"/>
      <c r="BC542" s="399"/>
      <c r="BD542" s="399"/>
      <c r="BE542" s="399"/>
      <c r="BF542" s="399"/>
      <c r="BG542" s="399"/>
      <c r="BH542" s="399"/>
      <c r="BI542" s="399"/>
      <c r="BJ542" s="399"/>
      <c r="BK542" s="399"/>
      <c r="BL542" s="399"/>
      <c r="BM542" s="399"/>
      <c r="BN542" s="399"/>
      <c r="BO542" s="399"/>
      <c r="BP542" s="399"/>
      <c r="BQ542" s="399"/>
      <c r="BR542" s="399"/>
      <c r="BS542" s="399"/>
      <c r="BT542" s="399"/>
      <c r="BU542" s="399"/>
      <c r="BV542" s="399"/>
      <c r="BW542" s="399"/>
      <c r="BX542" s="399"/>
      <c r="BY542" s="399"/>
      <c r="BZ542" s="399"/>
      <c r="CA542" s="399"/>
      <c r="CB542" s="399"/>
      <c r="CC542" s="399"/>
      <c r="CD542" s="399"/>
      <c r="CE542" s="399"/>
      <c r="CF542" s="399"/>
      <c r="CG542" s="399"/>
      <c r="CH542" s="399"/>
      <c r="CI542" s="399"/>
      <c r="CJ542" s="399"/>
      <c r="CK542" s="399"/>
      <c r="CL542" s="399"/>
      <c r="CM542" s="399"/>
      <c r="CN542" s="399"/>
      <c r="CO542" s="399"/>
      <c r="CP542" s="399"/>
      <c r="CQ542" s="399"/>
      <c r="CR542" s="399"/>
      <c r="CS542" s="399"/>
      <c r="CT542" s="399"/>
      <c r="CU542" s="399"/>
      <c r="CV542" s="399"/>
      <c r="CW542" s="399"/>
      <c r="CX542" s="399"/>
      <c r="CY542" s="399"/>
      <c r="CZ542" s="399"/>
      <c r="DA542" s="399"/>
      <c r="DB542" s="399"/>
      <c r="DC542" s="399"/>
      <c r="DD542" s="399"/>
      <c r="DE542" s="399"/>
      <c r="DF542" s="399"/>
      <c r="DG542" s="399"/>
      <c r="DH542" s="399"/>
      <c r="DI542" s="399"/>
      <c r="DJ542" s="399"/>
      <c r="DK542" s="399"/>
      <c r="DL542" s="399"/>
      <c r="DM542" s="399"/>
      <c r="DN542" s="399"/>
      <c r="DO542" s="399"/>
      <c r="DP542" s="399"/>
      <c r="DQ542" s="399"/>
    </row>
    <row r="543" spans="1:121" s="760" customFormat="1" ht="14.45" customHeight="1" x14ac:dyDescent="0.25">
      <c r="A543" s="266">
        <f t="shared" si="8"/>
        <v>41</v>
      </c>
      <c r="B543" s="389">
        <v>41626</v>
      </c>
      <c r="C543" s="390" t="s">
        <v>451</v>
      </c>
      <c r="D543" s="391" t="s">
        <v>451</v>
      </c>
      <c r="E543" s="390" t="s">
        <v>380</v>
      </c>
      <c r="F543" s="262" t="s">
        <v>5</v>
      </c>
      <c r="G543" s="262" t="s">
        <v>12</v>
      </c>
      <c r="H543" s="261"/>
      <c r="I543" s="261"/>
      <c r="J543" s="261"/>
      <c r="K543" s="261"/>
      <c r="L543" s="261">
        <v>4</v>
      </c>
      <c r="M543" s="261"/>
      <c r="N543" s="261"/>
      <c r="O543" s="261"/>
      <c r="P543" s="261"/>
      <c r="Q543" s="261"/>
      <c r="R543" s="261"/>
      <c r="S543" s="261"/>
      <c r="T543" s="261"/>
      <c r="U543" s="261"/>
      <c r="V543" s="762"/>
      <c r="W543" s="261"/>
      <c r="X543" s="261"/>
      <c r="Y543" s="264">
        <f>IF(NFI_Expiration=1,IF($A543&lt;VLOOKUP(H$5,NFI,5,0),1,0)*Table_NFI[[#This Row],[Hygiene Kit]],Table_NFI[Hygiene Kit])</f>
        <v>0</v>
      </c>
      <c r="Z543" s="264">
        <f>IF(NFI_Expiration=1,IF($A543&lt;VLOOKUP(I$5,NFI,5,0),1,0)*Table_NFI[[#This Row],[NFI Core Kit]],Table_NFI[NFI Core Kit])</f>
        <v>0</v>
      </c>
      <c r="AA543" s="264">
        <f>IF(NFI_Expiration=1,IF($A543&lt;VLOOKUP(J$5,NFI,5,0),1,0)*Table_NFI[[#This Row],[Sanitary Kit]],Table_NFI[Sanitary Kit])</f>
        <v>0</v>
      </c>
      <c r="AB543" s="264">
        <f>IF(NFI_Expiration=1,IF($A543&lt;VLOOKUP(K$5,NFI,5,0),1,0)*Table_NFI[[#This Row],[Mosquito net]],Table_NFI[Mosquito net])</f>
        <v>0</v>
      </c>
      <c r="AC543" s="264">
        <f>IF(NFI_Expiration=1,IF($A543&lt;VLOOKUP(L$5,NFI,5,0),1,0)*Table_NFI[[#This Row],[Tarpaulin]],Table_NFI[[#This Row],[Tarpaulin]])</f>
        <v>0</v>
      </c>
      <c r="AD543" s="264">
        <f>IF(NFI_Expiration=1,IF($A543&lt;VLOOKUP(M$5,NFI,5,0),1,0)*Table_NFI[[#This Row],[Blanket]],Table_NFI[[#This Row],[Blanket]])</f>
        <v>0</v>
      </c>
      <c r="AE543" s="264">
        <f>IF(NFI_Expiration=1,IF($A543&lt;VLOOKUP(N$5,NFI,5,0),1,0)*Table_NFI[[#This Row],[Kitchen Set]],Table_NFI[Kitchen Set])</f>
        <v>0</v>
      </c>
      <c r="AF543" s="264">
        <f>IF(NFI_Expiration=1,IF($A543&lt;VLOOKUP(O$5,NFI,5,0),1,0)*Table_NFI[[#This Row],[Clothes Kit]],Table_NFI[Clothes Kit])</f>
        <v>0</v>
      </c>
      <c r="AG543" s="264">
        <f>IF(NFI_Expiration=1,IF($A543&lt;VLOOKUP(P$5,NFI,5,0),1,0)*Table_NFI[[#This Row],[Plastic Bucket]],Table_NFI[Plastic Bucket])</f>
        <v>0</v>
      </c>
      <c r="AH543" s="264">
        <f>IF(NFI_Expiration=1,IF($A543&lt;VLOOKUP(Q$5,NFI,5,0),1,0)*Table_NFI[[#This Row],[Plastic Mat]],Table_NFI[Plastic Mat])*IF(Table_NFI[[#This Row],[Distribution Date]]&gt;"2014-04-01",1,2.5)</f>
        <v>0</v>
      </c>
      <c r="AI543" s="264">
        <f>IF(NFI_Expiration=1,IF($A543&lt;VLOOKUP(R$5,NFI,5,0),1,0)*Table_NFI[[#This Row],[Winter Clothes Adult]],Table_NFI[Winter Clothes Adult])</f>
        <v>0</v>
      </c>
      <c r="AJ543" s="264">
        <f>IF(NFI_Expiration=1,IF($A543&lt;VLOOKUP(S$5,NFI,5,0),1,0)*Table_NFI[[#This Row],[Winter Clothes Children]],Table_NFI[Winter Clothes Children])</f>
        <v>0</v>
      </c>
      <c r="AK543" s="264">
        <f>IF(NFI_Expiration=1,IF($A543&lt;VLOOKUP(T$5,NFI,5,0),1,0)*Table_NFI[[#This Row],[Winter Items Other]],Table_NFI[Winter Items Other])</f>
        <v>0</v>
      </c>
      <c r="AL543" s="264">
        <f>IF(NFI_Expiration=1,IF($A543&lt;VLOOKUP(M$5,NFI,5,0),1,0)*Table_NFI[[#This Row],[Winter Blanket]],Table_NFI[[#This Row],[Winter Blanket]])</f>
        <v>0</v>
      </c>
      <c r="AM543" s="264">
        <f>IF(Table_NFI[[#This Row],[Winter Clothes Adult]]+Table_NFI[[#This Row],[Winter Clothes Children]]+Table_NFI[[#This Row],[Winter Items Other]]+Table_NFI[[#This Row],[Winter Blanket]]&gt;0,1,0)</f>
        <v>0</v>
      </c>
      <c r="AN543" s="296">
        <f>IF(NFI_Expiration=1,IF($A543&lt;VLOOKUP(V$5,NFI,5,0),1,0)*Table_NFI[[#This Row],[Jerry Can]],Table_NFI[Jerry Can])</f>
        <v>0</v>
      </c>
      <c r="AO543" s="296">
        <f>IF(NFI_Expiration=1,IF($A543&lt;VLOOKUP(V$5,NFI,5,0),1,0)*Table_NFI[[#This Row],[Shelter Tool kit]],Table_NFI[Shelter Tool kit])</f>
        <v>0</v>
      </c>
      <c r="AP543" s="296">
        <f>IF(NFI_Expiration=1,IF($A543&lt;VLOOKUP(V$5,NFI,5,0),1,0)*Table_NFI[[#This Row],[Tent]],Table_NFI[Tent])</f>
        <v>0</v>
      </c>
      <c r="AQ543" s="396" t="str">
        <f>IFERROR(VLOOKUP(Table_NFI[[#This Row],[Camp Name]],CL,2,0),"")</f>
        <v>MMR001CMP163</v>
      </c>
      <c r="AR543" s="702">
        <f ca="1">IF(Table_NFI[[#This Row],[Pcode]]="","",IF(OFFSET(CampList[Opening Date],MATCH(Table_NFI[[#This Row],[Pcode]],CampList[CP_Pcode],0)-1,0,1,1)&gt;=NFI_Monitor_Date,1,0))</f>
        <v>0</v>
      </c>
      <c r="AS543" s="396" t="str">
        <f>IFERROR(VLOOKUP(Table_NFI[[#This Row],[Camp Name]],CL,3,0),"")</f>
        <v>Open</v>
      </c>
      <c r="AT543" s="264" t="str">
        <f ca="1">IF(Table_NFI[[#This Row],[Pcode]]="","",OFFSET(CampList[Priority],MATCH(Table_NFI[[#This Row],[Pcode]],CampList[CP_Pcode],0)-1,0,1,1))</f>
        <v>P4</v>
      </c>
      <c r="AU543" s="263" t="str">
        <f>IFERROR(Table_NFI[[#This Row],[Kitchen Set]]/VLOOKUP(Table_NFI[[#This Row],[Camp Name]],CL,4,0),"")</f>
        <v/>
      </c>
      <c r="AV543" s="390" t="s">
        <v>1087</v>
      </c>
      <c r="AW543" s="392"/>
      <c r="AX543" s="399"/>
      <c r="AY543" s="399"/>
      <c r="AZ543" s="399"/>
      <c r="BA543" s="399"/>
      <c r="BB543" s="399"/>
      <c r="BC543" s="399"/>
      <c r="BD543" s="399"/>
      <c r="BE543" s="399"/>
      <c r="BF543" s="399"/>
      <c r="BG543" s="399"/>
      <c r="BH543" s="399"/>
      <c r="BI543" s="399"/>
      <c r="BJ543" s="399"/>
      <c r="BK543" s="399"/>
      <c r="BL543" s="399"/>
      <c r="BM543" s="399"/>
      <c r="BN543" s="399"/>
      <c r="BO543" s="399"/>
      <c r="BP543" s="399"/>
      <c r="BQ543" s="399"/>
      <c r="BR543" s="399"/>
      <c r="BS543" s="399"/>
      <c r="BT543" s="399"/>
      <c r="BU543" s="399"/>
      <c r="BV543" s="399"/>
      <c r="BW543" s="399"/>
      <c r="BX543" s="399"/>
      <c r="BY543" s="399"/>
      <c r="BZ543" s="399"/>
      <c r="CA543" s="399"/>
      <c r="CB543" s="399"/>
      <c r="CC543" s="399"/>
      <c r="CD543" s="399"/>
      <c r="CE543" s="399"/>
      <c r="CF543" s="399"/>
      <c r="CG543" s="399"/>
      <c r="CH543" s="399"/>
      <c r="CI543" s="399"/>
      <c r="CJ543" s="399"/>
      <c r="CK543" s="399"/>
      <c r="CL543" s="399"/>
      <c r="CM543" s="399"/>
      <c r="CN543" s="399"/>
      <c r="CO543" s="399"/>
      <c r="CP543" s="399"/>
      <c r="CQ543" s="399"/>
      <c r="CR543" s="399"/>
      <c r="CS543" s="399"/>
      <c r="CT543" s="399"/>
      <c r="CU543" s="399"/>
      <c r="CV543" s="399"/>
      <c r="CW543" s="399"/>
      <c r="CX543" s="399"/>
      <c r="CY543" s="399"/>
      <c r="CZ543" s="399"/>
      <c r="DA543" s="399"/>
      <c r="DB543" s="399"/>
      <c r="DC543" s="399"/>
      <c r="DD543" s="399"/>
      <c r="DE543" s="399"/>
      <c r="DF543" s="399"/>
      <c r="DG543" s="399"/>
      <c r="DH543" s="399"/>
      <c r="DI543" s="399"/>
      <c r="DJ543" s="399"/>
      <c r="DK543" s="399"/>
      <c r="DL543" s="399"/>
      <c r="DM543" s="399"/>
      <c r="DN543" s="399"/>
      <c r="DO543" s="399"/>
      <c r="DP543" s="399"/>
      <c r="DQ543" s="399"/>
    </row>
    <row r="544" spans="1:121" s="760" customFormat="1" ht="14.45" customHeight="1" x14ac:dyDescent="0.25">
      <c r="A544" s="266">
        <f t="shared" si="8"/>
        <v>41</v>
      </c>
      <c r="B544" s="389">
        <v>41626</v>
      </c>
      <c r="C544" s="390" t="s">
        <v>904</v>
      </c>
      <c r="D544" s="390" t="s">
        <v>459</v>
      </c>
      <c r="E544" s="390" t="s">
        <v>380</v>
      </c>
      <c r="F544" s="262" t="s">
        <v>310</v>
      </c>
      <c r="G544" s="390" t="s">
        <v>320</v>
      </c>
      <c r="H544" s="261"/>
      <c r="I544" s="261"/>
      <c r="J544" s="261"/>
      <c r="K544" s="261"/>
      <c r="L544" s="261"/>
      <c r="M544" s="261"/>
      <c r="N544" s="261"/>
      <c r="O544" s="261"/>
      <c r="P544" s="261"/>
      <c r="Q544" s="261"/>
      <c r="R544" s="261">
        <v>23</v>
      </c>
      <c r="S544" s="261">
        <v>45</v>
      </c>
      <c r="T544" s="261">
        <v>136</v>
      </c>
      <c r="U544" s="261">
        <v>68</v>
      </c>
      <c r="V544" s="762"/>
      <c r="W544" s="261"/>
      <c r="X544" s="261"/>
      <c r="Y544" s="264">
        <f>IF(NFI_Expiration=1,IF($A544&lt;VLOOKUP(H$5,NFI,5,0),1,0)*Table_NFI[[#This Row],[Hygiene Kit]],Table_NFI[Hygiene Kit])</f>
        <v>0</v>
      </c>
      <c r="Z544" s="264">
        <f>IF(NFI_Expiration=1,IF($A544&lt;VLOOKUP(I$5,NFI,5,0),1,0)*Table_NFI[[#This Row],[NFI Core Kit]],Table_NFI[NFI Core Kit])</f>
        <v>0</v>
      </c>
      <c r="AA544" s="264">
        <f>IF(NFI_Expiration=1,IF($A544&lt;VLOOKUP(J$5,NFI,5,0),1,0)*Table_NFI[[#This Row],[Sanitary Kit]],Table_NFI[Sanitary Kit])</f>
        <v>0</v>
      </c>
      <c r="AB544" s="264">
        <f>IF(NFI_Expiration=1,IF($A544&lt;VLOOKUP(K$5,NFI,5,0),1,0)*Table_NFI[[#This Row],[Mosquito net]],Table_NFI[Mosquito net])</f>
        <v>0</v>
      </c>
      <c r="AC544" s="264">
        <f>IF(NFI_Expiration=1,IF($A544&lt;VLOOKUP(L$5,NFI,5,0),1,0)*Table_NFI[[#This Row],[Tarpaulin]],Table_NFI[[#This Row],[Tarpaulin]])</f>
        <v>0</v>
      </c>
      <c r="AD544" s="264">
        <f>IF(NFI_Expiration=1,IF($A544&lt;VLOOKUP(M$5,NFI,5,0),1,0)*Table_NFI[[#This Row],[Blanket]],Table_NFI[[#This Row],[Blanket]])</f>
        <v>0</v>
      </c>
      <c r="AE544" s="264">
        <f>IF(NFI_Expiration=1,IF($A544&lt;VLOOKUP(N$5,NFI,5,0),1,0)*Table_NFI[[#This Row],[Kitchen Set]],Table_NFI[Kitchen Set])</f>
        <v>0</v>
      </c>
      <c r="AF544" s="264">
        <f>IF(NFI_Expiration=1,IF($A544&lt;VLOOKUP(O$5,NFI,5,0),1,0)*Table_NFI[[#This Row],[Clothes Kit]],Table_NFI[Clothes Kit])</f>
        <v>0</v>
      </c>
      <c r="AG544" s="264">
        <f>IF(NFI_Expiration=1,IF($A544&lt;VLOOKUP(P$5,NFI,5,0),1,0)*Table_NFI[[#This Row],[Plastic Bucket]],Table_NFI[Plastic Bucket])</f>
        <v>0</v>
      </c>
      <c r="AH544" s="264">
        <f>IF(NFI_Expiration=1,IF($A544&lt;VLOOKUP(Q$5,NFI,5,0),1,0)*Table_NFI[[#This Row],[Plastic Mat]],Table_NFI[Plastic Mat])*IF(Table_NFI[[#This Row],[Distribution Date]]&gt;"2014-04-01",1,2.5)</f>
        <v>0</v>
      </c>
      <c r="AI544" s="264">
        <f>IF(NFI_Expiration=1,IF($A544&lt;VLOOKUP(R$5,NFI,5,0),1,0)*Table_NFI[[#This Row],[Winter Clothes Adult]],Table_NFI[Winter Clothes Adult])</f>
        <v>0</v>
      </c>
      <c r="AJ544" s="264">
        <f>IF(NFI_Expiration=1,IF($A544&lt;VLOOKUP(S$5,NFI,5,0),1,0)*Table_NFI[[#This Row],[Winter Clothes Children]],Table_NFI[Winter Clothes Children])</f>
        <v>0</v>
      </c>
      <c r="AK544" s="264">
        <f>IF(NFI_Expiration=1,IF($A544&lt;VLOOKUP(T$5,NFI,5,0),1,0)*Table_NFI[[#This Row],[Winter Items Other]],Table_NFI[Winter Items Other])</f>
        <v>0</v>
      </c>
      <c r="AL544" s="264">
        <f>IF(NFI_Expiration=1,IF($A544&lt;VLOOKUP(M$5,NFI,5,0),1,0)*Table_NFI[[#This Row],[Winter Blanket]],Table_NFI[[#This Row],[Winter Blanket]])</f>
        <v>0</v>
      </c>
      <c r="AM544" s="264">
        <f>IF(Table_NFI[[#This Row],[Winter Clothes Adult]]+Table_NFI[[#This Row],[Winter Clothes Children]]+Table_NFI[[#This Row],[Winter Items Other]]+Table_NFI[[#This Row],[Winter Blanket]]&gt;0,1,0)</f>
        <v>1</v>
      </c>
      <c r="AN544" s="296">
        <f>IF(NFI_Expiration=1,IF($A544&lt;VLOOKUP(V$5,NFI,5,0),1,0)*Table_NFI[[#This Row],[Jerry Can]],Table_NFI[Jerry Can])</f>
        <v>0</v>
      </c>
      <c r="AO544" s="296">
        <f>IF(NFI_Expiration=1,IF($A544&lt;VLOOKUP(V$5,NFI,5,0),1,0)*Table_NFI[[#This Row],[Shelter Tool kit]],Table_NFI[Shelter Tool kit])</f>
        <v>0</v>
      </c>
      <c r="AP544" s="296">
        <f>IF(NFI_Expiration=1,IF($A544&lt;VLOOKUP(V$5,NFI,5,0),1,0)*Table_NFI[[#This Row],[Tent]],Table_NFI[Tent])</f>
        <v>0</v>
      </c>
      <c r="AQ544" s="396" t="str">
        <f>IFERROR(VLOOKUP(Table_NFI[[#This Row],[Camp Name]],CL,2,0),"")</f>
        <v>MMR001CMP027</v>
      </c>
      <c r="AR544" s="702">
        <f ca="1">IF(Table_NFI[[#This Row],[Pcode]]="","",IF(OFFSET(CampList[Opening Date],MATCH(Table_NFI[[#This Row],[Pcode]],CampList[CP_Pcode],0)-1,0,1,1)&gt;=NFI_Monitor_Date,1,0))</f>
        <v>0</v>
      </c>
      <c r="AS544" s="396" t="str">
        <f>IFERROR(VLOOKUP(Table_NFI[[#This Row],[Camp Name]],CL,3,0),"")</f>
        <v>Open</v>
      </c>
      <c r="AT544" s="264" t="str">
        <f ca="1">IF(Table_NFI[[#This Row],[Pcode]]="","",OFFSET(CampList[Priority],MATCH(Table_NFI[[#This Row],[Pcode]],CampList[CP_Pcode],0)-1,0,1,1))</f>
        <v>P4</v>
      </c>
      <c r="AU544" s="263">
        <f>IFERROR(Table_NFI[[#This Row],[Kitchen Set]]/VLOOKUP(Table_NFI[[#This Row],[Camp Name]],CL,4,0),"")</f>
        <v>0</v>
      </c>
      <c r="AV544" s="390"/>
      <c r="AW544" s="392"/>
      <c r="AX544" s="399"/>
      <c r="AY544" s="399"/>
      <c r="AZ544" s="399"/>
      <c r="BA544" s="399"/>
      <c r="BB544" s="399"/>
      <c r="BC544" s="399"/>
      <c r="BD544" s="399"/>
      <c r="BE544" s="399"/>
      <c r="BF544" s="399"/>
      <c r="BG544" s="399"/>
      <c r="BH544" s="399"/>
      <c r="BI544" s="399"/>
      <c r="BJ544" s="399"/>
      <c r="BK544" s="399"/>
      <c r="BL544" s="399"/>
      <c r="BM544" s="399"/>
      <c r="BN544" s="399"/>
      <c r="BO544" s="399"/>
      <c r="BP544" s="399"/>
      <c r="BQ544" s="399"/>
      <c r="BR544" s="399"/>
      <c r="BS544" s="399"/>
      <c r="BT544" s="399"/>
      <c r="BU544" s="399"/>
      <c r="BV544" s="399"/>
      <c r="BW544" s="399"/>
      <c r="BX544" s="399"/>
      <c r="BY544" s="399"/>
      <c r="BZ544" s="399"/>
      <c r="CA544" s="399"/>
      <c r="CB544" s="399"/>
      <c r="CC544" s="399"/>
      <c r="CD544" s="399"/>
      <c r="CE544" s="399"/>
      <c r="CF544" s="399"/>
      <c r="CG544" s="399"/>
      <c r="CH544" s="399"/>
      <c r="CI544" s="399"/>
      <c r="CJ544" s="399"/>
      <c r="CK544" s="399"/>
      <c r="CL544" s="399"/>
      <c r="CM544" s="399"/>
      <c r="CN544" s="399"/>
      <c r="CO544" s="399"/>
      <c r="CP544" s="399"/>
      <c r="CQ544" s="399"/>
      <c r="CR544" s="399"/>
      <c r="CS544" s="399"/>
      <c r="CT544" s="399"/>
      <c r="CU544" s="399"/>
      <c r="CV544" s="399"/>
      <c r="CW544" s="399"/>
      <c r="CX544" s="399"/>
      <c r="CY544" s="399"/>
      <c r="CZ544" s="399"/>
      <c r="DA544" s="399"/>
      <c r="DB544" s="399"/>
      <c r="DC544" s="399"/>
      <c r="DD544" s="399"/>
      <c r="DE544" s="399"/>
      <c r="DF544" s="399"/>
      <c r="DG544" s="399"/>
      <c r="DH544" s="399"/>
      <c r="DI544" s="399"/>
      <c r="DJ544" s="399"/>
      <c r="DK544" s="399"/>
      <c r="DL544" s="399"/>
      <c r="DM544" s="399"/>
      <c r="DN544" s="399"/>
      <c r="DO544" s="399"/>
      <c r="DP544" s="399"/>
      <c r="DQ544" s="399"/>
    </row>
    <row r="545" spans="1:121" s="760" customFormat="1" ht="14.45" customHeight="1" x14ac:dyDescent="0.25">
      <c r="A545" s="266">
        <f t="shared" si="8"/>
        <v>41</v>
      </c>
      <c r="B545" s="389">
        <v>41626</v>
      </c>
      <c r="C545" s="390" t="s">
        <v>904</v>
      </c>
      <c r="D545" s="390" t="s">
        <v>459</v>
      </c>
      <c r="E545" s="390" t="s">
        <v>380</v>
      </c>
      <c r="F545" s="390" t="s">
        <v>310</v>
      </c>
      <c r="G545" s="390" t="s">
        <v>338</v>
      </c>
      <c r="H545" s="261"/>
      <c r="I545" s="261"/>
      <c r="J545" s="261"/>
      <c r="K545" s="261"/>
      <c r="L545" s="261"/>
      <c r="M545" s="261"/>
      <c r="N545" s="261"/>
      <c r="O545" s="261"/>
      <c r="P545" s="261"/>
      <c r="Q545" s="261"/>
      <c r="R545" s="261">
        <v>30</v>
      </c>
      <c r="S545" s="261">
        <v>57</v>
      </c>
      <c r="T545" s="261">
        <v>174</v>
      </c>
      <c r="U545" s="261">
        <v>87</v>
      </c>
      <c r="V545" s="762"/>
      <c r="W545" s="261"/>
      <c r="X545" s="261"/>
      <c r="Y545" s="264">
        <f>IF(NFI_Expiration=1,IF($A545&lt;VLOOKUP(H$5,NFI,5,0),1,0)*Table_NFI[[#This Row],[Hygiene Kit]],Table_NFI[Hygiene Kit])</f>
        <v>0</v>
      </c>
      <c r="Z545" s="264">
        <f>IF(NFI_Expiration=1,IF($A545&lt;VLOOKUP(I$5,NFI,5,0),1,0)*Table_NFI[[#This Row],[NFI Core Kit]],Table_NFI[NFI Core Kit])</f>
        <v>0</v>
      </c>
      <c r="AA545" s="264">
        <f>IF(NFI_Expiration=1,IF($A545&lt;VLOOKUP(J$5,NFI,5,0),1,0)*Table_NFI[[#This Row],[Sanitary Kit]],Table_NFI[Sanitary Kit])</f>
        <v>0</v>
      </c>
      <c r="AB545" s="264">
        <f>IF(NFI_Expiration=1,IF($A545&lt;VLOOKUP(K$5,NFI,5,0),1,0)*Table_NFI[[#This Row],[Mosquito net]],Table_NFI[Mosquito net])</f>
        <v>0</v>
      </c>
      <c r="AC545" s="264">
        <f>IF(NFI_Expiration=1,IF($A545&lt;VLOOKUP(L$5,NFI,5,0),1,0)*Table_NFI[[#This Row],[Tarpaulin]],Table_NFI[[#This Row],[Tarpaulin]])</f>
        <v>0</v>
      </c>
      <c r="AD545" s="264">
        <f>IF(NFI_Expiration=1,IF($A545&lt;VLOOKUP(M$5,NFI,5,0),1,0)*Table_NFI[[#This Row],[Blanket]],Table_NFI[[#This Row],[Blanket]])</f>
        <v>0</v>
      </c>
      <c r="AE545" s="264">
        <f>IF(NFI_Expiration=1,IF($A545&lt;VLOOKUP(N$5,NFI,5,0),1,0)*Table_NFI[[#This Row],[Kitchen Set]],Table_NFI[Kitchen Set])</f>
        <v>0</v>
      </c>
      <c r="AF545" s="264">
        <f>IF(NFI_Expiration=1,IF($A545&lt;VLOOKUP(O$5,NFI,5,0),1,0)*Table_NFI[[#This Row],[Clothes Kit]],Table_NFI[Clothes Kit])</f>
        <v>0</v>
      </c>
      <c r="AG545" s="264">
        <f>IF(NFI_Expiration=1,IF($A545&lt;VLOOKUP(P$5,NFI,5,0),1,0)*Table_NFI[[#This Row],[Plastic Bucket]],Table_NFI[Plastic Bucket])</f>
        <v>0</v>
      </c>
      <c r="AH545" s="264">
        <f>IF(NFI_Expiration=1,IF($A545&lt;VLOOKUP(Q$5,NFI,5,0),1,0)*Table_NFI[[#This Row],[Plastic Mat]],Table_NFI[Plastic Mat])*IF(Table_NFI[[#This Row],[Distribution Date]]&gt;"2014-04-01",1,2.5)</f>
        <v>0</v>
      </c>
      <c r="AI545" s="264">
        <f>IF(NFI_Expiration=1,IF($A545&lt;VLOOKUP(R$5,NFI,5,0),1,0)*Table_NFI[[#This Row],[Winter Clothes Adult]],Table_NFI[Winter Clothes Adult])</f>
        <v>0</v>
      </c>
      <c r="AJ545" s="264">
        <f>IF(NFI_Expiration=1,IF($A545&lt;VLOOKUP(S$5,NFI,5,0),1,0)*Table_NFI[[#This Row],[Winter Clothes Children]],Table_NFI[Winter Clothes Children])</f>
        <v>0</v>
      </c>
      <c r="AK545" s="264">
        <f>IF(NFI_Expiration=1,IF($A545&lt;VLOOKUP(T$5,NFI,5,0),1,0)*Table_NFI[[#This Row],[Winter Items Other]],Table_NFI[Winter Items Other])</f>
        <v>0</v>
      </c>
      <c r="AL545" s="264">
        <f>IF(NFI_Expiration=1,IF($A545&lt;VLOOKUP(M$5,NFI,5,0),1,0)*Table_NFI[[#This Row],[Winter Blanket]],Table_NFI[[#This Row],[Winter Blanket]])</f>
        <v>0</v>
      </c>
      <c r="AM545" s="264">
        <f>IF(Table_NFI[[#This Row],[Winter Clothes Adult]]+Table_NFI[[#This Row],[Winter Clothes Children]]+Table_NFI[[#This Row],[Winter Items Other]]+Table_NFI[[#This Row],[Winter Blanket]]&gt;0,1,0)</f>
        <v>1</v>
      </c>
      <c r="AN545" s="296">
        <f>IF(NFI_Expiration=1,IF($A545&lt;VLOOKUP(V$5,NFI,5,0),1,0)*Table_NFI[[#This Row],[Jerry Can]],Table_NFI[Jerry Can])</f>
        <v>0</v>
      </c>
      <c r="AO545" s="296">
        <f>IF(NFI_Expiration=1,IF($A545&lt;VLOOKUP(V$5,NFI,5,0),1,0)*Table_NFI[[#This Row],[Shelter Tool kit]],Table_NFI[Shelter Tool kit])</f>
        <v>0</v>
      </c>
      <c r="AP545" s="296">
        <f>IF(NFI_Expiration=1,IF($A545&lt;VLOOKUP(V$5,NFI,5,0),1,0)*Table_NFI[[#This Row],[Tent]],Table_NFI[Tent])</f>
        <v>0</v>
      </c>
      <c r="AQ545" s="396" t="str">
        <f>IFERROR(VLOOKUP(Table_NFI[[#This Row],[Camp Name]],CL,2,0),"")</f>
        <v>MMR001CMP030</v>
      </c>
      <c r="AR545" s="702">
        <f ca="1">IF(Table_NFI[[#This Row],[Pcode]]="","",IF(OFFSET(CampList[Opening Date],MATCH(Table_NFI[[#This Row],[Pcode]],CampList[CP_Pcode],0)-1,0,1,1)&gt;=NFI_Monitor_Date,1,0))</f>
        <v>0</v>
      </c>
      <c r="AS545" s="396" t="str">
        <f>IFERROR(VLOOKUP(Table_NFI[[#This Row],[Camp Name]],CL,3,0),"")</f>
        <v>Open</v>
      </c>
      <c r="AT545" s="264" t="str">
        <f ca="1">IF(Table_NFI[[#This Row],[Pcode]]="","",OFFSET(CampList[Priority],MATCH(Table_NFI[[#This Row],[Pcode]],CampList[CP_Pcode],0)-1,0,1,1))</f>
        <v>P4</v>
      </c>
      <c r="AU545" s="263">
        <f>IFERROR(Table_NFI[[#This Row],[Kitchen Set]]/VLOOKUP(Table_NFI[[#This Row],[Camp Name]],CL,4,0),"")</f>
        <v>0</v>
      </c>
      <c r="AV545" s="390"/>
      <c r="AW545" s="392"/>
      <c r="AX545" s="399"/>
      <c r="AY545" s="399"/>
      <c r="AZ545" s="399"/>
      <c r="BA545" s="399"/>
      <c r="BB545" s="399"/>
      <c r="BC545" s="399"/>
      <c r="BD545" s="399"/>
      <c r="BE545" s="399"/>
      <c r="BF545" s="399"/>
      <c r="BG545" s="399"/>
      <c r="BH545" s="399"/>
      <c r="BI545" s="399"/>
      <c r="BJ545" s="399"/>
      <c r="BK545" s="399"/>
      <c r="BL545" s="399"/>
      <c r="BM545" s="399"/>
      <c r="BN545" s="399"/>
      <c r="BO545" s="399"/>
      <c r="BP545" s="399"/>
      <c r="BQ545" s="399"/>
      <c r="BR545" s="399"/>
      <c r="BS545" s="399"/>
      <c r="BT545" s="399"/>
      <c r="BU545" s="399"/>
      <c r="BV545" s="399"/>
      <c r="BW545" s="399"/>
      <c r="BX545" s="399"/>
      <c r="BY545" s="399"/>
      <c r="BZ545" s="399"/>
      <c r="CA545" s="399"/>
      <c r="CB545" s="399"/>
      <c r="CC545" s="399"/>
      <c r="CD545" s="399"/>
      <c r="CE545" s="399"/>
      <c r="CF545" s="399"/>
      <c r="CG545" s="399"/>
      <c r="CH545" s="399"/>
      <c r="CI545" s="399"/>
      <c r="CJ545" s="399"/>
      <c r="CK545" s="399"/>
      <c r="CL545" s="399"/>
      <c r="CM545" s="399"/>
      <c r="CN545" s="399"/>
      <c r="CO545" s="399"/>
      <c r="CP545" s="399"/>
      <c r="CQ545" s="399"/>
      <c r="CR545" s="399"/>
      <c r="CS545" s="399"/>
      <c r="CT545" s="399"/>
      <c r="CU545" s="399"/>
      <c r="CV545" s="399"/>
      <c r="CW545" s="399"/>
      <c r="CX545" s="399"/>
      <c r="CY545" s="399"/>
      <c r="CZ545" s="399"/>
      <c r="DA545" s="399"/>
      <c r="DB545" s="399"/>
      <c r="DC545" s="399"/>
      <c r="DD545" s="399"/>
      <c r="DE545" s="399"/>
      <c r="DF545" s="399"/>
      <c r="DG545" s="399"/>
      <c r="DH545" s="399"/>
      <c r="DI545" s="399"/>
      <c r="DJ545" s="399"/>
      <c r="DK545" s="399"/>
      <c r="DL545" s="399"/>
      <c r="DM545" s="399"/>
      <c r="DN545" s="399"/>
      <c r="DO545" s="399"/>
      <c r="DP545" s="399"/>
      <c r="DQ545" s="399"/>
    </row>
    <row r="546" spans="1:121" s="760" customFormat="1" ht="14.45" customHeight="1" x14ac:dyDescent="0.25">
      <c r="A546" s="266">
        <f t="shared" si="8"/>
        <v>41.033333333333331</v>
      </c>
      <c r="B546" s="389">
        <v>41625</v>
      </c>
      <c r="C546" s="390" t="s">
        <v>904</v>
      </c>
      <c r="D546" s="390" t="s">
        <v>459</v>
      </c>
      <c r="E546" s="390" t="s">
        <v>380</v>
      </c>
      <c r="F546" s="262" t="s">
        <v>310</v>
      </c>
      <c r="G546" s="390" t="s">
        <v>342</v>
      </c>
      <c r="H546" s="261"/>
      <c r="I546" s="261"/>
      <c r="J546" s="261"/>
      <c r="K546" s="261"/>
      <c r="L546" s="261"/>
      <c r="M546" s="261"/>
      <c r="N546" s="261"/>
      <c r="O546" s="261"/>
      <c r="P546" s="261"/>
      <c r="Q546" s="261"/>
      <c r="R546" s="261">
        <v>73</v>
      </c>
      <c r="S546" s="261">
        <v>146</v>
      </c>
      <c r="T546" s="261">
        <v>438</v>
      </c>
      <c r="U546" s="261">
        <v>219</v>
      </c>
      <c r="V546" s="762"/>
      <c r="W546" s="261"/>
      <c r="X546" s="261"/>
      <c r="Y546" s="264">
        <f>IF(NFI_Expiration=1,IF($A546&lt;VLOOKUP(H$5,NFI,5,0),1,0)*Table_NFI[[#This Row],[Hygiene Kit]],Table_NFI[Hygiene Kit])</f>
        <v>0</v>
      </c>
      <c r="Z546" s="264">
        <f>IF(NFI_Expiration=1,IF($A546&lt;VLOOKUP(I$5,NFI,5,0),1,0)*Table_NFI[[#This Row],[NFI Core Kit]],Table_NFI[NFI Core Kit])</f>
        <v>0</v>
      </c>
      <c r="AA546" s="264">
        <f>IF(NFI_Expiration=1,IF($A546&lt;VLOOKUP(J$5,NFI,5,0),1,0)*Table_NFI[[#This Row],[Sanitary Kit]],Table_NFI[Sanitary Kit])</f>
        <v>0</v>
      </c>
      <c r="AB546" s="264">
        <f>IF(NFI_Expiration=1,IF($A546&lt;VLOOKUP(K$5,NFI,5,0),1,0)*Table_NFI[[#This Row],[Mosquito net]],Table_NFI[Mosquito net])</f>
        <v>0</v>
      </c>
      <c r="AC546" s="264">
        <f>IF(NFI_Expiration=1,IF($A546&lt;VLOOKUP(L$5,NFI,5,0),1,0)*Table_NFI[[#This Row],[Tarpaulin]],Table_NFI[[#This Row],[Tarpaulin]])</f>
        <v>0</v>
      </c>
      <c r="AD546" s="264">
        <f>IF(NFI_Expiration=1,IF($A546&lt;VLOOKUP(M$5,NFI,5,0),1,0)*Table_NFI[[#This Row],[Blanket]],Table_NFI[[#This Row],[Blanket]])</f>
        <v>0</v>
      </c>
      <c r="AE546" s="264">
        <f>IF(NFI_Expiration=1,IF($A546&lt;VLOOKUP(N$5,NFI,5,0),1,0)*Table_NFI[[#This Row],[Kitchen Set]],Table_NFI[Kitchen Set])</f>
        <v>0</v>
      </c>
      <c r="AF546" s="264">
        <f>IF(NFI_Expiration=1,IF($A546&lt;VLOOKUP(O$5,NFI,5,0),1,0)*Table_NFI[[#This Row],[Clothes Kit]],Table_NFI[Clothes Kit])</f>
        <v>0</v>
      </c>
      <c r="AG546" s="264">
        <f>IF(NFI_Expiration=1,IF($A546&lt;VLOOKUP(P$5,NFI,5,0),1,0)*Table_NFI[[#This Row],[Plastic Bucket]],Table_NFI[Plastic Bucket])</f>
        <v>0</v>
      </c>
      <c r="AH546" s="264">
        <f>IF(NFI_Expiration=1,IF($A546&lt;VLOOKUP(Q$5,NFI,5,0),1,0)*Table_NFI[[#This Row],[Plastic Mat]],Table_NFI[Plastic Mat])*IF(Table_NFI[[#This Row],[Distribution Date]]&gt;"2014-04-01",1,2.5)</f>
        <v>0</v>
      </c>
      <c r="AI546" s="264">
        <f>IF(NFI_Expiration=1,IF($A546&lt;VLOOKUP(R$5,NFI,5,0),1,0)*Table_NFI[[#This Row],[Winter Clothes Adult]],Table_NFI[Winter Clothes Adult])</f>
        <v>0</v>
      </c>
      <c r="AJ546" s="264">
        <f>IF(NFI_Expiration=1,IF($A546&lt;VLOOKUP(S$5,NFI,5,0),1,0)*Table_NFI[[#This Row],[Winter Clothes Children]],Table_NFI[Winter Clothes Children])</f>
        <v>0</v>
      </c>
      <c r="AK546" s="264">
        <f>IF(NFI_Expiration=1,IF($A546&lt;VLOOKUP(T$5,NFI,5,0),1,0)*Table_NFI[[#This Row],[Winter Items Other]],Table_NFI[Winter Items Other])</f>
        <v>0</v>
      </c>
      <c r="AL546" s="264">
        <f>IF(NFI_Expiration=1,IF($A546&lt;VLOOKUP(M$5,NFI,5,0),1,0)*Table_NFI[[#This Row],[Winter Blanket]],Table_NFI[[#This Row],[Winter Blanket]])</f>
        <v>0</v>
      </c>
      <c r="AM546" s="264">
        <f>IF(Table_NFI[[#This Row],[Winter Clothes Adult]]+Table_NFI[[#This Row],[Winter Clothes Children]]+Table_NFI[[#This Row],[Winter Items Other]]+Table_NFI[[#This Row],[Winter Blanket]]&gt;0,1,0)</f>
        <v>1</v>
      </c>
      <c r="AN546" s="296">
        <f>IF(NFI_Expiration=1,IF($A546&lt;VLOOKUP(V$5,NFI,5,0),1,0)*Table_NFI[[#This Row],[Jerry Can]],Table_NFI[Jerry Can])</f>
        <v>0</v>
      </c>
      <c r="AO546" s="296">
        <f>IF(NFI_Expiration=1,IF($A546&lt;VLOOKUP(V$5,NFI,5,0),1,0)*Table_NFI[[#This Row],[Shelter Tool kit]],Table_NFI[Shelter Tool kit])</f>
        <v>0</v>
      </c>
      <c r="AP546" s="296">
        <f>IF(NFI_Expiration=1,IF($A546&lt;VLOOKUP(V$5,NFI,5,0),1,0)*Table_NFI[[#This Row],[Tent]],Table_NFI[Tent])</f>
        <v>0</v>
      </c>
      <c r="AQ546" s="396" t="str">
        <f>IFERROR(VLOOKUP(Table_NFI[[#This Row],[Camp Name]],CL,2,0),"")</f>
        <v>MMR001CMP025</v>
      </c>
      <c r="AR546" s="702">
        <f ca="1">IF(Table_NFI[[#This Row],[Pcode]]="","",IF(OFFSET(CampList[Opening Date],MATCH(Table_NFI[[#This Row],[Pcode]],CampList[CP_Pcode],0)-1,0,1,1)&gt;=NFI_Monitor_Date,1,0))</f>
        <v>0</v>
      </c>
      <c r="AS546" s="396" t="str">
        <f>IFERROR(VLOOKUP(Table_NFI[[#This Row],[Camp Name]],CL,3,0),"")</f>
        <v>Open</v>
      </c>
      <c r="AT546" s="264" t="str">
        <f ca="1">IF(Table_NFI[[#This Row],[Pcode]]="","",OFFSET(CampList[Priority],MATCH(Table_NFI[[#This Row],[Pcode]],CampList[CP_Pcode],0)-1,0,1,1))</f>
        <v>P4</v>
      </c>
      <c r="AU546" s="263">
        <f>IFERROR(Table_NFI[[#This Row],[Kitchen Set]]/VLOOKUP(Table_NFI[[#This Row],[Camp Name]],CL,4,0),"")</f>
        <v>0</v>
      </c>
      <c r="AV546" s="390"/>
      <c r="AW546" s="392"/>
      <c r="AX546" s="399"/>
      <c r="AY546" s="399"/>
      <c r="AZ546" s="399"/>
      <c r="BA546" s="399"/>
      <c r="BB546" s="399"/>
      <c r="BC546" s="399"/>
      <c r="BD546" s="399"/>
      <c r="BE546" s="399"/>
      <c r="BF546" s="399"/>
      <c r="BG546" s="399"/>
      <c r="BH546" s="399"/>
      <c r="BI546" s="399"/>
      <c r="BJ546" s="399"/>
      <c r="BK546" s="399"/>
      <c r="BL546" s="399"/>
      <c r="BM546" s="399"/>
      <c r="BN546" s="399"/>
      <c r="BO546" s="399"/>
      <c r="BP546" s="399"/>
      <c r="BQ546" s="399"/>
      <c r="BR546" s="399"/>
      <c r="BS546" s="399"/>
      <c r="BT546" s="399"/>
      <c r="BU546" s="399"/>
      <c r="BV546" s="399"/>
      <c r="BW546" s="399"/>
      <c r="BX546" s="399"/>
      <c r="BY546" s="399"/>
      <c r="BZ546" s="399"/>
      <c r="CA546" s="399"/>
      <c r="CB546" s="399"/>
      <c r="CC546" s="399"/>
      <c r="CD546" s="399"/>
      <c r="CE546" s="399"/>
      <c r="CF546" s="399"/>
      <c r="CG546" s="399"/>
      <c r="CH546" s="399"/>
      <c r="CI546" s="399"/>
      <c r="CJ546" s="399"/>
      <c r="CK546" s="399"/>
      <c r="CL546" s="399"/>
      <c r="CM546" s="399"/>
      <c r="CN546" s="399"/>
      <c r="CO546" s="399"/>
      <c r="CP546" s="399"/>
      <c r="CQ546" s="399"/>
      <c r="CR546" s="399"/>
      <c r="CS546" s="399"/>
      <c r="CT546" s="399"/>
      <c r="CU546" s="399"/>
      <c r="CV546" s="399"/>
      <c r="CW546" s="399"/>
      <c r="CX546" s="399"/>
      <c r="CY546" s="399"/>
      <c r="CZ546" s="399"/>
      <c r="DA546" s="399"/>
      <c r="DB546" s="399"/>
      <c r="DC546" s="399"/>
      <c r="DD546" s="399"/>
      <c r="DE546" s="399"/>
      <c r="DF546" s="399"/>
      <c r="DG546" s="399"/>
      <c r="DH546" s="399"/>
      <c r="DI546" s="399"/>
      <c r="DJ546" s="399"/>
      <c r="DK546" s="399"/>
      <c r="DL546" s="399"/>
      <c r="DM546" s="399"/>
      <c r="DN546" s="399"/>
      <c r="DO546" s="399"/>
      <c r="DP546" s="399"/>
      <c r="DQ546" s="399"/>
    </row>
    <row r="547" spans="1:121" s="760" customFormat="1" ht="14.45" customHeight="1" x14ac:dyDescent="0.25">
      <c r="A547" s="266">
        <f t="shared" si="8"/>
        <v>41.033333333333331</v>
      </c>
      <c r="B547" s="389">
        <v>41625</v>
      </c>
      <c r="C547" s="390" t="s">
        <v>904</v>
      </c>
      <c r="D547" s="390" t="s">
        <v>459</v>
      </c>
      <c r="E547" s="390" t="s">
        <v>380</v>
      </c>
      <c r="F547" s="390" t="s">
        <v>310</v>
      </c>
      <c r="G547" s="390" t="s">
        <v>347</v>
      </c>
      <c r="H547" s="261"/>
      <c r="I547" s="261"/>
      <c r="J547" s="261"/>
      <c r="K547" s="261"/>
      <c r="L547" s="261"/>
      <c r="M547" s="261"/>
      <c r="N547" s="261"/>
      <c r="O547" s="261"/>
      <c r="P547" s="261"/>
      <c r="Q547" s="261"/>
      <c r="R547" s="261">
        <v>188</v>
      </c>
      <c r="S547" s="261">
        <v>343</v>
      </c>
      <c r="T547" s="261">
        <v>1062</v>
      </c>
      <c r="U547" s="261">
        <v>531</v>
      </c>
      <c r="V547" s="762"/>
      <c r="W547" s="261"/>
      <c r="X547" s="261"/>
      <c r="Y547" s="264">
        <f>IF(NFI_Expiration=1,IF($A547&lt;VLOOKUP(H$5,NFI,5,0),1,0)*Table_NFI[[#This Row],[Hygiene Kit]],Table_NFI[Hygiene Kit])</f>
        <v>0</v>
      </c>
      <c r="Z547" s="264">
        <f>IF(NFI_Expiration=1,IF($A547&lt;VLOOKUP(I$5,NFI,5,0),1,0)*Table_NFI[[#This Row],[NFI Core Kit]],Table_NFI[NFI Core Kit])</f>
        <v>0</v>
      </c>
      <c r="AA547" s="264">
        <f>IF(NFI_Expiration=1,IF($A547&lt;VLOOKUP(J$5,NFI,5,0),1,0)*Table_NFI[[#This Row],[Sanitary Kit]],Table_NFI[Sanitary Kit])</f>
        <v>0</v>
      </c>
      <c r="AB547" s="264">
        <f>IF(NFI_Expiration=1,IF($A547&lt;VLOOKUP(K$5,NFI,5,0),1,0)*Table_NFI[[#This Row],[Mosquito net]],Table_NFI[Mosquito net])</f>
        <v>0</v>
      </c>
      <c r="AC547" s="264">
        <f>IF(NFI_Expiration=1,IF($A547&lt;VLOOKUP(L$5,NFI,5,0),1,0)*Table_NFI[[#This Row],[Tarpaulin]],Table_NFI[[#This Row],[Tarpaulin]])</f>
        <v>0</v>
      </c>
      <c r="AD547" s="264">
        <f>IF(NFI_Expiration=1,IF($A547&lt;VLOOKUP(M$5,NFI,5,0),1,0)*Table_NFI[[#This Row],[Blanket]],Table_NFI[[#This Row],[Blanket]])</f>
        <v>0</v>
      </c>
      <c r="AE547" s="264">
        <f>IF(NFI_Expiration=1,IF($A547&lt;VLOOKUP(N$5,NFI,5,0),1,0)*Table_NFI[[#This Row],[Kitchen Set]],Table_NFI[Kitchen Set])</f>
        <v>0</v>
      </c>
      <c r="AF547" s="264">
        <f>IF(NFI_Expiration=1,IF($A547&lt;VLOOKUP(O$5,NFI,5,0),1,0)*Table_NFI[[#This Row],[Clothes Kit]],Table_NFI[Clothes Kit])</f>
        <v>0</v>
      </c>
      <c r="AG547" s="264">
        <f>IF(NFI_Expiration=1,IF($A547&lt;VLOOKUP(P$5,NFI,5,0),1,0)*Table_NFI[[#This Row],[Plastic Bucket]],Table_NFI[Plastic Bucket])</f>
        <v>0</v>
      </c>
      <c r="AH547" s="264">
        <f>IF(NFI_Expiration=1,IF($A547&lt;VLOOKUP(Q$5,NFI,5,0),1,0)*Table_NFI[[#This Row],[Plastic Mat]],Table_NFI[Plastic Mat])*IF(Table_NFI[[#This Row],[Distribution Date]]&gt;"2014-04-01",1,2.5)</f>
        <v>0</v>
      </c>
      <c r="AI547" s="264">
        <f>IF(NFI_Expiration=1,IF($A547&lt;VLOOKUP(R$5,NFI,5,0),1,0)*Table_NFI[[#This Row],[Winter Clothes Adult]],Table_NFI[Winter Clothes Adult])</f>
        <v>0</v>
      </c>
      <c r="AJ547" s="264">
        <f>IF(NFI_Expiration=1,IF($A547&lt;VLOOKUP(S$5,NFI,5,0),1,0)*Table_NFI[[#This Row],[Winter Clothes Children]],Table_NFI[Winter Clothes Children])</f>
        <v>0</v>
      </c>
      <c r="AK547" s="264">
        <f>IF(NFI_Expiration=1,IF($A547&lt;VLOOKUP(T$5,NFI,5,0),1,0)*Table_NFI[[#This Row],[Winter Items Other]],Table_NFI[Winter Items Other])</f>
        <v>0</v>
      </c>
      <c r="AL547" s="264">
        <f>IF(NFI_Expiration=1,IF($A547&lt;VLOOKUP(M$5,NFI,5,0),1,0)*Table_NFI[[#This Row],[Winter Blanket]],Table_NFI[[#This Row],[Winter Blanket]])</f>
        <v>0</v>
      </c>
      <c r="AM547" s="264">
        <f>IF(Table_NFI[[#This Row],[Winter Clothes Adult]]+Table_NFI[[#This Row],[Winter Clothes Children]]+Table_NFI[[#This Row],[Winter Items Other]]+Table_NFI[[#This Row],[Winter Blanket]]&gt;0,1,0)</f>
        <v>1</v>
      </c>
      <c r="AN547" s="296">
        <f>IF(NFI_Expiration=1,IF($A547&lt;VLOOKUP(V$5,NFI,5,0),1,0)*Table_NFI[[#This Row],[Jerry Can]],Table_NFI[Jerry Can])</f>
        <v>0</v>
      </c>
      <c r="AO547" s="296">
        <f>IF(NFI_Expiration=1,IF($A547&lt;VLOOKUP(V$5,NFI,5,0),1,0)*Table_NFI[[#This Row],[Shelter Tool kit]],Table_NFI[Shelter Tool kit])</f>
        <v>0</v>
      </c>
      <c r="AP547" s="296">
        <f>IF(NFI_Expiration=1,IF($A547&lt;VLOOKUP(V$5,NFI,5,0),1,0)*Table_NFI[[#This Row],[Tent]],Table_NFI[Tent])</f>
        <v>0</v>
      </c>
      <c r="AQ547" s="396" t="str">
        <f>IFERROR(VLOOKUP(Table_NFI[[#This Row],[Camp Name]],CL,2,0),"")</f>
        <v>MMR001CMP041</v>
      </c>
      <c r="AR547" s="702">
        <f ca="1">IF(Table_NFI[[#This Row],[Pcode]]="","",IF(OFFSET(CampList[Opening Date],MATCH(Table_NFI[[#This Row],[Pcode]],CampList[CP_Pcode],0)-1,0,1,1)&gt;=NFI_Monitor_Date,1,0))</f>
        <v>0</v>
      </c>
      <c r="AS547" s="396" t="str">
        <f>IFERROR(VLOOKUP(Table_NFI[[#This Row],[Camp Name]],CL,3,0),"")</f>
        <v>Open</v>
      </c>
      <c r="AT547" s="264" t="str">
        <f ca="1">IF(Table_NFI[[#This Row],[Pcode]]="","",OFFSET(CampList[Priority],MATCH(Table_NFI[[#This Row],[Pcode]],CampList[CP_Pcode],0)-1,0,1,1))</f>
        <v>P1</v>
      </c>
      <c r="AU547" s="263">
        <f>IFERROR(Table_NFI[[#This Row],[Kitchen Set]]/VLOOKUP(Table_NFI[[#This Row],[Camp Name]],CL,4,0),"")</f>
        <v>0</v>
      </c>
      <c r="AV547" s="390"/>
      <c r="AW547" s="392"/>
      <c r="AX547" s="399"/>
      <c r="AY547" s="399"/>
      <c r="AZ547" s="399"/>
      <c r="BA547" s="399"/>
      <c r="BB547" s="399"/>
      <c r="BC547" s="399"/>
      <c r="BD547" s="399"/>
      <c r="BE547" s="399"/>
      <c r="BF547" s="399"/>
      <c r="BG547" s="399"/>
      <c r="BH547" s="399"/>
      <c r="BI547" s="399"/>
      <c r="BJ547" s="399"/>
      <c r="BK547" s="399"/>
      <c r="BL547" s="399"/>
      <c r="BM547" s="399"/>
      <c r="BN547" s="399"/>
      <c r="BO547" s="399"/>
      <c r="BP547" s="399"/>
      <c r="BQ547" s="399"/>
      <c r="BR547" s="399"/>
      <c r="BS547" s="399"/>
      <c r="BT547" s="399"/>
      <c r="BU547" s="399"/>
      <c r="BV547" s="399"/>
      <c r="BW547" s="399"/>
      <c r="BX547" s="399"/>
      <c r="BY547" s="399"/>
      <c r="BZ547" s="399"/>
      <c r="CA547" s="399"/>
      <c r="CB547" s="399"/>
      <c r="CC547" s="399"/>
      <c r="CD547" s="399"/>
      <c r="CE547" s="399"/>
      <c r="CF547" s="399"/>
      <c r="CG547" s="399"/>
      <c r="CH547" s="399"/>
      <c r="CI547" s="399"/>
      <c r="CJ547" s="399"/>
      <c r="CK547" s="399"/>
      <c r="CL547" s="399"/>
      <c r="CM547" s="399"/>
      <c r="CN547" s="399"/>
      <c r="CO547" s="399"/>
      <c r="CP547" s="399"/>
      <c r="CQ547" s="399"/>
      <c r="CR547" s="399"/>
      <c r="CS547" s="399"/>
      <c r="CT547" s="399"/>
      <c r="CU547" s="399"/>
      <c r="CV547" s="399"/>
      <c r="CW547" s="399"/>
      <c r="CX547" s="399"/>
      <c r="CY547" s="399"/>
      <c r="CZ547" s="399"/>
      <c r="DA547" s="399"/>
      <c r="DB547" s="399"/>
      <c r="DC547" s="399"/>
      <c r="DD547" s="399"/>
      <c r="DE547" s="399"/>
      <c r="DF547" s="399"/>
      <c r="DG547" s="399"/>
      <c r="DH547" s="399"/>
      <c r="DI547" s="399"/>
      <c r="DJ547" s="399"/>
      <c r="DK547" s="399"/>
      <c r="DL547" s="399"/>
      <c r="DM547" s="399"/>
      <c r="DN547" s="399"/>
      <c r="DO547" s="399"/>
      <c r="DP547" s="399"/>
      <c r="DQ547" s="399"/>
    </row>
    <row r="548" spans="1:121" s="760" customFormat="1" ht="14.45" customHeight="1" x14ac:dyDescent="0.25">
      <c r="A548" s="266">
        <f t="shared" si="8"/>
        <v>41.06666666666667</v>
      </c>
      <c r="B548" s="389">
        <v>41624</v>
      </c>
      <c r="C548" s="390" t="s">
        <v>904</v>
      </c>
      <c r="D548" s="390" t="s">
        <v>459</v>
      </c>
      <c r="E548" s="390" t="s">
        <v>380</v>
      </c>
      <c r="F548" s="390" t="s">
        <v>310</v>
      </c>
      <c r="G548" s="390" t="s">
        <v>316</v>
      </c>
      <c r="H548" s="261"/>
      <c r="I548" s="261"/>
      <c r="J548" s="261"/>
      <c r="K548" s="261"/>
      <c r="L548" s="261"/>
      <c r="M548" s="261"/>
      <c r="N548" s="261"/>
      <c r="O548" s="261"/>
      <c r="P548" s="261"/>
      <c r="Q548" s="261"/>
      <c r="R548" s="261">
        <v>77</v>
      </c>
      <c r="S548" s="261">
        <v>153</v>
      </c>
      <c r="T548" s="261">
        <v>460</v>
      </c>
      <c r="U548" s="261">
        <v>230</v>
      </c>
      <c r="V548" s="762"/>
      <c r="W548" s="261"/>
      <c r="X548" s="261"/>
      <c r="Y548" s="264">
        <f>IF(NFI_Expiration=1,IF($A548&lt;VLOOKUP(H$5,NFI,5,0),1,0)*Table_NFI[[#This Row],[Hygiene Kit]],Table_NFI[Hygiene Kit])</f>
        <v>0</v>
      </c>
      <c r="Z548" s="264">
        <f>IF(NFI_Expiration=1,IF($A548&lt;VLOOKUP(I$5,NFI,5,0),1,0)*Table_NFI[[#This Row],[NFI Core Kit]],Table_NFI[NFI Core Kit])</f>
        <v>0</v>
      </c>
      <c r="AA548" s="264">
        <f>IF(NFI_Expiration=1,IF($A548&lt;VLOOKUP(J$5,NFI,5,0),1,0)*Table_NFI[[#This Row],[Sanitary Kit]],Table_NFI[Sanitary Kit])</f>
        <v>0</v>
      </c>
      <c r="AB548" s="264">
        <f>IF(NFI_Expiration=1,IF($A548&lt;VLOOKUP(K$5,NFI,5,0),1,0)*Table_NFI[[#This Row],[Mosquito net]],Table_NFI[Mosquito net])</f>
        <v>0</v>
      </c>
      <c r="AC548" s="264">
        <f>IF(NFI_Expiration=1,IF($A548&lt;VLOOKUP(L$5,NFI,5,0),1,0)*Table_NFI[[#This Row],[Tarpaulin]],Table_NFI[[#This Row],[Tarpaulin]])</f>
        <v>0</v>
      </c>
      <c r="AD548" s="264">
        <f>IF(NFI_Expiration=1,IF($A548&lt;VLOOKUP(M$5,NFI,5,0),1,0)*Table_NFI[[#This Row],[Blanket]],Table_NFI[[#This Row],[Blanket]])</f>
        <v>0</v>
      </c>
      <c r="AE548" s="264">
        <f>IF(NFI_Expiration=1,IF($A548&lt;VLOOKUP(N$5,NFI,5,0),1,0)*Table_NFI[[#This Row],[Kitchen Set]],Table_NFI[Kitchen Set])</f>
        <v>0</v>
      </c>
      <c r="AF548" s="264">
        <f>IF(NFI_Expiration=1,IF($A548&lt;VLOOKUP(O$5,NFI,5,0),1,0)*Table_NFI[[#This Row],[Clothes Kit]],Table_NFI[Clothes Kit])</f>
        <v>0</v>
      </c>
      <c r="AG548" s="264">
        <f>IF(NFI_Expiration=1,IF($A548&lt;VLOOKUP(P$5,NFI,5,0),1,0)*Table_NFI[[#This Row],[Plastic Bucket]],Table_NFI[Plastic Bucket])</f>
        <v>0</v>
      </c>
      <c r="AH548" s="264">
        <f>IF(NFI_Expiration=1,IF($A548&lt;VLOOKUP(Q$5,NFI,5,0),1,0)*Table_NFI[[#This Row],[Plastic Mat]],Table_NFI[Plastic Mat])*IF(Table_NFI[[#This Row],[Distribution Date]]&gt;"2014-04-01",1,2.5)</f>
        <v>0</v>
      </c>
      <c r="AI548" s="264">
        <f>IF(NFI_Expiration=1,IF($A548&lt;VLOOKUP(R$5,NFI,5,0),1,0)*Table_NFI[[#This Row],[Winter Clothes Adult]],Table_NFI[Winter Clothes Adult])</f>
        <v>0</v>
      </c>
      <c r="AJ548" s="264">
        <f>IF(NFI_Expiration=1,IF($A548&lt;VLOOKUP(S$5,NFI,5,0),1,0)*Table_NFI[[#This Row],[Winter Clothes Children]],Table_NFI[Winter Clothes Children])</f>
        <v>0</v>
      </c>
      <c r="AK548" s="264">
        <f>IF(NFI_Expiration=1,IF($A548&lt;VLOOKUP(T$5,NFI,5,0),1,0)*Table_NFI[[#This Row],[Winter Items Other]],Table_NFI[Winter Items Other])</f>
        <v>0</v>
      </c>
      <c r="AL548" s="264">
        <f>IF(NFI_Expiration=1,IF($A548&lt;VLOOKUP(M$5,NFI,5,0),1,0)*Table_NFI[[#This Row],[Winter Blanket]],Table_NFI[[#This Row],[Winter Blanket]])</f>
        <v>0</v>
      </c>
      <c r="AM548" s="264">
        <f>IF(Table_NFI[[#This Row],[Winter Clothes Adult]]+Table_NFI[[#This Row],[Winter Clothes Children]]+Table_NFI[[#This Row],[Winter Items Other]]+Table_NFI[[#This Row],[Winter Blanket]]&gt;0,1,0)</f>
        <v>1</v>
      </c>
      <c r="AN548" s="296">
        <f>IF(NFI_Expiration=1,IF($A548&lt;VLOOKUP(V$5,NFI,5,0),1,0)*Table_NFI[[#This Row],[Jerry Can]],Table_NFI[Jerry Can])</f>
        <v>0</v>
      </c>
      <c r="AO548" s="296">
        <f>IF(NFI_Expiration=1,IF($A548&lt;VLOOKUP(V$5,NFI,5,0),1,0)*Table_NFI[[#This Row],[Shelter Tool kit]],Table_NFI[Shelter Tool kit])</f>
        <v>0</v>
      </c>
      <c r="AP548" s="296">
        <f>IF(NFI_Expiration=1,IF($A548&lt;VLOOKUP(V$5,NFI,5,0),1,0)*Table_NFI[[#This Row],[Tent]],Table_NFI[Tent])</f>
        <v>0</v>
      </c>
      <c r="AQ548" s="396" t="str">
        <f>IFERROR(VLOOKUP(Table_NFI[[#This Row],[Camp Name]],CL,2,0),"")</f>
        <v>MMR001CMP038</v>
      </c>
      <c r="AR548" s="702">
        <f ca="1">IF(Table_NFI[[#This Row],[Pcode]]="","",IF(OFFSET(CampList[Opening Date],MATCH(Table_NFI[[#This Row],[Pcode]],CampList[CP_Pcode],0)-1,0,1,1)&gt;=NFI_Monitor_Date,1,0))</f>
        <v>0</v>
      </c>
      <c r="AS548" s="396" t="str">
        <f>IFERROR(VLOOKUP(Table_NFI[[#This Row],[Camp Name]],CL,3,0),"")</f>
        <v>Open</v>
      </c>
      <c r="AT548" s="264" t="str">
        <f ca="1">IF(Table_NFI[[#This Row],[Pcode]]="","",OFFSET(CampList[Priority],MATCH(Table_NFI[[#This Row],[Pcode]],CampList[CP_Pcode],0)-1,0,1,1))</f>
        <v>P4</v>
      </c>
      <c r="AU548" s="263">
        <f>IFERROR(Table_NFI[[#This Row],[Kitchen Set]]/VLOOKUP(Table_NFI[[#This Row],[Camp Name]],CL,4,0),"")</f>
        <v>0</v>
      </c>
      <c r="AV548" s="390"/>
      <c r="AW548" s="392"/>
      <c r="AX548" s="399"/>
      <c r="AY548" s="399"/>
      <c r="AZ548" s="399"/>
      <c r="BA548" s="399"/>
      <c r="BB548" s="399"/>
      <c r="BC548" s="399"/>
      <c r="BD548" s="399"/>
      <c r="BE548" s="399"/>
      <c r="BF548" s="399"/>
      <c r="BG548" s="399"/>
      <c r="BH548" s="399"/>
      <c r="BI548" s="399"/>
      <c r="BJ548" s="399"/>
      <c r="BK548" s="399"/>
      <c r="BL548" s="399"/>
      <c r="BM548" s="399"/>
      <c r="BN548" s="399"/>
      <c r="BO548" s="399"/>
      <c r="BP548" s="399"/>
      <c r="BQ548" s="399"/>
      <c r="BR548" s="399"/>
      <c r="BS548" s="399"/>
      <c r="BT548" s="399"/>
      <c r="BU548" s="399"/>
      <c r="BV548" s="399"/>
      <c r="BW548" s="399"/>
      <c r="BX548" s="399"/>
      <c r="BY548" s="399"/>
      <c r="BZ548" s="399"/>
      <c r="CA548" s="399"/>
      <c r="CB548" s="399"/>
      <c r="CC548" s="399"/>
      <c r="CD548" s="399"/>
      <c r="CE548" s="399"/>
      <c r="CF548" s="399"/>
      <c r="CG548" s="399"/>
      <c r="CH548" s="399"/>
      <c r="CI548" s="399"/>
      <c r="CJ548" s="399"/>
      <c r="CK548" s="399"/>
      <c r="CL548" s="399"/>
      <c r="CM548" s="399"/>
      <c r="CN548" s="399"/>
      <c r="CO548" s="399"/>
      <c r="CP548" s="399"/>
      <c r="CQ548" s="399"/>
      <c r="CR548" s="399"/>
      <c r="CS548" s="399"/>
      <c r="CT548" s="399"/>
      <c r="CU548" s="399"/>
      <c r="CV548" s="399"/>
      <c r="CW548" s="399"/>
      <c r="CX548" s="399"/>
      <c r="CY548" s="399"/>
      <c r="CZ548" s="399"/>
      <c r="DA548" s="399"/>
      <c r="DB548" s="399"/>
      <c r="DC548" s="399"/>
      <c r="DD548" s="399"/>
      <c r="DE548" s="399"/>
      <c r="DF548" s="399"/>
      <c r="DG548" s="399"/>
      <c r="DH548" s="399"/>
      <c r="DI548" s="399"/>
      <c r="DJ548" s="399"/>
      <c r="DK548" s="399"/>
      <c r="DL548" s="399"/>
      <c r="DM548" s="399"/>
      <c r="DN548" s="399"/>
      <c r="DO548" s="399"/>
      <c r="DP548" s="399"/>
      <c r="DQ548" s="399"/>
    </row>
    <row r="549" spans="1:121" s="760" customFormat="1" ht="14.45" customHeight="1" x14ac:dyDescent="0.25">
      <c r="A549" s="266">
        <f t="shared" si="8"/>
        <v>41.166666666666664</v>
      </c>
      <c r="B549" s="389">
        <v>41621</v>
      </c>
      <c r="C549" s="390" t="s">
        <v>904</v>
      </c>
      <c r="D549" s="390" t="s">
        <v>904</v>
      </c>
      <c r="E549" s="390" t="s">
        <v>380</v>
      </c>
      <c r="F549" s="390" t="s">
        <v>151</v>
      </c>
      <c r="G549" s="390" t="s">
        <v>152</v>
      </c>
      <c r="H549" s="261"/>
      <c r="I549" s="261"/>
      <c r="J549" s="261"/>
      <c r="K549" s="261"/>
      <c r="L549" s="261"/>
      <c r="M549" s="261"/>
      <c r="N549" s="261"/>
      <c r="O549" s="261"/>
      <c r="P549" s="261"/>
      <c r="Q549" s="261"/>
      <c r="R549" s="261">
        <v>13</v>
      </c>
      <c r="S549" s="261">
        <v>53</v>
      </c>
      <c r="T549" s="261">
        <v>132</v>
      </c>
      <c r="U549" s="261">
        <v>66</v>
      </c>
      <c r="V549" s="762"/>
      <c r="W549" s="261"/>
      <c r="X549" s="261"/>
      <c r="Y549" s="264">
        <f>IF(NFI_Expiration=1,IF($A549&lt;VLOOKUP(H$5,NFI,5,0),1,0)*Table_NFI[[#This Row],[Hygiene Kit]],Table_NFI[Hygiene Kit])</f>
        <v>0</v>
      </c>
      <c r="Z549" s="264">
        <f>IF(NFI_Expiration=1,IF($A549&lt;VLOOKUP(I$5,NFI,5,0),1,0)*Table_NFI[[#This Row],[NFI Core Kit]],Table_NFI[NFI Core Kit])</f>
        <v>0</v>
      </c>
      <c r="AA549" s="264">
        <f>IF(NFI_Expiration=1,IF($A549&lt;VLOOKUP(J$5,NFI,5,0),1,0)*Table_NFI[[#This Row],[Sanitary Kit]],Table_NFI[Sanitary Kit])</f>
        <v>0</v>
      </c>
      <c r="AB549" s="264">
        <f>IF(NFI_Expiration=1,IF($A549&lt;VLOOKUP(K$5,NFI,5,0),1,0)*Table_NFI[[#This Row],[Mosquito net]],Table_NFI[Mosquito net])</f>
        <v>0</v>
      </c>
      <c r="AC549" s="264">
        <f>IF(NFI_Expiration=1,IF($A549&lt;VLOOKUP(L$5,NFI,5,0),1,0)*Table_NFI[[#This Row],[Tarpaulin]],Table_NFI[[#This Row],[Tarpaulin]])</f>
        <v>0</v>
      </c>
      <c r="AD549" s="264">
        <f>IF(NFI_Expiration=1,IF($A549&lt;VLOOKUP(M$5,NFI,5,0),1,0)*Table_NFI[[#This Row],[Blanket]],Table_NFI[[#This Row],[Blanket]])</f>
        <v>0</v>
      </c>
      <c r="AE549" s="264">
        <f>IF(NFI_Expiration=1,IF($A549&lt;VLOOKUP(N$5,NFI,5,0),1,0)*Table_NFI[[#This Row],[Kitchen Set]],Table_NFI[Kitchen Set])</f>
        <v>0</v>
      </c>
      <c r="AF549" s="264">
        <f>IF(NFI_Expiration=1,IF($A549&lt;VLOOKUP(O$5,NFI,5,0),1,0)*Table_NFI[[#This Row],[Clothes Kit]],Table_NFI[Clothes Kit])</f>
        <v>0</v>
      </c>
      <c r="AG549" s="264">
        <f>IF(NFI_Expiration=1,IF($A549&lt;VLOOKUP(P$5,NFI,5,0),1,0)*Table_NFI[[#This Row],[Plastic Bucket]],Table_NFI[Plastic Bucket])</f>
        <v>0</v>
      </c>
      <c r="AH549" s="264">
        <f>IF(NFI_Expiration=1,IF($A549&lt;VLOOKUP(Q$5,NFI,5,0),1,0)*Table_NFI[[#This Row],[Plastic Mat]],Table_NFI[Plastic Mat])*IF(Table_NFI[[#This Row],[Distribution Date]]&gt;"2014-04-01",1,2.5)</f>
        <v>0</v>
      </c>
      <c r="AI549" s="264">
        <f>IF(NFI_Expiration=1,IF($A549&lt;VLOOKUP(R$5,NFI,5,0),1,0)*Table_NFI[[#This Row],[Winter Clothes Adult]],Table_NFI[Winter Clothes Adult])</f>
        <v>0</v>
      </c>
      <c r="AJ549" s="264">
        <f>IF(NFI_Expiration=1,IF($A549&lt;VLOOKUP(S$5,NFI,5,0),1,0)*Table_NFI[[#This Row],[Winter Clothes Children]],Table_NFI[Winter Clothes Children])</f>
        <v>0</v>
      </c>
      <c r="AK549" s="264">
        <f>IF(NFI_Expiration=1,IF($A549&lt;VLOOKUP(T$5,NFI,5,0),1,0)*Table_NFI[[#This Row],[Winter Items Other]],Table_NFI[Winter Items Other])</f>
        <v>0</v>
      </c>
      <c r="AL549" s="264">
        <f>IF(NFI_Expiration=1,IF($A549&lt;VLOOKUP(M$5,NFI,5,0),1,0)*Table_NFI[[#This Row],[Winter Blanket]],Table_NFI[[#This Row],[Winter Blanket]])</f>
        <v>0</v>
      </c>
      <c r="AM549" s="264">
        <f>IF(Table_NFI[[#This Row],[Winter Clothes Adult]]+Table_NFI[[#This Row],[Winter Clothes Children]]+Table_NFI[[#This Row],[Winter Items Other]]+Table_NFI[[#This Row],[Winter Blanket]]&gt;0,1,0)</f>
        <v>1</v>
      </c>
      <c r="AN549" s="296">
        <f>IF(NFI_Expiration=1,IF($A549&lt;VLOOKUP(V$5,NFI,5,0),1,0)*Table_NFI[[#This Row],[Jerry Can]],Table_NFI[Jerry Can])</f>
        <v>0</v>
      </c>
      <c r="AO549" s="296">
        <f>IF(NFI_Expiration=1,IF($A549&lt;VLOOKUP(V$5,NFI,5,0),1,0)*Table_NFI[[#This Row],[Shelter Tool kit]],Table_NFI[Shelter Tool kit])</f>
        <v>0</v>
      </c>
      <c r="AP549" s="296">
        <f>IF(NFI_Expiration=1,IF($A549&lt;VLOOKUP(V$5,NFI,5,0),1,0)*Table_NFI[[#This Row],[Tent]],Table_NFI[Tent])</f>
        <v>0</v>
      </c>
      <c r="AQ549" s="396" t="str">
        <f>IFERROR(VLOOKUP(Table_NFI[[#This Row],[Camp Name]],CL,2,0),"")</f>
        <v>MMR001CMP066</v>
      </c>
      <c r="AR549" s="702">
        <f ca="1">IF(Table_NFI[[#This Row],[Pcode]]="","",IF(OFFSET(CampList[Opening Date],MATCH(Table_NFI[[#This Row],[Pcode]],CampList[CP_Pcode],0)-1,0,1,1)&gt;=NFI_Monitor_Date,1,0))</f>
        <v>0</v>
      </c>
      <c r="AS549" s="396" t="str">
        <f>IFERROR(VLOOKUP(Table_NFI[[#This Row],[Camp Name]],CL,3,0),"")</f>
        <v>Open</v>
      </c>
      <c r="AT549" s="264" t="str">
        <f ca="1">IF(Table_NFI[[#This Row],[Pcode]]="","",OFFSET(CampList[Priority],MATCH(Table_NFI[[#This Row],[Pcode]],CampList[CP_Pcode],0)-1,0,1,1))</f>
        <v>P4</v>
      </c>
      <c r="AU549" s="263">
        <f>IFERROR(Table_NFI[[#This Row],[Kitchen Set]]/VLOOKUP(Table_NFI[[#This Row],[Camp Name]],CL,4,0),"")</f>
        <v>0</v>
      </c>
      <c r="AV549" s="390"/>
      <c r="AW549" s="392"/>
      <c r="AX549" s="399"/>
      <c r="AY549" s="399"/>
      <c r="AZ549" s="399"/>
      <c r="BA549" s="399"/>
      <c r="BB549" s="399"/>
      <c r="BC549" s="399"/>
      <c r="BD549" s="399"/>
      <c r="BE549" s="399"/>
      <c r="BF549" s="399"/>
      <c r="BG549" s="399"/>
      <c r="BH549" s="399"/>
      <c r="BI549" s="399"/>
      <c r="BJ549" s="399"/>
      <c r="BK549" s="399"/>
      <c r="BL549" s="399"/>
      <c r="BM549" s="399"/>
      <c r="BN549" s="399"/>
      <c r="BO549" s="399"/>
      <c r="BP549" s="399"/>
      <c r="BQ549" s="399"/>
      <c r="BR549" s="399"/>
      <c r="BS549" s="399"/>
      <c r="BT549" s="399"/>
      <c r="BU549" s="399"/>
      <c r="BV549" s="399"/>
      <c r="BW549" s="399"/>
      <c r="BX549" s="399"/>
      <c r="BY549" s="399"/>
      <c r="BZ549" s="399"/>
      <c r="CA549" s="399"/>
      <c r="CB549" s="399"/>
      <c r="CC549" s="399"/>
      <c r="CD549" s="399"/>
      <c r="CE549" s="399"/>
      <c r="CF549" s="399"/>
      <c r="CG549" s="399"/>
      <c r="CH549" s="399"/>
      <c r="CI549" s="399"/>
      <c r="CJ549" s="399"/>
      <c r="CK549" s="399"/>
      <c r="CL549" s="399"/>
      <c r="CM549" s="399"/>
      <c r="CN549" s="399"/>
      <c r="CO549" s="399"/>
      <c r="CP549" s="399"/>
      <c r="CQ549" s="399"/>
      <c r="CR549" s="399"/>
      <c r="CS549" s="399"/>
      <c r="CT549" s="399"/>
      <c r="CU549" s="399"/>
      <c r="CV549" s="399"/>
      <c r="CW549" s="399"/>
      <c r="CX549" s="399"/>
      <c r="CY549" s="399"/>
      <c r="CZ549" s="399"/>
      <c r="DA549" s="399"/>
      <c r="DB549" s="399"/>
      <c r="DC549" s="399"/>
      <c r="DD549" s="399"/>
      <c r="DE549" s="399"/>
      <c r="DF549" s="399"/>
      <c r="DG549" s="399"/>
      <c r="DH549" s="399"/>
      <c r="DI549" s="399"/>
      <c r="DJ549" s="399"/>
      <c r="DK549" s="399"/>
      <c r="DL549" s="399"/>
      <c r="DM549" s="399"/>
      <c r="DN549" s="399"/>
      <c r="DO549" s="399"/>
      <c r="DP549" s="399"/>
      <c r="DQ549" s="399"/>
    </row>
    <row r="550" spans="1:121" s="760" customFormat="1" ht="14.45" customHeight="1" x14ac:dyDescent="0.25">
      <c r="A550" s="266">
        <f t="shared" si="8"/>
        <v>41.233333333333334</v>
      </c>
      <c r="B550" s="389">
        <v>41619</v>
      </c>
      <c r="C550" s="390" t="s">
        <v>1025</v>
      </c>
      <c r="D550" s="390" t="s">
        <v>1026</v>
      </c>
      <c r="E550" s="390" t="s">
        <v>380</v>
      </c>
      <c r="F550" s="262" t="s">
        <v>151</v>
      </c>
      <c r="G550" s="262" t="s">
        <v>188</v>
      </c>
      <c r="H550" s="261"/>
      <c r="I550" s="261"/>
      <c r="J550" s="261"/>
      <c r="K550" s="261"/>
      <c r="L550" s="261"/>
      <c r="M550" s="261">
        <v>278</v>
      </c>
      <c r="N550" s="261"/>
      <c r="O550" s="261"/>
      <c r="P550" s="261"/>
      <c r="Q550" s="261"/>
      <c r="R550" s="261"/>
      <c r="S550" s="261"/>
      <c r="T550" s="261"/>
      <c r="U550" s="261"/>
      <c r="V550" s="762"/>
      <c r="W550" s="261"/>
      <c r="X550" s="261"/>
      <c r="Y550" s="264">
        <f>IF(NFI_Expiration=1,IF($A550&lt;VLOOKUP(H$5,NFI,5,0),1,0)*Table_NFI[[#This Row],[Hygiene Kit]],Table_NFI[Hygiene Kit])</f>
        <v>0</v>
      </c>
      <c r="Z550" s="264">
        <f>IF(NFI_Expiration=1,IF($A550&lt;VLOOKUP(I$5,NFI,5,0),1,0)*Table_NFI[[#This Row],[NFI Core Kit]],Table_NFI[NFI Core Kit])</f>
        <v>0</v>
      </c>
      <c r="AA550" s="264">
        <f>IF(NFI_Expiration=1,IF($A550&lt;VLOOKUP(J$5,NFI,5,0),1,0)*Table_NFI[[#This Row],[Sanitary Kit]],Table_NFI[Sanitary Kit])</f>
        <v>0</v>
      </c>
      <c r="AB550" s="264">
        <f>IF(NFI_Expiration=1,IF($A550&lt;VLOOKUP(K$5,NFI,5,0),1,0)*Table_NFI[[#This Row],[Mosquito net]],Table_NFI[Mosquito net])</f>
        <v>0</v>
      </c>
      <c r="AC550" s="264">
        <f>IF(NFI_Expiration=1,IF($A550&lt;VLOOKUP(L$5,NFI,5,0),1,0)*Table_NFI[[#This Row],[Tarpaulin]],Table_NFI[[#This Row],[Tarpaulin]])</f>
        <v>0</v>
      </c>
      <c r="AD550" s="264">
        <f>IF(NFI_Expiration=1,IF($A550&lt;VLOOKUP(M$5,NFI,5,0),1,0)*Table_NFI[[#This Row],[Blanket]],Table_NFI[[#This Row],[Blanket]])</f>
        <v>0</v>
      </c>
      <c r="AE550" s="264">
        <f>IF(NFI_Expiration=1,IF($A550&lt;VLOOKUP(N$5,NFI,5,0),1,0)*Table_NFI[[#This Row],[Kitchen Set]],Table_NFI[Kitchen Set])</f>
        <v>0</v>
      </c>
      <c r="AF550" s="264">
        <f>IF(NFI_Expiration=1,IF($A550&lt;VLOOKUP(O$5,NFI,5,0),1,0)*Table_NFI[[#This Row],[Clothes Kit]],Table_NFI[Clothes Kit])</f>
        <v>0</v>
      </c>
      <c r="AG550" s="264">
        <f>IF(NFI_Expiration=1,IF($A550&lt;VLOOKUP(P$5,NFI,5,0),1,0)*Table_NFI[[#This Row],[Plastic Bucket]],Table_NFI[Plastic Bucket])</f>
        <v>0</v>
      </c>
      <c r="AH550" s="264">
        <f>IF(NFI_Expiration=1,IF($A550&lt;VLOOKUP(Q$5,NFI,5,0),1,0)*Table_NFI[[#This Row],[Plastic Mat]],Table_NFI[Plastic Mat])*IF(Table_NFI[[#This Row],[Distribution Date]]&gt;"2014-04-01",1,2.5)</f>
        <v>0</v>
      </c>
      <c r="AI550" s="264">
        <f>IF(NFI_Expiration=1,IF($A550&lt;VLOOKUP(R$5,NFI,5,0),1,0)*Table_NFI[[#This Row],[Winter Clothes Adult]],Table_NFI[Winter Clothes Adult])</f>
        <v>0</v>
      </c>
      <c r="AJ550" s="264">
        <f>IF(NFI_Expiration=1,IF($A550&lt;VLOOKUP(S$5,NFI,5,0),1,0)*Table_NFI[[#This Row],[Winter Clothes Children]],Table_NFI[Winter Clothes Children])</f>
        <v>0</v>
      </c>
      <c r="AK550" s="264">
        <f>IF(NFI_Expiration=1,IF($A550&lt;VLOOKUP(T$5,NFI,5,0),1,0)*Table_NFI[[#This Row],[Winter Items Other]],Table_NFI[Winter Items Other])</f>
        <v>0</v>
      </c>
      <c r="AL550" s="264">
        <f>IF(NFI_Expiration=1,IF($A550&lt;VLOOKUP(M$5,NFI,5,0),1,0)*Table_NFI[[#This Row],[Winter Blanket]],Table_NFI[[#This Row],[Winter Blanket]])</f>
        <v>0</v>
      </c>
      <c r="AM550" s="264">
        <f>IF(Table_NFI[[#This Row],[Winter Clothes Adult]]+Table_NFI[[#This Row],[Winter Clothes Children]]+Table_NFI[[#This Row],[Winter Items Other]]+Table_NFI[[#This Row],[Winter Blanket]]&gt;0,1,0)</f>
        <v>0</v>
      </c>
      <c r="AN550" s="296">
        <f>IF(NFI_Expiration=1,IF($A550&lt;VLOOKUP(V$5,NFI,5,0),1,0)*Table_NFI[[#This Row],[Jerry Can]],Table_NFI[Jerry Can])</f>
        <v>0</v>
      </c>
      <c r="AO550" s="296">
        <f>IF(NFI_Expiration=1,IF($A550&lt;VLOOKUP(V$5,NFI,5,0),1,0)*Table_NFI[[#This Row],[Shelter Tool kit]],Table_NFI[Shelter Tool kit])</f>
        <v>0</v>
      </c>
      <c r="AP550" s="296">
        <f>IF(NFI_Expiration=1,IF($A550&lt;VLOOKUP(V$5,NFI,5,0),1,0)*Table_NFI[[#This Row],[Tent]],Table_NFI[Tent])</f>
        <v>0</v>
      </c>
      <c r="AQ550" s="396" t="str">
        <f>IFERROR(VLOOKUP(Table_NFI[[#This Row],[Camp Name]],CL,2,0),"")</f>
        <v>MMR001CMP129</v>
      </c>
      <c r="AR550" s="702">
        <f ca="1">IF(Table_NFI[[#This Row],[Pcode]]="","",IF(OFFSET(CampList[Opening Date],MATCH(Table_NFI[[#This Row],[Pcode]],CampList[CP_Pcode],0)-1,0,1,1)&gt;=NFI_Monitor_Date,1,0))</f>
        <v>0</v>
      </c>
      <c r="AS550" s="396" t="str">
        <f>IFERROR(VLOOKUP(Table_NFI[[#This Row],[Camp Name]],CL,3,0),"")</f>
        <v>Open</v>
      </c>
      <c r="AT550" s="264" t="str">
        <f ca="1">IF(Table_NFI[[#This Row],[Pcode]]="","",OFFSET(CampList[Priority],MATCH(Table_NFI[[#This Row],[Pcode]],CampList[CP_Pcode],0)-1,0,1,1))</f>
        <v>P2</v>
      </c>
      <c r="AU550" s="263">
        <f>IFERROR(Table_NFI[[#This Row],[Kitchen Set]]/VLOOKUP(Table_NFI[[#This Row],[Camp Name]],CL,4,0),"")</f>
        <v>0</v>
      </c>
      <c r="AV550" s="390" t="s">
        <v>1087</v>
      </c>
      <c r="AW550" s="392"/>
      <c r="AX550" s="399"/>
      <c r="AY550" s="399"/>
      <c r="AZ550" s="399"/>
      <c r="BA550" s="399"/>
      <c r="BB550" s="399"/>
      <c r="BC550" s="399"/>
      <c r="BD550" s="399"/>
      <c r="BE550" s="399"/>
      <c r="BF550" s="399"/>
      <c r="BG550" s="399"/>
      <c r="BH550" s="399"/>
      <c r="BI550" s="399"/>
      <c r="BJ550" s="399"/>
      <c r="BK550" s="399"/>
      <c r="BL550" s="399"/>
      <c r="BM550" s="399"/>
      <c r="BN550" s="399"/>
      <c r="BO550" s="399"/>
      <c r="BP550" s="399"/>
      <c r="BQ550" s="399"/>
      <c r="BR550" s="399"/>
      <c r="BS550" s="399"/>
      <c r="BT550" s="399"/>
      <c r="BU550" s="399"/>
      <c r="BV550" s="399"/>
      <c r="BW550" s="399"/>
      <c r="BX550" s="399"/>
      <c r="BY550" s="399"/>
      <c r="BZ550" s="399"/>
      <c r="CA550" s="399"/>
      <c r="CB550" s="399"/>
      <c r="CC550" s="399"/>
      <c r="CD550" s="399"/>
      <c r="CE550" s="399"/>
      <c r="CF550" s="399"/>
      <c r="CG550" s="399"/>
      <c r="CH550" s="399"/>
      <c r="CI550" s="399"/>
      <c r="CJ550" s="399"/>
      <c r="CK550" s="399"/>
      <c r="CL550" s="399"/>
      <c r="CM550" s="399"/>
      <c r="CN550" s="399"/>
      <c r="CO550" s="399"/>
      <c r="CP550" s="399"/>
      <c r="CQ550" s="399"/>
      <c r="CR550" s="399"/>
      <c r="CS550" s="399"/>
      <c r="CT550" s="399"/>
      <c r="CU550" s="399"/>
      <c r="CV550" s="399"/>
      <c r="CW550" s="399"/>
      <c r="CX550" s="399"/>
      <c r="CY550" s="399"/>
      <c r="CZ550" s="399"/>
      <c r="DA550" s="399"/>
      <c r="DB550" s="399"/>
      <c r="DC550" s="399"/>
      <c r="DD550" s="399"/>
      <c r="DE550" s="399"/>
      <c r="DF550" s="399"/>
      <c r="DG550" s="399"/>
      <c r="DH550" s="399"/>
      <c r="DI550" s="399"/>
      <c r="DJ550" s="399"/>
      <c r="DK550" s="399"/>
      <c r="DL550" s="399"/>
      <c r="DM550" s="399"/>
      <c r="DN550" s="399"/>
      <c r="DO550" s="399"/>
      <c r="DP550" s="399"/>
      <c r="DQ550" s="399"/>
    </row>
    <row r="551" spans="1:121" s="760" customFormat="1" ht="14.45" customHeight="1" x14ac:dyDescent="0.25">
      <c r="A551" s="266">
        <f t="shared" si="8"/>
        <v>41.233333333333334</v>
      </c>
      <c r="B551" s="389">
        <v>41619</v>
      </c>
      <c r="C551" s="390" t="s">
        <v>1025</v>
      </c>
      <c r="D551" s="390" t="s">
        <v>1026</v>
      </c>
      <c r="E551" s="390" t="s">
        <v>380</v>
      </c>
      <c r="F551" s="262" t="s">
        <v>151</v>
      </c>
      <c r="G551" s="390" t="s">
        <v>188</v>
      </c>
      <c r="H551" s="261"/>
      <c r="I551" s="261"/>
      <c r="J551" s="261"/>
      <c r="K551" s="261"/>
      <c r="L551" s="261"/>
      <c r="M551" s="261">
        <v>174</v>
      </c>
      <c r="N551" s="261"/>
      <c r="O551" s="261"/>
      <c r="P551" s="261"/>
      <c r="Q551" s="261"/>
      <c r="R551" s="261"/>
      <c r="S551" s="261"/>
      <c r="T551" s="261"/>
      <c r="U551" s="261"/>
      <c r="V551" s="762"/>
      <c r="W551" s="261"/>
      <c r="X551" s="261"/>
      <c r="Y551" s="264">
        <f>IF(NFI_Expiration=1,IF($A551&lt;VLOOKUP(H$5,NFI,5,0),1,0)*Table_NFI[[#This Row],[Hygiene Kit]],Table_NFI[Hygiene Kit])</f>
        <v>0</v>
      </c>
      <c r="Z551" s="264">
        <f>IF(NFI_Expiration=1,IF($A551&lt;VLOOKUP(I$5,NFI,5,0),1,0)*Table_NFI[[#This Row],[NFI Core Kit]],Table_NFI[NFI Core Kit])</f>
        <v>0</v>
      </c>
      <c r="AA551" s="264">
        <f>IF(NFI_Expiration=1,IF($A551&lt;VLOOKUP(J$5,NFI,5,0),1,0)*Table_NFI[[#This Row],[Sanitary Kit]],Table_NFI[Sanitary Kit])</f>
        <v>0</v>
      </c>
      <c r="AB551" s="264">
        <f>IF(NFI_Expiration=1,IF($A551&lt;VLOOKUP(K$5,NFI,5,0),1,0)*Table_NFI[[#This Row],[Mosquito net]],Table_NFI[Mosquito net])</f>
        <v>0</v>
      </c>
      <c r="AC551" s="264">
        <f>IF(NFI_Expiration=1,IF($A551&lt;VLOOKUP(L$5,NFI,5,0),1,0)*Table_NFI[[#This Row],[Tarpaulin]],Table_NFI[[#This Row],[Tarpaulin]])</f>
        <v>0</v>
      </c>
      <c r="AD551" s="264">
        <f>IF(NFI_Expiration=1,IF($A551&lt;VLOOKUP(M$5,NFI,5,0),1,0)*Table_NFI[[#This Row],[Blanket]],Table_NFI[[#This Row],[Blanket]])</f>
        <v>0</v>
      </c>
      <c r="AE551" s="264">
        <f>IF(NFI_Expiration=1,IF($A551&lt;VLOOKUP(N$5,NFI,5,0),1,0)*Table_NFI[[#This Row],[Kitchen Set]],Table_NFI[Kitchen Set])</f>
        <v>0</v>
      </c>
      <c r="AF551" s="264">
        <f>IF(NFI_Expiration=1,IF($A551&lt;VLOOKUP(O$5,NFI,5,0),1,0)*Table_NFI[[#This Row],[Clothes Kit]],Table_NFI[Clothes Kit])</f>
        <v>0</v>
      </c>
      <c r="AG551" s="264">
        <f>IF(NFI_Expiration=1,IF($A551&lt;VLOOKUP(P$5,NFI,5,0),1,0)*Table_NFI[[#This Row],[Plastic Bucket]],Table_NFI[Plastic Bucket])</f>
        <v>0</v>
      </c>
      <c r="AH551" s="264">
        <f>IF(NFI_Expiration=1,IF($A551&lt;VLOOKUP(Q$5,NFI,5,0),1,0)*Table_NFI[[#This Row],[Plastic Mat]],Table_NFI[Plastic Mat])*IF(Table_NFI[[#This Row],[Distribution Date]]&gt;"2014-04-01",1,2.5)</f>
        <v>0</v>
      </c>
      <c r="AI551" s="264">
        <f>IF(NFI_Expiration=1,IF($A551&lt;VLOOKUP(R$5,NFI,5,0),1,0)*Table_NFI[[#This Row],[Winter Clothes Adult]],Table_NFI[Winter Clothes Adult])</f>
        <v>0</v>
      </c>
      <c r="AJ551" s="264">
        <f>IF(NFI_Expiration=1,IF($A551&lt;VLOOKUP(S$5,NFI,5,0),1,0)*Table_NFI[[#This Row],[Winter Clothes Children]],Table_NFI[Winter Clothes Children])</f>
        <v>0</v>
      </c>
      <c r="AK551" s="264">
        <f>IF(NFI_Expiration=1,IF($A551&lt;VLOOKUP(T$5,NFI,5,0),1,0)*Table_NFI[[#This Row],[Winter Items Other]],Table_NFI[Winter Items Other])</f>
        <v>0</v>
      </c>
      <c r="AL551" s="264">
        <f>IF(NFI_Expiration=1,IF($A551&lt;VLOOKUP(M$5,NFI,5,0),1,0)*Table_NFI[[#This Row],[Winter Blanket]],Table_NFI[[#This Row],[Winter Blanket]])</f>
        <v>0</v>
      </c>
      <c r="AM551" s="264">
        <f>IF(Table_NFI[[#This Row],[Winter Clothes Adult]]+Table_NFI[[#This Row],[Winter Clothes Children]]+Table_NFI[[#This Row],[Winter Items Other]]+Table_NFI[[#This Row],[Winter Blanket]]&gt;0,1,0)</f>
        <v>0</v>
      </c>
      <c r="AN551" s="296">
        <f>IF(NFI_Expiration=1,IF($A551&lt;VLOOKUP(V$5,NFI,5,0),1,0)*Table_NFI[[#This Row],[Jerry Can]],Table_NFI[Jerry Can])</f>
        <v>0</v>
      </c>
      <c r="AO551" s="296">
        <f>IF(NFI_Expiration=1,IF($A551&lt;VLOOKUP(V$5,NFI,5,0),1,0)*Table_NFI[[#This Row],[Shelter Tool kit]],Table_NFI[Shelter Tool kit])</f>
        <v>0</v>
      </c>
      <c r="AP551" s="296">
        <f>IF(NFI_Expiration=1,IF($A551&lt;VLOOKUP(V$5,NFI,5,0),1,0)*Table_NFI[[#This Row],[Tent]],Table_NFI[Tent])</f>
        <v>0</v>
      </c>
      <c r="AQ551" s="396" t="str">
        <f>IFERROR(VLOOKUP(Table_NFI[[#This Row],[Camp Name]],CL,2,0),"")</f>
        <v>MMR001CMP129</v>
      </c>
      <c r="AR551" s="702">
        <f ca="1">IF(Table_NFI[[#This Row],[Pcode]]="","",IF(OFFSET(CampList[Opening Date],MATCH(Table_NFI[[#This Row],[Pcode]],CampList[CP_Pcode],0)-1,0,1,1)&gt;=NFI_Monitor_Date,1,0))</f>
        <v>0</v>
      </c>
      <c r="AS551" s="396" t="str">
        <f>IFERROR(VLOOKUP(Table_NFI[[#This Row],[Camp Name]],CL,3,0),"")</f>
        <v>Open</v>
      </c>
      <c r="AT551" s="264" t="str">
        <f ca="1">IF(Table_NFI[[#This Row],[Pcode]]="","",OFFSET(CampList[Priority],MATCH(Table_NFI[[#This Row],[Pcode]],CampList[CP_Pcode],0)-1,0,1,1))</f>
        <v>P2</v>
      </c>
      <c r="AU551" s="263">
        <f>IFERROR(Table_NFI[[#This Row],[Kitchen Set]]/VLOOKUP(Table_NFI[[#This Row],[Camp Name]],CL,4,0),"")</f>
        <v>0</v>
      </c>
      <c r="AV551" s="390" t="s">
        <v>1087</v>
      </c>
      <c r="AW551" s="392"/>
      <c r="AX551" s="399"/>
      <c r="AY551" s="399"/>
      <c r="AZ551" s="399"/>
      <c r="BA551" s="399"/>
      <c r="BB551" s="399"/>
      <c r="BC551" s="399"/>
      <c r="BD551" s="399"/>
      <c r="BE551" s="399"/>
      <c r="BF551" s="399"/>
      <c r="BG551" s="399"/>
      <c r="BH551" s="399"/>
      <c r="BI551" s="399"/>
      <c r="BJ551" s="399"/>
      <c r="BK551" s="399"/>
      <c r="BL551" s="399"/>
      <c r="BM551" s="399"/>
      <c r="BN551" s="399"/>
      <c r="BO551" s="399"/>
      <c r="BP551" s="399"/>
      <c r="BQ551" s="399"/>
      <c r="BR551" s="399"/>
      <c r="BS551" s="399"/>
      <c r="BT551" s="399"/>
      <c r="BU551" s="399"/>
      <c r="BV551" s="399"/>
      <c r="BW551" s="399"/>
      <c r="BX551" s="399"/>
      <c r="BY551" s="399"/>
      <c r="BZ551" s="399"/>
      <c r="CA551" s="399"/>
      <c r="CB551" s="399"/>
      <c r="CC551" s="399"/>
      <c r="CD551" s="399"/>
      <c r="CE551" s="399"/>
      <c r="CF551" s="399"/>
      <c r="CG551" s="399"/>
      <c r="CH551" s="399"/>
      <c r="CI551" s="399"/>
      <c r="CJ551" s="399"/>
      <c r="CK551" s="399"/>
      <c r="CL551" s="399"/>
      <c r="CM551" s="399"/>
      <c r="CN551" s="399"/>
      <c r="CO551" s="399"/>
      <c r="CP551" s="399"/>
      <c r="CQ551" s="399"/>
      <c r="CR551" s="399"/>
      <c r="CS551" s="399"/>
      <c r="CT551" s="399"/>
      <c r="CU551" s="399"/>
      <c r="CV551" s="399"/>
      <c r="CW551" s="399"/>
      <c r="CX551" s="399"/>
      <c r="CY551" s="399"/>
      <c r="CZ551" s="399"/>
      <c r="DA551" s="399"/>
      <c r="DB551" s="399"/>
      <c r="DC551" s="399"/>
      <c r="DD551" s="399"/>
      <c r="DE551" s="399"/>
      <c r="DF551" s="399"/>
      <c r="DG551" s="399"/>
      <c r="DH551" s="399"/>
      <c r="DI551" s="399"/>
      <c r="DJ551" s="399"/>
      <c r="DK551" s="399"/>
      <c r="DL551" s="399"/>
      <c r="DM551" s="399"/>
      <c r="DN551" s="399"/>
      <c r="DO551" s="399"/>
      <c r="DP551" s="399"/>
      <c r="DQ551" s="399"/>
    </row>
    <row r="552" spans="1:121" s="760" customFormat="1" ht="14.45" customHeight="1" x14ac:dyDescent="0.25">
      <c r="A552" s="266">
        <f t="shared" si="8"/>
        <v>41.233333333333334</v>
      </c>
      <c r="B552" s="389">
        <v>41619</v>
      </c>
      <c r="C552" s="390" t="s">
        <v>1025</v>
      </c>
      <c r="D552" s="390" t="s">
        <v>1026</v>
      </c>
      <c r="E552" s="390" t="s">
        <v>380</v>
      </c>
      <c r="F552" s="390" t="s">
        <v>151</v>
      </c>
      <c r="G552" s="390" t="s">
        <v>158</v>
      </c>
      <c r="H552" s="261"/>
      <c r="I552" s="261"/>
      <c r="J552" s="261"/>
      <c r="K552" s="261"/>
      <c r="L552" s="261"/>
      <c r="M552" s="261">
        <v>38</v>
      </c>
      <c r="N552" s="261"/>
      <c r="O552" s="261"/>
      <c r="P552" s="261"/>
      <c r="Q552" s="261"/>
      <c r="R552" s="261"/>
      <c r="S552" s="261"/>
      <c r="T552" s="261"/>
      <c r="U552" s="261"/>
      <c r="V552" s="762"/>
      <c r="W552" s="261"/>
      <c r="X552" s="261"/>
      <c r="Y552" s="264">
        <f>IF(NFI_Expiration=1,IF($A552&lt;VLOOKUP(H$5,NFI,5,0),1,0)*Table_NFI[[#This Row],[Hygiene Kit]],Table_NFI[Hygiene Kit])</f>
        <v>0</v>
      </c>
      <c r="Z552" s="264">
        <f>IF(NFI_Expiration=1,IF($A552&lt;VLOOKUP(I$5,NFI,5,0),1,0)*Table_NFI[[#This Row],[NFI Core Kit]],Table_NFI[NFI Core Kit])</f>
        <v>0</v>
      </c>
      <c r="AA552" s="264">
        <f>IF(NFI_Expiration=1,IF($A552&lt;VLOOKUP(J$5,NFI,5,0),1,0)*Table_NFI[[#This Row],[Sanitary Kit]],Table_NFI[Sanitary Kit])</f>
        <v>0</v>
      </c>
      <c r="AB552" s="264">
        <f>IF(NFI_Expiration=1,IF($A552&lt;VLOOKUP(K$5,NFI,5,0),1,0)*Table_NFI[[#This Row],[Mosquito net]],Table_NFI[Mosquito net])</f>
        <v>0</v>
      </c>
      <c r="AC552" s="264">
        <f>IF(NFI_Expiration=1,IF($A552&lt;VLOOKUP(L$5,NFI,5,0),1,0)*Table_NFI[[#This Row],[Tarpaulin]],Table_NFI[[#This Row],[Tarpaulin]])</f>
        <v>0</v>
      </c>
      <c r="AD552" s="264">
        <f>IF(NFI_Expiration=1,IF($A552&lt;VLOOKUP(M$5,NFI,5,0),1,0)*Table_NFI[[#This Row],[Blanket]],Table_NFI[[#This Row],[Blanket]])</f>
        <v>0</v>
      </c>
      <c r="AE552" s="264">
        <f>IF(NFI_Expiration=1,IF($A552&lt;VLOOKUP(N$5,NFI,5,0),1,0)*Table_NFI[[#This Row],[Kitchen Set]],Table_NFI[Kitchen Set])</f>
        <v>0</v>
      </c>
      <c r="AF552" s="264">
        <f>IF(NFI_Expiration=1,IF($A552&lt;VLOOKUP(O$5,NFI,5,0),1,0)*Table_NFI[[#This Row],[Clothes Kit]],Table_NFI[Clothes Kit])</f>
        <v>0</v>
      </c>
      <c r="AG552" s="264">
        <f>IF(NFI_Expiration=1,IF($A552&lt;VLOOKUP(P$5,NFI,5,0),1,0)*Table_NFI[[#This Row],[Plastic Bucket]],Table_NFI[Plastic Bucket])</f>
        <v>0</v>
      </c>
      <c r="AH552" s="264">
        <f>IF(NFI_Expiration=1,IF($A552&lt;VLOOKUP(Q$5,NFI,5,0),1,0)*Table_NFI[[#This Row],[Plastic Mat]],Table_NFI[Plastic Mat])*IF(Table_NFI[[#This Row],[Distribution Date]]&gt;"2014-04-01",1,2.5)</f>
        <v>0</v>
      </c>
      <c r="AI552" s="264">
        <f>IF(NFI_Expiration=1,IF($A552&lt;VLOOKUP(R$5,NFI,5,0),1,0)*Table_NFI[[#This Row],[Winter Clothes Adult]],Table_NFI[Winter Clothes Adult])</f>
        <v>0</v>
      </c>
      <c r="AJ552" s="264">
        <f>IF(NFI_Expiration=1,IF($A552&lt;VLOOKUP(S$5,NFI,5,0),1,0)*Table_NFI[[#This Row],[Winter Clothes Children]],Table_NFI[Winter Clothes Children])</f>
        <v>0</v>
      </c>
      <c r="AK552" s="264">
        <f>IF(NFI_Expiration=1,IF($A552&lt;VLOOKUP(T$5,NFI,5,0),1,0)*Table_NFI[[#This Row],[Winter Items Other]],Table_NFI[Winter Items Other])</f>
        <v>0</v>
      </c>
      <c r="AL552" s="264">
        <f>IF(NFI_Expiration=1,IF($A552&lt;VLOOKUP(M$5,NFI,5,0),1,0)*Table_NFI[[#This Row],[Winter Blanket]],Table_NFI[[#This Row],[Winter Blanket]])</f>
        <v>0</v>
      </c>
      <c r="AM552" s="264">
        <f>IF(Table_NFI[[#This Row],[Winter Clothes Adult]]+Table_NFI[[#This Row],[Winter Clothes Children]]+Table_NFI[[#This Row],[Winter Items Other]]+Table_NFI[[#This Row],[Winter Blanket]]&gt;0,1,0)</f>
        <v>0</v>
      </c>
      <c r="AN552" s="296">
        <f>IF(NFI_Expiration=1,IF($A552&lt;VLOOKUP(V$5,NFI,5,0),1,0)*Table_NFI[[#This Row],[Jerry Can]],Table_NFI[Jerry Can])</f>
        <v>0</v>
      </c>
      <c r="AO552" s="296">
        <f>IF(NFI_Expiration=1,IF($A552&lt;VLOOKUP(V$5,NFI,5,0),1,0)*Table_NFI[[#This Row],[Shelter Tool kit]],Table_NFI[Shelter Tool kit])</f>
        <v>0</v>
      </c>
      <c r="AP552" s="296">
        <f>IF(NFI_Expiration=1,IF($A552&lt;VLOOKUP(V$5,NFI,5,0),1,0)*Table_NFI[[#This Row],[Tent]],Table_NFI[Tent])</f>
        <v>0</v>
      </c>
      <c r="AQ552" s="396" t="str">
        <f>IFERROR(VLOOKUP(Table_NFI[[#This Row],[Camp Name]],CL,2,0),"")</f>
        <v>MMR001CMP135</v>
      </c>
      <c r="AR552" s="702">
        <f ca="1">IF(Table_NFI[[#This Row],[Pcode]]="","",IF(OFFSET(CampList[Opening Date],MATCH(Table_NFI[[#This Row],[Pcode]],CampList[CP_Pcode],0)-1,0,1,1)&gt;=NFI_Monitor_Date,1,0))</f>
        <v>0</v>
      </c>
      <c r="AS552" s="396" t="str">
        <f>IFERROR(VLOOKUP(Table_NFI[[#This Row],[Camp Name]],CL,3,0),"")</f>
        <v>Closed</v>
      </c>
      <c r="AT552" s="264" t="str">
        <f ca="1">IF(Table_NFI[[#This Row],[Pcode]]="","",OFFSET(CampList[Priority],MATCH(Table_NFI[[#This Row],[Pcode]],CampList[CP_Pcode],0)-1,0,1,1))</f>
        <v>P2</v>
      </c>
      <c r="AU552" s="263">
        <f>IFERROR(Table_NFI[[#This Row],[Kitchen Set]]/VLOOKUP(Table_NFI[[#This Row],[Camp Name]],CL,4,0),"")</f>
        <v>0</v>
      </c>
      <c r="AV552" s="390" t="s">
        <v>1087</v>
      </c>
      <c r="AW552" s="392"/>
      <c r="AX552" s="399"/>
      <c r="AY552" s="399"/>
      <c r="AZ552" s="399"/>
      <c r="BA552" s="399"/>
      <c r="BB552" s="399"/>
      <c r="BC552" s="399"/>
      <c r="BD552" s="399"/>
      <c r="BE552" s="399"/>
      <c r="BF552" s="399"/>
      <c r="BG552" s="399"/>
      <c r="BH552" s="399"/>
      <c r="BI552" s="399"/>
      <c r="BJ552" s="399"/>
      <c r="BK552" s="399"/>
      <c r="BL552" s="399"/>
      <c r="BM552" s="399"/>
      <c r="BN552" s="399"/>
      <c r="BO552" s="399"/>
      <c r="BP552" s="399"/>
      <c r="BQ552" s="399"/>
      <c r="BR552" s="399"/>
      <c r="BS552" s="399"/>
      <c r="BT552" s="399"/>
      <c r="BU552" s="399"/>
      <c r="BV552" s="399"/>
      <c r="BW552" s="399"/>
      <c r="BX552" s="399"/>
      <c r="BY552" s="399"/>
      <c r="BZ552" s="399"/>
      <c r="CA552" s="399"/>
      <c r="CB552" s="399"/>
      <c r="CC552" s="399"/>
      <c r="CD552" s="399"/>
      <c r="CE552" s="399"/>
      <c r="CF552" s="399"/>
      <c r="CG552" s="399"/>
      <c r="CH552" s="399"/>
      <c r="CI552" s="399"/>
      <c r="CJ552" s="399"/>
      <c r="CK552" s="399"/>
      <c r="CL552" s="399"/>
      <c r="CM552" s="399"/>
      <c r="CN552" s="399"/>
      <c r="CO552" s="399"/>
      <c r="CP552" s="399"/>
      <c r="CQ552" s="399"/>
      <c r="CR552" s="399"/>
      <c r="CS552" s="399"/>
      <c r="CT552" s="399"/>
      <c r="CU552" s="399"/>
      <c r="CV552" s="399"/>
      <c r="CW552" s="399"/>
      <c r="CX552" s="399"/>
      <c r="CY552" s="399"/>
      <c r="CZ552" s="399"/>
      <c r="DA552" s="399"/>
      <c r="DB552" s="399"/>
      <c r="DC552" s="399"/>
      <c r="DD552" s="399"/>
      <c r="DE552" s="399"/>
      <c r="DF552" s="399"/>
      <c r="DG552" s="399"/>
      <c r="DH552" s="399"/>
      <c r="DI552" s="399"/>
      <c r="DJ552" s="399"/>
      <c r="DK552" s="399"/>
      <c r="DL552" s="399"/>
      <c r="DM552" s="399"/>
      <c r="DN552" s="399"/>
      <c r="DO552" s="399"/>
      <c r="DP552" s="399"/>
      <c r="DQ552" s="399"/>
    </row>
    <row r="553" spans="1:121" s="760" customFormat="1" ht="14.45" customHeight="1" x14ac:dyDescent="0.25">
      <c r="A553" s="266">
        <f t="shared" si="8"/>
        <v>41.233333333333334</v>
      </c>
      <c r="B553" s="389">
        <v>41619</v>
      </c>
      <c r="C553" s="390" t="s">
        <v>1025</v>
      </c>
      <c r="D553" s="390" t="s">
        <v>1026</v>
      </c>
      <c r="E553" s="390" t="s">
        <v>380</v>
      </c>
      <c r="F553" s="262" t="s">
        <v>151</v>
      </c>
      <c r="G553" s="390" t="s">
        <v>198</v>
      </c>
      <c r="H553" s="261"/>
      <c r="I553" s="261"/>
      <c r="J553" s="261"/>
      <c r="K553" s="261"/>
      <c r="L553" s="261"/>
      <c r="M553" s="261">
        <v>543</v>
      </c>
      <c r="N553" s="261"/>
      <c r="O553" s="261"/>
      <c r="P553" s="261"/>
      <c r="Q553" s="261"/>
      <c r="R553" s="261"/>
      <c r="S553" s="261"/>
      <c r="T553" s="261"/>
      <c r="U553" s="261"/>
      <c r="V553" s="762"/>
      <c r="W553" s="261"/>
      <c r="X553" s="261"/>
      <c r="Y553" s="264">
        <f>IF(NFI_Expiration=1,IF($A553&lt;VLOOKUP(H$5,NFI,5,0),1,0)*Table_NFI[[#This Row],[Hygiene Kit]],Table_NFI[Hygiene Kit])</f>
        <v>0</v>
      </c>
      <c r="Z553" s="264">
        <f>IF(NFI_Expiration=1,IF($A553&lt;VLOOKUP(I$5,NFI,5,0),1,0)*Table_NFI[[#This Row],[NFI Core Kit]],Table_NFI[NFI Core Kit])</f>
        <v>0</v>
      </c>
      <c r="AA553" s="264">
        <f>IF(NFI_Expiration=1,IF($A553&lt;VLOOKUP(J$5,NFI,5,0),1,0)*Table_NFI[[#This Row],[Sanitary Kit]],Table_NFI[Sanitary Kit])</f>
        <v>0</v>
      </c>
      <c r="AB553" s="264">
        <f>IF(NFI_Expiration=1,IF($A553&lt;VLOOKUP(K$5,NFI,5,0),1,0)*Table_NFI[[#This Row],[Mosquito net]],Table_NFI[Mosquito net])</f>
        <v>0</v>
      </c>
      <c r="AC553" s="264">
        <f>IF(NFI_Expiration=1,IF($A553&lt;VLOOKUP(L$5,NFI,5,0),1,0)*Table_NFI[[#This Row],[Tarpaulin]],Table_NFI[[#This Row],[Tarpaulin]])</f>
        <v>0</v>
      </c>
      <c r="AD553" s="264">
        <f>IF(NFI_Expiration=1,IF($A553&lt;VLOOKUP(M$5,NFI,5,0),1,0)*Table_NFI[[#This Row],[Blanket]],Table_NFI[[#This Row],[Blanket]])</f>
        <v>0</v>
      </c>
      <c r="AE553" s="264">
        <f>IF(NFI_Expiration=1,IF($A553&lt;VLOOKUP(N$5,NFI,5,0),1,0)*Table_NFI[[#This Row],[Kitchen Set]],Table_NFI[Kitchen Set])</f>
        <v>0</v>
      </c>
      <c r="AF553" s="264">
        <f>IF(NFI_Expiration=1,IF($A553&lt;VLOOKUP(O$5,NFI,5,0),1,0)*Table_NFI[[#This Row],[Clothes Kit]],Table_NFI[Clothes Kit])</f>
        <v>0</v>
      </c>
      <c r="AG553" s="264">
        <f>IF(NFI_Expiration=1,IF($A553&lt;VLOOKUP(P$5,NFI,5,0),1,0)*Table_NFI[[#This Row],[Plastic Bucket]],Table_NFI[Plastic Bucket])</f>
        <v>0</v>
      </c>
      <c r="AH553" s="264">
        <f>IF(NFI_Expiration=1,IF($A553&lt;VLOOKUP(Q$5,NFI,5,0),1,0)*Table_NFI[[#This Row],[Plastic Mat]],Table_NFI[Plastic Mat])*IF(Table_NFI[[#This Row],[Distribution Date]]&gt;"2014-04-01",1,2.5)</f>
        <v>0</v>
      </c>
      <c r="AI553" s="264">
        <f>IF(NFI_Expiration=1,IF($A553&lt;VLOOKUP(R$5,NFI,5,0),1,0)*Table_NFI[[#This Row],[Winter Clothes Adult]],Table_NFI[Winter Clothes Adult])</f>
        <v>0</v>
      </c>
      <c r="AJ553" s="264">
        <f>IF(NFI_Expiration=1,IF($A553&lt;VLOOKUP(S$5,NFI,5,0),1,0)*Table_NFI[[#This Row],[Winter Clothes Children]],Table_NFI[Winter Clothes Children])</f>
        <v>0</v>
      </c>
      <c r="AK553" s="264">
        <f>IF(NFI_Expiration=1,IF($A553&lt;VLOOKUP(T$5,NFI,5,0),1,0)*Table_NFI[[#This Row],[Winter Items Other]],Table_NFI[Winter Items Other])</f>
        <v>0</v>
      </c>
      <c r="AL553" s="264">
        <f>IF(NFI_Expiration=1,IF($A553&lt;VLOOKUP(M$5,NFI,5,0),1,0)*Table_NFI[[#This Row],[Winter Blanket]],Table_NFI[[#This Row],[Winter Blanket]])</f>
        <v>0</v>
      </c>
      <c r="AM553" s="264">
        <f>IF(Table_NFI[[#This Row],[Winter Clothes Adult]]+Table_NFI[[#This Row],[Winter Clothes Children]]+Table_NFI[[#This Row],[Winter Items Other]]+Table_NFI[[#This Row],[Winter Blanket]]&gt;0,1,0)</f>
        <v>0</v>
      </c>
      <c r="AN553" s="296">
        <f>IF(NFI_Expiration=1,IF($A553&lt;VLOOKUP(V$5,NFI,5,0),1,0)*Table_NFI[[#This Row],[Jerry Can]],Table_NFI[Jerry Can])</f>
        <v>0</v>
      </c>
      <c r="AO553" s="296">
        <f>IF(NFI_Expiration=1,IF($A553&lt;VLOOKUP(V$5,NFI,5,0),1,0)*Table_NFI[[#This Row],[Shelter Tool kit]],Table_NFI[Shelter Tool kit])</f>
        <v>0</v>
      </c>
      <c r="AP553" s="296">
        <f>IF(NFI_Expiration=1,IF($A553&lt;VLOOKUP(V$5,NFI,5,0),1,0)*Table_NFI[[#This Row],[Tent]],Table_NFI[Tent])</f>
        <v>0</v>
      </c>
      <c r="AQ553" s="396" t="str">
        <f>IFERROR(VLOOKUP(Table_NFI[[#This Row],[Camp Name]],CL,2,0),"")</f>
        <v>MMR001CMP128</v>
      </c>
      <c r="AR553" s="702">
        <f ca="1">IF(Table_NFI[[#This Row],[Pcode]]="","",IF(OFFSET(CampList[Opening Date],MATCH(Table_NFI[[#This Row],[Pcode]],CampList[CP_Pcode],0)-1,0,1,1)&gt;=NFI_Monitor_Date,1,0))</f>
        <v>0</v>
      </c>
      <c r="AS553" s="396" t="str">
        <f>IFERROR(VLOOKUP(Table_NFI[[#This Row],[Camp Name]],CL,3,0),"")</f>
        <v>Open</v>
      </c>
      <c r="AT553" s="264" t="str">
        <f ca="1">IF(Table_NFI[[#This Row],[Pcode]]="","",OFFSET(CampList[Priority],MATCH(Table_NFI[[#This Row],[Pcode]],CampList[CP_Pcode],0)-1,0,1,1))</f>
        <v>P2</v>
      </c>
      <c r="AU553" s="263">
        <f>IFERROR(Table_NFI[[#This Row],[Kitchen Set]]/VLOOKUP(Table_NFI[[#This Row],[Camp Name]],CL,4,0),"")</f>
        <v>0</v>
      </c>
      <c r="AV553" s="390" t="s">
        <v>1087</v>
      </c>
      <c r="AW553" s="392"/>
      <c r="AX553" s="399"/>
      <c r="AY553" s="399"/>
      <c r="AZ553" s="399"/>
      <c r="BA553" s="399"/>
      <c r="BB553" s="399"/>
      <c r="BC553" s="399"/>
      <c r="BD553" s="399"/>
      <c r="BE553" s="399"/>
      <c r="BF553" s="399"/>
      <c r="BG553" s="399"/>
      <c r="BH553" s="399"/>
      <c r="BI553" s="399"/>
      <c r="BJ553" s="399"/>
      <c r="BK553" s="399"/>
      <c r="BL553" s="399"/>
      <c r="BM553" s="399"/>
      <c r="BN553" s="399"/>
      <c r="BO553" s="399"/>
      <c r="BP553" s="399"/>
      <c r="BQ553" s="399"/>
      <c r="BR553" s="399"/>
      <c r="BS553" s="399"/>
      <c r="BT553" s="399"/>
      <c r="BU553" s="399"/>
      <c r="BV553" s="399"/>
      <c r="BW553" s="399"/>
      <c r="BX553" s="399"/>
      <c r="BY553" s="399"/>
      <c r="BZ553" s="399"/>
      <c r="CA553" s="399"/>
      <c r="CB553" s="399"/>
      <c r="CC553" s="399"/>
      <c r="CD553" s="399"/>
      <c r="CE553" s="399"/>
      <c r="CF553" s="399"/>
      <c r="CG553" s="399"/>
      <c r="CH553" s="399"/>
      <c r="CI553" s="399"/>
      <c r="CJ553" s="399"/>
      <c r="CK553" s="399"/>
      <c r="CL553" s="399"/>
      <c r="CM553" s="399"/>
      <c r="CN553" s="399"/>
      <c r="CO553" s="399"/>
      <c r="CP553" s="399"/>
      <c r="CQ553" s="399"/>
      <c r="CR553" s="399"/>
      <c r="CS553" s="399"/>
      <c r="CT553" s="399"/>
      <c r="CU553" s="399"/>
      <c r="CV553" s="399"/>
      <c r="CW553" s="399"/>
      <c r="CX553" s="399"/>
      <c r="CY553" s="399"/>
      <c r="CZ553" s="399"/>
      <c r="DA553" s="399"/>
      <c r="DB553" s="399"/>
      <c r="DC553" s="399"/>
      <c r="DD553" s="399"/>
      <c r="DE553" s="399"/>
      <c r="DF553" s="399"/>
      <c r="DG553" s="399"/>
      <c r="DH553" s="399"/>
      <c r="DI553" s="399"/>
      <c r="DJ553" s="399"/>
      <c r="DK553" s="399"/>
      <c r="DL553" s="399"/>
      <c r="DM553" s="399"/>
      <c r="DN553" s="399"/>
      <c r="DO553" s="399"/>
      <c r="DP553" s="399"/>
      <c r="DQ553" s="399"/>
    </row>
    <row r="554" spans="1:121" s="393" customFormat="1" ht="14.45" customHeight="1" x14ac:dyDescent="0.25">
      <c r="A554" s="266">
        <f t="shared" si="8"/>
        <v>41.233333333333334</v>
      </c>
      <c r="B554" s="389">
        <v>41619</v>
      </c>
      <c r="C554" s="390" t="s">
        <v>1025</v>
      </c>
      <c r="D554" s="390" t="s">
        <v>1026</v>
      </c>
      <c r="E554" s="390" t="s">
        <v>380</v>
      </c>
      <c r="F554" s="390" t="s">
        <v>185</v>
      </c>
      <c r="G554" s="390" t="s">
        <v>215</v>
      </c>
      <c r="H554" s="261"/>
      <c r="I554" s="261"/>
      <c r="J554" s="261"/>
      <c r="K554" s="261"/>
      <c r="L554" s="261"/>
      <c r="M554" s="261">
        <v>350</v>
      </c>
      <c r="N554" s="261"/>
      <c r="O554" s="261"/>
      <c r="P554" s="261"/>
      <c r="Q554" s="261"/>
      <c r="R554" s="261"/>
      <c r="S554" s="261"/>
      <c r="T554" s="261"/>
      <c r="U554" s="261"/>
      <c r="V554" s="762"/>
      <c r="W554" s="261"/>
      <c r="X554" s="261"/>
      <c r="Y554" s="264">
        <f>IF(NFI_Expiration=1,IF($A554&lt;VLOOKUP(H$5,NFI,5,0),1,0)*Table_NFI[[#This Row],[Hygiene Kit]],Table_NFI[Hygiene Kit])</f>
        <v>0</v>
      </c>
      <c r="Z554" s="264">
        <f>IF(NFI_Expiration=1,IF($A554&lt;VLOOKUP(I$5,NFI,5,0),1,0)*Table_NFI[[#This Row],[NFI Core Kit]],Table_NFI[NFI Core Kit])</f>
        <v>0</v>
      </c>
      <c r="AA554" s="264">
        <f>IF(NFI_Expiration=1,IF($A554&lt;VLOOKUP(J$5,NFI,5,0),1,0)*Table_NFI[[#This Row],[Sanitary Kit]],Table_NFI[Sanitary Kit])</f>
        <v>0</v>
      </c>
      <c r="AB554" s="264">
        <f>IF(NFI_Expiration=1,IF($A554&lt;VLOOKUP(K$5,NFI,5,0),1,0)*Table_NFI[[#This Row],[Mosquito net]],Table_NFI[Mosquito net])</f>
        <v>0</v>
      </c>
      <c r="AC554" s="264">
        <f>IF(NFI_Expiration=1,IF($A554&lt;VLOOKUP(L$5,NFI,5,0),1,0)*Table_NFI[[#This Row],[Tarpaulin]],Table_NFI[[#This Row],[Tarpaulin]])</f>
        <v>0</v>
      </c>
      <c r="AD554" s="264">
        <f>IF(NFI_Expiration=1,IF($A554&lt;VLOOKUP(M$5,NFI,5,0),1,0)*Table_NFI[[#This Row],[Blanket]],Table_NFI[[#This Row],[Blanket]])</f>
        <v>0</v>
      </c>
      <c r="AE554" s="264">
        <f>IF(NFI_Expiration=1,IF($A554&lt;VLOOKUP(N$5,NFI,5,0),1,0)*Table_NFI[[#This Row],[Kitchen Set]],Table_NFI[Kitchen Set])</f>
        <v>0</v>
      </c>
      <c r="AF554" s="264">
        <f>IF(NFI_Expiration=1,IF($A554&lt;VLOOKUP(O$5,NFI,5,0),1,0)*Table_NFI[[#This Row],[Clothes Kit]],Table_NFI[Clothes Kit])</f>
        <v>0</v>
      </c>
      <c r="AG554" s="264">
        <f>IF(NFI_Expiration=1,IF($A554&lt;VLOOKUP(P$5,NFI,5,0),1,0)*Table_NFI[[#This Row],[Plastic Bucket]],Table_NFI[Plastic Bucket])</f>
        <v>0</v>
      </c>
      <c r="AH554" s="264">
        <f>IF(NFI_Expiration=1,IF($A554&lt;VLOOKUP(Q$5,NFI,5,0),1,0)*Table_NFI[[#This Row],[Plastic Mat]],Table_NFI[Plastic Mat])*IF(Table_NFI[[#This Row],[Distribution Date]]&gt;"2014-04-01",1,2.5)</f>
        <v>0</v>
      </c>
      <c r="AI554" s="264">
        <f>IF(NFI_Expiration=1,IF($A554&lt;VLOOKUP(R$5,NFI,5,0),1,0)*Table_NFI[[#This Row],[Winter Clothes Adult]],Table_NFI[Winter Clothes Adult])</f>
        <v>0</v>
      </c>
      <c r="AJ554" s="264">
        <f>IF(NFI_Expiration=1,IF($A554&lt;VLOOKUP(S$5,NFI,5,0),1,0)*Table_NFI[[#This Row],[Winter Clothes Children]],Table_NFI[Winter Clothes Children])</f>
        <v>0</v>
      </c>
      <c r="AK554" s="264">
        <f>IF(NFI_Expiration=1,IF($A554&lt;VLOOKUP(T$5,NFI,5,0),1,0)*Table_NFI[[#This Row],[Winter Items Other]],Table_NFI[Winter Items Other])</f>
        <v>0</v>
      </c>
      <c r="AL554" s="264">
        <f>IF(NFI_Expiration=1,IF($A554&lt;VLOOKUP(M$5,NFI,5,0),1,0)*Table_NFI[[#This Row],[Winter Blanket]],Table_NFI[[#This Row],[Winter Blanket]])</f>
        <v>0</v>
      </c>
      <c r="AM554" s="264">
        <f>IF(Table_NFI[[#This Row],[Winter Clothes Adult]]+Table_NFI[[#This Row],[Winter Clothes Children]]+Table_NFI[[#This Row],[Winter Items Other]]+Table_NFI[[#This Row],[Winter Blanket]]&gt;0,1,0)</f>
        <v>0</v>
      </c>
      <c r="AN554" s="296">
        <f>IF(NFI_Expiration=1,IF($A554&lt;VLOOKUP(V$5,NFI,5,0),1,0)*Table_NFI[[#This Row],[Jerry Can]],Table_NFI[Jerry Can])</f>
        <v>0</v>
      </c>
      <c r="AO554" s="296">
        <f>IF(NFI_Expiration=1,IF($A554&lt;VLOOKUP(V$5,NFI,5,0),1,0)*Table_NFI[[#This Row],[Shelter Tool kit]],Table_NFI[Shelter Tool kit])</f>
        <v>0</v>
      </c>
      <c r="AP554" s="296">
        <f>IF(NFI_Expiration=1,IF($A554&lt;VLOOKUP(V$5,NFI,5,0),1,0)*Table_NFI[[#This Row],[Tent]],Table_NFI[Tent])</f>
        <v>0</v>
      </c>
      <c r="AQ554" s="396" t="str">
        <f>IFERROR(VLOOKUP(Table_NFI[[#This Row],[Camp Name]],CL,2,0),"")</f>
        <v>MMR001CMP131</v>
      </c>
      <c r="AR554" s="702">
        <f ca="1">IF(Table_NFI[[#This Row],[Pcode]]="","",IF(OFFSET(CampList[Opening Date],MATCH(Table_NFI[[#This Row],[Pcode]],CampList[CP_Pcode],0)-1,0,1,1)&gt;=NFI_Monitor_Date,1,0))</f>
        <v>0</v>
      </c>
      <c r="AS554" s="396" t="str">
        <f>IFERROR(VLOOKUP(Table_NFI[[#This Row],[Camp Name]],CL,3,0),"")</f>
        <v>Open</v>
      </c>
      <c r="AT554" s="264" t="str">
        <f ca="1">IF(Table_NFI[[#This Row],[Pcode]]="","",OFFSET(CampList[Priority],MATCH(Table_NFI[[#This Row],[Pcode]],CampList[CP_Pcode],0)-1,0,1,1))</f>
        <v>P1</v>
      </c>
      <c r="AU554" s="263">
        <f>IFERROR(Table_NFI[[#This Row],[Kitchen Set]]/VLOOKUP(Table_NFI[[#This Row],[Camp Name]],CL,4,0),"")</f>
        <v>0</v>
      </c>
      <c r="AV554" s="390" t="s">
        <v>1087</v>
      </c>
      <c r="AW554" s="392"/>
      <c r="AX554" s="399"/>
      <c r="AY554" s="399"/>
      <c r="AZ554" s="399"/>
      <c r="BA554" s="399"/>
      <c r="BB554" s="399"/>
      <c r="BC554" s="399"/>
      <c r="BD554" s="399"/>
      <c r="BE554" s="399"/>
      <c r="BF554" s="399"/>
      <c r="BG554" s="399"/>
      <c r="BH554" s="399"/>
      <c r="BI554" s="399"/>
      <c r="BJ554" s="399"/>
      <c r="BK554" s="399"/>
      <c r="BL554" s="399"/>
      <c r="BM554" s="399"/>
      <c r="BN554" s="399"/>
      <c r="BO554" s="399"/>
      <c r="BP554" s="399"/>
      <c r="BQ554" s="399"/>
      <c r="BR554" s="399"/>
      <c r="BS554" s="399"/>
      <c r="BT554" s="399"/>
      <c r="BU554" s="399"/>
      <c r="BV554" s="399"/>
      <c r="BW554" s="399"/>
      <c r="BX554" s="399"/>
      <c r="BY554" s="399"/>
      <c r="BZ554" s="399"/>
      <c r="CA554" s="399"/>
      <c r="CB554" s="399"/>
      <c r="CC554" s="399"/>
      <c r="CD554" s="399"/>
      <c r="CE554" s="399"/>
      <c r="CF554" s="399"/>
      <c r="CG554" s="399"/>
      <c r="CH554" s="399"/>
      <c r="CI554" s="399"/>
      <c r="CJ554" s="399"/>
      <c r="CK554" s="399"/>
      <c r="CL554" s="399"/>
      <c r="CM554" s="399"/>
      <c r="CN554" s="399"/>
      <c r="CO554" s="399"/>
      <c r="CP554" s="399"/>
      <c r="CQ554" s="399"/>
      <c r="CR554" s="399"/>
      <c r="CS554" s="399"/>
      <c r="CT554" s="399"/>
      <c r="CU554" s="399"/>
      <c r="CV554" s="399"/>
      <c r="CW554" s="399"/>
      <c r="CX554" s="399"/>
      <c r="CY554" s="399"/>
      <c r="CZ554" s="399"/>
      <c r="DA554" s="399"/>
      <c r="DB554" s="399"/>
      <c r="DC554" s="399"/>
      <c r="DD554" s="399"/>
      <c r="DE554" s="399"/>
      <c r="DF554" s="399"/>
      <c r="DG554" s="399"/>
      <c r="DH554" s="399"/>
      <c r="DI554" s="399"/>
      <c r="DJ554" s="399"/>
      <c r="DK554" s="399"/>
      <c r="DL554" s="399"/>
      <c r="DM554" s="399"/>
      <c r="DN554" s="399"/>
      <c r="DO554" s="399"/>
      <c r="DP554" s="399"/>
      <c r="DQ554" s="399"/>
    </row>
    <row r="555" spans="1:121" s="393" customFormat="1" ht="14.45" customHeight="1" x14ac:dyDescent="0.25">
      <c r="A555" s="266">
        <f t="shared" si="8"/>
        <v>41.233333333333334</v>
      </c>
      <c r="B555" s="389">
        <v>41619</v>
      </c>
      <c r="C555" s="390" t="s">
        <v>1025</v>
      </c>
      <c r="D555" s="390" t="s">
        <v>1026</v>
      </c>
      <c r="E555" s="390" t="s">
        <v>380</v>
      </c>
      <c r="F555" s="390" t="s">
        <v>185</v>
      </c>
      <c r="G555" s="390" t="s">
        <v>219</v>
      </c>
      <c r="H555" s="261"/>
      <c r="I555" s="261"/>
      <c r="J555" s="261"/>
      <c r="K555" s="261"/>
      <c r="L555" s="261"/>
      <c r="M555" s="261">
        <v>417</v>
      </c>
      <c r="N555" s="261"/>
      <c r="O555" s="261"/>
      <c r="P555" s="261"/>
      <c r="Q555" s="261"/>
      <c r="R555" s="261"/>
      <c r="S555" s="261"/>
      <c r="T555" s="261"/>
      <c r="U555" s="261"/>
      <c r="V555" s="762"/>
      <c r="W555" s="261"/>
      <c r="X555" s="261"/>
      <c r="Y555" s="264">
        <f>IF(NFI_Expiration=1,IF($A555&lt;VLOOKUP(H$5,NFI,5,0),1,0)*Table_NFI[[#This Row],[Hygiene Kit]],Table_NFI[Hygiene Kit])</f>
        <v>0</v>
      </c>
      <c r="Z555" s="264">
        <f>IF(NFI_Expiration=1,IF($A555&lt;VLOOKUP(I$5,NFI,5,0),1,0)*Table_NFI[[#This Row],[NFI Core Kit]],Table_NFI[NFI Core Kit])</f>
        <v>0</v>
      </c>
      <c r="AA555" s="264">
        <f>IF(NFI_Expiration=1,IF($A555&lt;VLOOKUP(J$5,NFI,5,0),1,0)*Table_NFI[[#This Row],[Sanitary Kit]],Table_NFI[Sanitary Kit])</f>
        <v>0</v>
      </c>
      <c r="AB555" s="264">
        <f>IF(NFI_Expiration=1,IF($A555&lt;VLOOKUP(K$5,NFI,5,0),1,0)*Table_NFI[[#This Row],[Mosquito net]],Table_NFI[Mosquito net])</f>
        <v>0</v>
      </c>
      <c r="AC555" s="264">
        <f>IF(NFI_Expiration=1,IF($A555&lt;VLOOKUP(L$5,NFI,5,0),1,0)*Table_NFI[[#This Row],[Tarpaulin]],Table_NFI[[#This Row],[Tarpaulin]])</f>
        <v>0</v>
      </c>
      <c r="AD555" s="264">
        <f>IF(NFI_Expiration=1,IF($A555&lt;VLOOKUP(M$5,NFI,5,0),1,0)*Table_NFI[[#This Row],[Blanket]],Table_NFI[[#This Row],[Blanket]])</f>
        <v>0</v>
      </c>
      <c r="AE555" s="264">
        <f>IF(NFI_Expiration=1,IF($A555&lt;VLOOKUP(N$5,NFI,5,0),1,0)*Table_NFI[[#This Row],[Kitchen Set]],Table_NFI[Kitchen Set])</f>
        <v>0</v>
      </c>
      <c r="AF555" s="264">
        <f>IF(NFI_Expiration=1,IF($A555&lt;VLOOKUP(O$5,NFI,5,0),1,0)*Table_NFI[[#This Row],[Clothes Kit]],Table_NFI[Clothes Kit])</f>
        <v>0</v>
      </c>
      <c r="AG555" s="264">
        <f>IF(NFI_Expiration=1,IF($A555&lt;VLOOKUP(P$5,NFI,5,0),1,0)*Table_NFI[[#This Row],[Plastic Bucket]],Table_NFI[Plastic Bucket])</f>
        <v>0</v>
      </c>
      <c r="AH555" s="264">
        <f>IF(NFI_Expiration=1,IF($A555&lt;VLOOKUP(Q$5,NFI,5,0),1,0)*Table_NFI[[#This Row],[Plastic Mat]],Table_NFI[Plastic Mat])*IF(Table_NFI[[#This Row],[Distribution Date]]&gt;"2014-04-01",1,2.5)</f>
        <v>0</v>
      </c>
      <c r="AI555" s="264">
        <f>IF(NFI_Expiration=1,IF($A555&lt;VLOOKUP(R$5,NFI,5,0),1,0)*Table_NFI[[#This Row],[Winter Clothes Adult]],Table_NFI[Winter Clothes Adult])</f>
        <v>0</v>
      </c>
      <c r="AJ555" s="264">
        <f>IF(NFI_Expiration=1,IF($A555&lt;VLOOKUP(S$5,NFI,5,0),1,0)*Table_NFI[[#This Row],[Winter Clothes Children]],Table_NFI[Winter Clothes Children])</f>
        <v>0</v>
      </c>
      <c r="AK555" s="264">
        <f>IF(NFI_Expiration=1,IF($A555&lt;VLOOKUP(T$5,NFI,5,0),1,0)*Table_NFI[[#This Row],[Winter Items Other]],Table_NFI[Winter Items Other])</f>
        <v>0</v>
      </c>
      <c r="AL555" s="264">
        <f>IF(NFI_Expiration=1,IF($A555&lt;VLOOKUP(M$5,NFI,5,0),1,0)*Table_NFI[[#This Row],[Winter Blanket]],Table_NFI[[#This Row],[Winter Blanket]])</f>
        <v>0</v>
      </c>
      <c r="AM555" s="264">
        <f>IF(Table_NFI[[#This Row],[Winter Clothes Adult]]+Table_NFI[[#This Row],[Winter Clothes Children]]+Table_NFI[[#This Row],[Winter Items Other]]+Table_NFI[[#This Row],[Winter Blanket]]&gt;0,1,0)</f>
        <v>0</v>
      </c>
      <c r="AN555" s="296">
        <f>IF(NFI_Expiration=1,IF($A555&lt;VLOOKUP(V$5,NFI,5,0),1,0)*Table_NFI[[#This Row],[Jerry Can]],Table_NFI[Jerry Can])</f>
        <v>0</v>
      </c>
      <c r="AO555" s="296">
        <f>IF(NFI_Expiration=1,IF($A555&lt;VLOOKUP(V$5,NFI,5,0),1,0)*Table_NFI[[#This Row],[Shelter Tool kit]],Table_NFI[Shelter Tool kit])</f>
        <v>0</v>
      </c>
      <c r="AP555" s="296">
        <f>IF(NFI_Expiration=1,IF($A555&lt;VLOOKUP(V$5,NFI,5,0),1,0)*Table_NFI[[#This Row],[Tent]],Table_NFI[Tent])</f>
        <v>0</v>
      </c>
      <c r="AQ555" s="396" t="str">
        <f>IFERROR(VLOOKUP(Table_NFI[[#This Row],[Camp Name]],CL,2,0),"")</f>
        <v>MMR001CMP126</v>
      </c>
      <c r="AR555" s="702">
        <f ca="1">IF(Table_NFI[[#This Row],[Pcode]]="","",IF(OFFSET(CampList[Opening Date],MATCH(Table_NFI[[#This Row],[Pcode]],CampList[CP_Pcode],0)-1,0,1,1)&gt;=NFI_Monitor_Date,1,0))</f>
        <v>0</v>
      </c>
      <c r="AS555" s="396" t="str">
        <f>IFERROR(VLOOKUP(Table_NFI[[#This Row],[Camp Name]],CL,3,0),"")</f>
        <v>Open</v>
      </c>
      <c r="AT555" s="264" t="str">
        <f ca="1">IF(Table_NFI[[#This Row],[Pcode]]="","",OFFSET(CampList[Priority],MATCH(Table_NFI[[#This Row],[Pcode]],CampList[CP_Pcode],0)-1,0,1,1))</f>
        <v>P2</v>
      </c>
      <c r="AU555" s="263">
        <f>IFERROR(Table_NFI[[#This Row],[Kitchen Set]]/VLOOKUP(Table_NFI[[#This Row],[Camp Name]],CL,4,0),"")</f>
        <v>0</v>
      </c>
      <c r="AV555" s="390" t="s">
        <v>1087</v>
      </c>
      <c r="AW555" s="392"/>
      <c r="AX555" s="399"/>
      <c r="AY555" s="399"/>
      <c r="AZ555" s="399"/>
      <c r="BA555" s="399"/>
      <c r="BB555" s="399"/>
      <c r="BC555" s="399"/>
      <c r="BD555" s="399"/>
      <c r="BE555" s="399"/>
      <c r="BF555" s="399"/>
      <c r="BG555" s="399"/>
      <c r="BH555" s="399"/>
      <c r="BI555" s="399"/>
      <c r="BJ555" s="399"/>
      <c r="BK555" s="399"/>
      <c r="BL555" s="399"/>
      <c r="BM555" s="399"/>
      <c r="BN555" s="399"/>
      <c r="BO555" s="399"/>
      <c r="BP555" s="399"/>
      <c r="BQ555" s="399"/>
      <c r="BR555" s="399"/>
      <c r="BS555" s="399"/>
      <c r="BT555" s="399"/>
      <c r="BU555" s="399"/>
      <c r="BV555" s="399"/>
      <c r="BW555" s="399"/>
      <c r="BX555" s="399"/>
      <c r="BY555" s="399"/>
      <c r="BZ555" s="399"/>
      <c r="CA555" s="399"/>
      <c r="CB555" s="399"/>
      <c r="CC555" s="399"/>
      <c r="CD555" s="399"/>
      <c r="CE555" s="399"/>
      <c r="CF555" s="399"/>
      <c r="CG555" s="399"/>
      <c r="CH555" s="399"/>
      <c r="CI555" s="399"/>
      <c r="CJ555" s="399"/>
      <c r="CK555" s="399"/>
      <c r="CL555" s="399"/>
      <c r="CM555" s="399"/>
      <c r="CN555" s="399"/>
      <c r="CO555" s="399"/>
      <c r="CP555" s="399"/>
      <c r="CQ555" s="399"/>
      <c r="CR555" s="399"/>
      <c r="CS555" s="399"/>
      <c r="CT555" s="399"/>
      <c r="CU555" s="399"/>
      <c r="CV555" s="399"/>
      <c r="CW555" s="399"/>
      <c r="CX555" s="399"/>
      <c r="CY555" s="399"/>
      <c r="CZ555" s="399"/>
      <c r="DA555" s="399"/>
      <c r="DB555" s="399"/>
      <c r="DC555" s="399"/>
      <c r="DD555" s="399"/>
      <c r="DE555" s="399"/>
      <c r="DF555" s="399"/>
      <c r="DG555" s="399"/>
      <c r="DH555" s="399"/>
      <c r="DI555" s="399"/>
      <c r="DJ555" s="399"/>
      <c r="DK555" s="399"/>
      <c r="DL555" s="399"/>
      <c r="DM555" s="399"/>
      <c r="DN555" s="399"/>
      <c r="DO555" s="399"/>
      <c r="DP555" s="399"/>
      <c r="DQ555" s="399"/>
    </row>
    <row r="556" spans="1:121" s="393" customFormat="1" ht="14.45" customHeight="1" x14ac:dyDescent="0.25">
      <c r="A556" s="266">
        <f t="shared" si="8"/>
        <v>41.266666666666666</v>
      </c>
      <c r="B556" s="389">
        <v>41618</v>
      </c>
      <c r="C556" s="390" t="s">
        <v>452</v>
      </c>
      <c r="D556" s="390"/>
      <c r="E556" s="390" t="s">
        <v>380</v>
      </c>
      <c r="F556" s="390" t="s">
        <v>151</v>
      </c>
      <c r="G556" s="390" t="s">
        <v>154</v>
      </c>
      <c r="H556" s="261"/>
      <c r="I556" s="261"/>
      <c r="J556" s="261"/>
      <c r="K556" s="261"/>
      <c r="L556" s="261"/>
      <c r="M556" s="261"/>
      <c r="N556" s="261"/>
      <c r="O556" s="261"/>
      <c r="P556" s="261"/>
      <c r="Q556" s="261"/>
      <c r="R556" s="261"/>
      <c r="S556" s="261">
        <v>256</v>
      </c>
      <c r="T556" s="261"/>
      <c r="U556" s="261"/>
      <c r="V556" s="762"/>
      <c r="W556" s="261"/>
      <c r="X556" s="261"/>
      <c r="Y556" s="264">
        <f>IF(NFI_Expiration=1,IF($A556&lt;VLOOKUP(H$5,NFI,5,0),1,0)*Table_NFI[[#This Row],[Hygiene Kit]],Table_NFI[Hygiene Kit])</f>
        <v>0</v>
      </c>
      <c r="Z556" s="264">
        <f>IF(NFI_Expiration=1,IF($A556&lt;VLOOKUP(I$5,NFI,5,0),1,0)*Table_NFI[[#This Row],[NFI Core Kit]],Table_NFI[NFI Core Kit])</f>
        <v>0</v>
      </c>
      <c r="AA556" s="264">
        <f>IF(NFI_Expiration=1,IF($A556&lt;VLOOKUP(J$5,NFI,5,0),1,0)*Table_NFI[[#This Row],[Sanitary Kit]],Table_NFI[Sanitary Kit])</f>
        <v>0</v>
      </c>
      <c r="AB556" s="264">
        <f>IF(NFI_Expiration=1,IF($A556&lt;VLOOKUP(K$5,NFI,5,0),1,0)*Table_NFI[[#This Row],[Mosquito net]],Table_NFI[Mosquito net])</f>
        <v>0</v>
      </c>
      <c r="AC556" s="264">
        <f>IF(NFI_Expiration=1,IF($A556&lt;VLOOKUP(L$5,NFI,5,0),1,0)*Table_NFI[[#This Row],[Tarpaulin]],Table_NFI[[#This Row],[Tarpaulin]])</f>
        <v>0</v>
      </c>
      <c r="AD556" s="264">
        <f>IF(NFI_Expiration=1,IF($A556&lt;VLOOKUP(M$5,NFI,5,0),1,0)*Table_NFI[[#This Row],[Blanket]],Table_NFI[[#This Row],[Blanket]])</f>
        <v>0</v>
      </c>
      <c r="AE556" s="264">
        <f>IF(NFI_Expiration=1,IF($A556&lt;VLOOKUP(N$5,NFI,5,0),1,0)*Table_NFI[[#This Row],[Kitchen Set]],Table_NFI[Kitchen Set])</f>
        <v>0</v>
      </c>
      <c r="AF556" s="264">
        <f>IF(NFI_Expiration=1,IF($A556&lt;VLOOKUP(O$5,NFI,5,0),1,0)*Table_NFI[[#This Row],[Clothes Kit]],Table_NFI[Clothes Kit])</f>
        <v>0</v>
      </c>
      <c r="AG556" s="264">
        <f>IF(NFI_Expiration=1,IF($A556&lt;VLOOKUP(P$5,NFI,5,0),1,0)*Table_NFI[[#This Row],[Plastic Bucket]],Table_NFI[Plastic Bucket])</f>
        <v>0</v>
      </c>
      <c r="AH556" s="264">
        <f>IF(NFI_Expiration=1,IF($A556&lt;VLOOKUP(Q$5,NFI,5,0),1,0)*Table_NFI[[#This Row],[Plastic Mat]],Table_NFI[Plastic Mat])*IF(Table_NFI[[#This Row],[Distribution Date]]&gt;"2014-04-01",1,2.5)</f>
        <v>0</v>
      </c>
      <c r="AI556" s="264">
        <f>IF(NFI_Expiration=1,IF($A556&lt;VLOOKUP(R$5,NFI,5,0),1,0)*Table_NFI[[#This Row],[Winter Clothes Adult]],Table_NFI[Winter Clothes Adult])</f>
        <v>0</v>
      </c>
      <c r="AJ556" s="264">
        <f>IF(NFI_Expiration=1,IF($A556&lt;VLOOKUP(S$5,NFI,5,0),1,0)*Table_NFI[[#This Row],[Winter Clothes Children]],Table_NFI[Winter Clothes Children])</f>
        <v>0</v>
      </c>
      <c r="AK556" s="264">
        <f>IF(NFI_Expiration=1,IF($A556&lt;VLOOKUP(T$5,NFI,5,0),1,0)*Table_NFI[[#This Row],[Winter Items Other]],Table_NFI[Winter Items Other])</f>
        <v>0</v>
      </c>
      <c r="AL556" s="264">
        <f>IF(NFI_Expiration=1,IF($A556&lt;VLOOKUP(M$5,NFI,5,0),1,0)*Table_NFI[[#This Row],[Winter Blanket]],Table_NFI[[#This Row],[Winter Blanket]])</f>
        <v>0</v>
      </c>
      <c r="AM556" s="264">
        <f>IF(Table_NFI[[#This Row],[Winter Clothes Adult]]+Table_NFI[[#This Row],[Winter Clothes Children]]+Table_NFI[[#This Row],[Winter Items Other]]+Table_NFI[[#This Row],[Winter Blanket]]&gt;0,1,0)</f>
        <v>1</v>
      </c>
      <c r="AN556" s="296">
        <f>IF(NFI_Expiration=1,IF($A556&lt;VLOOKUP(V$5,NFI,5,0),1,0)*Table_NFI[[#This Row],[Jerry Can]],Table_NFI[Jerry Can])</f>
        <v>0</v>
      </c>
      <c r="AO556" s="296">
        <f>IF(NFI_Expiration=1,IF($A556&lt;VLOOKUP(V$5,NFI,5,0),1,0)*Table_NFI[[#This Row],[Shelter Tool kit]],Table_NFI[Shelter Tool kit])</f>
        <v>0</v>
      </c>
      <c r="AP556" s="296">
        <f>IF(NFI_Expiration=1,IF($A556&lt;VLOOKUP(V$5,NFI,5,0),1,0)*Table_NFI[[#This Row],[Tent]],Table_NFI[Tent])</f>
        <v>0</v>
      </c>
      <c r="AQ556" s="396" t="str">
        <f>IFERROR(VLOOKUP(Table_NFI[[#This Row],[Camp Name]],CL,2,0),"")</f>
        <v>MMR001CMP132</v>
      </c>
      <c r="AR556" s="702">
        <f ca="1">IF(Table_NFI[[#This Row],[Pcode]]="","",IF(OFFSET(CampList[Opening Date],MATCH(Table_NFI[[#This Row],[Pcode]],CampList[CP_Pcode],0)-1,0,1,1)&gt;=NFI_Monitor_Date,1,0))</f>
        <v>0</v>
      </c>
      <c r="AS556" s="396" t="str">
        <f>IFERROR(VLOOKUP(Table_NFI[[#This Row],[Camp Name]],CL,3,0),"")</f>
        <v>Open</v>
      </c>
      <c r="AT556" s="264" t="str">
        <f ca="1">IF(Table_NFI[[#This Row],[Pcode]]="","",OFFSET(CampList[Priority],MATCH(Table_NFI[[#This Row],[Pcode]],CampList[CP_Pcode],0)-1,0,1,1))</f>
        <v>P4</v>
      </c>
      <c r="AU556" s="263">
        <f>IFERROR(Table_NFI[[#This Row],[Kitchen Set]]/VLOOKUP(Table_NFI[[#This Row],[Camp Name]],CL,4,0),"")</f>
        <v>0</v>
      </c>
      <c r="AV556" s="390" t="s">
        <v>1087</v>
      </c>
      <c r="AW556" s="392"/>
      <c r="AX556" s="399"/>
      <c r="AY556" s="399"/>
      <c r="AZ556" s="399"/>
      <c r="BA556" s="399"/>
      <c r="BB556" s="399"/>
      <c r="BC556" s="399"/>
      <c r="BD556" s="399"/>
      <c r="BE556" s="399"/>
      <c r="BF556" s="399"/>
      <c r="BG556" s="399"/>
      <c r="BH556" s="399"/>
      <c r="BI556" s="399"/>
      <c r="BJ556" s="399"/>
      <c r="BK556" s="399"/>
      <c r="BL556" s="399"/>
      <c r="BM556" s="399"/>
      <c r="BN556" s="399"/>
      <c r="BO556" s="399"/>
      <c r="BP556" s="399"/>
      <c r="BQ556" s="399"/>
      <c r="BR556" s="399"/>
      <c r="BS556" s="399"/>
      <c r="BT556" s="399"/>
      <c r="BU556" s="399"/>
      <c r="BV556" s="399"/>
      <c r="BW556" s="399"/>
      <c r="BX556" s="399"/>
      <c r="BY556" s="399"/>
      <c r="BZ556" s="399"/>
      <c r="CA556" s="399"/>
      <c r="CB556" s="399"/>
      <c r="CC556" s="399"/>
      <c r="CD556" s="399"/>
      <c r="CE556" s="399"/>
      <c r="CF556" s="399"/>
      <c r="CG556" s="399"/>
      <c r="CH556" s="399"/>
      <c r="CI556" s="399"/>
      <c r="CJ556" s="399"/>
      <c r="CK556" s="399"/>
      <c r="CL556" s="399"/>
      <c r="CM556" s="399"/>
      <c r="CN556" s="399"/>
      <c r="CO556" s="399"/>
      <c r="CP556" s="399"/>
      <c r="CQ556" s="399"/>
      <c r="CR556" s="399"/>
      <c r="CS556" s="399"/>
      <c r="CT556" s="399"/>
      <c r="CU556" s="399"/>
      <c r="CV556" s="399"/>
      <c r="CW556" s="399"/>
      <c r="CX556" s="399"/>
      <c r="CY556" s="399"/>
      <c r="CZ556" s="399"/>
      <c r="DA556" s="399"/>
      <c r="DB556" s="399"/>
      <c r="DC556" s="399"/>
      <c r="DD556" s="399"/>
      <c r="DE556" s="399"/>
      <c r="DF556" s="399"/>
      <c r="DG556" s="399"/>
      <c r="DH556" s="399"/>
      <c r="DI556" s="399"/>
      <c r="DJ556" s="399"/>
      <c r="DK556" s="399"/>
      <c r="DL556" s="399"/>
      <c r="DM556" s="399"/>
      <c r="DN556" s="399"/>
      <c r="DO556" s="399"/>
      <c r="DP556" s="399"/>
      <c r="DQ556" s="399"/>
    </row>
    <row r="557" spans="1:121" s="760" customFormat="1" ht="14.45" customHeight="1" x14ac:dyDescent="0.25">
      <c r="A557" s="266">
        <f t="shared" si="8"/>
        <v>41.43333333333333</v>
      </c>
      <c r="B557" s="389">
        <v>41613</v>
      </c>
      <c r="C557" s="390" t="s">
        <v>904</v>
      </c>
      <c r="D557" s="390" t="s">
        <v>459</v>
      </c>
      <c r="E557" s="390" t="s">
        <v>380</v>
      </c>
      <c r="F557" s="390" t="s">
        <v>185</v>
      </c>
      <c r="G557" s="390" t="s">
        <v>192</v>
      </c>
      <c r="H557" s="261"/>
      <c r="I557" s="261"/>
      <c r="J557" s="261"/>
      <c r="K557" s="261"/>
      <c r="L557" s="261"/>
      <c r="M557" s="261"/>
      <c r="N557" s="261"/>
      <c r="O557" s="261"/>
      <c r="P557" s="261"/>
      <c r="Q557" s="261"/>
      <c r="R557" s="261">
        <v>120</v>
      </c>
      <c r="S557" s="261">
        <v>240</v>
      </c>
      <c r="T557" s="261">
        <v>720</v>
      </c>
      <c r="U557" s="261">
        <v>360</v>
      </c>
      <c r="V557" s="762"/>
      <c r="W557" s="762"/>
      <c r="X557" s="762"/>
      <c r="Y557" s="264">
        <f>IF(NFI_Expiration=1,IF($A557&lt;VLOOKUP(H$5,NFI,5,0),1,0)*Table_NFI[[#This Row],[Hygiene Kit]],Table_NFI[Hygiene Kit])</f>
        <v>0</v>
      </c>
      <c r="Z557" s="264">
        <f>IF(NFI_Expiration=1,IF($A557&lt;VLOOKUP(I$5,NFI,5,0),1,0)*Table_NFI[[#This Row],[NFI Core Kit]],Table_NFI[NFI Core Kit])</f>
        <v>0</v>
      </c>
      <c r="AA557" s="264">
        <f>IF(NFI_Expiration=1,IF($A557&lt;VLOOKUP(J$5,NFI,5,0),1,0)*Table_NFI[[#This Row],[Sanitary Kit]],Table_NFI[Sanitary Kit])</f>
        <v>0</v>
      </c>
      <c r="AB557" s="264">
        <f>IF(NFI_Expiration=1,IF($A557&lt;VLOOKUP(K$5,NFI,5,0),1,0)*Table_NFI[[#This Row],[Mosquito net]],Table_NFI[Mosquito net])</f>
        <v>0</v>
      </c>
      <c r="AC557" s="264">
        <f>IF(NFI_Expiration=1,IF($A557&lt;VLOOKUP(L$5,NFI,5,0),1,0)*Table_NFI[[#This Row],[Tarpaulin]],Table_NFI[[#This Row],[Tarpaulin]])</f>
        <v>0</v>
      </c>
      <c r="AD557" s="264">
        <f>IF(NFI_Expiration=1,IF($A557&lt;VLOOKUP(M$5,NFI,5,0),1,0)*Table_NFI[[#This Row],[Blanket]],Table_NFI[[#This Row],[Blanket]])</f>
        <v>0</v>
      </c>
      <c r="AE557" s="264">
        <f>IF(NFI_Expiration=1,IF($A557&lt;VLOOKUP(N$5,NFI,5,0),1,0)*Table_NFI[[#This Row],[Kitchen Set]],Table_NFI[Kitchen Set])</f>
        <v>0</v>
      </c>
      <c r="AF557" s="264">
        <f>IF(NFI_Expiration=1,IF($A557&lt;VLOOKUP(O$5,NFI,5,0),1,0)*Table_NFI[[#This Row],[Clothes Kit]],Table_NFI[Clothes Kit])</f>
        <v>0</v>
      </c>
      <c r="AG557" s="264">
        <f>IF(NFI_Expiration=1,IF($A557&lt;VLOOKUP(P$5,NFI,5,0),1,0)*Table_NFI[[#This Row],[Plastic Bucket]],Table_NFI[Plastic Bucket])</f>
        <v>0</v>
      </c>
      <c r="AH557" s="264">
        <f>IF(NFI_Expiration=1,IF($A557&lt;VLOOKUP(Q$5,NFI,5,0),1,0)*Table_NFI[[#This Row],[Plastic Mat]],Table_NFI[Plastic Mat])*IF(Table_NFI[[#This Row],[Distribution Date]]&gt;"2014-04-01",1,2.5)</f>
        <v>0</v>
      </c>
      <c r="AI557" s="264">
        <f>IF(NFI_Expiration=1,IF($A557&lt;VLOOKUP(R$5,NFI,5,0),1,0)*Table_NFI[[#This Row],[Winter Clothes Adult]],Table_NFI[Winter Clothes Adult])</f>
        <v>0</v>
      </c>
      <c r="AJ557" s="264">
        <f>IF(NFI_Expiration=1,IF($A557&lt;VLOOKUP(S$5,NFI,5,0),1,0)*Table_NFI[[#This Row],[Winter Clothes Children]],Table_NFI[Winter Clothes Children])</f>
        <v>0</v>
      </c>
      <c r="AK557" s="264">
        <f>IF(NFI_Expiration=1,IF($A557&lt;VLOOKUP(T$5,NFI,5,0),1,0)*Table_NFI[[#This Row],[Winter Items Other]],Table_NFI[Winter Items Other])</f>
        <v>0</v>
      </c>
      <c r="AL557" s="264">
        <f>IF(NFI_Expiration=1,IF($A557&lt;VLOOKUP(M$5,NFI,5,0),1,0)*Table_NFI[[#This Row],[Winter Blanket]],Table_NFI[[#This Row],[Winter Blanket]])</f>
        <v>0</v>
      </c>
      <c r="AM557" s="264">
        <f>IF(Table_NFI[[#This Row],[Winter Clothes Adult]]+Table_NFI[[#This Row],[Winter Clothes Children]]+Table_NFI[[#This Row],[Winter Items Other]]+Table_NFI[[#This Row],[Winter Blanket]]&gt;0,1,0)</f>
        <v>1</v>
      </c>
      <c r="AN557" s="296">
        <f>IF(NFI_Expiration=1,IF($A557&lt;VLOOKUP(V$5,NFI,5,0),1,0)*Table_NFI[[#This Row],[Jerry Can]],Table_NFI[Jerry Can])</f>
        <v>0</v>
      </c>
      <c r="AO557" s="296">
        <f>IF(NFI_Expiration=1,IF($A557&lt;VLOOKUP(V$5,NFI,5,0),1,0)*Table_NFI[[#This Row],[Shelter Tool kit]],Table_NFI[Shelter Tool kit])</f>
        <v>0</v>
      </c>
      <c r="AP557" s="296">
        <f>IF(NFI_Expiration=1,IF($A557&lt;VLOOKUP(V$5,NFI,5,0),1,0)*Table_NFI[[#This Row],[Tent]],Table_NFI[Tent])</f>
        <v>0</v>
      </c>
      <c r="AQ557" s="396" t="str">
        <f>IFERROR(VLOOKUP(Table_NFI[[#This Row],[Camp Name]],CL,2,0),"")</f>
        <v>MMR001CMP123</v>
      </c>
      <c r="AR557" s="702">
        <f ca="1">IF(Table_NFI[[#This Row],[Pcode]]="","",IF(OFFSET(CampList[Opening Date],MATCH(Table_NFI[[#This Row],[Pcode]],CampList[CP_Pcode],0)-1,0,1,1)&gt;=NFI_Monitor_Date,1,0))</f>
        <v>0</v>
      </c>
      <c r="AS557" s="396" t="str">
        <f>IFERROR(VLOOKUP(Table_NFI[[#This Row],[Camp Name]],CL,3,0),"")</f>
        <v>Open</v>
      </c>
      <c r="AT557" s="264" t="str">
        <f ca="1">IF(Table_NFI[[#This Row],[Pcode]]="","",OFFSET(CampList[Priority],MATCH(Table_NFI[[#This Row],[Pcode]],CampList[CP_Pcode],0)-1,0,1,1))</f>
        <v>P2</v>
      </c>
      <c r="AU557" s="263">
        <f>IFERROR(Table_NFI[[#This Row],[Kitchen Set]]/VLOOKUP(Table_NFI[[#This Row],[Camp Name]],CL,4,0),"")</f>
        <v>0</v>
      </c>
      <c r="AV557" s="390"/>
      <c r="AW557" s="392"/>
      <c r="AX557" s="399"/>
      <c r="AY557" s="399"/>
      <c r="AZ557" s="399"/>
      <c r="BA557" s="399"/>
      <c r="BB557" s="399"/>
      <c r="BC557" s="399"/>
      <c r="BD557" s="399"/>
      <c r="BE557" s="399"/>
      <c r="BF557" s="399"/>
      <c r="BG557" s="399"/>
      <c r="BH557" s="399"/>
      <c r="BI557" s="399"/>
      <c r="BJ557" s="399"/>
      <c r="BK557" s="399"/>
      <c r="BL557" s="399"/>
      <c r="BM557" s="399"/>
      <c r="BN557" s="399"/>
      <c r="BO557" s="399"/>
      <c r="BP557" s="399"/>
      <c r="BQ557" s="399"/>
      <c r="BR557" s="399"/>
      <c r="BS557" s="399"/>
      <c r="BT557" s="399"/>
      <c r="BU557" s="399"/>
      <c r="BV557" s="399"/>
      <c r="BW557" s="399"/>
      <c r="BX557" s="399"/>
      <c r="BY557" s="399"/>
      <c r="BZ557" s="399"/>
      <c r="CA557" s="399"/>
      <c r="CB557" s="399"/>
      <c r="CC557" s="399"/>
      <c r="CD557" s="399"/>
      <c r="CE557" s="399"/>
      <c r="CF557" s="399"/>
      <c r="CG557" s="399"/>
      <c r="CH557" s="399"/>
      <c r="CI557" s="399"/>
      <c r="CJ557" s="399"/>
      <c r="CK557" s="399"/>
      <c r="CL557" s="399"/>
      <c r="CM557" s="399"/>
      <c r="CN557" s="399"/>
      <c r="CO557" s="399"/>
      <c r="CP557" s="399"/>
      <c r="CQ557" s="399"/>
      <c r="CR557" s="399"/>
      <c r="CS557" s="399"/>
      <c r="CT557" s="399"/>
      <c r="CU557" s="399"/>
      <c r="CV557" s="399"/>
      <c r="CW557" s="399"/>
      <c r="CX557" s="399"/>
      <c r="CY557" s="399"/>
      <c r="CZ557" s="399"/>
      <c r="DA557" s="399"/>
      <c r="DB557" s="399"/>
      <c r="DC557" s="399"/>
      <c r="DD557" s="399"/>
      <c r="DE557" s="399"/>
      <c r="DF557" s="399"/>
      <c r="DG557" s="399"/>
      <c r="DH557" s="399"/>
      <c r="DI557" s="399"/>
      <c r="DJ557" s="399"/>
      <c r="DK557" s="399"/>
      <c r="DL557" s="399"/>
      <c r="DM557" s="399"/>
      <c r="DN557" s="399"/>
      <c r="DO557" s="399"/>
      <c r="DP557" s="399"/>
      <c r="DQ557" s="399"/>
    </row>
    <row r="558" spans="1:121" s="760" customFormat="1" ht="14.45" customHeight="1" x14ac:dyDescent="0.25">
      <c r="A558" s="266">
        <f t="shared" si="8"/>
        <v>41.466666666666669</v>
      </c>
      <c r="B558" s="389">
        <v>41612</v>
      </c>
      <c r="C558" s="390" t="s">
        <v>451</v>
      </c>
      <c r="D558" s="391" t="s">
        <v>451</v>
      </c>
      <c r="E558" s="390" t="s">
        <v>380</v>
      </c>
      <c r="F558" s="262" t="s">
        <v>5</v>
      </c>
      <c r="G558" s="262" t="s">
        <v>511</v>
      </c>
      <c r="H558" s="261"/>
      <c r="I558" s="261"/>
      <c r="J558" s="261"/>
      <c r="K558" s="261"/>
      <c r="L558" s="261"/>
      <c r="M558" s="261">
        <v>10</v>
      </c>
      <c r="N558" s="261">
        <v>5</v>
      </c>
      <c r="O558" s="261">
        <v>5</v>
      </c>
      <c r="P558" s="261"/>
      <c r="Q558" s="261"/>
      <c r="R558" s="261"/>
      <c r="S558" s="261"/>
      <c r="T558" s="261"/>
      <c r="U558" s="261"/>
      <c r="V558" s="762"/>
      <c r="W558" s="261"/>
      <c r="X558" s="261"/>
      <c r="Y558" s="264">
        <f>IF(NFI_Expiration=1,IF($A558&lt;VLOOKUP(H$5,NFI,5,0),1,0)*Table_NFI[[#This Row],[Hygiene Kit]],Table_NFI[Hygiene Kit])</f>
        <v>0</v>
      </c>
      <c r="Z558" s="264">
        <f>IF(NFI_Expiration=1,IF($A558&lt;VLOOKUP(I$5,NFI,5,0),1,0)*Table_NFI[[#This Row],[NFI Core Kit]],Table_NFI[NFI Core Kit])</f>
        <v>0</v>
      </c>
      <c r="AA558" s="264">
        <f>IF(NFI_Expiration=1,IF($A558&lt;VLOOKUP(J$5,NFI,5,0),1,0)*Table_NFI[[#This Row],[Sanitary Kit]],Table_NFI[Sanitary Kit])</f>
        <v>0</v>
      </c>
      <c r="AB558" s="264">
        <f>IF(NFI_Expiration=1,IF($A558&lt;VLOOKUP(K$5,NFI,5,0),1,0)*Table_NFI[[#This Row],[Mosquito net]],Table_NFI[Mosquito net])</f>
        <v>0</v>
      </c>
      <c r="AC558" s="264">
        <f>IF(NFI_Expiration=1,IF($A558&lt;VLOOKUP(L$5,NFI,5,0),1,0)*Table_NFI[[#This Row],[Tarpaulin]],Table_NFI[[#This Row],[Tarpaulin]])</f>
        <v>0</v>
      </c>
      <c r="AD558" s="264">
        <f>IF(NFI_Expiration=1,IF($A558&lt;VLOOKUP(M$5,NFI,5,0),1,0)*Table_NFI[[#This Row],[Blanket]],Table_NFI[[#This Row],[Blanket]])</f>
        <v>0</v>
      </c>
      <c r="AE558" s="264">
        <f>IF(NFI_Expiration=1,IF($A558&lt;VLOOKUP(N$5,NFI,5,0),1,0)*Table_NFI[[#This Row],[Kitchen Set]],Table_NFI[Kitchen Set])</f>
        <v>0</v>
      </c>
      <c r="AF558" s="264">
        <f>IF(NFI_Expiration=1,IF($A558&lt;VLOOKUP(O$5,NFI,5,0),1,0)*Table_NFI[[#This Row],[Clothes Kit]],Table_NFI[Clothes Kit])</f>
        <v>0</v>
      </c>
      <c r="AG558" s="264">
        <f>IF(NFI_Expiration=1,IF($A558&lt;VLOOKUP(P$5,NFI,5,0),1,0)*Table_NFI[[#This Row],[Plastic Bucket]],Table_NFI[Plastic Bucket])</f>
        <v>0</v>
      </c>
      <c r="AH558" s="264">
        <f>IF(NFI_Expiration=1,IF($A558&lt;VLOOKUP(Q$5,NFI,5,0),1,0)*Table_NFI[[#This Row],[Plastic Mat]],Table_NFI[Plastic Mat])*IF(Table_NFI[[#This Row],[Distribution Date]]&gt;"2014-04-01",1,2.5)</f>
        <v>0</v>
      </c>
      <c r="AI558" s="264">
        <f>IF(NFI_Expiration=1,IF($A558&lt;VLOOKUP(R$5,NFI,5,0),1,0)*Table_NFI[[#This Row],[Winter Clothes Adult]],Table_NFI[Winter Clothes Adult])</f>
        <v>0</v>
      </c>
      <c r="AJ558" s="264">
        <f>IF(NFI_Expiration=1,IF($A558&lt;VLOOKUP(S$5,NFI,5,0),1,0)*Table_NFI[[#This Row],[Winter Clothes Children]],Table_NFI[Winter Clothes Children])</f>
        <v>0</v>
      </c>
      <c r="AK558" s="264">
        <f>IF(NFI_Expiration=1,IF($A558&lt;VLOOKUP(T$5,NFI,5,0),1,0)*Table_NFI[[#This Row],[Winter Items Other]],Table_NFI[Winter Items Other])</f>
        <v>0</v>
      </c>
      <c r="AL558" s="264">
        <f>IF(NFI_Expiration=1,IF($A558&lt;VLOOKUP(M$5,NFI,5,0),1,0)*Table_NFI[[#This Row],[Winter Blanket]],Table_NFI[[#This Row],[Winter Blanket]])</f>
        <v>0</v>
      </c>
      <c r="AM558" s="264">
        <f>IF(Table_NFI[[#This Row],[Winter Clothes Adult]]+Table_NFI[[#This Row],[Winter Clothes Children]]+Table_NFI[[#This Row],[Winter Items Other]]+Table_NFI[[#This Row],[Winter Blanket]]&gt;0,1,0)</f>
        <v>0</v>
      </c>
      <c r="AN558" s="296">
        <f>IF(NFI_Expiration=1,IF($A558&lt;VLOOKUP(V$5,NFI,5,0),1,0)*Table_NFI[[#This Row],[Jerry Can]],Table_NFI[Jerry Can])</f>
        <v>0</v>
      </c>
      <c r="AO558" s="296">
        <f>IF(NFI_Expiration=1,IF($A558&lt;VLOOKUP(V$5,NFI,5,0),1,0)*Table_NFI[[#This Row],[Shelter Tool kit]],Table_NFI[Shelter Tool kit])</f>
        <v>0</v>
      </c>
      <c r="AP558" s="296">
        <f>IF(NFI_Expiration=1,IF($A558&lt;VLOOKUP(V$5,NFI,5,0),1,0)*Table_NFI[[#This Row],[Tent]],Table_NFI[Tent])</f>
        <v>0</v>
      </c>
      <c r="AQ558" s="396" t="str">
        <f>IFERROR(VLOOKUP(Table_NFI[[#This Row],[Camp Name]],CL,2,0),"")</f>
        <v>MMR001CMP194</v>
      </c>
      <c r="AR558" s="702">
        <f ca="1">IF(Table_NFI[[#This Row],[Pcode]]="","",IF(OFFSET(CampList[Opening Date],MATCH(Table_NFI[[#This Row],[Pcode]],CampList[CP_Pcode],0)-1,0,1,1)&gt;=NFI_Monitor_Date,1,0))</f>
        <v>0</v>
      </c>
      <c r="AS558" s="396" t="str">
        <f>IFERROR(VLOOKUP(Table_NFI[[#This Row],[Camp Name]],CL,3,0),"")</f>
        <v>Open</v>
      </c>
      <c r="AT558" s="264" t="str">
        <f ca="1">IF(Table_NFI[[#This Row],[Pcode]]="","",OFFSET(CampList[Priority],MATCH(Table_NFI[[#This Row],[Pcode]],CampList[CP_Pcode],0)-1,0,1,1))</f>
        <v>P4</v>
      </c>
      <c r="AU558" s="263">
        <f>IFERROR(Table_NFI[[#This Row],[Kitchen Set]]/VLOOKUP(Table_NFI[[#This Row],[Camp Name]],CL,4,0),"")</f>
        <v>1.2258807953514599E-4</v>
      </c>
      <c r="AV558" s="390" t="s">
        <v>1087</v>
      </c>
      <c r="AW558" s="392"/>
      <c r="AX558" s="399"/>
      <c r="AY558" s="399"/>
      <c r="AZ558" s="399"/>
      <c r="BA558" s="399"/>
      <c r="BB558" s="399"/>
      <c r="BC558" s="399"/>
      <c r="BD558" s="399"/>
      <c r="BE558" s="399"/>
      <c r="BF558" s="399"/>
      <c r="BG558" s="399"/>
      <c r="BH558" s="399"/>
      <c r="BI558" s="399"/>
      <c r="BJ558" s="399"/>
      <c r="BK558" s="399"/>
      <c r="BL558" s="399"/>
      <c r="BM558" s="399"/>
      <c r="BN558" s="399"/>
      <c r="BO558" s="399"/>
      <c r="BP558" s="399"/>
      <c r="BQ558" s="399"/>
      <c r="BR558" s="399"/>
      <c r="BS558" s="399"/>
      <c r="BT558" s="399"/>
      <c r="BU558" s="399"/>
      <c r="BV558" s="399"/>
      <c r="BW558" s="399"/>
      <c r="BX558" s="399"/>
      <c r="BY558" s="399"/>
      <c r="BZ558" s="399"/>
      <c r="CA558" s="399"/>
      <c r="CB558" s="399"/>
      <c r="CC558" s="399"/>
      <c r="CD558" s="399"/>
      <c r="CE558" s="399"/>
      <c r="CF558" s="399"/>
      <c r="CG558" s="399"/>
      <c r="CH558" s="399"/>
      <c r="CI558" s="399"/>
      <c r="CJ558" s="399"/>
      <c r="CK558" s="399"/>
      <c r="CL558" s="399"/>
      <c r="CM558" s="399"/>
      <c r="CN558" s="399"/>
      <c r="CO558" s="399"/>
      <c r="CP558" s="399"/>
      <c r="CQ558" s="399"/>
      <c r="CR558" s="399"/>
      <c r="CS558" s="399"/>
      <c r="CT558" s="399"/>
      <c r="CU558" s="399"/>
      <c r="CV558" s="399"/>
      <c r="CW558" s="399"/>
      <c r="CX558" s="399"/>
      <c r="CY558" s="399"/>
      <c r="CZ558" s="399"/>
      <c r="DA558" s="399"/>
      <c r="DB558" s="399"/>
      <c r="DC558" s="399"/>
      <c r="DD558" s="399"/>
      <c r="DE558" s="399"/>
      <c r="DF558" s="399"/>
      <c r="DG558" s="399"/>
      <c r="DH558" s="399"/>
      <c r="DI558" s="399"/>
      <c r="DJ558" s="399"/>
      <c r="DK558" s="399"/>
      <c r="DL558" s="399"/>
      <c r="DM558" s="399"/>
      <c r="DN558" s="399"/>
      <c r="DO558" s="399"/>
      <c r="DP558" s="399"/>
      <c r="DQ558" s="399"/>
    </row>
    <row r="559" spans="1:121" s="760" customFormat="1" ht="14.45" customHeight="1" x14ac:dyDescent="0.25">
      <c r="A559" s="266">
        <f t="shared" si="8"/>
        <v>41.466666666666669</v>
      </c>
      <c r="B559" s="389">
        <v>41612</v>
      </c>
      <c r="C559" s="390" t="s">
        <v>451</v>
      </c>
      <c r="D559" s="391" t="s">
        <v>451</v>
      </c>
      <c r="E559" s="390" t="s">
        <v>380</v>
      </c>
      <c r="F559" s="262" t="s">
        <v>5</v>
      </c>
      <c r="G559" s="262" t="s">
        <v>22</v>
      </c>
      <c r="H559" s="261"/>
      <c r="I559" s="261"/>
      <c r="J559" s="261"/>
      <c r="K559" s="261"/>
      <c r="L559" s="261"/>
      <c r="M559" s="261">
        <v>120</v>
      </c>
      <c r="N559" s="261"/>
      <c r="O559" s="261"/>
      <c r="P559" s="261"/>
      <c r="Q559" s="261"/>
      <c r="R559" s="261"/>
      <c r="S559" s="261"/>
      <c r="T559" s="261"/>
      <c r="U559" s="261"/>
      <c r="V559" s="762"/>
      <c r="W559" s="261"/>
      <c r="X559" s="261"/>
      <c r="Y559" s="264">
        <f>IF(NFI_Expiration=1,IF($A559&lt;VLOOKUP(H$5,NFI,5,0),1,0)*Table_NFI[[#This Row],[Hygiene Kit]],Table_NFI[Hygiene Kit])</f>
        <v>0</v>
      </c>
      <c r="Z559" s="264">
        <f>IF(NFI_Expiration=1,IF($A559&lt;VLOOKUP(I$5,NFI,5,0),1,0)*Table_NFI[[#This Row],[NFI Core Kit]],Table_NFI[NFI Core Kit])</f>
        <v>0</v>
      </c>
      <c r="AA559" s="264">
        <f>IF(NFI_Expiration=1,IF($A559&lt;VLOOKUP(J$5,NFI,5,0),1,0)*Table_NFI[[#This Row],[Sanitary Kit]],Table_NFI[Sanitary Kit])</f>
        <v>0</v>
      </c>
      <c r="AB559" s="264">
        <f>IF(NFI_Expiration=1,IF($A559&lt;VLOOKUP(K$5,NFI,5,0),1,0)*Table_NFI[[#This Row],[Mosquito net]],Table_NFI[Mosquito net])</f>
        <v>0</v>
      </c>
      <c r="AC559" s="264">
        <f>IF(NFI_Expiration=1,IF($A559&lt;VLOOKUP(L$5,NFI,5,0),1,0)*Table_NFI[[#This Row],[Tarpaulin]],Table_NFI[[#This Row],[Tarpaulin]])</f>
        <v>0</v>
      </c>
      <c r="AD559" s="264">
        <f>IF(NFI_Expiration=1,IF($A559&lt;VLOOKUP(M$5,NFI,5,0),1,0)*Table_NFI[[#This Row],[Blanket]],Table_NFI[[#This Row],[Blanket]])</f>
        <v>0</v>
      </c>
      <c r="AE559" s="264">
        <f>IF(NFI_Expiration=1,IF($A559&lt;VLOOKUP(N$5,NFI,5,0),1,0)*Table_NFI[[#This Row],[Kitchen Set]],Table_NFI[Kitchen Set])</f>
        <v>0</v>
      </c>
      <c r="AF559" s="264">
        <f>IF(NFI_Expiration=1,IF($A559&lt;VLOOKUP(O$5,NFI,5,0),1,0)*Table_NFI[[#This Row],[Clothes Kit]],Table_NFI[Clothes Kit])</f>
        <v>0</v>
      </c>
      <c r="AG559" s="264">
        <f>IF(NFI_Expiration=1,IF($A559&lt;VLOOKUP(P$5,NFI,5,0),1,0)*Table_NFI[[#This Row],[Plastic Bucket]],Table_NFI[Plastic Bucket])</f>
        <v>0</v>
      </c>
      <c r="AH559" s="264">
        <f>IF(NFI_Expiration=1,IF($A559&lt;VLOOKUP(Q$5,NFI,5,0),1,0)*Table_NFI[[#This Row],[Plastic Mat]],Table_NFI[Plastic Mat])*IF(Table_NFI[[#This Row],[Distribution Date]]&gt;"2014-04-01",1,2.5)</f>
        <v>0</v>
      </c>
      <c r="AI559" s="264">
        <f>IF(NFI_Expiration=1,IF($A559&lt;VLOOKUP(R$5,NFI,5,0),1,0)*Table_NFI[[#This Row],[Winter Clothes Adult]],Table_NFI[Winter Clothes Adult])</f>
        <v>0</v>
      </c>
      <c r="AJ559" s="264">
        <f>IF(NFI_Expiration=1,IF($A559&lt;VLOOKUP(S$5,NFI,5,0),1,0)*Table_NFI[[#This Row],[Winter Clothes Children]],Table_NFI[Winter Clothes Children])</f>
        <v>0</v>
      </c>
      <c r="AK559" s="264">
        <f>IF(NFI_Expiration=1,IF($A559&lt;VLOOKUP(T$5,NFI,5,0),1,0)*Table_NFI[[#This Row],[Winter Items Other]],Table_NFI[Winter Items Other])</f>
        <v>0</v>
      </c>
      <c r="AL559" s="264">
        <f>IF(NFI_Expiration=1,IF($A559&lt;VLOOKUP(M$5,NFI,5,0),1,0)*Table_NFI[[#This Row],[Winter Blanket]],Table_NFI[[#This Row],[Winter Blanket]])</f>
        <v>0</v>
      </c>
      <c r="AM559" s="264">
        <f>IF(Table_NFI[[#This Row],[Winter Clothes Adult]]+Table_NFI[[#This Row],[Winter Clothes Children]]+Table_NFI[[#This Row],[Winter Items Other]]+Table_NFI[[#This Row],[Winter Blanket]]&gt;0,1,0)</f>
        <v>0</v>
      </c>
      <c r="AN559" s="296">
        <f>IF(NFI_Expiration=1,IF($A559&lt;VLOOKUP(V$5,NFI,5,0),1,0)*Table_NFI[[#This Row],[Jerry Can]],Table_NFI[Jerry Can])</f>
        <v>0</v>
      </c>
      <c r="AO559" s="296">
        <f>IF(NFI_Expiration=1,IF($A559&lt;VLOOKUP(V$5,NFI,5,0),1,0)*Table_NFI[[#This Row],[Shelter Tool kit]],Table_NFI[Shelter Tool kit])</f>
        <v>0</v>
      </c>
      <c r="AP559" s="296">
        <f>IF(NFI_Expiration=1,IF($A559&lt;VLOOKUP(V$5,NFI,5,0),1,0)*Table_NFI[[#This Row],[Tent]],Table_NFI[Tent])</f>
        <v>0</v>
      </c>
      <c r="AQ559" s="396" t="str">
        <f>IFERROR(VLOOKUP(Table_NFI[[#This Row],[Camp Name]],CL,2,0),"")</f>
        <v>MMR001CMP047</v>
      </c>
      <c r="AR559" s="702">
        <f ca="1">IF(Table_NFI[[#This Row],[Pcode]]="","",IF(OFFSET(CampList[Opening Date],MATCH(Table_NFI[[#This Row],[Pcode]],CampList[CP_Pcode],0)-1,0,1,1)&gt;=NFI_Monitor_Date,1,0))</f>
        <v>0</v>
      </c>
      <c r="AS559" s="396" t="str">
        <f>IFERROR(VLOOKUP(Table_NFI[[#This Row],[Camp Name]],CL,3,0),"")</f>
        <v>Open</v>
      </c>
      <c r="AT559" s="264" t="str">
        <f ca="1">IF(Table_NFI[[#This Row],[Pcode]]="","",OFFSET(CampList[Priority],MATCH(Table_NFI[[#This Row],[Pcode]],CampList[CP_Pcode],0)-1,0,1,1))</f>
        <v>P4</v>
      </c>
      <c r="AU559" s="263">
        <f>IFERROR(Table_NFI[[#This Row],[Kitchen Set]]/VLOOKUP(Table_NFI[[#This Row],[Camp Name]],CL,4,0),"")</f>
        <v>0</v>
      </c>
      <c r="AV559" s="390" t="s">
        <v>1087</v>
      </c>
      <c r="AW559" s="392"/>
      <c r="AX559" s="399"/>
      <c r="AY559" s="399"/>
      <c r="AZ559" s="399"/>
      <c r="BA559" s="399"/>
      <c r="BB559" s="399"/>
      <c r="BC559" s="399"/>
      <c r="BD559" s="399"/>
      <c r="BE559" s="399"/>
      <c r="BF559" s="399"/>
      <c r="BG559" s="399"/>
      <c r="BH559" s="399"/>
      <c r="BI559" s="399"/>
      <c r="BJ559" s="399"/>
      <c r="BK559" s="399"/>
      <c r="BL559" s="399"/>
      <c r="BM559" s="399"/>
      <c r="BN559" s="399"/>
      <c r="BO559" s="399"/>
      <c r="BP559" s="399"/>
      <c r="BQ559" s="399"/>
      <c r="BR559" s="399"/>
      <c r="BS559" s="399"/>
      <c r="BT559" s="399"/>
      <c r="BU559" s="399"/>
      <c r="BV559" s="399"/>
      <c r="BW559" s="399"/>
      <c r="BX559" s="399"/>
      <c r="BY559" s="399"/>
      <c r="BZ559" s="399"/>
      <c r="CA559" s="399"/>
      <c r="CB559" s="399"/>
      <c r="CC559" s="399"/>
      <c r="CD559" s="399"/>
      <c r="CE559" s="399"/>
      <c r="CF559" s="399"/>
      <c r="CG559" s="399"/>
      <c r="CH559" s="399"/>
      <c r="CI559" s="399"/>
      <c r="CJ559" s="399"/>
      <c r="CK559" s="399"/>
      <c r="CL559" s="399"/>
      <c r="CM559" s="399"/>
      <c r="CN559" s="399"/>
      <c r="CO559" s="399"/>
      <c r="CP559" s="399"/>
      <c r="CQ559" s="399"/>
      <c r="CR559" s="399"/>
      <c r="CS559" s="399"/>
      <c r="CT559" s="399"/>
      <c r="CU559" s="399"/>
      <c r="CV559" s="399"/>
      <c r="CW559" s="399"/>
      <c r="CX559" s="399"/>
      <c r="CY559" s="399"/>
      <c r="CZ559" s="399"/>
      <c r="DA559" s="399"/>
      <c r="DB559" s="399"/>
      <c r="DC559" s="399"/>
      <c r="DD559" s="399"/>
      <c r="DE559" s="399"/>
      <c r="DF559" s="399"/>
      <c r="DG559" s="399"/>
      <c r="DH559" s="399"/>
      <c r="DI559" s="399"/>
      <c r="DJ559" s="399"/>
      <c r="DK559" s="399"/>
      <c r="DL559" s="399"/>
      <c r="DM559" s="399"/>
      <c r="DN559" s="399"/>
      <c r="DO559" s="399"/>
      <c r="DP559" s="399"/>
      <c r="DQ559" s="399"/>
    </row>
    <row r="560" spans="1:121" s="760" customFormat="1" ht="14.45" customHeight="1" x14ac:dyDescent="0.25">
      <c r="A560" s="266">
        <f t="shared" si="8"/>
        <v>41.466666666666669</v>
      </c>
      <c r="B560" s="389">
        <v>41612</v>
      </c>
      <c r="C560" s="390" t="s">
        <v>451</v>
      </c>
      <c r="D560" s="391" t="s">
        <v>451</v>
      </c>
      <c r="E560" s="390" t="s">
        <v>380</v>
      </c>
      <c r="F560" s="262" t="s">
        <v>5</v>
      </c>
      <c r="G560" s="262" t="s">
        <v>22</v>
      </c>
      <c r="H560" s="261"/>
      <c r="I560" s="261"/>
      <c r="J560" s="261"/>
      <c r="K560" s="261"/>
      <c r="L560" s="261">
        <v>5</v>
      </c>
      <c r="M560" s="261"/>
      <c r="N560" s="261"/>
      <c r="O560" s="261"/>
      <c r="P560" s="261"/>
      <c r="Q560" s="261"/>
      <c r="R560" s="261"/>
      <c r="S560" s="261"/>
      <c r="T560" s="261"/>
      <c r="U560" s="261"/>
      <c r="V560" s="762"/>
      <c r="W560" s="261"/>
      <c r="X560" s="261"/>
      <c r="Y560" s="264">
        <f>IF(NFI_Expiration=1,IF($A560&lt;VLOOKUP(H$5,NFI,5,0),1,0)*Table_NFI[[#This Row],[Hygiene Kit]],Table_NFI[Hygiene Kit])</f>
        <v>0</v>
      </c>
      <c r="Z560" s="264">
        <f>IF(NFI_Expiration=1,IF($A560&lt;VLOOKUP(I$5,NFI,5,0),1,0)*Table_NFI[[#This Row],[NFI Core Kit]],Table_NFI[NFI Core Kit])</f>
        <v>0</v>
      </c>
      <c r="AA560" s="264">
        <f>IF(NFI_Expiration=1,IF($A560&lt;VLOOKUP(J$5,NFI,5,0),1,0)*Table_NFI[[#This Row],[Sanitary Kit]],Table_NFI[Sanitary Kit])</f>
        <v>0</v>
      </c>
      <c r="AB560" s="264">
        <f>IF(NFI_Expiration=1,IF($A560&lt;VLOOKUP(K$5,NFI,5,0),1,0)*Table_NFI[[#This Row],[Mosquito net]],Table_NFI[Mosquito net])</f>
        <v>0</v>
      </c>
      <c r="AC560" s="264">
        <f>IF(NFI_Expiration=1,IF($A560&lt;VLOOKUP(L$5,NFI,5,0),1,0)*Table_NFI[[#This Row],[Tarpaulin]],Table_NFI[[#This Row],[Tarpaulin]])</f>
        <v>0</v>
      </c>
      <c r="AD560" s="264">
        <f>IF(NFI_Expiration=1,IF($A560&lt;VLOOKUP(M$5,NFI,5,0),1,0)*Table_NFI[[#This Row],[Blanket]],Table_NFI[[#This Row],[Blanket]])</f>
        <v>0</v>
      </c>
      <c r="AE560" s="264">
        <f>IF(NFI_Expiration=1,IF($A560&lt;VLOOKUP(N$5,NFI,5,0),1,0)*Table_NFI[[#This Row],[Kitchen Set]],Table_NFI[Kitchen Set])</f>
        <v>0</v>
      </c>
      <c r="AF560" s="264">
        <f>IF(NFI_Expiration=1,IF($A560&lt;VLOOKUP(O$5,NFI,5,0),1,0)*Table_NFI[[#This Row],[Clothes Kit]],Table_NFI[Clothes Kit])</f>
        <v>0</v>
      </c>
      <c r="AG560" s="264">
        <f>IF(NFI_Expiration=1,IF($A560&lt;VLOOKUP(P$5,NFI,5,0),1,0)*Table_NFI[[#This Row],[Plastic Bucket]],Table_NFI[Plastic Bucket])</f>
        <v>0</v>
      </c>
      <c r="AH560" s="264">
        <f>IF(NFI_Expiration=1,IF($A560&lt;VLOOKUP(Q$5,NFI,5,0),1,0)*Table_NFI[[#This Row],[Plastic Mat]],Table_NFI[Plastic Mat])*IF(Table_NFI[[#This Row],[Distribution Date]]&gt;"2014-04-01",1,2.5)</f>
        <v>0</v>
      </c>
      <c r="AI560" s="264">
        <f>IF(NFI_Expiration=1,IF($A560&lt;VLOOKUP(R$5,NFI,5,0),1,0)*Table_NFI[[#This Row],[Winter Clothes Adult]],Table_NFI[Winter Clothes Adult])</f>
        <v>0</v>
      </c>
      <c r="AJ560" s="264">
        <f>IF(NFI_Expiration=1,IF($A560&lt;VLOOKUP(S$5,NFI,5,0),1,0)*Table_NFI[[#This Row],[Winter Clothes Children]],Table_NFI[Winter Clothes Children])</f>
        <v>0</v>
      </c>
      <c r="AK560" s="264">
        <f>IF(NFI_Expiration=1,IF($A560&lt;VLOOKUP(T$5,NFI,5,0),1,0)*Table_NFI[[#This Row],[Winter Items Other]],Table_NFI[Winter Items Other])</f>
        <v>0</v>
      </c>
      <c r="AL560" s="264">
        <f>IF(NFI_Expiration=1,IF($A560&lt;VLOOKUP(M$5,NFI,5,0),1,0)*Table_NFI[[#This Row],[Winter Blanket]],Table_NFI[[#This Row],[Winter Blanket]])</f>
        <v>0</v>
      </c>
      <c r="AM560" s="264">
        <f>IF(Table_NFI[[#This Row],[Winter Clothes Adult]]+Table_NFI[[#This Row],[Winter Clothes Children]]+Table_NFI[[#This Row],[Winter Items Other]]+Table_NFI[[#This Row],[Winter Blanket]]&gt;0,1,0)</f>
        <v>0</v>
      </c>
      <c r="AN560" s="296">
        <f>IF(NFI_Expiration=1,IF($A560&lt;VLOOKUP(V$5,NFI,5,0),1,0)*Table_NFI[[#This Row],[Jerry Can]],Table_NFI[Jerry Can])</f>
        <v>0</v>
      </c>
      <c r="AO560" s="296">
        <f>IF(NFI_Expiration=1,IF($A560&lt;VLOOKUP(V$5,NFI,5,0),1,0)*Table_NFI[[#This Row],[Shelter Tool kit]],Table_NFI[Shelter Tool kit])</f>
        <v>0</v>
      </c>
      <c r="AP560" s="296">
        <f>IF(NFI_Expiration=1,IF($A560&lt;VLOOKUP(V$5,NFI,5,0),1,0)*Table_NFI[[#This Row],[Tent]],Table_NFI[Tent])</f>
        <v>0</v>
      </c>
      <c r="AQ560" s="396" t="str">
        <f>IFERROR(VLOOKUP(Table_NFI[[#This Row],[Camp Name]],CL,2,0),"")</f>
        <v>MMR001CMP047</v>
      </c>
      <c r="AR560" s="702">
        <f ca="1">IF(Table_NFI[[#This Row],[Pcode]]="","",IF(OFFSET(CampList[Opening Date],MATCH(Table_NFI[[#This Row],[Pcode]],CampList[CP_Pcode],0)-1,0,1,1)&gt;=NFI_Monitor_Date,1,0))</f>
        <v>0</v>
      </c>
      <c r="AS560" s="396" t="str">
        <f>IFERROR(VLOOKUP(Table_NFI[[#This Row],[Camp Name]],CL,3,0),"")</f>
        <v>Open</v>
      </c>
      <c r="AT560" s="264" t="str">
        <f ca="1">IF(Table_NFI[[#This Row],[Pcode]]="","",OFFSET(CampList[Priority],MATCH(Table_NFI[[#This Row],[Pcode]],CampList[CP_Pcode],0)-1,0,1,1))</f>
        <v>P4</v>
      </c>
      <c r="AU560" s="263">
        <f>IFERROR(Table_NFI[[#This Row],[Kitchen Set]]/VLOOKUP(Table_NFI[[#This Row],[Camp Name]],CL,4,0),"")</f>
        <v>0</v>
      </c>
      <c r="AV560" s="390" t="s">
        <v>1087</v>
      </c>
      <c r="AW560" s="392"/>
      <c r="AX560" s="399"/>
      <c r="AY560" s="399"/>
      <c r="AZ560" s="399"/>
      <c r="BA560" s="399"/>
      <c r="BB560" s="399"/>
      <c r="BC560" s="399"/>
      <c r="BD560" s="399"/>
      <c r="BE560" s="399"/>
      <c r="BF560" s="399"/>
      <c r="BG560" s="399"/>
      <c r="BH560" s="399"/>
      <c r="BI560" s="399"/>
      <c r="BJ560" s="399"/>
      <c r="BK560" s="399"/>
      <c r="BL560" s="399"/>
      <c r="BM560" s="399"/>
      <c r="BN560" s="399"/>
      <c r="BO560" s="399"/>
      <c r="BP560" s="399"/>
      <c r="BQ560" s="399"/>
      <c r="BR560" s="399"/>
      <c r="BS560" s="399"/>
      <c r="BT560" s="399"/>
      <c r="BU560" s="399"/>
      <c r="BV560" s="399"/>
      <c r="BW560" s="399"/>
      <c r="BX560" s="399"/>
      <c r="BY560" s="399"/>
      <c r="BZ560" s="399"/>
      <c r="CA560" s="399"/>
      <c r="CB560" s="399"/>
      <c r="CC560" s="399"/>
      <c r="CD560" s="399"/>
      <c r="CE560" s="399"/>
      <c r="CF560" s="399"/>
      <c r="CG560" s="399"/>
      <c r="CH560" s="399"/>
      <c r="CI560" s="399"/>
      <c r="CJ560" s="399"/>
      <c r="CK560" s="399"/>
      <c r="CL560" s="399"/>
      <c r="CM560" s="399"/>
      <c r="CN560" s="399"/>
      <c r="CO560" s="399"/>
      <c r="CP560" s="399"/>
      <c r="CQ560" s="399"/>
      <c r="CR560" s="399"/>
      <c r="CS560" s="399"/>
      <c r="CT560" s="399"/>
      <c r="CU560" s="399"/>
      <c r="CV560" s="399"/>
      <c r="CW560" s="399"/>
      <c r="CX560" s="399"/>
      <c r="CY560" s="399"/>
      <c r="CZ560" s="399"/>
      <c r="DA560" s="399"/>
      <c r="DB560" s="399"/>
      <c r="DC560" s="399"/>
      <c r="DD560" s="399"/>
      <c r="DE560" s="399"/>
      <c r="DF560" s="399"/>
      <c r="DG560" s="399"/>
      <c r="DH560" s="399"/>
      <c r="DI560" s="399"/>
      <c r="DJ560" s="399"/>
      <c r="DK560" s="399"/>
      <c r="DL560" s="399"/>
      <c r="DM560" s="399"/>
      <c r="DN560" s="399"/>
      <c r="DO560" s="399"/>
      <c r="DP560" s="399"/>
      <c r="DQ560" s="399"/>
    </row>
    <row r="561" spans="1:121" s="760" customFormat="1" ht="14.45" customHeight="1" x14ac:dyDescent="0.25">
      <c r="A561" s="266">
        <f t="shared" si="8"/>
        <v>41.5</v>
      </c>
      <c r="B561" s="389">
        <v>41611</v>
      </c>
      <c r="C561" s="390" t="s">
        <v>904</v>
      </c>
      <c r="D561" s="390" t="s">
        <v>459</v>
      </c>
      <c r="E561" s="390" t="s">
        <v>380</v>
      </c>
      <c r="F561" s="390" t="s">
        <v>310</v>
      </c>
      <c r="G561" s="390" t="s">
        <v>334</v>
      </c>
      <c r="H561" s="261"/>
      <c r="I561" s="261"/>
      <c r="J561" s="261"/>
      <c r="K561" s="261"/>
      <c r="L561" s="261"/>
      <c r="M561" s="261"/>
      <c r="N561" s="261"/>
      <c r="O561" s="261"/>
      <c r="P561" s="261"/>
      <c r="Q561" s="261"/>
      <c r="R561" s="261">
        <v>181</v>
      </c>
      <c r="S561" s="261">
        <v>362</v>
      </c>
      <c r="T561" s="261">
        <v>1086</v>
      </c>
      <c r="U561" s="261">
        <v>543</v>
      </c>
      <c r="V561" s="762"/>
      <c r="W561" s="261"/>
      <c r="X561" s="261"/>
      <c r="Y561" s="264">
        <f>IF(NFI_Expiration=1,IF($A561&lt;VLOOKUP(H$5,NFI,5,0),1,0)*Table_NFI[[#This Row],[Hygiene Kit]],Table_NFI[Hygiene Kit])</f>
        <v>0</v>
      </c>
      <c r="Z561" s="264">
        <f>IF(NFI_Expiration=1,IF($A561&lt;VLOOKUP(I$5,NFI,5,0),1,0)*Table_NFI[[#This Row],[NFI Core Kit]],Table_NFI[NFI Core Kit])</f>
        <v>0</v>
      </c>
      <c r="AA561" s="264">
        <f>IF(NFI_Expiration=1,IF($A561&lt;VLOOKUP(J$5,NFI,5,0),1,0)*Table_NFI[[#This Row],[Sanitary Kit]],Table_NFI[Sanitary Kit])</f>
        <v>0</v>
      </c>
      <c r="AB561" s="264">
        <f>IF(NFI_Expiration=1,IF($A561&lt;VLOOKUP(K$5,NFI,5,0),1,0)*Table_NFI[[#This Row],[Mosquito net]],Table_NFI[Mosquito net])</f>
        <v>0</v>
      </c>
      <c r="AC561" s="264">
        <f>IF(NFI_Expiration=1,IF($A561&lt;VLOOKUP(L$5,NFI,5,0),1,0)*Table_NFI[[#This Row],[Tarpaulin]],Table_NFI[[#This Row],[Tarpaulin]])</f>
        <v>0</v>
      </c>
      <c r="AD561" s="264">
        <f>IF(NFI_Expiration=1,IF($A561&lt;VLOOKUP(M$5,NFI,5,0),1,0)*Table_NFI[[#This Row],[Blanket]],Table_NFI[[#This Row],[Blanket]])</f>
        <v>0</v>
      </c>
      <c r="AE561" s="264">
        <f>IF(NFI_Expiration=1,IF($A561&lt;VLOOKUP(N$5,NFI,5,0),1,0)*Table_NFI[[#This Row],[Kitchen Set]],Table_NFI[Kitchen Set])</f>
        <v>0</v>
      </c>
      <c r="AF561" s="264">
        <f>IF(NFI_Expiration=1,IF($A561&lt;VLOOKUP(O$5,NFI,5,0),1,0)*Table_NFI[[#This Row],[Clothes Kit]],Table_NFI[Clothes Kit])</f>
        <v>0</v>
      </c>
      <c r="AG561" s="264">
        <f>IF(NFI_Expiration=1,IF($A561&lt;VLOOKUP(P$5,NFI,5,0),1,0)*Table_NFI[[#This Row],[Plastic Bucket]],Table_NFI[Plastic Bucket])</f>
        <v>0</v>
      </c>
      <c r="AH561" s="264">
        <f>IF(NFI_Expiration=1,IF($A561&lt;VLOOKUP(Q$5,NFI,5,0),1,0)*Table_NFI[[#This Row],[Plastic Mat]],Table_NFI[Plastic Mat])*IF(Table_NFI[[#This Row],[Distribution Date]]&gt;"2014-04-01",1,2.5)</f>
        <v>0</v>
      </c>
      <c r="AI561" s="264">
        <f>IF(NFI_Expiration=1,IF($A561&lt;VLOOKUP(R$5,NFI,5,0),1,0)*Table_NFI[[#This Row],[Winter Clothes Adult]],Table_NFI[Winter Clothes Adult])</f>
        <v>0</v>
      </c>
      <c r="AJ561" s="264">
        <f>IF(NFI_Expiration=1,IF($A561&lt;VLOOKUP(S$5,NFI,5,0),1,0)*Table_NFI[[#This Row],[Winter Clothes Children]],Table_NFI[Winter Clothes Children])</f>
        <v>0</v>
      </c>
      <c r="AK561" s="264">
        <f>IF(NFI_Expiration=1,IF($A561&lt;VLOOKUP(T$5,NFI,5,0),1,0)*Table_NFI[[#This Row],[Winter Items Other]],Table_NFI[Winter Items Other])</f>
        <v>0</v>
      </c>
      <c r="AL561" s="264">
        <f>IF(NFI_Expiration=1,IF($A561&lt;VLOOKUP(M$5,NFI,5,0),1,0)*Table_NFI[[#This Row],[Winter Blanket]],Table_NFI[[#This Row],[Winter Blanket]])</f>
        <v>0</v>
      </c>
      <c r="AM561" s="264">
        <f>IF(Table_NFI[[#This Row],[Winter Clothes Adult]]+Table_NFI[[#This Row],[Winter Clothes Children]]+Table_NFI[[#This Row],[Winter Items Other]]+Table_NFI[[#This Row],[Winter Blanket]]&gt;0,1,0)</f>
        <v>1</v>
      </c>
      <c r="AN561" s="296">
        <f>IF(NFI_Expiration=1,IF($A561&lt;VLOOKUP(V$5,NFI,5,0),1,0)*Table_NFI[[#This Row],[Jerry Can]],Table_NFI[Jerry Can])</f>
        <v>0</v>
      </c>
      <c r="AO561" s="296">
        <f>IF(NFI_Expiration=1,IF($A561&lt;VLOOKUP(V$5,NFI,5,0),1,0)*Table_NFI[[#This Row],[Shelter Tool kit]],Table_NFI[Shelter Tool kit])</f>
        <v>0</v>
      </c>
      <c r="AP561" s="296">
        <f>IF(NFI_Expiration=1,IF($A561&lt;VLOOKUP(V$5,NFI,5,0),1,0)*Table_NFI[[#This Row],[Tent]],Table_NFI[Tent])</f>
        <v>0</v>
      </c>
      <c r="AQ561" s="396" t="str">
        <f>IFERROR(VLOOKUP(Table_NFI[[#This Row],[Camp Name]],CL,2,0),"")</f>
        <v>MMR001CMP113</v>
      </c>
      <c r="AR561" s="702">
        <f ca="1">IF(Table_NFI[[#This Row],[Pcode]]="","",IF(OFFSET(CampList[Opening Date],MATCH(Table_NFI[[#This Row],[Pcode]],CampList[CP_Pcode],0)-1,0,1,1)&gt;=NFI_Monitor_Date,1,0))</f>
        <v>0</v>
      </c>
      <c r="AS561" s="396" t="str">
        <f>IFERROR(VLOOKUP(Table_NFI[[#This Row],[Camp Name]],CL,3,0),"")</f>
        <v>Open</v>
      </c>
      <c r="AT561" s="264" t="str">
        <f ca="1">IF(Table_NFI[[#This Row],[Pcode]]="","",OFFSET(CampList[Priority],MATCH(Table_NFI[[#This Row],[Pcode]],CampList[CP_Pcode],0)-1,0,1,1))</f>
        <v>P1</v>
      </c>
      <c r="AU561" s="263">
        <f>IFERROR(Table_NFI[[#This Row],[Kitchen Set]]/VLOOKUP(Table_NFI[[#This Row],[Camp Name]],CL,4,0),"")</f>
        <v>0</v>
      </c>
      <c r="AV561" s="390"/>
      <c r="AW561" s="392"/>
      <c r="AX561" s="399"/>
      <c r="AY561" s="399"/>
      <c r="AZ561" s="399"/>
      <c r="BA561" s="399"/>
      <c r="BB561" s="399"/>
      <c r="BC561" s="399"/>
      <c r="BD561" s="399"/>
      <c r="BE561" s="399"/>
      <c r="BF561" s="399"/>
      <c r="BG561" s="399"/>
      <c r="BH561" s="399"/>
      <c r="BI561" s="399"/>
      <c r="BJ561" s="399"/>
      <c r="BK561" s="399"/>
      <c r="BL561" s="399"/>
      <c r="BM561" s="399"/>
      <c r="BN561" s="399"/>
      <c r="BO561" s="399"/>
      <c r="BP561" s="399"/>
      <c r="BQ561" s="399"/>
      <c r="BR561" s="399"/>
      <c r="BS561" s="399"/>
      <c r="BT561" s="399"/>
      <c r="BU561" s="399"/>
      <c r="BV561" s="399"/>
      <c r="BW561" s="399"/>
      <c r="BX561" s="399"/>
      <c r="BY561" s="399"/>
      <c r="BZ561" s="399"/>
      <c r="CA561" s="399"/>
      <c r="CB561" s="399"/>
      <c r="CC561" s="399"/>
      <c r="CD561" s="399"/>
      <c r="CE561" s="399"/>
      <c r="CF561" s="399"/>
      <c r="CG561" s="399"/>
      <c r="CH561" s="399"/>
      <c r="CI561" s="399"/>
      <c r="CJ561" s="399"/>
      <c r="CK561" s="399"/>
      <c r="CL561" s="399"/>
      <c r="CM561" s="399"/>
      <c r="CN561" s="399"/>
      <c r="CO561" s="399"/>
      <c r="CP561" s="399"/>
      <c r="CQ561" s="399"/>
      <c r="CR561" s="399"/>
      <c r="CS561" s="399"/>
      <c r="CT561" s="399"/>
      <c r="CU561" s="399"/>
      <c r="CV561" s="399"/>
      <c r="CW561" s="399"/>
      <c r="CX561" s="399"/>
      <c r="CY561" s="399"/>
      <c r="CZ561" s="399"/>
      <c r="DA561" s="399"/>
      <c r="DB561" s="399"/>
      <c r="DC561" s="399"/>
      <c r="DD561" s="399"/>
      <c r="DE561" s="399"/>
      <c r="DF561" s="399"/>
      <c r="DG561" s="399"/>
      <c r="DH561" s="399"/>
      <c r="DI561" s="399"/>
      <c r="DJ561" s="399"/>
      <c r="DK561" s="399"/>
      <c r="DL561" s="399"/>
      <c r="DM561" s="399"/>
      <c r="DN561" s="399"/>
      <c r="DO561" s="399"/>
      <c r="DP561" s="399"/>
      <c r="DQ561" s="399"/>
    </row>
    <row r="562" spans="1:121" s="760" customFormat="1" ht="14.45" customHeight="1" x14ac:dyDescent="0.25">
      <c r="A562" s="266">
        <f t="shared" si="8"/>
        <v>41.5</v>
      </c>
      <c r="B562" s="389">
        <v>41611</v>
      </c>
      <c r="C562" s="390" t="s">
        <v>451</v>
      </c>
      <c r="D562" s="391" t="s">
        <v>451</v>
      </c>
      <c r="E562" s="390" t="s">
        <v>380</v>
      </c>
      <c r="F562" s="262" t="s">
        <v>185</v>
      </c>
      <c r="G562" s="262" t="s">
        <v>209</v>
      </c>
      <c r="H562" s="261"/>
      <c r="I562" s="261"/>
      <c r="J562" s="261"/>
      <c r="K562" s="261">
        <v>25</v>
      </c>
      <c r="L562" s="261">
        <v>13</v>
      </c>
      <c r="M562" s="261">
        <v>25</v>
      </c>
      <c r="N562" s="261">
        <v>13</v>
      </c>
      <c r="O562" s="261">
        <v>13</v>
      </c>
      <c r="P562" s="261"/>
      <c r="Q562" s="261"/>
      <c r="R562" s="261"/>
      <c r="S562" s="261"/>
      <c r="T562" s="261"/>
      <c r="U562" s="261"/>
      <c r="V562" s="762"/>
      <c r="W562" s="261"/>
      <c r="X562" s="261"/>
      <c r="Y562" s="264">
        <f>IF(NFI_Expiration=1,IF($A562&lt;VLOOKUP(H$5,NFI,5,0),1,0)*Table_NFI[[#This Row],[Hygiene Kit]],Table_NFI[Hygiene Kit])</f>
        <v>0</v>
      </c>
      <c r="Z562" s="264">
        <f>IF(NFI_Expiration=1,IF($A562&lt;VLOOKUP(I$5,NFI,5,0),1,0)*Table_NFI[[#This Row],[NFI Core Kit]],Table_NFI[NFI Core Kit])</f>
        <v>0</v>
      </c>
      <c r="AA562" s="264">
        <f>IF(NFI_Expiration=1,IF($A562&lt;VLOOKUP(J$5,NFI,5,0),1,0)*Table_NFI[[#This Row],[Sanitary Kit]],Table_NFI[Sanitary Kit])</f>
        <v>0</v>
      </c>
      <c r="AB562" s="264">
        <f>IF(NFI_Expiration=1,IF($A562&lt;VLOOKUP(K$5,NFI,5,0),1,0)*Table_NFI[[#This Row],[Mosquito net]],Table_NFI[Mosquito net])</f>
        <v>0</v>
      </c>
      <c r="AC562" s="264">
        <f>IF(NFI_Expiration=1,IF($A562&lt;VLOOKUP(L$5,NFI,5,0),1,0)*Table_NFI[[#This Row],[Tarpaulin]],Table_NFI[[#This Row],[Tarpaulin]])</f>
        <v>0</v>
      </c>
      <c r="AD562" s="264">
        <f>IF(NFI_Expiration=1,IF($A562&lt;VLOOKUP(M$5,NFI,5,0),1,0)*Table_NFI[[#This Row],[Blanket]],Table_NFI[[#This Row],[Blanket]])</f>
        <v>0</v>
      </c>
      <c r="AE562" s="264">
        <f>IF(NFI_Expiration=1,IF($A562&lt;VLOOKUP(N$5,NFI,5,0),1,0)*Table_NFI[[#This Row],[Kitchen Set]],Table_NFI[Kitchen Set])</f>
        <v>0</v>
      </c>
      <c r="AF562" s="264">
        <f>IF(NFI_Expiration=1,IF($A562&lt;VLOOKUP(O$5,NFI,5,0),1,0)*Table_NFI[[#This Row],[Clothes Kit]],Table_NFI[Clothes Kit])</f>
        <v>0</v>
      </c>
      <c r="AG562" s="264">
        <f>IF(NFI_Expiration=1,IF($A562&lt;VLOOKUP(P$5,NFI,5,0),1,0)*Table_NFI[[#This Row],[Plastic Bucket]],Table_NFI[Plastic Bucket])</f>
        <v>0</v>
      </c>
      <c r="AH562" s="264">
        <f>IF(NFI_Expiration=1,IF($A562&lt;VLOOKUP(Q$5,NFI,5,0),1,0)*Table_NFI[[#This Row],[Plastic Mat]],Table_NFI[Plastic Mat])*IF(Table_NFI[[#This Row],[Distribution Date]]&gt;"2014-04-01",1,2.5)</f>
        <v>0</v>
      </c>
      <c r="AI562" s="264">
        <f>IF(NFI_Expiration=1,IF($A562&lt;VLOOKUP(R$5,NFI,5,0),1,0)*Table_NFI[[#This Row],[Winter Clothes Adult]],Table_NFI[Winter Clothes Adult])</f>
        <v>0</v>
      </c>
      <c r="AJ562" s="264">
        <f>IF(NFI_Expiration=1,IF($A562&lt;VLOOKUP(S$5,NFI,5,0),1,0)*Table_NFI[[#This Row],[Winter Clothes Children]],Table_NFI[Winter Clothes Children])</f>
        <v>0</v>
      </c>
      <c r="AK562" s="264">
        <f>IF(NFI_Expiration=1,IF($A562&lt;VLOOKUP(T$5,NFI,5,0),1,0)*Table_NFI[[#This Row],[Winter Items Other]],Table_NFI[Winter Items Other])</f>
        <v>0</v>
      </c>
      <c r="AL562" s="264">
        <f>IF(NFI_Expiration=1,IF($A562&lt;VLOOKUP(M$5,NFI,5,0),1,0)*Table_NFI[[#This Row],[Winter Blanket]],Table_NFI[[#This Row],[Winter Blanket]])</f>
        <v>0</v>
      </c>
      <c r="AM562" s="264">
        <f>IF(Table_NFI[[#This Row],[Winter Clothes Adult]]+Table_NFI[[#This Row],[Winter Clothes Children]]+Table_NFI[[#This Row],[Winter Items Other]]+Table_NFI[[#This Row],[Winter Blanket]]&gt;0,1,0)</f>
        <v>0</v>
      </c>
      <c r="AN562" s="296">
        <f>IF(NFI_Expiration=1,IF($A562&lt;VLOOKUP(V$5,NFI,5,0),1,0)*Table_NFI[[#This Row],[Jerry Can]],Table_NFI[Jerry Can])</f>
        <v>0</v>
      </c>
      <c r="AO562" s="296">
        <f>IF(NFI_Expiration=1,IF($A562&lt;VLOOKUP(V$5,NFI,5,0),1,0)*Table_NFI[[#This Row],[Shelter Tool kit]],Table_NFI[Shelter Tool kit])</f>
        <v>0</v>
      </c>
      <c r="AP562" s="296">
        <f>IF(NFI_Expiration=1,IF($A562&lt;VLOOKUP(V$5,NFI,5,0),1,0)*Table_NFI[[#This Row],[Tent]],Table_NFI[Tent])</f>
        <v>0</v>
      </c>
      <c r="AQ562" s="396" t="str">
        <f>IFERROR(VLOOKUP(Table_NFI[[#This Row],[Camp Name]],CL,2,0),"")</f>
        <v>MMR001CMP056</v>
      </c>
      <c r="AR562" s="702">
        <f ca="1">IF(Table_NFI[[#This Row],[Pcode]]="","",IF(OFFSET(CampList[Opening Date],MATCH(Table_NFI[[#This Row],[Pcode]],CampList[CP_Pcode],0)-1,0,1,1)&gt;=NFI_Monitor_Date,1,0))</f>
        <v>0</v>
      </c>
      <c r="AS562" s="396" t="str">
        <f>IFERROR(VLOOKUP(Table_NFI[[#This Row],[Camp Name]],CL,3,0),"")</f>
        <v>Open</v>
      </c>
      <c r="AT562" s="264" t="str">
        <f ca="1">IF(Table_NFI[[#This Row],[Pcode]]="","",OFFSET(CampList[Priority],MATCH(Table_NFI[[#This Row],[Pcode]],CampList[CP_Pcode],0)-1,0,1,1))</f>
        <v>P4</v>
      </c>
      <c r="AU562" s="263">
        <f>IFERROR(Table_NFI[[#This Row],[Kitchen Set]]/VLOOKUP(Table_NFI[[#This Row],[Camp Name]],CL,4,0),"")</f>
        <v>3.1944956382848013E-4</v>
      </c>
      <c r="AV562" s="390" t="s">
        <v>1087</v>
      </c>
      <c r="AW562" s="392"/>
      <c r="AX562" s="399"/>
      <c r="AY562" s="399"/>
      <c r="AZ562" s="399"/>
      <c r="BA562" s="399"/>
      <c r="BB562" s="399"/>
      <c r="BC562" s="399"/>
      <c r="BD562" s="399"/>
      <c r="BE562" s="399"/>
      <c r="BF562" s="399"/>
      <c r="BG562" s="399"/>
      <c r="BH562" s="399"/>
      <c r="BI562" s="399"/>
      <c r="BJ562" s="399"/>
      <c r="BK562" s="399"/>
      <c r="BL562" s="399"/>
      <c r="BM562" s="399"/>
      <c r="BN562" s="399"/>
      <c r="BO562" s="399"/>
      <c r="BP562" s="399"/>
      <c r="BQ562" s="399"/>
      <c r="BR562" s="399"/>
      <c r="BS562" s="399"/>
      <c r="BT562" s="399"/>
      <c r="BU562" s="399"/>
      <c r="BV562" s="399"/>
      <c r="BW562" s="399"/>
      <c r="BX562" s="399"/>
      <c r="BY562" s="399"/>
      <c r="BZ562" s="399"/>
      <c r="CA562" s="399"/>
      <c r="CB562" s="399"/>
      <c r="CC562" s="399"/>
      <c r="CD562" s="399"/>
      <c r="CE562" s="399"/>
      <c r="CF562" s="399"/>
      <c r="CG562" s="399"/>
      <c r="CH562" s="399"/>
      <c r="CI562" s="399"/>
      <c r="CJ562" s="399"/>
      <c r="CK562" s="399"/>
      <c r="CL562" s="399"/>
      <c r="CM562" s="399"/>
      <c r="CN562" s="399"/>
      <c r="CO562" s="399"/>
      <c r="CP562" s="399"/>
      <c r="CQ562" s="399"/>
      <c r="CR562" s="399"/>
      <c r="CS562" s="399"/>
      <c r="CT562" s="399"/>
      <c r="CU562" s="399"/>
      <c r="CV562" s="399"/>
      <c r="CW562" s="399"/>
      <c r="CX562" s="399"/>
      <c r="CY562" s="399"/>
      <c r="CZ562" s="399"/>
      <c r="DA562" s="399"/>
      <c r="DB562" s="399"/>
      <c r="DC562" s="399"/>
      <c r="DD562" s="399"/>
      <c r="DE562" s="399"/>
      <c r="DF562" s="399"/>
      <c r="DG562" s="399"/>
      <c r="DH562" s="399"/>
      <c r="DI562" s="399"/>
      <c r="DJ562" s="399"/>
      <c r="DK562" s="399"/>
      <c r="DL562" s="399"/>
      <c r="DM562" s="399"/>
      <c r="DN562" s="399"/>
      <c r="DO562" s="399"/>
      <c r="DP562" s="399"/>
      <c r="DQ562" s="399"/>
    </row>
    <row r="563" spans="1:121" s="760" customFormat="1" ht="27.6" customHeight="1" x14ac:dyDescent="0.25">
      <c r="A563" s="266">
        <f t="shared" si="8"/>
        <v>41.533333333333331</v>
      </c>
      <c r="B563" s="389">
        <v>41610</v>
      </c>
      <c r="C563" s="390" t="s">
        <v>904</v>
      </c>
      <c r="D563" s="390" t="s">
        <v>459</v>
      </c>
      <c r="E563" s="390" t="s">
        <v>380</v>
      </c>
      <c r="F563" s="390" t="s">
        <v>310</v>
      </c>
      <c r="G563" s="390" t="s">
        <v>355</v>
      </c>
      <c r="H563" s="261"/>
      <c r="I563" s="261"/>
      <c r="J563" s="261"/>
      <c r="K563" s="261"/>
      <c r="L563" s="261"/>
      <c r="M563" s="261"/>
      <c r="N563" s="261"/>
      <c r="O563" s="261"/>
      <c r="P563" s="261"/>
      <c r="Q563" s="261"/>
      <c r="R563" s="261">
        <v>124</v>
      </c>
      <c r="S563" s="261">
        <v>248</v>
      </c>
      <c r="T563" s="261">
        <v>744</v>
      </c>
      <c r="U563" s="261">
        <v>372</v>
      </c>
      <c r="V563" s="762"/>
      <c r="W563" s="261"/>
      <c r="X563" s="261"/>
      <c r="Y563" s="264">
        <f>IF(NFI_Expiration=1,IF($A563&lt;VLOOKUP(H$5,NFI,5,0),1,0)*Table_NFI[[#This Row],[Hygiene Kit]],Table_NFI[Hygiene Kit])</f>
        <v>0</v>
      </c>
      <c r="Z563" s="264">
        <f>IF(NFI_Expiration=1,IF($A563&lt;VLOOKUP(I$5,NFI,5,0),1,0)*Table_NFI[[#This Row],[NFI Core Kit]],Table_NFI[NFI Core Kit])</f>
        <v>0</v>
      </c>
      <c r="AA563" s="264">
        <f>IF(NFI_Expiration=1,IF($A563&lt;VLOOKUP(J$5,NFI,5,0),1,0)*Table_NFI[[#This Row],[Sanitary Kit]],Table_NFI[Sanitary Kit])</f>
        <v>0</v>
      </c>
      <c r="AB563" s="264">
        <f>IF(NFI_Expiration=1,IF($A563&lt;VLOOKUP(K$5,NFI,5,0),1,0)*Table_NFI[[#This Row],[Mosquito net]],Table_NFI[Mosquito net])</f>
        <v>0</v>
      </c>
      <c r="AC563" s="264">
        <f>IF(NFI_Expiration=1,IF($A563&lt;VLOOKUP(L$5,NFI,5,0),1,0)*Table_NFI[[#This Row],[Tarpaulin]],Table_NFI[[#This Row],[Tarpaulin]])</f>
        <v>0</v>
      </c>
      <c r="AD563" s="264">
        <f>IF(NFI_Expiration=1,IF($A563&lt;VLOOKUP(M$5,NFI,5,0),1,0)*Table_NFI[[#This Row],[Blanket]],Table_NFI[[#This Row],[Blanket]])</f>
        <v>0</v>
      </c>
      <c r="AE563" s="264">
        <f>IF(NFI_Expiration=1,IF($A563&lt;VLOOKUP(N$5,NFI,5,0),1,0)*Table_NFI[[#This Row],[Kitchen Set]],Table_NFI[Kitchen Set])</f>
        <v>0</v>
      </c>
      <c r="AF563" s="264">
        <f>IF(NFI_Expiration=1,IF($A563&lt;VLOOKUP(O$5,NFI,5,0),1,0)*Table_NFI[[#This Row],[Clothes Kit]],Table_NFI[Clothes Kit])</f>
        <v>0</v>
      </c>
      <c r="AG563" s="264">
        <f>IF(NFI_Expiration=1,IF($A563&lt;VLOOKUP(P$5,NFI,5,0),1,0)*Table_NFI[[#This Row],[Plastic Bucket]],Table_NFI[Plastic Bucket])</f>
        <v>0</v>
      </c>
      <c r="AH563" s="264">
        <f>IF(NFI_Expiration=1,IF($A563&lt;VLOOKUP(Q$5,NFI,5,0),1,0)*Table_NFI[[#This Row],[Plastic Mat]],Table_NFI[Plastic Mat])*IF(Table_NFI[[#This Row],[Distribution Date]]&gt;"2014-04-01",1,2.5)</f>
        <v>0</v>
      </c>
      <c r="AI563" s="264">
        <f>IF(NFI_Expiration=1,IF($A563&lt;VLOOKUP(R$5,NFI,5,0),1,0)*Table_NFI[[#This Row],[Winter Clothes Adult]],Table_NFI[Winter Clothes Adult])</f>
        <v>0</v>
      </c>
      <c r="AJ563" s="264">
        <f>IF(NFI_Expiration=1,IF($A563&lt;VLOOKUP(S$5,NFI,5,0),1,0)*Table_NFI[[#This Row],[Winter Clothes Children]],Table_NFI[Winter Clothes Children])</f>
        <v>0</v>
      </c>
      <c r="AK563" s="264">
        <f>IF(NFI_Expiration=1,IF($A563&lt;VLOOKUP(T$5,NFI,5,0),1,0)*Table_NFI[[#This Row],[Winter Items Other]],Table_NFI[Winter Items Other])</f>
        <v>0</v>
      </c>
      <c r="AL563" s="264">
        <f>IF(NFI_Expiration=1,IF($A563&lt;VLOOKUP(M$5,NFI,5,0),1,0)*Table_NFI[[#This Row],[Winter Blanket]],Table_NFI[[#This Row],[Winter Blanket]])</f>
        <v>0</v>
      </c>
      <c r="AM563" s="264">
        <f>IF(Table_NFI[[#This Row],[Winter Clothes Adult]]+Table_NFI[[#This Row],[Winter Clothes Children]]+Table_NFI[[#This Row],[Winter Items Other]]+Table_NFI[[#This Row],[Winter Blanket]]&gt;0,1,0)</f>
        <v>1</v>
      </c>
      <c r="AN563" s="296">
        <f>IF(NFI_Expiration=1,IF($A563&lt;VLOOKUP(V$5,NFI,5,0),1,0)*Table_NFI[[#This Row],[Jerry Can]],Table_NFI[Jerry Can])</f>
        <v>0</v>
      </c>
      <c r="AO563" s="296">
        <f>IF(NFI_Expiration=1,IF($A563&lt;VLOOKUP(V$5,NFI,5,0),1,0)*Table_NFI[[#This Row],[Shelter Tool kit]],Table_NFI[Shelter Tool kit])</f>
        <v>0</v>
      </c>
      <c r="AP563" s="296">
        <f>IF(NFI_Expiration=1,IF($A563&lt;VLOOKUP(V$5,NFI,5,0),1,0)*Table_NFI[[#This Row],[Tent]],Table_NFI[Tent])</f>
        <v>0</v>
      </c>
      <c r="AQ563" s="396" t="str">
        <f>IFERROR(VLOOKUP(Table_NFI[[#This Row],[Camp Name]],CL,2,0),"")</f>
        <v>MMR001CMP160</v>
      </c>
      <c r="AR563" s="702">
        <f ca="1">IF(Table_NFI[[#This Row],[Pcode]]="","",IF(OFFSET(CampList[Opening Date],MATCH(Table_NFI[[#This Row],[Pcode]],CampList[CP_Pcode],0)-1,0,1,1)&gt;=NFI_Monitor_Date,1,0))</f>
        <v>0</v>
      </c>
      <c r="AS563" s="396" t="str">
        <f>IFERROR(VLOOKUP(Table_NFI[[#This Row],[Camp Name]],CL,3,0),"")</f>
        <v>Open</v>
      </c>
      <c r="AT563" s="264" t="str">
        <f ca="1">IF(Table_NFI[[#This Row],[Pcode]]="","",OFFSET(CampList[Priority],MATCH(Table_NFI[[#This Row],[Pcode]],CampList[CP_Pcode],0)-1,0,1,1))</f>
        <v>P1</v>
      </c>
      <c r="AU563" s="263">
        <f>IFERROR(Table_NFI[[#This Row],[Kitchen Set]]/VLOOKUP(Table_NFI[[#This Row],[Camp Name]],CL,4,0),"")</f>
        <v>0</v>
      </c>
      <c r="AV563" s="390"/>
      <c r="AW563" s="392"/>
      <c r="AX563" s="399"/>
      <c r="AY563" s="399"/>
      <c r="AZ563" s="399"/>
      <c r="BA563" s="399"/>
      <c r="BB563" s="399"/>
      <c r="BC563" s="399"/>
      <c r="BD563" s="399"/>
      <c r="BE563" s="399"/>
      <c r="BF563" s="399"/>
      <c r="BG563" s="399"/>
      <c r="BH563" s="399"/>
      <c r="BI563" s="399"/>
      <c r="BJ563" s="399"/>
      <c r="BK563" s="399"/>
      <c r="BL563" s="399"/>
      <c r="BM563" s="399"/>
      <c r="BN563" s="399"/>
      <c r="BO563" s="399"/>
      <c r="BP563" s="399"/>
      <c r="BQ563" s="399"/>
      <c r="BR563" s="399"/>
      <c r="BS563" s="399"/>
      <c r="BT563" s="399"/>
      <c r="BU563" s="399"/>
      <c r="BV563" s="399"/>
      <c r="BW563" s="399"/>
      <c r="BX563" s="399"/>
      <c r="BY563" s="399"/>
      <c r="BZ563" s="399"/>
      <c r="CA563" s="399"/>
      <c r="CB563" s="399"/>
      <c r="CC563" s="399"/>
      <c r="CD563" s="399"/>
      <c r="CE563" s="399"/>
      <c r="CF563" s="399"/>
      <c r="CG563" s="399"/>
      <c r="CH563" s="399"/>
      <c r="CI563" s="399"/>
      <c r="CJ563" s="399"/>
      <c r="CK563" s="399"/>
      <c r="CL563" s="399"/>
      <c r="CM563" s="399"/>
      <c r="CN563" s="399"/>
      <c r="CO563" s="399"/>
      <c r="CP563" s="399"/>
      <c r="CQ563" s="399"/>
      <c r="CR563" s="399"/>
      <c r="CS563" s="399"/>
      <c r="CT563" s="399"/>
      <c r="CU563" s="399"/>
      <c r="CV563" s="399"/>
      <c r="CW563" s="399"/>
      <c r="CX563" s="399"/>
      <c r="CY563" s="399"/>
      <c r="CZ563" s="399"/>
      <c r="DA563" s="399"/>
      <c r="DB563" s="399"/>
      <c r="DC563" s="399"/>
      <c r="DD563" s="399"/>
      <c r="DE563" s="399"/>
      <c r="DF563" s="399"/>
      <c r="DG563" s="399"/>
      <c r="DH563" s="399"/>
      <c r="DI563" s="399"/>
      <c r="DJ563" s="399"/>
      <c r="DK563" s="399"/>
      <c r="DL563" s="399"/>
      <c r="DM563" s="399"/>
      <c r="DN563" s="399"/>
      <c r="DO563" s="399"/>
      <c r="DP563" s="399"/>
      <c r="DQ563" s="399"/>
    </row>
    <row r="564" spans="1:121" s="760" customFormat="1" ht="14.45" customHeight="1" x14ac:dyDescent="0.25">
      <c r="A564" s="266">
        <f t="shared" si="8"/>
        <v>41.56666666666667</v>
      </c>
      <c r="B564" s="389">
        <v>41609</v>
      </c>
      <c r="C564" s="390" t="s">
        <v>451</v>
      </c>
      <c r="D564" s="391" t="s">
        <v>451</v>
      </c>
      <c r="E564" s="390" t="s">
        <v>380</v>
      </c>
      <c r="F564" s="262" t="s">
        <v>5</v>
      </c>
      <c r="G564" s="262" t="s">
        <v>22</v>
      </c>
      <c r="H564" s="261"/>
      <c r="I564" s="261"/>
      <c r="J564" s="261"/>
      <c r="K564" s="261"/>
      <c r="L564" s="261"/>
      <c r="M564" s="261">
        <v>30</v>
      </c>
      <c r="N564" s="261"/>
      <c r="O564" s="261"/>
      <c r="P564" s="261"/>
      <c r="Q564" s="261"/>
      <c r="R564" s="261"/>
      <c r="S564" s="261"/>
      <c r="T564" s="261"/>
      <c r="U564" s="261"/>
      <c r="V564" s="762"/>
      <c r="W564" s="261"/>
      <c r="X564" s="261"/>
      <c r="Y564" s="264">
        <f>IF(NFI_Expiration=1,IF($A564&lt;VLOOKUP(H$5,NFI,5,0),1,0)*Table_NFI[[#This Row],[Hygiene Kit]],Table_NFI[Hygiene Kit])</f>
        <v>0</v>
      </c>
      <c r="Z564" s="264">
        <f>IF(NFI_Expiration=1,IF($A564&lt;VLOOKUP(I$5,NFI,5,0),1,0)*Table_NFI[[#This Row],[NFI Core Kit]],Table_NFI[NFI Core Kit])</f>
        <v>0</v>
      </c>
      <c r="AA564" s="264">
        <f>IF(NFI_Expiration=1,IF($A564&lt;VLOOKUP(J$5,NFI,5,0),1,0)*Table_NFI[[#This Row],[Sanitary Kit]],Table_NFI[Sanitary Kit])</f>
        <v>0</v>
      </c>
      <c r="AB564" s="264">
        <f>IF(NFI_Expiration=1,IF($A564&lt;VLOOKUP(K$5,NFI,5,0),1,0)*Table_NFI[[#This Row],[Mosquito net]],Table_NFI[Mosquito net])</f>
        <v>0</v>
      </c>
      <c r="AC564" s="264">
        <f>IF(NFI_Expiration=1,IF($A564&lt;VLOOKUP(L$5,NFI,5,0),1,0)*Table_NFI[[#This Row],[Tarpaulin]],Table_NFI[[#This Row],[Tarpaulin]])</f>
        <v>0</v>
      </c>
      <c r="AD564" s="264">
        <f>IF(NFI_Expiration=1,IF($A564&lt;VLOOKUP(M$5,NFI,5,0),1,0)*Table_NFI[[#This Row],[Blanket]],Table_NFI[[#This Row],[Blanket]])</f>
        <v>0</v>
      </c>
      <c r="AE564" s="264">
        <f>IF(NFI_Expiration=1,IF($A564&lt;VLOOKUP(N$5,NFI,5,0),1,0)*Table_NFI[[#This Row],[Kitchen Set]],Table_NFI[Kitchen Set])</f>
        <v>0</v>
      </c>
      <c r="AF564" s="264">
        <f>IF(NFI_Expiration=1,IF($A564&lt;VLOOKUP(O$5,NFI,5,0),1,0)*Table_NFI[[#This Row],[Clothes Kit]],Table_NFI[Clothes Kit])</f>
        <v>0</v>
      </c>
      <c r="AG564" s="264">
        <f>IF(NFI_Expiration=1,IF($A564&lt;VLOOKUP(P$5,NFI,5,0),1,0)*Table_NFI[[#This Row],[Plastic Bucket]],Table_NFI[Plastic Bucket])</f>
        <v>0</v>
      </c>
      <c r="AH564" s="264">
        <f>IF(NFI_Expiration=1,IF($A564&lt;VLOOKUP(Q$5,NFI,5,0),1,0)*Table_NFI[[#This Row],[Plastic Mat]],Table_NFI[Plastic Mat])*IF(Table_NFI[[#This Row],[Distribution Date]]&gt;"2014-04-01",1,2.5)</f>
        <v>0</v>
      </c>
      <c r="AI564" s="264">
        <f>IF(NFI_Expiration=1,IF($A564&lt;VLOOKUP(R$5,NFI,5,0),1,0)*Table_NFI[[#This Row],[Winter Clothes Adult]],Table_NFI[Winter Clothes Adult])</f>
        <v>0</v>
      </c>
      <c r="AJ564" s="264">
        <f>IF(NFI_Expiration=1,IF($A564&lt;VLOOKUP(S$5,NFI,5,0),1,0)*Table_NFI[[#This Row],[Winter Clothes Children]],Table_NFI[Winter Clothes Children])</f>
        <v>0</v>
      </c>
      <c r="AK564" s="264">
        <f>IF(NFI_Expiration=1,IF($A564&lt;VLOOKUP(T$5,NFI,5,0),1,0)*Table_NFI[[#This Row],[Winter Items Other]],Table_NFI[Winter Items Other])</f>
        <v>0</v>
      </c>
      <c r="AL564" s="264">
        <f>IF(NFI_Expiration=1,IF($A564&lt;VLOOKUP(M$5,NFI,5,0),1,0)*Table_NFI[[#This Row],[Winter Blanket]],Table_NFI[[#This Row],[Winter Blanket]])</f>
        <v>0</v>
      </c>
      <c r="AM564" s="264">
        <f>IF(Table_NFI[[#This Row],[Winter Clothes Adult]]+Table_NFI[[#This Row],[Winter Clothes Children]]+Table_NFI[[#This Row],[Winter Items Other]]+Table_NFI[[#This Row],[Winter Blanket]]&gt;0,1,0)</f>
        <v>0</v>
      </c>
      <c r="AN564" s="296">
        <f>IF(NFI_Expiration=1,IF($A564&lt;VLOOKUP(V$5,NFI,5,0),1,0)*Table_NFI[[#This Row],[Jerry Can]],Table_NFI[Jerry Can])</f>
        <v>0</v>
      </c>
      <c r="AO564" s="296">
        <f>IF(NFI_Expiration=1,IF($A564&lt;VLOOKUP(V$5,NFI,5,0),1,0)*Table_NFI[[#This Row],[Shelter Tool kit]],Table_NFI[Shelter Tool kit])</f>
        <v>0</v>
      </c>
      <c r="AP564" s="296">
        <f>IF(NFI_Expiration=1,IF($A564&lt;VLOOKUP(V$5,NFI,5,0),1,0)*Table_NFI[[#This Row],[Tent]],Table_NFI[Tent])</f>
        <v>0</v>
      </c>
      <c r="AQ564" s="396" t="str">
        <f>IFERROR(VLOOKUP(Table_NFI[[#This Row],[Camp Name]],CL,2,0),"")</f>
        <v>MMR001CMP047</v>
      </c>
      <c r="AR564" s="702">
        <f ca="1">IF(Table_NFI[[#This Row],[Pcode]]="","",IF(OFFSET(CampList[Opening Date],MATCH(Table_NFI[[#This Row],[Pcode]],CampList[CP_Pcode],0)-1,0,1,1)&gt;=NFI_Monitor_Date,1,0))</f>
        <v>0</v>
      </c>
      <c r="AS564" s="396" t="str">
        <f>IFERROR(VLOOKUP(Table_NFI[[#This Row],[Camp Name]],CL,3,0),"")</f>
        <v>Open</v>
      </c>
      <c r="AT564" s="264" t="str">
        <f ca="1">IF(Table_NFI[[#This Row],[Pcode]]="","",OFFSET(CampList[Priority],MATCH(Table_NFI[[#This Row],[Pcode]],CampList[CP_Pcode],0)-1,0,1,1))</f>
        <v>P4</v>
      </c>
      <c r="AU564" s="263">
        <f>IFERROR(Table_NFI[[#This Row],[Kitchen Set]]/VLOOKUP(Table_NFI[[#This Row],[Camp Name]],CL,4,0),"")</f>
        <v>0</v>
      </c>
      <c r="AV564" s="390" t="s">
        <v>1087</v>
      </c>
      <c r="AW564" s="392"/>
      <c r="AX564" s="399"/>
      <c r="AY564" s="399"/>
      <c r="AZ564" s="399"/>
      <c r="BA564" s="399"/>
      <c r="BB564" s="399"/>
      <c r="BC564" s="399"/>
      <c r="BD564" s="399"/>
      <c r="BE564" s="399"/>
      <c r="BF564" s="399"/>
      <c r="BG564" s="399"/>
      <c r="BH564" s="399"/>
      <c r="BI564" s="399"/>
      <c r="BJ564" s="399"/>
      <c r="BK564" s="399"/>
      <c r="BL564" s="399"/>
      <c r="BM564" s="399"/>
      <c r="BN564" s="399"/>
      <c r="BO564" s="399"/>
      <c r="BP564" s="399"/>
      <c r="BQ564" s="399"/>
      <c r="BR564" s="399"/>
      <c r="BS564" s="399"/>
      <c r="BT564" s="399"/>
      <c r="BU564" s="399"/>
      <c r="BV564" s="399"/>
      <c r="BW564" s="399"/>
      <c r="BX564" s="399"/>
      <c r="BY564" s="399"/>
      <c r="BZ564" s="399"/>
      <c r="CA564" s="399"/>
      <c r="CB564" s="399"/>
      <c r="CC564" s="399"/>
      <c r="CD564" s="399"/>
      <c r="CE564" s="399"/>
      <c r="CF564" s="399"/>
      <c r="CG564" s="399"/>
      <c r="CH564" s="399"/>
      <c r="CI564" s="399"/>
      <c r="CJ564" s="399"/>
      <c r="CK564" s="399"/>
      <c r="CL564" s="399"/>
      <c r="CM564" s="399"/>
      <c r="CN564" s="399"/>
      <c r="CO564" s="399"/>
      <c r="CP564" s="399"/>
      <c r="CQ564" s="399"/>
      <c r="CR564" s="399"/>
      <c r="CS564" s="399"/>
      <c r="CT564" s="399"/>
      <c r="CU564" s="399"/>
      <c r="CV564" s="399"/>
      <c r="CW564" s="399"/>
      <c r="CX564" s="399"/>
      <c r="CY564" s="399"/>
      <c r="CZ564" s="399"/>
      <c r="DA564" s="399"/>
      <c r="DB564" s="399"/>
      <c r="DC564" s="399"/>
      <c r="DD564" s="399"/>
      <c r="DE564" s="399"/>
      <c r="DF564" s="399"/>
      <c r="DG564" s="399"/>
      <c r="DH564" s="399"/>
      <c r="DI564" s="399"/>
      <c r="DJ564" s="399"/>
      <c r="DK564" s="399"/>
      <c r="DL564" s="399"/>
      <c r="DM564" s="399"/>
      <c r="DN564" s="399"/>
      <c r="DO564" s="399"/>
      <c r="DP564" s="399"/>
      <c r="DQ564" s="399"/>
    </row>
    <row r="565" spans="1:121" s="760" customFormat="1" ht="14.45" customHeight="1" x14ac:dyDescent="0.25">
      <c r="A565" s="266">
        <f t="shared" si="8"/>
        <v>41.6</v>
      </c>
      <c r="B565" s="389">
        <v>41608</v>
      </c>
      <c r="C565" s="390" t="s">
        <v>1092</v>
      </c>
      <c r="D565" s="391" t="s">
        <v>943</v>
      </c>
      <c r="E565" s="390" t="s">
        <v>380</v>
      </c>
      <c r="F565" s="390" t="s">
        <v>5</v>
      </c>
      <c r="G565" s="262" t="s">
        <v>6</v>
      </c>
      <c r="H565" s="261"/>
      <c r="I565" s="261"/>
      <c r="J565" s="261"/>
      <c r="K565" s="261"/>
      <c r="L565" s="261"/>
      <c r="M565" s="261">
        <v>104</v>
      </c>
      <c r="N565" s="261"/>
      <c r="O565" s="261"/>
      <c r="P565" s="261"/>
      <c r="Q565" s="261"/>
      <c r="R565" s="261">
        <v>146</v>
      </c>
      <c r="S565" s="261">
        <v>39</v>
      </c>
      <c r="T565" s="261">
        <v>0</v>
      </c>
      <c r="U565" s="261"/>
      <c r="V565" s="762"/>
      <c r="W565" s="261"/>
      <c r="X565" s="261"/>
      <c r="Y565" s="264">
        <f>IF(NFI_Expiration=1,IF($A565&lt;VLOOKUP(H$5,NFI,5,0),1,0)*Table_NFI[[#This Row],[Hygiene Kit]],Table_NFI[Hygiene Kit])</f>
        <v>0</v>
      </c>
      <c r="Z565" s="264">
        <f>IF(NFI_Expiration=1,IF($A565&lt;VLOOKUP(I$5,NFI,5,0),1,0)*Table_NFI[[#This Row],[NFI Core Kit]],Table_NFI[NFI Core Kit])</f>
        <v>0</v>
      </c>
      <c r="AA565" s="264">
        <f>IF(NFI_Expiration=1,IF($A565&lt;VLOOKUP(J$5,NFI,5,0),1,0)*Table_NFI[[#This Row],[Sanitary Kit]],Table_NFI[Sanitary Kit])</f>
        <v>0</v>
      </c>
      <c r="AB565" s="264">
        <f>IF(NFI_Expiration=1,IF($A565&lt;VLOOKUP(K$5,NFI,5,0),1,0)*Table_NFI[[#This Row],[Mosquito net]],Table_NFI[Mosquito net])</f>
        <v>0</v>
      </c>
      <c r="AC565" s="264">
        <f>IF(NFI_Expiration=1,IF($A565&lt;VLOOKUP(L$5,NFI,5,0),1,0)*Table_NFI[[#This Row],[Tarpaulin]],Table_NFI[[#This Row],[Tarpaulin]])</f>
        <v>0</v>
      </c>
      <c r="AD565" s="264">
        <f>IF(NFI_Expiration=1,IF($A565&lt;VLOOKUP(M$5,NFI,5,0),1,0)*Table_NFI[[#This Row],[Blanket]],Table_NFI[[#This Row],[Blanket]])</f>
        <v>0</v>
      </c>
      <c r="AE565" s="264">
        <f>IF(NFI_Expiration=1,IF($A565&lt;VLOOKUP(N$5,NFI,5,0),1,0)*Table_NFI[[#This Row],[Kitchen Set]],Table_NFI[Kitchen Set])</f>
        <v>0</v>
      </c>
      <c r="AF565" s="264">
        <f>IF(NFI_Expiration=1,IF($A565&lt;VLOOKUP(O$5,NFI,5,0),1,0)*Table_NFI[[#This Row],[Clothes Kit]],Table_NFI[Clothes Kit])</f>
        <v>0</v>
      </c>
      <c r="AG565" s="264">
        <f>IF(NFI_Expiration=1,IF($A565&lt;VLOOKUP(P$5,NFI,5,0),1,0)*Table_NFI[[#This Row],[Plastic Bucket]],Table_NFI[Plastic Bucket])</f>
        <v>0</v>
      </c>
      <c r="AH565" s="264">
        <f>IF(NFI_Expiration=1,IF($A565&lt;VLOOKUP(Q$5,NFI,5,0),1,0)*Table_NFI[[#This Row],[Plastic Mat]],Table_NFI[Plastic Mat])*IF(Table_NFI[[#This Row],[Distribution Date]]&gt;"2014-04-01",1,2.5)</f>
        <v>0</v>
      </c>
      <c r="AI565" s="264">
        <f>IF(NFI_Expiration=1,IF($A565&lt;VLOOKUP(R$5,NFI,5,0),1,0)*Table_NFI[[#This Row],[Winter Clothes Adult]],Table_NFI[Winter Clothes Adult])</f>
        <v>0</v>
      </c>
      <c r="AJ565" s="264">
        <f>IF(NFI_Expiration=1,IF($A565&lt;VLOOKUP(S$5,NFI,5,0),1,0)*Table_NFI[[#This Row],[Winter Clothes Children]],Table_NFI[Winter Clothes Children])</f>
        <v>0</v>
      </c>
      <c r="AK565" s="264">
        <f>IF(NFI_Expiration=1,IF($A565&lt;VLOOKUP(T$5,NFI,5,0),1,0)*Table_NFI[[#This Row],[Winter Items Other]],Table_NFI[Winter Items Other])</f>
        <v>0</v>
      </c>
      <c r="AL565" s="264">
        <f>IF(NFI_Expiration=1,IF($A565&lt;VLOOKUP(M$5,NFI,5,0),1,0)*Table_NFI[[#This Row],[Winter Blanket]],Table_NFI[[#This Row],[Winter Blanket]])</f>
        <v>0</v>
      </c>
      <c r="AM565" s="264">
        <f>IF(Table_NFI[[#This Row],[Winter Clothes Adult]]+Table_NFI[[#This Row],[Winter Clothes Children]]+Table_NFI[[#This Row],[Winter Items Other]]+Table_NFI[[#This Row],[Winter Blanket]]&gt;0,1,0)</f>
        <v>1</v>
      </c>
      <c r="AN565" s="296">
        <f>IF(NFI_Expiration=1,IF($A565&lt;VLOOKUP(V$5,NFI,5,0),1,0)*Table_NFI[[#This Row],[Jerry Can]],Table_NFI[Jerry Can])</f>
        <v>0</v>
      </c>
      <c r="AO565" s="296">
        <f>IF(NFI_Expiration=1,IF($A565&lt;VLOOKUP(V$5,NFI,5,0),1,0)*Table_NFI[[#This Row],[Shelter Tool kit]],Table_NFI[Shelter Tool kit])</f>
        <v>0</v>
      </c>
      <c r="AP565" s="296">
        <f>IF(NFI_Expiration=1,IF($A565&lt;VLOOKUP(V$5,NFI,5,0),1,0)*Table_NFI[[#This Row],[Tent]],Table_NFI[Tent])</f>
        <v>0</v>
      </c>
      <c r="AQ565" s="396" t="str">
        <f>IFERROR(VLOOKUP(Table_NFI[[#This Row],[Camp Name]],CL,2,0),"")</f>
        <v>MMR001CMP050</v>
      </c>
      <c r="AR565" s="702">
        <f ca="1">IF(Table_NFI[[#This Row],[Pcode]]="","",IF(OFFSET(CampList[Opening Date],MATCH(Table_NFI[[#This Row],[Pcode]],CampList[CP_Pcode],0)-1,0,1,1)&gt;=NFI_Monitor_Date,1,0))</f>
        <v>0</v>
      </c>
      <c r="AS565" s="396" t="str">
        <f>IFERROR(VLOOKUP(Table_NFI[[#This Row],[Camp Name]],CL,3,0),"")</f>
        <v>Open</v>
      </c>
      <c r="AT565" s="264" t="str">
        <f ca="1">IF(Table_NFI[[#This Row],[Pcode]]="","",OFFSET(CampList[Priority],MATCH(Table_NFI[[#This Row],[Pcode]],CampList[CP_Pcode],0)-1,0,1,1))</f>
        <v>P4</v>
      </c>
      <c r="AU565" s="263">
        <f>IFERROR(Table_NFI[[#This Row],[Kitchen Set]]/VLOOKUP(Table_NFI[[#This Row],[Camp Name]],CL,4,0),"")</f>
        <v>0</v>
      </c>
      <c r="AV565" s="390" t="s">
        <v>1087</v>
      </c>
      <c r="AW565" s="392"/>
      <c r="AX565" s="399"/>
      <c r="AY565" s="399"/>
      <c r="AZ565" s="399"/>
      <c r="BA565" s="399"/>
      <c r="BB565" s="399"/>
      <c r="BC565" s="399"/>
      <c r="BD565" s="399"/>
      <c r="BE565" s="399"/>
      <c r="BF565" s="399"/>
      <c r="BG565" s="399"/>
      <c r="BH565" s="399"/>
      <c r="BI565" s="399"/>
      <c r="BJ565" s="399"/>
      <c r="BK565" s="399"/>
      <c r="BL565" s="399"/>
      <c r="BM565" s="399"/>
      <c r="BN565" s="399"/>
      <c r="BO565" s="399"/>
      <c r="BP565" s="399"/>
      <c r="BQ565" s="399"/>
      <c r="BR565" s="399"/>
      <c r="BS565" s="399"/>
      <c r="BT565" s="399"/>
      <c r="BU565" s="399"/>
      <c r="BV565" s="399"/>
      <c r="BW565" s="399"/>
      <c r="BX565" s="399"/>
      <c r="BY565" s="399"/>
      <c r="BZ565" s="399"/>
      <c r="CA565" s="399"/>
      <c r="CB565" s="399"/>
      <c r="CC565" s="399"/>
      <c r="CD565" s="399"/>
      <c r="CE565" s="399"/>
      <c r="CF565" s="399"/>
      <c r="CG565" s="399"/>
      <c r="CH565" s="399"/>
      <c r="CI565" s="399"/>
      <c r="CJ565" s="399"/>
      <c r="CK565" s="399"/>
      <c r="CL565" s="399"/>
      <c r="CM565" s="399"/>
      <c r="CN565" s="399"/>
      <c r="CO565" s="399"/>
      <c r="CP565" s="399"/>
      <c r="CQ565" s="399"/>
      <c r="CR565" s="399"/>
      <c r="CS565" s="399"/>
      <c r="CT565" s="399"/>
      <c r="CU565" s="399"/>
      <c r="CV565" s="399"/>
      <c r="CW565" s="399"/>
      <c r="CX565" s="399"/>
      <c r="CY565" s="399"/>
      <c r="CZ565" s="399"/>
      <c r="DA565" s="399"/>
      <c r="DB565" s="399"/>
      <c r="DC565" s="399"/>
      <c r="DD565" s="399"/>
      <c r="DE565" s="399"/>
      <c r="DF565" s="399"/>
      <c r="DG565" s="399"/>
      <c r="DH565" s="399"/>
      <c r="DI565" s="399"/>
      <c r="DJ565" s="399"/>
      <c r="DK565" s="399"/>
      <c r="DL565" s="399"/>
      <c r="DM565" s="399"/>
      <c r="DN565" s="399"/>
      <c r="DO565" s="399"/>
      <c r="DP565" s="399"/>
      <c r="DQ565" s="399"/>
    </row>
    <row r="566" spans="1:121" s="393" customFormat="1" ht="14.45" customHeight="1" x14ac:dyDescent="0.25">
      <c r="A566" s="266">
        <f t="shared" si="8"/>
        <v>41.6</v>
      </c>
      <c r="B566" s="389">
        <v>41608</v>
      </c>
      <c r="C566" s="390" t="s">
        <v>904</v>
      </c>
      <c r="D566" s="390"/>
      <c r="E566" s="390" t="s">
        <v>380</v>
      </c>
      <c r="F566" s="262" t="s">
        <v>5</v>
      </c>
      <c r="G566" s="262" t="s">
        <v>511</v>
      </c>
      <c r="H566" s="261"/>
      <c r="I566" s="261"/>
      <c r="J566" s="261"/>
      <c r="K566" s="261"/>
      <c r="L566" s="261"/>
      <c r="M566" s="261"/>
      <c r="N566" s="261"/>
      <c r="O566" s="261"/>
      <c r="P566" s="261"/>
      <c r="Q566" s="261"/>
      <c r="R566" s="261"/>
      <c r="S566" s="261"/>
      <c r="T566" s="261"/>
      <c r="U566" s="261"/>
      <c r="V566" s="762"/>
      <c r="W566" s="261"/>
      <c r="X566" s="261"/>
      <c r="Y566" s="264">
        <f>IF(NFI_Expiration=1,IF($A566&lt;VLOOKUP(H$5,NFI,5,0),1,0)*Table_NFI[[#This Row],[Hygiene Kit]],Table_NFI[Hygiene Kit])</f>
        <v>0</v>
      </c>
      <c r="Z566" s="264">
        <f>IF(NFI_Expiration=1,IF($A566&lt;VLOOKUP(I$5,NFI,5,0),1,0)*Table_NFI[[#This Row],[NFI Core Kit]],Table_NFI[NFI Core Kit])</f>
        <v>0</v>
      </c>
      <c r="AA566" s="264">
        <f>IF(NFI_Expiration=1,IF($A566&lt;VLOOKUP(J$5,NFI,5,0),1,0)*Table_NFI[[#This Row],[Sanitary Kit]],Table_NFI[Sanitary Kit])</f>
        <v>0</v>
      </c>
      <c r="AB566" s="264">
        <f>IF(NFI_Expiration=1,IF($A566&lt;VLOOKUP(K$5,NFI,5,0),1,0)*Table_NFI[[#This Row],[Mosquito net]],Table_NFI[Mosquito net])</f>
        <v>0</v>
      </c>
      <c r="AC566" s="264">
        <f>IF(NFI_Expiration=1,IF($A566&lt;VLOOKUP(L$5,NFI,5,0),1,0)*Table_NFI[[#This Row],[Tarpaulin]],Table_NFI[[#This Row],[Tarpaulin]])</f>
        <v>0</v>
      </c>
      <c r="AD566" s="264">
        <f>IF(NFI_Expiration=1,IF($A566&lt;VLOOKUP(M$5,NFI,5,0),1,0)*Table_NFI[[#This Row],[Blanket]],Table_NFI[[#This Row],[Blanket]])</f>
        <v>0</v>
      </c>
      <c r="AE566" s="264">
        <f>IF(NFI_Expiration=1,IF($A566&lt;VLOOKUP(N$5,NFI,5,0),1,0)*Table_NFI[[#This Row],[Kitchen Set]],Table_NFI[Kitchen Set])</f>
        <v>0</v>
      </c>
      <c r="AF566" s="264">
        <f>IF(NFI_Expiration=1,IF($A566&lt;VLOOKUP(O$5,NFI,5,0),1,0)*Table_NFI[[#This Row],[Clothes Kit]],Table_NFI[Clothes Kit])</f>
        <v>0</v>
      </c>
      <c r="AG566" s="264">
        <f>IF(NFI_Expiration=1,IF($A566&lt;VLOOKUP(P$5,NFI,5,0),1,0)*Table_NFI[[#This Row],[Plastic Bucket]],Table_NFI[Plastic Bucket])</f>
        <v>0</v>
      </c>
      <c r="AH566" s="264">
        <f>IF(NFI_Expiration=1,IF($A566&lt;VLOOKUP(Q$5,NFI,5,0),1,0)*Table_NFI[[#This Row],[Plastic Mat]],Table_NFI[Plastic Mat])*IF(Table_NFI[[#This Row],[Distribution Date]]&gt;"2014-04-01",1,2.5)</f>
        <v>0</v>
      </c>
      <c r="AI566" s="264">
        <f>IF(NFI_Expiration=1,IF($A566&lt;VLOOKUP(R$5,NFI,5,0),1,0)*Table_NFI[[#This Row],[Winter Clothes Adult]],Table_NFI[Winter Clothes Adult])</f>
        <v>0</v>
      </c>
      <c r="AJ566" s="264">
        <f>IF(NFI_Expiration=1,IF($A566&lt;VLOOKUP(S$5,NFI,5,0),1,0)*Table_NFI[[#This Row],[Winter Clothes Children]],Table_NFI[Winter Clothes Children])</f>
        <v>0</v>
      </c>
      <c r="AK566" s="264">
        <f>IF(NFI_Expiration=1,IF($A566&lt;VLOOKUP(T$5,NFI,5,0),1,0)*Table_NFI[[#This Row],[Winter Items Other]],Table_NFI[Winter Items Other])</f>
        <v>0</v>
      </c>
      <c r="AL566" s="264">
        <f>IF(NFI_Expiration=1,IF($A566&lt;VLOOKUP(M$5,NFI,5,0),1,0)*Table_NFI[[#This Row],[Winter Blanket]],Table_NFI[[#This Row],[Winter Blanket]])</f>
        <v>0</v>
      </c>
      <c r="AM566" s="264">
        <f>IF(Table_NFI[[#This Row],[Winter Clothes Adult]]+Table_NFI[[#This Row],[Winter Clothes Children]]+Table_NFI[[#This Row],[Winter Items Other]]+Table_NFI[[#This Row],[Winter Blanket]]&gt;0,1,0)</f>
        <v>0</v>
      </c>
      <c r="AN566" s="296">
        <f>IF(NFI_Expiration=1,IF($A566&lt;VLOOKUP(V$5,NFI,5,0),1,0)*Table_NFI[[#This Row],[Jerry Can]],Table_NFI[Jerry Can])</f>
        <v>0</v>
      </c>
      <c r="AO566" s="296">
        <f>IF(NFI_Expiration=1,IF($A566&lt;VLOOKUP(V$5,NFI,5,0),1,0)*Table_NFI[[#This Row],[Shelter Tool kit]],Table_NFI[Shelter Tool kit])</f>
        <v>0</v>
      </c>
      <c r="AP566" s="296">
        <f>IF(NFI_Expiration=1,IF($A566&lt;VLOOKUP(V$5,NFI,5,0),1,0)*Table_NFI[[#This Row],[Tent]],Table_NFI[Tent])</f>
        <v>0</v>
      </c>
      <c r="AQ566" s="396" t="str">
        <f>IFERROR(VLOOKUP(Table_NFI[[#This Row],[Camp Name]],CL,2,0),"")</f>
        <v>MMR001CMP194</v>
      </c>
      <c r="AR566" s="702">
        <f ca="1">IF(Table_NFI[[#This Row],[Pcode]]="","",IF(OFFSET(CampList[Opening Date],MATCH(Table_NFI[[#This Row],[Pcode]],CampList[CP_Pcode],0)-1,0,1,1)&gt;=NFI_Monitor_Date,1,0))</f>
        <v>0</v>
      </c>
      <c r="AS566" s="396" t="s">
        <v>842</v>
      </c>
      <c r="AT566" s="264" t="str">
        <f ca="1">IF(Table_NFI[[#This Row],[Pcode]]="","",OFFSET(CampList[Priority],MATCH(Table_NFI[[#This Row],[Pcode]],CampList[CP_Pcode],0)-1,0,1,1))</f>
        <v>P4</v>
      </c>
      <c r="AU566" s="263">
        <f>IFERROR(Table_NFI[[#This Row],[Kitchen Set]]/VLOOKUP(Table_NFI[[#This Row],[Camp Name]],CL,4,0),"")</f>
        <v>0</v>
      </c>
      <c r="AV566" s="390" t="s">
        <v>1087</v>
      </c>
      <c r="AW566" s="392"/>
      <c r="AX566" s="399"/>
      <c r="AY566" s="399"/>
      <c r="AZ566" s="399"/>
      <c r="BA566" s="399"/>
      <c r="BB566" s="399"/>
      <c r="BC566" s="399"/>
      <c r="BD566" s="399"/>
      <c r="BE566" s="399"/>
      <c r="BF566" s="399"/>
      <c r="BG566" s="399"/>
      <c r="BH566" s="399"/>
      <c r="BI566" s="399"/>
      <c r="BJ566" s="399"/>
      <c r="BK566" s="399"/>
      <c r="BL566" s="399"/>
      <c r="BM566" s="399"/>
      <c r="BN566" s="399"/>
      <c r="BO566" s="399"/>
      <c r="BP566" s="399"/>
      <c r="BQ566" s="399"/>
      <c r="BR566" s="399"/>
      <c r="BS566" s="399"/>
      <c r="BT566" s="399"/>
      <c r="BU566" s="399"/>
      <c r="BV566" s="399"/>
      <c r="BW566" s="399"/>
      <c r="BX566" s="399"/>
      <c r="BY566" s="399"/>
      <c r="BZ566" s="399"/>
      <c r="CA566" s="399"/>
      <c r="CB566" s="399"/>
      <c r="CC566" s="399"/>
      <c r="CD566" s="399"/>
      <c r="CE566" s="399"/>
      <c r="CF566" s="399"/>
      <c r="CG566" s="399"/>
      <c r="CH566" s="399"/>
      <c r="CI566" s="399"/>
      <c r="CJ566" s="399"/>
      <c r="CK566" s="399"/>
      <c r="CL566" s="399"/>
      <c r="CM566" s="399"/>
      <c r="CN566" s="399"/>
      <c r="CO566" s="399"/>
      <c r="CP566" s="399"/>
      <c r="CQ566" s="399"/>
      <c r="CR566" s="399"/>
      <c r="CS566" s="399"/>
      <c r="CT566" s="399"/>
      <c r="CU566" s="399"/>
      <c r="CV566" s="399"/>
      <c r="CW566" s="399"/>
      <c r="CX566" s="399"/>
      <c r="CY566" s="399"/>
      <c r="CZ566" s="399"/>
      <c r="DA566" s="399"/>
      <c r="DB566" s="399"/>
      <c r="DC566" s="399"/>
      <c r="DD566" s="399"/>
      <c r="DE566" s="399"/>
      <c r="DF566" s="399"/>
      <c r="DG566" s="399"/>
      <c r="DH566" s="399"/>
      <c r="DI566" s="399"/>
      <c r="DJ566" s="399"/>
      <c r="DK566" s="399"/>
      <c r="DL566" s="399"/>
      <c r="DM566" s="399"/>
      <c r="DN566" s="399"/>
      <c r="DO566" s="399"/>
      <c r="DP566" s="399"/>
      <c r="DQ566" s="399"/>
    </row>
    <row r="567" spans="1:121" s="760" customFormat="1" ht="14.45" customHeight="1" x14ac:dyDescent="0.25">
      <c r="A567" s="266">
        <f t="shared" si="8"/>
        <v>41.6</v>
      </c>
      <c r="B567" s="389">
        <v>41608</v>
      </c>
      <c r="C567" s="390" t="s">
        <v>904</v>
      </c>
      <c r="D567" s="390"/>
      <c r="E567" s="390" t="s">
        <v>380</v>
      </c>
      <c r="F567" s="262" t="s">
        <v>5</v>
      </c>
      <c r="G567" s="262" t="s">
        <v>6</v>
      </c>
      <c r="H567" s="261"/>
      <c r="I567" s="261"/>
      <c r="J567" s="261"/>
      <c r="K567" s="261"/>
      <c r="L567" s="261"/>
      <c r="M567" s="261"/>
      <c r="N567" s="261"/>
      <c r="O567" s="261"/>
      <c r="P567" s="261"/>
      <c r="Q567" s="261">
        <v>660</v>
      </c>
      <c r="R567" s="261"/>
      <c r="S567" s="261"/>
      <c r="T567" s="261"/>
      <c r="U567" s="261"/>
      <c r="V567" s="762"/>
      <c r="W567" s="261"/>
      <c r="X567" s="261"/>
      <c r="Y567" s="264">
        <f>IF(NFI_Expiration=1,IF($A567&lt;VLOOKUP(H$5,NFI,5,0),1,0)*Table_NFI[[#This Row],[Hygiene Kit]],Table_NFI[Hygiene Kit])</f>
        <v>0</v>
      </c>
      <c r="Z567" s="264">
        <f>IF(NFI_Expiration=1,IF($A567&lt;VLOOKUP(I$5,NFI,5,0),1,0)*Table_NFI[[#This Row],[NFI Core Kit]],Table_NFI[NFI Core Kit])</f>
        <v>0</v>
      </c>
      <c r="AA567" s="264">
        <f>IF(NFI_Expiration=1,IF($A567&lt;VLOOKUP(J$5,NFI,5,0),1,0)*Table_NFI[[#This Row],[Sanitary Kit]],Table_NFI[Sanitary Kit])</f>
        <v>0</v>
      </c>
      <c r="AB567" s="264">
        <f>IF(NFI_Expiration=1,IF($A567&lt;VLOOKUP(K$5,NFI,5,0),1,0)*Table_NFI[[#This Row],[Mosquito net]],Table_NFI[Mosquito net])</f>
        <v>0</v>
      </c>
      <c r="AC567" s="264">
        <f>IF(NFI_Expiration=1,IF($A567&lt;VLOOKUP(L$5,NFI,5,0),1,0)*Table_NFI[[#This Row],[Tarpaulin]],Table_NFI[[#This Row],[Tarpaulin]])</f>
        <v>0</v>
      </c>
      <c r="AD567" s="264">
        <f>IF(NFI_Expiration=1,IF($A567&lt;VLOOKUP(M$5,NFI,5,0),1,0)*Table_NFI[[#This Row],[Blanket]],Table_NFI[[#This Row],[Blanket]])</f>
        <v>0</v>
      </c>
      <c r="AE567" s="264">
        <f>IF(NFI_Expiration=1,IF($A567&lt;VLOOKUP(N$5,NFI,5,0),1,0)*Table_NFI[[#This Row],[Kitchen Set]],Table_NFI[Kitchen Set])</f>
        <v>0</v>
      </c>
      <c r="AF567" s="264">
        <f>IF(NFI_Expiration=1,IF($A567&lt;VLOOKUP(O$5,NFI,5,0),1,0)*Table_NFI[[#This Row],[Clothes Kit]],Table_NFI[Clothes Kit])</f>
        <v>0</v>
      </c>
      <c r="AG567" s="264">
        <f>IF(NFI_Expiration=1,IF($A567&lt;VLOOKUP(P$5,NFI,5,0),1,0)*Table_NFI[[#This Row],[Plastic Bucket]],Table_NFI[Plastic Bucket])</f>
        <v>0</v>
      </c>
      <c r="AH567" s="264">
        <f>IF(NFI_Expiration=1,IF($A567&lt;VLOOKUP(Q$5,NFI,5,0),1,0)*Table_NFI[[#This Row],[Plastic Mat]],Table_NFI[Plastic Mat])*IF(Table_NFI[[#This Row],[Distribution Date]]&gt;"2014-04-01",1,2.5)</f>
        <v>0</v>
      </c>
      <c r="AI567" s="264">
        <f>IF(NFI_Expiration=1,IF($A567&lt;VLOOKUP(R$5,NFI,5,0),1,0)*Table_NFI[[#This Row],[Winter Clothes Adult]],Table_NFI[Winter Clothes Adult])</f>
        <v>0</v>
      </c>
      <c r="AJ567" s="264">
        <f>IF(NFI_Expiration=1,IF($A567&lt;VLOOKUP(S$5,NFI,5,0),1,0)*Table_NFI[[#This Row],[Winter Clothes Children]],Table_NFI[Winter Clothes Children])</f>
        <v>0</v>
      </c>
      <c r="AK567" s="264">
        <f>IF(NFI_Expiration=1,IF($A567&lt;VLOOKUP(T$5,NFI,5,0),1,0)*Table_NFI[[#This Row],[Winter Items Other]],Table_NFI[Winter Items Other])</f>
        <v>0</v>
      </c>
      <c r="AL567" s="264">
        <f>IF(NFI_Expiration=1,IF($A567&lt;VLOOKUP(M$5,NFI,5,0),1,0)*Table_NFI[[#This Row],[Winter Blanket]],Table_NFI[[#This Row],[Winter Blanket]])</f>
        <v>0</v>
      </c>
      <c r="AM567" s="264">
        <f>IF(Table_NFI[[#This Row],[Winter Clothes Adult]]+Table_NFI[[#This Row],[Winter Clothes Children]]+Table_NFI[[#This Row],[Winter Items Other]]+Table_NFI[[#This Row],[Winter Blanket]]&gt;0,1,0)</f>
        <v>0</v>
      </c>
      <c r="AN567" s="296">
        <f>IF(NFI_Expiration=1,IF($A567&lt;VLOOKUP(V$5,NFI,5,0),1,0)*Table_NFI[[#This Row],[Jerry Can]],Table_NFI[Jerry Can])</f>
        <v>0</v>
      </c>
      <c r="AO567" s="296">
        <f>IF(NFI_Expiration=1,IF($A567&lt;VLOOKUP(V$5,NFI,5,0),1,0)*Table_NFI[[#This Row],[Shelter Tool kit]],Table_NFI[Shelter Tool kit])</f>
        <v>0</v>
      </c>
      <c r="AP567" s="296">
        <f>IF(NFI_Expiration=1,IF($A567&lt;VLOOKUP(V$5,NFI,5,0),1,0)*Table_NFI[[#This Row],[Tent]],Table_NFI[Tent])</f>
        <v>0</v>
      </c>
      <c r="AQ567" s="396" t="str">
        <f>IFERROR(VLOOKUP(Table_NFI[[#This Row],[Camp Name]],CL,2,0),"")</f>
        <v>MMR001CMP050</v>
      </c>
      <c r="AR567" s="702">
        <f ca="1">IF(Table_NFI[[#This Row],[Pcode]]="","",IF(OFFSET(CampList[Opening Date],MATCH(Table_NFI[[#This Row],[Pcode]],CampList[CP_Pcode],0)-1,0,1,1)&gt;=NFI_Monitor_Date,1,0))</f>
        <v>0</v>
      </c>
      <c r="AS567" s="396" t="str">
        <f>IFERROR(VLOOKUP(Table_NFI[[#This Row],[Camp Name]],CL,3,0),"")</f>
        <v>Open</v>
      </c>
      <c r="AT567" s="264" t="str">
        <f ca="1">IF(Table_NFI[[#This Row],[Pcode]]="","",OFFSET(CampList[Priority],MATCH(Table_NFI[[#This Row],[Pcode]],CampList[CP_Pcode],0)-1,0,1,1))</f>
        <v>P4</v>
      </c>
      <c r="AU567" s="263">
        <f>IFERROR(Table_NFI[[#This Row],[Kitchen Set]]/VLOOKUP(Table_NFI[[#This Row],[Camp Name]],CL,4,0),"")</f>
        <v>0</v>
      </c>
      <c r="AV567" s="390" t="s">
        <v>1087</v>
      </c>
      <c r="AW567" s="392"/>
      <c r="AX567" s="399"/>
      <c r="AY567" s="399"/>
      <c r="AZ567" s="399"/>
      <c r="BA567" s="399"/>
      <c r="BB567" s="399"/>
      <c r="BC567" s="399"/>
      <c r="BD567" s="399"/>
      <c r="BE567" s="399"/>
      <c r="BF567" s="399"/>
      <c r="BG567" s="399"/>
      <c r="BH567" s="399"/>
      <c r="BI567" s="399"/>
      <c r="BJ567" s="399"/>
      <c r="BK567" s="399"/>
      <c r="BL567" s="399"/>
      <c r="BM567" s="399"/>
      <c r="BN567" s="399"/>
      <c r="BO567" s="399"/>
      <c r="BP567" s="399"/>
      <c r="BQ567" s="399"/>
      <c r="BR567" s="399"/>
      <c r="BS567" s="399"/>
      <c r="BT567" s="399"/>
      <c r="BU567" s="399"/>
      <c r="BV567" s="399"/>
      <c r="BW567" s="399"/>
      <c r="BX567" s="399"/>
      <c r="BY567" s="399"/>
      <c r="BZ567" s="399"/>
      <c r="CA567" s="399"/>
      <c r="CB567" s="399"/>
      <c r="CC567" s="399"/>
      <c r="CD567" s="399"/>
      <c r="CE567" s="399"/>
      <c r="CF567" s="399"/>
      <c r="CG567" s="399"/>
      <c r="CH567" s="399"/>
      <c r="CI567" s="399"/>
      <c r="CJ567" s="399"/>
      <c r="CK567" s="399"/>
      <c r="CL567" s="399"/>
      <c r="CM567" s="399"/>
      <c r="CN567" s="399"/>
      <c r="CO567" s="399"/>
      <c r="CP567" s="399"/>
      <c r="CQ567" s="399"/>
      <c r="CR567" s="399"/>
      <c r="CS567" s="399"/>
      <c r="CT567" s="399"/>
      <c r="CU567" s="399"/>
      <c r="CV567" s="399"/>
      <c r="CW567" s="399"/>
      <c r="CX567" s="399"/>
      <c r="CY567" s="399"/>
      <c r="CZ567" s="399"/>
      <c r="DA567" s="399"/>
      <c r="DB567" s="399"/>
      <c r="DC567" s="399"/>
      <c r="DD567" s="399"/>
      <c r="DE567" s="399"/>
      <c r="DF567" s="399"/>
      <c r="DG567" s="399"/>
      <c r="DH567" s="399"/>
      <c r="DI567" s="399"/>
      <c r="DJ567" s="399"/>
      <c r="DK567" s="399"/>
      <c r="DL567" s="399"/>
      <c r="DM567" s="399"/>
      <c r="DN567" s="399"/>
      <c r="DO567" s="399"/>
      <c r="DP567" s="399"/>
      <c r="DQ567" s="399"/>
    </row>
    <row r="568" spans="1:121" s="760" customFormat="1" ht="14.45" customHeight="1" x14ac:dyDescent="0.25">
      <c r="A568" s="266">
        <f t="shared" si="8"/>
        <v>41.6</v>
      </c>
      <c r="B568" s="389">
        <v>41608</v>
      </c>
      <c r="C568" s="391" t="s">
        <v>451</v>
      </c>
      <c r="D568" s="391" t="s">
        <v>451</v>
      </c>
      <c r="E568" s="390" t="s">
        <v>380</v>
      </c>
      <c r="F568" s="262" t="s">
        <v>5</v>
      </c>
      <c r="G568" s="262" t="s">
        <v>6</v>
      </c>
      <c r="H568" s="261"/>
      <c r="I568" s="261"/>
      <c r="J568" s="261"/>
      <c r="K568" s="261">
        <v>6</v>
      </c>
      <c r="L568" s="261">
        <v>6</v>
      </c>
      <c r="M568" s="261">
        <v>6</v>
      </c>
      <c r="N568" s="261">
        <v>6</v>
      </c>
      <c r="O568" s="261">
        <v>6</v>
      </c>
      <c r="P568" s="261"/>
      <c r="Q568" s="261"/>
      <c r="R568" s="261"/>
      <c r="S568" s="261"/>
      <c r="T568" s="261"/>
      <c r="U568" s="261"/>
      <c r="V568" s="762"/>
      <c r="W568" s="261"/>
      <c r="X568" s="261"/>
      <c r="Y568" s="264">
        <f>IF(NFI_Expiration=1,IF($A568&lt;VLOOKUP(H$5,NFI,5,0),1,0)*Table_NFI[[#This Row],[Hygiene Kit]],Table_NFI[Hygiene Kit])</f>
        <v>0</v>
      </c>
      <c r="Z568" s="264">
        <f>IF(NFI_Expiration=1,IF($A568&lt;VLOOKUP(I$5,NFI,5,0),1,0)*Table_NFI[[#This Row],[NFI Core Kit]],Table_NFI[NFI Core Kit])</f>
        <v>0</v>
      </c>
      <c r="AA568" s="264">
        <f>IF(NFI_Expiration=1,IF($A568&lt;VLOOKUP(J$5,NFI,5,0),1,0)*Table_NFI[[#This Row],[Sanitary Kit]],Table_NFI[Sanitary Kit])</f>
        <v>0</v>
      </c>
      <c r="AB568" s="264">
        <f>IF(NFI_Expiration=1,IF($A568&lt;VLOOKUP(K$5,NFI,5,0),1,0)*Table_NFI[[#This Row],[Mosquito net]],Table_NFI[Mosquito net])</f>
        <v>0</v>
      </c>
      <c r="AC568" s="264">
        <f>IF(NFI_Expiration=1,IF($A568&lt;VLOOKUP(L$5,NFI,5,0),1,0)*Table_NFI[[#This Row],[Tarpaulin]],Table_NFI[[#This Row],[Tarpaulin]])</f>
        <v>0</v>
      </c>
      <c r="AD568" s="264">
        <f>IF(NFI_Expiration=1,IF($A568&lt;VLOOKUP(M$5,NFI,5,0),1,0)*Table_NFI[[#This Row],[Blanket]],Table_NFI[[#This Row],[Blanket]])</f>
        <v>0</v>
      </c>
      <c r="AE568" s="264">
        <f>IF(NFI_Expiration=1,IF($A568&lt;VLOOKUP(N$5,NFI,5,0),1,0)*Table_NFI[[#This Row],[Kitchen Set]],Table_NFI[Kitchen Set])</f>
        <v>0</v>
      </c>
      <c r="AF568" s="264">
        <f>IF(NFI_Expiration=1,IF($A568&lt;VLOOKUP(O$5,NFI,5,0),1,0)*Table_NFI[[#This Row],[Clothes Kit]],Table_NFI[Clothes Kit])</f>
        <v>0</v>
      </c>
      <c r="AG568" s="264">
        <f>IF(NFI_Expiration=1,IF($A568&lt;VLOOKUP(P$5,NFI,5,0),1,0)*Table_NFI[[#This Row],[Plastic Bucket]],Table_NFI[Plastic Bucket])</f>
        <v>0</v>
      </c>
      <c r="AH568" s="264">
        <f>IF(NFI_Expiration=1,IF($A568&lt;VLOOKUP(Q$5,NFI,5,0),1,0)*Table_NFI[[#This Row],[Plastic Mat]],Table_NFI[Plastic Mat])*IF(Table_NFI[[#This Row],[Distribution Date]]&gt;"2014-04-01",1,2.5)</f>
        <v>0</v>
      </c>
      <c r="AI568" s="264">
        <f>IF(NFI_Expiration=1,IF($A568&lt;VLOOKUP(R$5,NFI,5,0),1,0)*Table_NFI[[#This Row],[Winter Clothes Adult]],Table_NFI[Winter Clothes Adult])</f>
        <v>0</v>
      </c>
      <c r="AJ568" s="264">
        <f>IF(NFI_Expiration=1,IF($A568&lt;VLOOKUP(S$5,NFI,5,0),1,0)*Table_NFI[[#This Row],[Winter Clothes Children]],Table_NFI[Winter Clothes Children])</f>
        <v>0</v>
      </c>
      <c r="AK568" s="264">
        <f>IF(NFI_Expiration=1,IF($A568&lt;VLOOKUP(T$5,NFI,5,0),1,0)*Table_NFI[[#This Row],[Winter Items Other]],Table_NFI[Winter Items Other])</f>
        <v>0</v>
      </c>
      <c r="AL568" s="264">
        <f>IF(NFI_Expiration=1,IF($A568&lt;VLOOKUP(M$5,NFI,5,0),1,0)*Table_NFI[[#This Row],[Winter Blanket]],Table_NFI[[#This Row],[Winter Blanket]])</f>
        <v>0</v>
      </c>
      <c r="AM568" s="264">
        <f>IF(Table_NFI[[#This Row],[Winter Clothes Adult]]+Table_NFI[[#This Row],[Winter Clothes Children]]+Table_NFI[[#This Row],[Winter Items Other]]+Table_NFI[[#This Row],[Winter Blanket]]&gt;0,1,0)</f>
        <v>0</v>
      </c>
      <c r="AN568" s="296">
        <f>IF(NFI_Expiration=1,IF($A568&lt;VLOOKUP(V$5,NFI,5,0),1,0)*Table_NFI[[#This Row],[Jerry Can]],Table_NFI[Jerry Can])</f>
        <v>0</v>
      </c>
      <c r="AO568" s="296">
        <f>IF(NFI_Expiration=1,IF($A568&lt;VLOOKUP(V$5,NFI,5,0),1,0)*Table_NFI[[#This Row],[Shelter Tool kit]],Table_NFI[Shelter Tool kit])</f>
        <v>0</v>
      </c>
      <c r="AP568" s="296">
        <f>IF(NFI_Expiration=1,IF($A568&lt;VLOOKUP(V$5,NFI,5,0),1,0)*Table_NFI[[#This Row],[Tent]],Table_NFI[Tent])</f>
        <v>0</v>
      </c>
      <c r="AQ568" s="396" t="str">
        <f>IFERROR(VLOOKUP(Table_NFI[[#This Row],[Camp Name]],CL,2,0),"")</f>
        <v>MMR001CMP050</v>
      </c>
      <c r="AR568" s="702">
        <f ca="1">IF(Table_NFI[[#This Row],[Pcode]]="","",IF(OFFSET(CampList[Opening Date],MATCH(Table_NFI[[#This Row],[Pcode]],CampList[CP_Pcode],0)-1,0,1,1)&gt;=NFI_Monitor_Date,1,0))</f>
        <v>0</v>
      </c>
      <c r="AS568" s="396" t="str">
        <f>IFERROR(VLOOKUP(Table_NFI[[#This Row],[Camp Name]],CL,3,0),"")</f>
        <v>Open</v>
      </c>
      <c r="AT568" s="264" t="str">
        <f ca="1">IF(Table_NFI[[#This Row],[Pcode]]="","",OFFSET(CampList[Priority],MATCH(Table_NFI[[#This Row],[Pcode]],CampList[CP_Pcode],0)-1,0,1,1))</f>
        <v>P4</v>
      </c>
      <c r="AU568" s="263">
        <f>IFERROR(Table_NFI[[#This Row],[Kitchen Set]]/VLOOKUP(Table_NFI[[#This Row],[Camp Name]],CL,4,0),"")</f>
        <v>1.4688601645123384E-4</v>
      </c>
      <c r="AV568" s="390" t="s">
        <v>1087</v>
      </c>
      <c r="AW568" s="392"/>
      <c r="AX568" s="399"/>
      <c r="AY568" s="399"/>
      <c r="AZ568" s="399"/>
      <c r="BA568" s="399"/>
      <c r="BB568" s="399"/>
      <c r="BC568" s="399"/>
      <c r="BD568" s="399"/>
      <c r="BE568" s="399"/>
      <c r="BF568" s="399"/>
      <c r="BG568" s="399"/>
      <c r="BH568" s="399"/>
      <c r="BI568" s="399"/>
      <c r="BJ568" s="399"/>
      <c r="BK568" s="399"/>
      <c r="BL568" s="399"/>
      <c r="BM568" s="399"/>
      <c r="BN568" s="399"/>
      <c r="BO568" s="399"/>
      <c r="BP568" s="399"/>
      <c r="BQ568" s="399"/>
      <c r="BR568" s="399"/>
      <c r="BS568" s="399"/>
      <c r="BT568" s="399"/>
      <c r="BU568" s="399"/>
      <c r="BV568" s="399"/>
      <c r="BW568" s="399"/>
      <c r="BX568" s="399"/>
      <c r="BY568" s="399"/>
      <c r="BZ568" s="399"/>
      <c r="CA568" s="399"/>
      <c r="CB568" s="399"/>
      <c r="CC568" s="399"/>
      <c r="CD568" s="399"/>
      <c r="CE568" s="399"/>
      <c r="CF568" s="399"/>
      <c r="CG568" s="399"/>
      <c r="CH568" s="399"/>
      <c r="CI568" s="399"/>
      <c r="CJ568" s="399"/>
      <c r="CK568" s="399"/>
      <c r="CL568" s="399"/>
      <c r="CM568" s="399"/>
      <c r="CN568" s="399"/>
      <c r="CO568" s="399"/>
      <c r="CP568" s="399"/>
      <c r="CQ568" s="399"/>
      <c r="CR568" s="399"/>
      <c r="CS568" s="399"/>
      <c r="CT568" s="399"/>
      <c r="CU568" s="399"/>
      <c r="CV568" s="399"/>
      <c r="CW568" s="399"/>
      <c r="CX568" s="399"/>
      <c r="CY568" s="399"/>
      <c r="CZ568" s="399"/>
      <c r="DA568" s="399"/>
      <c r="DB568" s="399"/>
      <c r="DC568" s="399"/>
      <c r="DD568" s="399"/>
      <c r="DE568" s="399"/>
      <c r="DF568" s="399"/>
      <c r="DG568" s="399"/>
      <c r="DH568" s="399"/>
      <c r="DI568" s="399"/>
      <c r="DJ568" s="399"/>
      <c r="DK568" s="399"/>
      <c r="DL568" s="399"/>
      <c r="DM568" s="399"/>
      <c r="DN568" s="399"/>
      <c r="DO568" s="399"/>
      <c r="DP568" s="399"/>
      <c r="DQ568" s="399"/>
    </row>
    <row r="569" spans="1:121" s="760" customFormat="1" ht="14.45" customHeight="1" x14ac:dyDescent="0.25">
      <c r="A569" s="266">
        <f t="shared" si="8"/>
        <v>41.6</v>
      </c>
      <c r="B569" s="389">
        <v>41608</v>
      </c>
      <c r="C569" s="390" t="s">
        <v>904</v>
      </c>
      <c r="D569" s="390" t="s">
        <v>459</v>
      </c>
      <c r="E569" s="390" t="s">
        <v>380</v>
      </c>
      <c r="F569" s="262" t="s">
        <v>310</v>
      </c>
      <c r="G569" s="262" t="s">
        <v>334</v>
      </c>
      <c r="H569" s="261"/>
      <c r="I569" s="261"/>
      <c r="J569" s="261"/>
      <c r="K569" s="261"/>
      <c r="L569" s="261"/>
      <c r="M569" s="261"/>
      <c r="N569" s="261"/>
      <c r="O569" s="261"/>
      <c r="P569" s="261"/>
      <c r="Q569" s="261"/>
      <c r="R569" s="261"/>
      <c r="S569" s="261"/>
      <c r="T569" s="261"/>
      <c r="U569" s="261"/>
      <c r="V569" s="762"/>
      <c r="W569" s="261"/>
      <c r="X569" s="261"/>
      <c r="Y569" s="264">
        <f>IF(NFI_Expiration=1,IF($A569&lt;VLOOKUP(H$5,NFI,5,0),1,0)*Table_NFI[[#This Row],[Hygiene Kit]],Table_NFI[Hygiene Kit])</f>
        <v>0</v>
      </c>
      <c r="Z569" s="264">
        <f>IF(NFI_Expiration=1,IF($A569&lt;VLOOKUP(I$5,NFI,5,0),1,0)*Table_NFI[[#This Row],[NFI Core Kit]],Table_NFI[NFI Core Kit])</f>
        <v>0</v>
      </c>
      <c r="AA569" s="264">
        <f>IF(NFI_Expiration=1,IF($A569&lt;VLOOKUP(J$5,NFI,5,0),1,0)*Table_NFI[[#This Row],[Sanitary Kit]],Table_NFI[Sanitary Kit])</f>
        <v>0</v>
      </c>
      <c r="AB569" s="264">
        <f>IF(NFI_Expiration=1,IF($A569&lt;VLOOKUP(K$5,NFI,5,0),1,0)*Table_NFI[[#This Row],[Mosquito net]],Table_NFI[Mosquito net])</f>
        <v>0</v>
      </c>
      <c r="AC569" s="264">
        <f>IF(NFI_Expiration=1,IF($A569&lt;VLOOKUP(L$5,NFI,5,0),1,0)*Table_NFI[[#This Row],[Tarpaulin]],Table_NFI[[#This Row],[Tarpaulin]])</f>
        <v>0</v>
      </c>
      <c r="AD569" s="264">
        <f>IF(NFI_Expiration=1,IF($A569&lt;VLOOKUP(M$5,NFI,5,0),1,0)*Table_NFI[[#This Row],[Blanket]],Table_NFI[[#This Row],[Blanket]])</f>
        <v>0</v>
      </c>
      <c r="AE569" s="264">
        <f>IF(NFI_Expiration=1,IF($A569&lt;VLOOKUP(N$5,NFI,5,0),1,0)*Table_NFI[[#This Row],[Kitchen Set]],Table_NFI[Kitchen Set])</f>
        <v>0</v>
      </c>
      <c r="AF569" s="264">
        <f>IF(NFI_Expiration=1,IF($A569&lt;VLOOKUP(O$5,NFI,5,0),1,0)*Table_NFI[[#This Row],[Clothes Kit]],Table_NFI[Clothes Kit])</f>
        <v>0</v>
      </c>
      <c r="AG569" s="264">
        <f>IF(NFI_Expiration=1,IF($A569&lt;VLOOKUP(P$5,NFI,5,0),1,0)*Table_NFI[[#This Row],[Plastic Bucket]],Table_NFI[Plastic Bucket])</f>
        <v>0</v>
      </c>
      <c r="AH569" s="264">
        <f>IF(NFI_Expiration=1,IF($A569&lt;VLOOKUP(Q$5,NFI,5,0),1,0)*Table_NFI[[#This Row],[Plastic Mat]],Table_NFI[Plastic Mat])*IF(Table_NFI[[#This Row],[Distribution Date]]&gt;"2014-04-01",1,2.5)</f>
        <v>0</v>
      </c>
      <c r="AI569" s="264">
        <f>IF(NFI_Expiration=1,IF($A569&lt;VLOOKUP(R$5,NFI,5,0),1,0)*Table_NFI[[#This Row],[Winter Clothes Adult]],Table_NFI[Winter Clothes Adult])</f>
        <v>0</v>
      </c>
      <c r="AJ569" s="264">
        <f>IF(NFI_Expiration=1,IF($A569&lt;VLOOKUP(S$5,NFI,5,0),1,0)*Table_NFI[[#This Row],[Winter Clothes Children]],Table_NFI[Winter Clothes Children])</f>
        <v>0</v>
      </c>
      <c r="AK569" s="264">
        <f>IF(NFI_Expiration=1,IF($A569&lt;VLOOKUP(T$5,NFI,5,0),1,0)*Table_NFI[[#This Row],[Winter Items Other]],Table_NFI[Winter Items Other])</f>
        <v>0</v>
      </c>
      <c r="AL569" s="264">
        <f>IF(NFI_Expiration=1,IF($A569&lt;VLOOKUP(M$5,NFI,5,0),1,0)*Table_NFI[[#This Row],[Winter Blanket]],Table_NFI[[#This Row],[Winter Blanket]])</f>
        <v>0</v>
      </c>
      <c r="AM569" s="264">
        <f>IF(Table_NFI[[#This Row],[Winter Clothes Adult]]+Table_NFI[[#This Row],[Winter Clothes Children]]+Table_NFI[[#This Row],[Winter Items Other]]+Table_NFI[[#This Row],[Winter Blanket]]&gt;0,1,0)</f>
        <v>0</v>
      </c>
      <c r="AN569" s="296">
        <f>IF(NFI_Expiration=1,IF($A569&lt;VLOOKUP(V$5,NFI,5,0),1,0)*Table_NFI[[#This Row],[Jerry Can]],Table_NFI[Jerry Can])</f>
        <v>0</v>
      </c>
      <c r="AO569" s="296">
        <f>IF(NFI_Expiration=1,IF($A569&lt;VLOOKUP(V$5,NFI,5,0),1,0)*Table_NFI[[#This Row],[Shelter Tool kit]],Table_NFI[Shelter Tool kit])</f>
        <v>0</v>
      </c>
      <c r="AP569" s="296">
        <f>IF(NFI_Expiration=1,IF($A569&lt;VLOOKUP(V$5,NFI,5,0),1,0)*Table_NFI[[#This Row],[Tent]],Table_NFI[Tent])</f>
        <v>0</v>
      </c>
      <c r="AQ569" s="396" t="str">
        <f>IFERROR(VLOOKUP(Table_NFI[[#This Row],[Camp Name]],CL,2,0),"")</f>
        <v>MMR001CMP113</v>
      </c>
      <c r="AR569" s="702">
        <f ca="1">IF(Table_NFI[[#This Row],[Pcode]]="","",IF(OFFSET(CampList[Opening Date],MATCH(Table_NFI[[#This Row],[Pcode]],CampList[CP_Pcode],0)-1,0,1,1)&gt;=NFI_Monitor_Date,1,0))</f>
        <v>0</v>
      </c>
      <c r="AS569" s="396" t="str">
        <f>IFERROR(VLOOKUP(Table_NFI[[#This Row],[Camp Name]],CL,3,0),"")</f>
        <v>Open</v>
      </c>
      <c r="AT569" s="264" t="str">
        <f ca="1">IF(Table_NFI[[#This Row],[Pcode]]="","",OFFSET(CampList[Priority],MATCH(Table_NFI[[#This Row],[Pcode]],CampList[CP_Pcode],0)-1,0,1,1))</f>
        <v>P1</v>
      </c>
      <c r="AU569" s="263">
        <f>IFERROR(Table_NFI[[#This Row],[Kitchen Set]]/VLOOKUP(Table_NFI[[#This Row],[Camp Name]],CL,4,0),"")</f>
        <v>0</v>
      </c>
      <c r="AV569" s="390" t="s">
        <v>1087</v>
      </c>
      <c r="AW569" s="392"/>
      <c r="AX569" s="399"/>
      <c r="AY569" s="399"/>
      <c r="AZ569" s="399"/>
      <c r="BA569" s="399"/>
      <c r="BB569" s="399"/>
      <c r="BC569" s="399"/>
      <c r="BD569" s="399"/>
      <c r="BE569" s="399"/>
      <c r="BF569" s="399"/>
      <c r="BG569" s="399"/>
      <c r="BH569" s="399"/>
      <c r="BI569" s="399"/>
      <c r="BJ569" s="399"/>
      <c r="BK569" s="399"/>
      <c r="BL569" s="399"/>
      <c r="BM569" s="399"/>
      <c r="BN569" s="399"/>
      <c r="BO569" s="399"/>
      <c r="BP569" s="399"/>
      <c r="BQ569" s="399"/>
      <c r="BR569" s="399"/>
      <c r="BS569" s="399"/>
      <c r="BT569" s="399"/>
      <c r="BU569" s="399"/>
      <c r="BV569" s="399"/>
      <c r="BW569" s="399"/>
      <c r="BX569" s="399"/>
      <c r="BY569" s="399"/>
      <c r="BZ569" s="399"/>
      <c r="CA569" s="399"/>
      <c r="CB569" s="399"/>
      <c r="CC569" s="399"/>
      <c r="CD569" s="399"/>
      <c r="CE569" s="399"/>
      <c r="CF569" s="399"/>
      <c r="CG569" s="399"/>
      <c r="CH569" s="399"/>
      <c r="CI569" s="399"/>
      <c r="CJ569" s="399"/>
      <c r="CK569" s="399"/>
      <c r="CL569" s="399"/>
      <c r="CM569" s="399"/>
      <c r="CN569" s="399"/>
      <c r="CO569" s="399"/>
      <c r="CP569" s="399"/>
      <c r="CQ569" s="399"/>
      <c r="CR569" s="399"/>
      <c r="CS569" s="399"/>
      <c r="CT569" s="399"/>
      <c r="CU569" s="399"/>
      <c r="CV569" s="399"/>
      <c r="CW569" s="399"/>
      <c r="CX569" s="399"/>
      <c r="CY569" s="399"/>
      <c r="CZ569" s="399"/>
      <c r="DA569" s="399"/>
      <c r="DB569" s="399"/>
      <c r="DC569" s="399"/>
      <c r="DD569" s="399"/>
      <c r="DE569" s="399"/>
      <c r="DF569" s="399"/>
      <c r="DG569" s="399"/>
      <c r="DH569" s="399"/>
      <c r="DI569" s="399"/>
      <c r="DJ569" s="399"/>
      <c r="DK569" s="399"/>
      <c r="DL569" s="399"/>
      <c r="DM569" s="399"/>
      <c r="DN569" s="399"/>
      <c r="DO569" s="399"/>
      <c r="DP569" s="399"/>
      <c r="DQ569" s="399"/>
    </row>
    <row r="570" spans="1:121" s="760" customFormat="1" ht="14.45" customHeight="1" x14ac:dyDescent="0.25">
      <c r="A570" s="266">
        <f t="shared" si="8"/>
        <v>41.6</v>
      </c>
      <c r="B570" s="389">
        <v>41608</v>
      </c>
      <c r="C570" s="390" t="s">
        <v>1092</v>
      </c>
      <c r="D570" s="391" t="s">
        <v>943</v>
      </c>
      <c r="E570" s="390" t="s">
        <v>380</v>
      </c>
      <c r="F570" s="262" t="s">
        <v>151</v>
      </c>
      <c r="G570" s="262" t="s">
        <v>188</v>
      </c>
      <c r="H570" s="261"/>
      <c r="I570" s="261"/>
      <c r="J570" s="261"/>
      <c r="K570" s="261"/>
      <c r="L570" s="261"/>
      <c r="M570" s="261">
        <v>819</v>
      </c>
      <c r="N570" s="261"/>
      <c r="O570" s="261"/>
      <c r="P570" s="261"/>
      <c r="Q570" s="261"/>
      <c r="R570" s="261">
        <v>966</v>
      </c>
      <c r="S570" s="261">
        <v>484</v>
      </c>
      <c r="T570" s="261">
        <v>0</v>
      </c>
      <c r="U570" s="261"/>
      <c r="V570" s="762"/>
      <c r="W570" s="261"/>
      <c r="X570" s="261"/>
      <c r="Y570" s="264">
        <f>IF(NFI_Expiration=1,IF($A570&lt;VLOOKUP(H$5,NFI,5,0),1,0)*Table_NFI[[#This Row],[Hygiene Kit]],Table_NFI[Hygiene Kit])</f>
        <v>0</v>
      </c>
      <c r="Z570" s="264">
        <f>IF(NFI_Expiration=1,IF($A570&lt;VLOOKUP(I$5,NFI,5,0),1,0)*Table_NFI[[#This Row],[NFI Core Kit]],Table_NFI[NFI Core Kit])</f>
        <v>0</v>
      </c>
      <c r="AA570" s="264">
        <f>IF(NFI_Expiration=1,IF($A570&lt;VLOOKUP(J$5,NFI,5,0),1,0)*Table_NFI[[#This Row],[Sanitary Kit]],Table_NFI[Sanitary Kit])</f>
        <v>0</v>
      </c>
      <c r="AB570" s="264">
        <f>IF(NFI_Expiration=1,IF($A570&lt;VLOOKUP(K$5,NFI,5,0),1,0)*Table_NFI[[#This Row],[Mosquito net]],Table_NFI[Mosquito net])</f>
        <v>0</v>
      </c>
      <c r="AC570" s="264">
        <f>IF(NFI_Expiration=1,IF($A570&lt;VLOOKUP(L$5,NFI,5,0),1,0)*Table_NFI[[#This Row],[Tarpaulin]],Table_NFI[[#This Row],[Tarpaulin]])</f>
        <v>0</v>
      </c>
      <c r="AD570" s="264">
        <f>IF(NFI_Expiration=1,IF($A570&lt;VLOOKUP(M$5,NFI,5,0),1,0)*Table_NFI[[#This Row],[Blanket]],Table_NFI[[#This Row],[Blanket]])</f>
        <v>0</v>
      </c>
      <c r="AE570" s="264">
        <f>IF(NFI_Expiration=1,IF($A570&lt;VLOOKUP(N$5,NFI,5,0),1,0)*Table_NFI[[#This Row],[Kitchen Set]],Table_NFI[Kitchen Set])</f>
        <v>0</v>
      </c>
      <c r="AF570" s="264">
        <f>IF(NFI_Expiration=1,IF($A570&lt;VLOOKUP(O$5,NFI,5,0),1,0)*Table_NFI[[#This Row],[Clothes Kit]],Table_NFI[Clothes Kit])</f>
        <v>0</v>
      </c>
      <c r="AG570" s="264">
        <f>IF(NFI_Expiration=1,IF($A570&lt;VLOOKUP(P$5,NFI,5,0),1,0)*Table_NFI[[#This Row],[Plastic Bucket]],Table_NFI[Plastic Bucket])</f>
        <v>0</v>
      </c>
      <c r="AH570" s="264">
        <f>IF(NFI_Expiration=1,IF($A570&lt;VLOOKUP(Q$5,NFI,5,0),1,0)*Table_NFI[[#This Row],[Plastic Mat]],Table_NFI[Plastic Mat])*IF(Table_NFI[[#This Row],[Distribution Date]]&gt;"2014-04-01",1,2.5)</f>
        <v>0</v>
      </c>
      <c r="AI570" s="264">
        <f>IF(NFI_Expiration=1,IF($A570&lt;VLOOKUP(R$5,NFI,5,0),1,0)*Table_NFI[[#This Row],[Winter Clothes Adult]],Table_NFI[Winter Clothes Adult])</f>
        <v>0</v>
      </c>
      <c r="AJ570" s="264">
        <f>IF(NFI_Expiration=1,IF($A570&lt;VLOOKUP(S$5,NFI,5,0),1,0)*Table_NFI[[#This Row],[Winter Clothes Children]],Table_NFI[Winter Clothes Children])</f>
        <v>0</v>
      </c>
      <c r="AK570" s="264">
        <f>IF(NFI_Expiration=1,IF($A570&lt;VLOOKUP(T$5,NFI,5,0),1,0)*Table_NFI[[#This Row],[Winter Items Other]],Table_NFI[Winter Items Other])</f>
        <v>0</v>
      </c>
      <c r="AL570" s="264">
        <f>IF(NFI_Expiration=1,IF($A570&lt;VLOOKUP(M$5,NFI,5,0),1,0)*Table_NFI[[#This Row],[Winter Blanket]],Table_NFI[[#This Row],[Winter Blanket]])</f>
        <v>0</v>
      </c>
      <c r="AM570" s="264">
        <f>IF(Table_NFI[[#This Row],[Winter Clothes Adult]]+Table_NFI[[#This Row],[Winter Clothes Children]]+Table_NFI[[#This Row],[Winter Items Other]]+Table_NFI[[#This Row],[Winter Blanket]]&gt;0,1,0)</f>
        <v>1</v>
      </c>
      <c r="AN570" s="296">
        <f>IF(NFI_Expiration=1,IF($A570&lt;VLOOKUP(V$5,NFI,5,0),1,0)*Table_NFI[[#This Row],[Jerry Can]],Table_NFI[Jerry Can])</f>
        <v>0</v>
      </c>
      <c r="AO570" s="296">
        <f>IF(NFI_Expiration=1,IF($A570&lt;VLOOKUP(V$5,NFI,5,0),1,0)*Table_NFI[[#This Row],[Shelter Tool kit]],Table_NFI[Shelter Tool kit])</f>
        <v>0</v>
      </c>
      <c r="AP570" s="296">
        <f>IF(NFI_Expiration=1,IF($A570&lt;VLOOKUP(V$5,NFI,5,0),1,0)*Table_NFI[[#This Row],[Tent]],Table_NFI[Tent])</f>
        <v>0</v>
      </c>
      <c r="AQ570" s="396" t="str">
        <f>IFERROR(VLOOKUP(Table_NFI[[#This Row],[Camp Name]],CL,2,0),"")</f>
        <v>MMR001CMP129</v>
      </c>
      <c r="AR570" s="702">
        <f ca="1">IF(Table_NFI[[#This Row],[Pcode]]="","",IF(OFFSET(CampList[Opening Date],MATCH(Table_NFI[[#This Row],[Pcode]],CampList[CP_Pcode],0)-1,0,1,1)&gt;=NFI_Monitor_Date,1,0))</f>
        <v>0</v>
      </c>
      <c r="AS570" s="396" t="str">
        <f>IFERROR(VLOOKUP(Table_NFI[[#This Row],[Camp Name]],CL,3,0),"")</f>
        <v>Open</v>
      </c>
      <c r="AT570" s="264" t="str">
        <f ca="1">IF(Table_NFI[[#This Row],[Pcode]]="","",OFFSET(CampList[Priority],MATCH(Table_NFI[[#This Row],[Pcode]],CampList[CP_Pcode],0)-1,0,1,1))</f>
        <v>P2</v>
      </c>
      <c r="AU570" s="263">
        <f>IFERROR(Table_NFI[[#This Row],[Kitchen Set]]/VLOOKUP(Table_NFI[[#This Row],[Camp Name]],CL,4,0),"")</f>
        <v>0</v>
      </c>
      <c r="AV570" s="390" t="s">
        <v>1087</v>
      </c>
      <c r="AW570" s="392"/>
      <c r="AX570" s="399"/>
      <c r="AY570" s="399"/>
      <c r="AZ570" s="399"/>
      <c r="BA570" s="399"/>
      <c r="BB570" s="399"/>
      <c r="BC570" s="399"/>
      <c r="BD570" s="399"/>
      <c r="BE570" s="399"/>
      <c r="BF570" s="399"/>
      <c r="BG570" s="399"/>
      <c r="BH570" s="399"/>
      <c r="BI570" s="399"/>
      <c r="BJ570" s="399"/>
      <c r="BK570" s="399"/>
      <c r="BL570" s="399"/>
      <c r="BM570" s="399"/>
      <c r="BN570" s="399"/>
      <c r="BO570" s="399"/>
      <c r="BP570" s="399"/>
      <c r="BQ570" s="399"/>
      <c r="BR570" s="399"/>
      <c r="BS570" s="399"/>
      <c r="BT570" s="399"/>
      <c r="BU570" s="399"/>
      <c r="BV570" s="399"/>
      <c r="BW570" s="399"/>
      <c r="BX570" s="399"/>
      <c r="BY570" s="399"/>
      <c r="BZ570" s="399"/>
      <c r="CA570" s="399"/>
      <c r="CB570" s="399"/>
      <c r="CC570" s="399"/>
      <c r="CD570" s="399"/>
      <c r="CE570" s="399"/>
      <c r="CF570" s="399"/>
      <c r="CG570" s="399"/>
      <c r="CH570" s="399"/>
      <c r="CI570" s="399"/>
      <c r="CJ570" s="399"/>
      <c r="CK570" s="399"/>
      <c r="CL570" s="399"/>
      <c r="CM570" s="399"/>
      <c r="CN570" s="399"/>
      <c r="CO570" s="399"/>
      <c r="CP570" s="399"/>
      <c r="CQ570" s="399"/>
      <c r="CR570" s="399"/>
      <c r="CS570" s="399"/>
      <c r="CT570" s="399"/>
      <c r="CU570" s="399"/>
      <c r="CV570" s="399"/>
      <c r="CW570" s="399"/>
      <c r="CX570" s="399"/>
      <c r="CY570" s="399"/>
      <c r="CZ570" s="399"/>
      <c r="DA570" s="399"/>
      <c r="DB570" s="399"/>
      <c r="DC570" s="399"/>
      <c r="DD570" s="399"/>
      <c r="DE570" s="399"/>
      <c r="DF570" s="399"/>
      <c r="DG570" s="399"/>
      <c r="DH570" s="399"/>
      <c r="DI570" s="399"/>
      <c r="DJ570" s="399"/>
      <c r="DK570" s="399"/>
      <c r="DL570" s="399"/>
      <c r="DM570" s="399"/>
      <c r="DN570" s="399"/>
      <c r="DO570" s="399"/>
      <c r="DP570" s="399"/>
      <c r="DQ570" s="399"/>
    </row>
    <row r="571" spans="1:121" s="760" customFormat="1" ht="14.45" customHeight="1" x14ac:dyDescent="0.25">
      <c r="A571" s="266">
        <f t="shared" si="8"/>
        <v>41.6</v>
      </c>
      <c r="B571" s="389">
        <v>41608</v>
      </c>
      <c r="C571" s="390" t="s">
        <v>904</v>
      </c>
      <c r="D571" s="390" t="s">
        <v>459</v>
      </c>
      <c r="E571" s="390" t="s">
        <v>380</v>
      </c>
      <c r="F571" s="262" t="s">
        <v>151</v>
      </c>
      <c r="G571" s="262" t="s">
        <v>188</v>
      </c>
      <c r="H571" s="261"/>
      <c r="I571" s="261"/>
      <c r="J571" s="261"/>
      <c r="K571" s="261"/>
      <c r="L571" s="261"/>
      <c r="M571" s="261"/>
      <c r="N571" s="261"/>
      <c r="O571" s="261"/>
      <c r="P571" s="261"/>
      <c r="Q571" s="261">
        <v>321</v>
      </c>
      <c r="R571" s="261"/>
      <c r="S571" s="261"/>
      <c r="T571" s="261"/>
      <c r="U571" s="261"/>
      <c r="V571" s="762"/>
      <c r="W571" s="261"/>
      <c r="X571" s="261"/>
      <c r="Y571" s="264">
        <f>IF(NFI_Expiration=1,IF($A571&lt;VLOOKUP(H$5,NFI,5,0),1,0)*Table_NFI[[#This Row],[Hygiene Kit]],Table_NFI[Hygiene Kit])</f>
        <v>0</v>
      </c>
      <c r="Z571" s="264">
        <f>IF(NFI_Expiration=1,IF($A571&lt;VLOOKUP(I$5,NFI,5,0),1,0)*Table_NFI[[#This Row],[NFI Core Kit]],Table_NFI[NFI Core Kit])</f>
        <v>0</v>
      </c>
      <c r="AA571" s="264">
        <f>IF(NFI_Expiration=1,IF($A571&lt;VLOOKUP(J$5,NFI,5,0),1,0)*Table_NFI[[#This Row],[Sanitary Kit]],Table_NFI[Sanitary Kit])</f>
        <v>0</v>
      </c>
      <c r="AB571" s="264">
        <f>IF(NFI_Expiration=1,IF($A571&lt;VLOOKUP(K$5,NFI,5,0),1,0)*Table_NFI[[#This Row],[Mosquito net]],Table_NFI[Mosquito net])</f>
        <v>0</v>
      </c>
      <c r="AC571" s="264">
        <f>IF(NFI_Expiration=1,IF($A571&lt;VLOOKUP(L$5,NFI,5,0),1,0)*Table_NFI[[#This Row],[Tarpaulin]],Table_NFI[[#This Row],[Tarpaulin]])</f>
        <v>0</v>
      </c>
      <c r="AD571" s="264">
        <f>IF(NFI_Expiration=1,IF($A571&lt;VLOOKUP(M$5,NFI,5,0),1,0)*Table_NFI[[#This Row],[Blanket]],Table_NFI[[#This Row],[Blanket]])</f>
        <v>0</v>
      </c>
      <c r="AE571" s="264">
        <f>IF(NFI_Expiration=1,IF($A571&lt;VLOOKUP(N$5,NFI,5,0),1,0)*Table_NFI[[#This Row],[Kitchen Set]],Table_NFI[Kitchen Set])</f>
        <v>0</v>
      </c>
      <c r="AF571" s="264">
        <f>IF(NFI_Expiration=1,IF($A571&lt;VLOOKUP(O$5,NFI,5,0),1,0)*Table_NFI[[#This Row],[Clothes Kit]],Table_NFI[Clothes Kit])</f>
        <v>0</v>
      </c>
      <c r="AG571" s="264">
        <f>IF(NFI_Expiration=1,IF($A571&lt;VLOOKUP(P$5,NFI,5,0),1,0)*Table_NFI[[#This Row],[Plastic Bucket]],Table_NFI[Plastic Bucket])</f>
        <v>0</v>
      </c>
      <c r="AH571" s="264">
        <f>IF(NFI_Expiration=1,IF($A571&lt;VLOOKUP(Q$5,NFI,5,0),1,0)*Table_NFI[[#This Row],[Plastic Mat]],Table_NFI[Plastic Mat])*IF(Table_NFI[[#This Row],[Distribution Date]]&gt;"2014-04-01",1,2.5)</f>
        <v>0</v>
      </c>
      <c r="AI571" s="264">
        <f>IF(NFI_Expiration=1,IF($A571&lt;VLOOKUP(R$5,NFI,5,0),1,0)*Table_NFI[[#This Row],[Winter Clothes Adult]],Table_NFI[Winter Clothes Adult])</f>
        <v>0</v>
      </c>
      <c r="AJ571" s="264">
        <f>IF(NFI_Expiration=1,IF($A571&lt;VLOOKUP(S$5,NFI,5,0),1,0)*Table_NFI[[#This Row],[Winter Clothes Children]],Table_NFI[Winter Clothes Children])</f>
        <v>0</v>
      </c>
      <c r="AK571" s="264">
        <f>IF(NFI_Expiration=1,IF($A571&lt;VLOOKUP(T$5,NFI,5,0),1,0)*Table_NFI[[#This Row],[Winter Items Other]],Table_NFI[Winter Items Other])</f>
        <v>0</v>
      </c>
      <c r="AL571" s="264">
        <f>IF(NFI_Expiration=1,IF($A571&lt;VLOOKUP(M$5,NFI,5,0),1,0)*Table_NFI[[#This Row],[Winter Blanket]],Table_NFI[[#This Row],[Winter Blanket]])</f>
        <v>0</v>
      </c>
      <c r="AM571" s="264">
        <f>IF(Table_NFI[[#This Row],[Winter Clothes Adult]]+Table_NFI[[#This Row],[Winter Clothes Children]]+Table_NFI[[#This Row],[Winter Items Other]]+Table_NFI[[#This Row],[Winter Blanket]]&gt;0,1,0)</f>
        <v>0</v>
      </c>
      <c r="AN571" s="296">
        <f>IF(NFI_Expiration=1,IF($A571&lt;VLOOKUP(V$5,NFI,5,0),1,0)*Table_NFI[[#This Row],[Jerry Can]],Table_NFI[Jerry Can])</f>
        <v>0</v>
      </c>
      <c r="AO571" s="296">
        <f>IF(NFI_Expiration=1,IF($A571&lt;VLOOKUP(V$5,NFI,5,0),1,0)*Table_NFI[[#This Row],[Shelter Tool kit]],Table_NFI[Shelter Tool kit])</f>
        <v>0</v>
      </c>
      <c r="AP571" s="296">
        <f>IF(NFI_Expiration=1,IF($A571&lt;VLOOKUP(V$5,NFI,5,0),1,0)*Table_NFI[[#This Row],[Tent]],Table_NFI[Tent])</f>
        <v>0</v>
      </c>
      <c r="AQ571" s="396" t="str">
        <f>IFERROR(VLOOKUP(Table_NFI[[#This Row],[Camp Name]],CL,2,0),"")</f>
        <v>MMR001CMP129</v>
      </c>
      <c r="AR571" s="702">
        <f ca="1">IF(Table_NFI[[#This Row],[Pcode]]="","",IF(OFFSET(CampList[Opening Date],MATCH(Table_NFI[[#This Row],[Pcode]],CampList[CP_Pcode],0)-1,0,1,1)&gt;=NFI_Monitor_Date,1,0))</f>
        <v>0</v>
      </c>
      <c r="AS571" s="396" t="str">
        <f>IFERROR(VLOOKUP(Table_NFI[[#This Row],[Camp Name]],CL,3,0),"")</f>
        <v>Open</v>
      </c>
      <c r="AT571" s="264" t="str">
        <f ca="1">IF(Table_NFI[[#This Row],[Pcode]]="","",OFFSET(CampList[Priority],MATCH(Table_NFI[[#This Row],[Pcode]],CampList[CP_Pcode],0)-1,0,1,1))</f>
        <v>P2</v>
      </c>
      <c r="AU571" s="263">
        <f>IFERROR(Table_NFI[[#This Row],[Kitchen Set]]/VLOOKUP(Table_NFI[[#This Row],[Camp Name]],CL,4,0),"")</f>
        <v>0</v>
      </c>
      <c r="AV571" s="390" t="s">
        <v>1087</v>
      </c>
      <c r="AW571" s="392"/>
      <c r="AX571" s="399"/>
      <c r="AY571" s="399"/>
      <c r="AZ571" s="399"/>
      <c r="BA571" s="399"/>
      <c r="BB571" s="399"/>
      <c r="BC571" s="399"/>
      <c r="BD571" s="399"/>
      <c r="BE571" s="399"/>
      <c r="BF571" s="399"/>
      <c r="BG571" s="399"/>
      <c r="BH571" s="399"/>
      <c r="BI571" s="399"/>
      <c r="BJ571" s="399"/>
      <c r="BK571" s="399"/>
      <c r="BL571" s="399"/>
      <c r="BM571" s="399"/>
      <c r="BN571" s="399"/>
      <c r="BO571" s="399"/>
      <c r="BP571" s="399"/>
      <c r="BQ571" s="399"/>
      <c r="BR571" s="399"/>
      <c r="BS571" s="399"/>
      <c r="BT571" s="399"/>
      <c r="BU571" s="399"/>
      <c r="BV571" s="399"/>
      <c r="BW571" s="399"/>
      <c r="BX571" s="399"/>
      <c r="BY571" s="399"/>
      <c r="BZ571" s="399"/>
      <c r="CA571" s="399"/>
      <c r="CB571" s="399"/>
      <c r="CC571" s="399"/>
      <c r="CD571" s="399"/>
      <c r="CE571" s="399"/>
      <c r="CF571" s="399"/>
      <c r="CG571" s="399"/>
      <c r="CH571" s="399"/>
      <c r="CI571" s="399"/>
      <c r="CJ571" s="399"/>
      <c r="CK571" s="399"/>
      <c r="CL571" s="399"/>
      <c r="CM571" s="399"/>
      <c r="CN571" s="399"/>
      <c r="CO571" s="399"/>
      <c r="CP571" s="399"/>
      <c r="CQ571" s="399"/>
      <c r="CR571" s="399"/>
      <c r="CS571" s="399"/>
      <c r="CT571" s="399"/>
      <c r="CU571" s="399"/>
      <c r="CV571" s="399"/>
      <c r="CW571" s="399"/>
      <c r="CX571" s="399"/>
      <c r="CY571" s="399"/>
      <c r="CZ571" s="399"/>
      <c r="DA571" s="399"/>
      <c r="DB571" s="399"/>
      <c r="DC571" s="399"/>
      <c r="DD571" s="399"/>
      <c r="DE571" s="399"/>
      <c r="DF571" s="399"/>
      <c r="DG571" s="399"/>
      <c r="DH571" s="399"/>
      <c r="DI571" s="399"/>
      <c r="DJ571" s="399"/>
      <c r="DK571" s="399"/>
      <c r="DL571" s="399"/>
      <c r="DM571" s="399"/>
      <c r="DN571" s="399"/>
      <c r="DO571" s="399"/>
      <c r="DP571" s="399"/>
      <c r="DQ571" s="399"/>
    </row>
    <row r="572" spans="1:121" s="760" customFormat="1" ht="14.45" customHeight="1" x14ac:dyDescent="0.25">
      <c r="A572" s="266">
        <f t="shared" si="8"/>
        <v>41.6</v>
      </c>
      <c r="B572" s="389">
        <v>41608</v>
      </c>
      <c r="C572" s="391" t="s">
        <v>451</v>
      </c>
      <c r="D572" s="391" t="s">
        <v>451</v>
      </c>
      <c r="E572" s="390" t="s">
        <v>380</v>
      </c>
      <c r="F572" s="262" t="s">
        <v>151</v>
      </c>
      <c r="G572" s="262" t="s">
        <v>188</v>
      </c>
      <c r="H572" s="261"/>
      <c r="I572" s="261"/>
      <c r="J572" s="261"/>
      <c r="K572" s="261"/>
      <c r="L572" s="261"/>
      <c r="M572" s="261"/>
      <c r="N572" s="261"/>
      <c r="O572" s="261"/>
      <c r="P572" s="261"/>
      <c r="Q572" s="261"/>
      <c r="R572" s="261"/>
      <c r="S572" s="261"/>
      <c r="T572" s="261"/>
      <c r="U572" s="261"/>
      <c r="V572" s="762"/>
      <c r="W572" s="261"/>
      <c r="X572" s="261"/>
      <c r="Y572" s="264">
        <f>IF(NFI_Expiration=1,IF($A572&lt;VLOOKUP(H$5,NFI,5,0),1,0)*Table_NFI[[#This Row],[Hygiene Kit]],Table_NFI[Hygiene Kit])</f>
        <v>0</v>
      </c>
      <c r="Z572" s="264">
        <f>IF(NFI_Expiration=1,IF($A572&lt;VLOOKUP(I$5,NFI,5,0),1,0)*Table_NFI[[#This Row],[NFI Core Kit]],Table_NFI[NFI Core Kit])</f>
        <v>0</v>
      </c>
      <c r="AA572" s="264">
        <f>IF(NFI_Expiration=1,IF($A572&lt;VLOOKUP(J$5,NFI,5,0),1,0)*Table_NFI[[#This Row],[Sanitary Kit]],Table_NFI[Sanitary Kit])</f>
        <v>0</v>
      </c>
      <c r="AB572" s="264">
        <f>IF(NFI_Expiration=1,IF($A572&lt;VLOOKUP(K$5,NFI,5,0),1,0)*Table_NFI[[#This Row],[Mosquito net]],Table_NFI[Mosquito net])</f>
        <v>0</v>
      </c>
      <c r="AC572" s="264">
        <f>IF(NFI_Expiration=1,IF($A572&lt;VLOOKUP(L$5,NFI,5,0),1,0)*Table_NFI[[#This Row],[Tarpaulin]],Table_NFI[[#This Row],[Tarpaulin]])</f>
        <v>0</v>
      </c>
      <c r="AD572" s="264">
        <f>IF(NFI_Expiration=1,IF($A572&lt;VLOOKUP(M$5,NFI,5,0),1,0)*Table_NFI[[#This Row],[Blanket]],Table_NFI[[#This Row],[Blanket]])</f>
        <v>0</v>
      </c>
      <c r="AE572" s="264">
        <f>IF(NFI_Expiration=1,IF($A572&lt;VLOOKUP(N$5,NFI,5,0),1,0)*Table_NFI[[#This Row],[Kitchen Set]],Table_NFI[Kitchen Set])</f>
        <v>0</v>
      </c>
      <c r="AF572" s="264">
        <f>IF(NFI_Expiration=1,IF($A572&lt;VLOOKUP(O$5,NFI,5,0),1,0)*Table_NFI[[#This Row],[Clothes Kit]],Table_NFI[Clothes Kit])</f>
        <v>0</v>
      </c>
      <c r="AG572" s="264">
        <f>IF(NFI_Expiration=1,IF($A572&lt;VLOOKUP(P$5,NFI,5,0),1,0)*Table_NFI[[#This Row],[Plastic Bucket]],Table_NFI[Plastic Bucket])</f>
        <v>0</v>
      </c>
      <c r="AH572" s="264">
        <f>IF(NFI_Expiration=1,IF($A572&lt;VLOOKUP(Q$5,NFI,5,0),1,0)*Table_NFI[[#This Row],[Plastic Mat]],Table_NFI[Plastic Mat])*IF(Table_NFI[[#This Row],[Distribution Date]]&gt;"2014-04-01",1,2.5)</f>
        <v>0</v>
      </c>
      <c r="AI572" s="264">
        <f>IF(NFI_Expiration=1,IF($A572&lt;VLOOKUP(R$5,NFI,5,0),1,0)*Table_NFI[[#This Row],[Winter Clothes Adult]],Table_NFI[Winter Clothes Adult])</f>
        <v>0</v>
      </c>
      <c r="AJ572" s="264">
        <f>IF(NFI_Expiration=1,IF($A572&lt;VLOOKUP(S$5,NFI,5,0),1,0)*Table_NFI[[#This Row],[Winter Clothes Children]],Table_NFI[Winter Clothes Children])</f>
        <v>0</v>
      </c>
      <c r="AK572" s="264">
        <f>IF(NFI_Expiration=1,IF($A572&lt;VLOOKUP(T$5,NFI,5,0),1,0)*Table_NFI[[#This Row],[Winter Items Other]],Table_NFI[Winter Items Other])</f>
        <v>0</v>
      </c>
      <c r="AL572" s="264">
        <f>IF(NFI_Expiration=1,IF($A572&lt;VLOOKUP(M$5,NFI,5,0),1,0)*Table_NFI[[#This Row],[Winter Blanket]],Table_NFI[[#This Row],[Winter Blanket]])</f>
        <v>0</v>
      </c>
      <c r="AM572" s="264">
        <f>IF(Table_NFI[[#This Row],[Winter Clothes Adult]]+Table_NFI[[#This Row],[Winter Clothes Children]]+Table_NFI[[#This Row],[Winter Items Other]]+Table_NFI[[#This Row],[Winter Blanket]]&gt;0,1,0)</f>
        <v>0</v>
      </c>
      <c r="AN572" s="296">
        <f>IF(NFI_Expiration=1,IF($A572&lt;VLOOKUP(V$5,NFI,5,0),1,0)*Table_NFI[[#This Row],[Jerry Can]],Table_NFI[Jerry Can])</f>
        <v>0</v>
      </c>
      <c r="AO572" s="296">
        <f>IF(NFI_Expiration=1,IF($A572&lt;VLOOKUP(V$5,NFI,5,0),1,0)*Table_NFI[[#This Row],[Shelter Tool kit]],Table_NFI[Shelter Tool kit])</f>
        <v>0</v>
      </c>
      <c r="AP572" s="296">
        <f>IF(NFI_Expiration=1,IF($A572&lt;VLOOKUP(V$5,NFI,5,0),1,0)*Table_NFI[[#This Row],[Tent]],Table_NFI[Tent])</f>
        <v>0</v>
      </c>
      <c r="AQ572" s="396" t="str">
        <f>IFERROR(VLOOKUP(Table_NFI[[#This Row],[Camp Name]],CL,2,0),"")</f>
        <v>MMR001CMP129</v>
      </c>
      <c r="AR572" s="702">
        <f ca="1">IF(Table_NFI[[#This Row],[Pcode]]="","",IF(OFFSET(CampList[Opening Date],MATCH(Table_NFI[[#This Row],[Pcode]],CampList[CP_Pcode],0)-1,0,1,1)&gt;=NFI_Monitor_Date,1,0))</f>
        <v>0</v>
      </c>
      <c r="AS572" s="396" t="str">
        <f>IFERROR(VLOOKUP(Table_NFI[[#This Row],[Camp Name]],CL,3,0),"")</f>
        <v>Open</v>
      </c>
      <c r="AT572" s="264" t="str">
        <f ca="1">IF(Table_NFI[[#This Row],[Pcode]]="","",OFFSET(CampList[Priority],MATCH(Table_NFI[[#This Row],[Pcode]],CampList[CP_Pcode],0)-1,0,1,1))</f>
        <v>P2</v>
      </c>
      <c r="AU572" s="263">
        <f>IFERROR(Table_NFI[[#This Row],[Kitchen Set]]/VLOOKUP(Table_NFI[[#This Row],[Camp Name]],CL,4,0),"")</f>
        <v>0</v>
      </c>
      <c r="AV572" s="390" t="s">
        <v>1087</v>
      </c>
      <c r="AW572" s="392"/>
      <c r="AX572" s="399"/>
      <c r="AY572" s="399"/>
      <c r="AZ572" s="399"/>
      <c r="BA572" s="399"/>
      <c r="BB572" s="399"/>
      <c r="BC572" s="399"/>
      <c r="BD572" s="399"/>
      <c r="BE572" s="399"/>
      <c r="BF572" s="399"/>
      <c r="BG572" s="399"/>
      <c r="BH572" s="399"/>
      <c r="BI572" s="399"/>
      <c r="BJ572" s="399"/>
      <c r="BK572" s="399"/>
      <c r="BL572" s="399"/>
      <c r="BM572" s="399"/>
      <c r="BN572" s="399"/>
      <c r="BO572" s="399"/>
      <c r="BP572" s="399"/>
      <c r="BQ572" s="399"/>
      <c r="BR572" s="399"/>
      <c r="BS572" s="399"/>
      <c r="BT572" s="399"/>
      <c r="BU572" s="399"/>
      <c r="BV572" s="399"/>
      <c r="BW572" s="399"/>
      <c r="BX572" s="399"/>
      <c r="BY572" s="399"/>
      <c r="BZ572" s="399"/>
      <c r="CA572" s="399"/>
      <c r="CB572" s="399"/>
      <c r="CC572" s="399"/>
      <c r="CD572" s="399"/>
      <c r="CE572" s="399"/>
      <c r="CF572" s="399"/>
      <c r="CG572" s="399"/>
      <c r="CH572" s="399"/>
      <c r="CI572" s="399"/>
      <c r="CJ572" s="399"/>
      <c r="CK572" s="399"/>
      <c r="CL572" s="399"/>
      <c r="CM572" s="399"/>
      <c r="CN572" s="399"/>
      <c r="CO572" s="399"/>
      <c r="CP572" s="399"/>
      <c r="CQ572" s="399"/>
      <c r="CR572" s="399"/>
      <c r="CS572" s="399"/>
      <c r="CT572" s="399"/>
      <c r="CU572" s="399"/>
      <c r="CV572" s="399"/>
      <c r="CW572" s="399"/>
      <c r="CX572" s="399"/>
      <c r="CY572" s="399"/>
      <c r="CZ572" s="399"/>
      <c r="DA572" s="399"/>
      <c r="DB572" s="399"/>
      <c r="DC572" s="399"/>
      <c r="DD572" s="399"/>
      <c r="DE572" s="399"/>
      <c r="DF572" s="399"/>
      <c r="DG572" s="399"/>
      <c r="DH572" s="399"/>
      <c r="DI572" s="399"/>
      <c r="DJ572" s="399"/>
      <c r="DK572" s="399"/>
      <c r="DL572" s="399"/>
      <c r="DM572" s="399"/>
      <c r="DN572" s="399"/>
      <c r="DO572" s="399"/>
      <c r="DP572" s="399"/>
      <c r="DQ572" s="399"/>
    </row>
    <row r="573" spans="1:121" s="760" customFormat="1" ht="14.45" customHeight="1" x14ac:dyDescent="0.25">
      <c r="A573" s="266">
        <f t="shared" si="8"/>
        <v>41.6</v>
      </c>
      <c r="B573" s="389">
        <v>41608</v>
      </c>
      <c r="C573" s="390" t="s">
        <v>904</v>
      </c>
      <c r="D573" s="390" t="s">
        <v>459</v>
      </c>
      <c r="E573" s="390" t="s">
        <v>380</v>
      </c>
      <c r="F573" s="262" t="s">
        <v>185</v>
      </c>
      <c r="G573" s="262" t="s">
        <v>192</v>
      </c>
      <c r="H573" s="261"/>
      <c r="I573" s="261"/>
      <c r="J573" s="261"/>
      <c r="K573" s="261"/>
      <c r="L573" s="261"/>
      <c r="M573" s="261"/>
      <c r="N573" s="261"/>
      <c r="O573" s="261"/>
      <c r="P573" s="261"/>
      <c r="Q573" s="261"/>
      <c r="R573" s="261"/>
      <c r="S573" s="261"/>
      <c r="T573" s="261"/>
      <c r="U573" s="261"/>
      <c r="V573" s="762"/>
      <c r="W573" s="261"/>
      <c r="X573" s="261"/>
      <c r="Y573" s="264">
        <f>IF(NFI_Expiration=1,IF($A573&lt;VLOOKUP(H$5,NFI,5,0),1,0)*Table_NFI[[#This Row],[Hygiene Kit]],Table_NFI[Hygiene Kit])</f>
        <v>0</v>
      </c>
      <c r="Z573" s="264">
        <f>IF(NFI_Expiration=1,IF($A573&lt;VLOOKUP(I$5,NFI,5,0),1,0)*Table_NFI[[#This Row],[NFI Core Kit]],Table_NFI[NFI Core Kit])</f>
        <v>0</v>
      </c>
      <c r="AA573" s="264">
        <f>IF(NFI_Expiration=1,IF($A573&lt;VLOOKUP(J$5,NFI,5,0),1,0)*Table_NFI[[#This Row],[Sanitary Kit]],Table_NFI[Sanitary Kit])</f>
        <v>0</v>
      </c>
      <c r="AB573" s="264">
        <f>IF(NFI_Expiration=1,IF($A573&lt;VLOOKUP(K$5,NFI,5,0),1,0)*Table_NFI[[#This Row],[Mosquito net]],Table_NFI[Mosquito net])</f>
        <v>0</v>
      </c>
      <c r="AC573" s="264">
        <f>IF(NFI_Expiration=1,IF($A573&lt;VLOOKUP(L$5,NFI,5,0),1,0)*Table_NFI[[#This Row],[Tarpaulin]],Table_NFI[[#This Row],[Tarpaulin]])</f>
        <v>0</v>
      </c>
      <c r="AD573" s="264">
        <f>IF(NFI_Expiration=1,IF($A573&lt;VLOOKUP(M$5,NFI,5,0),1,0)*Table_NFI[[#This Row],[Blanket]],Table_NFI[[#This Row],[Blanket]])</f>
        <v>0</v>
      </c>
      <c r="AE573" s="264">
        <f>IF(NFI_Expiration=1,IF($A573&lt;VLOOKUP(N$5,NFI,5,0),1,0)*Table_NFI[[#This Row],[Kitchen Set]],Table_NFI[Kitchen Set])</f>
        <v>0</v>
      </c>
      <c r="AF573" s="264">
        <f>IF(NFI_Expiration=1,IF($A573&lt;VLOOKUP(O$5,NFI,5,0),1,0)*Table_NFI[[#This Row],[Clothes Kit]],Table_NFI[Clothes Kit])</f>
        <v>0</v>
      </c>
      <c r="AG573" s="264">
        <f>IF(NFI_Expiration=1,IF($A573&lt;VLOOKUP(P$5,NFI,5,0),1,0)*Table_NFI[[#This Row],[Plastic Bucket]],Table_NFI[Plastic Bucket])</f>
        <v>0</v>
      </c>
      <c r="AH573" s="264">
        <f>IF(NFI_Expiration=1,IF($A573&lt;VLOOKUP(Q$5,NFI,5,0),1,0)*Table_NFI[[#This Row],[Plastic Mat]],Table_NFI[Plastic Mat])*IF(Table_NFI[[#This Row],[Distribution Date]]&gt;"2014-04-01",1,2.5)</f>
        <v>0</v>
      </c>
      <c r="AI573" s="264">
        <f>IF(NFI_Expiration=1,IF($A573&lt;VLOOKUP(R$5,NFI,5,0),1,0)*Table_NFI[[#This Row],[Winter Clothes Adult]],Table_NFI[Winter Clothes Adult])</f>
        <v>0</v>
      </c>
      <c r="AJ573" s="264">
        <f>IF(NFI_Expiration=1,IF($A573&lt;VLOOKUP(S$5,NFI,5,0),1,0)*Table_NFI[[#This Row],[Winter Clothes Children]],Table_NFI[Winter Clothes Children])</f>
        <v>0</v>
      </c>
      <c r="AK573" s="264">
        <f>IF(NFI_Expiration=1,IF($A573&lt;VLOOKUP(T$5,NFI,5,0),1,0)*Table_NFI[[#This Row],[Winter Items Other]],Table_NFI[Winter Items Other])</f>
        <v>0</v>
      </c>
      <c r="AL573" s="264">
        <f>IF(NFI_Expiration=1,IF($A573&lt;VLOOKUP(M$5,NFI,5,0),1,0)*Table_NFI[[#This Row],[Winter Blanket]],Table_NFI[[#This Row],[Winter Blanket]])</f>
        <v>0</v>
      </c>
      <c r="AM573" s="264">
        <f>IF(Table_NFI[[#This Row],[Winter Clothes Adult]]+Table_NFI[[#This Row],[Winter Clothes Children]]+Table_NFI[[#This Row],[Winter Items Other]]+Table_NFI[[#This Row],[Winter Blanket]]&gt;0,1,0)</f>
        <v>0</v>
      </c>
      <c r="AN573" s="296">
        <f>IF(NFI_Expiration=1,IF($A573&lt;VLOOKUP(V$5,NFI,5,0),1,0)*Table_NFI[[#This Row],[Jerry Can]],Table_NFI[Jerry Can])</f>
        <v>0</v>
      </c>
      <c r="AO573" s="296">
        <f>IF(NFI_Expiration=1,IF($A573&lt;VLOOKUP(V$5,NFI,5,0),1,0)*Table_NFI[[#This Row],[Shelter Tool kit]],Table_NFI[Shelter Tool kit])</f>
        <v>0</v>
      </c>
      <c r="AP573" s="296">
        <f>IF(NFI_Expiration=1,IF($A573&lt;VLOOKUP(V$5,NFI,5,0),1,0)*Table_NFI[[#This Row],[Tent]],Table_NFI[Tent])</f>
        <v>0</v>
      </c>
      <c r="AQ573" s="396" t="str">
        <f>IFERROR(VLOOKUP(Table_NFI[[#This Row],[Camp Name]],CL,2,0),"")</f>
        <v>MMR001CMP123</v>
      </c>
      <c r="AR573" s="702">
        <f ca="1">IF(Table_NFI[[#This Row],[Pcode]]="","",IF(OFFSET(CampList[Opening Date],MATCH(Table_NFI[[#This Row],[Pcode]],CampList[CP_Pcode],0)-1,0,1,1)&gt;=NFI_Monitor_Date,1,0))</f>
        <v>0</v>
      </c>
      <c r="AS573" s="396" t="str">
        <f>IFERROR(VLOOKUP(Table_NFI[[#This Row],[Camp Name]],CL,3,0),"")</f>
        <v>Open</v>
      </c>
      <c r="AT573" s="264" t="str">
        <f ca="1">IF(Table_NFI[[#This Row],[Pcode]]="","",OFFSET(CampList[Priority],MATCH(Table_NFI[[#This Row],[Pcode]],CampList[CP_Pcode],0)-1,0,1,1))</f>
        <v>P2</v>
      </c>
      <c r="AU573" s="263">
        <f>IFERROR(Table_NFI[[#This Row],[Kitchen Set]]/VLOOKUP(Table_NFI[[#This Row],[Camp Name]],CL,4,0),"")</f>
        <v>0</v>
      </c>
      <c r="AV573" s="390" t="s">
        <v>1087</v>
      </c>
      <c r="AW573" s="392"/>
      <c r="AX573" s="399"/>
      <c r="AY573" s="399"/>
      <c r="AZ573" s="399"/>
      <c r="BA573" s="399"/>
      <c r="BB573" s="399"/>
      <c r="BC573" s="399"/>
      <c r="BD573" s="399"/>
      <c r="BE573" s="399"/>
      <c r="BF573" s="399"/>
      <c r="BG573" s="399"/>
      <c r="BH573" s="399"/>
      <c r="BI573" s="399"/>
      <c r="BJ573" s="399"/>
      <c r="BK573" s="399"/>
      <c r="BL573" s="399"/>
      <c r="BM573" s="399"/>
      <c r="BN573" s="399"/>
      <c r="BO573" s="399"/>
      <c r="BP573" s="399"/>
      <c r="BQ573" s="399"/>
      <c r="BR573" s="399"/>
      <c r="BS573" s="399"/>
      <c r="BT573" s="399"/>
      <c r="BU573" s="399"/>
      <c r="BV573" s="399"/>
      <c r="BW573" s="399"/>
      <c r="BX573" s="399"/>
      <c r="BY573" s="399"/>
      <c r="BZ573" s="399"/>
      <c r="CA573" s="399"/>
      <c r="CB573" s="399"/>
      <c r="CC573" s="399"/>
      <c r="CD573" s="399"/>
      <c r="CE573" s="399"/>
      <c r="CF573" s="399"/>
      <c r="CG573" s="399"/>
      <c r="CH573" s="399"/>
      <c r="CI573" s="399"/>
      <c r="CJ573" s="399"/>
      <c r="CK573" s="399"/>
      <c r="CL573" s="399"/>
      <c r="CM573" s="399"/>
      <c r="CN573" s="399"/>
      <c r="CO573" s="399"/>
      <c r="CP573" s="399"/>
      <c r="CQ573" s="399"/>
      <c r="CR573" s="399"/>
      <c r="CS573" s="399"/>
      <c r="CT573" s="399"/>
      <c r="CU573" s="399"/>
      <c r="CV573" s="399"/>
      <c r="CW573" s="399"/>
      <c r="CX573" s="399"/>
      <c r="CY573" s="399"/>
      <c r="CZ573" s="399"/>
      <c r="DA573" s="399"/>
      <c r="DB573" s="399"/>
      <c r="DC573" s="399"/>
      <c r="DD573" s="399"/>
      <c r="DE573" s="399"/>
      <c r="DF573" s="399"/>
      <c r="DG573" s="399"/>
      <c r="DH573" s="399"/>
      <c r="DI573" s="399"/>
      <c r="DJ573" s="399"/>
      <c r="DK573" s="399"/>
      <c r="DL573" s="399"/>
      <c r="DM573" s="399"/>
      <c r="DN573" s="399"/>
      <c r="DO573" s="399"/>
      <c r="DP573" s="399"/>
      <c r="DQ573" s="399"/>
    </row>
    <row r="574" spans="1:121" s="760" customFormat="1" ht="14.45" customHeight="1" x14ac:dyDescent="0.25">
      <c r="A574" s="266">
        <f t="shared" si="8"/>
        <v>41.6</v>
      </c>
      <c r="B574" s="389">
        <v>41608</v>
      </c>
      <c r="C574" s="390" t="s">
        <v>451</v>
      </c>
      <c r="D574" s="391" t="s">
        <v>451</v>
      </c>
      <c r="E574" s="390" t="s">
        <v>380</v>
      </c>
      <c r="F574" s="262" t="s">
        <v>185</v>
      </c>
      <c r="G574" s="262" t="s">
        <v>192</v>
      </c>
      <c r="H574" s="261"/>
      <c r="I574" s="261"/>
      <c r="J574" s="261"/>
      <c r="K574" s="261"/>
      <c r="L574" s="261"/>
      <c r="M574" s="261"/>
      <c r="N574" s="261"/>
      <c r="O574" s="261"/>
      <c r="P574" s="261"/>
      <c r="Q574" s="261"/>
      <c r="R574" s="261"/>
      <c r="S574" s="261"/>
      <c r="T574" s="261"/>
      <c r="U574" s="261"/>
      <c r="V574" s="762"/>
      <c r="W574" s="261"/>
      <c r="X574" s="261"/>
      <c r="Y574" s="264">
        <f>IF(NFI_Expiration=1,IF($A574&lt;VLOOKUP(H$5,NFI,5,0),1,0)*Table_NFI[[#This Row],[Hygiene Kit]],Table_NFI[Hygiene Kit])</f>
        <v>0</v>
      </c>
      <c r="Z574" s="264">
        <f>IF(NFI_Expiration=1,IF($A574&lt;VLOOKUP(I$5,NFI,5,0),1,0)*Table_NFI[[#This Row],[NFI Core Kit]],Table_NFI[NFI Core Kit])</f>
        <v>0</v>
      </c>
      <c r="AA574" s="264">
        <f>IF(NFI_Expiration=1,IF($A574&lt;VLOOKUP(J$5,NFI,5,0),1,0)*Table_NFI[[#This Row],[Sanitary Kit]],Table_NFI[Sanitary Kit])</f>
        <v>0</v>
      </c>
      <c r="AB574" s="264">
        <f>IF(NFI_Expiration=1,IF($A574&lt;VLOOKUP(K$5,NFI,5,0),1,0)*Table_NFI[[#This Row],[Mosquito net]],Table_NFI[Mosquito net])</f>
        <v>0</v>
      </c>
      <c r="AC574" s="264">
        <f>IF(NFI_Expiration=1,IF($A574&lt;VLOOKUP(L$5,NFI,5,0),1,0)*Table_NFI[[#This Row],[Tarpaulin]],Table_NFI[[#This Row],[Tarpaulin]])</f>
        <v>0</v>
      </c>
      <c r="AD574" s="264">
        <f>IF(NFI_Expiration=1,IF($A574&lt;VLOOKUP(M$5,NFI,5,0),1,0)*Table_NFI[[#This Row],[Blanket]],Table_NFI[[#This Row],[Blanket]])</f>
        <v>0</v>
      </c>
      <c r="AE574" s="264">
        <f>IF(NFI_Expiration=1,IF($A574&lt;VLOOKUP(N$5,NFI,5,0),1,0)*Table_NFI[[#This Row],[Kitchen Set]],Table_NFI[Kitchen Set])</f>
        <v>0</v>
      </c>
      <c r="AF574" s="264">
        <f>IF(NFI_Expiration=1,IF($A574&lt;VLOOKUP(O$5,NFI,5,0),1,0)*Table_NFI[[#This Row],[Clothes Kit]],Table_NFI[Clothes Kit])</f>
        <v>0</v>
      </c>
      <c r="AG574" s="264">
        <f>IF(NFI_Expiration=1,IF($A574&lt;VLOOKUP(P$5,NFI,5,0),1,0)*Table_NFI[[#This Row],[Plastic Bucket]],Table_NFI[Plastic Bucket])</f>
        <v>0</v>
      </c>
      <c r="AH574" s="264">
        <f>IF(NFI_Expiration=1,IF($A574&lt;VLOOKUP(Q$5,NFI,5,0),1,0)*Table_NFI[[#This Row],[Plastic Mat]],Table_NFI[Plastic Mat])*IF(Table_NFI[[#This Row],[Distribution Date]]&gt;"2014-04-01",1,2.5)</f>
        <v>0</v>
      </c>
      <c r="AI574" s="264">
        <f>IF(NFI_Expiration=1,IF($A574&lt;VLOOKUP(R$5,NFI,5,0),1,0)*Table_NFI[[#This Row],[Winter Clothes Adult]],Table_NFI[Winter Clothes Adult])</f>
        <v>0</v>
      </c>
      <c r="AJ574" s="264">
        <f>IF(NFI_Expiration=1,IF($A574&lt;VLOOKUP(S$5,NFI,5,0),1,0)*Table_NFI[[#This Row],[Winter Clothes Children]],Table_NFI[Winter Clothes Children])</f>
        <v>0</v>
      </c>
      <c r="AK574" s="264">
        <f>IF(NFI_Expiration=1,IF($A574&lt;VLOOKUP(T$5,NFI,5,0),1,0)*Table_NFI[[#This Row],[Winter Items Other]],Table_NFI[Winter Items Other])</f>
        <v>0</v>
      </c>
      <c r="AL574" s="264">
        <f>IF(NFI_Expiration=1,IF($A574&lt;VLOOKUP(M$5,NFI,5,0),1,0)*Table_NFI[[#This Row],[Winter Blanket]],Table_NFI[[#This Row],[Winter Blanket]])</f>
        <v>0</v>
      </c>
      <c r="AM574" s="264">
        <f>IF(Table_NFI[[#This Row],[Winter Clothes Adult]]+Table_NFI[[#This Row],[Winter Clothes Children]]+Table_NFI[[#This Row],[Winter Items Other]]+Table_NFI[[#This Row],[Winter Blanket]]&gt;0,1,0)</f>
        <v>0</v>
      </c>
      <c r="AN574" s="296">
        <f>IF(NFI_Expiration=1,IF($A574&lt;VLOOKUP(V$5,NFI,5,0),1,0)*Table_NFI[[#This Row],[Jerry Can]],Table_NFI[Jerry Can])</f>
        <v>0</v>
      </c>
      <c r="AO574" s="296">
        <f>IF(NFI_Expiration=1,IF($A574&lt;VLOOKUP(V$5,NFI,5,0),1,0)*Table_NFI[[#This Row],[Shelter Tool kit]],Table_NFI[Shelter Tool kit])</f>
        <v>0</v>
      </c>
      <c r="AP574" s="296">
        <f>IF(NFI_Expiration=1,IF($A574&lt;VLOOKUP(V$5,NFI,5,0),1,0)*Table_NFI[[#This Row],[Tent]],Table_NFI[Tent])</f>
        <v>0</v>
      </c>
      <c r="AQ574" s="396" t="str">
        <f>IFERROR(VLOOKUP(Table_NFI[[#This Row],[Camp Name]],CL,2,0),"")</f>
        <v>MMR001CMP123</v>
      </c>
      <c r="AR574" s="702">
        <f ca="1">IF(Table_NFI[[#This Row],[Pcode]]="","",IF(OFFSET(CampList[Opening Date],MATCH(Table_NFI[[#This Row],[Pcode]],CampList[CP_Pcode],0)-1,0,1,1)&gt;=NFI_Monitor_Date,1,0))</f>
        <v>0</v>
      </c>
      <c r="AS574" s="396" t="str">
        <f>IFERROR(VLOOKUP(Table_NFI[[#This Row],[Camp Name]],CL,3,0),"")</f>
        <v>Open</v>
      </c>
      <c r="AT574" s="264" t="str">
        <f ca="1">IF(Table_NFI[[#This Row],[Pcode]]="","",OFFSET(CampList[Priority],MATCH(Table_NFI[[#This Row],[Pcode]],CampList[CP_Pcode],0)-1,0,1,1))</f>
        <v>P2</v>
      </c>
      <c r="AU574" s="263">
        <f>IFERROR(Table_NFI[[#This Row],[Kitchen Set]]/VLOOKUP(Table_NFI[[#This Row],[Camp Name]],CL,4,0),"")</f>
        <v>0</v>
      </c>
      <c r="AV574" s="390" t="s">
        <v>1087</v>
      </c>
      <c r="AW574" s="392"/>
      <c r="AX574" s="399"/>
      <c r="AY574" s="399"/>
      <c r="AZ574" s="399"/>
      <c r="BA574" s="399"/>
      <c r="BB574" s="399"/>
      <c r="BC574" s="399"/>
      <c r="BD574" s="399"/>
      <c r="BE574" s="399"/>
      <c r="BF574" s="399"/>
      <c r="BG574" s="399"/>
      <c r="BH574" s="399"/>
      <c r="BI574" s="399"/>
      <c r="BJ574" s="399"/>
      <c r="BK574" s="399"/>
      <c r="BL574" s="399"/>
      <c r="BM574" s="399"/>
      <c r="BN574" s="399"/>
      <c r="BO574" s="399"/>
      <c r="BP574" s="399"/>
      <c r="BQ574" s="399"/>
      <c r="BR574" s="399"/>
      <c r="BS574" s="399"/>
      <c r="BT574" s="399"/>
      <c r="BU574" s="399"/>
      <c r="BV574" s="399"/>
      <c r="BW574" s="399"/>
      <c r="BX574" s="399"/>
      <c r="BY574" s="399"/>
      <c r="BZ574" s="399"/>
      <c r="CA574" s="399"/>
      <c r="CB574" s="399"/>
      <c r="CC574" s="399"/>
      <c r="CD574" s="399"/>
      <c r="CE574" s="399"/>
      <c r="CF574" s="399"/>
      <c r="CG574" s="399"/>
      <c r="CH574" s="399"/>
      <c r="CI574" s="399"/>
      <c r="CJ574" s="399"/>
      <c r="CK574" s="399"/>
      <c r="CL574" s="399"/>
      <c r="CM574" s="399"/>
      <c r="CN574" s="399"/>
      <c r="CO574" s="399"/>
      <c r="CP574" s="399"/>
      <c r="CQ574" s="399"/>
      <c r="CR574" s="399"/>
      <c r="CS574" s="399"/>
      <c r="CT574" s="399"/>
      <c r="CU574" s="399"/>
      <c r="CV574" s="399"/>
      <c r="CW574" s="399"/>
      <c r="CX574" s="399"/>
      <c r="CY574" s="399"/>
      <c r="CZ574" s="399"/>
      <c r="DA574" s="399"/>
      <c r="DB574" s="399"/>
      <c r="DC574" s="399"/>
      <c r="DD574" s="399"/>
      <c r="DE574" s="399"/>
      <c r="DF574" s="399"/>
      <c r="DG574" s="399"/>
      <c r="DH574" s="399"/>
      <c r="DI574" s="399"/>
      <c r="DJ574" s="399"/>
      <c r="DK574" s="399"/>
      <c r="DL574" s="399"/>
      <c r="DM574" s="399"/>
      <c r="DN574" s="399"/>
      <c r="DO574" s="399"/>
      <c r="DP574" s="399"/>
      <c r="DQ574" s="399"/>
    </row>
    <row r="575" spans="1:121" s="760" customFormat="1" ht="14.45" customHeight="1" x14ac:dyDescent="0.25">
      <c r="A575" s="266">
        <f t="shared" si="8"/>
        <v>41.6</v>
      </c>
      <c r="B575" s="389">
        <v>41608</v>
      </c>
      <c r="C575" s="390" t="s">
        <v>904</v>
      </c>
      <c r="D575" s="390" t="s">
        <v>459</v>
      </c>
      <c r="E575" s="390" t="s">
        <v>380</v>
      </c>
      <c r="F575" s="390" t="s">
        <v>310</v>
      </c>
      <c r="G575" s="262" t="s">
        <v>313</v>
      </c>
      <c r="H575" s="261"/>
      <c r="I575" s="261"/>
      <c r="J575" s="261"/>
      <c r="K575" s="261"/>
      <c r="L575" s="261"/>
      <c r="M575" s="261"/>
      <c r="N575" s="261"/>
      <c r="O575" s="261"/>
      <c r="P575" s="261"/>
      <c r="Q575" s="261"/>
      <c r="R575" s="261"/>
      <c r="S575" s="261"/>
      <c r="T575" s="261"/>
      <c r="U575" s="261"/>
      <c r="V575" s="762"/>
      <c r="W575" s="261"/>
      <c r="X575" s="261"/>
      <c r="Y575" s="264">
        <f>IF(NFI_Expiration=1,IF($A575&lt;VLOOKUP(H$5,NFI,5,0),1,0)*Table_NFI[[#This Row],[Hygiene Kit]],Table_NFI[Hygiene Kit])</f>
        <v>0</v>
      </c>
      <c r="Z575" s="264">
        <f>IF(NFI_Expiration=1,IF($A575&lt;VLOOKUP(I$5,NFI,5,0),1,0)*Table_NFI[[#This Row],[NFI Core Kit]],Table_NFI[NFI Core Kit])</f>
        <v>0</v>
      </c>
      <c r="AA575" s="264">
        <f>IF(NFI_Expiration=1,IF($A575&lt;VLOOKUP(J$5,NFI,5,0),1,0)*Table_NFI[[#This Row],[Sanitary Kit]],Table_NFI[Sanitary Kit])</f>
        <v>0</v>
      </c>
      <c r="AB575" s="264">
        <f>IF(NFI_Expiration=1,IF($A575&lt;VLOOKUP(K$5,NFI,5,0),1,0)*Table_NFI[[#This Row],[Mosquito net]],Table_NFI[Mosquito net])</f>
        <v>0</v>
      </c>
      <c r="AC575" s="264">
        <f>IF(NFI_Expiration=1,IF($A575&lt;VLOOKUP(L$5,NFI,5,0),1,0)*Table_NFI[[#This Row],[Tarpaulin]],Table_NFI[[#This Row],[Tarpaulin]])</f>
        <v>0</v>
      </c>
      <c r="AD575" s="264">
        <f>IF(NFI_Expiration=1,IF($A575&lt;VLOOKUP(M$5,NFI,5,0),1,0)*Table_NFI[[#This Row],[Blanket]],Table_NFI[[#This Row],[Blanket]])</f>
        <v>0</v>
      </c>
      <c r="AE575" s="264">
        <f>IF(NFI_Expiration=1,IF($A575&lt;VLOOKUP(N$5,NFI,5,0),1,0)*Table_NFI[[#This Row],[Kitchen Set]],Table_NFI[Kitchen Set])</f>
        <v>0</v>
      </c>
      <c r="AF575" s="264">
        <f>IF(NFI_Expiration=1,IF($A575&lt;VLOOKUP(O$5,NFI,5,0),1,0)*Table_NFI[[#This Row],[Clothes Kit]],Table_NFI[Clothes Kit])</f>
        <v>0</v>
      </c>
      <c r="AG575" s="264">
        <f>IF(NFI_Expiration=1,IF($A575&lt;VLOOKUP(P$5,NFI,5,0),1,0)*Table_NFI[[#This Row],[Plastic Bucket]],Table_NFI[Plastic Bucket])</f>
        <v>0</v>
      </c>
      <c r="AH575" s="264">
        <f>IF(NFI_Expiration=1,IF($A575&lt;VLOOKUP(Q$5,NFI,5,0),1,0)*Table_NFI[[#This Row],[Plastic Mat]],Table_NFI[Plastic Mat])*IF(Table_NFI[[#This Row],[Distribution Date]]&gt;"2014-04-01",1,2.5)</f>
        <v>0</v>
      </c>
      <c r="AI575" s="264">
        <f>IF(NFI_Expiration=1,IF($A575&lt;VLOOKUP(R$5,NFI,5,0),1,0)*Table_NFI[[#This Row],[Winter Clothes Adult]],Table_NFI[Winter Clothes Adult])</f>
        <v>0</v>
      </c>
      <c r="AJ575" s="264">
        <f>IF(NFI_Expiration=1,IF($A575&lt;VLOOKUP(S$5,NFI,5,0),1,0)*Table_NFI[[#This Row],[Winter Clothes Children]],Table_NFI[Winter Clothes Children])</f>
        <v>0</v>
      </c>
      <c r="AK575" s="264">
        <f>IF(NFI_Expiration=1,IF($A575&lt;VLOOKUP(T$5,NFI,5,0),1,0)*Table_NFI[[#This Row],[Winter Items Other]],Table_NFI[Winter Items Other])</f>
        <v>0</v>
      </c>
      <c r="AL575" s="264">
        <f>IF(NFI_Expiration=1,IF($A575&lt;VLOOKUP(M$5,NFI,5,0),1,0)*Table_NFI[[#This Row],[Winter Blanket]],Table_NFI[[#This Row],[Winter Blanket]])</f>
        <v>0</v>
      </c>
      <c r="AM575" s="264">
        <f>IF(Table_NFI[[#This Row],[Winter Clothes Adult]]+Table_NFI[[#This Row],[Winter Clothes Children]]+Table_NFI[[#This Row],[Winter Items Other]]+Table_NFI[[#This Row],[Winter Blanket]]&gt;0,1,0)</f>
        <v>0</v>
      </c>
      <c r="AN575" s="296">
        <f>IF(NFI_Expiration=1,IF($A575&lt;VLOOKUP(V$5,NFI,5,0),1,0)*Table_NFI[[#This Row],[Jerry Can]],Table_NFI[Jerry Can])</f>
        <v>0</v>
      </c>
      <c r="AO575" s="296">
        <f>IF(NFI_Expiration=1,IF($A575&lt;VLOOKUP(V$5,NFI,5,0),1,0)*Table_NFI[[#This Row],[Shelter Tool kit]],Table_NFI[Shelter Tool kit])</f>
        <v>0</v>
      </c>
      <c r="AP575" s="296">
        <f>IF(NFI_Expiration=1,IF($A575&lt;VLOOKUP(V$5,NFI,5,0),1,0)*Table_NFI[[#This Row],[Tent]],Table_NFI[Tent])</f>
        <v>0</v>
      </c>
      <c r="AQ575" s="396" t="str">
        <f>IFERROR(VLOOKUP(Table_NFI[[#This Row],[Camp Name]],CL,2,0),"")</f>
        <v>MMR001CMP028</v>
      </c>
      <c r="AR575" s="702">
        <f ca="1">IF(Table_NFI[[#This Row],[Pcode]]="","",IF(OFFSET(CampList[Opening Date],MATCH(Table_NFI[[#This Row],[Pcode]],CampList[CP_Pcode],0)-1,0,1,1)&gt;=NFI_Monitor_Date,1,0))</f>
        <v>0</v>
      </c>
      <c r="AS575" s="396" t="str">
        <f>IFERROR(VLOOKUP(Table_NFI[[#This Row],[Camp Name]],CL,3,0),"")</f>
        <v>Open</v>
      </c>
      <c r="AT575" s="264" t="str">
        <f ca="1">IF(Table_NFI[[#This Row],[Pcode]]="","",OFFSET(CampList[Priority],MATCH(Table_NFI[[#This Row],[Pcode]],CampList[CP_Pcode],0)-1,0,1,1))</f>
        <v>P4</v>
      </c>
      <c r="AU575" s="263">
        <f>IFERROR(Table_NFI[[#This Row],[Kitchen Set]]/VLOOKUP(Table_NFI[[#This Row],[Camp Name]],CL,4,0),"")</f>
        <v>0</v>
      </c>
      <c r="AV575" s="390" t="s">
        <v>1087</v>
      </c>
      <c r="AW575" s="392"/>
      <c r="AX575" s="399"/>
      <c r="AY575" s="399"/>
      <c r="AZ575" s="399"/>
      <c r="BA575" s="399"/>
      <c r="BB575" s="399"/>
      <c r="BC575" s="399"/>
      <c r="BD575" s="399"/>
      <c r="BE575" s="399"/>
      <c r="BF575" s="399"/>
      <c r="BG575" s="399"/>
      <c r="BH575" s="399"/>
      <c r="BI575" s="399"/>
      <c r="BJ575" s="399"/>
      <c r="BK575" s="399"/>
      <c r="BL575" s="399"/>
      <c r="BM575" s="399"/>
      <c r="BN575" s="399"/>
      <c r="BO575" s="399"/>
      <c r="BP575" s="399"/>
      <c r="BQ575" s="399"/>
      <c r="BR575" s="399"/>
      <c r="BS575" s="399"/>
      <c r="BT575" s="399"/>
      <c r="BU575" s="399"/>
      <c r="BV575" s="399"/>
      <c r="BW575" s="399"/>
      <c r="BX575" s="399"/>
      <c r="BY575" s="399"/>
      <c r="BZ575" s="399"/>
      <c r="CA575" s="399"/>
      <c r="CB575" s="399"/>
      <c r="CC575" s="399"/>
      <c r="CD575" s="399"/>
      <c r="CE575" s="399"/>
      <c r="CF575" s="399"/>
      <c r="CG575" s="399"/>
      <c r="CH575" s="399"/>
      <c r="CI575" s="399"/>
      <c r="CJ575" s="399"/>
      <c r="CK575" s="399"/>
      <c r="CL575" s="399"/>
      <c r="CM575" s="399"/>
      <c r="CN575" s="399"/>
      <c r="CO575" s="399"/>
      <c r="CP575" s="399"/>
      <c r="CQ575" s="399"/>
      <c r="CR575" s="399"/>
      <c r="CS575" s="399"/>
      <c r="CT575" s="399"/>
      <c r="CU575" s="399"/>
      <c r="CV575" s="399"/>
      <c r="CW575" s="399"/>
      <c r="CX575" s="399"/>
      <c r="CY575" s="399"/>
      <c r="CZ575" s="399"/>
      <c r="DA575" s="399"/>
      <c r="DB575" s="399"/>
      <c r="DC575" s="399"/>
      <c r="DD575" s="399"/>
      <c r="DE575" s="399"/>
      <c r="DF575" s="399"/>
      <c r="DG575" s="399"/>
      <c r="DH575" s="399"/>
      <c r="DI575" s="399"/>
      <c r="DJ575" s="399"/>
      <c r="DK575" s="399"/>
      <c r="DL575" s="399"/>
      <c r="DM575" s="399"/>
      <c r="DN575" s="399"/>
      <c r="DO575" s="399"/>
      <c r="DP575" s="399"/>
      <c r="DQ575" s="399"/>
    </row>
    <row r="576" spans="1:121" s="760" customFormat="1" ht="14.45" customHeight="1" x14ac:dyDescent="0.25">
      <c r="A576" s="266">
        <f t="shared" si="8"/>
        <v>41.6</v>
      </c>
      <c r="B576" s="389">
        <v>41608</v>
      </c>
      <c r="C576" s="390" t="s">
        <v>904</v>
      </c>
      <c r="D576" s="390" t="s">
        <v>459</v>
      </c>
      <c r="E576" s="390" t="s">
        <v>380</v>
      </c>
      <c r="F576" s="262" t="s">
        <v>310</v>
      </c>
      <c r="G576" s="262" t="s">
        <v>336</v>
      </c>
      <c r="H576" s="261"/>
      <c r="I576" s="261"/>
      <c r="J576" s="261"/>
      <c r="K576" s="261"/>
      <c r="L576" s="261"/>
      <c r="M576" s="261"/>
      <c r="N576" s="261"/>
      <c r="O576" s="261"/>
      <c r="P576" s="261"/>
      <c r="Q576" s="261"/>
      <c r="R576" s="261"/>
      <c r="S576" s="261"/>
      <c r="T576" s="261"/>
      <c r="U576" s="261"/>
      <c r="V576" s="762"/>
      <c r="W576" s="261"/>
      <c r="X576" s="261"/>
      <c r="Y576" s="264">
        <f>IF(NFI_Expiration=1,IF($A576&lt;VLOOKUP(H$5,NFI,5,0),1,0)*Table_NFI[[#This Row],[Hygiene Kit]],Table_NFI[Hygiene Kit])</f>
        <v>0</v>
      </c>
      <c r="Z576" s="264">
        <f>IF(NFI_Expiration=1,IF($A576&lt;VLOOKUP(I$5,NFI,5,0),1,0)*Table_NFI[[#This Row],[NFI Core Kit]],Table_NFI[NFI Core Kit])</f>
        <v>0</v>
      </c>
      <c r="AA576" s="264">
        <f>IF(NFI_Expiration=1,IF($A576&lt;VLOOKUP(J$5,NFI,5,0),1,0)*Table_NFI[[#This Row],[Sanitary Kit]],Table_NFI[Sanitary Kit])</f>
        <v>0</v>
      </c>
      <c r="AB576" s="264">
        <f>IF(NFI_Expiration=1,IF($A576&lt;VLOOKUP(K$5,NFI,5,0),1,0)*Table_NFI[[#This Row],[Mosquito net]],Table_NFI[Mosquito net])</f>
        <v>0</v>
      </c>
      <c r="AC576" s="264">
        <f>IF(NFI_Expiration=1,IF($A576&lt;VLOOKUP(L$5,NFI,5,0),1,0)*Table_NFI[[#This Row],[Tarpaulin]],Table_NFI[[#This Row],[Tarpaulin]])</f>
        <v>0</v>
      </c>
      <c r="AD576" s="264">
        <f>IF(NFI_Expiration=1,IF($A576&lt;VLOOKUP(M$5,NFI,5,0),1,0)*Table_NFI[[#This Row],[Blanket]],Table_NFI[[#This Row],[Blanket]])</f>
        <v>0</v>
      </c>
      <c r="AE576" s="264">
        <f>IF(NFI_Expiration=1,IF($A576&lt;VLOOKUP(N$5,NFI,5,0),1,0)*Table_NFI[[#This Row],[Kitchen Set]],Table_NFI[Kitchen Set])</f>
        <v>0</v>
      </c>
      <c r="AF576" s="264">
        <f>IF(NFI_Expiration=1,IF($A576&lt;VLOOKUP(O$5,NFI,5,0),1,0)*Table_NFI[[#This Row],[Clothes Kit]],Table_NFI[Clothes Kit])</f>
        <v>0</v>
      </c>
      <c r="AG576" s="264">
        <f>IF(NFI_Expiration=1,IF($A576&lt;VLOOKUP(P$5,NFI,5,0),1,0)*Table_NFI[[#This Row],[Plastic Bucket]],Table_NFI[Plastic Bucket])</f>
        <v>0</v>
      </c>
      <c r="AH576" s="264">
        <f>IF(NFI_Expiration=1,IF($A576&lt;VLOOKUP(Q$5,NFI,5,0),1,0)*Table_NFI[[#This Row],[Plastic Mat]],Table_NFI[Plastic Mat])*IF(Table_NFI[[#This Row],[Distribution Date]]&gt;"2014-04-01",1,2.5)</f>
        <v>0</v>
      </c>
      <c r="AI576" s="264">
        <f>IF(NFI_Expiration=1,IF($A576&lt;VLOOKUP(R$5,NFI,5,0),1,0)*Table_NFI[[#This Row],[Winter Clothes Adult]],Table_NFI[Winter Clothes Adult])</f>
        <v>0</v>
      </c>
      <c r="AJ576" s="264">
        <f>IF(NFI_Expiration=1,IF($A576&lt;VLOOKUP(S$5,NFI,5,0),1,0)*Table_NFI[[#This Row],[Winter Clothes Children]],Table_NFI[Winter Clothes Children])</f>
        <v>0</v>
      </c>
      <c r="AK576" s="264">
        <f>IF(NFI_Expiration=1,IF($A576&lt;VLOOKUP(T$5,NFI,5,0),1,0)*Table_NFI[[#This Row],[Winter Items Other]],Table_NFI[Winter Items Other])</f>
        <v>0</v>
      </c>
      <c r="AL576" s="264">
        <f>IF(NFI_Expiration=1,IF($A576&lt;VLOOKUP(M$5,NFI,5,0),1,0)*Table_NFI[[#This Row],[Winter Blanket]],Table_NFI[[#This Row],[Winter Blanket]])</f>
        <v>0</v>
      </c>
      <c r="AM576" s="264">
        <f>IF(Table_NFI[[#This Row],[Winter Clothes Adult]]+Table_NFI[[#This Row],[Winter Clothes Children]]+Table_NFI[[#This Row],[Winter Items Other]]+Table_NFI[[#This Row],[Winter Blanket]]&gt;0,1,0)</f>
        <v>0</v>
      </c>
      <c r="AN576" s="296">
        <f>IF(NFI_Expiration=1,IF($A576&lt;VLOOKUP(V$5,NFI,5,0),1,0)*Table_NFI[[#This Row],[Jerry Can]],Table_NFI[Jerry Can])</f>
        <v>0</v>
      </c>
      <c r="AO576" s="296">
        <f>IF(NFI_Expiration=1,IF($A576&lt;VLOOKUP(V$5,NFI,5,0),1,0)*Table_NFI[[#This Row],[Shelter Tool kit]],Table_NFI[Shelter Tool kit])</f>
        <v>0</v>
      </c>
      <c r="AP576" s="296">
        <f>IF(NFI_Expiration=1,IF($A576&lt;VLOOKUP(V$5,NFI,5,0),1,0)*Table_NFI[[#This Row],[Tent]],Table_NFI[Tent])</f>
        <v>0</v>
      </c>
      <c r="AQ576" s="396" t="str">
        <f>IFERROR(VLOOKUP(Table_NFI[[#This Row],[Camp Name]],CL,2,0),"")</f>
        <v>MMR001CMP115</v>
      </c>
      <c r="AR576" s="702">
        <f ca="1">IF(Table_NFI[[#This Row],[Pcode]]="","",IF(OFFSET(CampList[Opening Date],MATCH(Table_NFI[[#This Row],[Pcode]],CampList[CP_Pcode],0)-1,0,1,1)&gt;=NFI_Monitor_Date,1,0))</f>
        <v>0</v>
      </c>
      <c r="AS576" s="396" t="str">
        <f>IFERROR(VLOOKUP(Table_NFI[[#This Row],[Camp Name]],CL,3,0),"")</f>
        <v>Open</v>
      </c>
      <c r="AT576" s="264" t="str">
        <f ca="1">IF(Table_NFI[[#This Row],[Pcode]]="","",OFFSET(CampList[Priority],MATCH(Table_NFI[[#This Row],[Pcode]],CampList[CP_Pcode],0)-1,0,1,1))</f>
        <v>P1</v>
      </c>
      <c r="AU576" s="263">
        <f>IFERROR(Table_NFI[[#This Row],[Kitchen Set]]/VLOOKUP(Table_NFI[[#This Row],[Camp Name]],CL,4,0),"")</f>
        <v>0</v>
      </c>
      <c r="AV576" s="390" t="s">
        <v>1087</v>
      </c>
      <c r="AW576" s="392"/>
      <c r="AX576" s="399"/>
      <c r="AY576" s="399"/>
      <c r="AZ576" s="399"/>
      <c r="BA576" s="399"/>
      <c r="BB576" s="399"/>
      <c r="BC576" s="399"/>
      <c r="BD576" s="399"/>
      <c r="BE576" s="399"/>
      <c r="BF576" s="399"/>
      <c r="BG576" s="399"/>
      <c r="BH576" s="399"/>
      <c r="BI576" s="399"/>
      <c r="BJ576" s="399"/>
      <c r="BK576" s="399"/>
      <c r="BL576" s="399"/>
      <c r="BM576" s="399"/>
      <c r="BN576" s="399"/>
      <c r="BO576" s="399"/>
      <c r="BP576" s="399"/>
      <c r="BQ576" s="399"/>
      <c r="BR576" s="399"/>
      <c r="BS576" s="399"/>
      <c r="BT576" s="399"/>
      <c r="BU576" s="399"/>
      <c r="BV576" s="399"/>
      <c r="BW576" s="399"/>
      <c r="BX576" s="399"/>
      <c r="BY576" s="399"/>
      <c r="BZ576" s="399"/>
      <c r="CA576" s="399"/>
      <c r="CB576" s="399"/>
      <c r="CC576" s="399"/>
      <c r="CD576" s="399"/>
      <c r="CE576" s="399"/>
      <c r="CF576" s="399"/>
      <c r="CG576" s="399"/>
      <c r="CH576" s="399"/>
      <c r="CI576" s="399"/>
      <c r="CJ576" s="399"/>
      <c r="CK576" s="399"/>
      <c r="CL576" s="399"/>
      <c r="CM576" s="399"/>
      <c r="CN576" s="399"/>
      <c r="CO576" s="399"/>
      <c r="CP576" s="399"/>
      <c r="CQ576" s="399"/>
      <c r="CR576" s="399"/>
      <c r="CS576" s="399"/>
      <c r="CT576" s="399"/>
      <c r="CU576" s="399"/>
      <c r="CV576" s="399"/>
      <c r="CW576" s="399"/>
      <c r="CX576" s="399"/>
      <c r="CY576" s="399"/>
      <c r="CZ576" s="399"/>
      <c r="DA576" s="399"/>
      <c r="DB576" s="399"/>
      <c r="DC576" s="399"/>
      <c r="DD576" s="399"/>
      <c r="DE576" s="399"/>
      <c r="DF576" s="399"/>
      <c r="DG576" s="399"/>
      <c r="DH576" s="399"/>
      <c r="DI576" s="399"/>
      <c r="DJ576" s="399"/>
      <c r="DK576" s="399"/>
      <c r="DL576" s="399"/>
      <c r="DM576" s="399"/>
      <c r="DN576" s="399"/>
      <c r="DO576" s="399"/>
      <c r="DP576" s="399"/>
      <c r="DQ576" s="399"/>
    </row>
    <row r="577" spans="1:121" s="760" customFormat="1" ht="14.45" customHeight="1" x14ac:dyDescent="0.25">
      <c r="A577" s="266">
        <f t="shared" si="8"/>
        <v>41.6</v>
      </c>
      <c r="B577" s="389">
        <v>41608</v>
      </c>
      <c r="C577" s="390" t="s">
        <v>904</v>
      </c>
      <c r="D577" s="390" t="s">
        <v>459</v>
      </c>
      <c r="E577" s="390" t="s">
        <v>380</v>
      </c>
      <c r="F577" s="262" t="s">
        <v>185</v>
      </c>
      <c r="G577" s="262" t="s">
        <v>194</v>
      </c>
      <c r="H577" s="261"/>
      <c r="I577" s="261"/>
      <c r="J577" s="261"/>
      <c r="K577" s="261"/>
      <c r="L577" s="261"/>
      <c r="M577" s="261"/>
      <c r="N577" s="261"/>
      <c r="O577" s="261"/>
      <c r="P577" s="261"/>
      <c r="Q577" s="261">
        <v>978</v>
      </c>
      <c r="R577" s="261"/>
      <c r="S577" s="261"/>
      <c r="T577" s="261"/>
      <c r="U577" s="261"/>
      <c r="V577" s="762"/>
      <c r="W577" s="261"/>
      <c r="X577" s="261"/>
      <c r="Y577" s="264">
        <f>IF(NFI_Expiration=1,IF($A577&lt;VLOOKUP(H$5,NFI,5,0),1,0)*Table_NFI[[#This Row],[Hygiene Kit]],Table_NFI[Hygiene Kit])</f>
        <v>0</v>
      </c>
      <c r="Z577" s="264">
        <f>IF(NFI_Expiration=1,IF($A577&lt;VLOOKUP(I$5,NFI,5,0),1,0)*Table_NFI[[#This Row],[NFI Core Kit]],Table_NFI[NFI Core Kit])</f>
        <v>0</v>
      </c>
      <c r="AA577" s="264">
        <f>IF(NFI_Expiration=1,IF($A577&lt;VLOOKUP(J$5,NFI,5,0),1,0)*Table_NFI[[#This Row],[Sanitary Kit]],Table_NFI[Sanitary Kit])</f>
        <v>0</v>
      </c>
      <c r="AB577" s="264">
        <f>IF(NFI_Expiration=1,IF($A577&lt;VLOOKUP(K$5,NFI,5,0),1,0)*Table_NFI[[#This Row],[Mosquito net]],Table_NFI[Mosquito net])</f>
        <v>0</v>
      </c>
      <c r="AC577" s="264">
        <f>IF(NFI_Expiration=1,IF($A577&lt;VLOOKUP(L$5,NFI,5,0),1,0)*Table_NFI[[#This Row],[Tarpaulin]],Table_NFI[[#This Row],[Tarpaulin]])</f>
        <v>0</v>
      </c>
      <c r="AD577" s="264">
        <f>IF(NFI_Expiration=1,IF($A577&lt;VLOOKUP(M$5,NFI,5,0),1,0)*Table_NFI[[#This Row],[Blanket]],Table_NFI[[#This Row],[Blanket]])</f>
        <v>0</v>
      </c>
      <c r="AE577" s="264">
        <f>IF(NFI_Expiration=1,IF($A577&lt;VLOOKUP(N$5,NFI,5,0),1,0)*Table_NFI[[#This Row],[Kitchen Set]],Table_NFI[Kitchen Set])</f>
        <v>0</v>
      </c>
      <c r="AF577" s="264">
        <f>IF(NFI_Expiration=1,IF($A577&lt;VLOOKUP(O$5,NFI,5,0),1,0)*Table_NFI[[#This Row],[Clothes Kit]],Table_NFI[Clothes Kit])</f>
        <v>0</v>
      </c>
      <c r="AG577" s="264">
        <f>IF(NFI_Expiration=1,IF($A577&lt;VLOOKUP(P$5,NFI,5,0),1,0)*Table_NFI[[#This Row],[Plastic Bucket]],Table_NFI[Plastic Bucket])</f>
        <v>0</v>
      </c>
      <c r="AH577" s="264">
        <f>IF(NFI_Expiration=1,IF($A577&lt;VLOOKUP(Q$5,NFI,5,0),1,0)*Table_NFI[[#This Row],[Plastic Mat]],Table_NFI[Plastic Mat])*IF(Table_NFI[[#This Row],[Distribution Date]]&gt;"2014-04-01",1,2.5)</f>
        <v>0</v>
      </c>
      <c r="AI577" s="264">
        <f>IF(NFI_Expiration=1,IF($A577&lt;VLOOKUP(R$5,NFI,5,0),1,0)*Table_NFI[[#This Row],[Winter Clothes Adult]],Table_NFI[Winter Clothes Adult])</f>
        <v>0</v>
      </c>
      <c r="AJ577" s="264">
        <f>IF(NFI_Expiration=1,IF($A577&lt;VLOOKUP(S$5,NFI,5,0),1,0)*Table_NFI[[#This Row],[Winter Clothes Children]],Table_NFI[Winter Clothes Children])</f>
        <v>0</v>
      </c>
      <c r="AK577" s="264">
        <f>IF(NFI_Expiration=1,IF($A577&lt;VLOOKUP(T$5,NFI,5,0),1,0)*Table_NFI[[#This Row],[Winter Items Other]],Table_NFI[Winter Items Other])</f>
        <v>0</v>
      </c>
      <c r="AL577" s="264">
        <f>IF(NFI_Expiration=1,IF($A577&lt;VLOOKUP(M$5,NFI,5,0),1,0)*Table_NFI[[#This Row],[Winter Blanket]],Table_NFI[[#This Row],[Winter Blanket]])</f>
        <v>0</v>
      </c>
      <c r="AM577" s="264">
        <f>IF(Table_NFI[[#This Row],[Winter Clothes Adult]]+Table_NFI[[#This Row],[Winter Clothes Children]]+Table_NFI[[#This Row],[Winter Items Other]]+Table_NFI[[#This Row],[Winter Blanket]]&gt;0,1,0)</f>
        <v>0</v>
      </c>
      <c r="AN577" s="296">
        <f>IF(NFI_Expiration=1,IF($A577&lt;VLOOKUP(V$5,NFI,5,0),1,0)*Table_NFI[[#This Row],[Jerry Can]],Table_NFI[Jerry Can])</f>
        <v>0</v>
      </c>
      <c r="AO577" s="296">
        <f>IF(NFI_Expiration=1,IF($A577&lt;VLOOKUP(V$5,NFI,5,0),1,0)*Table_NFI[[#This Row],[Shelter Tool kit]],Table_NFI[Shelter Tool kit])</f>
        <v>0</v>
      </c>
      <c r="AP577" s="296">
        <f>IF(NFI_Expiration=1,IF($A577&lt;VLOOKUP(V$5,NFI,5,0),1,0)*Table_NFI[[#This Row],[Tent]],Table_NFI[Tent])</f>
        <v>0</v>
      </c>
      <c r="AQ577" s="396" t="str">
        <f>IFERROR(VLOOKUP(Table_NFI[[#This Row],[Camp Name]],CL,2,0),"")</f>
        <v>MMR001CMP122</v>
      </c>
      <c r="AR577" s="702">
        <f ca="1">IF(Table_NFI[[#This Row],[Pcode]]="","",IF(OFFSET(CampList[Opening Date],MATCH(Table_NFI[[#This Row],[Pcode]],CampList[CP_Pcode],0)-1,0,1,1)&gt;=NFI_Monitor_Date,1,0))</f>
        <v>0</v>
      </c>
      <c r="AS577" s="396" t="str">
        <f>IFERROR(VLOOKUP(Table_NFI[[#This Row],[Camp Name]],CL,3,0),"")</f>
        <v>Open</v>
      </c>
      <c r="AT577" s="264" t="str">
        <f ca="1">IF(Table_NFI[[#This Row],[Pcode]]="","",OFFSET(CampList[Priority],MATCH(Table_NFI[[#This Row],[Pcode]],CampList[CP_Pcode],0)-1,0,1,1))</f>
        <v>P2</v>
      </c>
      <c r="AU577" s="263">
        <f>IFERROR(Table_NFI[[#This Row],[Kitchen Set]]/VLOOKUP(Table_NFI[[#This Row],[Camp Name]],CL,4,0),"")</f>
        <v>0</v>
      </c>
      <c r="AV577" s="390" t="s">
        <v>1087</v>
      </c>
      <c r="AW577" s="392"/>
      <c r="AX577" s="399"/>
      <c r="AY577" s="399"/>
      <c r="AZ577" s="399"/>
      <c r="BA577" s="399"/>
      <c r="BB577" s="399"/>
      <c r="BC577" s="399"/>
      <c r="BD577" s="399"/>
      <c r="BE577" s="399"/>
      <c r="BF577" s="399"/>
      <c r="BG577" s="399"/>
      <c r="BH577" s="399"/>
      <c r="BI577" s="399"/>
      <c r="BJ577" s="399"/>
      <c r="BK577" s="399"/>
      <c r="BL577" s="399"/>
      <c r="BM577" s="399"/>
      <c r="BN577" s="399"/>
      <c r="BO577" s="399"/>
      <c r="BP577" s="399"/>
      <c r="BQ577" s="399"/>
      <c r="BR577" s="399"/>
      <c r="BS577" s="399"/>
      <c r="BT577" s="399"/>
      <c r="BU577" s="399"/>
      <c r="BV577" s="399"/>
      <c r="BW577" s="399"/>
      <c r="BX577" s="399"/>
      <c r="BY577" s="399"/>
      <c r="BZ577" s="399"/>
      <c r="CA577" s="399"/>
      <c r="CB577" s="399"/>
      <c r="CC577" s="399"/>
      <c r="CD577" s="399"/>
      <c r="CE577" s="399"/>
      <c r="CF577" s="399"/>
      <c r="CG577" s="399"/>
      <c r="CH577" s="399"/>
      <c r="CI577" s="399"/>
      <c r="CJ577" s="399"/>
      <c r="CK577" s="399"/>
      <c r="CL577" s="399"/>
      <c r="CM577" s="399"/>
      <c r="CN577" s="399"/>
      <c r="CO577" s="399"/>
      <c r="CP577" s="399"/>
      <c r="CQ577" s="399"/>
      <c r="CR577" s="399"/>
      <c r="CS577" s="399"/>
      <c r="CT577" s="399"/>
      <c r="CU577" s="399"/>
      <c r="CV577" s="399"/>
      <c r="CW577" s="399"/>
      <c r="CX577" s="399"/>
      <c r="CY577" s="399"/>
      <c r="CZ577" s="399"/>
      <c r="DA577" s="399"/>
      <c r="DB577" s="399"/>
      <c r="DC577" s="399"/>
      <c r="DD577" s="399"/>
      <c r="DE577" s="399"/>
      <c r="DF577" s="399"/>
      <c r="DG577" s="399"/>
      <c r="DH577" s="399"/>
      <c r="DI577" s="399"/>
      <c r="DJ577" s="399"/>
      <c r="DK577" s="399"/>
      <c r="DL577" s="399"/>
      <c r="DM577" s="399"/>
      <c r="DN577" s="399"/>
      <c r="DO577" s="399"/>
      <c r="DP577" s="399"/>
      <c r="DQ577" s="399"/>
    </row>
    <row r="578" spans="1:121" s="760" customFormat="1" ht="14.45" customHeight="1" x14ac:dyDescent="0.25">
      <c r="A578" s="266">
        <f t="shared" si="8"/>
        <v>41.6</v>
      </c>
      <c r="B578" s="389">
        <v>41608</v>
      </c>
      <c r="C578" s="390" t="s">
        <v>1092</v>
      </c>
      <c r="D578" s="391" t="s">
        <v>943</v>
      </c>
      <c r="E578" s="390" t="s">
        <v>380</v>
      </c>
      <c r="F578" s="262" t="s">
        <v>151</v>
      </c>
      <c r="G578" s="262" t="s">
        <v>515</v>
      </c>
      <c r="H578" s="261"/>
      <c r="I578" s="261"/>
      <c r="J578" s="261"/>
      <c r="K578" s="261"/>
      <c r="L578" s="261"/>
      <c r="M578" s="261">
        <v>447</v>
      </c>
      <c r="N578" s="261"/>
      <c r="O578" s="261"/>
      <c r="P578" s="261"/>
      <c r="Q578" s="261"/>
      <c r="R578" s="261">
        <v>398</v>
      </c>
      <c r="S578" s="261">
        <v>390</v>
      </c>
      <c r="T578" s="261">
        <v>0</v>
      </c>
      <c r="U578" s="261"/>
      <c r="V578" s="762"/>
      <c r="W578" s="261"/>
      <c r="X578" s="261"/>
      <c r="Y578" s="264">
        <f>IF(NFI_Expiration=1,IF($A578&lt;VLOOKUP(H$5,NFI,5,0),1,0)*Table_NFI[[#This Row],[Hygiene Kit]],Table_NFI[Hygiene Kit])</f>
        <v>0</v>
      </c>
      <c r="Z578" s="264">
        <f>IF(NFI_Expiration=1,IF($A578&lt;VLOOKUP(I$5,NFI,5,0),1,0)*Table_NFI[[#This Row],[NFI Core Kit]],Table_NFI[NFI Core Kit])</f>
        <v>0</v>
      </c>
      <c r="AA578" s="264">
        <f>IF(NFI_Expiration=1,IF($A578&lt;VLOOKUP(J$5,NFI,5,0),1,0)*Table_NFI[[#This Row],[Sanitary Kit]],Table_NFI[Sanitary Kit])</f>
        <v>0</v>
      </c>
      <c r="AB578" s="264">
        <f>IF(NFI_Expiration=1,IF($A578&lt;VLOOKUP(K$5,NFI,5,0),1,0)*Table_NFI[[#This Row],[Mosquito net]],Table_NFI[Mosquito net])</f>
        <v>0</v>
      </c>
      <c r="AC578" s="264">
        <f>IF(NFI_Expiration=1,IF($A578&lt;VLOOKUP(L$5,NFI,5,0),1,0)*Table_NFI[[#This Row],[Tarpaulin]],Table_NFI[[#This Row],[Tarpaulin]])</f>
        <v>0</v>
      </c>
      <c r="AD578" s="264">
        <f>IF(NFI_Expiration=1,IF($A578&lt;VLOOKUP(M$5,NFI,5,0),1,0)*Table_NFI[[#This Row],[Blanket]],Table_NFI[[#This Row],[Blanket]])</f>
        <v>0</v>
      </c>
      <c r="AE578" s="264">
        <f>IF(NFI_Expiration=1,IF($A578&lt;VLOOKUP(N$5,NFI,5,0),1,0)*Table_NFI[[#This Row],[Kitchen Set]],Table_NFI[Kitchen Set])</f>
        <v>0</v>
      </c>
      <c r="AF578" s="264">
        <f>IF(NFI_Expiration=1,IF($A578&lt;VLOOKUP(O$5,NFI,5,0),1,0)*Table_NFI[[#This Row],[Clothes Kit]],Table_NFI[Clothes Kit])</f>
        <v>0</v>
      </c>
      <c r="AG578" s="264">
        <f>IF(NFI_Expiration=1,IF($A578&lt;VLOOKUP(P$5,NFI,5,0),1,0)*Table_NFI[[#This Row],[Plastic Bucket]],Table_NFI[Plastic Bucket])</f>
        <v>0</v>
      </c>
      <c r="AH578" s="264">
        <f>IF(NFI_Expiration=1,IF($A578&lt;VLOOKUP(Q$5,NFI,5,0),1,0)*Table_NFI[[#This Row],[Plastic Mat]],Table_NFI[Plastic Mat])*IF(Table_NFI[[#This Row],[Distribution Date]]&gt;"2014-04-01",1,2.5)</f>
        <v>0</v>
      </c>
      <c r="AI578" s="264">
        <f>IF(NFI_Expiration=1,IF($A578&lt;VLOOKUP(R$5,NFI,5,0),1,0)*Table_NFI[[#This Row],[Winter Clothes Adult]],Table_NFI[Winter Clothes Adult])</f>
        <v>0</v>
      </c>
      <c r="AJ578" s="264">
        <f>IF(NFI_Expiration=1,IF($A578&lt;VLOOKUP(S$5,NFI,5,0),1,0)*Table_NFI[[#This Row],[Winter Clothes Children]],Table_NFI[Winter Clothes Children])</f>
        <v>0</v>
      </c>
      <c r="AK578" s="264">
        <f>IF(NFI_Expiration=1,IF($A578&lt;VLOOKUP(T$5,NFI,5,0),1,0)*Table_NFI[[#This Row],[Winter Items Other]],Table_NFI[Winter Items Other])</f>
        <v>0</v>
      </c>
      <c r="AL578" s="264">
        <f>IF(NFI_Expiration=1,IF($A578&lt;VLOOKUP(M$5,NFI,5,0),1,0)*Table_NFI[[#This Row],[Winter Blanket]],Table_NFI[[#This Row],[Winter Blanket]])</f>
        <v>0</v>
      </c>
      <c r="AM578" s="264">
        <f>IF(Table_NFI[[#This Row],[Winter Clothes Adult]]+Table_NFI[[#This Row],[Winter Clothes Children]]+Table_NFI[[#This Row],[Winter Items Other]]+Table_NFI[[#This Row],[Winter Blanket]]&gt;0,1,0)</f>
        <v>1</v>
      </c>
      <c r="AN578" s="296">
        <f>IF(NFI_Expiration=1,IF($A578&lt;VLOOKUP(V$5,NFI,5,0),1,0)*Table_NFI[[#This Row],[Jerry Can]],Table_NFI[Jerry Can])</f>
        <v>0</v>
      </c>
      <c r="AO578" s="296">
        <f>IF(NFI_Expiration=1,IF($A578&lt;VLOOKUP(V$5,NFI,5,0),1,0)*Table_NFI[[#This Row],[Shelter Tool kit]],Table_NFI[Shelter Tool kit])</f>
        <v>0</v>
      </c>
      <c r="AP578" s="296">
        <f>IF(NFI_Expiration=1,IF($A578&lt;VLOOKUP(V$5,NFI,5,0),1,0)*Table_NFI[[#This Row],[Tent]],Table_NFI[Tent])</f>
        <v>0</v>
      </c>
      <c r="AQ578" s="396" t="str">
        <f>IFERROR(VLOOKUP(Table_NFI[[#This Row],[Camp Name]],CL,2,0),"")</f>
        <v>MMR001CMP202</v>
      </c>
      <c r="AR578" s="702">
        <f ca="1">IF(Table_NFI[[#This Row],[Pcode]]="","",IF(OFFSET(CampList[Opening Date],MATCH(Table_NFI[[#This Row],[Pcode]],CampList[CP_Pcode],0)-1,0,1,1)&gt;=NFI_Monitor_Date,1,0))</f>
        <v>0</v>
      </c>
      <c r="AS578" s="396" t="str">
        <f>IFERROR(VLOOKUP(Table_NFI[[#This Row],[Camp Name]],CL,3,0),"")</f>
        <v>Closed</v>
      </c>
      <c r="AT578" s="264" t="str">
        <f ca="1">IF(Table_NFI[[#This Row],[Pcode]]="","",OFFSET(CampList[Priority],MATCH(Table_NFI[[#This Row],[Pcode]],CampList[CP_Pcode],0)-1,0,1,1))</f>
        <v>P4</v>
      </c>
      <c r="AU578" s="263">
        <f>IFERROR(Table_NFI[[#This Row],[Kitchen Set]]/VLOOKUP(Table_NFI[[#This Row],[Camp Name]],CL,4,0),"")</f>
        <v>0</v>
      </c>
      <c r="AV578" s="390" t="s">
        <v>1087</v>
      </c>
      <c r="AW578" s="392"/>
      <c r="AX578" s="399"/>
      <c r="AY578" s="399"/>
      <c r="AZ578" s="399"/>
      <c r="BA578" s="399"/>
      <c r="BB578" s="399"/>
      <c r="BC578" s="399"/>
      <c r="BD578" s="399"/>
      <c r="BE578" s="399"/>
      <c r="BF578" s="399"/>
      <c r="BG578" s="399"/>
      <c r="BH578" s="399"/>
      <c r="BI578" s="399"/>
      <c r="BJ578" s="399"/>
      <c r="BK578" s="399"/>
      <c r="BL578" s="399"/>
      <c r="BM578" s="399"/>
      <c r="BN578" s="399"/>
      <c r="BO578" s="399"/>
      <c r="BP578" s="399"/>
      <c r="BQ578" s="399"/>
      <c r="BR578" s="399"/>
      <c r="BS578" s="399"/>
      <c r="BT578" s="399"/>
      <c r="BU578" s="399"/>
      <c r="BV578" s="399"/>
      <c r="BW578" s="399"/>
      <c r="BX578" s="399"/>
      <c r="BY578" s="399"/>
      <c r="BZ578" s="399"/>
      <c r="CA578" s="399"/>
      <c r="CB578" s="399"/>
      <c r="CC578" s="399"/>
      <c r="CD578" s="399"/>
      <c r="CE578" s="399"/>
      <c r="CF578" s="399"/>
      <c r="CG578" s="399"/>
      <c r="CH578" s="399"/>
      <c r="CI578" s="399"/>
      <c r="CJ578" s="399"/>
      <c r="CK578" s="399"/>
      <c r="CL578" s="399"/>
      <c r="CM578" s="399"/>
      <c r="CN578" s="399"/>
      <c r="CO578" s="399"/>
      <c r="CP578" s="399"/>
      <c r="CQ578" s="399"/>
      <c r="CR578" s="399"/>
      <c r="CS578" s="399"/>
      <c r="CT578" s="399"/>
      <c r="CU578" s="399"/>
      <c r="CV578" s="399"/>
      <c r="CW578" s="399"/>
      <c r="CX578" s="399"/>
      <c r="CY578" s="399"/>
      <c r="CZ578" s="399"/>
      <c r="DA578" s="399"/>
      <c r="DB578" s="399"/>
      <c r="DC578" s="399"/>
      <c r="DD578" s="399"/>
      <c r="DE578" s="399"/>
      <c r="DF578" s="399"/>
      <c r="DG578" s="399"/>
      <c r="DH578" s="399"/>
      <c r="DI578" s="399"/>
      <c r="DJ578" s="399"/>
      <c r="DK578" s="399"/>
      <c r="DL578" s="399"/>
      <c r="DM578" s="399"/>
      <c r="DN578" s="399"/>
      <c r="DO578" s="399"/>
      <c r="DP578" s="399"/>
      <c r="DQ578" s="399"/>
    </row>
    <row r="579" spans="1:121" s="760" customFormat="1" ht="14.45" customHeight="1" x14ac:dyDescent="0.25">
      <c r="A579" s="266">
        <f t="shared" si="8"/>
        <v>41.6</v>
      </c>
      <c r="B579" s="389">
        <v>41608</v>
      </c>
      <c r="C579" s="390" t="s">
        <v>904</v>
      </c>
      <c r="D579" s="390"/>
      <c r="E579" s="390" t="s">
        <v>380</v>
      </c>
      <c r="F579" s="262" t="s">
        <v>151</v>
      </c>
      <c r="G579" s="262" t="s">
        <v>515</v>
      </c>
      <c r="H579" s="261"/>
      <c r="I579" s="261"/>
      <c r="J579" s="261"/>
      <c r="K579" s="261"/>
      <c r="L579" s="261"/>
      <c r="M579" s="261"/>
      <c r="N579" s="261"/>
      <c r="O579" s="261"/>
      <c r="P579" s="261"/>
      <c r="Q579" s="261"/>
      <c r="R579" s="261"/>
      <c r="S579" s="261"/>
      <c r="T579" s="261"/>
      <c r="U579" s="261"/>
      <c r="V579" s="762"/>
      <c r="W579" s="261"/>
      <c r="X579" s="261"/>
      <c r="Y579" s="264">
        <f>IF(NFI_Expiration=1,IF($A579&lt;VLOOKUP(H$5,NFI,5,0),1,0)*Table_NFI[[#This Row],[Hygiene Kit]],Table_NFI[Hygiene Kit])</f>
        <v>0</v>
      </c>
      <c r="Z579" s="264">
        <f>IF(NFI_Expiration=1,IF($A579&lt;VLOOKUP(I$5,NFI,5,0),1,0)*Table_NFI[[#This Row],[NFI Core Kit]],Table_NFI[NFI Core Kit])</f>
        <v>0</v>
      </c>
      <c r="AA579" s="264">
        <f>IF(NFI_Expiration=1,IF($A579&lt;VLOOKUP(J$5,NFI,5,0),1,0)*Table_NFI[[#This Row],[Sanitary Kit]],Table_NFI[Sanitary Kit])</f>
        <v>0</v>
      </c>
      <c r="AB579" s="264">
        <f>IF(NFI_Expiration=1,IF($A579&lt;VLOOKUP(K$5,NFI,5,0),1,0)*Table_NFI[[#This Row],[Mosquito net]],Table_NFI[Mosquito net])</f>
        <v>0</v>
      </c>
      <c r="AC579" s="264">
        <f>IF(NFI_Expiration=1,IF($A579&lt;VLOOKUP(L$5,NFI,5,0),1,0)*Table_NFI[[#This Row],[Tarpaulin]],Table_NFI[[#This Row],[Tarpaulin]])</f>
        <v>0</v>
      </c>
      <c r="AD579" s="264">
        <f>IF(NFI_Expiration=1,IF($A579&lt;VLOOKUP(M$5,NFI,5,0),1,0)*Table_NFI[[#This Row],[Blanket]],Table_NFI[[#This Row],[Blanket]])</f>
        <v>0</v>
      </c>
      <c r="AE579" s="264">
        <f>IF(NFI_Expiration=1,IF($A579&lt;VLOOKUP(N$5,NFI,5,0),1,0)*Table_NFI[[#This Row],[Kitchen Set]],Table_NFI[Kitchen Set])</f>
        <v>0</v>
      </c>
      <c r="AF579" s="264">
        <f>IF(NFI_Expiration=1,IF($A579&lt;VLOOKUP(O$5,NFI,5,0),1,0)*Table_NFI[[#This Row],[Clothes Kit]],Table_NFI[Clothes Kit])</f>
        <v>0</v>
      </c>
      <c r="AG579" s="264">
        <f>IF(NFI_Expiration=1,IF($A579&lt;VLOOKUP(P$5,NFI,5,0),1,0)*Table_NFI[[#This Row],[Plastic Bucket]],Table_NFI[Plastic Bucket])</f>
        <v>0</v>
      </c>
      <c r="AH579" s="264">
        <f>IF(NFI_Expiration=1,IF($A579&lt;VLOOKUP(Q$5,NFI,5,0),1,0)*Table_NFI[[#This Row],[Plastic Mat]],Table_NFI[Plastic Mat])*IF(Table_NFI[[#This Row],[Distribution Date]]&gt;"2014-04-01",1,2.5)</f>
        <v>0</v>
      </c>
      <c r="AI579" s="264">
        <f>IF(NFI_Expiration=1,IF($A579&lt;VLOOKUP(R$5,NFI,5,0),1,0)*Table_NFI[[#This Row],[Winter Clothes Adult]],Table_NFI[Winter Clothes Adult])</f>
        <v>0</v>
      </c>
      <c r="AJ579" s="264">
        <f>IF(NFI_Expiration=1,IF($A579&lt;VLOOKUP(S$5,NFI,5,0),1,0)*Table_NFI[[#This Row],[Winter Clothes Children]],Table_NFI[Winter Clothes Children])</f>
        <v>0</v>
      </c>
      <c r="AK579" s="264">
        <f>IF(NFI_Expiration=1,IF($A579&lt;VLOOKUP(T$5,NFI,5,0),1,0)*Table_NFI[[#This Row],[Winter Items Other]],Table_NFI[Winter Items Other])</f>
        <v>0</v>
      </c>
      <c r="AL579" s="264">
        <f>IF(NFI_Expiration=1,IF($A579&lt;VLOOKUP(M$5,NFI,5,0),1,0)*Table_NFI[[#This Row],[Winter Blanket]],Table_NFI[[#This Row],[Winter Blanket]])</f>
        <v>0</v>
      </c>
      <c r="AM579" s="264">
        <f>IF(Table_NFI[[#This Row],[Winter Clothes Adult]]+Table_NFI[[#This Row],[Winter Clothes Children]]+Table_NFI[[#This Row],[Winter Items Other]]+Table_NFI[[#This Row],[Winter Blanket]]&gt;0,1,0)</f>
        <v>0</v>
      </c>
      <c r="AN579" s="296">
        <f>IF(NFI_Expiration=1,IF($A579&lt;VLOOKUP(V$5,NFI,5,0),1,0)*Table_NFI[[#This Row],[Jerry Can]],Table_NFI[Jerry Can])</f>
        <v>0</v>
      </c>
      <c r="AO579" s="296">
        <f>IF(NFI_Expiration=1,IF($A579&lt;VLOOKUP(V$5,NFI,5,0),1,0)*Table_NFI[[#This Row],[Shelter Tool kit]],Table_NFI[Shelter Tool kit])</f>
        <v>0</v>
      </c>
      <c r="AP579" s="296">
        <f>IF(NFI_Expiration=1,IF($A579&lt;VLOOKUP(V$5,NFI,5,0),1,0)*Table_NFI[[#This Row],[Tent]],Table_NFI[Tent])</f>
        <v>0</v>
      </c>
      <c r="AQ579" s="396" t="str">
        <f>IFERROR(VLOOKUP(Table_NFI[[#This Row],[Camp Name]],CL,2,0),"")</f>
        <v>MMR001CMP202</v>
      </c>
      <c r="AR579" s="702">
        <f ca="1">IF(Table_NFI[[#This Row],[Pcode]]="","",IF(OFFSET(CampList[Opening Date],MATCH(Table_NFI[[#This Row],[Pcode]],CampList[CP_Pcode],0)-1,0,1,1)&gt;=NFI_Monitor_Date,1,0))</f>
        <v>0</v>
      </c>
      <c r="AS579" s="396" t="str">
        <f>IFERROR(VLOOKUP(Table_NFI[[#This Row],[Camp Name]],CL,3,0),"")</f>
        <v>Closed</v>
      </c>
      <c r="AT579" s="264" t="str">
        <f ca="1">IF(Table_NFI[[#This Row],[Pcode]]="","",OFFSET(CampList[Priority],MATCH(Table_NFI[[#This Row],[Pcode]],CampList[CP_Pcode],0)-1,0,1,1))</f>
        <v>P4</v>
      </c>
      <c r="AU579" s="263">
        <f>IFERROR(Table_NFI[[#This Row],[Kitchen Set]]/VLOOKUP(Table_NFI[[#This Row],[Camp Name]],CL,4,0),"")</f>
        <v>0</v>
      </c>
      <c r="AV579" s="390" t="s">
        <v>1087</v>
      </c>
      <c r="AW579" s="392"/>
      <c r="AX579" s="399"/>
      <c r="AY579" s="399"/>
      <c r="AZ579" s="399"/>
      <c r="BA579" s="399"/>
      <c r="BB579" s="399"/>
      <c r="BC579" s="399"/>
      <c r="BD579" s="399"/>
      <c r="BE579" s="399"/>
      <c r="BF579" s="399"/>
      <c r="BG579" s="399"/>
      <c r="BH579" s="399"/>
      <c r="BI579" s="399"/>
      <c r="BJ579" s="399"/>
      <c r="BK579" s="399"/>
      <c r="BL579" s="399"/>
      <c r="BM579" s="399"/>
      <c r="BN579" s="399"/>
      <c r="BO579" s="399"/>
      <c r="BP579" s="399"/>
      <c r="BQ579" s="399"/>
      <c r="BR579" s="399"/>
      <c r="BS579" s="399"/>
      <c r="BT579" s="399"/>
      <c r="BU579" s="399"/>
      <c r="BV579" s="399"/>
      <c r="BW579" s="399"/>
      <c r="BX579" s="399"/>
      <c r="BY579" s="399"/>
      <c r="BZ579" s="399"/>
      <c r="CA579" s="399"/>
      <c r="CB579" s="399"/>
      <c r="CC579" s="399"/>
      <c r="CD579" s="399"/>
      <c r="CE579" s="399"/>
      <c r="CF579" s="399"/>
      <c r="CG579" s="399"/>
      <c r="CH579" s="399"/>
      <c r="CI579" s="399"/>
      <c r="CJ579" s="399"/>
      <c r="CK579" s="399"/>
      <c r="CL579" s="399"/>
      <c r="CM579" s="399"/>
      <c r="CN579" s="399"/>
      <c r="CO579" s="399"/>
      <c r="CP579" s="399"/>
      <c r="CQ579" s="399"/>
      <c r="CR579" s="399"/>
      <c r="CS579" s="399"/>
      <c r="CT579" s="399"/>
      <c r="CU579" s="399"/>
      <c r="CV579" s="399"/>
      <c r="CW579" s="399"/>
      <c r="CX579" s="399"/>
      <c r="CY579" s="399"/>
      <c r="CZ579" s="399"/>
      <c r="DA579" s="399"/>
      <c r="DB579" s="399"/>
      <c r="DC579" s="399"/>
      <c r="DD579" s="399"/>
      <c r="DE579" s="399"/>
      <c r="DF579" s="399"/>
      <c r="DG579" s="399"/>
      <c r="DH579" s="399"/>
      <c r="DI579" s="399"/>
      <c r="DJ579" s="399"/>
      <c r="DK579" s="399"/>
      <c r="DL579" s="399"/>
      <c r="DM579" s="399"/>
      <c r="DN579" s="399"/>
      <c r="DO579" s="399"/>
      <c r="DP579" s="399"/>
      <c r="DQ579" s="399"/>
    </row>
    <row r="580" spans="1:121" s="393" customFormat="1" ht="14.45" customHeight="1" x14ac:dyDescent="0.25">
      <c r="A580" s="266">
        <f t="shared" si="8"/>
        <v>41.6</v>
      </c>
      <c r="B580" s="389">
        <v>41608</v>
      </c>
      <c r="C580" s="390" t="s">
        <v>904</v>
      </c>
      <c r="D580" s="390" t="s">
        <v>459</v>
      </c>
      <c r="E580" s="390" t="s">
        <v>380</v>
      </c>
      <c r="F580" s="262" t="s">
        <v>310</v>
      </c>
      <c r="G580" s="262" t="s">
        <v>1236</v>
      </c>
      <c r="H580" s="261"/>
      <c r="I580" s="261"/>
      <c r="J580" s="261"/>
      <c r="K580" s="261"/>
      <c r="L580" s="261"/>
      <c r="M580" s="261"/>
      <c r="N580" s="261"/>
      <c r="O580" s="261"/>
      <c r="P580" s="261"/>
      <c r="Q580" s="261">
        <v>729</v>
      </c>
      <c r="R580" s="261"/>
      <c r="S580" s="261"/>
      <c r="T580" s="261"/>
      <c r="U580" s="261"/>
      <c r="V580" s="762"/>
      <c r="W580" s="261"/>
      <c r="X580" s="261"/>
      <c r="Y580" s="264">
        <f>IF(NFI_Expiration=1,IF($A580&lt;VLOOKUP(H$5,NFI,5,0),1,0)*Table_NFI[[#This Row],[Hygiene Kit]],Table_NFI[Hygiene Kit])</f>
        <v>0</v>
      </c>
      <c r="Z580" s="264">
        <f>IF(NFI_Expiration=1,IF($A580&lt;VLOOKUP(I$5,NFI,5,0),1,0)*Table_NFI[[#This Row],[NFI Core Kit]],Table_NFI[NFI Core Kit])</f>
        <v>0</v>
      </c>
      <c r="AA580" s="264">
        <f>IF(NFI_Expiration=1,IF($A580&lt;VLOOKUP(J$5,NFI,5,0),1,0)*Table_NFI[[#This Row],[Sanitary Kit]],Table_NFI[Sanitary Kit])</f>
        <v>0</v>
      </c>
      <c r="AB580" s="264">
        <f>IF(NFI_Expiration=1,IF($A580&lt;VLOOKUP(K$5,NFI,5,0),1,0)*Table_NFI[[#This Row],[Mosquito net]],Table_NFI[Mosquito net])</f>
        <v>0</v>
      </c>
      <c r="AC580" s="264">
        <f>IF(NFI_Expiration=1,IF($A580&lt;VLOOKUP(L$5,NFI,5,0),1,0)*Table_NFI[[#This Row],[Tarpaulin]],Table_NFI[[#This Row],[Tarpaulin]])</f>
        <v>0</v>
      </c>
      <c r="AD580" s="264">
        <f>IF(NFI_Expiration=1,IF($A580&lt;VLOOKUP(M$5,NFI,5,0),1,0)*Table_NFI[[#This Row],[Blanket]],Table_NFI[[#This Row],[Blanket]])</f>
        <v>0</v>
      </c>
      <c r="AE580" s="264">
        <f>IF(NFI_Expiration=1,IF($A580&lt;VLOOKUP(N$5,NFI,5,0),1,0)*Table_NFI[[#This Row],[Kitchen Set]],Table_NFI[Kitchen Set])</f>
        <v>0</v>
      </c>
      <c r="AF580" s="264">
        <f>IF(NFI_Expiration=1,IF($A580&lt;VLOOKUP(O$5,NFI,5,0),1,0)*Table_NFI[[#This Row],[Clothes Kit]],Table_NFI[Clothes Kit])</f>
        <v>0</v>
      </c>
      <c r="AG580" s="264">
        <f>IF(NFI_Expiration=1,IF($A580&lt;VLOOKUP(P$5,NFI,5,0),1,0)*Table_NFI[[#This Row],[Plastic Bucket]],Table_NFI[Plastic Bucket])</f>
        <v>0</v>
      </c>
      <c r="AH580" s="264">
        <f>IF(NFI_Expiration=1,IF($A580&lt;VLOOKUP(Q$5,NFI,5,0),1,0)*Table_NFI[[#This Row],[Plastic Mat]],Table_NFI[Plastic Mat])*IF(Table_NFI[[#This Row],[Distribution Date]]&gt;"2014-04-01",1,2.5)</f>
        <v>0</v>
      </c>
      <c r="AI580" s="264">
        <f>IF(NFI_Expiration=1,IF($A580&lt;VLOOKUP(R$5,NFI,5,0),1,0)*Table_NFI[[#This Row],[Winter Clothes Adult]],Table_NFI[Winter Clothes Adult])</f>
        <v>0</v>
      </c>
      <c r="AJ580" s="264">
        <f>IF(NFI_Expiration=1,IF($A580&lt;VLOOKUP(S$5,NFI,5,0),1,0)*Table_NFI[[#This Row],[Winter Clothes Children]],Table_NFI[Winter Clothes Children])</f>
        <v>0</v>
      </c>
      <c r="AK580" s="264">
        <f>IF(NFI_Expiration=1,IF($A580&lt;VLOOKUP(T$5,NFI,5,0),1,0)*Table_NFI[[#This Row],[Winter Items Other]],Table_NFI[Winter Items Other])</f>
        <v>0</v>
      </c>
      <c r="AL580" s="264">
        <f>IF(NFI_Expiration=1,IF($A580&lt;VLOOKUP(M$5,NFI,5,0),1,0)*Table_NFI[[#This Row],[Winter Blanket]],Table_NFI[[#This Row],[Winter Blanket]])</f>
        <v>0</v>
      </c>
      <c r="AM580" s="264">
        <f>IF(Table_NFI[[#This Row],[Winter Clothes Adult]]+Table_NFI[[#This Row],[Winter Clothes Children]]+Table_NFI[[#This Row],[Winter Items Other]]+Table_NFI[[#This Row],[Winter Blanket]]&gt;0,1,0)</f>
        <v>0</v>
      </c>
      <c r="AN580" s="296">
        <f>IF(NFI_Expiration=1,IF($A580&lt;VLOOKUP(V$5,NFI,5,0),1,0)*Table_NFI[[#This Row],[Jerry Can]],Table_NFI[Jerry Can])</f>
        <v>0</v>
      </c>
      <c r="AO580" s="296">
        <f>IF(NFI_Expiration=1,IF($A580&lt;VLOOKUP(V$5,NFI,5,0),1,0)*Table_NFI[[#This Row],[Shelter Tool kit]],Table_NFI[Shelter Tool kit])</f>
        <v>0</v>
      </c>
      <c r="AP580" s="296">
        <f>IF(NFI_Expiration=1,IF($A580&lt;VLOOKUP(V$5,NFI,5,0),1,0)*Table_NFI[[#This Row],[Tent]],Table_NFI[Tent])</f>
        <v>0</v>
      </c>
      <c r="AQ580" s="396" t="str">
        <f>IFERROR(VLOOKUP(Table_NFI[[#This Row],[Camp Name]],CL,2,0),"")</f>
        <v>MMR001CMP117</v>
      </c>
      <c r="AR580" s="702">
        <f ca="1">IF(Table_NFI[[#This Row],[Pcode]]="","",IF(OFFSET(CampList[Opening Date],MATCH(Table_NFI[[#This Row],[Pcode]],CampList[CP_Pcode],0)-1,0,1,1)&gt;=NFI_Monitor_Date,1,0))</f>
        <v>0</v>
      </c>
      <c r="AS580" s="396" t="str">
        <f>IFERROR(VLOOKUP(Table_NFI[[#This Row],[Camp Name]],CL,3,0),"")</f>
        <v>Closed</v>
      </c>
      <c r="AT580" s="264" t="str">
        <f ca="1">IF(Table_NFI[[#This Row],[Pcode]]="","",OFFSET(CampList[Priority],MATCH(Table_NFI[[#This Row],[Pcode]],CampList[CP_Pcode],0)-1,0,1,1))</f>
        <v>P2</v>
      </c>
      <c r="AU580" s="263">
        <f>IFERROR(Table_NFI[[#This Row],[Kitchen Set]]/VLOOKUP(Table_NFI[[#This Row],[Camp Name]],CL,4,0),"")</f>
        <v>0</v>
      </c>
      <c r="AV580" s="390" t="s">
        <v>1087</v>
      </c>
      <c r="AW580" s="392"/>
      <c r="AX580" s="399"/>
      <c r="AY580" s="399"/>
      <c r="AZ580" s="399"/>
      <c r="BA580" s="399"/>
      <c r="BB580" s="399"/>
      <c r="BC580" s="399"/>
      <c r="BD580" s="399"/>
      <c r="BE580" s="399"/>
      <c r="BF580" s="399"/>
      <c r="BG580" s="399"/>
      <c r="BH580" s="399"/>
      <c r="BI580" s="399"/>
      <c r="BJ580" s="399"/>
      <c r="BK580" s="399"/>
      <c r="BL580" s="399"/>
      <c r="BM580" s="399"/>
      <c r="BN580" s="399"/>
      <c r="BO580" s="399"/>
      <c r="BP580" s="399"/>
      <c r="BQ580" s="399"/>
      <c r="BR580" s="399"/>
      <c r="BS580" s="399"/>
      <c r="BT580" s="399"/>
      <c r="BU580" s="399"/>
      <c r="BV580" s="399"/>
      <c r="BW580" s="399"/>
      <c r="BX580" s="399"/>
      <c r="BY580" s="399"/>
      <c r="BZ580" s="399"/>
      <c r="CA580" s="399"/>
      <c r="CB580" s="399"/>
      <c r="CC580" s="399"/>
      <c r="CD580" s="399"/>
      <c r="CE580" s="399"/>
      <c r="CF580" s="399"/>
      <c r="CG580" s="399"/>
      <c r="CH580" s="399"/>
      <c r="CI580" s="399"/>
      <c r="CJ580" s="399"/>
      <c r="CK580" s="399"/>
      <c r="CL580" s="399"/>
      <c r="CM580" s="399"/>
      <c r="CN580" s="399"/>
      <c r="CO580" s="399"/>
      <c r="CP580" s="399"/>
      <c r="CQ580" s="399"/>
      <c r="CR580" s="399"/>
      <c r="CS580" s="399"/>
      <c r="CT580" s="399"/>
      <c r="CU580" s="399"/>
      <c r="CV580" s="399"/>
      <c r="CW580" s="399"/>
      <c r="CX580" s="399"/>
      <c r="CY580" s="399"/>
      <c r="CZ580" s="399"/>
      <c r="DA580" s="399"/>
      <c r="DB580" s="399"/>
      <c r="DC580" s="399"/>
      <c r="DD580" s="399"/>
      <c r="DE580" s="399"/>
      <c r="DF580" s="399"/>
      <c r="DG580" s="399"/>
      <c r="DH580" s="399"/>
      <c r="DI580" s="399"/>
      <c r="DJ580" s="399"/>
      <c r="DK580" s="399"/>
      <c r="DL580" s="399"/>
      <c r="DM580" s="399"/>
      <c r="DN580" s="399"/>
      <c r="DO580" s="399"/>
      <c r="DP580" s="399"/>
      <c r="DQ580" s="399"/>
    </row>
    <row r="581" spans="1:121" s="393" customFormat="1" ht="14.45" customHeight="1" x14ac:dyDescent="0.25">
      <c r="A581" s="266">
        <f t="shared" si="8"/>
        <v>41.6</v>
      </c>
      <c r="B581" s="389">
        <v>41608</v>
      </c>
      <c r="C581" s="390" t="s">
        <v>1092</v>
      </c>
      <c r="D581" s="391" t="s">
        <v>943</v>
      </c>
      <c r="E581" s="390" t="s">
        <v>380</v>
      </c>
      <c r="F581" s="262" t="s">
        <v>5</v>
      </c>
      <c r="G581" s="262" t="s">
        <v>14</v>
      </c>
      <c r="H581" s="261"/>
      <c r="I581" s="261"/>
      <c r="J581" s="261"/>
      <c r="K581" s="261"/>
      <c r="L581" s="261"/>
      <c r="M581" s="261">
        <v>105</v>
      </c>
      <c r="N581" s="261"/>
      <c r="O581" s="261"/>
      <c r="P581" s="261"/>
      <c r="Q581" s="261"/>
      <c r="R581" s="261">
        <v>154</v>
      </c>
      <c r="S581" s="261">
        <v>26</v>
      </c>
      <c r="T581" s="261">
        <v>0</v>
      </c>
      <c r="U581" s="261"/>
      <c r="V581" s="762"/>
      <c r="W581" s="261"/>
      <c r="X581" s="261"/>
      <c r="Y581" s="264">
        <f>IF(NFI_Expiration=1,IF($A581&lt;VLOOKUP(H$5,NFI,5,0),1,0)*Table_NFI[[#This Row],[Hygiene Kit]],Table_NFI[Hygiene Kit])</f>
        <v>0</v>
      </c>
      <c r="Z581" s="264">
        <f>IF(NFI_Expiration=1,IF($A581&lt;VLOOKUP(I$5,NFI,5,0),1,0)*Table_NFI[[#This Row],[NFI Core Kit]],Table_NFI[NFI Core Kit])</f>
        <v>0</v>
      </c>
      <c r="AA581" s="264">
        <f>IF(NFI_Expiration=1,IF($A581&lt;VLOOKUP(J$5,NFI,5,0),1,0)*Table_NFI[[#This Row],[Sanitary Kit]],Table_NFI[Sanitary Kit])</f>
        <v>0</v>
      </c>
      <c r="AB581" s="264">
        <f>IF(NFI_Expiration=1,IF($A581&lt;VLOOKUP(K$5,NFI,5,0),1,0)*Table_NFI[[#This Row],[Mosquito net]],Table_NFI[Mosquito net])</f>
        <v>0</v>
      </c>
      <c r="AC581" s="264">
        <f>IF(NFI_Expiration=1,IF($A581&lt;VLOOKUP(L$5,NFI,5,0),1,0)*Table_NFI[[#This Row],[Tarpaulin]],Table_NFI[[#This Row],[Tarpaulin]])</f>
        <v>0</v>
      </c>
      <c r="AD581" s="264">
        <f>IF(NFI_Expiration=1,IF($A581&lt;VLOOKUP(M$5,NFI,5,0),1,0)*Table_NFI[[#This Row],[Blanket]],Table_NFI[[#This Row],[Blanket]])</f>
        <v>0</v>
      </c>
      <c r="AE581" s="264">
        <f>IF(NFI_Expiration=1,IF($A581&lt;VLOOKUP(N$5,NFI,5,0),1,0)*Table_NFI[[#This Row],[Kitchen Set]],Table_NFI[Kitchen Set])</f>
        <v>0</v>
      </c>
      <c r="AF581" s="264">
        <f>IF(NFI_Expiration=1,IF($A581&lt;VLOOKUP(O$5,NFI,5,0),1,0)*Table_NFI[[#This Row],[Clothes Kit]],Table_NFI[Clothes Kit])</f>
        <v>0</v>
      </c>
      <c r="AG581" s="264">
        <f>IF(NFI_Expiration=1,IF($A581&lt;VLOOKUP(P$5,NFI,5,0),1,0)*Table_NFI[[#This Row],[Plastic Bucket]],Table_NFI[Plastic Bucket])</f>
        <v>0</v>
      </c>
      <c r="AH581" s="264">
        <f>IF(NFI_Expiration=1,IF($A581&lt;VLOOKUP(Q$5,NFI,5,0),1,0)*Table_NFI[[#This Row],[Plastic Mat]],Table_NFI[Plastic Mat])*IF(Table_NFI[[#This Row],[Distribution Date]]&gt;"2014-04-01",1,2.5)</f>
        <v>0</v>
      </c>
      <c r="AI581" s="264">
        <f>IF(NFI_Expiration=1,IF($A581&lt;VLOOKUP(R$5,NFI,5,0),1,0)*Table_NFI[[#This Row],[Winter Clothes Adult]],Table_NFI[Winter Clothes Adult])</f>
        <v>0</v>
      </c>
      <c r="AJ581" s="264">
        <f>IF(NFI_Expiration=1,IF($A581&lt;VLOOKUP(S$5,NFI,5,0),1,0)*Table_NFI[[#This Row],[Winter Clothes Children]],Table_NFI[Winter Clothes Children])</f>
        <v>0</v>
      </c>
      <c r="AK581" s="264">
        <f>IF(NFI_Expiration=1,IF($A581&lt;VLOOKUP(T$5,NFI,5,0),1,0)*Table_NFI[[#This Row],[Winter Items Other]],Table_NFI[Winter Items Other])</f>
        <v>0</v>
      </c>
      <c r="AL581" s="264">
        <f>IF(NFI_Expiration=1,IF($A581&lt;VLOOKUP(M$5,NFI,5,0),1,0)*Table_NFI[[#This Row],[Winter Blanket]],Table_NFI[[#This Row],[Winter Blanket]])</f>
        <v>0</v>
      </c>
      <c r="AM581" s="264">
        <f>IF(Table_NFI[[#This Row],[Winter Clothes Adult]]+Table_NFI[[#This Row],[Winter Clothes Children]]+Table_NFI[[#This Row],[Winter Items Other]]+Table_NFI[[#This Row],[Winter Blanket]]&gt;0,1,0)</f>
        <v>1</v>
      </c>
      <c r="AN581" s="296">
        <f>IF(NFI_Expiration=1,IF($A581&lt;VLOOKUP(V$5,NFI,5,0),1,0)*Table_NFI[[#This Row],[Jerry Can]],Table_NFI[Jerry Can])</f>
        <v>0</v>
      </c>
      <c r="AO581" s="296">
        <f>IF(NFI_Expiration=1,IF($A581&lt;VLOOKUP(V$5,NFI,5,0),1,0)*Table_NFI[[#This Row],[Shelter Tool kit]],Table_NFI[Shelter Tool kit])</f>
        <v>0</v>
      </c>
      <c r="AP581" s="296">
        <f>IF(NFI_Expiration=1,IF($A581&lt;VLOOKUP(V$5,NFI,5,0),1,0)*Table_NFI[[#This Row],[Tent]],Table_NFI[Tent])</f>
        <v>0</v>
      </c>
      <c r="AQ581" s="396" t="str">
        <f>IFERROR(VLOOKUP(Table_NFI[[#This Row],[Camp Name]],CL,2,0),"")</f>
        <v>MMR001CMP052</v>
      </c>
      <c r="AR581" s="702">
        <f ca="1">IF(Table_NFI[[#This Row],[Pcode]]="","",IF(OFFSET(CampList[Opening Date],MATCH(Table_NFI[[#This Row],[Pcode]],CampList[CP_Pcode],0)-1,0,1,1)&gt;=NFI_Monitor_Date,1,0))</f>
        <v>0</v>
      </c>
      <c r="AS581" s="396" t="str">
        <f>IFERROR(VLOOKUP(Table_NFI[[#This Row],[Camp Name]],CL,3,0),"")</f>
        <v>Open</v>
      </c>
      <c r="AT581" s="264" t="str">
        <f ca="1">IF(Table_NFI[[#This Row],[Pcode]]="","",OFFSET(CampList[Priority],MATCH(Table_NFI[[#This Row],[Pcode]],CampList[CP_Pcode],0)-1,0,1,1))</f>
        <v>P4</v>
      </c>
      <c r="AU581" s="263">
        <f>IFERROR(Table_NFI[[#This Row],[Kitchen Set]]/VLOOKUP(Table_NFI[[#This Row],[Camp Name]],CL,4,0),"")</f>
        <v>0</v>
      </c>
      <c r="AV581" s="390" t="s">
        <v>1087</v>
      </c>
      <c r="AW581" s="392"/>
      <c r="AX581" s="399"/>
      <c r="AY581" s="399"/>
      <c r="AZ581" s="399"/>
      <c r="BA581" s="399"/>
      <c r="BB581" s="399"/>
      <c r="BC581" s="399"/>
      <c r="BD581" s="399"/>
      <c r="BE581" s="399"/>
      <c r="BF581" s="399"/>
      <c r="BG581" s="399"/>
      <c r="BH581" s="399"/>
      <c r="BI581" s="399"/>
      <c r="BJ581" s="399"/>
      <c r="BK581" s="399"/>
      <c r="BL581" s="399"/>
      <c r="BM581" s="399"/>
      <c r="BN581" s="399"/>
      <c r="BO581" s="399"/>
      <c r="BP581" s="399"/>
      <c r="BQ581" s="399"/>
      <c r="BR581" s="399"/>
      <c r="BS581" s="399"/>
      <c r="BT581" s="399"/>
      <c r="BU581" s="399"/>
      <c r="BV581" s="399"/>
      <c r="BW581" s="399"/>
      <c r="BX581" s="399"/>
      <c r="BY581" s="399"/>
      <c r="BZ581" s="399"/>
      <c r="CA581" s="399"/>
      <c r="CB581" s="399"/>
      <c r="CC581" s="399"/>
      <c r="CD581" s="399"/>
      <c r="CE581" s="399"/>
      <c r="CF581" s="399"/>
      <c r="CG581" s="399"/>
      <c r="CH581" s="399"/>
      <c r="CI581" s="399"/>
      <c r="CJ581" s="399"/>
      <c r="CK581" s="399"/>
      <c r="CL581" s="399"/>
      <c r="CM581" s="399"/>
      <c r="CN581" s="399"/>
      <c r="CO581" s="399"/>
      <c r="CP581" s="399"/>
      <c r="CQ581" s="399"/>
      <c r="CR581" s="399"/>
      <c r="CS581" s="399"/>
      <c r="CT581" s="399"/>
      <c r="CU581" s="399"/>
      <c r="CV581" s="399"/>
      <c r="CW581" s="399"/>
      <c r="CX581" s="399"/>
      <c r="CY581" s="399"/>
      <c r="CZ581" s="399"/>
      <c r="DA581" s="399"/>
      <c r="DB581" s="399"/>
      <c r="DC581" s="399"/>
      <c r="DD581" s="399"/>
      <c r="DE581" s="399"/>
      <c r="DF581" s="399"/>
      <c r="DG581" s="399"/>
      <c r="DH581" s="399"/>
      <c r="DI581" s="399"/>
      <c r="DJ581" s="399"/>
      <c r="DK581" s="399"/>
      <c r="DL581" s="399"/>
      <c r="DM581" s="399"/>
      <c r="DN581" s="399"/>
      <c r="DO581" s="399"/>
      <c r="DP581" s="399"/>
      <c r="DQ581" s="399"/>
    </row>
    <row r="582" spans="1:121" s="760" customFormat="1" ht="14.45" customHeight="1" x14ac:dyDescent="0.25">
      <c r="A582" s="266">
        <f t="shared" ref="A582:A645" si="9">IF(ISBLANK(B582),"",(Report_Date-B582)/30)</f>
        <v>41.6</v>
      </c>
      <c r="B582" s="389">
        <v>41608</v>
      </c>
      <c r="C582" s="390" t="s">
        <v>904</v>
      </c>
      <c r="D582" s="390"/>
      <c r="E582" s="390" t="s">
        <v>380</v>
      </c>
      <c r="F582" s="262" t="s">
        <v>5</v>
      </c>
      <c r="G582" s="262" t="s">
        <v>14</v>
      </c>
      <c r="H582" s="261"/>
      <c r="I582" s="261"/>
      <c r="J582" s="261"/>
      <c r="K582" s="261"/>
      <c r="L582" s="261"/>
      <c r="M582" s="261"/>
      <c r="N582" s="261"/>
      <c r="O582" s="261"/>
      <c r="P582" s="261"/>
      <c r="Q582" s="261">
        <v>138</v>
      </c>
      <c r="R582" s="261"/>
      <c r="S582" s="261"/>
      <c r="T582" s="261"/>
      <c r="U582" s="261"/>
      <c r="V582" s="762"/>
      <c r="W582" s="261"/>
      <c r="X582" s="261"/>
      <c r="Y582" s="264">
        <f>IF(NFI_Expiration=1,IF($A582&lt;VLOOKUP(H$5,NFI,5,0),1,0)*Table_NFI[[#This Row],[Hygiene Kit]],Table_NFI[Hygiene Kit])</f>
        <v>0</v>
      </c>
      <c r="Z582" s="264">
        <f>IF(NFI_Expiration=1,IF($A582&lt;VLOOKUP(I$5,NFI,5,0),1,0)*Table_NFI[[#This Row],[NFI Core Kit]],Table_NFI[NFI Core Kit])</f>
        <v>0</v>
      </c>
      <c r="AA582" s="264">
        <f>IF(NFI_Expiration=1,IF($A582&lt;VLOOKUP(J$5,NFI,5,0),1,0)*Table_NFI[[#This Row],[Sanitary Kit]],Table_NFI[Sanitary Kit])</f>
        <v>0</v>
      </c>
      <c r="AB582" s="264">
        <f>IF(NFI_Expiration=1,IF($A582&lt;VLOOKUP(K$5,NFI,5,0),1,0)*Table_NFI[[#This Row],[Mosquito net]],Table_NFI[Mosquito net])</f>
        <v>0</v>
      </c>
      <c r="AC582" s="264">
        <f>IF(NFI_Expiration=1,IF($A582&lt;VLOOKUP(L$5,NFI,5,0),1,0)*Table_NFI[[#This Row],[Tarpaulin]],Table_NFI[[#This Row],[Tarpaulin]])</f>
        <v>0</v>
      </c>
      <c r="AD582" s="264">
        <f>IF(NFI_Expiration=1,IF($A582&lt;VLOOKUP(M$5,NFI,5,0),1,0)*Table_NFI[[#This Row],[Blanket]],Table_NFI[[#This Row],[Blanket]])</f>
        <v>0</v>
      </c>
      <c r="AE582" s="264">
        <f>IF(NFI_Expiration=1,IF($A582&lt;VLOOKUP(N$5,NFI,5,0),1,0)*Table_NFI[[#This Row],[Kitchen Set]],Table_NFI[Kitchen Set])</f>
        <v>0</v>
      </c>
      <c r="AF582" s="264">
        <f>IF(NFI_Expiration=1,IF($A582&lt;VLOOKUP(O$5,NFI,5,0),1,0)*Table_NFI[[#This Row],[Clothes Kit]],Table_NFI[Clothes Kit])</f>
        <v>0</v>
      </c>
      <c r="AG582" s="264">
        <f>IF(NFI_Expiration=1,IF($A582&lt;VLOOKUP(P$5,NFI,5,0),1,0)*Table_NFI[[#This Row],[Plastic Bucket]],Table_NFI[Plastic Bucket])</f>
        <v>0</v>
      </c>
      <c r="AH582" s="264">
        <f>IF(NFI_Expiration=1,IF($A582&lt;VLOOKUP(Q$5,NFI,5,0),1,0)*Table_NFI[[#This Row],[Plastic Mat]],Table_NFI[Plastic Mat])*IF(Table_NFI[[#This Row],[Distribution Date]]&gt;"2014-04-01",1,2.5)</f>
        <v>0</v>
      </c>
      <c r="AI582" s="264">
        <f>IF(NFI_Expiration=1,IF($A582&lt;VLOOKUP(R$5,NFI,5,0),1,0)*Table_NFI[[#This Row],[Winter Clothes Adult]],Table_NFI[Winter Clothes Adult])</f>
        <v>0</v>
      </c>
      <c r="AJ582" s="264">
        <f>IF(NFI_Expiration=1,IF($A582&lt;VLOOKUP(S$5,NFI,5,0),1,0)*Table_NFI[[#This Row],[Winter Clothes Children]],Table_NFI[Winter Clothes Children])</f>
        <v>0</v>
      </c>
      <c r="AK582" s="264">
        <f>IF(NFI_Expiration=1,IF($A582&lt;VLOOKUP(T$5,NFI,5,0),1,0)*Table_NFI[[#This Row],[Winter Items Other]],Table_NFI[Winter Items Other])</f>
        <v>0</v>
      </c>
      <c r="AL582" s="264">
        <f>IF(NFI_Expiration=1,IF($A582&lt;VLOOKUP(M$5,NFI,5,0),1,0)*Table_NFI[[#This Row],[Winter Blanket]],Table_NFI[[#This Row],[Winter Blanket]])</f>
        <v>0</v>
      </c>
      <c r="AM582" s="264">
        <f>IF(Table_NFI[[#This Row],[Winter Clothes Adult]]+Table_NFI[[#This Row],[Winter Clothes Children]]+Table_NFI[[#This Row],[Winter Items Other]]+Table_NFI[[#This Row],[Winter Blanket]]&gt;0,1,0)</f>
        <v>0</v>
      </c>
      <c r="AN582" s="296">
        <f>IF(NFI_Expiration=1,IF($A582&lt;VLOOKUP(V$5,NFI,5,0),1,0)*Table_NFI[[#This Row],[Jerry Can]],Table_NFI[Jerry Can])</f>
        <v>0</v>
      </c>
      <c r="AO582" s="296">
        <f>IF(NFI_Expiration=1,IF($A582&lt;VLOOKUP(V$5,NFI,5,0),1,0)*Table_NFI[[#This Row],[Shelter Tool kit]],Table_NFI[Shelter Tool kit])</f>
        <v>0</v>
      </c>
      <c r="AP582" s="296">
        <f>IF(NFI_Expiration=1,IF($A582&lt;VLOOKUP(V$5,NFI,5,0),1,0)*Table_NFI[[#This Row],[Tent]],Table_NFI[Tent])</f>
        <v>0</v>
      </c>
      <c r="AQ582" s="396" t="str">
        <f>IFERROR(VLOOKUP(Table_NFI[[#This Row],[Camp Name]],CL,2,0),"")</f>
        <v>MMR001CMP052</v>
      </c>
      <c r="AR582" s="702">
        <f ca="1">IF(Table_NFI[[#This Row],[Pcode]]="","",IF(OFFSET(CampList[Opening Date],MATCH(Table_NFI[[#This Row],[Pcode]],CampList[CP_Pcode],0)-1,0,1,1)&gt;=NFI_Monitor_Date,1,0))</f>
        <v>0</v>
      </c>
      <c r="AS582" s="396" t="str">
        <f>IFERROR(VLOOKUP(Table_NFI[[#This Row],[Camp Name]],CL,3,0),"")</f>
        <v>Open</v>
      </c>
      <c r="AT582" s="264" t="str">
        <f ca="1">IF(Table_NFI[[#This Row],[Pcode]]="","",OFFSET(CampList[Priority],MATCH(Table_NFI[[#This Row],[Pcode]],CampList[CP_Pcode],0)-1,0,1,1))</f>
        <v>P4</v>
      </c>
      <c r="AU582" s="263">
        <f>IFERROR(Table_NFI[[#This Row],[Kitchen Set]]/VLOOKUP(Table_NFI[[#This Row],[Camp Name]],CL,4,0),"")</f>
        <v>0</v>
      </c>
      <c r="AV582" s="390" t="s">
        <v>1087</v>
      </c>
      <c r="AW582" s="392"/>
      <c r="AX582" s="399"/>
      <c r="AY582" s="399"/>
      <c r="AZ582" s="399"/>
      <c r="BA582" s="399"/>
      <c r="BB582" s="399"/>
      <c r="BC582" s="399"/>
      <c r="BD582" s="399"/>
      <c r="BE582" s="399"/>
      <c r="BF582" s="399"/>
      <c r="BG582" s="399"/>
      <c r="BH582" s="399"/>
      <c r="BI582" s="399"/>
      <c r="BJ582" s="399"/>
      <c r="BK582" s="399"/>
      <c r="BL582" s="399"/>
      <c r="BM582" s="399"/>
      <c r="BN582" s="399"/>
      <c r="BO582" s="399"/>
      <c r="BP582" s="399"/>
      <c r="BQ582" s="399"/>
      <c r="BR582" s="399"/>
      <c r="BS582" s="399"/>
      <c r="BT582" s="399"/>
      <c r="BU582" s="399"/>
      <c r="BV582" s="399"/>
      <c r="BW582" s="399"/>
      <c r="BX582" s="399"/>
      <c r="BY582" s="399"/>
      <c r="BZ582" s="399"/>
      <c r="CA582" s="399"/>
      <c r="CB582" s="399"/>
      <c r="CC582" s="399"/>
      <c r="CD582" s="399"/>
      <c r="CE582" s="399"/>
      <c r="CF582" s="399"/>
      <c r="CG582" s="399"/>
      <c r="CH582" s="399"/>
      <c r="CI582" s="399"/>
      <c r="CJ582" s="399"/>
      <c r="CK582" s="399"/>
      <c r="CL582" s="399"/>
      <c r="CM582" s="399"/>
      <c r="CN582" s="399"/>
      <c r="CO582" s="399"/>
      <c r="CP582" s="399"/>
      <c r="CQ582" s="399"/>
      <c r="CR582" s="399"/>
      <c r="CS582" s="399"/>
      <c r="CT582" s="399"/>
      <c r="CU582" s="399"/>
      <c r="CV582" s="399"/>
      <c r="CW582" s="399"/>
      <c r="CX582" s="399"/>
      <c r="CY582" s="399"/>
      <c r="CZ582" s="399"/>
      <c r="DA582" s="399"/>
      <c r="DB582" s="399"/>
      <c r="DC582" s="399"/>
      <c r="DD582" s="399"/>
      <c r="DE582" s="399"/>
      <c r="DF582" s="399"/>
      <c r="DG582" s="399"/>
      <c r="DH582" s="399"/>
      <c r="DI582" s="399"/>
      <c r="DJ582" s="399"/>
      <c r="DK582" s="399"/>
      <c r="DL582" s="399"/>
      <c r="DM582" s="399"/>
      <c r="DN582" s="399"/>
      <c r="DO582" s="399"/>
      <c r="DP582" s="399"/>
      <c r="DQ582" s="399"/>
    </row>
    <row r="583" spans="1:121" s="760" customFormat="1" ht="14.45" customHeight="1" x14ac:dyDescent="0.25">
      <c r="A583" s="266">
        <f t="shared" si="9"/>
        <v>41.6</v>
      </c>
      <c r="B583" s="389">
        <v>41608</v>
      </c>
      <c r="C583" s="390" t="s">
        <v>904</v>
      </c>
      <c r="D583" s="390" t="s">
        <v>459</v>
      </c>
      <c r="E583" s="390" t="s">
        <v>380</v>
      </c>
      <c r="F583" s="262" t="s">
        <v>185</v>
      </c>
      <c r="G583" s="262" t="s">
        <v>196</v>
      </c>
      <c r="H583" s="261"/>
      <c r="I583" s="261"/>
      <c r="J583" s="261"/>
      <c r="K583" s="261"/>
      <c r="L583" s="261"/>
      <c r="M583" s="261"/>
      <c r="N583" s="261"/>
      <c r="O583" s="261"/>
      <c r="P583" s="261"/>
      <c r="Q583" s="261">
        <v>5268</v>
      </c>
      <c r="R583" s="261"/>
      <c r="S583" s="261"/>
      <c r="T583" s="261"/>
      <c r="U583" s="261"/>
      <c r="V583" s="762"/>
      <c r="W583" s="261"/>
      <c r="X583" s="261"/>
      <c r="Y583" s="264">
        <f>IF(NFI_Expiration=1,IF($A583&lt;VLOOKUP(H$5,NFI,5,0),1,0)*Table_NFI[[#This Row],[Hygiene Kit]],Table_NFI[Hygiene Kit])</f>
        <v>0</v>
      </c>
      <c r="Z583" s="264">
        <f>IF(NFI_Expiration=1,IF($A583&lt;VLOOKUP(I$5,NFI,5,0),1,0)*Table_NFI[[#This Row],[NFI Core Kit]],Table_NFI[NFI Core Kit])</f>
        <v>0</v>
      </c>
      <c r="AA583" s="264">
        <f>IF(NFI_Expiration=1,IF($A583&lt;VLOOKUP(J$5,NFI,5,0),1,0)*Table_NFI[[#This Row],[Sanitary Kit]],Table_NFI[Sanitary Kit])</f>
        <v>0</v>
      </c>
      <c r="AB583" s="264">
        <f>IF(NFI_Expiration=1,IF($A583&lt;VLOOKUP(K$5,NFI,5,0),1,0)*Table_NFI[[#This Row],[Mosquito net]],Table_NFI[Mosquito net])</f>
        <v>0</v>
      </c>
      <c r="AC583" s="264">
        <f>IF(NFI_Expiration=1,IF($A583&lt;VLOOKUP(L$5,NFI,5,0),1,0)*Table_NFI[[#This Row],[Tarpaulin]],Table_NFI[[#This Row],[Tarpaulin]])</f>
        <v>0</v>
      </c>
      <c r="AD583" s="264">
        <f>IF(NFI_Expiration=1,IF($A583&lt;VLOOKUP(M$5,NFI,5,0),1,0)*Table_NFI[[#This Row],[Blanket]],Table_NFI[[#This Row],[Blanket]])</f>
        <v>0</v>
      </c>
      <c r="AE583" s="264">
        <f>IF(NFI_Expiration=1,IF($A583&lt;VLOOKUP(N$5,NFI,5,0),1,0)*Table_NFI[[#This Row],[Kitchen Set]],Table_NFI[Kitchen Set])</f>
        <v>0</v>
      </c>
      <c r="AF583" s="264">
        <f>IF(NFI_Expiration=1,IF($A583&lt;VLOOKUP(O$5,NFI,5,0),1,0)*Table_NFI[[#This Row],[Clothes Kit]],Table_NFI[Clothes Kit])</f>
        <v>0</v>
      </c>
      <c r="AG583" s="264">
        <f>IF(NFI_Expiration=1,IF($A583&lt;VLOOKUP(P$5,NFI,5,0),1,0)*Table_NFI[[#This Row],[Plastic Bucket]],Table_NFI[Plastic Bucket])</f>
        <v>0</v>
      </c>
      <c r="AH583" s="264">
        <f>IF(NFI_Expiration=1,IF($A583&lt;VLOOKUP(Q$5,NFI,5,0),1,0)*Table_NFI[[#This Row],[Plastic Mat]],Table_NFI[Plastic Mat])*IF(Table_NFI[[#This Row],[Distribution Date]]&gt;"2014-04-01",1,2.5)</f>
        <v>0</v>
      </c>
      <c r="AI583" s="264">
        <f>IF(NFI_Expiration=1,IF($A583&lt;VLOOKUP(R$5,NFI,5,0),1,0)*Table_NFI[[#This Row],[Winter Clothes Adult]],Table_NFI[Winter Clothes Adult])</f>
        <v>0</v>
      </c>
      <c r="AJ583" s="264">
        <f>IF(NFI_Expiration=1,IF($A583&lt;VLOOKUP(S$5,NFI,5,0),1,0)*Table_NFI[[#This Row],[Winter Clothes Children]],Table_NFI[Winter Clothes Children])</f>
        <v>0</v>
      </c>
      <c r="AK583" s="264">
        <f>IF(NFI_Expiration=1,IF($A583&lt;VLOOKUP(T$5,NFI,5,0),1,0)*Table_NFI[[#This Row],[Winter Items Other]],Table_NFI[Winter Items Other])</f>
        <v>0</v>
      </c>
      <c r="AL583" s="264">
        <f>IF(NFI_Expiration=1,IF($A583&lt;VLOOKUP(M$5,NFI,5,0),1,0)*Table_NFI[[#This Row],[Winter Blanket]],Table_NFI[[#This Row],[Winter Blanket]])</f>
        <v>0</v>
      </c>
      <c r="AM583" s="264">
        <f>IF(Table_NFI[[#This Row],[Winter Clothes Adult]]+Table_NFI[[#This Row],[Winter Clothes Children]]+Table_NFI[[#This Row],[Winter Items Other]]+Table_NFI[[#This Row],[Winter Blanket]]&gt;0,1,0)</f>
        <v>0</v>
      </c>
      <c r="AN583" s="296">
        <f>IF(NFI_Expiration=1,IF($A583&lt;VLOOKUP(V$5,NFI,5,0),1,0)*Table_NFI[[#This Row],[Jerry Can]],Table_NFI[Jerry Can])</f>
        <v>0</v>
      </c>
      <c r="AO583" s="296">
        <f>IF(NFI_Expiration=1,IF($A583&lt;VLOOKUP(V$5,NFI,5,0),1,0)*Table_NFI[[#This Row],[Shelter Tool kit]],Table_NFI[Shelter Tool kit])</f>
        <v>0</v>
      </c>
      <c r="AP583" s="296">
        <f>IF(NFI_Expiration=1,IF($A583&lt;VLOOKUP(V$5,NFI,5,0),1,0)*Table_NFI[[#This Row],[Tent]],Table_NFI[Tent])</f>
        <v>0</v>
      </c>
      <c r="AQ583" s="396" t="str">
        <f>IFERROR(VLOOKUP(Table_NFI[[#This Row],[Camp Name]],CL,2,0),"")</f>
        <v>MMR001CMP121</v>
      </c>
      <c r="AR583" s="702">
        <f ca="1">IF(Table_NFI[[#This Row],[Pcode]]="","",IF(OFFSET(CampList[Opening Date],MATCH(Table_NFI[[#This Row],[Pcode]],CampList[CP_Pcode],0)-1,0,1,1)&gt;=NFI_Monitor_Date,1,0))</f>
        <v>0</v>
      </c>
      <c r="AS583" s="396" t="str">
        <f>IFERROR(VLOOKUP(Table_NFI[[#This Row],[Camp Name]],CL,3,0),"")</f>
        <v>Open</v>
      </c>
      <c r="AT583" s="264" t="str">
        <f ca="1">IF(Table_NFI[[#This Row],[Pcode]]="","",OFFSET(CampList[Priority],MATCH(Table_NFI[[#This Row],[Pcode]],CampList[CP_Pcode],0)-1,0,1,1))</f>
        <v>P2</v>
      </c>
      <c r="AU583" s="263">
        <f>IFERROR(Table_NFI[[#This Row],[Kitchen Set]]/VLOOKUP(Table_NFI[[#This Row],[Camp Name]],CL,4,0),"")</f>
        <v>0</v>
      </c>
      <c r="AV583" s="390" t="s">
        <v>1087</v>
      </c>
      <c r="AW583" s="392"/>
      <c r="AX583" s="399"/>
      <c r="AY583" s="399"/>
      <c r="AZ583" s="399"/>
      <c r="BA583" s="399"/>
      <c r="BB583" s="399"/>
      <c r="BC583" s="399"/>
      <c r="BD583" s="399"/>
      <c r="BE583" s="399"/>
      <c r="BF583" s="399"/>
      <c r="BG583" s="399"/>
      <c r="BH583" s="399"/>
      <c r="BI583" s="399"/>
      <c r="BJ583" s="399"/>
      <c r="BK583" s="399"/>
      <c r="BL583" s="399"/>
      <c r="BM583" s="399"/>
      <c r="BN583" s="399"/>
      <c r="BO583" s="399"/>
      <c r="BP583" s="399"/>
      <c r="BQ583" s="399"/>
      <c r="BR583" s="399"/>
      <c r="BS583" s="399"/>
      <c r="BT583" s="399"/>
      <c r="BU583" s="399"/>
      <c r="BV583" s="399"/>
      <c r="BW583" s="399"/>
      <c r="BX583" s="399"/>
      <c r="BY583" s="399"/>
      <c r="BZ583" s="399"/>
      <c r="CA583" s="399"/>
      <c r="CB583" s="399"/>
      <c r="CC583" s="399"/>
      <c r="CD583" s="399"/>
      <c r="CE583" s="399"/>
      <c r="CF583" s="399"/>
      <c r="CG583" s="399"/>
      <c r="CH583" s="399"/>
      <c r="CI583" s="399"/>
      <c r="CJ583" s="399"/>
      <c r="CK583" s="399"/>
      <c r="CL583" s="399"/>
      <c r="CM583" s="399"/>
      <c r="CN583" s="399"/>
      <c r="CO583" s="399"/>
      <c r="CP583" s="399"/>
      <c r="CQ583" s="399"/>
      <c r="CR583" s="399"/>
      <c r="CS583" s="399"/>
      <c r="CT583" s="399"/>
      <c r="CU583" s="399"/>
      <c r="CV583" s="399"/>
      <c r="CW583" s="399"/>
      <c r="CX583" s="399"/>
      <c r="CY583" s="399"/>
      <c r="CZ583" s="399"/>
      <c r="DA583" s="399"/>
      <c r="DB583" s="399"/>
      <c r="DC583" s="399"/>
      <c r="DD583" s="399"/>
      <c r="DE583" s="399"/>
      <c r="DF583" s="399"/>
      <c r="DG583" s="399"/>
      <c r="DH583" s="399"/>
      <c r="DI583" s="399"/>
      <c r="DJ583" s="399"/>
      <c r="DK583" s="399"/>
      <c r="DL583" s="399"/>
      <c r="DM583" s="399"/>
      <c r="DN583" s="399"/>
      <c r="DO583" s="399"/>
      <c r="DP583" s="399"/>
      <c r="DQ583" s="399"/>
    </row>
    <row r="584" spans="1:121" s="760" customFormat="1" ht="15" customHeight="1" x14ac:dyDescent="0.25">
      <c r="A584" s="266">
        <f t="shared" si="9"/>
        <v>41.6</v>
      </c>
      <c r="B584" s="389">
        <v>41608</v>
      </c>
      <c r="C584" s="390" t="s">
        <v>904</v>
      </c>
      <c r="D584" s="390" t="s">
        <v>1001</v>
      </c>
      <c r="E584" s="390" t="s">
        <v>380</v>
      </c>
      <c r="F584" s="262" t="s">
        <v>151</v>
      </c>
      <c r="G584" s="262" t="s">
        <v>198</v>
      </c>
      <c r="H584" s="261"/>
      <c r="I584" s="261"/>
      <c r="J584" s="261"/>
      <c r="K584" s="261"/>
      <c r="L584" s="261"/>
      <c r="M584" s="261"/>
      <c r="N584" s="261"/>
      <c r="O584" s="261"/>
      <c r="P584" s="261"/>
      <c r="Q584" s="261"/>
      <c r="R584" s="261"/>
      <c r="S584" s="261"/>
      <c r="T584" s="261"/>
      <c r="U584" s="261"/>
      <c r="V584" s="762"/>
      <c r="W584" s="261"/>
      <c r="X584" s="261"/>
      <c r="Y584" s="264">
        <f>IF(NFI_Expiration=1,IF($A584&lt;VLOOKUP(H$5,NFI,5,0),1,0)*Table_NFI[[#This Row],[Hygiene Kit]],Table_NFI[Hygiene Kit])</f>
        <v>0</v>
      </c>
      <c r="Z584" s="264">
        <f>IF(NFI_Expiration=1,IF($A584&lt;VLOOKUP(I$5,NFI,5,0),1,0)*Table_NFI[[#This Row],[NFI Core Kit]],Table_NFI[NFI Core Kit])</f>
        <v>0</v>
      </c>
      <c r="AA584" s="264">
        <f>IF(NFI_Expiration=1,IF($A584&lt;VLOOKUP(J$5,NFI,5,0),1,0)*Table_NFI[[#This Row],[Sanitary Kit]],Table_NFI[Sanitary Kit])</f>
        <v>0</v>
      </c>
      <c r="AB584" s="264">
        <f>IF(NFI_Expiration=1,IF($A584&lt;VLOOKUP(K$5,NFI,5,0),1,0)*Table_NFI[[#This Row],[Mosquito net]],Table_NFI[Mosquito net])</f>
        <v>0</v>
      </c>
      <c r="AC584" s="264">
        <f>IF(NFI_Expiration=1,IF($A584&lt;VLOOKUP(L$5,NFI,5,0),1,0)*Table_NFI[[#This Row],[Tarpaulin]],Table_NFI[[#This Row],[Tarpaulin]])</f>
        <v>0</v>
      </c>
      <c r="AD584" s="264">
        <f>IF(NFI_Expiration=1,IF($A584&lt;VLOOKUP(M$5,NFI,5,0),1,0)*Table_NFI[[#This Row],[Blanket]],Table_NFI[[#This Row],[Blanket]])</f>
        <v>0</v>
      </c>
      <c r="AE584" s="264">
        <f>IF(NFI_Expiration=1,IF($A584&lt;VLOOKUP(N$5,NFI,5,0),1,0)*Table_NFI[[#This Row],[Kitchen Set]],Table_NFI[Kitchen Set])</f>
        <v>0</v>
      </c>
      <c r="AF584" s="264">
        <f>IF(NFI_Expiration=1,IF($A584&lt;VLOOKUP(O$5,NFI,5,0),1,0)*Table_NFI[[#This Row],[Clothes Kit]],Table_NFI[Clothes Kit])</f>
        <v>0</v>
      </c>
      <c r="AG584" s="264">
        <f>IF(NFI_Expiration=1,IF($A584&lt;VLOOKUP(P$5,NFI,5,0),1,0)*Table_NFI[[#This Row],[Plastic Bucket]],Table_NFI[Plastic Bucket])</f>
        <v>0</v>
      </c>
      <c r="AH584" s="264">
        <f>IF(NFI_Expiration=1,IF($A584&lt;VLOOKUP(Q$5,NFI,5,0),1,0)*Table_NFI[[#This Row],[Plastic Mat]],Table_NFI[Plastic Mat])*IF(Table_NFI[[#This Row],[Distribution Date]]&gt;"2014-04-01",1,2.5)</f>
        <v>0</v>
      </c>
      <c r="AI584" s="264">
        <f>IF(NFI_Expiration=1,IF($A584&lt;VLOOKUP(R$5,NFI,5,0),1,0)*Table_NFI[[#This Row],[Winter Clothes Adult]],Table_NFI[Winter Clothes Adult])</f>
        <v>0</v>
      </c>
      <c r="AJ584" s="264">
        <f>IF(NFI_Expiration=1,IF($A584&lt;VLOOKUP(S$5,NFI,5,0),1,0)*Table_NFI[[#This Row],[Winter Clothes Children]],Table_NFI[Winter Clothes Children])</f>
        <v>0</v>
      </c>
      <c r="AK584" s="264">
        <f>IF(NFI_Expiration=1,IF($A584&lt;VLOOKUP(T$5,NFI,5,0),1,0)*Table_NFI[[#This Row],[Winter Items Other]],Table_NFI[Winter Items Other])</f>
        <v>0</v>
      </c>
      <c r="AL584" s="264">
        <f>IF(NFI_Expiration=1,IF($A584&lt;VLOOKUP(M$5,NFI,5,0),1,0)*Table_NFI[[#This Row],[Winter Blanket]],Table_NFI[[#This Row],[Winter Blanket]])</f>
        <v>0</v>
      </c>
      <c r="AM584" s="264">
        <f>IF(Table_NFI[[#This Row],[Winter Clothes Adult]]+Table_NFI[[#This Row],[Winter Clothes Children]]+Table_NFI[[#This Row],[Winter Items Other]]+Table_NFI[[#This Row],[Winter Blanket]]&gt;0,1,0)</f>
        <v>0</v>
      </c>
      <c r="AN584" s="296">
        <f>IF(NFI_Expiration=1,IF($A584&lt;VLOOKUP(V$5,NFI,5,0),1,0)*Table_NFI[[#This Row],[Jerry Can]],Table_NFI[Jerry Can])</f>
        <v>0</v>
      </c>
      <c r="AO584" s="296">
        <f>IF(NFI_Expiration=1,IF($A584&lt;VLOOKUP(V$5,NFI,5,0),1,0)*Table_NFI[[#This Row],[Shelter Tool kit]],Table_NFI[Shelter Tool kit])</f>
        <v>0</v>
      </c>
      <c r="AP584" s="296">
        <f>IF(NFI_Expiration=1,IF($A584&lt;VLOOKUP(V$5,NFI,5,0),1,0)*Table_NFI[[#This Row],[Tent]],Table_NFI[Tent])</f>
        <v>0</v>
      </c>
      <c r="AQ584" s="396" t="str">
        <f>IFERROR(VLOOKUP(Table_NFI[[#This Row],[Camp Name]],CL,2,0),"")</f>
        <v>MMR001CMP128</v>
      </c>
      <c r="AR584" s="702">
        <f ca="1">IF(Table_NFI[[#This Row],[Pcode]]="","",IF(OFFSET(CampList[Opening Date],MATCH(Table_NFI[[#This Row],[Pcode]],CampList[CP_Pcode],0)-1,0,1,1)&gt;=NFI_Monitor_Date,1,0))</f>
        <v>0</v>
      </c>
      <c r="AS584" s="396" t="str">
        <f>IFERROR(VLOOKUP(Table_NFI[[#This Row],[Camp Name]],CL,3,0),"")</f>
        <v>Open</v>
      </c>
      <c r="AT584" s="264" t="str">
        <f ca="1">IF(Table_NFI[[#This Row],[Pcode]]="","",OFFSET(CampList[Priority],MATCH(Table_NFI[[#This Row],[Pcode]],CampList[CP_Pcode],0)-1,0,1,1))</f>
        <v>P2</v>
      </c>
      <c r="AU584" s="263">
        <f>IFERROR(Table_NFI[[#This Row],[Kitchen Set]]/VLOOKUP(Table_NFI[[#This Row],[Camp Name]],CL,4,0),"")</f>
        <v>0</v>
      </c>
      <c r="AV584" s="390" t="s">
        <v>1087</v>
      </c>
      <c r="AW584" s="392"/>
      <c r="AX584" s="399"/>
      <c r="AY584" s="399"/>
      <c r="AZ584" s="399"/>
      <c r="BA584" s="399"/>
      <c r="BB584" s="399"/>
      <c r="BC584" s="399"/>
      <c r="BD584" s="399"/>
      <c r="BE584" s="399"/>
      <c r="BF584" s="399"/>
      <c r="BG584" s="399"/>
      <c r="BH584" s="399"/>
      <c r="BI584" s="399"/>
      <c r="BJ584" s="399"/>
      <c r="BK584" s="399"/>
      <c r="BL584" s="399"/>
      <c r="BM584" s="399"/>
      <c r="BN584" s="399"/>
      <c r="BO584" s="399"/>
      <c r="BP584" s="399"/>
      <c r="BQ584" s="399"/>
      <c r="BR584" s="399"/>
      <c r="BS584" s="399"/>
      <c r="BT584" s="399"/>
      <c r="BU584" s="399"/>
      <c r="BV584" s="399"/>
      <c r="BW584" s="399"/>
      <c r="BX584" s="399"/>
      <c r="BY584" s="399"/>
      <c r="BZ584" s="399"/>
      <c r="CA584" s="399"/>
      <c r="CB584" s="399"/>
      <c r="CC584" s="399"/>
      <c r="CD584" s="399"/>
      <c r="CE584" s="399"/>
      <c r="CF584" s="399"/>
      <c r="CG584" s="399"/>
      <c r="CH584" s="399"/>
      <c r="CI584" s="399"/>
      <c r="CJ584" s="399"/>
      <c r="CK584" s="399"/>
      <c r="CL584" s="399"/>
      <c r="CM584" s="399"/>
      <c r="CN584" s="399"/>
      <c r="CO584" s="399"/>
      <c r="CP584" s="399"/>
      <c r="CQ584" s="399"/>
      <c r="CR584" s="399"/>
      <c r="CS584" s="399"/>
      <c r="CT584" s="399"/>
      <c r="CU584" s="399"/>
      <c r="CV584" s="399"/>
      <c r="CW584" s="399"/>
      <c r="CX584" s="399"/>
      <c r="CY584" s="399"/>
      <c r="CZ584" s="399"/>
      <c r="DA584" s="399"/>
      <c r="DB584" s="399"/>
      <c r="DC584" s="399"/>
      <c r="DD584" s="399"/>
      <c r="DE584" s="399"/>
      <c r="DF584" s="399"/>
      <c r="DG584" s="399"/>
      <c r="DH584" s="399"/>
      <c r="DI584" s="399"/>
      <c r="DJ584" s="399"/>
      <c r="DK584" s="399"/>
      <c r="DL584" s="399"/>
      <c r="DM584" s="399"/>
      <c r="DN584" s="399"/>
      <c r="DO584" s="399"/>
      <c r="DP584" s="399"/>
      <c r="DQ584" s="399"/>
    </row>
    <row r="585" spans="1:121" s="393" customFormat="1" ht="15" customHeight="1" x14ac:dyDescent="0.25">
      <c r="A585" s="266">
        <f t="shared" si="9"/>
        <v>41.6</v>
      </c>
      <c r="B585" s="389">
        <v>41608</v>
      </c>
      <c r="C585" s="390" t="s">
        <v>451</v>
      </c>
      <c r="D585" s="391" t="s">
        <v>451</v>
      </c>
      <c r="E585" s="390" t="s">
        <v>380</v>
      </c>
      <c r="F585" s="262" t="s">
        <v>151</v>
      </c>
      <c r="G585" s="262" t="s">
        <v>198</v>
      </c>
      <c r="H585" s="261"/>
      <c r="I585" s="261"/>
      <c r="J585" s="261"/>
      <c r="K585" s="261"/>
      <c r="L585" s="261"/>
      <c r="M585" s="261"/>
      <c r="N585" s="261"/>
      <c r="O585" s="261"/>
      <c r="P585" s="261"/>
      <c r="Q585" s="261"/>
      <c r="R585" s="261"/>
      <c r="S585" s="261"/>
      <c r="T585" s="261"/>
      <c r="U585" s="261"/>
      <c r="V585" s="762"/>
      <c r="W585" s="762"/>
      <c r="X585" s="762"/>
      <c r="Y585" s="264">
        <f>IF(NFI_Expiration=1,IF($A585&lt;VLOOKUP(H$5,NFI,5,0),1,0)*Table_NFI[[#This Row],[Hygiene Kit]],Table_NFI[Hygiene Kit])</f>
        <v>0</v>
      </c>
      <c r="Z585" s="264">
        <f>IF(NFI_Expiration=1,IF($A585&lt;VLOOKUP(I$5,NFI,5,0),1,0)*Table_NFI[[#This Row],[NFI Core Kit]],Table_NFI[NFI Core Kit])</f>
        <v>0</v>
      </c>
      <c r="AA585" s="264">
        <f>IF(NFI_Expiration=1,IF($A585&lt;VLOOKUP(J$5,NFI,5,0),1,0)*Table_NFI[[#This Row],[Sanitary Kit]],Table_NFI[Sanitary Kit])</f>
        <v>0</v>
      </c>
      <c r="AB585" s="264">
        <f>IF(NFI_Expiration=1,IF($A585&lt;VLOOKUP(K$5,NFI,5,0),1,0)*Table_NFI[[#This Row],[Mosquito net]],Table_NFI[Mosquito net])</f>
        <v>0</v>
      </c>
      <c r="AC585" s="264">
        <f>IF(NFI_Expiration=1,IF($A585&lt;VLOOKUP(L$5,NFI,5,0),1,0)*Table_NFI[[#This Row],[Tarpaulin]],Table_NFI[[#This Row],[Tarpaulin]])</f>
        <v>0</v>
      </c>
      <c r="AD585" s="264">
        <f>IF(NFI_Expiration=1,IF($A585&lt;VLOOKUP(M$5,NFI,5,0),1,0)*Table_NFI[[#This Row],[Blanket]],Table_NFI[[#This Row],[Blanket]])</f>
        <v>0</v>
      </c>
      <c r="AE585" s="264">
        <f>IF(NFI_Expiration=1,IF($A585&lt;VLOOKUP(N$5,NFI,5,0),1,0)*Table_NFI[[#This Row],[Kitchen Set]],Table_NFI[Kitchen Set])</f>
        <v>0</v>
      </c>
      <c r="AF585" s="264">
        <f>IF(NFI_Expiration=1,IF($A585&lt;VLOOKUP(O$5,NFI,5,0),1,0)*Table_NFI[[#This Row],[Clothes Kit]],Table_NFI[Clothes Kit])</f>
        <v>0</v>
      </c>
      <c r="AG585" s="264">
        <f>IF(NFI_Expiration=1,IF($A585&lt;VLOOKUP(P$5,NFI,5,0),1,0)*Table_NFI[[#This Row],[Plastic Bucket]],Table_NFI[Plastic Bucket])</f>
        <v>0</v>
      </c>
      <c r="AH585" s="264">
        <f>IF(NFI_Expiration=1,IF($A585&lt;VLOOKUP(Q$5,NFI,5,0),1,0)*Table_NFI[[#This Row],[Plastic Mat]],Table_NFI[Plastic Mat])*IF(Table_NFI[[#This Row],[Distribution Date]]&gt;"2014-04-01",1,2.5)</f>
        <v>0</v>
      </c>
      <c r="AI585" s="264">
        <f>IF(NFI_Expiration=1,IF($A585&lt;VLOOKUP(R$5,NFI,5,0),1,0)*Table_NFI[[#This Row],[Winter Clothes Adult]],Table_NFI[Winter Clothes Adult])</f>
        <v>0</v>
      </c>
      <c r="AJ585" s="264">
        <f>IF(NFI_Expiration=1,IF($A585&lt;VLOOKUP(S$5,NFI,5,0),1,0)*Table_NFI[[#This Row],[Winter Clothes Children]],Table_NFI[Winter Clothes Children])</f>
        <v>0</v>
      </c>
      <c r="AK585" s="264">
        <f>IF(NFI_Expiration=1,IF($A585&lt;VLOOKUP(T$5,NFI,5,0),1,0)*Table_NFI[[#This Row],[Winter Items Other]],Table_NFI[Winter Items Other])</f>
        <v>0</v>
      </c>
      <c r="AL585" s="264">
        <f>IF(NFI_Expiration=1,IF($A585&lt;VLOOKUP(M$5,NFI,5,0),1,0)*Table_NFI[[#This Row],[Winter Blanket]],Table_NFI[[#This Row],[Winter Blanket]])</f>
        <v>0</v>
      </c>
      <c r="AM585" s="264">
        <f>IF(Table_NFI[[#This Row],[Winter Clothes Adult]]+Table_NFI[[#This Row],[Winter Clothes Children]]+Table_NFI[[#This Row],[Winter Items Other]]+Table_NFI[[#This Row],[Winter Blanket]]&gt;0,1,0)</f>
        <v>0</v>
      </c>
      <c r="AN585" s="296">
        <f>IF(NFI_Expiration=1,IF($A585&lt;VLOOKUP(V$5,NFI,5,0),1,0)*Table_NFI[[#This Row],[Jerry Can]],Table_NFI[Jerry Can])</f>
        <v>0</v>
      </c>
      <c r="AO585" s="296">
        <f>IF(NFI_Expiration=1,IF($A585&lt;VLOOKUP(V$5,NFI,5,0),1,0)*Table_NFI[[#This Row],[Shelter Tool kit]],Table_NFI[Shelter Tool kit])</f>
        <v>0</v>
      </c>
      <c r="AP585" s="296">
        <f>IF(NFI_Expiration=1,IF($A585&lt;VLOOKUP(V$5,NFI,5,0),1,0)*Table_NFI[[#This Row],[Tent]],Table_NFI[Tent])</f>
        <v>0</v>
      </c>
      <c r="AQ585" s="396" t="str">
        <f>IFERROR(VLOOKUP(Table_NFI[[#This Row],[Camp Name]],CL,2,0),"")</f>
        <v>MMR001CMP128</v>
      </c>
      <c r="AR585" s="702">
        <f ca="1">IF(Table_NFI[[#This Row],[Pcode]]="","",IF(OFFSET(CampList[Opening Date],MATCH(Table_NFI[[#This Row],[Pcode]],CampList[CP_Pcode],0)-1,0,1,1)&gt;=NFI_Monitor_Date,1,0))</f>
        <v>0</v>
      </c>
      <c r="AS585" s="396" t="str">
        <f>IFERROR(VLOOKUP(Table_NFI[[#This Row],[Camp Name]],CL,3,0),"")</f>
        <v>Open</v>
      </c>
      <c r="AT585" s="264" t="str">
        <f ca="1">IF(Table_NFI[[#This Row],[Pcode]]="","",OFFSET(CampList[Priority],MATCH(Table_NFI[[#This Row],[Pcode]],CampList[CP_Pcode],0)-1,0,1,1))</f>
        <v>P2</v>
      </c>
      <c r="AU585" s="263">
        <f>IFERROR(Table_NFI[[#This Row],[Kitchen Set]]/VLOOKUP(Table_NFI[[#This Row],[Camp Name]],CL,4,0),"")</f>
        <v>0</v>
      </c>
      <c r="AV585" s="390" t="s">
        <v>1087</v>
      </c>
      <c r="AW585" s="392"/>
      <c r="AX585" s="399"/>
      <c r="AY585" s="399"/>
      <c r="AZ585" s="399"/>
      <c r="BA585" s="399"/>
      <c r="BB585" s="399"/>
      <c r="BC585" s="399"/>
      <c r="BD585" s="399"/>
      <c r="BE585" s="399"/>
      <c r="BF585" s="399"/>
      <c r="BG585" s="399"/>
      <c r="BH585" s="399"/>
      <c r="BI585" s="399"/>
      <c r="BJ585" s="399"/>
      <c r="BK585" s="399"/>
      <c r="BL585" s="399"/>
      <c r="BM585" s="399"/>
      <c r="BN585" s="399"/>
      <c r="BO585" s="399"/>
      <c r="BP585" s="399"/>
      <c r="BQ585" s="399"/>
      <c r="BR585" s="399"/>
      <c r="BS585" s="399"/>
      <c r="BT585" s="399"/>
      <c r="BU585" s="399"/>
      <c r="BV585" s="399"/>
      <c r="BW585" s="399"/>
      <c r="BX585" s="399"/>
      <c r="BY585" s="399"/>
      <c r="BZ585" s="399"/>
      <c r="CA585" s="399"/>
      <c r="CB585" s="399"/>
      <c r="CC585" s="399"/>
      <c r="CD585" s="399"/>
      <c r="CE585" s="399"/>
      <c r="CF585" s="399"/>
      <c r="CG585" s="399"/>
      <c r="CH585" s="399"/>
      <c r="CI585" s="399"/>
      <c r="CJ585" s="399"/>
      <c r="CK585" s="399"/>
      <c r="CL585" s="399"/>
      <c r="CM585" s="399"/>
      <c r="CN585" s="399"/>
      <c r="CO585" s="399"/>
      <c r="CP585" s="399"/>
      <c r="CQ585" s="399"/>
      <c r="CR585" s="399"/>
      <c r="CS585" s="399"/>
      <c r="CT585" s="399"/>
      <c r="CU585" s="399"/>
      <c r="CV585" s="399"/>
      <c r="CW585" s="399"/>
      <c r="CX585" s="399"/>
      <c r="CY585" s="399"/>
      <c r="CZ585" s="399"/>
      <c r="DA585" s="399"/>
      <c r="DB585" s="399"/>
      <c r="DC585" s="399"/>
      <c r="DD585" s="399"/>
      <c r="DE585" s="399"/>
      <c r="DF585" s="399"/>
      <c r="DG585" s="399"/>
      <c r="DH585" s="399"/>
      <c r="DI585" s="399"/>
      <c r="DJ585" s="399"/>
      <c r="DK585" s="399"/>
      <c r="DL585" s="399"/>
      <c r="DM585" s="399"/>
      <c r="DN585" s="399"/>
      <c r="DO585" s="399"/>
      <c r="DP585" s="399"/>
      <c r="DQ585" s="399"/>
    </row>
    <row r="586" spans="1:121" s="760" customFormat="1" ht="14.45" customHeight="1" x14ac:dyDescent="0.25">
      <c r="A586" s="266">
        <f t="shared" si="9"/>
        <v>41.6</v>
      </c>
      <c r="B586" s="389">
        <v>41608</v>
      </c>
      <c r="C586" s="390" t="s">
        <v>904</v>
      </c>
      <c r="D586" s="390" t="s">
        <v>459</v>
      </c>
      <c r="E586" s="390" t="s">
        <v>380</v>
      </c>
      <c r="F586" s="262" t="s">
        <v>27</v>
      </c>
      <c r="G586" s="262" t="s">
        <v>365</v>
      </c>
      <c r="H586" s="261"/>
      <c r="I586" s="261"/>
      <c r="J586" s="261"/>
      <c r="K586" s="261"/>
      <c r="L586" s="261"/>
      <c r="M586" s="261"/>
      <c r="N586" s="261"/>
      <c r="O586" s="261"/>
      <c r="P586" s="261"/>
      <c r="Q586" s="261"/>
      <c r="R586" s="261"/>
      <c r="S586" s="261"/>
      <c r="T586" s="261"/>
      <c r="U586" s="261"/>
      <c r="V586" s="762"/>
      <c r="W586" s="261"/>
      <c r="X586" s="261"/>
      <c r="Y586" s="264">
        <f>IF(NFI_Expiration=1,IF($A586&lt;VLOOKUP(H$5,NFI,5,0),1,0)*Table_NFI[[#This Row],[Hygiene Kit]],Table_NFI[Hygiene Kit])</f>
        <v>0</v>
      </c>
      <c r="Z586" s="264">
        <f>IF(NFI_Expiration=1,IF($A586&lt;VLOOKUP(I$5,NFI,5,0),1,0)*Table_NFI[[#This Row],[NFI Core Kit]],Table_NFI[NFI Core Kit])</f>
        <v>0</v>
      </c>
      <c r="AA586" s="264">
        <f>IF(NFI_Expiration=1,IF($A586&lt;VLOOKUP(J$5,NFI,5,0),1,0)*Table_NFI[[#This Row],[Sanitary Kit]],Table_NFI[Sanitary Kit])</f>
        <v>0</v>
      </c>
      <c r="AB586" s="264">
        <f>IF(NFI_Expiration=1,IF($A586&lt;VLOOKUP(K$5,NFI,5,0),1,0)*Table_NFI[[#This Row],[Mosquito net]],Table_NFI[Mosquito net])</f>
        <v>0</v>
      </c>
      <c r="AC586" s="264">
        <f>IF(NFI_Expiration=1,IF($A586&lt;VLOOKUP(L$5,NFI,5,0),1,0)*Table_NFI[[#This Row],[Tarpaulin]],Table_NFI[[#This Row],[Tarpaulin]])</f>
        <v>0</v>
      </c>
      <c r="AD586" s="264">
        <f>IF(NFI_Expiration=1,IF($A586&lt;VLOOKUP(M$5,NFI,5,0),1,0)*Table_NFI[[#This Row],[Blanket]],Table_NFI[[#This Row],[Blanket]])</f>
        <v>0</v>
      </c>
      <c r="AE586" s="264">
        <f>IF(NFI_Expiration=1,IF($A586&lt;VLOOKUP(N$5,NFI,5,0),1,0)*Table_NFI[[#This Row],[Kitchen Set]],Table_NFI[Kitchen Set])</f>
        <v>0</v>
      </c>
      <c r="AF586" s="264">
        <f>IF(NFI_Expiration=1,IF($A586&lt;VLOOKUP(O$5,NFI,5,0),1,0)*Table_NFI[[#This Row],[Clothes Kit]],Table_NFI[Clothes Kit])</f>
        <v>0</v>
      </c>
      <c r="AG586" s="264">
        <f>IF(NFI_Expiration=1,IF($A586&lt;VLOOKUP(P$5,NFI,5,0),1,0)*Table_NFI[[#This Row],[Plastic Bucket]],Table_NFI[Plastic Bucket])</f>
        <v>0</v>
      </c>
      <c r="AH586" s="264">
        <f>IF(NFI_Expiration=1,IF($A586&lt;VLOOKUP(Q$5,NFI,5,0),1,0)*Table_NFI[[#This Row],[Plastic Mat]],Table_NFI[Plastic Mat])*IF(Table_NFI[[#This Row],[Distribution Date]]&gt;"2014-04-01",1,2.5)</f>
        <v>0</v>
      </c>
      <c r="AI586" s="264">
        <f>IF(NFI_Expiration=1,IF($A586&lt;VLOOKUP(R$5,NFI,5,0),1,0)*Table_NFI[[#This Row],[Winter Clothes Adult]],Table_NFI[Winter Clothes Adult])</f>
        <v>0</v>
      </c>
      <c r="AJ586" s="264">
        <f>IF(NFI_Expiration=1,IF($A586&lt;VLOOKUP(S$5,NFI,5,0),1,0)*Table_NFI[[#This Row],[Winter Clothes Children]],Table_NFI[Winter Clothes Children])</f>
        <v>0</v>
      </c>
      <c r="AK586" s="264">
        <f>IF(NFI_Expiration=1,IF($A586&lt;VLOOKUP(T$5,NFI,5,0),1,0)*Table_NFI[[#This Row],[Winter Items Other]],Table_NFI[Winter Items Other])</f>
        <v>0</v>
      </c>
      <c r="AL586" s="264">
        <f>IF(NFI_Expiration=1,IF($A586&lt;VLOOKUP(M$5,NFI,5,0),1,0)*Table_NFI[[#This Row],[Winter Blanket]],Table_NFI[[#This Row],[Winter Blanket]])</f>
        <v>0</v>
      </c>
      <c r="AM586" s="264">
        <f>IF(Table_NFI[[#This Row],[Winter Clothes Adult]]+Table_NFI[[#This Row],[Winter Clothes Children]]+Table_NFI[[#This Row],[Winter Items Other]]+Table_NFI[[#This Row],[Winter Blanket]]&gt;0,1,0)</f>
        <v>0</v>
      </c>
      <c r="AN586" s="296">
        <f>IF(NFI_Expiration=1,IF($A586&lt;VLOOKUP(V$5,NFI,5,0),1,0)*Table_NFI[[#This Row],[Jerry Can]],Table_NFI[Jerry Can])</f>
        <v>0</v>
      </c>
      <c r="AO586" s="296">
        <f>IF(NFI_Expiration=1,IF($A586&lt;VLOOKUP(V$5,NFI,5,0),1,0)*Table_NFI[[#This Row],[Shelter Tool kit]],Table_NFI[Shelter Tool kit])</f>
        <v>0</v>
      </c>
      <c r="AP586" s="296">
        <f>IF(NFI_Expiration=1,IF($A586&lt;VLOOKUP(V$5,NFI,5,0),1,0)*Table_NFI[[#This Row],[Tent]],Table_NFI[Tent])</f>
        <v>0</v>
      </c>
      <c r="AQ586" s="396" t="str">
        <f>IFERROR(VLOOKUP(Table_NFI[[#This Row],[Camp Name]],CL,2,0),"")</f>
        <v>MMR001CMP195</v>
      </c>
      <c r="AR586" s="702">
        <f ca="1">IF(Table_NFI[[#This Row],[Pcode]]="","",IF(OFFSET(CampList[Opening Date],MATCH(Table_NFI[[#This Row],[Pcode]],CampList[CP_Pcode],0)-1,0,1,1)&gt;=NFI_Monitor_Date,1,0))</f>
        <v>0</v>
      </c>
      <c r="AS586" s="396" t="str">
        <f>IFERROR(VLOOKUP(Table_NFI[[#This Row],[Camp Name]],CL,3,0),"")</f>
        <v>Open</v>
      </c>
      <c r="AT586" s="264" t="str">
        <f ca="1">IF(Table_NFI[[#This Row],[Pcode]]="","",OFFSET(CampList[Priority],MATCH(Table_NFI[[#This Row],[Pcode]],CampList[CP_Pcode],0)-1,0,1,1))</f>
        <v>P1</v>
      </c>
      <c r="AU586" s="263">
        <f>IFERROR(Table_NFI[[#This Row],[Kitchen Set]]/VLOOKUP(Table_NFI[[#This Row],[Camp Name]],CL,4,0),"")</f>
        <v>0</v>
      </c>
      <c r="AV586" s="390" t="s">
        <v>1087</v>
      </c>
      <c r="AW586" s="392"/>
      <c r="AX586" s="399"/>
      <c r="AY586" s="399"/>
      <c r="AZ586" s="399"/>
      <c r="BA586" s="399"/>
      <c r="BB586" s="399"/>
      <c r="BC586" s="399"/>
      <c r="BD586" s="399"/>
      <c r="BE586" s="399"/>
      <c r="BF586" s="399"/>
      <c r="BG586" s="399"/>
      <c r="BH586" s="399"/>
      <c r="BI586" s="399"/>
      <c r="BJ586" s="399"/>
      <c r="BK586" s="399"/>
      <c r="BL586" s="399"/>
      <c r="BM586" s="399"/>
      <c r="BN586" s="399"/>
      <c r="BO586" s="399"/>
      <c r="BP586" s="399"/>
      <c r="BQ586" s="399"/>
      <c r="BR586" s="399"/>
      <c r="BS586" s="399"/>
      <c r="BT586" s="399"/>
      <c r="BU586" s="399"/>
      <c r="BV586" s="399"/>
      <c r="BW586" s="399"/>
      <c r="BX586" s="399"/>
      <c r="BY586" s="399"/>
      <c r="BZ586" s="399"/>
      <c r="CA586" s="399"/>
      <c r="CB586" s="399"/>
      <c r="CC586" s="399"/>
      <c r="CD586" s="399"/>
      <c r="CE586" s="399"/>
      <c r="CF586" s="399"/>
      <c r="CG586" s="399"/>
      <c r="CH586" s="399"/>
      <c r="CI586" s="399"/>
      <c r="CJ586" s="399"/>
      <c r="CK586" s="399"/>
      <c r="CL586" s="399"/>
      <c r="CM586" s="399"/>
      <c r="CN586" s="399"/>
      <c r="CO586" s="399"/>
      <c r="CP586" s="399"/>
      <c r="CQ586" s="399"/>
      <c r="CR586" s="399"/>
      <c r="CS586" s="399"/>
      <c r="CT586" s="399"/>
      <c r="CU586" s="399"/>
      <c r="CV586" s="399"/>
      <c r="CW586" s="399"/>
      <c r="CX586" s="399"/>
      <c r="CY586" s="399"/>
      <c r="CZ586" s="399"/>
      <c r="DA586" s="399"/>
      <c r="DB586" s="399"/>
      <c r="DC586" s="399"/>
      <c r="DD586" s="399"/>
      <c r="DE586" s="399"/>
      <c r="DF586" s="399"/>
      <c r="DG586" s="399"/>
      <c r="DH586" s="399"/>
      <c r="DI586" s="399"/>
      <c r="DJ586" s="399"/>
      <c r="DK586" s="399"/>
      <c r="DL586" s="399"/>
      <c r="DM586" s="399"/>
      <c r="DN586" s="399"/>
      <c r="DO586" s="399"/>
      <c r="DP586" s="399"/>
      <c r="DQ586" s="399"/>
    </row>
    <row r="587" spans="1:121" s="760" customFormat="1" ht="14.45" customHeight="1" x14ac:dyDescent="0.25">
      <c r="A587" s="266">
        <f t="shared" si="9"/>
        <v>41.6</v>
      </c>
      <c r="B587" s="389">
        <v>41608</v>
      </c>
      <c r="C587" s="390" t="s">
        <v>1092</v>
      </c>
      <c r="D587" s="391" t="s">
        <v>943</v>
      </c>
      <c r="E587" s="390" t="s">
        <v>380</v>
      </c>
      <c r="F587" s="262" t="s">
        <v>5</v>
      </c>
      <c r="G587" s="262" t="s">
        <v>18</v>
      </c>
      <c r="H587" s="261"/>
      <c r="I587" s="261"/>
      <c r="J587" s="261"/>
      <c r="K587" s="261"/>
      <c r="L587" s="261"/>
      <c r="M587" s="261">
        <v>206</v>
      </c>
      <c r="N587" s="261"/>
      <c r="O587" s="261"/>
      <c r="P587" s="261"/>
      <c r="Q587" s="261"/>
      <c r="R587" s="261">
        <v>242</v>
      </c>
      <c r="S587" s="261">
        <v>156</v>
      </c>
      <c r="T587" s="261">
        <v>0</v>
      </c>
      <c r="U587" s="261"/>
      <c r="V587" s="762"/>
      <c r="W587" s="261"/>
      <c r="X587" s="261"/>
      <c r="Y587" s="264">
        <f>IF(NFI_Expiration=1,IF($A587&lt;VLOOKUP(H$5,NFI,5,0),1,0)*Table_NFI[[#This Row],[Hygiene Kit]],Table_NFI[Hygiene Kit])</f>
        <v>0</v>
      </c>
      <c r="Z587" s="264">
        <f>IF(NFI_Expiration=1,IF($A587&lt;VLOOKUP(I$5,NFI,5,0),1,0)*Table_NFI[[#This Row],[NFI Core Kit]],Table_NFI[NFI Core Kit])</f>
        <v>0</v>
      </c>
      <c r="AA587" s="264">
        <f>IF(NFI_Expiration=1,IF($A587&lt;VLOOKUP(J$5,NFI,5,0),1,0)*Table_NFI[[#This Row],[Sanitary Kit]],Table_NFI[Sanitary Kit])</f>
        <v>0</v>
      </c>
      <c r="AB587" s="264">
        <f>IF(NFI_Expiration=1,IF($A587&lt;VLOOKUP(K$5,NFI,5,0),1,0)*Table_NFI[[#This Row],[Mosquito net]],Table_NFI[Mosquito net])</f>
        <v>0</v>
      </c>
      <c r="AC587" s="264">
        <f>IF(NFI_Expiration=1,IF($A587&lt;VLOOKUP(L$5,NFI,5,0),1,0)*Table_NFI[[#This Row],[Tarpaulin]],Table_NFI[[#This Row],[Tarpaulin]])</f>
        <v>0</v>
      </c>
      <c r="AD587" s="264">
        <f>IF(NFI_Expiration=1,IF($A587&lt;VLOOKUP(M$5,NFI,5,0),1,0)*Table_NFI[[#This Row],[Blanket]],Table_NFI[[#This Row],[Blanket]])</f>
        <v>0</v>
      </c>
      <c r="AE587" s="264">
        <f>IF(NFI_Expiration=1,IF($A587&lt;VLOOKUP(N$5,NFI,5,0),1,0)*Table_NFI[[#This Row],[Kitchen Set]],Table_NFI[Kitchen Set])</f>
        <v>0</v>
      </c>
      <c r="AF587" s="264">
        <f>IF(NFI_Expiration=1,IF($A587&lt;VLOOKUP(O$5,NFI,5,0),1,0)*Table_NFI[[#This Row],[Clothes Kit]],Table_NFI[Clothes Kit])</f>
        <v>0</v>
      </c>
      <c r="AG587" s="264">
        <f>IF(NFI_Expiration=1,IF($A587&lt;VLOOKUP(P$5,NFI,5,0),1,0)*Table_NFI[[#This Row],[Plastic Bucket]],Table_NFI[Plastic Bucket])</f>
        <v>0</v>
      </c>
      <c r="AH587" s="264">
        <f>IF(NFI_Expiration=1,IF($A587&lt;VLOOKUP(Q$5,NFI,5,0),1,0)*Table_NFI[[#This Row],[Plastic Mat]],Table_NFI[Plastic Mat])*IF(Table_NFI[[#This Row],[Distribution Date]]&gt;"2014-04-01",1,2.5)</f>
        <v>0</v>
      </c>
      <c r="AI587" s="264">
        <f>IF(NFI_Expiration=1,IF($A587&lt;VLOOKUP(R$5,NFI,5,0),1,0)*Table_NFI[[#This Row],[Winter Clothes Adult]],Table_NFI[Winter Clothes Adult])</f>
        <v>0</v>
      </c>
      <c r="AJ587" s="264">
        <f>IF(NFI_Expiration=1,IF($A587&lt;VLOOKUP(S$5,NFI,5,0),1,0)*Table_NFI[[#This Row],[Winter Clothes Children]],Table_NFI[Winter Clothes Children])</f>
        <v>0</v>
      </c>
      <c r="AK587" s="264">
        <f>IF(NFI_Expiration=1,IF($A587&lt;VLOOKUP(T$5,NFI,5,0),1,0)*Table_NFI[[#This Row],[Winter Items Other]],Table_NFI[Winter Items Other])</f>
        <v>0</v>
      </c>
      <c r="AL587" s="264">
        <f>IF(NFI_Expiration=1,IF($A587&lt;VLOOKUP(M$5,NFI,5,0),1,0)*Table_NFI[[#This Row],[Winter Blanket]],Table_NFI[[#This Row],[Winter Blanket]])</f>
        <v>0</v>
      </c>
      <c r="AM587" s="264">
        <f>IF(Table_NFI[[#This Row],[Winter Clothes Adult]]+Table_NFI[[#This Row],[Winter Clothes Children]]+Table_NFI[[#This Row],[Winter Items Other]]+Table_NFI[[#This Row],[Winter Blanket]]&gt;0,1,0)</f>
        <v>1</v>
      </c>
      <c r="AN587" s="296">
        <f>IF(NFI_Expiration=1,IF($A587&lt;VLOOKUP(V$5,NFI,5,0),1,0)*Table_NFI[[#This Row],[Jerry Can]],Table_NFI[Jerry Can])</f>
        <v>0</v>
      </c>
      <c r="AO587" s="296">
        <f>IF(NFI_Expiration=1,IF($A587&lt;VLOOKUP(V$5,NFI,5,0),1,0)*Table_NFI[[#This Row],[Shelter Tool kit]],Table_NFI[Shelter Tool kit])</f>
        <v>0</v>
      </c>
      <c r="AP587" s="296">
        <f>IF(NFI_Expiration=1,IF($A587&lt;VLOOKUP(V$5,NFI,5,0),1,0)*Table_NFI[[#This Row],[Tent]],Table_NFI[Tent])</f>
        <v>0</v>
      </c>
      <c r="AQ587" s="396" t="str">
        <f>IFERROR(VLOOKUP(Table_NFI[[#This Row],[Camp Name]],CL,2,0),"")</f>
        <v>MMR001CMP049</v>
      </c>
      <c r="AR587" s="702">
        <f ca="1">IF(Table_NFI[[#This Row],[Pcode]]="","",IF(OFFSET(CampList[Opening Date],MATCH(Table_NFI[[#This Row],[Pcode]],CampList[CP_Pcode],0)-1,0,1,1)&gt;=NFI_Monitor_Date,1,0))</f>
        <v>0</v>
      </c>
      <c r="AS587" s="396" t="str">
        <f>IFERROR(VLOOKUP(Table_NFI[[#This Row],[Camp Name]],CL,3,0),"")</f>
        <v>Open</v>
      </c>
      <c r="AT587" s="264" t="str">
        <f ca="1">IF(Table_NFI[[#This Row],[Pcode]]="","",OFFSET(CampList[Priority],MATCH(Table_NFI[[#This Row],[Pcode]],CampList[CP_Pcode],0)-1,0,1,1))</f>
        <v>P4</v>
      </c>
      <c r="AU587" s="263">
        <f>IFERROR(Table_NFI[[#This Row],[Kitchen Set]]/VLOOKUP(Table_NFI[[#This Row],[Camp Name]],CL,4,0),"")</f>
        <v>0</v>
      </c>
      <c r="AV587" s="390" t="s">
        <v>1087</v>
      </c>
      <c r="AW587" s="392"/>
      <c r="AX587" s="399"/>
      <c r="AY587" s="399"/>
      <c r="AZ587" s="399"/>
      <c r="BA587" s="399"/>
      <c r="BB587" s="399"/>
      <c r="BC587" s="399"/>
      <c r="BD587" s="399"/>
      <c r="BE587" s="399"/>
      <c r="BF587" s="399"/>
      <c r="BG587" s="399"/>
      <c r="BH587" s="399"/>
      <c r="BI587" s="399"/>
      <c r="BJ587" s="399"/>
      <c r="BK587" s="399"/>
      <c r="BL587" s="399"/>
      <c r="BM587" s="399"/>
      <c r="BN587" s="399"/>
      <c r="BO587" s="399"/>
      <c r="BP587" s="399"/>
      <c r="BQ587" s="399"/>
      <c r="BR587" s="399"/>
      <c r="BS587" s="399"/>
      <c r="BT587" s="399"/>
      <c r="BU587" s="399"/>
      <c r="BV587" s="399"/>
      <c r="BW587" s="399"/>
      <c r="BX587" s="399"/>
      <c r="BY587" s="399"/>
      <c r="BZ587" s="399"/>
      <c r="CA587" s="399"/>
      <c r="CB587" s="399"/>
      <c r="CC587" s="399"/>
      <c r="CD587" s="399"/>
      <c r="CE587" s="399"/>
      <c r="CF587" s="399"/>
      <c r="CG587" s="399"/>
      <c r="CH587" s="399"/>
      <c r="CI587" s="399"/>
      <c r="CJ587" s="399"/>
      <c r="CK587" s="399"/>
      <c r="CL587" s="399"/>
      <c r="CM587" s="399"/>
      <c r="CN587" s="399"/>
      <c r="CO587" s="399"/>
      <c r="CP587" s="399"/>
      <c r="CQ587" s="399"/>
      <c r="CR587" s="399"/>
      <c r="CS587" s="399"/>
      <c r="CT587" s="399"/>
      <c r="CU587" s="399"/>
      <c r="CV587" s="399"/>
      <c r="CW587" s="399"/>
      <c r="CX587" s="399"/>
      <c r="CY587" s="399"/>
      <c r="CZ587" s="399"/>
      <c r="DA587" s="399"/>
      <c r="DB587" s="399"/>
      <c r="DC587" s="399"/>
      <c r="DD587" s="399"/>
      <c r="DE587" s="399"/>
      <c r="DF587" s="399"/>
      <c r="DG587" s="399"/>
      <c r="DH587" s="399"/>
      <c r="DI587" s="399"/>
      <c r="DJ587" s="399"/>
      <c r="DK587" s="399"/>
      <c r="DL587" s="399"/>
      <c r="DM587" s="399"/>
      <c r="DN587" s="399"/>
      <c r="DO587" s="399"/>
      <c r="DP587" s="399"/>
      <c r="DQ587" s="399"/>
    </row>
    <row r="588" spans="1:121" s="760" customFormat="1" ht="14.45" customHeight="1" x14ac:dyDescent="0.25">
      <c r="A588" s="266">
        <f t="shared" si="9"/>
        <v>41.6</v>
      </c>
      <c r="B588" s="389">
        <v>41608</v>
      </c>
      <c r="C588" s="390" t="s">
        <v>904</v>
      </c>
      <c r="D588" s="390"/>
      <c r="E588" s="390" t="s">
        <v>380</v>
      </c>
      <c r="F588" s="262" t="s">
        <v>5</v>
      </c>
      <c r="G588" s="262" t="s">
        <v>18</v>
      </c>
      <c r="H588" s="261"/>
      <c r="I588" s="261"/>
      <c r="J588" s="261"/>
      <c r="K588" s="261"/>
      <c r="L588" s="261"/>
      <c r="M588" s="261"/>
      <c r="N588" s="261"/>
      <c r="O588" s="261"/>
      <c r="P588" s="261"/>
      <c r="Q588" s="261">
        <v>120</v>
      </c>
      <c r="R588" s="261"/>
      <c r="S588" s="261"/>
      <c r="T588" s="261"/>
      <c r="U588" s="261"/>
      <c r="V588" s="762"/>
      <c r="W588" s="261"/>
      <c r="X588" s="261"/>
      <c r="Y588" s="264">
        <f>IF(NFI_Expiration=1,IF($A588&lt;VLOOKUP(H$5,NFI,5,0),1,0)*Table_NFI[[#This Row],[Hygiene Kit]],Table_NFI[Hygiene Kit])</f>
        <v>0</v>
      </c>
      <c r="Z588" s="264">
        <f>IF(NFI_Expiration=1,IF($A588&lt;VLOOKUP(I$5,NFI,5,0),1,0)*Table_NFI[[#This Row],[NFI Core Kit]],Table_NFI[NFI Core Kit])</f>
        <v>0</v>
      </c>
      <c r="AA588" s="264">
        <f>IF(NFI_Expiration=1,IF($A588&lt;VLOOKUP(J$5,NFI,5,0),1,0)*Table_NFI[[#This Row],[Sanitary Kit]],Table_NFI[Sanitary Kit])</f>
        <v>0</v>
      </c>
      <c r="AB588" s="264">
        <f>IF(NFI_Expiration=1,IF($A588&lt;VLOOKUP(K$5,NFI,5,0),1,0)*Table_NFI[[#This Row],[Mosquito net]],Table_NFI[Mosquito net])</f>
        <v>0</v>
      </c>
      <c r="AC588" s="264">
        <f>IF(NFI_Expiration=1,IF($A588&lt;VLOOKUP(L$5,NFI,5,0),1,0)*Table_NFI[[#This Row],[Tarpaulin]],Table_NFI[[#This Row],[Tarpaulin]])</f>
        <v>0</v>
      </c>
      <c r="AD588" s="264">
        <f>IF(NFI_Expiration=1,IF($A588&lt;VLOOKUP(M$5,NFI,5,0),1,0)*Table_NFI[[#This Row],[Blanket]],Table_NFI[[#This Row],[Blanket]])</f>
        <v>0</v>
      </c>
      <c r="AE588" s="264">
        <f>IF(NFI_Expiration=1,IF($A588&lt;VLOOKUP(N$5,NFI,5,0),1,0)*Table_NFI[[#This Row],[Kitchen Set]],Table_NFI[Kitchen Set])</f>
        <v>0</v>
      </c>
      <c r="AF588" s="264">
        <f>IF(NFI_Expiration=1,IF($A588&lt;VLOOKUP(O$5,NFI,5,0),1,0)*Table_NFI[[#This Row],[Clothes Kit]],Table_NFI[Clothes Kit])</f>
        <v>0</v>
      </c>
      <c r="AG588" s="264">
        <f>IF(NFI_Expiration=1,IF($A588&lt;VLOOKUP(P$5,NFI,5,0),1,0)*Table_NFI[[#This Row],[Plastic Bucket]],Table_NFI[Plastic Bucket])</f>
        <v>0</v>
      </c>
      <c r="AH588" s="264">
        <f>IF(NFI_Expiration=1,IF($A588&lt;VLOOKUP(Q$5,NFI,5,0),1,0)*Table_NFI[[#This Row],[Plastic Mat]],Table_NFI[Plastic Mat])*IF(Table_NFI[[#This Row],[Distribution Date]]&gt;"2014-04-01",1,2.5)</f>
        <v>0</v>
      </c>
      <c r="AI588" s="264">
        <f>IF(NFI_Expiration=1,IF($A588&lt;VLOOKUP(R$5,NFI,5,0),1,0)*Table_NFI[[#This Row],[Winter Clothes Adult]],Table_NFI[Winter Clothes Adult])</f>
        <v>0</v>
      </c>
      <c r="AJ588" s="264">
        <f>IF(NFI_Expiration=1,IF($A588&lt;VLOOKUP(S$5,NFI,5,0),1,0)*Table_NFI[[#This Row],[Winter Clothes Children]],Table_NFI[Winter Clothes Children])</f>
        <v>0</v>
      </c>
      <c r="AK588" s="264">
        <f>IF(NFI_Expiration=1,IF($A588&lt;VLOOKUP(T$5,NFI,5,0),1,0)*Table_NFI[[#This Row],[Winter Items Other]],Table_NFI[Winter Items Other])</f>
        <v>0</v>
      </c>
      <c r="AL588" s="264">
        <f>IF(NFI_Expiration=1,IF($A588&lt;VLOOKUP(M$5,NFI,5,0),1,0)*Table_NFI[[#This Row],[Winter Blanket]],Table_NFI[[#This Row],[Winter Blanket]])</f>
        <v>0</v>
      </c>
      <c r="AM588" s="264">
        <f>IF(Table_NFI[[#This Row],[Winter Clothes Adult]]+Table_NFI[[#This Row],[Winter Clothes Children]]+Table_NFI[[#This Row],[Winter Items Other]]+Table_NFI[[#This Row],[Winter Blanket]]&gt;0,1,0)</f>
        <v>0</v>
      </c>
      <c r="AN588" s="296">
        <f>IF(NFI_Expiration=1,IF($A588&lt;VLOOKUP(V$5,NFI,5,0),1,0)*Table_NFI[[#This Row],[Jerry Can]],Table_NFI[Jerry Can])</f>
        <v>0</v>
      </c>
      <c r="AO588" s="296">
        <f>IF(NFI_Expiration=1,IF($A588&lt;VLOOKUP(V$5,NFI,5,0),1,0)*Table_NFI[[#This Row],[Shelter Tool kit]],Table_NFI[Shelter Tool kit])</f>
        <v>0</v>
      </c>
      <c r="AP588" s="296">
        <f>IF(NFI_Expiration=1,IF($A588&lt;VLOOKUP(V$5,NFI,5,0),1,0)*Table_NFI[[#This Row],[Tent]],Table_NFI[Tent])</f>
        <v>0</v>
      </c>
      <c r="AQ588" s="396" t="str">
        <f>IFERROR(VLOOKUP(Table_NFI[[#This Row],[Camp Name]],CL,2,0),"")</f>
        <v>MMR001CMP049</v>
      </c>
      <c r="AR588" s="702">
        <f ca="1">IF(Table_NFI[[#This Row],[Pcode]]="","",IF(OFFSET(CampList[Opening Date],MATCH(Table_NFI[[#This Row],[Pcode]],CampList[CP_Pcode],0)-1,0,1,1)&gt;=NFI_Monitor_Date,1,0))</f>
        <v>0</v>
      </c>
      <c r="AS588" s="396" t="str">
        <f>IFERROR(VLOOKUP(Table_NFI[[#This Row],[Camp Name]],CL,3,0),"")</f>
        <v>Open</v>
      </c>
      <c r="AT588" s="264" t="str">
        <f ca="1">IF(Table_NFI[[#This Row],[Pcode]]="","",OFFSET(CampList[Priority],MATCH(Table_NFI[[#This Row],[Pcode]],CampList[CP_Pcode],0)-1,0,1,1))</f>
        <v>P4</v>
      </c>
      <c r="AU588" s="263">
        <f>IFERROR(Table_NFI[[#This Row],[Kitchen Set]]/VLOOKUP(Table_NFI[[#This Row],[Camp Name]],CL,4,0),"")</f>
        <v>0</v>
      </c>
      <c r="AV588" s="390" t="s">
        <v>1087</v>
      </c>
      <c r="AW588" s="392"/>
      <c r="AX588" s="399"/>
      <c r="AY588" s="399"/>
      <c r="AZ588" s="399"/>
      <c r="BA588" s="399"/>
      <c r="BB588" s="399"/>
      <c r="BC588" s="399"/>
      <c r="BD588" s="399"/>
      <c r="BE588" s="399"/>
      <c r="BF588" s="399"/>
      <c r="BG588" s="399"/>
      <c r="BH588" s="399"/>
      <c r="BI588" s="399"/>
      <c r="BJ588" s="399"/>
      <c r="BK588" s="399"/>
      <c r="BL588" s="399"/>
      <c r="BM588" s="399"/>
      <c r="BN588" s="399"/>
      <c r="BO588" s="399"/>
      <c r="BP588" s="399"/>
      <c r="BQ588" s="399"/>
      <c r="BR588" s="399"/>
      <c r="BS588" s="399"/>
      <c r="BT588" s="399"/>
      <c r="BU588" s="399"/>
      <c r="BV588" s="399"/>
      <c r="BW588" s="399"/>
      <c r="BX588" s="399"/>
      <c r="BY588" s="399"/>
      <c r="BZ588" s="399"/>
      <c r="CA588" s="399"/>
      <c r="CB588" s="399"/>
      <c r="CC588" s="399"/>
      <c r="CD588" s="399"/>
      <c r="CE588" s="399"/>
      <c r="CF588" s="399"/>
      <c r="CG588" s="399"/>
      <c r="CH588" s="399"/>
      <c r="CI588" s="399"/>
      <c r="CJ588" s="399"/>
      <c r="CK588" s="399"/>
      <c r="CL588" s="399"/>
      <c r="CM588" s="399"/>
      <c r="CN588" s="399"/>
      <c r="CO588" s="399"/>
      <c r="CP588" s="399"/>
      <c r="CQ588" s="399"/>
      <c r="CR588" s="399"/>
      <c r="CS588" s="399"/>
      <c r="CT588" s="399"/>
      <c r="CU588" s="399"/>
      <c r="CV588" s="399"/>
      <c r="CW588" s="399"/>
      <c r="CX588" s="399"/>
      <c r="CY588" s="399"/>
      <c r="CZ588" s="399"/>
      <c r="DA588" s="399"/>
      <c r="DB588" s="399"/>
      <c r="DC588" s="399"/>
      <c r="DD588" s="399"/>
      <c r="DE588" s="399"/>
      <c r="DF588" s="399"/>
      <c r="DG588" s="399"/>
      <c r="DH588" s="399"/>
      <c r="DI588" s="399"/>
      <c r="DJ588" s="399"/>
      <c r="DK588" s="399"/>
      <c r="DL588" s="399"/>
      <c r="DM588" s="399"/>
      <c r="DN588" s="399"/>
      <c r="DO588" s="399"/>
      <c r="DP588" s="399"/>
      <c r="DQ588" s="399"/>
    </row>
    <row r="589" spans="1:121" s="760" customFormat="1" ht="14.45" customHeight="1" x14ac:dyDescent="0.25">
      <c r="A589" s="266">
        <f t="shared" si="9"/>
        <v>41.6</v>
      </c>
      <c r="B589" s="389">
        <v>41608</v>
      </c>
      <c r="C589" s="390" t="s">
        <v>904</v>
      </c>
      <c r="D589" s="390"/>
      <c r="E589" s="390" t="s">
        <v>380</v>
      </c>
      <c r="F589" s="262" t="s">
        <v>185</v>
      </c>
      <c r="G589" s="262" t="s">
        <v>186</v>
      </c>
      <c r="H589" s="261"/>
      <c r="I589" s="261"/>
      <c r="J589" s="261"/>
      <c r="K589" s="261"/>
      <c r="L589" s="261"/>
      <c r="M589" s="261"/>
      <c r="N589" s="261"/>
      <c r="O589" s="261"/>
      <c r="P589" s="261"/>
      <c r="Q589" s="261">
        <v>105</v>
      </c>
      <c r="R589" s="261"/>
      <c r="S589" s="261"/>
      <c r="T589" s="261"/>
      <c r="U589" s="261"/>
      <c r="V589" s="762"/>
      <c r="W589" s="261"/>
      <c r="X589" s="261"/>
      <c r="Y589" s="264">
        <f>IF(NFI_Expiration=1,IF($A589&lt;VLOOKUP(H$5,NFI,5,0),1,0)*Table_NFI[[#This Row],[Hygiene Kit]],Table_NFI[Hygiene Kit])</f>
        <v>0</v>
      </c>
      <c r="Z589" s="264">
        <f>IF(NFI_Expiration=1,IF($A589&lt;VLOOKUP(I$5,NFI,5,0),1,0)*Table_NFI[[#This Row],[NFI Core Kit]],Table_NFI[NFI Core Kit])</f>
        <v>0</v>
      </c>
      <c r="AA589" s="264">
        <f>IF(NFI_Expiration=1,IF($A589&lt;VLOOKUP(J$5,NFI,5,0),1,0)*Table_NFI[[#This Row],[Sanitary Kit]],Table_NFI[Sanitary Kit])</f>
        <v>0</v>
      </c>
      <c r="AB589" s="264">
        <f>IF(NFI_Expiration=1,IF($A589&lt;VLOOKUP(K$5,NFI,5,0),1,0)*Table_NFI[[#This Row],[Mosquito net]],Table_NFI[Mosquito net])</f>
        <v>0</v>
      </c>
      <c r="AC589" s="264">
        <f>IF(NFI_Expiration=1,IF($A589&lt;VLOOKUP(L$5,NFI,5,0),1,0)*Table_NFI[[#This Row],[Tarpaulin]],Table_NFI[[#This Row],[Tarpaulin]])</f>
        <v>0</v>
      </c>
      <c r="AD589" s="264">
        <f>IF(NFI_Expiration=1,IF($A589&lt;VLOOKUP(M$5,NFI,5,0),1,0)*Table_NFI[[#This Row],[Blanket]],Table_NFI[[#This Row],[Blanket]])</f>
        <v>0</v>
      </c>
      <c r="AE589" s="264">
        <f>IF(NFI_Expiration=1,IF($A589&lt;VLOOKUP(N$5,NFI,5,0),1,0)*Table_NFI[[#This Row],[Kitchen Set]],Table_NFI[Kitchen Set])</f>
        <v>0</v>
      </c>
      <c r="AF589" s="264">
        <f>IF(NFI_Expiration=1,IF($A589&lt;VLOOKUP(O$5,NFI,5,0),1,0)*Table_NFI[[#This Row],[Clothes Kit]],Table_NFI[Clothes Kit])</f>
        <v>0</v>
      </c>
      <c r="AG589" s="264">
        <f>IF(NFI_Expiration=1,IF($A589&lt;VLOOKUP(P$5,NFI,5,0),1,0)*Table_NFI[[#This Row],[Plastic Bucket]],Table_NFI[Plastic Bucket])</f>
        <v>0</v>
      </c>
      <c r="AH589" s="264">
        <f>IF(NFI_Expiration=1,IF($A589&lt;VLOOKUP(Q$5,NFI,5,0),1,0)*Table_NFI[[#This Row],[Plastic Mat]],Table_NFI[Plastic Mat])*IF(Table_NFI[[#This Row],[Distribution Date]]&gt;"2014-04-01",1,2.5)</f>
        <v>0</v>
      </c>
      <c r="AI589" s="264">
        <f>IF(NFI_Expiration=1,IF($A589&lt;VLOOKUP(R$5,NFI,5,0),1,0)*Table_NFI[[#This Row],[Winter Clothes Adult]],Table_NFI[Winter Clothes Adult])</f>
        <v>0</v>
      </c>
      <c r="AJ589" s="264">
        <f>IF(NFI_Expiration=1,IF($A589&lt;VLOOKUP(S$5,NFI,5,0),1,0)*Table_NFI[[#This Row],[Winter Clothes Children]],Table_NFI[Winter Clothes Children])</f>
        <v>0</v>
      </c>
      <c r="AK589" s="264">
        <f>IF(NFI_Expiration=1,IF($A589&lt;VLOOKUP(T$5,NFI,5,0),1,0)*Table_NFI[[#This Row],[Winter Items Other]],Table_NFI[Winter Items Other])</f>
        <v>0</v>
      </c>
      <c r="AL589" s="264">
        <f>IF(NFI_Expiration=1,IF($A589&lt;VLOOKUP(M$5,NFI,5,0),1,0)*Table_NFI[[#This Row],[Winter Blanket]],Table_NFI[[#This Row],[Winter Blanket]])</f>
        <v>0</v>
      </c>
      <c r="AM589" s="264">
        <f>IF(Table_NFI[[#This Row],[Winter Clothes Adult]]+Table_NFI[[#This Row],[Winter Clothes Children]]+Table_NFI[[#This Row],[Winter Items Other]]+Table_NFI[[#This Row],[Winter Blanket]]&gt;0,1,0)</f>
        <v>0</v>
      </c>
      <c r="AN589" s="296">
        <f>IF(NFI_Expiration=1,IF($A589&lt;VLOOKUP(V$5,NFI,5,0),1,0)*Table_NFI[[#This Row],[Jerry Can]],Table_NFI[Jerry Can])</f>
        <v>0</v>
      </c>
      <c r="AO589" s="296">
        <f>IF(NFI_Expiration=1,IF($A589&lt;VLOOKUP(V$5,NFI,5,0),1,0)*Table_NFI[[#This Row],[Shelter Tool kit]],Table_NFI[Shelter Tool kit])</f>
        <v>0</v>
      </c>
      <c r="AP589" s="296">
        <f>IF(NFI_Expiration=1,IF($A589&lt;VLOOKUP(V$5,NFI,5,0),1,0)*Table_NFI[[#This Row],[Tent]],Table_NFI[Tent])</f>
        <v>0</v>
      </c>
      <c r="AQ589" s="396" t="str">
        <f>IFERROR(VLOOKUP(Table_NFI[[#This Row],[Camp Name]],CL,2,0),"")</f>
        <v>MMR001CMP071</v>
      </c>
      <c r="AR589" s="702">
        <f ca="1">IF(Table_NFI[[#This Row],[Pcode]]="","",IF(OFFSET(CampList[Opening Date],MATCH(Table_NFI[[#This Row],[Pcode]],CampList[CP_Pcode],0)-1,0,1,1)&gt;=NFI_Monitor_Date,1,0))</f>
        <v>0</v>
      </c>
      <c r="AS589" s="396" t="str">
        <f>IFERROR(VLOOKUP(Table_NFI[[#This Row],[Camp Name]],CL,3,0),"")</f>
        <v>Open</v>
      </c>
      <c r="AT589" s="264" t="str">
        <f ca="1">IF(Table_NFI[[#This Row],[Pcode]]="","",OFFSET(CampList[Priority],MATCH(Table_NFI[[#This Row],[Pcode]],CampList[CP_Pcode],0)-1,0,1,1))</f>
        <v>P3</v>
      </c>
      <c r="AU589" s="263">
        <f>IFERROR(Table_NFI[[#This Row],[Kitchen Set]]/VLOOKUP(Table_NFI[[#This Row],[Camp Name]],CL,4,0),"")</f>
        <v>0</v>
      </c>
      <c r="AV589" s="390" t="s">
        <v>1087</v>
      </c>
      <c r="AW589" s="392"/>
      <c r="AX589" s="399"/>
      <c r="AY589" s="399"/>
      <c r="AZ589" s="399"/>
      <c r="BA589" s="399"/>
      <c r="BB589" s="399"/>
      <c r="BC589" s="399"/>
      <c r="BD589" s="399"/>
      <c r="BE589" s="399"/>
      <c r="BF589" s="399"/>
      <c r="BG589" s="399"/>
      <c r="BH589" s="399"/>
      <c r="BI589" s="399"/>
      <c r="BJ589" s="399"/>
      <c r="BK589" s="399"/>
      <c r="BL589" s="399"/>
      <c r="BM589" s="399"/>
      <c r="BN589" s="399"/>
      <c r="BO589" s="399"/>
      <c r="BP589" s="399"/>
      <c r="BQ589" s="399"/>
      <c r="BR589" s="399"/>
      <c r="BS589" s="399"/>
      <c r="BT589" s="399"/>
      <c r="BU589" s="399"/>
      <c r="BV589" s="399"/>
      <c r="BW589" s="399"/>
      <c r="BX589" s="399"/>
      <c r="BY589" s="399"/>
      <c r="BZ589" s="399"/>
      <c r="CA589" s="399"/>
      <c r="CB589" s="399"/>
      <c r="CC589" s="399"/>
      <c r="CD589" s="399"/>
      <c r="CE589" s="399"/>
      <c r="CF589" s="399"/>
      <c r="CG589" s="399"/>
      <c r="CH589" s="399"/>
      <c r="CI589" s="399"/>
      <c r="CJ589" s="399"/>
      <c r="CK589" s="399"/>
      <c r="CL589" s="399"/>
      <c r="CM589" s="399"/>
      <c r="CN589" s="399"/>
      <c r="CO589" s="399"/>
      <c r="CP589" s="399"/>
      <c r="CQ589" s="399"/>
      <c r="CR589" s="399"/>
      <c r="CS589" s="399"/>
      <c r="CT589" s="399"/>
      <c r="CU589" s="399"/>
      <c r="CV589" s="399"/>
      <c r="CW589" s="399"/>
      <c r="CX589" s="399"/>
      <c r="CY589" s="399"/>
      <c r="CZ589" s="399"/>
      <c r="DA589" s="399"/>
      <c r="DB589" s="399"/>
      <c r="DC589" s="399"/>
      <c r="DD589" s="399"/>
      <c r="DE589" s="399"/>
      <c r="DF589" s="399"/>
      <c r="DG589" s="399"/>
      <c r="DH589" s="399"/>
      <c r="DI589" s="399"/>
      <c r="DJ589" s="399"/>
      <c r="DK589" s="399"/>
      <c r="DL589" s="399"/>
      <c r="DM589" s="399"/>
      <c r="DN589" s="399"/>
      <c r="DO589" s="399"/>
      <c r="DP589" s="399"/>
      <c r="DQ589" s="399"/>
    </row>
    <row r="590" spans="1:121" s="760" customFormat="1" ht="14.45" customHeight="1" x14ac:dyDescent="0.25">
      <c r="A590" s="266">
        <f t="shared" si="9"/>
        <v>41.6</v>
      </c>
      <c r="B590" s="389">
        <v>41608</v>
      </c>
      <c r="C590" s="390" t="s">
        <v>904</v>
      </c>
      <c r="D590" s="390" t="s">
        <v>1001</v>
      </c>
      <c r="E590" s="390" t="s">
        <v>380</v>
      </c>
      <c r="F590" s="262" t="s">
        <v>151</v>
      </c>
      <c r="G590" s="262" t="s">
        <v>158</v>
      </c>
      <c r="H590" s="261"/>
      <c r="I590" s="261"/>
      <c r="J590" s="261"/>
      <c r="K590" s="261"/>
      <c r="L590" s="261"/>
      <c r="M590" s="261"/>
      <c r="N590" s="261"/>
      <c r="O590" s="261"/>
      <c r="P590" s="261"/>
      <c r="Q590" s="261"/>
      <c r="R590" s="261"/>
      <c r="S590" s="261"/>
      <c r="T590" s="261"/>
      <c r="U590" s="261"/>
      <c r="V590" s="762"/>
      <c r="W590" s="261"/>
      <c r="X590" s="261"/>
      <c r="Y590" s="264">
        <f>IF(NFI_Expiration=1,IF($A590&lt;VLOOKUP(H$5,NFI,5,0),1,0)*Table_NFI[[#This Row],[Hygiene Kit]],Table_NFI[Hygiene Kit])</f>
        <v>0</v>
      </c>
      <c r="Z590" s="264">
        <f>IF(NFI_Expiration=1,IF($A590&lt;VLOOKUP(I$5,NFI,5,0),1,0)*Table_NFI[[#This Row],[NFI Core Kit]],Table_NFI[NFI Core Kit])</f>
        <v>0</v>
      </c>
      <c r="AA590" s="264">
        <f>IF(NFI_Expiration=1,IF($A590&lt;VLOOKUP(J$5,NFI,5,0),1,0)*Table_NFI[[#This Row],[Sanitary Kit]],Table_NFI[Sanitary Kit])</f>
        <v>0</v>
      </c>
      <c r="AB590" s="264">
        <f>IF(NFI_Expiration=1,IF($A590&lt;VLOOKUP(K$5,NFI,5,0),1,0)*Table_NFI[[#This Row],[Mosquito net]],Table_NFI[Mosquito net])</f>
        <v>0</v>
      </c>
      <c r="AC590" s="264">
        <f>IF(NFI_Expiration=1,IF($A590&lt;VLOOKUP(L$5,NFI,5,0),1,0)*Table_NFI[[#This Row],[Tarpaulin]],Table_NFI[[#This Row],[Tarpaulin]])</f>
        <v>0</v>
      </c>
      <c r="AD590" s="264">
        <f>IF(NFI_Expiration=1,IF($A590&lt;VLOOKUP(M$5,NFI,5,0),1,0)*Table_NFI[[#This Row],[Blanket]],Table_NFI[[#This Row],[Blanket]])</f>
        <v>0</v>
      </c>
      <c r="AE590" s="264">
        <f>IF(NFI_Expiration=1,IF($A590&lt;VLOOKUP(N$5,NFI,5,0),1,0)*Table_NFI[[#This Row],[Kitchen Set]],Table_NFI[Kitchen Set])</f>
        <v>0</v>
      </c>
      <c r="AF590" s="264">
        <f>IF(NFI_Expiration=1,IF($A590&lt;VLOOKUP(O$5,NFI,5,0),1,0)*Table_NFI[[#This Row],[Clothes Kit]],Table_NFI[Clothes Kit])</f>
        <v>0</v>
      </c>
      <c r="AG590" s="264">
        <f>IF(NFI_Expiration=1,IF($A590&lt;VLOOKUP(P$5,NFI,5,0),1,0)*Table_NFI[[#This Row],[Plastic Bucket]],Table_NFI[Plastic Bucket])</f>
        <v>0</v>
      </c>
      <c r="AH590" s="264">
        <f>IF(NFI_Expiration=1,IF($A590&lt;VLOOKUP(Q$5,NFI,5,0),1,0)*Table_NFI[[#This Row],[Plastic Mat]],Table_NFI[Plastic Mat])*IF(Table_NFI[[#This Row],[Distribution Date]]&gt;"2014-04-01",1,2.5)</f>
        <v>0</v>
      </c>
      <c r="AI590" s="264">
        <f>IF(NFI_Expiration=1,IF($A590&lt;VLOOKUP(R$5,NFI,5,0),1,0)*Table_NFI[[#This Row],[Winter Clothes Adult]],Table_NFI[Winter Clothes Adult])</f>
        <v>0</v>
      </c>
      <c r="AJ590" s="264">
        <f>IF(NFI_Expiration=1,IF($A590&lt;VLOOKUP(S$5,NFI,5,0),1,0)*Table_NFI[[#This Row],[Winter Clothes Children]],Table_NFI[Winter Clothes Children])</f>
        <v>0</v>
      </c>
      <c r="AK590" s="264">
        <f>IF(NFI_Expiration=1,IF($A590&lt;VLOOKUP(T$5,NFI,5,0),1,0)*Table_NFI[[#This Row],[Winter Items Other]],Table_NFI[Winter Items Other])</f>
        <v>0</v>
      </c>
      <c r="AL590" s="264">
        <f>IF(NFI_Expiration=1,IF($A590&lt;VLOOKUP(M$5,NFI,5,0),1,0)*Table_NFI[[#This Row],[Winter Blanket]],Table_NFI[[#This Row],[Winter Blanket]])</f>
        <v>0</v>
      </c>
      <c r="AM590" s="264">
        <f>IF(Table_NFI[[#This Row],[Winter Clothes Adult]]+Table_NFI[[#This Row],[Winter Clothes Children]]+Table_NFI[[#This Row],[Winter Items Other]]+Table_NFI[[#This Row],[Winter Blanket]]&gt;0,1,0)</f>
        <v>0</v>
      </c>
      <c r="AN590" s="296">
        <f>IF(NFI_Expiration=1,IF($A590&lt;VLOOKUP(V$5,NFI,5,0),1,0)*Table_NFI[[#This Row],[Jerry Can]],Table_NFI[Jerry Can])</f>
        <v>0</v>
      </c>
      <c r="AO590" s="296">
        <f>IF(NFI_Expiration=1,IF($A590&lt;VLOOKUP(V$5,NFI,5,0),1,0)*Table_NFI[[#This Row],[Shelter Tool kit]],Table_NFI[Shelter Tool kit])</f>
        <v>0</v>
      </c>
      <c r="AP590" s="296">
        <f>IF(NFI_Expiration=1,IF($A590&lt;VLOOKUP(V$5,NFI,5,0),1,0)*Table_NFI[[#This Row],[Tent]],Table_NFI[Tent])</f>
        <v>0</v>
      </c>
      <c r="AQ590" s="396" t="str">
        <f>IFERROR(VLOOKUP(Table_NFI[[#This Row],[Camp Name]],CL,2,0),"")</f>
        <v>MMR001CMP135</v>
      </c>
      <c r="AR590" s="702">
        <f ca="1">IF(Table_NFI[[#This Row],[Pcode]]="","",IF(OFFSET(CampList[Opening Date],MATCH(Table_NFI[[#This Row],[Pcode]],CampList[CP_Pcode],0)-1,0,1,1)&gt;=NFI_Monitor_Date,1,0))</f>
        <v>0</v>
      </c>
      <c r="AS590" s="396" t="str">
        <f>IFERROR(VLOOKUP(Table_NFI[[#This Row],[Camp Name]],CL,3,0),"")</f>
        <v>Closed</v>
      </c>
      <c r="AT590" s="264" t="str">
        <f ca="1">IF(Table_NFI[[#This Row],[Pcode]]="","",OFFSET(CampList[Priority],MATCH(Table_NFI[[#This Row],[Pcode]],CampList[CP_Pcode],0)-1,0,1,1))</f>
        <v>P2</v>
      </c>
      <c r="AU590" s="263">
        <f>IFERROR(Table_NFI[[#This Row],[Kitchen Set]]/VLOOKUP(Table_NFI[[#This Row],[Camp Name]],CL,4,0),"")</f>
        <v>0</v>
      </c>
      <c r="AV590" s="390" t="s">
        <v>1087</v>
      </c>
      <c r="AW590" s="392"/>
      <c r="AX590" s="399"/>
      <c r="AY590" s="399"/>
      <c r="AZ590" s="399"/>
      <c r="BA590" s="399"/>
      <c r="BB590" s="399"/>
      <c r="BC590" s="399"/>
      <c r="BD590" s="399"/>
      <c r="BE590" s="399"/>
      <c r="BF590" s="399"/>
      <c r="BG590" s="399"/>
      <c r="BH590" s="399"/>
      <c r="BI590" s="399"/>
      <c r="BJ590" s="399"/>
      <c r="BK590" s="399"/>
      <c r="BL590" s="399"/>
      <c r="BM590" s="399"/>
      <c r="BN590" s="399"/>
      <c r="BO590" s="399"/>
      <c r="BP590" s="399"/>
      <c r="BQ590" s="399"/>
      <c r="BR590" s="399"/>
      <c r="BS590" s="399"/>
      <c r="BT590" s="399"/>
      <c r="BU590" s="399"/>
      <c r="BV590" s="399"/>
      <c r="BW590" s="399"/>
      <c r="BX590" s="399"/>
      <c r="BY590" s="399"/>
      <c r="BZ590" s="399"/>
      <c r="CA590" s="399"/>
      <c r="CB590" s="399"/>
      <c r="CC590" s="399"/>
      <c r="CD590" s="399"/>
      <c r="CE590" s="399"/>
      <c r="CF590" s="399"/>
      <c r="CG590" s="399"/>
      <c r="CH590" s="399"/>
      <c r="CI590" s="399"/>
      <c r="CJ590" s="399"/>
      <c r="CK590" s="399"/>
      <c r="CL590" s="399"/>
      <c r="CM590" s="399"/>
      <c r="CN590" s="399"/>
      <c r="CO590" s="399"/>
      <c r="CP590" s="399"/>
      <c r="CQ590" s="399"/>
      <c r="CR590" s="399"/>
      <c r="CS590" s="399"/>
      <c r="CT590" s="399"/>
      <c r="CU590" s="399"/>
      <c r="CV590" s="399"/>
      <c r="CW590" s="399"/>
      <c r="CX590" s="399"/>
      <c r="CY590" s="399"/>
      <c r="CZ590" s="399"/>
      <c r="DA590" s="399"/>
      <c r="DB590" s="399"/>
      <c r="DC590" s="399"/>
      <c r="DD590" s="399"/>
      <c r="DE590" s="399"/>
      <c r="DF590" s="399"/>
      <c r="DG590" s="399"/>
      <c r="DH590" s="399"/>
      <c r="DI590" s="399"/>
      <c r="DJ590" s="399"/>
      <c r="DK590" s="399"/>
      <c r="DL590" s="399"/>
      <c r="DM590" s="399"/>
      <c r="DN590" s="399"/>
      <c r="DO590" s="399"/>
      <c r="DP590" s="399"/>
      <c r="DQ590" s="399"/>
    </row>
    <row r="591" spans="1:121" s="760" customFormat="1" ht="14.45" customHeight="1" x14ac:dyDescent="0.25">
      <c r="A591" s="266">
        <f t="shared" si="9"/>
        <v>41.6</v>
      </c>
      <c r="B591" s="389">
        <v>41608</v>
      </c>
      <c r="C591" s="390" t="s">
        <v>904</v>
      </c>
      <c r="D591" s="390"/>
      <c r="E591" s="390" t="s">
        <v>380</v>
      </c>
      <c r="F591" s="262" t="s">
        <v>185</v>
      </c>
      <c r="G591" s="262" t="s">
        <v>223</v>
      </c>
      <c r="H591" s="261"/>
      <c r="I591" s="261"/>
      <c r="J591" s="261"/>
      <c r="K591" s="261"/>
      <c r="L591" s="261"/>
      <c r="M591" s="261"/>
      <c r="N591" s="261"/>
      <c r="O591" s="261"/>
      <c r="P591" s="261"/>
      <c r="Q591" s="261">
        <v>246</v>
      </c>
      <c r="R591" s="261"/>
      <c r="S591" s="261"/>
      <c r="T591" s="261"/>
      <c r="U591" s="261"/>
      <c r="V591" s="762"/>
      <c r="W591" s="261"/>
      <c r="X591" s="261"/>
      <c r="Y591" s="264">
        <f>IF(NFI_Expiration=1,IF($A591&lt;VLOOKUP(H$5,NFI,5,0),1,0)*Table_NFI[[#This Row],[Hygiene Kit]],Table_NFI[Hygiene Kit])</f>
        <v>0</v>
      </c>
      <c r="Z591" s="264">
        <f>IF(NFI_Expiration=1,IF($A591&lt;VLOOKUP(I$5,NFI,5,0),1,0)*Table_NFI[[#This Row],[NFI Core Kit]],Table_NFI[NFI Core Kit])</f>
        <v>0</v>
      </c>
      <c r="AA591" s="264">
        <f>IF(NFI_Expiration=1,IF($A591&lt;VLOOKUP(J$5,NFI,5,0),1,0)*Table_NFI[[#This Row],[Sanitary Kit]],Table_NFI[Sanitary Kit])</f>
        <v>0</v>
      </c>
      <c r="AB591" s="264">
        <f>IF(NFI_Expiration=1,IF($A591&lt;VLOOKUP(K$5,NFI,5,0),1,0)*Table_NFI[[#This Row],[Mosquito net]],Table_NFI[Mosquito net])</f>
        <v>0</v>
      </c>
      <c r="AC591" s="264">
        <f>IF(NFI_Expiration=1,IF($A591&lt;VLOOKUP(L$5,NFI,5,0),1,0)*Table_NFI[[#This Row],[Tarpaulin]],Table_NFI[[#This Row],[Tarpaulin]])</f>
        <v>0</v>
      </c>
      <c r="AD591" s="264">
        <f>IF(NFI_Expiration=1,IF($A591&lt;VLOOKUP(M$5,NFI,5,0),1,0)*Table_NFI[[#This Row],[Blanket]],Table_NFI[[#This Row],[Blanket]])</f>
        <v>0</v>
      </c>
      <c r="AE591" s="264">
        <f>IF(NFI_Expiration=1,IF($A591&lt;VLOOKUP(N$5,NFI,5,0),1,0)*Table_NFI[[#This Row],[Kitchen Set]],Table_NFI[Kitchen Set])</f>
        <v>0</v>
      </c>
      <c r="AF591" s="264">
        <f>IF(NFI_Expiration=1,IF($A591&lt;VLOOKUP(O$5,NFI,5,0),1,0)*Table_NFI[[#This Row],[Clothes Kit]],Table_NFI[Clothes Kit])</f>
        <v>0</v>
      </c>
      <c r="AG591" s="264">
        <f>IF(NFI_Expiration=1,IF($A591&lt;VLOOKUP(P$5,NFI,5,0),1,0)*Table_NFI[[#This Row],[Plastic Bucket]],Table_NFI[Plastic Bucket])</f>
        <v>0</v>
      </c>
      <c r="AH591" s="264">
        <f>IF(NFI_Expiration=1,IF($A591&lt;VLOOKUP(Q$5,NFI,5,0),1,0)*Table_NFI[[#This Row],[Plastic Mat]],Table_NFI[Plastic Mat])*IF(Table_NFI[[#This Row],[Distribution Date]]&gt;"2014-04-01",1,2.5)</f>
        <v>0</v>
      </c>
      <c r="AI591" s="264">
        <f>IF(NFI_Expiration=1,IF($A591&lt;VLOOKUP(R$5,NFI,5,0),1,0)*Table_NFI[[#This Row],[Winter Clothes Adult]],Table_NFI[Winter Clothes Adult])</f>
        <v>0</v>
      </c>
      <c r="AJ591" s="264">
        <f>IF(NFI_Expiration=1,IF($A591&lt;VLOOKUP(S$5,NFI,5,0),1,0)*Table_NFI[[#This Row],[Winter Clothes Children]],Table_NFI[Winter Clothes Children])</f>
        <v>0</v>
      </c>
      <c r="AK591" s="264">
        <f>IF(NFI_Expiration=1,IF($A591&lt;VLOOKUP(T$5,NFI,5,0),1,0)*Table_NFI[[#This Row],[Winter Items Other]],Table_NFI[Winter Items Other])</f>
        <v>0</v>
      </c>
      <c r="AL591" s="264">
        <f>IF(NFI_Expiration=1,IF($A591&lt;VLOOKUP(M$5,NFI,5,0),1,0)*Table_NFI[[#This Row],[Winter Blanket]],Table_NFI[[#This Row],[Winter Blanket]])</f>
        <v>0</v>
      </c>
      <c r="AM591" s="264">
        <f>IF(Table_NFI[[#This Row],[Winter Clothes Adult]]+Table_NFI[[#This Row],[Winter Clothes Children]]+Table_NFI[[#This Row],[Winter Items Other]]+Table_NFI[[#This Row],[Winter Blanket]]&gt;0,1,0)</f>
        <v>0</v>
      </c>
      <c r="AN591" s="296">
        <f>IF(NFI_Expiration=1,IF($A591&lt;VLOOKUP(V$5,NFI,5,0),1,0)*Table_NFI[[#This Row],[Jerry Can]],Table_NFI[Jerry Can])</f>
        <v>0</v>
      </c>
      <c r="AO591" s="296">
        <f>IF(NFI_Expiration=1,IF($A591&lt;VLOOKUP(V$5,NFI,5,0),1,0)*Table_NFI[[#This Row],[Shelter Tool kit]],Table_NFI[Shelter Tool kit])</f>
        <v>0</v>
      </c>
      <c r="AP591" s="296">
        <f>IF(NFI_Expiration=1,IF($A591&lt;VLOOKUP(V$5,NFI,5,0),1,0)*Table_NFI[[#This Row],[Tent]],Table_NFI[Tent])</f>
        <v>0</v>
      </c>
      <c r="AQ591" s="396" t="str">
        <f>IFERROR(VLOOKUP(Table_NFI[[#This Row],[Camp Name]],CL,2,0),"")</f>
        <v>MMR001CMP069</v>
      </c>
      <c r="AR591" s="702">
        <f ca="1">IF(Table_NFI[[#This Row],[Pcode]]="","",IF(OFFSET(CampList[Opening Date],MATCH(Table_NFI[[#This Row],[Pcode]],CampList[CP_Pcode],0)-1,0,1,1)&gt;=NFI_Monitor_Date,1,0))</f>
        <v>0</v>
      </c>
      <c r="AS591" s="396" t="str">
        <f>IFERROR(VLOOKUP(Table_NFI[[#This Row],[Camp Name]],CL,3,0),"")</f>
        <v>Open</v>
      </c>
      <c r="AT591" s="264" t="str">
        <f ca="1">IF(Table_NFI[[#This Row],[Pcode]]="","",OFFSET(CampList[Priority],MATCH(Table_NFI[[#This Row],[Pcode]],CampList[CP_Pcode],0)-1,0,1,1))</f>
        <v>P3</v>
      </c>
      <c r="AU591" s="263">
        <f>IFERROR(Table_NFI[[#This Row],[Kitchen Set]]/VLOOKUP(Table_NFI[[#This Row],[Camp Name]],CL,4,0),"")</f>
        <v>0</v>
      </c>
      <c r="AV591" s="390" t="s">
        <v>1087</v>
      </c>
      <c r="AW591" s="392"/>
      <c r="AX591" s="399"/>
      <c r="AY591" s="399"/>
      <c r="AZ591" s="399"/>
      <c r="BA591" s="399"/>
      <c r="BB591" s="399"/>
      <c r="BC591" s="399"/>
      <c r="BD591" s="399"/>
      <c r="BE591" s="399"/>
      <c r="BF591" s="399"/>
      <c r="BG591" s="399"/>
      <c r="BH591" s="399"/>
      <c r="BI591" s="399"/>
      <c r="BJ591" s="399"/>
      <c r="BK591" s="399"/>
      <c r="BL591" s="399"/>
      <c r="BM591" s="399"/>
      <c r="BN591" s="399"/>
      <c r="BO591" s="399"/>
      <c r="BP591" s="399"/>
      <c r="BQ591" s="399"/>
      <c r="BR591" s="399"/>
      <c r="BS591" s="399"/>
      <c r="BT591" s="399"/>
      <c r="BU591" s="399"/>
      <c r="BV591" s="399"/>
      <c r="BW591" s="399"/>
      <c r="BX591" s="399"/>
      <c r="BY591" s="399"/>
      <c r="BZ591" s="399"/>
      <c r="CA591" s="399"/>
      <c r="CB591" s="399"/>
      <c r="CC591" s="399"/>
      <c r="CD591" s="399"/>
      <c r="CE591" s="399"/>
      <c r="CF591" s="399"/>
      <c r="CG591" s="399"/>
      <c r="CH591" s="399"/>
      <c r="CI591" s="399"/>
      <c r="CJ591" s="399"/>
      <c r="CK591" s="399"/>
      <c r="CL591" s="399"/>
      <c r="CM591" s="399"/>
      <c r="CN591" s="399"/>
      <c r="CO591" s="399"/>
      <c r="CP591" s="399"/>
      <c r="CQ591" s="399"/>
      <c r="CR591" s="399"/>
      <c r="CS591" s="399"/>
      <c r="CT591" s="399"/>
      <c r="CU591" s="399"/>
      <c r="CV591" s="399"/>
      <c r="CW591" s="399"/>
      <c r="CX591" s="399"/>
      <c r="CY591" s="399"/>
      <c r="CZ591" s="399"/>
      <c r="DA591" s="399"/>
      <c r="DB591" s="399"/>
      <c r="DC591" s="399"/>
      <c r="DD591" s="399"/>
      <c r="DE591" s="399"/>
      <c r="DF591" s="399"/>
      <c r="DG591" s="399"/>
      <c r="DH591" s="399"/>
      <c r="DI591" s="399"/>
      <c r="DJ591" s="399"/>
      <c r="DK591" s="399"/>
      <c r="DL591" s="399"/>
      <c r="DM591" s="399"/>
      <c r="DN591" s="399"/>
      <c r="DO591" s="399"/>
      <c r="DP591" s="399"/>
      <c r="DQ591" s="399"/>
    </row>
    <row r="592" spans="1:121" s="760" customFormat="1" ht="14.45" customHeight="1" x14ac:dyDescent="0.25">
      <c r="A592" s="266">
        <f t="shared" si="9"/>
        <v>41.6</v>
      </c>
      <c r="B592" s="389">
        <v>41608</v>
      </c>
      <c r="C592" s="390" t="s">
        <v>904</v>
      </c>
      <c r="D592" s="390"/>
      <c r="E592" s="390" t="s">
        <v>380</v>
      </c>
      <c r="F592" s="262" t="s">
        <v>185</v>
      </c>
      <c r="G592" s="262" t="s">
        <v>190</v>
      </c>
      <c r="H592" s="261"/>
      <c r="I592" s="261"/>
      <c r="J592" s="261"/>
      <c r="K592" s="261"/>
      <c r="L592" s="261"/>
      <c r="M592" s="261"/>
      <c r="N592" s="261"/>
      <c r="O592" s="261"/>
      <c r="P592" s="261"/>
      <c r="Q592" s="261">
        <v>369</v>
      </c>
      <c r="R592" s="261"/>
      <c r="S592" s="261"/>
      <c r="T592" s="261"/>
      <c r="U592" s="261"/>
      <c r="V592" s="762"/>
      <c r="W592" s="261"/>
      <c r="X592" s="261"/>
      <c r="Y592" s="264">
        <f>IF(NFI_Expiration=1,IF($A592&lt;VLOOKUP(H$5,NFI,5,0),1,0)*Table_NFI[[#This Row],[Hygiene Kit]],Table_NFI[Hygiene Kit])</f>
        <v>0</v>
      </c>
      <c r="Z592" s="264">
        <f>IF(NFI_Expiration=1,IF($A592&lt;VLOOKUP(I$5,NFI,5,0),1,0)*Table_NFI[[#This Row],[NFI Core Kit]],Table_NFI[NFI Core Kit])</f>
        <v>0</v>
      </c>
      <c r="AA592" s="264">
        <f>IF(NFI_Expiration=1,IF($A592&lt;VLOOKUP(J$5,NFI,5,0),1,0)*Table_NFI[[#This Row],[Sanitary Kit]],Table_NFI[Sanitary Kit])</f>
        <v>0</v>
      </c>
      <c r="AB592" s="264">
        <f>IF(NFI_Expiration=1,IF($A592&lt;VLOOKUP(K$5,NFI,5,0),1,0)*Table_NFI[[#This Row],[Mosquito net]],Table_NFI[Mosquito net])</f>
        <v>0</v>
      </c>
      <c r="AC592" s="264">
        <f>IF(NFI_Expiration=1,IF($A592&lt;VLOOKUP(L$5,NFI,5,0),1,0)*Table_NFI[[#This Row],[Tarpaulin]],Table_NFI[[#This Row],[Tarpaulin]])</f>
        <v>0</v>
      </c>
      <c r="AD592" s="264">
        <f>IF(NFI_Expiration=1,IF($A592&lt;VLOOKUP(M$5,NFI,5,0),1,0)*Table_NFI[[#This Row],[Blanket]],Table_NFI[[#This Row],[Blanket]])</f>
        <v>0</v>
      </c>
      <c r="AE592" s="264">
        <f>IF(NFI_Expiration=1,IF($A592&lt;VLOOKUP(N$5,NFI,5,0),1,0)*Table_NFI[[#This Row],[Kitchen Set]],Table_NFI[Kitchen Set])</f>
        <v>0</v>
      </c>
      <c r="AF592" s="264">
        <f>IF(NFI_Expiration=1,IF($A592&lt;VLOOKUP(O$5,NFI,5,0),1,0)*Table_NFI[[#This Row],[Clothes Kit]],Table_NFI[Clothes Kit])</f>
        <v>0</v>
      </c>
      <c r="AG592" s="264">
        <f>IF(NFI_Expiration=1,IF($A592&lt;VLOOKUP(P$5,NFI,5,0),1,0)*Table_NFI[[#This Row],[Plastic Bucket]],Table_NFI[Plastic Bucket])</f>
        <v>0</v>
      </c>
      <c r="AH592" s="264">
        <f>IF(NFI_Expiration=1,IF($A592&lt;VLOOKUP(Q$5,NFI,5,0),1,0)*Table_NFI[[#This Row],[Plastic Mat]],Table_NFI[Plastic Mat])*IF(Table_NFI[[#This Row],[Distribution Date]]&gt;"2014-04-01",1,2.5)</f>
        <v>0</v>
      </c>
      <c r="AI592" s="264">
        <f>IF(NFI_Expiration=1,IF($A592&lt;VLOOKUP(R$5,NFI,5,0),1,0)*Table_NFI[[#This Row],[Winter Clothes Adult]],Table_NFI[Winter Clothes Adult])</f>
        <v>0</v>
      </c>
      <c r="AJ592" s="264">
        <f>IF(NFI_Expiration=1,IF($A592&lt;VLOOKUP(S$5,NFI,5,0),1,0)*Table_NFI[[#This Row],[Winter Clothes Children]],Table_NFI[Winter Clothes Children])</f>
        <v>0</v>
      </c>
      <c r="AK592" s="264">
        <f>IF(NFI_Expiration=1,IF($A592&lt;VLOOKUP(T$5,NFI,5,0),1,0)*Table_NFI[[#This Row],[Winter Items Other]],Table_NFI[Winter Items Other])</f>
        <v>0</v>
      </c>
      <c r="AL592" s="264">
        <f>IF(NFI_Expiration=1,IF($A592&lt;VLOOKUP(M$5,NFI,5,0),1,0)*Table_NFI[[#This Row],[Winter Blanket]],Table_NFI[[#This Row],[Winter Blanket]])</f>
        <v>0</v>
      </c>
      <c r="AM592" s="264">
        <f>IF(Table_NFI[[#This Row],[Winter Clothes Adult]]+Table_NFI[[#This Row],[Winter Clothes Children]]+Table_NFI[[#This Row],[Winter Items Other]]+Table_NFI[[#This Row],[Winter Blanket]]&gt;0,1,0)</f>
        <v>0</v>
      </c>
      <c r="AN592" s="296">
        <f>IF(NFI_Expiration=1,IF($A592&lt;VLOOKUP(V$5,NFI,5,0),1,0)*Table_NFI[[#This Row],[Jerry Can]],Table_NFI[Jerry Can])</f>
        <v>0</v>
      </c>
      <c r="AO592" s="296">
        <f>IF(NFI_Expiration=1,IF($A592&lt;VLOOKUP(V$5,NFI,5,0),1,0)*Table_NFI[[#This Row],[Shelter Tool kit]],Table_NFI[Shelter Tool kit])</f>
        <v>0</v>
      </c>
      <c r="AP592" s="296">
        <f>IF(NFI_Expiration=1,IF($A592&lt;VLOOKUP(V$5,NFI,5,0),1,0)*Table_NFI[[#This Row],[Tent]],Table_NFI[Tent])</f>
        <v>0</v>
      </c>
      <c r="AQ592" s="396" t="str">
        <f>IFERROR(VLOOKUP(Table_NFI[[#This Row],[Camp Name]],CL,2,0),"")</f>
        <v>MMR001CMP070</v>
      </c>
      <c r="AR592" s="702">
        <f ca="1">IF(Table_NFI[[#This Row],[Pcode]]="","",IF(OFFSET(CampList[Opening Date],MATCH(Table_NFI[[#This Row],[Pcode]],CampList[CP_Pcode],0)-1,0,1,1)&gt;=NFI_Monitor_Date,1,0))</f>
        <v>0</v>
      </c>
      <c r="AS592" s="396" t="str">
        <f>IFERROR(VLOOKUP(Table_NFI[[#This Row],[Camp Name]],CL,3,0),"")</f>
        <v>Open</v>
      </c>
      <c r="AT592" s="264" t="str">
        <f ca="1">IF(Table_NFI[[#This Row],[Pcode]]="","",OFFSET(CampList[Priority],MATCH(Table_NFI[[#This Row],[Pcode]],CampList[CP_Pcode],0)-1,0,1,1))</f>
        <v>P3</v>
      </c>
      <c r="AU592" s="263">
        <f>IFERROR(Table_NFI[[#This Row],[Kitchen Set]]/VLOOKUP(Table_NFI[[#This Row],[Camp Name]],CL,4,0),"")</f>
        <v>0</v>
      </c>
      <c r="AV592" s="390" t="s">
        <v>1087</v>
      </c>
      <c r="AW592" s="392"/>
      <c r="AX592" s="399"/>
      <c r="AY592" s="399"/>
      <c r="AZ592" s="399"/>
      <c r="BA592" s="399"/>
      <c r="BB592" s="399"/>
      <c r="BC592" s="399"/>
      <c r="BD592" s="399"/>
      <c r="BE592" s="399"/>
      <c r="BF592" s="399"/>
      <c r="BG592" s="399"/>
      <c r="BH592" s="399"/>
      <c r="BI592" s="399"/>
      <c r="BJ592" s="399"/>
      <c r="BK592" s="399"/>
      <c r="BL592" s="399"/>
      <c r="BM592" s="399"/>
      <c r="BN592" s="399"/>
      <c r="BO592" s="399"/>
      <c r="BP592" s="399"/>
      <c r="BQ592" s="399"/>
      <c r="BR592" s="399"/>
      <c r="BS592" s="399"/>
      <c r="BT592" s="399"/>
      <c r="BU592" s="399"/>
      <c r="BV592" s="399"/>
      <c r="BW592" s="399"/>
      <c r="BX592" s="399"/>
      <c r="BY592" s="399"/>
      <c r="BZ592" s="399"/>
      <c r="CA592" s="399"/>
      <c r="CB592" s="399"/>
      <c r="CC592" s="399"/>
      <c r="CD592" s="399"/>
      <c r="CE592" s="399"/>
      <c r="CF592" s="399"/>
      <c r="CG592" s="399"/>
      <c r="CH592" s="399"/>
      <c r="CI592" s="399"/>
      <c r="CJ592" s="399"/>
      <c r="CK592" s="399"/>
      <c r="CL592" s="399"/>
      <c r="CM592" s="399"/>
      <c r="CN592" s="399"/>
      <c r="CO592" s="399"/>
      <c r="CP592" s="399"/>
      <c r="CQ592" s="399"/>
      <c r="CR592" s="399"/>
      <c r="CS592" s="399"/>
      <c r="CT592" s="399"/>
      <c r="CU592" s="399"/>
      <c r="CV592" s="399"/>
      <c r="CW592" s="399"/>
      <c r="CX592" s="399"/>
      <c r="CY592" s="399"/>
      <c r="CZ592" s="399"/>
      <c r="DA592" s="399"/>
      <c r="DB592" s="399"/>
      <c r="DC592" s="399"/>
      <c r="DD592" s="399"/>
      <c r="DE592" s="399"/>
      <c r="DF592" s="399"/>
      <c r="DG592" s="399"/>
      <c r="DH592" s="399"/>
      <c r="DI592" s="399"/>
      <c r="DJ592" s="399"/>
      <c r="DK592" s="399"/>
      <c r="DL592" s="399"/>
      <c r="DM592" s="399"/>
      <c r="DN592" s="399"/>
      <c r="DO592" s="399"/>
      <c r="DP592" s="399"/>
      <c r="DQ592" s="399"/>
    </row>
    <row r="593" spans="1:121" s="760" customFormat="1" ht="15" customHeight="1" x14ac:dyDescent="0.25">
      <c r="A593" s="266">
        <f t="shared" si="9"/>
        <v>41.6</v>
      </c>
      <c r="B593" s="389">
        <v>41608</v>
      </c>
      <c r="C593" s="390" t="s">
        <v>904</v>
      </c>
      <c r="D593" s="390" t="s">
        <v>459</v>
      </c>
      <c r="E593" s="390" t="s">
        <v>380</v>
      </c>
      <c r="F593" s="262" t="s">
        <v>310</v>
      </c>
      <c r="G593" s="262" t="s">
        <v>320</v>
      </c>
      <c r="H593" s="261"/>
      <c r="I593" s="261"/>
      <c r="J593" s="261"/>
      <c r="K593" s="261"/>
      <c r="L593" s="261"/>
      <c r="M593" s="261"/>
      <c r="N593" s="261"/>
      <c r="O593" s="261"/>
      <c r="P593" s="261"/>
      <c r="Q593" s="261"/>
      <c r="R593" s="261"/>
      <c r="S593" s="261"/>
      <c r="T593" s="261"/>
      <c r="U593" s="261"/>
      <c r="V593" s="762"/>
      <c r="W593" s="261"/>
      <c r="X593" s="261"/>
      <c r="Y593" s="264">
        <f>IF(NFI_Expiration=1,IF($A593&lt;VLOOKUP(H$5,NFI,5,0),1,0)*Table_NFI[[#This Row],[Hygiene Kit]],Table_NFI[Hygiene Kit])</f>
        <v>0</v>
      </c>
      <c r="Z593" s="264">
        <f>IF(NFI_Expiration=1,IF($A593&lt;VLOOKUP(I$5,NFI,5,0),1,0)*Table_NFI[[#This Row],[NFI Core Kit]],Table_NFI[NFI Core Kit])</f>
        <v>0</v>
      </c>
      <c r="AA593" s="264">
        <f>IF(NFI_Expiration=1,IF($A593&lt;VLOOKUP(J$5,NFI,5,0),1,0)*Table_NFI[[#This Row],[Sanitary Kit]],Table_NFI[Sanitary Kit])</f>
        <v>0</v>
      </c>
      <c r="AB593" s="264">
        <f>IF(NFI_Expiration=1,IF($A593&lt;VLOOKUP(K$5,NFI,5,0),1,0)*Table_NFI[[#This Row],[Mosquito net]],Table_NFI[Mosquito net])</f>
        <v>0</v>
      </c>
      <c r="AC593" s="264">
        <f>IF(NFI_Expiration=1,IF($A593&lt;VLOOKUP(L$5,NFI,5,0),1,0)*Table_NFI[[#This Row],[Tarpaulin]],Table_NFI[[#This Row],[Tarpaulin]])</f>
        <v>0</v>
      </c>
      <c r="AD593" s="264">
        <f>IF(NFI_Expiration=1,IF($A593&lt;VLOOKUP(M$5,NFI,5,0),1,0)*Table_NFI[[#This Row],[Blanket]],Table_NFI[[#This Row],[Blanket]])</f>
        <v>0</v>
      </c>
      <c r="AE593" s="264">
        <f>IF(NFI_Expiration=1,IF($A593&lt;VLOOKUP(N$5,NFI,5,0),1,0)*Table_NFI[[#This Row],[Kitchen Set]],Table_NFI[Kitchen Set])</f>
        <v>0</v>
      </c>
      <c r="AF593" s="264">
        <f>IF(NFI_Expiration=1,IF($A593&lt;VLOOKUP(O$5,NFI,5,0),1,0)*Table_NFI[[#This Row],[Clothes Kit]],Table_NFI[Clothes Kit])</f>
        <v>0</v>
      </c>
      <c r="AG593" s="264">
        <f>IF(NFI_Expiration=1,IF($A593&lt;VLOOKUP(P$5,NFI,5,0),1,0)*Table_NFI[[#This Row],[Plastic Bucket]],Table_NFI[Plastic Bucket])</f>
        <v>0</v>
      </c>
      <c r="AH593" s="264">
        <f>IF(NFI_Expiration=1,IF($A593&lt;VLOOKUP(Q$5,NFI,5,0),1,0)*Table_NFI[[#This Row],[Plastic Mat]],Table_NFI[Plastic Mat])*IF(Table_NFI[[#This Row],[Distribution Date]]&gt;"2014-04-01",1,2.5)</f>
        <v>0</v>
      </c>
      <c r="AI593" s="264">
        <f>IF(NFI_Expiration=1,IF($A593&lt;VLOOKUP(R$5,NFI,5,0),1,0)*Table_NFI[[#This Row],[Winter Clothes Adult]],Table_NFI[Winter Clothes Adult])</f>
        <v>0</v>
      </c>
      <c r="AJ593" s="264">
        <f>IF(NFI_Expiration=1,IF($A593&lt;VLOOKUP(S$5,NFI,5,0),1,0)*Table_NFI[[#This Row],[Winter Clothes Children]],Table_NFI[Winter Clothes Children])</f>
        <v>0</v>
      </c>
      <c r="AK593" s="264">
        <f>IF(NFI_Expiration=1,IF($A593&lt;VLOOKUP(T$5,NFI,5,0),1,0)*Table_NFI[[#This Row],[Winter Items Other]],Table_NFI[Winter Items Other])</f>
        <v>0</v>
      </c>
      <c r="AL593" s="264">
        <f>IF(NFI_Expiration=1,IF($A593&lt;VLOOKUP(M$5,NFI,5,0),1,0)*Table_NFI[[#This Row],[Winter Blanket]],Table_NFI[[#This Row],[Winter Blanket]])</f>
        <v>0</v>
      </c>
      <c r="AM593" s="264">
        <f>IF(Table_NFI[[#This Row],[Winter Clothes Adult]]+Table_NFI[[#This Row],[Winter Clothes Children]]+Table_NFI[[#This Row],[Winter Items Other]]+Table_NFI[[#This Row],[Winter Blanket]]&gt;0,1,0)</f>
        <v>0</v>
      </c>
      <c r="AN593" s="296">
        <f>IF(NFI_Expiration=1,IF($A593&lt;VLOOKUP(V$5,NFI,5,0),1,0)*Table_NFI[[#This Row],[Jerry Can]],Table_NFI[Jerry Can])</f>
        <v>0</v>
      </c>
      <c r="AO593" s="296">
        <f>IF(NFI_Expiration=1,IF($A593&lt;VLOOKUP(V$5,NFI,5,0),1,0)*Table_NFI[[#This Row],[Shelter Tool kit]],Table_NFI[Shelter Tool kit])</f>
        <v>0</v>
      </c>
      <c r="AP593" s="296">
        <f>IF(NFI_Expiration=1,IF($A593&lt;VLOOKUP(V$5,NFI,5,0),1,0)*Table_NFI[[#This Row],[Tent]],Table_NFI[Tent])</f>
        <v>0</v>
      </c>
      <c r="AQ593" s="396" t="str">
        <f>IFERROR(VLOOKUP(Table_NFI[[#This Row],[Camp Name]],CL,2,0),"")</f>
        <v>MMR001CMP027</v>
      </c>
      <c r="AR593" s="702">
        <f ca="1">IF(Table_NFI[[#This Row],[Pcode]]="","",IF(OFFSET(CampList[Opening Date],MATCH(Table_NFI[[#This Row],[Pcode]],CampList[CP_Pcode],0)-1,0,1,1)&gt;=NFI_Monitor_Date,1,0))</f>
        <v>0</v>
      </c>
      <c r="AS593" s="396" t="str">
        <f>IFERROR(VLOOKUP(Table_NFI[[#This Row],[Camp Name]],CL,3,0),"")</f>
        <v>Open</v>
      </c>
      <c r="AT593" s="264" t="str">
        <f ca="1">IF(Table_NFI[[#This Row],[Pcode]]="","",OFFSET(CampList[Priority],MATCH(Table_NFI[[#This Row],[Pcode]],CampList[CP_Pcode],0)-1,0,1,1))</f>
        <v>P4</v>
      </c>
      <c r="AU593" s="263">
        <f>IFERROR(Table_NFI[[#This Row],[Kitchen Set]]/VLOOKUP(Table_NFI[[#This Row],[Camp Name]],CL,4,0),"")</f>
        <v>0</v>
      </c>
      <c r="AV593" s="390" t="s">
        <v>1087</v>
      </c>
      <c r="AW593" s="392"/>
      <c r="AX593" s="399"/>
      <c r="AY593" s="399"/>
      <c r="AZ593" s="399"/>
      <c r="BA593" s="399"/>
      <c r="BB593" s="399"/>
      <c r="BC593" s="399"/>
      <c r="BD593" s="399"/>
      <c r="BE593" s="399"/>
      <c r="BF593" s="399"/>
      <c r="BG593" s="399"/>
      <c r="BH593" s="399"/>
      <c r="BI593" s="399"/>
      <c r="BJ593" s="399"/>
      <c r="BK593" s="399"/>
      <c r="BL593" s="399"/>
      <c r="BM593" s="399"/>
      <c r="BN593" s="399"/>
      <c r="BO593" s="399"/>
      <c r="BP593" s="399"/>
      <c r="BQ593" s="399"/>
      <c r="BR593" s="399"/>
      <c r="BS593" s="399"/>
      <c r="BT593" s="399"/>
      <c r="BU593" s="399"/>
      <c r="BV593" s="399"/>
      <c r="BW593" s="399"/>
      <c r="BX593" s="399"/>
      <c r="BY593" s="399"/>
      <c r="BZ593" s="399"/>
      <c r="CA593" s="399"/>
      <c r="CB593" s="399"/>
      <c r="CC593" s="399"/>
      <c r="CD593" s="399"/>
      <c r="CE593" s="399"/>
      <c r="CF593" s="399"/>
      <c r="CG593" s="399"/>
      <c r="CH593" s="399"/>
      <c r="CI593" s="399"/>
      <c r="CJ593" s="399"/>
      <c r="CK593" s="399"/>
      <c r="CL593" s="399"/>
      <c r="CM593" s="399"/>
      <c r="CN593" s="399"/>
      <c r="CO593" s="399"/>
      <c r="CP593" s="399"/>
      <c r="CQ593" s="399"/>
      <c r="CR593" s="399"/>
      <c r="CS593" s="399"/>
      <c r="CT593" s="399"/>
      <c r="CU593" s="399"/>
      <c r="CV593" s="399"/>
      <c r="CW593" s="399"/>
      <c r="CX593" s="399"/>
      <c r="CY593" s="399"/>
      <c r="CZ593" s="399"/>
      <c r="DA593" s="399"/>
      <c r="DB593" s="399"/>
      <c r="DC593" s="399"/>
      <c r="DD593" s="399"/>
      <c r="DE593" s="399"/>
      <c r="DF593" s="399"/>
      <c r="DG593" s="399"/>
      <c r="DH593" s="399"/>
      <c r="DI593" s="399"/>
      <c r="DJ593" s="399"/>
      <c r="DK593" s="399"/>
      <c r="DL593" s="399"/>
      <c r="DM593" s="399"/>
      <c r="DN593" s="399"/>
      <c r="DO593" s="399"/>
      <c r="DP593" s="399"/>
      <c r="DQ593" s="399"/>
    </row>
    <row r="594" spans="1:121" s="760" customFormat="1" ht="15" customHeight="1" x14ac:dyDescent="0.25">
      <c r="A594" s="266">
        <f t="shared" si="9"/>
        <v>41.6</v>
      </c>
      <c r="B594" s="389">
        <v>41608</v>
      </c>
      <c r="C594" s="390" t="s">
        <v>904</v>
      </c>
      <c r="D594" s="390" t="s">
        <v>459</v>
      </c>
      <c r="E594" s="390" t="s">
        <v>380</v>
      </c>
      <c r="F594" s="262" t="s">
        <v>310</v>
      </c>
      <c r="G594" s="262" t="s">
        <v>322</v>
      </c>
      <c r="H594" s="261"/>
      <c r="I594" s="261"/>
      <c r="J594" s="261"/>
      <c r="K594" s="261"/>
      <c r="L594" s="261"/>
      <c r="M594" s="261"/>
      <c r="N594" s="261"/>
      <c r="O594" s="261"/>
      <c r="P594" s="261"/>
      <c r="Q594" s="261"/>
      <c r="R594" s="261"/>
      <c r="S594" s="261"/>
      <c r="T594" s="261"/>
      <c r="U594" s="261"/>
      <c r="V594" s="762"/>
      <c r="W594" s="261"/>
      <c r="X594" s="261"/>
      <c r="Y594" s="264">
        <f>IF(NFI_Expiration=1,IF($A594&lt;VLOOKUP(H$5,NFI,5,0),1,0)*Table_NFI[[#This Row],[Hygiene Kit]],Table_NFI[Hygiene Kit])</f>
        <v>0</v>
      </c>
      <c r="Z594" s="264">
        <f>IF(NFI_Expiration=1,IF($A594&lt;VLOOKUP(I$5,NFI,5,0),1,0)*Table_NFI[[#This Row],[NFI Core Kit]],Table_NFI[NFI Core Kit])</f>
        <v>0</v>
      </c>
      <c r="AA594" s="264">
        <f>IF(NFI_Expiration=1,IF($A594&lt;VLOOKUP(J$5,NFI,5,0),1,0)*Table_NFI[[#This Row],[Sanitary Kit]],Table_NFI[Sanitary Kit])</f>
        <v>0</v>
      </c>
      <c r="AB594" s="264">
        <f>IF(NFI_Expiration=1,IF($A594&lt;VLOOKUP(K$5,NFI,5,0),1,0)*Table_NFI[[#This Row],[Mosquito net]],Table_NFI[Mosquito net])</f>
        <v>0</v>
      </c>
      <c r="AC594" s="264">
        <f>IF(NFI_Expiration=1,IF($A594&lt;VLOOKUP(L$5,NFI,5,0),1,0)*Table_NFI[[#This Row],[Tarpaulin]],Table_NFI[[#This Row],[Tarpaulin]])</f>
        <v>0</v>
      </c>
      <c r="AD594" s="264">
        <f>IF(NFI_Expiration=1,IF($A594&lt;VLOOKUP(M$5,NFI,5,0),1,0)*Table_NFI[[#This Row],[Blanket]],Table_NFI[[#This Row],[Blanket]])</f>
        <v>0</v>
      </c>
      <c r="AE594" s="264">
        <f>IF(NFI_Expiration=1,IF($A594&lt;VLOOKUP(N$5,NFI,5,0),1,0)*Table_NFI[[#This Row],[Kitchen Set]],Table_NFI[Kitchen Set])</f>
        <v>0</v>
      </c>
      <c r="AF594" s="264">
        <f>IF(NFI_Expiration=1,IF($A594&lt;VLOOKUP(O$5,NFI,5,0),1,0)*Table_NFI[[#This Row],[Clothes Kit]],Table_NFI[Clothes Kit])</f>
        <v>0</v>
      </c>
      <c r="AG594" s="264">
        <f>IF(NFI_Expiration=1,IF($A594&lt;VLOOKUP(P$5,NFI,5,0),1,0)*Table_NFI[[#This Row],[Plastic Bucket]],Table_NFI[Plastic Bucket])</f>
        <v>0</v>
      </c>
      <c r="AH594" s="264">
        <f>IF(NFI_Expiration=1,IF($A594&lt;VLOOKUP(Q$5,NFI,5,0),1,0)*Table_NFI[[#This Row],[Plastic Mat]],Table_NFI[Plastic Mat])*IF(Table_NFI[[#This Row],[Distribution Date]]&gt;"2014-04-01",1,2.5)</f>
        <v>0</v>
      </c>
      <c r="AI594" s="264">
        <f>IF(NFI_Expiration=1,IF($A594&lt;VLOOKUP(R$5,NFI,5,0),1,0)*Table_NFI[[#This Row],[Winter Clothes Adult]],Table_NFI[Winter Clothes Adult])</f>
        <v>0</v>
      </c>
      <c r="AJ594" s="264">
        <f>IF(NFI_Expiration=1,IF($A594&lt;VLOOKUP(S$5,NFI,5,0),1,0)*Table_NFI[[#This Row],[Winter Clothes Children]],Table_NFI[Winter Clothes Children])</f>
        <v>0</v>
      </c>
      <c r="AK594" s="264">
        <f>IF(NFI_Expiration=1,IF($A594&lt;VLOOKUP(T$5,NFI,5,0),1,0)*Table_NFI[[#This Row],[Winter Items Other]],Table_NFI[Winter Items Other])</f>
        <v>0</v>
      </c>
      <c r="AL594" s="264">
        <f>IF(NFI_Expiration=1,IF($A594&lt;VLOOKUP(M$5,NFI,5,0),1,0)*Table_NFI[[#This Row],[Winter Blanket]],Table_NFI[[#This Row],[Winter Blanket]])</f>
        <v>0</v>
      </c>
      <c r="AM594" s="264">
        <f>IF(Table_NFI[[#This Row],[Winter Clothes Adult]]+Table_NFI[[#This Row],[Winter Clothes Children]]+Table_NFI[[#This Row],[Winter Items Other]]+Table_NFI[[#This Row],[Winter Blanket]]&gt;0,1,0)</f>
        <v>0</v>
      </c>
      <c r="AN594" s="296">
        <f>IF(NFI_Expiration=1,IF($A594&lt;VLOOKUP(V$5,NFI,5,0),1,0)*Table_NFI[[#This Row],[Jerry Can]],Table_NFI[Jerry Can])</f>
        <v>0</v>
      </c>
      <c r="AO594" s="296">
        <f>IF(NFI_Expiration=1,IF($A594&lt;VLOOKUP(V$5,NFI,5,0),1,0)*Table_NFI[[#This Row],[Shelter Tool kit]],Table_NFI[Shelter Tool kit])</f>
        <v>0</v>
      </c>
      <c r="AP594" s="296">
        <f>IF(NFI_Expiration=1,IF($A594&lt;VLOOKUP(V$5,NFI,5,0),1,0)*Table_NFI[[#This Row],[Tent]],Table_NFI[Tent])</f>
        <v>0</v>
      </c>
      <c r="AQ594" s="396" t="str">
        <f>IFERROR(VLOOKUP(Table_NFI[[#This Row],[Camp Name]],CL,2,0),"")</f>
        <v>MMR001CMP119</v>
      </c>
      <c r="AR594" s="702">
        <f ca="1">IF(Table_NFI[[#This Row],[Pcode]]="","",IF(OFFSET(CampList[Opening Date],MATCH(Table_NFI[[#This Row],[Pcode]],CampList[CP_Pcode],0)-1,0,1,1)&gt;=NFI_Monitor_Date,1,0))</f>
        <v>0</v>
      </c>
      <c r="AS594" s="396" t="str">
        <f>IFERROR(VLOOKUP(Table_NFI[[#This Row],[Camp Name]],CL,3,0),"")</f>
        <v>Open</v>
      </c>
      <c r="AT594" s="264" t="str">
        <f ca="1">IF(Table_NFI[[#This Row],[Pcode]]="","",OFFSET(CampList[Priority],MATCH(Table_NFI[[#This Row],[Pcode]],CampList[CP_Pcode],0)-1,0,1,1))</f>
        <v>P2</v>
      </c>
      <c r="AU594" s="263">
        <f>IFERROR(Table_NFI[[#This Row],[Kitchen Set]]/VLOOKUP(Table_NFI[[#This Row],[Camp Name]],CL,4,0),"")</f>
        <v>0</v>
      </c>
      <c r="AV594" s="390" t="s">
        <v>1087</v>
      </c>
      <c r="AW594" s="392"/>
      <c r="AX594" s="399"/>
      <c r="AY594" s="399"/>
      <c r="AZ594" s="399"/>
      <c r="BA594" s="399"/>
      <c r="BB594" s="399"/>
      <c r="BC594" s="399"/>
      <c r="BD594" s="399"/>
      <c r="BE594" s="399"/>
      <c r="BF594" s="399"/>
      <c r="BG594" s="399"/>
      <c r="BH594" s="399"/>
      <c r="BI594" s="399"/>
      <c r="BJ594" s="399"/>
      <c r="BK594" s="399"/>
      <c r="BL594" s="399"/>
      <c r="BM594" s="399"/>
      <c r="BN594" s="399"/>
      <c r="BO594" s="399"/>
      <c r="BP594" s="399"/>
      <c r="BQ594" s="399"/>
      <c r="BR594" s="399"/>
      <c r="BS594" s="399"/>
      <c r="BT594" s="399"/>
      <c r="BU594" s="399"/>
      <c r="BV594" s="399"/>
      <c r="BW594" s="399"/>
      <c r="BX594" s="399"/>
      <c r="BY594" s="399"/>
      <c r="BZ594" s="399"/>
      <c r="CA594" s="399"/>
      <c r="CB594" s="399"/>
      <c r="CC594" s="399"/>
      <c r="CD594" s="399"/>
      <c r="CE594" s="399"/>
      <c r="CF594" s="399"/>
      <c r="CG594" s="399"/>
      <c r="CH594" s="399"/>
      <c r="CI594" s="399"/>
      <c r="CJ594" s="399"/>
      <c r="CK594" s="399"/>
      <c r="CL594" s="399"/>
      <c r="CM594" s="399"/>
      <c r="CN594" s="399"/>
      <c r="CO594" s="399"/>
      <c r="CP594" s="399"/>
      <c r="CQ594" s="399"/>
      <c r="CR594" s="399"/>
      <c r="CS594" s="399"/>
      <c r="CT594" s="399"/>
      <c r="CU594" s="399"/>
      <c r="CV594" s="399"/>
      <c r="CW594" s="399"/>
      <c r="CX594" s="399"/>
      <c r="CY594" s="399"/>
      <c r="CZ594" s="399"/>
      <c r="DA594" s="399"/>
      <c r="DB594" s="399"/>
      <c r="DC594" s="399"/>
      <c r="DD594" s="399"/>
      <c r="DE594" s="399"/>
      <c r="DF594" s="399"/>
      <c r="DG594" s="399"/>
      <c r="DH594" s="399"/>
      <c r="DI594" s="399"/>
      <c r="DJ594" s="399"/>
      <c r="DK594" s="399"/>
      <c r="DL594" s="399"/>
      <c r="DM594" s="399"/>
      <c r="DN594" s="399"/>
      <c r="DO594" s="399"/>
      <c r="DP594" s="399"/>
      <c r="DQ594" s="399"/>
    </row>
    <row r="595" spans="1:121" s="760" customFormat="1" ht="14.45" customHeight="1" x14ac:dyDescent="0.25">
      <c r="A595" s="266">
        <f t="shared" si="9"/>
        <v>41.6</v>
      </c>
      <c r="B595" s="389">
        <v>41608</v>
      </c>
      <c r="C595" s="390" t="s">
        <v>904</v>
      </c>
      <c r="D595" s="391" t="s">
        <v>459</v>
      </c>
      <c r="E595" s="390" t="s">
        <v>380</v>
      </c>
      <c r="F595" s="390" t="s">
        <v>310</v>
      </c>
      <c r="G595" s="262" t="s">
        <v>328</v>
      </c>
      <c r="H595" s="261"/>
      <c r="I595" s="261"/>
      <c r="J595" s="261"/>
      <c r="K595" s="261"/>
      <c r="L595" s="261"/>
      <c r="M595" s="261"/>
      <c r="N595" s="261"/>
      <c r="O595" s="261"/>
      <c r="P595" s="261"/>
      <c r="Q595" s="261"/>
      <c r="R595" s="261"/>
      <c r="S595" s="261"/>
      <c r="T595" s="261"/>
      <c r="U595" s="261"/>
      <c r="V595" s="762"/>
      <c r="W595" s="261"/>
      <c r="X595" s="261"/>
      <c r="Y595" s="264">
        <f>IF(NFI_Expiration=1,IF($A595&lt;VLOOKUP(H$5,NFI,5,0),1,0)*Table_NFI[[#This Row],[Hygiene Kit]],Table_NFI[Hygiene Kit])</f>
        <v>0</v>
      </c>
      <c r="Z595" s="264">
        <f>IF(NFI_Expiration=1,IF($A595&lt;VLOOKUP(I$5,NFI,5,0),1,0)*Table_NFI[[#This Row],[NFI Core Kit]],Table_NFI[NFI Core Kit])</f>
        <v>0</v>
      </c>
      <c r="AA595" s="264">
        <f>IF(NFI_Expiration=1,IF($A595&lt;VLOOKUP(J$5,NFI,5,0),1,0)*Table_NFI[[#This Row],[Sanitary Kit]],Table_NFI[Sanitary Kit])</f>
        <v>0</v>
      </c>
      <c r="AB595" s="264">
        <f>IF(NFI_Expiration=1,IF($A595&lt;VLOOKUP(K$5,NFI,5,0),1,0)*Table_NFI[[#This Row],[Mosquito net]],Table_NFI[Mosquito net])</f>
        <v>0</v>
      </c>
      <c r="AC595" s="264">
        <f>IF(NFI_Expiration=1,IF($A595&lt;VLOOKUP(L$5,NFI,5,0),1,0)*Table_NFI[[#This Row],[Tarpaulin]],Table_NFI[[#This Row],[Tarpaulin]])</f>
        <v>0</v>
      </c>
      <c r="AD595" s="264">
        <f>IF(NFI_Expiration=1,IF($A595&lt;VLOOKUP(M$5,NFI,5,0),1,0)*Table_NFI[[#This Row],[Blanket]],Table_NFI[[#This Row],[Blanket]])</f>
        <v>0</v>
      </c>
      <c r="AE595" s="264">
        <f>IF(NFI_Expiration=1,IF($A595&lt;VLOOKUP(N$5,NFI,5,0),1,0)*Table_NFI[[#This Row],[Kitchen Set]],Table_NFI[Kitchen Set])</f>
        <v>0</v>
      </c>
      <c r="AF595" s="264">
        <f>IF(NFI_Expiration=1,IF($A595&lt;VLOOKUP(O$5,NFI,5,0),1,0)*Table_NFI[[#This Row],[Clothes Kit]],Table_NFI[Clothes Kit])</f>
        <v>0</v>
      </c>
      <c r="AG595" s="264">
        <f>IF(NFI_Expiration=1,IF($A595&lt;VLOOKUP(P$5,NFI,5,0),1,0)*Table_NFI[[#This Row],[Plastic Bucket]],Table_NFI[Plastic Bucket])</f>
        <v>0</v>
      </c>
      <c r="AH595" s="264">
        <f>IF(NFI_Expiration=1,IF($A595&lt;VLOOKUP(Q$5,NFI,5,0),1,0)*Table_NFI[[#This Row],[Plastic Mat]],Table_NFI[Plastic Mat])*IF(Table_NFI[[#This Row],[Distribution Date]]&gt;"2014-04-01",1,2.5)</f>
        <v>0</v>
      </c>
      <c r="AI595" s="264">
        <f>IF(NFI_Expiration=1,IF($A595&lt;VLOOKUP(R$5,NFI,5,0),1,0)*Table_NFI[[#This Row],[Winter Clothes Adult]],Table_NFI[Winter Clothes Adult])</f>
        <v>0</v>
      </c>
      <c r="AJ595" s="264">
        <f>IF(NFI_Expiration=1,IF($A595&lt;VLOOKUP(S$5,NFI,5,0),1,0)*Table_NFI[[#This Row],[Winter Clothes Children]],Table_NFI[Winter Clothes Children])</f>
        <v>0</v>
      </c>
      <c r="AK595" s="264">
        <f>IF(NFI_Expiration=1,IF($A595&lt;VLOOKUP(T$5,NFI,5,0),1,0)*Table_NFI[[#This Row],[Winter Items Other]],Table_NFI[Winter Items Other])</f>
        <v>0</v>
      </c>
      <c r="AL595" s="264">
        <f>IF(NFI_Expiration=1,IF($A595&lt;VLOOKUP(M$5,NFI,5,0),1,0)*Table_NFI[[#This Row],[Winter Blanket]],Table_NFI[[#This Row],[Winter Blanket]])</f>
        <v>0</v>
      </c>
      <c r="AM595" s="264">
        <f>IF(Table_NFI[[#This Row],[Winter Clothes Adult]]+Table_NFI[[#This Row],[Winter Clothes Children]]+Table_NFI[[#This Row],[Winter Items Other]]+Table_NFI[[#This Row],[Winter Blanket]]&gt;0,1,0)</f>
        <v>0</v>
      </c>
      <c r="AN595" s="296">
        <f>IF(NFI_Expiration=1,IF($A595&lt;VLOOKUP(V$5,NFI,5,0),1,0)*Table_NFI[[#This Row],[Jerry Can]],Table_NFI[Jerry Can])</f>
        <v>0</v>
      </c>
      <c r="AO595" s="296">
        <f>IF(NFI_Expiration=1,IF($A595&lt;VLOOKUP(V$5,NFI,5,0),1,0)*Table_NFI[[#This Row],[Shelter Tool kit]],Table_NFI[Shelter Tool kit])</f>
        <v>0</v>
      </c>
      <c r="AP595" s="296">
        <f>IF(NFI_Expiration=1,IF($A595&lt;VLOOKUP(V$5,NFI,5,0),1,0)*Table_NFI[[#This Row],[Tent]],Table_NFI[Tent])</f>
        <v>0</v>
      </c>
      <c r="AQ595" s="396" t="str">
        <f>IFERROR(VLOOKUP(Table_NFI[[#This Row],[Camp Name]],CL,2,0),"")</f>
        <v>MMR001CMP031</v>
      </c>
      <c r="AR595" s="702">
        <f ca="1">IF(Table_NFI[[#This Row],[Pcode]]="","",IF(OFFSET(CampList[Opening Date],MATCH(Table_NFI[[#This Row],[Pcode]],CampList[CP_Pcode],0)-1,0,1,1)&gt;=NFI_Monitor_Date,1,0))</f>
        <v>0</v>
      </c>
      <c r="AS595" s="396" t="str">
        <f>IFERROR(VLOOKUP(Table_NFI[[#This Row],[Camp Name]],CL,3,0),"")</f>
        <v>Open</v>
      </c>
      <c r="AT595" s="264" t="str">
        <f ca="1">IF(Table_NFI[[#This Row],[Pcode]]="","",OFFSET(CampList[Priority],MATCH(Table_NFI[[#This Row],[Pcode]],CampList[CP_Pcode],0)-1,0,1,1))</f>
        <v>P4</v>
      </c>
      <c r="AU595" s="263">
        <f>IFERROR(Table_NFI[[#This Row],[Kitchen Set]]/VLOOKUP(Table_NFI[[#This Row],[Camp Name]],CL,4,0),"")</f>
        <v>0</v>
      </c>
      <c r="AV595" s="390" t="s">
        <v>1087</v>
      </c>
      <c r="AW595" s="392"/>
      <c r="AX595" s="399"/>
      <c r="AY595" s="399"/>
      <c r="AZ595" s="399"/>
      <c r="BA595" s="399"/>
      <c r="BB595" s="399"/>
      <c r="BC595" s="399"/>
      <c r="BD595" s="399"/>
      <c r="BE595" s="399"/>
      <c r="BF595" s="399"/>
      <c r="BG595" s="399"/>
      <c r="BH595" s="399"/>
      <c r="BI595" s="399"/>
      <c r="BJ595" s="399"/>
      <c r="BK595" s="399"/>
      <c r="BL595" s="399"/>
      <c r="BM595" s="399"/>
      <c r="BN595" s="399"/>
      <c r="BO595" s="399"/>
      <c r="BP595" s="399"/>
      <c r="BQ595" s="399"/>
      <c r="BR595" s="399"/>
      <c r="BS595" s="399"/>
      <c r="BT595" s="399"/>
      <c r="BU595" s="399"/>
      <c r="BV595" s="399"/>
      <c r="BW595" s="399"/>
      <c r="BX595" s="399"/>
      <c r="BY595" s="399"/>
      <c r="BZ595" s="399"/>
      <c r="CA595" s="399"/>
      <c r="CB595" s="399"/>
      <c r="CC595" s="399"/>
      <c r="CD595" s="399"/>
      <c r="CE595" s="399"/>
      <c r="CF595" s="399"/>
      <c r="CG595" s="399"/>
      <c r="CH595" s="399"/>
      <c r="CI595" s="399"/>
      <c r="CJ595" s="399"/>
      <c r="CK595" s="399"/>
      <c r="CL595" s="399"/>
      <c r="CM595" s="399"/>
      <c r="CN595" s="399"/>
      <c r="CO595" s="399"/>
      <c r="CP595" s="399"/>
      <c r="CQ595" s="399"/>
      <c r="CR595" s="399"/>
      <c r="CS595" s="399"/>
      <c r="CT595" s="399"/>
      <c r="CU595" s="399"/>
      <c r="CV595" s="399"/>
      <c r="CW595" s="399"/>
      <c r="CX595" s="399"/>
      <c r="CY595" s="399"/>
      <c r="CZ595" s="399"/>
      <c r="DA595" s="399"/>
      <c r="DB595" s="399"/>
      <c r="DC595" s="399"/>
      <c r="DD595" s="399"/>
      <c r="DE595" s="399"/>
      <c r="DF595" s="399"/>
      <c r="DG595" s="399"/>
      <c r="DH595" s="399"/>
      <c r="DI595" s="399"/>
      <c r="DJ595" s="399"/>
      <c r="DK595" s="399"/>
      <c r="DL595" s="399"/>
      <c r="DM595" s="399"/>
      <c r="DN595" s="399"/>
      <c r="DO595" s="399"/>
      <c r="DP595" s="399"/>
      <c r="DQ595" s="399"/>
    </row>
    <row r="596" spans="1:121" s="760" customFormat="1" ht="14.45" customHeight="1" x14ac:dyDescent="0.25">
      <c r="A596" s="266">
        <f t="shared" si="9"/>
        <v>41.6</v>
      </c>
      <c r="B596" s="389">
        <v>41608</v>
      </c>
      <c r="C596" s="390" t="s">
        <v>904</v>
      </c>
      <c r="D596" s="391" t="s">
        <v>459</v>
      </c>
      <c r="E596" s="390" t="s">
        <v>380</v>
      </c>
      <c r="F596" s="262" t="s">
        <v>310</v>
      </c>
      <c r="G596" s="262" t="s">
        <v>324</v>
      </c>
      <c r="H596" s="261"/>
      <c r="I596" s="261"/>
      <c r="J596" s="261"/>
      <c r="K596" s="261"/>
      <c r="L596" s="261"/>
      <c r="M596" s="261"/>
      <c r="N596" s="261"/>
      <c r="O596" s="261"/>
      <c r="P596" s="261"/>
      <c r="Q596" s="261"/>
      <c r="R596" s="261"/>
      <c r="S596" s="261"/>
      <c r="T596" s="261"/>
      <c r="U596" s="261"/>
      <c r="V596" s="762"/>
      <c r="W596" s="261"/>
      <c r="X596" s="261"/>
      <c r="Y596" s="264">
        <f>IF(NFI_Expiration=1,IF($A596&lt;VLOOKUP(H$5,NFI,5,0),1,0)*Table_NFI[[#This Row],[Hygiene Kit]],Table_NFI[Hygiene Kit])</f>
        <v>0</v>
      </c>
      <c r="Z596" s="264">
        <f>IF(NFI_Expiration=1,IF($A596&lt;VLOOKUP(I$5,NFI,5,0),1,0)*Table_NFI[[#This Row],[NFI Core Kit]],Table_NFI[NFI Core Kit])</f>
        <v>0</v>
      </c>
      <c r="AA596" s="264">
        <f>IF(NFI_Expiration=1,IF($A596&lt;VLOOKUP(J$5,NFI,5,0),1,0)*Table_NFI[[#This Row],[Sanitary Kit]],Table_NFI[Sanitary Kit])</f>
        <v>0</v>
      </c>
      <c r="AB596" s="264">
        <f>IF(NFI_Expiration=1,IF($A596&lt;VLOOKUP(K$5,NFI,5,0),1,0)*Table_NFI[[#This Row],[Mosquito net]],Table_NFI[Mosquito net])</f>
        <v>0</v>
      </c>
      <c r="AC596" s="264">
        <f>IF(NFI_Expiration=1,IF($A596&lt;VLOOKUP(L$5,NFI,5,0),1,0)*Table_NFI[[#This Row],[Tarpaulin]],Table_NFI[[#This Row],[Tarpaulin]])</f>
        <v>0</v>
      </c>
      <c r="AD596" s="264">
        <f>IF(NFI_Expiration=1,IF($A596&lt;VLOOKUP(M$5,NFI,5,0),1,0)*Table_NFI[[#This Row],[Blanket]],Table_NFI[[#This Row],[Blanket]])</f>
        <v>0</v>
      </c>
      <c r="AE596" s="264">
        <f>IF(NFI_Expiration=1,IF($A596&lt;VLOOKUP(N$5,NFI,5,0),1,0)*Table_NFI[[#This Row],[Kitchen Set]],Table_NFI[Kitchen Set])</f>
        <v>0</v>
      </c>
      <c r="AF596" s="264">
        <f>IF(NFI_Expiration=1,IF($A596&lt;VLOOKUP(O$5,NFI,5,0),1,0)*Table_NFI[[#This Row],[Clothes Kit]],Table_NFI[Clothes Kit])</f>
        <v>0</v>
      </c>
      <c r="AG596" s="264">
        <f>IF(NFI_Expiration=1,IF($A596&lt;VLOOKUP(P$5,NFI,5,0),1,0)*Table_NFI[[#This Row],[Plastic Bucket]],Table_NFI[Plastic Bucket])</f>
        <v>0</v>
      </c>
      <c r="AH596" s="264">
        <f>IF(NFI_Expiration=1,IF($A596&lt;VLOOKUP(Q$5,NFI,5,0),1,0)*Table_NFI[[#This Row],[Plastic Mat]],Table_NFI[Plastic Mat])*IF(Table_NFI[[#This Row],[Distribution Date]]&gt;"2014-04-01",1,2.5)</f>
        <v>0</v>
      </c>
      <c r="AI596" s="264">
        <f>IF(NFI_Expiration=1,IF($A596&lt;VLOOKUP(R$5,NFI,5,0),1,0)*Table_NFI[[#This Row],[Winter Clothes Adult]],Table_NFI[Winter Clothes Adult])</f>
        <v>0</v>
      </c>
      <c r="AJ596" s="264">
        <f>IF(NFI_Expiration=1,IF($A596&lt;VLOOKUP(S$5,NFI,5,0),1,0)*Table_NFI[[#This Row],[Winter Clothes Children]],Table_NFI[Winter Clothes Children])</f>
        <v>0</v>
      </c>
      <c r="AK596" s="264">
        <f>IF(NFI_Expiration=1,IF($A596&lt;VLOOKUP(T$5,NFI,5,0),1,0)*Table_NFI[[#This Row],[Winter Items Other]],Table_NFI[Winter Items Other])</f>
        <v>0</v>
      </c>
      <c r="AL596" s="264">
        <f>IF(NFI_Expiration=1,IF($A596&lt;VLOOKUP(M$5,NFI,5,0),1,0)*Table_NFI[[#This Row],[Winter Blanket]],Table_NFI[[#This Row],[Winter Blanket]])</f>
        <v>0</v>
      </c>
      <c r="AM596" s="264">
        <f>IF(Table_NFI[[#This Row],[Winter Clothes Adult]]+Table_NFI[[#This Row],[Winter Clothes Children]]+Table_NFI[[#This Row],[Winter Items Other]]+Table_NFI[[#This Row],[Winter Blanket]]&gt;0,1,0)</f>
        <v>0</v>
      </c>
      <c r="AN596" s="296">
        <f>IF(NFI_Expiration=1,IF($A596&lt;VLOOKUP(V$5,NFI,5,0),1,0)*Table_NFI[[#This Row],[Jerry Can]],Table_NFI[Jerry Can])</f>
        <v>0</v>
      </c>
      <c r="AO596" s="296">
        <f>IF(NFI_Expiration=1,IF($A596&lt;VLOOKUP(V$5,NFI,5,0),1,0)*Table_NFI[[#This Row],[Shelter Tool kit]],Table_NFI[Shelter Tool kit])</f>
        <v>0</v>
      </c>
      <c r="AP596" s="296">
        <f>IF(NFI_Expiration=1,IF($A596&lt;VLOOKUP(V$5,NFI,5,0),1,0)*Table_NFI[[#This Row],[Tent]],Table_NFI[Tent])</f>
        <v>0</v>
      </c>
      <c r="AQ596" s="396" t="str">
        <f>IFERROR(VLOOKUP(Table_NFI[[#This Row],[Camp Name]],CL,2,0),"")</f>
        <v>MMR001CMP040</v>
      </c>
      <c r="AR596" s="702">
        <f ca="1">IF(Table_NFI[[#This Row],[Pcode]]="","",IF(OFFSET(CampList[Opening Date],MATCH(Table_NFI[[#This Row],[Pcode]],CampList[CP_Pcode],0)-1,0,1,1)&gt;=NFI_Monitor_Date,1,0))</f>
        <v>0</v>
      </c>
      <c r="AS596" s="396" t="str">
        <f>IFERROR(VLOOKUP(Table_NFI[[#This Row],[Camp Name]],CL,3,0),"")</f>
        <v>Open</v>
      </c>
      <c r="AT596" s="264" t="str">
        <f ca="1">IF(Table_NFI[[#This Row],[Pcode]]="","",OFFSET(CampList[Priority],MATCH(Table_NFI[[#This Row],[Pcode]],CampList[CP_Pcode],0)-1,0,1,1))</f>
        <v>P4</v>
      </c>
      <c r="AU596" s="263">
        <f>IFERROR(Table_NFI[[#This Row],[Kitchen Set]]/VLOOKUP(Table_NFI[[#This Row],[Camp Name]],CL,4,0),"")</f>
        <v>0</v>
      </c>
      <c r="AV596" s="390" t="s">
        <v>1087</v>
      </c>
      <c r="AW596" s="392"/>
      <c r="AX596" s="399"/>
      <c r="AY596" s="399"/>
      <c r="AZ596" s="399"/>
      <c r="BA596" s="399"/>
      <c r="BB596" s="399"/>
      <c r="BC596" s="399"/>
      <c r="BD596" s="399"/>
      <c r="BE596" s="399"/>
      <c r="BF596" s="399"/>
      <c r="BG596" s="399"/>
      <c r="BH596" s="399"/>
      <c r="BI596" s="399"/>
      <c r="BJ596" s="399"/>
      <c r="BK596" s="399"/>
      <c r="BL596" s="399"/>
      <c r="BM596" s="399"/>
      <c r="BN596" s="399"/>
      <c r="BO596" s="399"/>
      <c r="BP596" s="399"/>
      <c r="BQ596" s="399"/>
      <c r="BR596" s="399"/>
      <c r="BS596" s="399"/>
      <c r="BT596" s="399"/>
      <c r="BU596" s="399"/>
      <c r="BV596" s="399"/>
      <c r="BW596" s="399"/>
      <c r="BX596" s="399"/>
      <c r="BY596" s="399"/>
      <c r="BZ596" s="399"/>
      <c r="CA596" s="399"/>
      <c r="CB596" s="399"/>
      <c r="CC596" s="399"/>
      <c r="CD596" s="399"/>
      <c r="CE596" s="399"/>
      <c r="CF596" s="399"/>
      <c r="CG596" s="399"/>
      <c r="CH596" s="399"/>
      <c r="CI596" s="399"/>
      <c r="CJ596" s="399"/>
      <c r="CK596" s="399"/>
      <c r="CL596" s="399"/>
      <c r="CM596" s="399"/>
      <c r="CN596" s="399"/>
      <c r="CO596" s="399"/>
      <c r="CP596" s="399"/>
      <c r="CQ596" s="399"/>
      <c r="CR596" s="399"/>
      <c r="CS596" s="399"/>
      <c r="CT596" s="399"/>
      <c r="CU596" s="399"/>
      <c r="CV596" s="399"/>
      <c r="CW596" s="399"/>
      <c r="CX596" s="399"/>
      <c r="CY596" s="399"/>
      <c r="CZ596" s="399"/>
      <c r="DA596" s="399"/>
      <c r="DB596" s="399"/>
      <c r="DC596" s="399"/>
      <c r="DD596" s="399"/>
      <c r="DE596" s="399"/>
      <c r="DF596" s="399"/>
      <c r="DG596" s="399"/>
      <c r="DH596" s="399"/>
      <c r="DI596" s="399"/>
      <c r="DJ596" s="399"/>
      <c r="DK596" s="399"/>
      <c r="DL596" s="399"/>
      <c r="DM596" s="399"/>
      <c r="DN596" s="399"/>
      <c r="DO596" s="399"/>
      <c r="DP596" s="399"/>
      <c r="DQ596" s="399"/>
    </row>
    <row r="597" spans="1:121" s="760" customFormat="1" ht="15" customHeight="1" x14ac:dyDescent="0.25">
      <c r="A597" s="266">
        <f t="shared" si="9"/>
        <v>41.6</v>
      </c>
      <c r="B597" s="389">
        <v>41608</v>
      </c>
      <c r="C597" s="390" t="s">
        <v>904</v>
      </c>
      <c r="D597" s="391" t="s">
        <v>459</v>
      </c>
      <c r="E597" s="390" t="s">
        <v>380</v>
      </c>
      <c r="F597" s="262" t="s">
        <v>310</v>
      </c>
      <c r="G597" s="262" t="s">
        <v>326</v>
      </c>
      <c r="H597" s="261"/>
      <c r="I597" s="261"/>
      <c r="J597" s="261"/>
      <c r="K597" s="261"/>
      <c r="L597" s="261"/>
      <c r="M597" s="261"/>
      <c r="N597" s="261"/>
      <c r="O597" s="261"/>
      <c r="P597" s="261"/>
      <c r="Q597" s="261"/>
      <c r="R597" s="261"/>
      <c r="S597" s="261"/>
      <c r="T597" s="261"/>
      <c r="U597" s="261"/>
      <c r="V597" s="762"/>
      <c r="W597" s="261"/>
      <c r="X597" s="261"/>
      <c r="Y597" s="264">
        <f>IF(NFI_Expiration=1,IF($A597&lt;VLOOKUP(H$5,NFI,5,0),1,0)*Table_NFI[[#This Row],[Hygiene Kit]],Table_NFI[Hygiene Kit])</f>
        <v>0</v>
      </c>
      <c r="Z597" s="264">
        <f>IF(NFI_Expiration=1,IF($A597&lt;VLOOKUP(I$5,NFI,5,0),1,0)*Table_NFI[[#This Row],[NFI Core Kit]],Table_NFI[NFI Core Kit])</f>
        <v>0</v>
      </c>
      <c r="AA597" s="264">
        <f>IF(NFI_Expiration=1,IF($A597&lt;VLOOKUP(J$5,NFI,5,0),1,0)*Table_NFI[[#This Row],[Sanitary Kit]],Table_NFI[Sanitary Kit])</f>
        <v>0</v>
      </c>
      <c r="AB597" s="264">
        <f>IF(NFI_Expiration=1,IF($A597&lt;VLOOKUP(K$5,NFI,5,0),1,0)*Table_NFI[[#This Row],[Mosquito net]],Table_NFI[Mosquito net])</f>
        <v>0</v>
      </c>
      <c r="AC597" s="264">
        <f>IF(NFI_Expiration=1,IF($A597&lt;VLOOKUP(L$5,NFI,5,0),1,0)*Table_NFI[[#This Row],[Tarpaulin]],Table_NFI[[#This Row],[Tarpaulin]])</f>
        <v>0</v>
      </c>
      <c r="AD597" s="264">
        <f>IF(NFI_Expiration=1,IF($A597&lt;VLOOKUP(M$5,NFI,5,0),1,0)*Table_NFI[[#This Row],[Blanket]],Table_NFI[[#This Row],[Blanket]])</f>
        <v>0</v>
      </c>
      <c r="AE597" s="264">
        <f>IF(NFI_Expiration=1,IF($A597&lt;VLOOKUP(N$5,NFI,5,0),1,0)*Table_NFI[[#This Row],[Kitchen Set]],Table_NFI[Kitchen Set])</f>
        <v>0</v>
      </c>
      <c r="AF597" s="264">
        <f>IF(NFI_Expiration=1,IF($A597&lt;VLOOKUP(O$5,NFI,5,0),1,0)*Table_NFI[[#This Row],[Clothes Kit]],Table_NFI[Clothes Kit])</f>
        <v>0</v>
      </c>
      <c r="AG597" s="264">
        <f>IF(NFI_Expiration=1,IF($A597&lt;VLOOKUP(P$5,NFI,5,0),1,0)*Table_NFI[[#This Row],[Plastic Bucket]],Table_NFI[Plastic Bucket])</f>
        <v>0</v>
      </c>
      <c r="AH597" s="264">
        <f>IF(NFI_Expiration=1,IF($A597&lt;VLOOKUP(Q$5,NFI,5,0),1,0)*Table_NFI[[#This Row],[Plastic Mat]],Table_NFI[Plastic Mat])*IF(Table_NFI[[#This Row],[Distribution Date]]&gt;"2014-04-01",1,2.5)</f>
        <v>0</v>
      </c>
      <c r="AI597" s="264">
        <f>IF(NFI_Expiration=1,IF($A597&lt;VLOOKUP(R$5,NFI,5,0),1,0)*Table_NFI[[#This Row],[Winter Clothes Adult]],Table_NFI[Winter Clothes Adult])</f>
        <v>0</v>
      </c>
      <c r="AJ597" s="264">
        <f>IF(NFI_Expiration=1,IF($A597&lt;VLOOKUP(S$5,NFI,5,0),1,0)*Table_NFI[[#This Row],[Winter Clothes Children]],Table_NFI[Winter Clothes Children])</f>
        <v>0</v>
      </c>
      <c r="AK597" s="264">
        <f>IF(NFI_Expiration=1,IF($A597&lt;VLOOKUP(T$5,NFI,5,0),1,0)*Table_NFI[[#This Row],[Winter Items Other]],Table_NFI[Winter Items Other])</f>
        <v>0</v>
      </c>
      <c r="AL597" s="264">
        <f>IF(NFI_Expiration=1,IF($A597&lt;VLOOKUP(M$5,NFI,5,0),1,0)*Table_NFI[[#This Row],[Winter Blanket]],Table_NFI[[#This Row],[Winter Blanket]])</f>
        <v>0</v>
      </c>
      <c r="AM597" s="264">
        <f>IF(Table_NFI[[#This Row],[Winter Clothes Adult]]+Table_NFI[[#This Row],[Winter Clothes Children]]+Table_NFI[[#This Row],[Winter Items Other]]+Table_NFI[[#This Row],[Winter Blanket]]&gt;0,1,0)</f>
        <v>0</v>
      </c>
      <c r="AN597" s="296">
        <f>IF(NFI_Expiration=1,IF($A597&lt;VLOOKUP(V$5,NFI,5,0),1,0)*Table_NFI[[#This Row],[Jerry Can]],Table_NFI[Jerry Can])</f>
        <v>0</v>
      </c>
      <c r="AO597" s="296">
        <f>IF(NFI_Expiration=1,IF($A597&lt;VLOOKUP(V$5,NFI,5,0),1,0)*Table_NFI[[#This Row],[Shelter Tool kit]],Table_NFI[Shelter Tool kit])</f>
        <v>0</v>
      </c>
      <c r="AP597" s="296">
        <f>IF(NFI_Expiration=1,IF($A597&lt;VLOOKUP(V$5,NFI,5,0),1,0)*Table_NFI[[#This Row],[Tent]],Table_NFI[Tent])</f>
        <v>0</v>
      </c>
      <c r="AQ597" s="396" t="str">
        <f>IFERROR(VLOOKUP(Table_NFI[[#This Row],[Camp Name]],CL,2,0),"")</f>
        <v>MMR001CMP039</v>
      </c>
      <c r="AR597" s="702">
        <f ca="1">IF(Table_NFI[[#This Row],[Pcode]]="","",IF(OFFSET(CampList[Opening Date],MATCH(Table_NFI[[#This Row],[Pcode]],CampList[CP_Pcode],0)-1,0,1,1)&gt;=NFI_Monitor_Date,1,0))</f>
        <v>0</v>
      </c>
      <c r="AS597" s="396" t="str">
        <f>IFERROR(VLOOKUP(Table_NFI[[#This Row],[Camp Name]],CL,3,0),"")</f>
        <v>Open</v>
      </c>
      <c r="AT597" s="264" t="str">
        <f ca="1">IF(Table_NFI[[#This Row],[Pcode]]="","",OFFSET(CampList[Priority],MATCH(Table_NFI[[#This Row],[Pcode]],CampList[CP_Pcode],0)-1,0,1,1))</f>
        <v>P4</v>
      </c>
      <c r="AU597" s="263">
        <f>IFERROR(Table_NFI[[#This Row],[Kitchen Set]]/VLOOKUP(Table_NFI[[#This Row],[Camp Name]],CL,4,0),"")</f>
        <v>0</v>
      </c>
      <c r="AV597" s="390" t="s">
        <v>1087</v>
      </c>
      <c r="AW597" s="392"/>
      <c r="AX597" s="399"/>
      <c r="AY597" s="399"/>
      <c r="AZ597" s="399"/>
      <c r="BA597" s="399"/>
      <c r="BB597" s="399"/>
      <c r="BC597" s="399"/>
      <c r="BD597" s="399"/>
      <c r="BE597" s="399"/>
      <c r="BF597" s="399"/>
      <c r="BG597" s="399"/>
      <c r="BH597" s="399"/>
      <c r="BI597" s="399"/>
      <c r="BJ597" s="399"/>
      <c r="BK597" s="399"/>
      <c r="BL597" s="399"/>
      <c r="BM597" s="399"/>
      <c r="BN597" s="399"/>
      <c r="BO597" s="399"/>
      <c r="BP597" s="399"/>
      <c r="BQ597" s="399"/>
      <c r="BR597" s="399"/>
      <c r="BS597" s="399"/>
      <c r="BT597" s="399"/>
      <c r="BU597" s="399"/>
      <c r="BV597" s="399"/>
      <c r="BW597" s="399"/>
      <c r="BX597" s="399"/>
      <c r="BY597" s="399"/>
      <c r="BZ597" s="399"/>
      <c r="CA597" s="399"/>
      <c r="CB597" s="399"/>
      <c r="CC597" s="399"/>
      <c r="CD597" s="399"/>
      <c r="CE597" s="399"/>
      <c r="CF597" s="399"/>
      <c r="CG597" s="399"/>
      <c r="CH597" s="399"/>
      <c r="CI597" s="399"/>
      <c r="CJ597" s="399"/>
      <c r="CK597" s="399"/>
      <c r="CL597" s="399"/>
      <c r="CM597" s="399"/>
      <c r="CN597" s="399"/>
      <c r="CO597" s="399"/>
      <c r="CP597" s="399"/>
      <c r="CQ597" s="399"/>
      <c r="CR597" s="399"/>
      <c r="CS597" s="399"/>
      <c r="CT597" s="399"/>
      <c r="CU597" s="399"/>
      <c r="CV597" s="399"/>
      <c r="CW597" s="399"/>
      <c r="CX597" s="399"/>
      <c r="CY597" s="399"/>
      <c r="CZ597" s="399"/>
      <c r="DA597" s="399"/>
      <c r="DB597" s="399"/>
      <c r="DC597" s="399"/>
      <c r="DD597" s="399"/>
      <c r="DE597" s="399"/>
      <c r="DF597" s="399"/>
      <c r="DG597" s="399"/>
      <c r="DH597" s="399"/>
      <c r="DI597" s="399"/>
      <c r="DJ597" s="399"/>
      <c r="DK597" s="399"/>
      <c r="DL597" s="399"/>
      <c r="DM597" s="399"/>
      <c r="DN597" s="399"/>
      <c r="DO597" s="399"/>
      <c r="DP597" s="399"/>
      <c r="DQ597" s="399"/>
    </row>
    <row r="598" spans="1:121" s="760" customFormat="1" ht="15" customHeight="1" x14ac:dyDescent="0.25">
      <c r="A598" s="266">
        <f t="shared" si="9"/>
        <v>41.6</v>
      </c>
      <c r="B598" s="389">
        <v>41608</v>
      </c>
      <c r="C598" s="390" t="s">
        <v>904</v>
      </c>
      <c r="D598" s="390"/>
      <c r="E598" s="390" t="s">
        <v>380</v>
      </c>
      <c r="F598" s="262" t="s">
        <v>185</v>
      </c>
      <c r="G598" s="262" t="s">
        <v>202</v>
      </c>
      <c r="H598" s="261"/>
      <c r="I598" s="261"/>
      <c r="J598" s="261"/>
      <c r="K598" s="261"/>
      <c r="L598" s="261"/>
      <c r="M598" s="261"/>
      <c r="N598" s="261"/>
      <c r="O598" s="261"/>
      <c r="P598" s="261"/>
      <c r="Q598" s="261">
        <v>141</v>
      </c>
      <c r="R598" s="261"/>
      <c r="S598" s="261"/>
      <c r="T598" s="261"/>
      <c r="U598" s="261"/>
      <c r="V598" s="762"/>
      <c r="W598" s="261"/>
      <c r="X598" s="261"/>
      <c r="Y598" s="264">
        <f>IF(NFI_Expiration=1,IF($A598&lt;VLOOKUP(H$5,NFI,5,0),1,0)*Table_NFI[[#This Row],[Hygiene Kit]],Table_NFI[Hygiene Kit])</f>
        <v>0</v>
      </c>
      <c r="Z598" s="264">
        <f>IF(NFI_Expiration=1,IF($A598&lt;VLOOKUP(I$5,NFI,5,0),1,0)*Table_NFI[[#This Row],[NFI Core Kit]],Table_NFI[NFI Core Kit])</f>
        <v>0</v>
      </c>
      <c r="AA598" s="264">
        <f>IF(NFI_Expiration=1,IF($A598&lt;VLOOKUP(J$5,NFI,5,0),1,0)*Table_NFI[[#This Row],[Sanitary Kit]],Table_NFI[Sanitary Kit])</f>
        <v>0</v>
      </c>
      <c r="AB598" s="264">
        <f>IF(NFI_Expiration=1,IF($A598&lt;VLOOKUP(K$5,NFI,5,0),1,0)*Table_NFI[[#This Row],[Mosquito net]],Table_NFI[Mosquito net])</f>
        <v>0</v>
      </c>
      <c r="AC598" s="264">
        <f>IF(NFI_Expiration=1,IF($A598&lt;VLOOKUP(L$5,NFI,5,0),1,0)*Table_NFI[[#This Row],[Tarpaulin]],Table_NFI[[#This Row],[Tarpaulin]])</f>
        <v>0</v>
      </c>
      <c r="AD598" s="264">
        <f>IF(NFI_Expiration=1,IF($A598&lt;VLOOKUP(M$5,NFI,5,0),1,0)*Table_NFI[[#This Row],[Blanket]],Table_NFI[[#This Row],[Blanket]])</f>
        <v>0</v>
      </c>
      <c r="AE598" s="264">
        <f>IF(NFI_Expiration=1,IF($A598&lt;VLOOKUP(N$5,NFI,5,0),1,0)*Table_NFI[[#This Row],[Kitchen Set]],Table_NFI[Kitchen Set])</f>
        <v>0</v>
      </c>
      <c r="AF598" s="264">
        <f>IF(NFI_Expiration=1,IF($A598&lt;VLOOKUP(O$5,NFI,5,0),1,0)*Table_NFI[[#This Row],[Clothes Kit]],Table_NFI[Clothes Kit])</f>
        <v>0</v>
      </c>
      <c r="AG598" s="264">
        <f>IF(NFI_Expiration=1,IF($A598&lt;VLOOKUP(P$5,NFI,5,0),1,0)*Table_NFI[[#This Row],[Plastic Bucket]],Table_NFI[Plastic Bucket])</f>
        <v>0</v>
      </c>
      <c r="AH598" s="264">
        <f>IF(NFI_Expiration=1,IF($A598&lt;VLOOKUP(Q$5,NFI,5,0),1,0)*Table_NFI[[#This Row],[Plastic Mat]],Table_NFI[Plastic Mat])*IF(Table_NFI[[#This Row],[Distribution Date]]&gt;"2014-04-01",1,2.5)</f>
        <v>0</v>
      </c>
      <c r="AI598" s="264">
        <f>IF(NFI_Expiration=1,IF($A598&lt;VLOOKUP(R$5,NFI,5,0),1,0)*Table_NFI[[#This Row],[Winter Clothes Adult]],Table_NFI[Winter Clothes Adult])</f>
        <v>0</v>
      </c>
      <c r="AJ598" s="264">
        <f>IF(NFI_Expiration=1,IF($A598&lt;VLOOKUP(S$5,NFI,5,0),1,0)*Table_NFI[[#This Row],[Winter Clothes Children]],Table_NFI[Winter Clothes Children])</f>
        <v>0</v>
      </c>
      <c r="AK598" s="264">
        <f>IF(NFI_Expiration=1,IF($A598&lt;VLOOKUP(T$5,NFI,5,0),1,0)*Table_NFI[[#This Row],[Winter Items Other]],Table_NFI[Winter Items Other])</f>
        <v>0</v>
      </c>
      <c r="AL598" s="264">
        <f>IF(NFI_Expiration=1,IF($A598&lt;VLOOKUP(M$5,NFI,5,0),1,0)*Table_NFI[[#This Row],[Winter Blanket]],Table_NFI[[#This Row],[Winter Blanket]])</f>
        <v>0</v>
      </c>
      <c r="AM598" s="264">
        <f>IF(Table_NFI[[#This Row],[Winter Clothes Adult]]+Table_NFI[[#This Row],[Winter Clothes Children]]+Table_NFI[[#This Row],[Winter Items Other]]+Table_NFI[[#This Row],[Winter Blanket]]&gt;0,1,0)</f>
        <v>0</v>
      </c>
      <c r="AN598" s="296">
        <f>IF(NFI_Expiration=1,IF($A598&lt;VLOOKUP(V$5,NFI,5,0),1,0)*Table_NFI[[#This Row],[Jerry Can]],Table_NFI[Jerry Can])</f>
        <v>0</v>
      </c>
      <c r="AO598" s="296">
        <f>IF(NFI_Expiration=1,IF($A598&lt;VLOOKUP(V$5,NFI,5,0),1,0)*Table_NFI[[#This Row],[Shelter Tool kit]],Table_NFI[Shelter Tool kit])</f>
        <v>0</v>
      </c>
      <c r="AP598" s="296">
        <f>IF(NFI_Expiration=1,IF($A598&lt;VLOOKUP(V$5,NFI,5,0),1,0)*Table_NFI[[#This Row],[Tent]],Table_NFI[Tent])</f>
        <v>0</v>
      </c>
      <c r="AQ598" s="396" t="str">
        <f>IFERROR(VLOOKUP(Table_NFI[[#This Row],[Camp Name]],CL,2,0),"")</f>
        <v>MMR001CMP062</v>
      </c>
      <c r="AR598" s="702">
        <f ca="1">IF(Table_NFI[[#This Row],[Pcode]]="","",IF(OFFSET(CampList[Opening Date],MATCH(Table_NFI[[#This Row],[Pcode]],CampList[CP_Pcode],0)-1,0,1,1)&gt;=NFI_Monitor_Date,1,0))</f>
        <v>0</v>
      </c>
      <c r="AS598" s="396" t="str">
        <f>IFERROR(VLOOKUP(Table_NFI[[#This Row],[Camp Name]],CL,3,0),"")</f>
        <v>Open</v>
      </c>
      <c r="AT598" s="264" t="str">
        <f ca="1">IF(Table_NFI[[#This Row],[Pcode]]="","",OFFSET(CampList[Priority],MATCH(Table_NFI[[#This Row],[Pcode]],CampList[CP_Pcode],0)-1,0,1,1))</f>
        <v>P4</v>
      </c>
      <c r="AU598" s="263">
        <f>IFERROR(Table_NFI[[#This Row],[Kitchen Set]]/VLOOKUP(Table_NFI[[#This Row],[Camp Name]],CL,4,0),"")</f>
        <v>0</v>
      </c>
      <c r="AV598" s="390" t="s">
        <v>1087</v>
      </c>
      <c r="AW598" s="392"/>
      <c r="AX598" s="399"/>
      <c r="AY598" s="399"/>
      <c r="AZ598" s="399"/>
      <c r="BA598" s="399"/>
      <c r="BB598" s="399"/>
      <c r="BC598" s="399"/>
      <c r="BD598" s="399"/>
      <c r="BE598" s="399"/>
      <c r="BF598" s="399"/>
      <c r="BG598" s="399"/>
      <c r="BH598" s="399"/>
      <c r="BI598" s="399"/>
      <c r="BJ598" s="399"/>
      <c r="BK598" s="399"/>
      <c r="BL598" s="399"/>
      <c r="BM598" s="399"/>
      <c r="BN598" s="399"/>
      <c r="BO598" s="399"/>
      <c r="BP598" s="399"/>
      <c r="BQ598" s="399"/>
      <c r="BR598" s="399"/>
      <c r="BS598" s="399"/>
      <c r="BT598" s="399"/>
      <c r="BU598" s="399"/>
      <c r="BV598" s="399"/>
      <c r="BW598" s="399"/>
      <c r="BX598" s="399"/>
      <c r="BY598" s="399"/>
      <c r="BZ598" s="399"/>
      <c r="CA598" s="399"/>
      <c r="CB598" s="399"/>
      <c r="CC598" s="399"/>
      <c r="CD598" s="399"/>
      <c r="CE598" s="399"/>
      <c r="CF598" s="399"/>
      <c r="CG598" s="399"/>
      <c r="CH598" s="399"/>
      <c r="CI598" s="399"/>
      <c r="CJ598" s="399"/>
      <c r="CK598" s="399"/>
      <c r="CL598" s="399"/>
      <c r="CM598" s="399"/>
      <c r="CN598" s="399"/>
      <c r="CO598" s="399"/>
      <c r="CP598" s="399"/>
      <c r="CQ598" s="399"/>
      <c r="CR598" s="399"/>
      <c r="CS598" s="399"/>
      <c r="CT598" s="399"/>
      <c r="CU598" s="399"/>
      <c r="CV598" s="399"/>
      <c r="CW598" s="399"/>
      <c r="CX598" s="399"/>
      <c r="CY598" s="399"/>
      <c r="CZ598" s="399"/>
      <c r="DA598" s="399"/>
      <c r="DB598" s="399"/>
      <c r="DC598" s="399"/>
      <c r="DD598" s="399"/>
      <c r="DE598" s="399"/>
      <c r="DF598" s="399"/>
      <c r="DG598" s="399"/>
      <c r="DH598" s="399"/>
      <c r="DI598" s="399"/>
      <c r="DJ598" s="399"/>
      <c r="DK598" s="399"/>
      <c r="DL598" s="399"/>
      <c r="DM598" s="399"/>
      <c r="DN598" s="399"/>
      <c r="DO598" s="399"/>
      <c r="DP598" s="399"/>
      <c r="DQ598" s="399"/>
    </row>
    <row r="599" spans="1:121" s="760" customFormat="1" ht="14.45" customHeight="1" x14ac:dyDescent="0.25">
      <c r="A599" s="266">
        <f t="shared" si="9"/>
        <v>41.6</v>
      </c>
      <c r="B599" s="389">
        <v>41608</v>
      </c>
      <c r="C599" s="390" t="s">
        <v>1092</v>
      </c>
      <c r="D599" s="391" t="s">
        <v>943</v>
      </c>
      <c r="E599" s="390" t="s">
        <v>380</v>
      </c>
      <c r="F599" s="390" t="s">
        <v>151</v>
      </c>
      <c r="G599" s="262" t="s">
        <v>160</v>
      </c>
      <c r="H599" s="261"/>
      <c r="I599" s="261"/>
      <c r="J599" s="261"/>
      <c r="K599" s="261"/>
      <c r="L599" s="261"/>
      <c r="M599" s="261">
        <v>347</v>
      </c>
      <c r="N599" s="261"/>
      <c r="O599" s="261"/>
      <c r="P599" s="261"/>
      <c r="Q599" s="261"/>
      <c r="R599" s="261">
        <v>386</v>
      </c>
      <c r="S599" s="261">
        <v>234</v>
      </c>
      <c r="T599" s="261">
        <v>0</v>
      </c>
      <c r="U599" s="261"/>
      <c r="V599" s="762"/>
      <c r="W599" s="261"/>
      <c r="X599" s="261"/>
      <c r="Y599" s="264">
        <f>IF(NFI_Expiration=1,IF($A599&lt;VLOOKUP(H$5,NFI,5,0),1,0)*Table_NFI[[#This Row],[Hygiene Kit]],Table_NFI[Hygiene Kit])</f>
        <v>0</v>
      </c>
      <c r="Z599" s="264">
        <f>IF(NFI_Expiration=1,IF($A599&lt;VLOOKUP(I$5,NFI,5,0),1,0)*Table_NFI[[#This Row],[NFI Core Kit]],Table_NFI[NFI Core Kit])</f>
        <v>0</v>
      </c>
      <c r="AA599" s="264">
        <f>IF(NFI_Expiration=1,IF($A599&lt;VLOOKUP(J$5,NFI,5,0),1,0)*Table_NFI[[#This Row],[Sanitary Kit]],Table_NFI[Sanitary Kit])</f>
        <v>0</v>
      </c>
      <c r="AB599" s="264">
        <f>IF(NFI_Expiration=1,IF($A599&lt;VLOOKUP(K$5,NFI,5,0),1,0)*Table_NFI[[#This Row],[Mosquito net]],Table_NFI[Mosquito net])</f>
        <v>0</v>
      </c>
      <c r="AC599" s="264">
        <f>IF(NFI_Expiration=1,IF($A599&lt;VLOOKUP(L$5,NFI,5,0),1,0)*Table_NFI[[#This Row],[Tarpaulin]],Table_NFI[[#This Row],[Tarpaulin]])</f>
        <v>0</v>
      </c>
      <c r="AD599" s="264">
        <f>IF(NFI_Expiration=1,IF($A599&lt;VLOOKUP(M$5,NFI,5,0),1,0)*Table_NFI[[#This Row],[Blanket]],Table_NFI[[#This Row],[Blanket]])</f>
        <v>0</v>
      </c>
      <c r="AE599" s="264">
        <f>IF(NFI_Expiration=1,IF($A599&lt;VLOOKUP(N$5,NFI,5,0),1,0)*Table_NFI[[#This Row],[Kitchen Set]],Table_NFI[Kitchen Set])</f>
        <v>0</v>
      </c>
      <c r="AF599" s="264">
        <f>IF(NFI_Expiration=1,IF($A599&lt;VLOOKUP(O$5,NFI,5,0),1,0)*Table_NFI[[#This Row],[Clothes Kit]],Table_NFI[Clothes Kit])</f>
        <v>0</v>
      </c>
      <c r="AG599" s="264">
        <f>IF(NFI_Expiration=1,IF($A599&lt;VLOOKUP(P$5,NFI,5,0),1,0)*Table_NFI[[#This Row],[Plastic Bucket]],Table_NFI[Plastic Bucket])</f>
        <v>0</v>
      </c>
      <c r="AH599" s="264">
        <f>IF(NFI_Expiration=1,IF($A599&lt;VLOOKUP(Q$5,NFI,5,0),1,0)*Table_NFI[[#This Row],[Plastic Mat]],Table_NFI[Plastic Mat])*IF(Table_NFI[[#This Row],[Distribution Date]]&gt;"2014-04-01",1,2.5)</f>
        <v>0</v>
      </c>
      <c r="AI599" s="264">
        <f>IF(NFI_Expiration=1,IF($A599&lt;VLOOKUP(R$5,NFI,5,0),1,0)*Table_NFI[[#This Row],[Winter Clothes Adult]],Table_NFI[Winter Clothes Adult])</f>
        <v>0</v>
      </c>
      <c r="AJ599" s="264">
        <f>IF(NFI_Expiration=1,IF($A599&lt;VLOOKUP(S$5,NFI,5,0),1,0)*Table_NFI[[#This Row],[Winter Clothes Children]],Table_NFI[Winter Clothes Children])</f>
        <v>0</v>
      </c>
      <c r="AK599" s="264">
        <f>IF(NFI_Expiration=1,IF($A599&lt;VLOOKUP(T$5,NFI,5,0),1,0)*Table_NFI[[#This Row],[Winter Items Other]],Table_NFI[Winter Items Other])</f>
        <v>0</v>
      </c>
      <c r="AL599" s="264">
        <f>IF(NFI_Expiration=1,IF($A599&lt;VLOOKUP(M$5,NFI,5,0),1,0)*Table_NFI[[#This Row],[Winter Blanket]],Table_NFI[[#This Row],[Winter Blanket]])</f>
        <v>0</v>
      </c>
      <c r="AM599" s="264">
        <f>IF(Table_NFI[[#This Row],[Winter Clothes Adult]]+Table_NFI[[#This Row],[Winter Clothes Children]]+Table_NFI[[#This Row],[Winter Items Other]]+Table_NFI[[#This Row],[Winter Blanket]]&gt;0,1,0)</f>
        <v>1</v>
      </c>
      <c r="AN599" s="296">
        <f>IF(NFI_Expiration=1,IF($A599&lt;VLOOKUP(V$5,NFI,5,0),1,0)*Table_NFI[[#This Row],[Jerry Can]],Table_NFI[Jerry Can])</f>
        <v>0</v>
      </c>
      <c r="AO599" s="296">
        <f>IF(NFI_Expiration=1,IF($A599&lt;VLOOKUP(V$5,NFI,5,0),1,0)*Table_NFI[[#This Row],[Shelter Tool kit]],Table_NFI[Shelter Tool kit])</f>
        <v>0</v>
      </c>
      <c r="AP599" s="296">
        <f>IF(NFI_Expiration=1,IF($A599&lt;VLOOKUP(V$5,NFI,5,0),1,0)*Table_NFI[[#This Row],[Tent]],Table_NFI[Tent])</f>
        <v>0</v>
      </c>
      <c r="AQ599" s="396" t="str">
        <f>IFERROR(VLOOKUP(Table_NFI[[#This Row],[Camp Name]],CL,2,0),"")</f>
        <v>MMR001CMP133</v>
      </c>
      <c r="AR599" s="702">
        <f ca="1">IF(Table_NFI[[#This Row],[Pcode]]="","",IF(OFFSET(CampList[Opening Date],MATCH(Table_NFI[[#This Row],[Pcode]],CampList[CP_Pcode],0)-1,0,1,1)&gt;=NFI_Monitor_Date,1,0))</f>
        <v>0</v>
      </c>
      <c r="AS599" s="396" t="str">
        <f>IFERROR(VLOOKUP(Table_NFI[[#This Row],[Camp Name]],CL,3,0),"")</f>
        <v>Open</v>
      </c>
      <c r="AT599" s="264" t="str">
        <f ca="1">IF(Table_NFI[[#This Row],[Pcode]]="","",OFFSET(CampList[Priority],MATCH(Table_NFI[[#This Row],[Pcode]],CampList[CP_Pcode],0)-1,0,1,1))</f>
        <v>P4</v>
      </c>
      <c r="AU599" s="263">
        <f>IFERROR(Table_NFI[[#This Row],[Kitchen Set]]/VLOOKUP(Table_NFI[[#This Row],[Camp Name]],CL,4,0),"")</f>
        <v>0</v>
      </c>
      <c r="AV599" s="390" t="s">
        <v>1087</v>
      </c>
      <c r="AW599" s="392"/>
      <c r="AX599" s="399"/>
      <c r="AY599" s="399"/>
      <c r="AZ599" s="399"/>
      <c r="BA599" s="399"/>
      <c r="BB599" s="399"/>
      <c r="BC599" s="399"/>
      <c r="BD599" s="399"/>
      <c r="BE599" s="399"/>
      <c r="BF599" s="399"/>
      <c r="BG599" s="399"/>
      <c r="BH599" s="399"/>
      <c r="BI599" s="399"/>
      <c r="BJ599" s="399"/>
      <c r="BK599" s="399"/>
      <c r="BL599" s="399"/>
      <c r="BM599" s="399"/>
      <c r="BN599" s="399"/>
      <c r="BO599" s="399"/>
      <c r="BP599" s="399"/>
      <c r="BQ599" s="399"/>
      <c r="BR599" s="399"/>
      <c r="BS599" s="399"/>
      <c r="BT599" s="399"/>
      <c r="BU599" s="399"/>
      <c r="BV599" s="399"/>
      <c r="BW599" s="399"/>
      <c r="BX599" s="399"/>
      <c r="BY599" s="399"/>
      <c r="BZ599" s="399"/>
      <c r="CA599" s="399"/>
      <c r="CB599" s="399"/>
      <c r="CC599" s="399"/>
      <c r="CD599" s="399"/>
      <c r="CE599" s="399"/>
      <c r="CF599" s="399"/>
      <c r="CG599" s="399"/>
      <c r="CH599" s="399"/>
      <c r="CI599" s="399"/>
      <c r="CJ599" s="399"/>
      <c r="CK599" s="399"/>
      <c r="CL599" s="399"/>
      <c r="CM599" s="399"/>
      <c r="CN599" s="399"/>
      <c r="CO599" s="399"/>
      <c r="CP599" s="399"/>
      <c r="CQ599" s="399"/>
      <c r="CR599" s="399"/>
      <c r="CS599" s="399"/>
      <c r="CT599" s="399"/>
      <c r="CU599" s="399"/>
      <c r="CV599" s="399"/>
      <c r="CW599" s="399"/>
      <c r="CX599" s="399"/>
      <c r="CY599" s="399"/>
      <c r="CZ599" s="399"/>
      <c r="DA599" s="399"/>
      <c r="DB599" s="399"/>
      <c r="DC599" s="399"/>
      <c r="DD599" s="399"/>
      <c r="DE599" s="399"/>
      <c r="DF599" s="399"/>
      <c r="DG599" s="399"/>
      <c r="DH599" s="399"/>
      <c r="DI599" s="399"/>
      <c r="DJ599" s="399"/>
      <c r="DK599" s="399"/>
      <c r="DL599" s="399"/>
      <c r="DM599" s="399"/>
      <c r="DN599" s="399"/>
      <c r="DO599" s="399"/>
      <c r="DP599" s="399"/>
      <c r="DQ599" s="399"/>
    </row>
    <row r="600" spans="1:121" s="760" customFormat="1" ht="14.45" customHeight="1" x14ac:dyDescent="0.25">
      <c r="A600" s="266">
        <f t="shared" si="9"/>
        <v>41.6</v>
      </c>
      <c r="B600" s="389">
        <v>41608</v>
      </c>
      <c r="C600" s="390" t="s">
        <v>904</v>
      </c>
      <c r="D600" s="390"/>
      <c r="E600" s="390" t="s">
        <v>380</v>
      </c>
      <c r="F600" s="262" t="s">
        <v>151</v>
      </c>
      <c r="G600" s="262" t="s">
        <v>160</v>
      </c>
      <c r="H600" s="261"/>
      <c r="I600" s="261"/>
      <c r="J600" s="261"/>
      <c r="K600" s="261"/>
      <c r="L600" s="261"/>
      <c r="M600" s="261"/>
      <c r="N600" s="261"/>
      <c r="O600" s="261"/>
      <c r="P600" s="261"/>
      <c r="Q600" s="261">
        <v>444</v>
      </c>
      <c r="R600" s="261"/>
      <c r="S600" s="261"/>
      <c r="T600" s="261"/>
      <c r="U600" s="261"/>
      <c r="V600" s="762"/>
      <c r="W600" s="261"/>
      <c r="X600" s="261"/>
      <c r="Y600" s="264">
        <f>IF(NFI_Expiration=1,IF($A600&lt;VLOOKUP(H$5,NFI,5,0),1,0)*Table_NFI[[#This Row],[Hygiene Kit]],Table_NFI[Hygiene Kit])</f>
        <v>0</v>
      </c>
      <c r="Z600" s="264">
        <f>IF(NFI_Expiration=1,IF($A600&lt;VLOOKUP(I$5,NFI,5,0),1,0)*Table_NFI[[#This Row],[NFI Core Kit]],Table_NFI[NFI Core Kit])</f>
        <v>0</v>
      </c>
      <c r="AA600" s="264">
        <f>IF(NFI_Expiration=1,IF($A600&lt;VLOOKUP(J$5,NFI,5,0),1,0)*Table_NFI[[#This Row],[Sanitary Kit]],Table_NFI[Sanitary Kit])</f>
        <v>0</v>
      </c>
      <c r="AB600" s="264">
        <f>IF(NFI_Expiration=1,IF($A600&lt;VLOOKUP(K$5,NFI,5,0),1,0)*Table_NFI[[#This Row],[Mosquito net]],Table_NFI[Mosquito net])</f>
        <v>0</v>
      </c>
      <c r="AC600" s="264">
        <f>IF(NFI_Expiration=1,IF($A600&lt;VLOOKUP(L$5,NFI,5,0),1,0)*Table_NFI[[#This Row],[Tarpaulin]],Table_NFI[[#This Row],[Tarpaulin]])</f>
        <v>0</v>
      </c>
      <c r="AD600" s="264">
        <f>IF(NFI_Expiration=1,IF($A600&lt;VLOOKUP(M$5,NFI,5,0),1,0)*Table_NFI[[#This Row],[Blanket]],Table_NFI[[#This Row],[Blanket]])</f>
        <v>0</v>
      </c>
      <c r="AE600" s="264">
        <f>IF(NFI_Expiration=1,IF($A600&lt;VLOOKUP(N$5,NFI,5,0),1,0)*Table_NFI[[#This Row],[Kitchen Set]],Table_NFI[Kitchen Set])</f>
        <v>0</v>
      </c>
      <c r="AF600" s="264">
        <f>IF(NFI_Expiration=1,IF($A600&lt;VLOOKUP(O$5,NFI,5,0),1,0)*Table_NFI[[#This Row],[Clothes Kit]],Table_NFI[Clothes Kit])</f>
        <v>0</v>
      </c>
      <c r="AG600" s="264">
        <f>IF(NFI_Expiration=1,IF($A600&lt;VLOOKUP(P$5,NFI,5,0),1,0)*Table_NFI[[#This Row],[Plastic Bucket]],Table_NFI[Plastic Bucket])</f>
        <v>0</v>
      </c>
      <c r="AH600" s="264">
        <f>IF(NFI_Expiration=1,IF($A600&lt;VLOOKUP(Q$5,NFI,5,0),1,0)*Table_NFI[[#This Row],[Plastic Mat]],Table_NFI[Plastic Mat])*IF(Table_NFI[[#This Row],[Distribution Date]]&gt;"2014-04-01",1,2.5)</f>
        <v>0</v>
      </c>
      <c r="AI600" s="264">
        <f>IF(NFI_Expiration=1,IF($A600&lt;VLOOKUP(R$5,NFI,5,0),1,0)*Table_NFI[[#This Row],[Winter Clothes Adult]],Table_NFI[Winter Clothes Adult])</f>
        <v>0</v>
      </c>
      <c r="AJ600" s="264">
        <f>IF(NFI_Expiration=1,IF($A600&lt;VLOOKUP(S$5,NFI,5,0),1,0)*Table_NFI[[#This Row],[Winter Clothes Children]],Table_NFI[Winter Clothes Children])</f>
        <v>0</v>
      </c>
      <c r="AK600" s="264">
        <f>IF(NFI_Expiration=1,IF($A600&lt;VLOOKUP(T$5,NFI,5,0),1,0)*Table_NFI[[#This Row],[Winter Items Other]],Table_NFI[Winter Items Other])</f>
        <v>0</v>
      </c>
      <c r="AL600" s="264">
        <f>IF(NFI_Expiration=1,IF($A600&lt;VLOOKUP(M$5,NFI,5,0),1,0)*Table_NFI[[#This Row],[Winter Blanket]],Table_NFI[[#This Row],[Winter Blanket]])</f>
        <v>0</v>
      </c>
      <c r="AM600" s="264">
        <f>IF(Table_NFI[[#This Row],[Winter Clothes Adult]]+Table_NFI[[#This Row],[Winter Clothes Children]]+Table_NFI[[#This Row],[Winter Items Other]]+Table_NFI[[#This Row],[Winter Blanket]]&gt;0,1,0)</f>
        <v>0</v>
      </c>
      <c r="AN600" s="296">
        <f>IF(NFI_Expiration=1,IF($A600&lt;VLOOKUP(V$5,NFI,5,0),1,0)*Table_NFI[[#This Row],[Jerry Can]],Table_NFI[Jerry Can])</f>
        <v>0</v>
      </c>
      <c r="AO600" s="296">
        <f>IF(NFI_Expiration=1,IF($A600&lt;VLOOKUP(V$5,NFI,5,0),1,0)*Table_NFI[[#This Row],[Shelter Tool kit]],Table_NFI[Shelter Tool kit])</f>
        <v>0</v>
      </c>
      <c r="AP600" s="296">
        <f>IF(NFI_Expiration=1,IF($A600&lt;VLOOKUP(V$5,NFI,5,0),1,0)*Table_NFI[[#This Row],[Tent]],Table_NFI[Tent])</f>
        <v>0</v>
      </c>
      <c r="AQ600" s="396" t="str">
        <f>IFERROR(VLOOKUP(Table_NFI[[#This Row],[Camp Name]],CL,2,0),"")</f>
        <v>MMR001CMP133</v>
      </c>
      <c r="AR600" s="702">
        <f ca="1">IF(Table_NFI[[#This Row],[Pcode]]="","",IF(OFFSET(CampList[Opening Date],MATCH(Table_NFI[[#This Row],[Pcode]],CampList[CP_Pcode],0)-1,0,1,1)&gt;=NFI_Monitor_Date,1,0))</f>
        <v>0</v>
      </c>
      <c r="AS600" s="396" t="str">
        <f>IFERROR(VLOOKUP(Table_NFI[[#This Row],[Camp Name]],CL,3,0),"")</f>
        <v>Open</v>
      </c>
      <c r="AT600" s="264" t="str">
        <f ca="1">IF(Table_NFI[[#This Row],[Pcode]]="","",OFFSET(CampList[Priority],MATCH(Table_NFI[[#This Row],[Pcode]],CampList[CP_Pcode],0)-1,0,1,1))</f>
        <v>P4</v>
      </c>
      <c r="AU600" s="263">
        <f>IFERROR(Table_NFI[[#This Row],[Kitchen Set]]/VLOOKUP(Table_NFI[[#This Row],[Camp Name]],CL,4,0),"")</f>
        <v>0</v>
      </c>
      <c r="AV600" s="390" t="s">
        <v>1087</v>
      </c>
      <c r="AW600" s="392"/>
      <c r="AX600" s="399"/>
      <c r="AY600" s="399"/>
      <c r="AZ600" s="399"/>
      <c r="BA600" s="399"/>
      <c r="BB600" s="399"/>
      <c r="BC600" s="399"/>
      <c r="BD600" s="399"/>
      <c r="BE600" s="399"/>
      <c r="BF600" s="399"/>
      <c r="BG600" s="399"/>
      <c r="BH600" s="399"/>
      <c r="BI600" s="399"/>
      <c r="BJ600" s="399"/>
      <c r="BK600" s="399"/>
      <c r="BL600" s="399"/>
      <c r="BM600" s="399"/>
      <c r="BN600" s="399"/>
      <c r="BO600" s="399"/>
      <c r="BP600" s="399"/>
      <c r="BQ600" s="399"/>
      <c r="BR600" s="399"/>
      <c r="BS600" s="399"/>
      <c r="BT600" s="399"/>
      <c r="BU600" s="399"/>
      <c r="BV600" s="399"/>
      <c r="BW600" s="399"/>
      <c r="BX600" s="399"/>
      <c r="BY600" s="399"/>
      <c r="BZ600" s="399"/>
      <c r="CA600" s="399"/>
      <c r="CB600" s="399"/>
      <c r="CC600" s="399"/>
      <c r="CD600" s="399"/>
      <c r="CE600" s="399"/>
      <c r="CF600" s="399"/>
      <c r="CG600" s="399"/>
      <c r="CH600" s="399"/>
      <c r="CI600" s="399"/>
      <c r="CJ600" s="399"/>
      <c r="CK600" s="399"/>
      <c r="CL600" s="399"/>
      <c r="CM600" s="399"/>
      <c r="CN600" s="399"/>
      <c r="CO600" s="399"/>
      <c r="CP600" s="399"/>
      <c r="CQ600" s="399"/>
      <c r="CR600" s="399"/>
      <c r="CS600" s="399"/>
      <c r="CT600" s="399"/>
      <c r="CU600" s="399"/>
      <c r="CV600" s="399"/>
      <c r="CW600" s="399"/>
      <c r="CX600" s="399"/>
      <c r="CY600" s="399"/>
      <c r="CZ600" s="399"/>
      <c r="DA600" s="399"/>
      <c r="DB600" s="399"/>
      <c r="DC600" s="399"/>
      <c r="DD600" s="399"/>
      <c r="DE600" s="399"/>
      <c r="DF600" s="399"/>
      <c r="DG600" s="399"/>
      <c r="DH600" s="399"/>
      <c r="DI600" s="399"/>
      <c r="DJ600" s="399"/>
      <c r="DK600" s="399"/>
      <c r="DL600" s="399"/>
      <c r="DM600" s="399"/>
      <c r="DN600" s="399"/>
      <c r="DO600" s="399"/>
      <c r="DP600" s="399"/>
      <c r="DQ600" s="399"/>
    </row>
    <row r="601" spans="1:121" s="760" customFormat="1" ht="14.45" customHeight="1" x14ac:dyDescent="0.25">
      <c r="A601" s="266">
        <f t="shared" si="9"/>
        <v>41.6</v>
      </c>
      <c r="B601" s="389">
        <v>41608</v>
      </c>
      <c r="C601" s="390" t="s">
        <v>1092</v>
      </c>
      <c r="D601" s="391" t="s">
        <v>943</v>
      </c>
      <c r="E601" s="390" t="s">
        <v>380</v>
      </c>
      <c r="F601" s="390" t="s">
        <v>151</v>
      </c>
      <c r="G601" s="262" t="s">
        <v>154</v>
      </c>
      <c r="H601" s="261"/>
      <c r="I601" s="261"/>
      <c r="J601" s="261"/>
      <c r="K601" s="261"/>
      <c r="L601" s="261"/>
      <c r="M601" s="261">
        <v>770</v>
      </c>
      <c r="N601" s="261"/>
      <c r="O601" s="261"/>
      <c r="P601" s="261"/>
      <c r="Q601" s="261"/>
      <c r="R601" s="261">
        <v>889</v>
      </c>
      <c r="S601" s="261">
        <v>492</v>
      </c>
      <c r="T601" s="261">
        <v>0</v>
      </c>
      <c r="U601" s="261"/>
      <c r="V601" s="762"/>
      <c r="W601" s="261"/>
      <c r="X601" s="261"/>
      <c r="Y601" s="264">
        <f>IF(NFI_Expiration=1,IF($A601&lt;VLOOKUP(H$5,NFI,5,0),1,0)*Table_NFI[[#This Row],[Hygiene Kit]],Table_NFI[Hygiene Kit])</f>
        <v>0</v>
      </c>
      <c r="Z601" s="264">
        <f>IF(NFI_Expiration=1,IF($A601&lt;VLOOKUP(I$5,NFI,5,0),1,0)*Table_NFI[[#This Row],[NFI Core Kit]],Table_NFI[NFI Core Kit])</f>
        <v>0</v>
      </c>
      <c r="AA601" s="264">
        <f>IF(NFI_Expiration=1,IF($A601&lt;VLOOKUP(J$5,NFI,5,0),1,0)*Table_NFI[[#This Row],[Sanitary Kit]],Table_NFI[Sanitary Kit])</f>
        <v>0</v>
      </c>
      <c r="AB601" s="264">
        <f>IF(NFI_Expiration=1,IF($A601&lt;VLOOKUP(K$5,NFI,5,0),1,0)*Table_NFI[[#This Row],[Mosquito net]],Table_NFI[Mosquito net])</f>
        <v>0</v>
      </c>
      <c r="AC601" s="264">
        <f>IF(NFI_Expiration=1,IF($A601&lt;VLOOKUP(L$5,NFI,5,0),1,0)*Table_NFI[[#This Row],[Tarpaulin]],Table_NFI[[#This Row],[Tarpaulin]])</f>
        <v>0</v>
      </c>
      <c r="AD601" s="264">
        <f>IF(NFI_Expiration=1,IF($A601&lt;VLOOKUP(M$5,NFI,5,0),1,0)*Table_NFI[[#This Row],[Blanket]],Table_NFI[[#This Row],[Blanket]])</f>
        <v>0</v>
      </c>
      <c r="AE601" s="264">
        <f>IF(NFI_Expiration=1,IF($A601&lt;VLOOKUP(N$5,NFI,5,0),1,0)*Table_NFI[[#This Row],[Kitchen Set]],Table_NFI[Kitchen Set])</f>
        <v>0</v>
      </c>
      <c r="AF601" s="264">
        <f>IF(NFI_Expiration=1,IF($A601&lt;VLOOKUP(O$5,NFI,5,0),1,0)*Table_NFI[[#This Row],[Clothes Kit]],Table_NFI[Clothes Kit])</f>
        <v>0</v>
      </c>
      <c r="AG601" s="264">
        <f>IF(NFI_Expiration=1,IF($A601&lt;VLOOKUP(P$5,NFI,5,0),1,0)*Table_NFI[[#This Row],[Plastic Bucket]],Table_NFI[Plastic Bucket])</f>
        <v>0</v>
      </c>
      <c r="AH601" s="264">
        <f>IF(NFI_Expiration=1,IF($A601&lt;VLOOKUP(Q$5,NFI,5,0),1,0)*Table_NFI[[#This Row],[Plastic Mat]],Table_NFI[Plastic Mat])*IF(Table_NFI[[#This Row],[Distribution Date]]&gt;"2014-04-01",1,2.5)</f>
        <v>0</v>
      </c>
      <c r="AI601" s="264">
        <f>IF(NFI_Expiration=1,IF($A601&lt;VLOOKUP(R$5,NFI,5,0),1,0)*Table_NFI[[#This Row],[Winter Clothes Adult]],Table_NFI[Winter Clothes Adult])</f>
        <v>0</v>
      </c>
      <c r="AJ601" s="264">
        <f>IF(NFI_Expiration=1,IF($A601&lt;VLOOKUP(S$5,NFI,5,0),1,0)*Table_NFI[[#This Row],[Winter Clothes Children]],Table_NFI[Winter Clothes Children])</f>
        <v>0</v>
      </c>
      <c r="AK601" s="264">
        <f>IF(NFI_Expiration=1,IF($A601&lt;VLOOKUP(T$5,NFI,5,0),1,0)*Table_NFI[[#This Row],[Winter Items Other]],Table_NFI[Winter Items Other])</f>
        <v>0</v>
      </c>
      <c r="AL601" s="264">
        <f>IF(NFI_Expiration=1,IF($A601&lt;VLOOKUP(M$5,NFI,5,0),1,0)*Table_NFI[[#This Row],[Winter Blanket]],Table_NFI[[#This Row],[Winter Blanket]])</f>
        <v>0</v>
      </c>
      <c r="AM601" s="264">
        <f>IF(Table_NFI[[#This Row],[Winter Clothes Adult]]+Table_NFI[[#This Row],[Winter Clothes Children]]+Table_NFI[[#This Row],[Winter Items Other]]+Table_NFI[[#This Row],[Winter Blanket]]&gt;0,1,0)</f>
        <v>1</v>
      </c>
      <c r="AN601" s="296">
        <f>IF(NFI_Expiration=1,IF($A601&lt;VLOOKUP(V$5,NFI,5,0),1,0)*Table_NFI[[#This Row],[Jerry Can]],Table_NFI[Jerry Can])</f>
        <v>0</v>
      </c>
      <c r="AO601" s="296">
        <f>IF(NFI_Expiration=1,IF($A601&lt;VLOOKUP(V$5,NFI,5,0),1,0)*Table_NFI[[#This Row],[Shelter Tool kit]],Table_NFI[Shelter Tool kit])</f>
        <v>0</v>
      </c>
      <c r="AP601" s="296">
        <f>IF(NFI_Expiration=1,IF($A601&lt;VLOOKUP(V$5,NFI,5,0),1,0)*Table_NFI[[#This Row],[Tent]],Table_NFI[Tent])</f>
        <v>0</v>
      </c>
      <c r="AQ601" s="396" t="str">
        <f>IFERROR(VLOOKUP(Table_NFI[[#This Row],[Camp Name]],CL,2,0),"")</f>
        <v>MMR001CMP132</v>
      </c>
      <c r="AR601" s="702">
        <f ca="1">IF(Table_NFI[[#This Row],[Pcode]]="","",IF(OFFSET(CampList[Opening Date],MATCH(Table_NFI[[#This Row],[Pcode]],CampList[CP_Pcode],0)-1,0,1,1)&gt;=NFI_Monitor_Date,1,0))</f>
        <v>0</v>
      </c>
      <c r="AS601" s="396" t="str">
        <f>IFERROR(VLOOKUP(Table_NFI[[#This Row],[Camp Name]],CL,3,0),"")</f>
        <v>Open</v>
      </c>
      <c r="AT601" s="264" t="str">
        <f ca="1">IF(Table_NFI[[#This Row],[Pcode]]="","",OFFSET(CampList[Priority],MATCH(Table_NFI[[#This Row],[Pcode]],CampList[CP_Pcode],0)-1,0,1,1))</f>
        <v>P4</v>
      </c>
      <c r="AU601" s="263">
        <f>IFERROR(Table_NFI[[#This Row],[Kitchen Set]]/VLOOKUP(Table_NFI[[#This Row],[Camp Name]],CL,4,0),"")</f>
        <v>0</v>
      </c>
      <c r="AV601" s="390" t="s">
        <v>1087</v>
      </c>
      <c r="AW601" s="392"/>
      <c r="AX601" s="399"/>
      <c r="AY601" s="399"/>
      <c r="AZ601" s="399"/>
      <c r="BA601" s="399"/>
      <c r="BB601" s="399"/>
      <c r="BC601" s="399"/>
      <c r="BD601" s="399"/>
      <c r="BE601" s="399"/>
      <c r="BF601" s="399"/>
      <c r="BG601" s="399"/>
      <c r="BH601" s="399"/>
      <c r="BI601" s="399"/>
      <c r="BJ601" s="399"/>
      <c r="BK601" s="399"/>
      <c r="BL601" s="399"/>
      <c r="BM601" s="399"/>
      <c r="BN601" s="399"/>
      <c r="BO601" s="399"/>
      <c r="BP601" s="399"/>
      <c r="BQ601" s="399"/>
      <c r="BR601" s="399"/>
      <c r="BS601" s="399"/>
      <c r="BT601" s="399"/>
      <c r="BU601" s="399"/>
      <c r="BV601" s="399"/>
      <c r="BW601" s="399"/>
      <c r="BX601" s="399"/>
      <c r="BY601" s="399"/>
      <c r="BZ601" s="399"/>
      <c r="CA601" s="399"/>
      <c r="CB601" s="399"/>
      <c r="CC601" s="399"/>
      <c r="CD601" s="399"/>
      <c r="CE601" s="399"/>
      <c r="CF601" s="399"/>
      <c r="CG601" s="399"/>
      <c r="CH601" s="399"/>
      <c r="CI601" s="399"/>
      <c r="CJ601" s="399"/>
      <c r="CK601" s="399"/>
      <c r="CL601" s="399"/>
      <c r="CM601" s="399"/>
      <c r="CN601" s="399"/>
      <c r="CO601" s="399"/>
      <c r="CP601" s="399"/>
      <c r="CQ601" s="399"/>
      <c r="CR601" s="399"/>
      <c r="CS601" s="399"/>
      <c r="CT601" s="399"/>
      <c r="CU601" s="399"/>
      <c r="CV601" s="399"/>
      <c r="CW601" s="399"/>
      <c r="CX601" s="399"/>
      <c r="CY601" s="399"/>
      <c r="CZ601" s="399"/>
      <c r="DA601" s="399"/>
      <c r="DB601" s="399"/>
      <c r="DC601" s="399"/>
      <c r="DD601" s="399"/>
      <c r="DE601" s="399"/>
      <c r="DF601" s="399"/>
      <c r="DG601" s="399"/>
      <c r="DH601" s="399"/>
      <c r="DI601" s="399"/>
      <c r="DJ601" s="399"/>
      <c r="DK601" s="399"/>
      <c r="DL601" s="399"/>
      <c r="DM601" s="399"/>
      <c r="DN601" s="399"/>
      <c r="DO601" s="399"/>
      <c r="DP601" s="399"/>
      <c r="DQ601" s="399"/>
    </row>
    <row r="602" spans="1:121" s="760" customFormat="1" ht="15" customHeight="1" x14ac:dyDescent="0.25">
      <c r="A602" s="266">
        <f t="shared" si="9"/>
        <v>41.6</v>
      </c>
      <c r="B602" s="389">
        <v>41608</v>
      </c>
      <c r="C602" s="390" t="s">
        <v>904</v>
      </c>
      <c r="D602" s="390"/>
      <c r="E602" s="390" t="s">
        <v>380</v>
      </c>
      <c r="F602" s="262" t="s">
        <v>151</v>
      </c>
      <c r="G602" s="262" t="s">
        <v>154</v>
      </c>
      <c r="H602" s="261"/>
      <c r="I602" s="261"/>
      <c r="J602" s="261"/>
      <c r="K602" s="261"/>
      <c r="L602" s="261"/>
      <c r="M602" s="261"/>
      <c r="N602" s="261"/>
      <c r="O602" s="261"/>
      <c r="P602" s="261"/>
      <c r="Q602" s="261">
        <v>1080</v>
      </c>
      <c r="R602" s="261"/>
      <c r="S602" s="261"/>
      <c r="T602" s="261"/>
      <c r="U602" s="261"/>
      <c r="V602" s="762"/>
      <c r="W602" s="762"/>
      <c r="X602" s="762"/>
      <c r="Y602" s="264">
        <f>IF(NFI_Expiration=1,IF($A602&lt;VLOOKUP(H$5,NFI,5,0),1,0)*Table_NFI[[#This Row],[Hygiene Kit]],Table_NFI[Hygiene Kit])</f>
        <v>0</v>
      </c>
      <c r="Z602" s="264">
        <f>IF(NFI_Expiration=1,IF($A602&lt;VLOOKUP(I$5,NFI,5,0),1,0)*Table_NFI[[#This Row],[NFI Core Kit]],Table_NFI[NFI Core Kit])</f>
        <v>0</v>
      </c>
      <c r="AA602" s="264">
        <f>IF(NFI_Expiration=1,IF($A602&lt;VLOOKUP(J$5,NFI,5,0),1,0)*Table_NFI[[#This Row],[Sanitary Kit]],Table_NFI[Sanitary Kit])</f>
        <v>0</v>
      </c>
      <c r="AB602" s="264">
        <f>IF(NFI_Expiration=1,IF($A602&lt;VLOOKUP(K$5,NFI,5,0),1,0)*Table_NFI[[#This Row],[Mosquito net]],Table_NFI[Mosquito net])</f>
        <v>0</v>
      </c>
      <c r="AC602" s="264">
        <f>IF(NFI_Expiration=1,IF($A602&lt;VLOOKUP(L$5,NFI,5,0),1,0)*Table_NFI[[#This Row],[Tarpaulin]],Table_NFI[[#This Row],[Tarpaulin]])</f>
        <v>0</v>
      </c>
      <c r="AD602" s="264">
        <f>IF(NFI_Expiration=1,IF($A602&lt;VLOOKUP(M$5,NFI,5,0),1,0)*Table_NFI[[#This Row],[Blanket]],Table_NFI[[#This Row],[Blanket]])</f>
        <v>0</v>
      </c>
      <c r="AE602" s="264">
        <f>IF(NFI_Expiration=1,IF($A602&lt;VLOOKUP(N$5,NFI,5,0),1,0)*Table_NFI[[#This Row],[Kitchen Set]],Table_NFI[Kitchen Set])</f>
        <v>0</v>
      </c>
      <c r="AF602" s="264">
        <f>IF(NFI_Expiration=1,IF($A602&lt;VLOOKUP(O$5,NFI,5,0),1,0)*Table_NFI[[#This Row],[Clothes Kit]],Table_NFI[Clothes Kit])</f>
        <v>0</v>
      </c>
      <c r="AG602" s="264">
        <f>IF(NFI_Expiration=1,IF($A602&lt;VLOOKUP(P$5,NFI,5,0),1,0)*Table_NFI[[#This Row],[Plastic Bucket]],Table_NFI[Plastic Bucket])</f>
        <v>0</v>
      </c>
      <c r="AH602" s="264">
        <f>IF(NFI_Expiration=1,IF($A602&lt;VLOOKUP(Q$5,NFI,5,0),1,0)*Table_NFI[[#This Row],[Plastic Mat]],Table_NFI[Plastic Mat])*IF(Table_NFI[[#This Row],[Distribution Date]]&gt;"2014-04-01",1,2.5)</f>
        <v>0</v>
      </c>
      <c r="AI602" s="264">
        <f>IF(NFI_Expiration=1,IF($A602&lt;VLOOKUP(R$5,NFI,5,0),1,0)*Table_NFI[[#This Row],[Winter Clothes Adult]],Table_NFI[Winter Clothes Adult])</f>
        <v>0</v>
      </c>
      <c r="AJ602" s="264">
        <f>IF(NFI_Expiration=1,IF($A602&lt;VLOOKUP(S$5,NFI,5,0),1,0)*Table_NFI[[#This Row],[Winter Clothes Children]],Table_NFI[Winter Clothes Children])</f>
        <v>0</v>
      </c>
      <c r="AK602" s="264">
        <f>IF(NFI_Expiration=1,IF($A602&lt;VLOOKUP(T$5,NFI,5,0),1,0)*Table_NFI[[#This Row],[Winter Items Other]],Table_NFI[Winter Items Other])</f>
        <v>0</v>
      </c>
      <c r="AL602" s="264">
        <f>IF(NFI_Expiration=1,IF($A602&lt;VLOOKUP(M$5,NFI,5,0),1,0)*Table_NFI[[#This Row],[Winter Blanket]],Table_NFI[[#This Row],[Winter Blanket]])</f>
        <v>0</v>
      </c>
      <c r="AM602" s="264">
        <f>IF(Table_NFI[[#This Row],[Winter Clothes Adult]]+Table_NFI[[#This Row],[Winter Clothes Children]]+Table_NFI[[#This Row],[Winter Items Other]]+Table_NFI[[#This Row],[Winter Blanket]]&gt;0,1,0)</f>
        <v>0</v>
      </c>
      <c r="AN602" s="296">
        <f>IF(NFI_Expiration=1,IF($A602&lt;VLOOKUP(V$5,NFI,5,0),1,0)*Table_NFI[[#This Row],[Jerry Can]],Table_NFI[Jerry Can])</f>
        <v>0</v>
      </c>
      <c r="AO602" s="296">
        <f>IF(NFI_Expiration=1,IF($A602&lt;VLOOKUP(V$5,NFI,5,0),1,0)*Table_NFI[[#This Row],[Shelter Tool kit]],Table_NFI[Shelter Tool kit])</f>
        <v>0</v>
      </c>
      <c r="AP602" s="296">
        <f>IF(NFI_Expiration=1,IF($A602&lt;VLOOKUP(V$5,NFI,5,0),1,0)*Table_NFI[[#This Row],[Tent]],Table_NFI[Tent])</f>
        <v>0</v>
      </c>
      <c r="AQ602" s="396" t="str">
        <f>IFERROR(VLOOKUP(Table_NFI[[#This Row],[Camp Name]],CL,2,0),"")</f>
        <v>MMR001CMP132</v>
      </c>
      <c r="AR602" s="702">
        <f ca="1">IF(Table_NFI[[#This Row],[Pcode]]="","",IF(OFFSET(CampList[Opening Date],MATCH(Table_NFI[[#This Row],[Pcode]],CampList[CP_Pcode],0)-1,0,1,1)&gt;=NFI_Monitor_Date,1,0))</f>
        <v>0</v>
      </c>
      <c r="AS602" s="396" t="str">
        <f>IFERROR(VLOOKUP(Table_NFI[[#This Row],[Camp Name]],CL,3,0),"")</f>
        <v>Open</v>
      </c>
      <c r="AT602" s="264" t="str">
        <f ca="1">IF(Table_NFI[[#This Row],[Pcode]]="","",OFFSET(CampList[Priority],MATCH(Table_NFI[[#This Row],[Pcode]],CampList[CP_Pcode],0)-1,0,1,1))</f>
        <v>P4</v>
      </c>
      <c r="AU602" s="263">
        <f>IFERROR(Table_NFI[[#This Row],[Kitchen Set]]/VLOOKUP(Table_NFI[[#This Row],[Camp Name]],CL,4,0),"")</f>
        <v>0</v>
      </c>
      <c r="AV602" s="390" t="s">
        <v>1087</v>
      </c>
      <c r="AW602" s="392"/>
      <c r="AX602" s="399"/>
      <c r="AY602" s="399"/>
      <c r="AZ602" s="399"/>
      <c r="BA602" s="399"/>
      <c r="BB602" s="399"/>
      <c r="BC602" s="399"/>
      <c r="BD602" s="399"/>
      <c r="BE602" s="399"/>
      <c r="BF602" s="399"/>
      <c r="BG602" s="399"/>
      <c r="BH602" s="399"/>
      <c r="BI602" s="399"/>
      <c r="BJ602" s="399"/>
      <c r="BK602" s="399"/>
      <c r="BL602" s="399"/>
      <c r="BM602" s="399"/>
      <c r="BN602" s="399"/>
      <c r="BO602" s="399"/>
      <c r="BP602" s="399"/>
      <c r="BQ602" s="399"/>
      <c r="BR602" s="399"/>
      <c r="BS602" s="399"/>
      <c r="BT602" s="399"/>
      <c r="BU602" s="399"/>
      <c r="BV602" s="399"/>
      <c r="BW602" s="399"/>
      <c r="BX602" s="399"/>
      <c r="BY602" s="399"/>
      <c r="BZ602" s="399"/>
      <c r="CA602" s="399"/>
      <c r="CB602" s="399"/>
      <c r="CC602" s="399"/>
      <c r="CD602" s="399"/>
      <c r="CE602" s="399"/>
      <c r="CF602" s="399"/>
      <c r="CG602" s="399"/>
      <c r="CH602" s="399"/>
      <c r="CI602" s="399"/>
      <c r="CJ602" s="399"/>
      <c r="CK602" s="399"/>
      <c r="CL602" s="399"/>
      <c r="CM602" s="399"/>
      <c r="CN602" s="399"/>
      <c r="CO602" s="399"/>
      <c r="CP602" s="399"/>
      <c r="CQ602" s="399"/>
      <c r="CR602" s="399"/>
      <c r="CS602" s="399"/>
      <c r="CT602" s="399"/>
      <c r="CU602" s="399"/>
      <c r="CV602" s="399"/>
      <c r="CW602" s="399"/>
      <c r="CX602" s="399"/>
      <c r="CY602" s="399"/>
      <c r="CZ602" s="399"/>
      <c r="DA602" s="399"/>
      <c r="DB602" s="399"/>
      <c r="DC602" s="399"/>
      <c r="DD602" s="399"/>
      <c r="DE602" s="399"/>
      <c r="DF602" s="399"/>
      <c r="DG602" s="399"/>
      <c r="DH602" s="399"/>
      <c r="DI602" s="399"/>
      <c r="DJ602" s="399"/>
      <c r="DK602" s="399"/>
      <c r="DL602" s="399"/>
      <c r="DM602" s="399"/>
      <c r="DN602" s="399"/>
      <c r="DO602" s="399"/>
      <c r="DP602" s="399"/>
      <c r="DQ602" s="399"/>
    </row>
    <row r="603" spans="1:121" s="760" customFormat="1" ht="14.45" customHeight="1" x14ac:dyDescent="0.25">
      <c r="A603" s="266">
        <f t="shared" si="9"/>
        <v>41.6</v>
      </c>
      <c r="B603" s="389">
        <v>41608</v>
      </c>
      <c r="C603" s="390" t="s">
        <v>904</v>
      </c>
      <c r="D603" s="390"/>
      <c r="E603" s="390" t="s">
        <v>380</v>
      </c>
      <c r="F603" s="262" t="s">
        <v>151</v>
      </c>
      <c r="G603" s="262" t="s">
        <v>152</v>
      </c>
      <c r="H603" s="261"/>
      <c r="I603" s="261"/>
      <c r="J603" s="261"/>
      <c r="K603" s="261"/>
      <c r="L603" s="261"/>
      <c r="M603" s="261"/>
      <c r="N603" s="261"/>
      <c r="O603" s="261"/>
      <c r="P603" s="261"/>
      <c r="Q603" s="261">
        <v>225</v>
      </c>
      <c r="R603" s="261"/>
      <c r="S603" s="261"/>
      <c r="T603" s="261"/>
      <c r="U603" s="261"/>
      <c r="V603" s="762"/>
      <c r="W603" s="261"/>
      <c r="X603" s="261"/>
      <c r="Y603" s="264">
        <f>IF(NFI_Expiration=1,IF($A603&lt;VLOOKUP(H$5,NFI,5,0),1,0)*Table_NFI[[#This Row],[Hygiene Kit]],Table_NFI[Hygiene Kit])</f>
        <v>0</v>
      </c>
      <c r="Z603" s="264">
        <f>IF(NFI_Expiration=1,IF($A603&lt;VLOOKUP(I$5,NFI,5,0),1,0)*Table_NFI[[#This Row],[NFI Core Kit]],Table_NFI[NFI Core Kit])</f>
        <v>0</v>
      </c>
      <c r="AA603" s="264">
        <f>IF(NFI_Expiration=1,IF($A603&lt;VLOOKUP(J$5,NFI,5,0),1,0)*Table_NFI[[#This Row],[Sanitary Kit]],Table_NFI[Sanitary Kit])</f>
        <v>0</v>
      </c>
      <c r="AB603" s="264">
        <f>IF(NFI_Expiration=1,IF($A603&lt;VLOOKUP(K$5,NFI,5,0),1,0)*Table_NFI[[#This Row],[Mosquito net]],Table_NFI[Mosquito net])</f>
        <v>0</v>
      </c>
      <c r="AC603" s="264">
        <f>IF(NFI_Expiration=1,IF($A603&lt;VLOOKUP(L$5,NFI,5,0),1,0)*Table_NFI[[#This Row],[Tarpaulin]],Table_NFI[[#This Row],[Tarpaulin]])</f>
        <v>0</v>
      </c>
      <c r="AD603" s="264">
        <f>IF(NFI_Expiration=1,IF($A603&lt;VLOOKUP(M$5,NFI,5,0),1,0)*Table_NFI[[#This Row],[Blanket]],Table_NFI[[#This Row],[Blanket]])</f>
        <v>0</v>
      </c>
      <c r="AE603" s="264">
        <f>IF(NFI_Expiration=1,IF($A603&lt;VLOOKUP(N$5,NFI,5,0),1,0)*Table_NFI[[#This Row],[Kitchen Set]],Table_NFI[Kitchen Set])</f>
        <v>0</v>
      </c>
      <c r="AF603" s="264">
        <f>IF(NFI_Expiration=1,IF($A603&lt;VLOOKUP(O$5,NFI,5,0),1,0)*Table_NFI[[#This Row],[Clothes Kit]],Table_NFI[Clothes Kit])</f>
        <v>0</v>
      </c>
      <c r="AG603" s="264">
        <f>IF(NFI_Expiration=1,IF($A603&lt;VLOOKUP(P$5,NFI,5,0),1,0)*Table_NFI[[#This Row],[Plastic Bucket]],Table_NFI[Plastic Bucket])</f>
        <v>0</v>
      </c>
      <c r="AH603" s="264">
        <f>IF(NFI_Expiration=1,IF($A603&lt;VLOOKUP(Q$5,NFI,5,0),1,0)*Table_NFI[[#This Row],[Plastic Mat]],Table_NFI[Plastic Mat])*IF(Table_NFI[[#This Row],[Distribution Date]]&gt;"2014-04-01",1,2.5)</f>
        <v>0</v>
      </c>
      <c r="AI603" s="264">
        <f>IF(NFI_Expiration=1,IF($A603&lt;VLOOKUP(R$5,NFI,5,0),1,0)*Table_NFI[[#This Row],[Winter Clothes Adult]],Table_NFI[Winter Clothes Adult])</f>
        <v>0</v>
      </c>
      <c r="AJ603" s="264">
        <f>IF(NFI_Expiration=1,IF($A603&lt;VLOOKUP(S$5,NFI,5,0),1,0)*Table_NFI[[#This Row],[Winter Clothes Children]],Table_NFI[Winter Clothes Children])</f>
        <v>0</v>
      </c>
      <c r="AK603" s="264">
        <f>IF(NFI_Expiration=1,IF($A603&lt;VLOOKUP(T$5,NFI,5,0),1,0)*Table_NFI[[#This Row],[Winter Items Other]],Table_NFI[Winter Items Other])</f>
        <v>0</v>
      </c>
      <c r="AL603" s="264">
        <f>IF(NFI_Expiration=1,IF($A603&lt;VLOOKUP(M$5,NFI,5,0),1,0)*Table_NFI[[#This Row],[Winter Blanket]],Table_NFI[[#This Row],[Winter Blanket]])</f>
        <v>0</v>
      </c>
      <c r="AM603" s="264">
        <f>IF(Table_NFI[[#This Row],[Winter Clothes Adult]]+Table_NFI[[#This Row],[Winter Clothes Children]]+Table_NFI[[#This Row],[Winter Items Other]]+Table_NFI[[#This Row],[Winter Blanket]]&gt;0,1,0)</f>
        <v>0</v>
      </c>
      <c r="AN603" s="296">
        <f>IF(NFI_Expiration=1,IF($A603&lt;VLOOKUP(V$5,NFI,5,0),1,0)*Table_NFI[[#This Row],[Jerry Can]],Table_NFI[Jerry Can])</f>
        <v>0</v>
      </c>
      <c r="AO603" s="296">
        <f>IF(NFI_Expiration=1,IF($A603&lt;VLOOKUP(V$5,NFI,5,0),1,0)*Table_NFI[[#This Row],[Shelter Tool kit]],Table_NFI[Shelter Tool kit])</f>
        <v>0</v>
      </c>
      <c r="AP603" s="296">
        <f>IF(NFI_Expiration=1,IF($A603&lt;VLOOKUP(V$5,NFI,5,0),1,0)*Table_NFI[[#This Row],[Tent]],Table_NFI[Tent])</f>
        <v>0</v>
      </c>
      <c r="AQ603" s="396" t="str">
        <f>IFERROR(VLOOKUP(Table_NFI[[#This Row],[Camp Name]],CL,2,0),"")</f>
        <v>MMR001CMP066</v>
      </c>
      <c r="AR603" s="702">
        <f ca="1">IF(Table_NFI[[#This Row],[Pcode]]="","",IF(OFFSET(CampList[Opening Date],MATCH(Table_NFI[[#This Row],[Pcode]],CampList[CP_Pcode],0)-1,0,1,1)&gt;=NFI_Monitor_Date,1,0))</f>
        <v>0</v>
      </c>
      <c r="AS603" s="396" t="str">
        <f>IFERROR(VLOOKUP(Table_NFI[[#This Row],[Camp Name]],CL,3,0),"")</f>
        <v>Open</v>
      </c>
      <c r="AT603" s="264" t="str">
        <f ca="1">IF(Table_NFI[[#This Row],[Pcode]]="","",OFFSET(CampList[Priority],MATCH(Table_NFI[[#This Row],[Pcode]],CampList[CP_Pcode],0)-1,0,1,1))</f>
        <v>P4</v>
      </c>
      <c r="AU603" s="263">
        <f>IFERROR(Table_NFI[[#This Row],[Kitchen Set]]/VLOOKUP(Table_NFI[[#This Row],[Camp Name]],CL,4,0),"")</f>
        <v>0</v>
      </c>
      <c r="AV603" s="390" t="s">
        <v>1087</v>
      </c>
      <c r="AW603" s="392"/>
      <c r="AX603" s="399"/>
      <c r="AY603" s="399"/>
      <c r="AZ603" s="399"/>
      <c r="BA603" s="399"/>
      <c r="BB603" s="399"/>
      <c r="BC603" s="399"/>
      <c r="BD603" s="399"/>
      <c r="BE603" s="399"/>
      <c r="BF603" s="399"/>
      <c r="BG603" s="399"/>
      <c r="BH603" s="399"/>
      <c r="BI603" s="399"/>
      <c r="BJ603" s="399"/>
      <c r="BK603" s="399"/>
      <c r="BL603" s="399"/>
      <c r="BM603" s="399"/>
      <c r="BN603" s="399"/>
      <c r="BO603" s="399"/>
      <c r="BP603" s="399"/>
      <c r="BQ603" s="399"/>
      <c r="BR603" s="399"/>
      <c r="BS603" s="399"/>
      <c r="BT603" s="399"/>
      <c r="BU603" s="399"/>
      <c r="BV603" s="399"/>
      <c r="BW603" s="399"/>
      <c r="BX603" s="399"/>
      <c r="BY603" s="399"/>
      <c r="BZ603" s="399"/>
      <c r="CA603" s="399"/>
      <c r="CB603" s="399"/>
      <c r="CC603" s="399"/>
      <c r="CD603" s="399"/>
      <c r="CE603" s="399"/>
      <c r="CF603" s="399"/>
      <c r="CG603" s="399"/>
      <c r="CH603" s="399"/>
      <c r="CI603" s="399"/>
      <c r="CJ603" s="399"/>
      <c r="CK603" s="399"/>
      <c r="CL603" s="399"/>
      <c r="CM603" s="399"/>
      <c r="CN603" s="399"/>
      <c r="CO603" s="399"/>
      <c r="CP603" s="399"/>
      <c r="CQ603" s="399"/>
      <c r="CR603" s="399"/>
      <c r="CS603" s="399"/>
      <c r="CT603" s="399"/>
      <c r="CU603" s="399"/>
      <c r="CV603" s="399"/>
      <c r="CW603" s="399"/>
      <c r="CX603" s="399"/>
      <c r="CY603" s="399"/>
      <c r="CZ603" s="399"/>
      <c r="DA603" s="399"/>
      <c r="DB603" s="399"/>
      <c r="DC603" s="399"/>
      <c r="DD603" s="399"/>
      <c r="DE603" s="399"/>
      <c r="DF603" s="399"/>
      <c r="DG603" s="399"/>
      <c r="DH603" s="399"/>
      <c r="DI603" s="399"/>
      <c r="DJ603" s="399"/>
      <c r="DK603" s="399"/>
      <c r="DL603" s="399"/>
      <c r="DM603" s="399"/>
      <c r="DN603" s="399"/>
      <c r="DO603" s="399"/>
      <c r="DP603" s="399"/>
      <c r="DQ603" s="399"/>
    </row>
    <row r="604" spans="1:121" s="760" customFormat="1" ht="14.45" customHeight="1" x14ac:dyDescent="0.25">
      <c r="A604" s="266">
        <f t="shared" si="9"/>
        <v>41.6</v>
      </c>
      <c r="B604" s="389">
        <v>41608</v>
      </c>
      <c r="C604" s="390" t="s">
        <v>904</v>
      </c>
      <c r="D604" s="390"/>
      <c r="E604" s="390" t="s">
        <v>380</v>
      </c>
      <c r="F604" s="262" t="s">
        <v>185</v>
      </c>
      <c r="G604" s="262" t="s">
        <v>211</v>
      </c>
      <c r="H604" s="261"/>
      <c r="I604" s="261"/>
      <c r="J604" s="261"/>
      <c r="K604" s="261"/>
      <c r="L604" s="261"/>
      <c r="M604" s="261"/>
      <c r="N604" s="261"/>
      <c r="O604" s="261"/>
      <c r="P604" s="261"/>
      <c r="Q604" s="261">
        <v>543</v>
      </c>
      <c r="R604" s="261"/>
      <c r="S604" s="261"/>
      <c r="T604" s="261"/>
      <c r="U604" s="261"/>
      <c r="V604" s="762"/>
      <c r="W604" s="261"/>
      <c r="X604" s="261"/>
      <c r="Y604" s="264">
        <f>IF(NFI_Expiration=1,IF($A604&lt;VLOOKUP(H$5,NFI,5,0),1,0)*Table_NFI[[#This Row],[Hygiene Kit]],Table_NFI[Hygiene Kit])</f>
        <v>0</v>
      </c>
      <c r="Z604" s="264">
        <f>IF(NFI_Expiration=1,IF($A604&lt;VLOOKUP(I$5,NFI,5,0),1,0)*Table_NFI[[#This Row],[NFI Core Kit]],Table_NFI[NFI Core Kit])</f>
        <v>0</v>
      </c>
      <c r="AA604" s="264">
        <f>IF(NFI_Expiration=1,IF($A604&lt;VLOOKUP(J$5,NFI,5,0),1,0)*Table_NFI[[#This Row],[Sanitary Kit]],Table_NFI[Sanitary Kit])</f>
        <v>0</v>
      </c>
      <c r="AB604" s="264">
        <f>IF(NFI_Expiration=1,IF($A604&lt;VLOOKUP(K$5,NFI,5,0),1,0)*Table_NFI[[#This Row],[Mosquito net]],Table_NFI[Mosquito net])</f>
        <v>0</v>
      </c>
      <c r="AC604" s="264">
        <f>IF(NFI_Expiration=1,IF($A604&lt;VLOOKUP(L$5,NFI,5,0),1,0)*Table_NFI[[#This Row],[Tarpaulin]],Table_NFI[[#This Row],[Tarpaulin]])</f>
        <v>0</v>
      </c>
      <c r="AD604" s="264">
        <f>IF(NFI_Expiration=1,IF($A604&lt;VLOOKUP(M$5,NFI,5,0),1,0)*Table_NFI[[#This Row],[Blanket]],Table_NFI[[#This Row],[Blanket]])</f>
        <v>0</v>
      </c>
      <c r="AE604" s="264">
        <f>IF(NFI_Expiration=1,IF($A604&lt;VLOOKUP(N$5,NFI,5,0),1,0)*Table_NFI[[#This Row],[Kitchen Set]],Table_NFI[Kitchen Set])</f>
        <v>0</v>
      </c>
      <c r="AF604" s="264">
        <f>IF(NFI_Expiration=1,IF($A604&lt;VLOOKUP(O$5,NFI,5,0),1,0)*Table_NFI[[#This Row],[Clothes Kit]],Table_NFI[Clothes Kit])</f>
        <v>0</v>
      </c>
      <c r="AG604" s="264">
        <f>IF(NFI_Expiration=1,IF($A604&lt;VLOOKUP(P$5,NFI,5,0),1,0)*Table_NFI[[#This Row],[Plastic Bucket]],Table_NFI[Plastic Bucket])</f>
        <v>0</v>
      </c>
      <c r="AH604" s="264">
        <f>IF(NFI_Expiration=1,IF($A604&lt;VLOOKUP(Q$5,NFI,5,0),1,0)*Table_NFI[[#This Row],[Plastic Mat]],Table_NFI[Plastic Mat])*IF(Table_NFI[[#This Row],[Distribution Date]]&gt;"2014-04-01",1,2.5)</f>
        <v>0</v>
      </c>
      <c r="AI604" s="264">
        <f>IF(NFI_Expiration=1,IF($A604&lt;VLOOKUP(R$5,NFI,5,0),1,0)*Table_NFI[[#This Row],[Winter Clothes Adult]],Table_NFI[Winter Clothes Adult])</f>
        <v>0</v>
      </c>
      <c r="AJ604" s="264">
        <f>IF(NFI_Expiration=1,IF($A604&lt;VLOOKUP(S$5,NFI,5,0),1,0)*Table_NFI[[#This Row],[Winter Clothes Children]],Table_NFI[Winter Clothes Children])</f>
        <v>0</v>
      </c>
      <c r="AK604" s="264">
        <f>IF(NFI_Expiration=1,IF($A604&lt;VLOOKUP(T$5,NFI,5,0),1,0)*Table_NFI[[#This Row],[Winter Items Other]],Table_NFI[Winter Items Other])</f>
        <v>0</v>
      </c>
      <c r="AL604" s="264">
        <f>IF(NFI_Expiration=1,IF($A604&lt;VLOOKUP(M$5,NFI,5,0),1,0)*Table_NFI[[#This Row],[Winter Blanket]],Table_NFI[[#This Row],[Winter Blanket]])</f>
        <v>0</v>
      </c>
      <c r="AM604" s="264">
        <f>IF(Table_NFI[[#This Row],[Winter Clothes Adult]]+Table_NFI[[#This Row],[Winter Clothes Children]]+Table_NFI[[#This Row],[Winter Items Other]]+Table_NFI[[#This Row],[Winter Blanket]]&gt;0,1,0)</f>
        <v>0</v>
      </c>
      <c r="AN604" s="296">
        <f>IF(NFI_Expiration=1,IF($A604&lt;VLOOKUP(V$5,NFI,5,0),1,0)*Table_NFI[[#This Row],[Jerry Can]],Table_NFI[Jerry Can])</f>
        <v>0</v>
      </c>
      <c r="AO604" s="296">
        <f>IF(NFI_Expiration=1,IF($A604&lt;VLOOKUP(V$5,NFI,5,0),1,0)*Table_NFI[[#This Row],[Shelter Tool kit]],Table_NFI[Shelter Tool kit])</f>
        <v>0</v>
      </c>
      <c r="AP604" s="296">
        <f>IF(NFI_Expiration=1,IF($A604&lt;VLOOKUP(V$5,NFI,5,0),1,0)*Table_NFI[[#This Row],[Tent]],Table_NFI[Tent])</f>
        <v>0</v>
      </c>
      <c r="AQ604" s="396" t="str">
        <f>IFERROR(VLOOKUP(Table_NFI[[#This Row],[Camp Name]],CL,2,0),"")</f>
        <v>MMR001CMP057</v>
      </c>
      <c r="AR604" s="702">
        <f ca="1">IF(Table_NFI[[#This Row],[Pcode]]="","",IF(OFFSET(CampList[Opening Date],MATCH(Table_NFI[[#This Row],[Pcode]],CampList[CP_Pcode],0)-1,0,1,1)&gt;=NFI_Monitor_Date,1,0))</f>
        <v>0</v>
      </c>
      <c r="AS604" s="396" t="str">
        <f>IFERROR(VLOOKUP(Table_NFI[[#This Row],[Camp Name]],CL,3,0),"")</f>
        <v>Closed</v>
      </c>
      <c r="AT604" s="264" t="str">
        <f ca="1">IF(Table_NFI[[#This Row],[Pcode]]="","",OFFSET(CampList[Priority],MATCH(Table_NFI[[#This Row],[Pcode]],CampList[CP_Pcode],0)-1,0,1,1))</f>
        <v>P4</v>
      </c>
      <c r="AU604" s="263">
        <f>IFERROR(Table_NFI[[#This Row],[Kitchen Set]]/VLOOKUP(Table_NFI[[#This Row],[Camp Name]],CL,4,0),"")</f>
        <v>0</v>
      </c>
      <c r="AV604" s="390" t="s">
        <v>1087</v>
      </c>
      <c r="AW604" s="392"/>
      <c r="AX604" s="399"/>
      <c r="AY604" s="399"/>
      <c r="AZ604" s="399"/>
      <c r="BA604" s="399"/>
      <c r="BB604" s="399"/>
      <c r="BC604" s="399"/>
      <c r="BD604" s="399"/>
      <c r="BE604" s="399"/>
      <c r="BF604" s="399"/>
      <c r="BG604" s="399"/>
      <c r="BH604" s="399"/>
      <c r="BI604" s="399"/>
      <c r="BJ604" s="399"/>
      <c r="BK604" s="399"/>
      <c r="BL604" s="399"/>
      <c r="BM604" s="399"/>
      <c r="BN604" s="399"/>
      <c r="BO604" s="399"/>
      <c r="BP604" s="399"/>
      <c r="BQ604" s="399"/>
      <c r="BR604" s="399"/>
      <c r="BS604" s="399"/>
      <c r="BT604" s="399"/>
      <c r="BU604" s="399"/>
      <c r="BV604" s="399"/>
      <c r="BW604" s="399"/>
      <c r="BX604" s="399"/>
      <c r="BY604" s="399"/>
      <c r="BZ604" s="399"/>
      <c r="CA604" s="399"/>
      <c r="CB604" s="399"/>
      <c r="CC604" s="399"/>
      <c r="CD604" s="399"/>
      <c r="CE604" s="399"/>
      <c r="CF604" s="399"/>
      <c r="CG604" s="399"/>
      <c r="CH604" s="399"/>
      <c r="CI604" s="399"/>
      <c r="CJ604" s="399"/>
      <c r="CK604" s="399"/>
      <c r="CL604" s="399"/>
      <c r="CM604" s="399"/>
      <c r="CN604" s="399"/>
      <c r="CO604" s="399"/>
      <c r="CP604" s="399"/>
      <c r="CQ604" s="399"/>
      <c r="CR604" s="399"/>
      <c r="CS604" s="399"/>
      <c r="CT604" s="399"/>
      <c r="CU604" s="399"/>
      <c r="CV604" s="399"/>
      <c r="CW604" s="399"/>
      <c r="CX604" s="399"/>
      <c r="CY604" s="399"/>
      <c r="CZ604" s="399"/>
      <c r="DA604" s="399"/>
      <c r="DB604" s="399"/>
      <c r="DC604" s="399"/>
      <c r="DD604" s="399"/>
      <c r="DE604" s="399"/>
      <c r="DF604" s="399"/>
      <c r="DG604" s="399"/>
      <c r="DH604" s="399"/>
      <c r="DI604" s="399"/>
      <c r="DJ604" s="399"/>
      <c r="DK604" s="399"/>
      <c r="DL604" s="399"/>
      <c r="DM604" s="399"/>
      <c r="DN604" s="399"/>
      <c r="DO604" s="399"/>
      <c r="DP604" s="399"/>
      <c r="DQ604" s="399"/>
    </row>
    <row r="605" spans="1:121" s="760" customFormat="1" ht="14.45" customHeight="1" x14ac:dyDescent="0.25">
      <c r="A605" s="266">
        <f t="shared" si="9"/>
        <v>41.6</v>
      </c>
      <c r="B605" s="389">
        <v>41608</v>
      </c>
      <c r="C605" s="390" t="s">
        <v>904</v>
      </c>
      <c r="D605" s="390" t="s">
        <v>459</v>
      </c>
      <c r="E605" s="390" t="s">
        <v>380</v>
      </c>
      <c r="F605" s="262" t="s">
        <v>151</v>
      </c>
      <c r="G605" s="262" t="s">
        <v>164</v>
      </c>
      <c r="H605" s="261"/>
      <c r="I605" s="261"/>
      <c r="J605" s="261"/>
      <c r="K605" s="261"/>
      <c r="L605" s="261"/>
      <c r="M605" s="261"/>
      <c r="N605" s="261"/>
      <c r="O605" s="261"/>
      <c r="P605" s="261"/>
      <c r="Q605" s="261"/>
      <c r="R605" s="261"/>
      <c r="S605" s="261"/>
      <c r="T605" s="261"/>
      <c r="U605" s="261"/>
      <c r="V605" s="762"/>
      <c r="W605" s="261"/>
      <c r="X605" s="261"/>
      <c r="Y605" s="264">
        <f>IF(NFI_Expiration=1,IF($A605&lt;VLOOKUP(H$5,NFI,5,0),1,0)*Table_NFI[[#This Row],[Hygiene Kit]],Table_NFI[Hygiene Kit])</f>
        <v>0</v>
      </c>
      <c r="Z605" s="264">
        <f>IF(NFI_Expiration=1,IF($A605&lt;VLOOKUP(I$5,NFI,5,0),1,0)*Table_NFI[[#This Row],[NFI Core Kit]],Table_NFI[NFI Core Kit])</f>
        <v>0</v>
      </c>
      <c r="AA605" s="264">
        <f>IF(NFI_Expiration=1,IF($A605&lt;VLOOKUP(J$5,NFI,5,0),1,0)*Table_NFI[[#This Row],[Sanitary Kit]],Table_NFI[Sanitary Kit])</f>
        <v>0</v>
      </c>
      <c r="AB605" s="264">
        <f>IF(NFI_Expiration=1,IF($A605&lt;VLOOKUP(K$5,NFI,5,0),1,0)*Table_NFI[[#This Row],[Mosquito net]],Table_NFI[Mosquito net])</f>
        <v>0</v>
      </c>
      <c r="AC605" s="264">
        <f>IF(NFI_Expiration=1,IF($A605&lt;VLOOKUP(L$5,NFI,5,0),1,0)*Table_NFI[[#This Row],[Tarpaulin]],Table_NFI[[#This Row],[Tarpaulin]])</f>
        <v>0</v>
      </c>
      <c r="AD605" s="264">
        <f>IF(NFI_Expiration=1,IF($A605&lt;VLOOKUP(M$5,NFI,5,0),1,0)*Table_NFI[[#This Row],[Blanket]],Table_NFI[[#This Row],[Blanket]])</f>
        <v>0</v>
      </c>
      <c r="AE605" s="264">
        <f>IF(NFI_Expiration=1,IF($A605&lt;VLOOKUP(N$5,NFI,5,0),1,0)*Table_NFI[[#This Row],[Kitchen Set]],Table_NFI[Kitchen Set])</f>
        <v>0</v>
      </c>
      <c r="AF605" s="264">
        <f>IF(NFI_Expiration=1,IF($A605&lt;VLOOKUP(O$5,NFI,5,0),1,0)*Table_NFI[[#This Row],[Clothes Kit]],Table_NFI[Clothes Kit])</f>
        <v>0</v>
      </c>
      <c r="AG605" s="264">
        <f>IF(NFI_Expiration=1,IF($A605&lt;VLOOKUP(P$5,NFI,5,0),1,0)*Table_NFI[[#This Row],[Plastic Bucket]],Table_NFI[Plastic Bucket])</f>
        <v>0</v>
      </c>
      <c r="AH605" s="264">
        <f>IF(NFI_Expiration=1,IF($A605&lt;VLOOKUP(Q$5,NFI,5,0),1,0)*Table_NFI[[#This Row],[Plastic Mat]],Table_NFI[Plastic Mat])*IF(Table_NFI[[#This Row],[Distribution Date]]&gt;"2014-04-01",1,2.5)</f>
        <v>0</v>
      </c>
      <c r="AI605" s="264">
        <f>IF(NFI_Expiration=1,IF($A605&lt;VLOOKUP(R$5,NFI,5,0),1,0)*Table_NFI[[#This Row],[Winter Clothes Adult]],Table_NFI[Winter Clothes Adult])</f>
        <v>0</v>
      </c>
      <c r="AJ605" s="264">
        <f>IF(NFI_Expiration=1,IF($A605&lt;VLOOKUP(S$5,NFI,5,0),1,0)*Table_NFI[[#This Row],[Winter Clothes Children]],Table_NFI[Winter Clothes Children])</f>
        <v>0</v>
      </c>
      <c r="AK605" s="264">
        <f>IF(NFI_Expiration=1,IF($A605&lt;VLOOKUP(T$5,NFI,5,0),1,0)*Table_NFI[[#This Row],[Winter Items Other]],Table_NFI[Winter Items Other])</f>
        <v>0</v>
      </c>
      <c r="AL605" s="264">
        <f>IF(NFI_Expiration=1,IF($A605&lt;VLOOKUP(M$5,NFI,5,0),1,0)*Table_NFI[[#This Row],[Winter Blanket]],Table_NFI[[#This Row],[Winter Blanket]])</f>
        <v>0</v>
      </c>
      <c r="AM605" s="264">
        <f>IF(Table_NFI[[#This Row],[Winter Clothes Adult]]+Table_NFI[[#This Row],[Winter Clothes Children]]+Table_NFI[[#This Row],[Winter Items Other]]+Table_NFI[[#This Row],[Winter Blanket]]&gt;0,1,0)</f>
        <v>0</v>
      </c>
      <c r="AN605" s="296">
        <f>IF(NFI_Expiration=1,IF($A605&lt;VLOOKUP(V$5,NFI,5,0),1,0)*Table_NFI[[#This Row],[Jerry Can]],Table_NFI[Jerry Can])</f>
        <v>0</v>
      </c>
      <c r="AO605" s="296">
        <f>IF(NFI_Expiration=1,IF($A605&lt;VLOOKUP(V$5,NFI,5,0),1,0)*Table_NFI[[#This Row],[Shelter Tool kit]],Table_NFI[Shelter Tool kit])</f>
        <v>0</v>
      </c>
      <c r="AP605" s="296">
        <f>IF(NFI_Expiration=1,IF($A605&lt;VLOOKUP(V$5,NFI,5,0),1,0)*Table_NFI[[#This Row],[Tent]],Table_NFI[Tent])</f>
        <v>0</v>
      </c>
      <c r="AQ605" s="396" t="str">
        <f>IFERROR(VLOOKUP(Table_NFI[[#This Row],[Camp Name]],CL,2,0),"")</f>
        <v>MMR001CMP137</v>
      </c>
      <c r="AR605" s="702">
        <f ca="1">IF(Table_NFI[[#This Row],[Pcode]]="","",IF(OFFSET(CampList[Opening Date],MATCH(Table_NFI[[#This Row],[Pcode]],CampList[CP_Pcode],0)-1,0,1,1)&gt;=NFI_Monitor_Date,1,0))</f>
        <v>0</v>
      </c>
      <c r="AS605" s="396" t="str">
        <f>IFERROR(VLOOKUP(Table_NFI[[#This Row],[Camp Name]],CL,3,0),"")</f>
        <v>Closed</v>
      </c>
      <c r="AT605" s="264" t="str">
        <f ca="1">IF(Table_NFI[[#This Row],[Pcode]]="","",OFFSET(CampList[Priority],MATCH(Table_NFI[[#This Row],[Pcode]],CampList[CP_Pcode],0)-1,0,1,1))</f>
        <v/>
      </c>
      <c r="AU605" s="263" t="str">
        <f>IFERROR(Table_NFI[[#This Row],[Kitchen Set]]/VLOOKUP(Table_NFI[[#This Row],[Camp Name]],CL,4,0),"")</f>
        <v/>
      </c>
      <c r="AV605" s="390" t="s">
        <v>1087</v>
      </c>
      <c r="AW605" s="392"/>
      <c r="AX605" s="399"/>
      <c r="AY605" s="399"/>
      <c r="AZ605" s="399"/>
      <c r="BA605" s="399"/>
      <c r="BB605" s="399"/>
      <c r="BC605" s="399"/>
      <c r="BD605" s="399"/>
      <c r="BE605" s="399"/>
      <c r="BF605" s="399"/>
      <c r="BG605" s="399"/>
      <c r="BH605" s="399"/>
      <c r="BI605" s="399"/>
      <c r="BJ605" s="399"/>
      <c r="BK605" s="399"/>
      <c r="BL605" s="399"/>
      <c r="BM605" s="399"/>
      <c r="BN605" s="399"/>
      <c r="BO605" s="399"/>
      <c r="BP605" s="399"/>
      <c r="BQ605" s="399"/>
      <c r="BR605" s="399"/>
      <c r="BS605" s="399"/>
      <c r="BT605" s="399"/>
      <c r="BU605" s="399"/>
      <c r="BV605" s="399"/>
      <c r="BW605" s="399"/>
      <c r="BX605" s="399"/>
      <c r="BY605" s="399"/>
      <c r="BZ605" s="399"/>
      <c r="CA605" s="399"/>
      <c r="CB605" s="399"/>
      <c r="CC605" s="399"/>
      <c r="CD605" s="399"/>
      <c r="CE605" s="399"/>
      <c r="CF605" s="399"/>
      <c r="CG605" s="399"/>
      <c r="CH605" s="399"/>
      <c r="CI605" s="399"/>
      <c r="CJ605" s="399"/>
      <c r="CK605" s="399"/>
      <c r="CL605" s="399"/>
      <c r="CM605" s="399"/>
      <c r="CN605" s="399"/>
      <c r="CO605" s="399"/>
      <c r="CP605" s="399"/>
      <c r="CQ605" s="399"/>
      <c r="CR605" s="399"/>
      <c r="CS605" s="399"/>
      <c r="CT605" s="399"/>
      <c r="CU605" s="399"/>
      <c r="CV605" s="399"/>
      <c r="CW605" s="399"/>
      <c r="CX605" s="399"/>
      <c r="CY605" s="399"/>
      <c r="CZ605" s="399"/>
      <c r="DA605" s="399"/>
      <c r="DB605" s="399"/>
      <c r="DC605" s="399"/>
      <c r="DD605" s="399"/>
      <c r="DE605" s="399"/>
      <c r="DF605" s="399"/>
      <c r="DG605" s="399"/>
      <c r="DH605" s="399"/>
      <c r="DI605" s="399"/>
      <c r="DJ605" s="399"/>
      <c r="DK605" s="399"/>
      <c r="DL605" s="399"/>
      <c r="DM605" s="399"/>
      <c r="DN605" s="399"/>
      <c r="DO605" s="399"/>
      <c r="DP605" s="399"/>
      <c r="DQ605" s="399"/>
    </row>
    <row r="606" spans="1:121" s="760" customFormat="1" ht="14.45" customHeight="1" x14ac:dyDescent="0.25">
      <c r="A606" s="266">
        <f t="shared" si="9"/>
        <v>41.6</v>
      </c>
      <c r="B606" s="389">
        <v>41608</v>
      </c>
      <c r="C606" s="390" t="s">
        <v>1092</v>
      </c>
      <c r="D606" s="391" t="s">
        <v>943</v>
      </c>
      <c r="E606" s="390" t="s">
        <v>552</v>
      </c>
      <c r="F606" s="262" t="s">
        <v>146</v>
      </c>
      <c r="G606" s="262" t="s">
        <v>368</v>
      </c>
      <c r="H606" s="261"/>
      <c r="I606" s="261"/>
      <c r="J606" s="261"/>
      <c r="K606" s="261"/>
      <c r="L606" s="261"/>
      <c r="M606" s="261">
        <v>258</v>
      </c>
      <c r="N606" s="261"/>
      <c r="O606" s="261"/>
      <c r="P606" s="261"/>
      <c r="Q606" s="261"/>
      <c r="R606" s="261">
        <v>349</v>
      </c>
      <c r="S606" s="261">
        <v>175</v>
      </c>
      <c r="T606" s="261">
        <v>0</v>
      </c>
      <c r="U606" s="261"/>
      <c r="V606" s="762"/>
      <c r="W606" s="261"/>
      <c r="X606" s="261"/>
      <c r="Y606" s="264">
        <f>IF(NFI_Expiration=1,IF($A606&lt;VLOOKUP(H$5,NFI,5,0),1,0)*Table_NFI[[#This Row],[Hygiene Kit]],Table_NFI[Hygiene Kit])</f>
        <v>0</v>
      </c>
      <c r="Z606" s="264">
        <f>IF(NFI_Expiration=1,IF($A606&lt;VLOOKUP(I$5,NFI,5,0),1,0)*Table_NFI[[#This Row],[NFI Core Kit]],Table_NFI[NFI Core Kit])</f>
        <v>0</v>
      </c>
      <c r="AA606" s="264">
        <f>IF(NFI_Expiration=1,IF($A606&lt;VLOOKUP(J$5,NFI,5,0),1,0)*Table_NFI[[#This Row],[Sanitary Kit]],Table_NFI[Sanitary Kit])</f>
        <v>0</v>
      </c>
      <c r="AB606" s="264">
        <f>IF(NFI_Expiration=1,IF($A606&lt;VLOOKUP(K$5,NFI,5,0),1,0)*Table_NFI[[#This Row],[Mosquito net]],Table_NFI[Mosquito net])</f>
        <v>0</v>
      </c>
      <c r="AC606" s="264">
        <f>IF(NFI_Expiration=1,IF($A606&lt;VLOOKUP(L$5,NFI,5,0),1,0)*Table_NFI[[#This Row],[Tarpaulin]],Table_NFI[[#This Row],[Tarpaulin]])</f>
        <v>0</v>
      </c>
      <c r="AD606" s="264">
        <f>IF(NFI_Expiration=1,IF($A606&lt;VLOOKUP(M$5,NFI,5,0),1,0)*Table_NFI[[#This Row],[Blanket]],Table_NFI[[#This Row],[Blanket]])</f>
        <v>0</v>
      </c>
      <c r="AE606" s="264">
        <f>IF(NFI_Expiration=1,IF($A606&lt;VLOOKUP(N$5,NFI,5,0),1,0)*Table_NFI[[#This Row],[Kitchen Set]],Table_NFI[Kitchen Set])</f>
        <v>0</v>
      </c>
      <c r="AF606" s="264">
        <f>IF(NFI_Expiration=1,IF($A606&lt;VLOOKUP(O$5,NFI,5,0),1,0)*Table_NFI[[#This Row],[Clothes Kit]],Table_NFI[Clothes Kit])</f>
        <v>0</v>
      </c>
      <c r="AG606" s="264">
        <f>IF(NFI_Expiration=1,IF($A606&lt;VLOOKUP(P$5,NFI,5,0),1,0)*Table_NFI[[#This Row],[Plastic Bucket]],Table_NFI[Plastic Bucket])</f>
        <v>0</v>
      </c>
      <c r="AH606" s="264">
        <f>IF(NFI_Expiration=1,IF($A606&lt;VLOOKUP(Q$5,NFI,5,0),1,0)*Table_NFI[[#This Row],[Plastic Mat]],Table_NFI[Plastic Mat])*IF(Table_NFI[[#This Row],[Distribution Date]]&gt;"2014-04-01",1,2.5)</f>
        <v>0</v>
      </c>
      <c r="AI606" s="264">
        <f>IF(NFI_Expiration=1,IF($A606&lt;VLOOKUP(R$5,NFI,5,0),1,0)*Table_NFI[[#This Row],[Winter Clothes Adult]],Table_NFI[Winter Clothes Adult])</f>
        <v>0</v>
      </c>
      <c r="AJ606" s="264">
        <f>IF(NFI_Expiration=1,IF($A606&lt;VLOOKUP(S$5,NFI,5,0),1,0)*Table_NFI[[#This Row],[Winter Clothes Children]],Table_NFI[Winter Clothes Children])</f>
        <v>0</v>
      </c>
      <c r="AK606" s="264">
        <f>IF(NFI_Expiration=1,IF($A606&lt;VLOOKUP(T$5,NFI,5,0),1,0)*Table_NFI[[#This Row],[Winter Items Other]],Table_NFI[Winter Items Other])</f>
        <v>0</v>
      </c>
      <c r="AL606" s="264">
        <f>IF(NFI_Expiration=1,IF($A606&lt;VLOOKUP(M$5,NFI,5,0),1,0)*Table_NFI[[#This Row],[Winter Blanket]],Table_NFI[[#This Row],[Winter Blanket]])</f>
        <v>0</v>
      </c>
      <c r="AM606" s="264">
        <f>IF(Table_NFI[[#This Row],[Winter Clothes Adult]]+Table_NFI[[#This Row],[Winter Clothes Children]]+Table_NFI[[#This Row],[Winter Items Other]]+Table_NFI[[#This Row],[Winter Blanket]]&gt;0,1,0)</f>
        <v>1</v>
      </c>
      <c r="AN606" s="296">
        <f>IF(NFI_Expiration=1,IF($A606&lt;VLOOKUP(V$5,NFI,5,0),1,0)*Table_NFI[[#This Row],[Jerry Can]],Table_NFI[Jerry Can])</f>
        <v>0</v>
      </c>
      <c r="AO606" s="296">
        <f>IF(NFI_Expiration=1,IF($A606&lt;VLOOKUP(V$5,NFI,5,0),1,0)*Table_NFI[[#This Row],[Shelter Tool kit]],Table_NFI[Shelter Tool kit])</f>
        <v>0</v>
      </c>
      <c r="AP606" s="296">
        <f>IF(NFI_Expiration=1,IF($A606&lt;VLOOKUP(V$5,NFI,5,0),1,0)*Table_NFI[[#This Row],[Tent]],Table_NFI[Tent])</f>
        <v>0</v>
      </c>
      <c r="AQ606" s="396" t="str">
        <f>IFERROR(VLOOKUP(Table_NFI[[#This Row],[Camp Name]],CL,2,0),"")</f>
        <v>MMR015CMP018</v>
      </c>
      <c r="AR606" s="702">
        <f ca="1">IF(Table_NFI[[#This Row],[Pcode]]="","",IF(OFFSET(CampList[Opening Date],MATCH(Table_NFI[[#This Row],[Pcode]],CampList[CP_Pcode],0)-1,0,1,1)&gt;=NFI_Monitor_Date,1,0))</f>
        <v>0</v>
      </c>
      <c r="AS606" s="396" t="str">
        <f>IFERROR(VLOOKUP(Table_NFI[[#This Row],[Camp Name]],CL,3,0),"")</f>
        <v>Open</v>
      </c>
      <c r="AT606" s="264" t="str">
        <f ca="1">IF(Table_NFI[[#This Row],[Pcode]]="","",OFFSET(CampList[Priority],MATCH(Table_NFI[[#This Row],[Pcode]],CampList[CP_Pcode],0)-1,0,1,1))</f>
        <v>P3</v>
      </c>
      <c r="AU606" s="263">
        <f>IFERROR(Table_NFI[[#This Row],[Kitchen Set]]/VLOOKUP(Table_NFI[[#This Row],[Camp Name]],CL,4,0),"")</f>
        <v>0</v>
      </c>
      <c r="AV606" s="390" t="s">
        <v>1087</v>
      </c>
      <c r="AW606" s="392"/>
      <c r="AX606" s="399"/>
      <c r="AY606" s="399"/>
      <c r="AZ606" s="399"/>
      <c r="BA606" s="399"/>
      <c r="BB606" s="399"/>
      <c r="BC606" s="399"/>
      <c r="BD606" s="399"/>
      <c r="BE606" s="399"/>
      <c r="BF606" s="399"/>
      <c r="BG606" s="399"/>
      <c r="BH606" s="399"/>
      <c r="BI606" s="399"/>
      <c r="BJ606" s="399"/>
      <c r="BK606" s="399"/>
      <c r="BL606" s="399"/>
      <c r="BM606" s="399"/>
      <c r="BN606" s="399"/>
      <c r="BO606" s="399"/>
      <c r="BP606" s="399"/>
      <c r="BQ606" s="399"/>
      <c r="BR606" s="399"/>
      <c r="BS606" s="399"/>
      <c r="BT606" s="399"/>
      <c r="BU606" s="399"/>
      <c r="BV606" s="399"/>
      <c r="BW606" s="399"/>
      <c r="BX606" s="399"/>
      <c r="BY606" s="399"/>
      <c r="BZ606" s="399"/>
      <c r="CA606" s="399"/>
      <c r="CB606" s="399"/>
      <c r="CC606" s="399"/>
      <c r="CD606" s="399"/>
      <c r="CE606" s="399"/>
      <c r="CF606" s="399"/>
      <c r="CG606" s="399"/>
      <c r="CH606" s="399"/>
      <c r="CI606" s="399"/>
      <c r="CJ606" s="399"/>
      <c r="CK606" s="399"/>
      <c r="CL606" s="399"/>
      <c r="CM606" s="399"/>
      <c r="CN606" s="399"/>
      <c r="CO606" s="399"/>
      <c r="CP606" s="399"/>
      <c r="CQ606" s="399"/>
      <c r="CR606" s="399"/>
      <c r="CS606" s="399"/>
      <c r="CT606" s="399"/>
      <c r="CU606" s="399"/>
      <c r="CV606" s="399"/>
      <c r="CW606" s="399"/>
      <c r="CX606" s="399"/>
      <c r="CY606" s="399"/>
      <c r="CZ606" s="399"/>
      <c r="DA606" s="399"/>
      <c r="DB606" s="399"/>
      <c r="DC606" s="399"/>
      <c r="DD606" s="399"/>
      <c r="DE606" s="399"/>
      <c r="DF606" s="399"/>
      <c r="DG606" s="399"/>
      <c r="DH606" s="399"/>
      <c r="DI606" s="399"/>
      <c r="DJ606" s="399"/>
      <c r="DK606" s="399"/>
      <c r="DL606" s="399"/>
      <c r="DM606" s="399"/>
      <c r="DN606" s="399"/>
      <c r="DO606" s="399"/>
      <c r="DP606" s="399"/>
      <c r="DQ606" s="399"/>
    </row>
    <row r="607" spans="1:121" s="760" customFormat="1" ht="14.45" customHeight="1" x14ac:dyDescent="0.25">
      <c r="A607" s="266">
        <f t="shared" si="9"/>
        <v>41.6</v>
      </c>
      <c r="B607" s="389">
        <v>41608</v>
      </c>
      <c r="C607" s="390" t="s">
        <v>904</v>
      </c>
      <c r="D607" s="390"/>
      <c r="E607" s="390" t="s">
        <v>380</v>
      </c>
      <c r="F607" s="262" t="s">
        <v>185</v>
      </c>
      <c r="G607" s="262" t="s">
        <v>209</v>
      </c>
      <c r="H607" s="261"/>
      <c r="I607" s="261"/>
      <c r="J607" s="261"/>
      <c r="K607" s="261"/>
      <c r="L607" s="261"/>
      <c r="M607" s="261"/>
      <c r="N607" s="261"/>
      <c r="O607" s="261"/>
      <c r="P607" s="261"/>
      <c r="Q607" s="261">
        <v>906</v>
      </c>
      <c r="R607" s="261"/>
      <c r="S607" s="261"/>
      <c r="T607" s="261"/>
      <c r="U607" s="261"/>
      <c r="V607" s="762"/>
      <c r="W607" s="261"/>
      <c r="X607" s="261"/>
      <c r="Y607" s="264">
        <f>IF(NFI_Expiration=1,IF($A607&lt;VLOOKUP(H$5,NFI,5,0),1,0)*Table_NFI[[#This Row],[Hygiene Kit]],Table_NFI[Hygiene Kit])</f>
        <v>0</v>
      </c>
      <c r="Z607" s="264">
        <f>IF(NFI_Expiration=1,IF($A607&lt;VLOOKUP(I$5,NFI,5,0),1,0)*Table_NFI[[#This Row],[NFI Core Kit]],Table_NFI[NFI Core Kit])</f>
        <v>0</v>
      </c>
      <c r="AA607" s="264">
        <f>IF(NFI_Expiration=1,IF($A607&lt;VLOOKUP(J$5,NFI,5,0),1,0)*Table_NFI[[#This Row],[Sanitary Kit]],Table_NFI[Sanitary Kit])</f>
        <v>0</v>
      </c>
      <c r="AB607" s="264">
        <f>IF(NFI_Expiration=1,IF($A607&lt;VLOOKUP(K$5,NFI,5,0),1,0)*Table_NFI[[#This Row],[Mosquito net]],Table_NFI[Mosquito net])</f>
        <v>0</v>
      </c>
      <c r="AC607" s="264">
        <f>IF(NFI_Expiration=1,IF($A607&lt;VLOOKUP(L$5,NFI,5,0),1,0)*Table_NFI[[#This Row],[Tarpaulin]],Table_NFI[[#This Row],[Tarpaulin]])</f>
        <v>0</v>
      </c>
      <c r="AD607" s="264">
        <f>IF(NFI_Expiration=1,IF($A607&lt;VLOOKUP(M$5,NFI,5,0),1,0)*Table_NFI[[#This Row],[Blanket]],Table_NFI[[#This Row],[Blanket]])</f>
        <v>0</v>
      </c>
      <c r="AE607" s="264">
        <f>IF(NFI_Expiration=1,IF($A607&lt;VLOOKUP(N$5,NFI,5,0),1,0)*Table_NFI[[#This Row],[Kitchen Set]],Table_NFI[Kitchen Set])</f>
        <v>0</v>
      </c>
      <c r="AF607" s="264">
        <f>IF(NFI_Expiration=1,IF($A607&lt;VLOOKUP(O$5,NFI,5,0),1,0)*Table_NFI[[#This Row],[Clothes Kit]],Table_NFI[Clothes Kit])</f>
        <v>0</v>
      </c>
      <c r="AG607" s="264">
        <f>IF(NFI_Expiration=1,IF($A607&lt;VLOOKUP(P$5,NFI,5,0),1,0)*Table_NFI[[#This Row],[Plastic Bucket]],Table_NFI[Plastic Bucket])</f>
        <v>0</v>
      </c>
      <c r="AH607" s="264">
        <f>IF(NFI_Expiration=1,IF($A607&lt;VLOOKUP(Q$5,NFI,5,0),1,0)*Table_NFI[[#This Row],[Plastic Mat]],Table_NFI[Plastic Mat])*IF(Table_NFI[[#This Row],[Distribution Date]]&gt;"2014-04-01",1,2.5)</f>
        <v>0</v>
      </c>
      <c r="AI607" s="264">
        <f>IF(NFI_Expiration=1,IF($A607&lt;VLOOKUP(R$5,NFI,5,0),1,0)*Table_NFI[[#This Row],[Winter Clothes Adult]],Table_NFI[Winter Clothes Adult])</f>
        <v>0</v>
      </c>
      <c r="AJ607" s="264">
        <f>IF(NFI_Expiration=1,IF($A607&lt;VLOOKUP(S$5,NFI,5,0),1,0)*Table_NFI[[#This Row],[Winter Clothes Children]],Table_NFI[Winter Clothes Children])</f>
        <v>0</v>
      </c>
      <c r="AK607" s="264">
        <f>IF(NFI_Expiration=1,IF($A607&lt;VLOOKUP(T$5,NFI,5,0),1,0)*Table_NFI[[#This Row],[Winter Items Other]],Table_NFI[Winter Items Other])</f>
        <v>0</v>
      </c>
      <c r="AL607" s="264">
        <f>IF(NFI_Expiration=1,IF($A607&lt;VLOOKUP(M$5,NFI,5,0),1,0)*Table_NFI[[#This Row],[Winter Blanket]],Table_NFI[[#This Row],[Winter Blanket]])</f>
        <v>0</v>
      </c>
      <c r="AM607" s="264">
        <f>IF(Table_NFI[[#This Row],[Winter Clothes Adult]]+Table_NFI[[#This Row],[Winter Clothes Children]]+Table_NFI[[#This Row],[Winter Items Other]]+Table_NFI[[#This Row],[Winter Blanket]]&gt;0,1,0)</f>
        <v>0</v>
      </c>
      <c r="AN607" s="296">
        <f>IF(NFI_Expiration=1,IF($A607&lt;VLOOKUP(V$5,NFI,5,0),1,0)*Table_NFI[[#This Row],[Jerry Can]],Table_NFI[Jerry Can])</f>
        <v>0</v>
      </c>
      <c r="AO607" s="296">
        <f>IF(NFI_Expiration=1,IF($A607&lt;VLOOKUP(V$5,NFI,5,0),1,0)*Table_NFI[[#This Row],[Shelter Tool kit]],Table_NFI[Shelter Tool kit])</f>
        <v>0</v>
      </c>
      <c r="AP607" s="296">
        <f>IF(NFI_Expiration=1,IF($A607&lt;VLOOKUP(V$5,NFI,5,0),1,0)*Table_NFI[[#This Row],[Tent]],Table_NFI[Tent])</f>
        <v>0</v>
      </c>
      <c r="AQ607" s="396" t="str">
        <f>IFERROR(VLOOKUP(Table_NFI[[#This Row],[Camp Name]],CL,2,0),"")</f>
        <v>MMR001CMP056</v>
      </c>
      <c r="AR607" s="702">
        <f ca="1">IF(Table_NFI[[#This Row],[Pcode]]="","",IF(OFFSET(CampList[Opening Date],MATCH(Table_NFI[[#This Row],[Pcode]],CampList[CP_Pcode],0)-1,0,1,1)&gt;=NFI_Monitor_Date,1,0))</f>
        <v>0</v>
      </c>
      <c r="AS607" s="396" t="str">
        <f>IFERROR(VLOOKUP(Table_NFI[[#This Row],[Camp Name]],CL,3,0),"")</f>
        <v>Open</v>
      </c>
      <c r="AT607" s="264" t="str">
        <f ca="1">IF(Table_NFI[[#This Row],[Pcode]]="","",OFFSET(CampList[Priority],MATCH(Table_NFI[[#This Row],[Pcode]],CampList[CP_Pcode],0)-1,0,1,1))</f>
        <v>P4</v>
      </c>
      <c r="AU607" s="263">
        <f>IFERROR(Table_NFI[[#This Row],[Kitchen Set]]/VLOOKUP(Table_NFI[[#This Row],[Camp Name]],CL,4,0),"")</f>
        <v>0</v>
      </c>
      <c r="AV607" s="390" t="s">
        <v>1087</v>
      </c>
      <c r="AW607" s="392"/>
      <c r="AX607" s="399"/>
      <c r="AY607" s="399"/>
      <c r="AZ607" s="399"/>
      <c r="BA607" s="399"/>
      <c r="BB607" s="399"/>
      <c r="BC607" s="399"/>
      <c r="BD607" s="399"/>
      <c r="BE607" s="399"/>
      <c r="BF607" s="399"/>
      <c r="BG607" s="399"/>
      <c r="BH607" s="399"/>
      <c r="BI607" s="399"/>
      <c r="BJ607" s="399"/>
      <c r="BK607" s="399"/>
      <c r="BL607" s="399"/>
      <c r="BM607" s="399"/>
      <c r="BN607" s="399"/>
      <c r="BO607" s="399"/>
      <c r="BP607" s="399"/>
      <c r="BQ607" s="399"/>
      <c r="BR607" s="399"/>
      <c r="BS607" s="399"/>
      <c r="BT607" s="399"/>
      <c r="BU607" s="399"/>
      <c r="BV607" s="399"/>
      <c r="BW607" s="399"/>
      <c r="BX607" s="399"/>
      <c r="BY607" s="399"/>
      <c r="BZ607" s="399"/>
      <c r="CA607" s="399"/>
      <c r="CB607" s="399"/>
      <c r="CC607" s="399"/>
      <c r="CD607" s="399"/>
      <c r="CE607" s="399"/>
      <c r="CF607" s="399"/>
      <c r="CG607" s="399"/>
      <c r="CH607" s="399"/>
      <c r="CI607" s="399"/>
      <c r="CJ607" s="399"/>
      <c r="CK607" s="399"/>
      <c r="CL607" s="399"/>
      <c r="CM607" s="399"/>
      <c r="CN607" s="399"/>
      <c r="CO607" s="399"/>
      <c r="CP607" s="399"/>
      <c r="CQ607" s="399"/>
      <c r="CR607" s="399"/>
      <c r="CS607" s="399"/>
      <c r="CT607" s="399"/>
      <c r="CU607" s="399"/>
      <c r="CV607" s="399"/>
      <c r="CW607" s="399"/>
      <c r="CX607" s="399"/>
      <c r="CY607" s="399"/>
      <c r="CZ607" s="399"/>
      <c r="DA607" s="399"/>
      <c r="DB607" s="399"/>
      <c r="DC607" s="399"/>
      <c r="DD607" s="399"/>
      <c r="DE607" s="399"/>
      <c r="DF607" s="399"/>
      <c r="DG607" s="399"/>
      <c r="DH607" s="399"/>
      <c r="DI607" s="399"/>
      <c r="DJ607" s="399"/>
      <c r="DK607" s="399"/>
      <c r="DL607" s="399"/>
      <c r="DM607" s="399"/>
      <c r="DN607" s="399"/>
      <c r="DO607" s="399"/>
      <c r="DP607" s="399"/>
      <c r="DQ607" s="399"/>
    </row>
    <row r="608" spans="1:121" s="760" customFormat="1" ht="14.45" customHeight="1" x14ac:dyDescent="0.25">
      <c r="A608" s="266">
        <f t="shared" si="9"/>
        <v>41.6</v>
      </c>
      <c r="B608" s="389">
        <v>41608</v>
      </c>
      <c r="C608" s="390" t="s">
        <v>904</v>
      </c>
      <c r="D608" s="390"/>
      <c r="E608" s="390" t="s">
        <v>380</v>
      </c>
      <c r="F608" s="262" t="s">
        <v>5</v>
      </c>
      <c r="G608" s="262" t="s">
        <v>20</v>
      </c>
      <c r="H608" s="261"/>
      <c r="I608" s="261"/>
      <c r="J608" s="261"/>
      <c r="K608" s="261"/>
      <c r="L608" s="261"/>
      <c r="M608" s="261"/>
      <c r="N608" s="261"/>
      <c r="O608" s="261"/>
      <c r="P608" s="261"/>
      <c r="Q608" s="261">
        <v>57</v>
      </c>
      <c r="R608" s="261"/>
      <c r="S608" s="261"/>
      <c r="T608" s="261"/>
      <c r="U608" s="261"/>
      <c r="V608" s="762"/>
      <c r="W608" s="261"/>
      <c r="X608" s="261"/>
      <c r="Y608" s="264">
        <f>IF(NFI_Expiration=1,IF($A608&lt;VLOOKUP(H$5,NFI,5,0),1,0)*Table_NFI[[#This Row],[Hygiene Kit]],Table_NFI[Hygiene Kit])</f>
        <v>0</v>
      </c>
      <c r="Z608" s="264">
        <f>IF(NFI_Expiration=1,IF($A608&lt;VLOOKUP(I$5,NFI,5,0),1,0)*Table_NFI[[#This Row],[NFI Core Kit]],Table_NFI[NFI Core Kit])</f>
        <v>0</v>
      </c>
      <c r="AA608" s="264">
        <f>IF(NFI_Expiration=1,IF($A608&lt;VLOOKUP(J$5,NFI,5,0),1,0)*Table_NFI[[#This Row],[Sanitary Kit]],Table_NFI[Sanitary Kit])</f>
        <v>0</v>
      </c>
      <c r="AB608" s="264">
        <f>IF(NFI_Expiration=1,IF($A608&lt;VLOOKUP(K$5,NFI,5,0),1,0)*Table_NFI[[#This Row],[Mosquito net]],Table_NFI[Mosquito net])</f>
        <v>0</v>
      </c>
      <c r="AC608" s="264">
        <f>IF(NFI_Expiration=1,IF($A608&lt;VLOOKUP(L$5,NFI,5,0),1,0)*Table_NFI[[#This Row],[Tarpaulin]],Table_NFI[[#This Row],[Tarpaulin]])</f>
        <v>0</v>
      </c>
      <c r="AD608" s="264">
        <f>IF(NFI_Expiration=1,IF($A608&lt;VLOOKUP(M$5,NFI,5,0),1,0)*Table_NFI[[#This Row],[Blanket]],Table_NFI[[#This Row],[Blanket]])</f>
        <v>0</v>
      </c>
      <c r="AE608" s="264">
        <f>IF(NFI_Expiration=1,IF($A608&lt;VLOOKUP(N$5,NFI,5,0),1,0)*Table_NFI[[#This Row],[Kitchen Set]],Table_NFI[Kitchen Set])</f>
        <v>0</v>
      </c>
      <c r="AF608" s="264">
        <f>IF(NFI_Expiration=1,IF($A608&lt;VLOOKUP(O$5,NFI,5,0),1,0)*Table_NFI[[#This Row],[Clothes Kit]],Table_NFI[Clothes Kit])</f>
        <v>0</v>
      </c>
      <c r="AG608" s="264">
        <f>IF(NFI_Expiration=1,IF($A608&lt;VLOOKUP(P$5,NFI,5,0),1,0)*Table_NFI[[#This Row],[Plastic Bucket]],Table_NFI[Plastic Bucket])</f>
        <v>0</v>
      </c>
      <c r="AH608" s="264">
        <f>IF(NFI_Expiration=1,IF($A608&lt;VLOOKUP(Q$5,NFI,5,0),1,0)*Table_NFI[[#This Row],[Plastic Mat]],Table_NFI[Plastic Mat])*IF(Table_NFI[[#This Row],[Distribution Date]]&gt;"2014-04-01",1,2.5)</f>
        <v>0</v>
      </c>
      <c r="AI608" s="264">
        <f>IF(NFI_Expiration=1,IF($A608&lt;VLOOKUP(R$5,NFI,5,0),1,0)*Table_NFI[[#This Row],[Winter Clothes Adult]],Table_NFI[Winter Clothes Adult])</f>
        <v>0</v>
      </c>
      <c r="AJ608" s="264">
        <f>IF(NFI_Expiration=1,IF($A608&lt;VLOOKUP(S$5,NFI,5,0),1,0)*Table_NFI[[#This Row],[Winter Clothes Children]],Table_NFI[Winter Clothes Children])</f>
        <v>0</v>
      </c>
      <c r="AK608" s="264">
        <f>IF(NFI_Expiration=1,IF($A608&lt;VLOOKUP(T$5,NFI,5,0),1,0)*Table_NFI[[#This Row],[Winter Items Other]],Table_NFI[Winter Items Other])</f>
        <v>0</v>
      </c>
      <c r="AL608" s="264">
        <f>IF(NFI_Expiration=1,IF($A608&lt;VLOOKUP(M$5,NFI,5,0),1,0)*Table_NFI[[#This Row],[Winter Blanket]],Table_NFI[[#This Row],[Winter Blanket]])</f>
        <v>0</v>
      </c>
      <c r="AM608" s="264">
        <f>IF(Table_NFI[[#This Row],[Winter Clothes Adult]]+Table_NFI[[#This Row],[Winter Clothes Children]]+Table_NFI[[#This Row],[Winter Items Other]]+Table_NFI[[#This Row],[Winter Blanket]]&gt;0,1,0)</f>
        <v>0</v>
      </c>
      <c r="AN608" s="296">
        <f>IF(NFI_Expiration=1,IF($A608&lt;VLOOKUP(V$5,NFI,5,0),1,0)*Table_NFI[[#This Row],[Jerry Can]],Table_NFI[Jerry Can])</f>
        <v>0</v>
      </c>
      <c r="AO608" s="296">
        <f>IF(NFI_Expiration=1,IF($A608&lt;VLOOKUP(V$5,NFI,5,0),1,0)*Table_NFI[[#This Row],[Shelter Tool kit]],Table_NFI[Shelter Tool kit])</f>
        <v>0</v>
      </c>
      <c r="AP608" s="296">
        <f>IF(NFI_Expiration=1,IF($A608&lt;VLOOKUP(V$5,NFI,5,0),1,0)*Table_NFI[[#This Row],[Tent]],Table_NFI[Tent])</f>
        <v>0</v>
      </c>
      <c r="AQ608" s="396" t="str">
        <f>IFERROR(VLOOKUP(Table_NFI[[#This Row],[Camp Name]],CL,2,0),"")</f>
        <v>MMR001CMP054</v>
      </c>
      <c r="AR608" s="702">
        <f ca="1">IF(Table_NFI[[#This Row],[Pcode]]="","",IF(OFFSET(CampList[Opening Date],MATCH(Table_NFI[[#This Row],[Pcode]],CampList[CP_Pcode],0)-1,0,1,1)&gt;=NFI_Monitor_Date,1,0))</f>
        <v>0</v>
      </c>
      <c r="AS608" s="396" t="str">
        <f>IFERROR(VLOOKUP(Table_NFI[[#This Row],[Camp Name]],CL,3,0),"")</f>
        <v>Open</v>
      </c>
      <c r="AT608" s="264" t="str">
        <f ca="1">IF(Table_NFI[[#This Row],[Pcode]]="","",OFFSET(CampList[Priority],MATCH(Table_NFI[[#This Row],[Pcode]],CampList[CP_Pcode],0)-1,0,1,1))</f>
        <v>P4</v>
      </c>
      <c r="AU608" s="263">
        <f>IFERROR(Table_NFI[[#This Row],[Kitchen Set]]/VLOOKUP(Table_NFI[[#This Row],[Camp Name]],CL,4,0),"")</f>
        <v>0</v>
      </c>
      <c r="AV608" s="390" t="s">
        <v>1087</v>
      </c>
      <c r="AW608" s="392"/>
      <c r="AX608" s="399"/>
      <c r="AY608" s="399"/>
      <c r="AZ608" s="399"/>
      <c r="BA608" s="399"/>
      <c r="BB608" s="399"/>
      <c r="BC608" s="399"/>
      <c r="BD608" s="399"/>
      <c r="BE608" s="399"/>
      <c r="BF608" s="399"/>
      <c r="BG608" s="399"/>
      <c r="BH608" s="399"/>
      <c r="BI608" s="399"/>
      <c r="BJ608" s="399"/>
      <c r="BK608" s="399"/>
      <c r="BL608" s="399"/>
      <c r="BM608" s="399"/>
      <c r="BN608" s="399"/>
      <c r="BO608" s="399"/>
      <c r="BP608" s="399"/>
      <c r="BQ608" s="399"/>
      <c r="BR608" s="399"/>
      <c r="BS608" s="399"/>
      <c r="BT608" s="399"/>
      <c r="BU608" s="399"/>
      <c r="BV608" s="399"/>
      <c r="BW608" s="399"/>
      <c r="BX608" s="399"/>
      <c r="BY608" s="399"/>
      <c r="BZ608" s="399"/>
      <c r="CA608" s="399"/>
      <c r="CB608" s="399"/>
      <c r="CC608" s="399"/>
      <c r="CD608" s="399"/>
      <c r="CE608" s="399"/>
      <c r="CF608" s="399"/>
      <c r="CG608" s="399"/>
      <c r="CH608" s="399"/>
      <c r="CI608" s="399"/>
      <c r="CJ608" s="399"/>
      <c r="CK608" s="399"/>
      <c r="CL608" s="399"/>
      <c r="CM608" s="399"/>
      <c r="CN608" s="399"/>
      <c r="CO608" s="399"/>
      <c r="CP608" s="399"/>
      <c r="CQ608" s="399"/>
      <c r="CR608" s="399"/>
      <c r="CS608" s="399"/>
      <c r="CT608" s="399"/>
      <c r="CU608" s="399"/>
      <c r="CV608" s="399"/>
      <c r="CW608" s="399"/>
      <c r="CX608" s="399"/>
      <c r="CY608" s="399"/>
      <c r="CZ608" s="399"/>
      <c r="DA608" s="399"/>
      <c r="DB608" s="399"/>
      <c r="DC608" s="399"/>
      <c r="DD608" s="399"/>
      <c r="DE608" s="399"/>
      <c r="DF608" s="399"/>
      <c r="DG608" s="399"/>
      <c r="DH608" s="399"/>
      <c r="DI608" s="399"/>
      <c r="DJ608" s="399"/>
      <c r="DK608" s="399"/>
      <c r="DL608" s="399"/>
      <c r="DM608" s="399"/>
      <c r="DN608" s="399"/>
      <c r="DO608" s="399"/>
      <c r="DP608" s="399"/>
      <c r="DQ608" s="399"/>
    </row>
    <row r="609" spans="1:121" s="760" customFormat="1" ht="14.45" customHeight="1" x14ac:dyDescent="0.25">
      <c r="A609" s="266">
        <f t="shared" si="9"/>
        <v>41.6</v>
      </c>
      <c r="B609" s="389">
        <v>41608</v>
      </c>
      <c r="C609" s="390" t="s">
        <v>904</v>
      </c>
      <c r="D609" s="390"/>
      <c r="E609" s="390" t="s">
        <v>380</v>
      </c>
      <c r="F609" s="262" t="s">
        <v>185</v>
      </c>
      <c r="G609" s="262" t="s">
        <v>217</v>
      </c>
      <c r="H609" s="261"/>
      <c r="I609" s="261"/>
      <c r="J609" s="261"/>
      <c r="K609" s="261"/>
      <c r="L609" s="261"/>
      <c r="M609" s="261"/>
      <c r="N609" s="261"/>
      <c r="O609" s="261"/>
      <c r="P609" s="261"/>
      <c r="Q609" s="261">
        <v>60</v>
      </c>
      <c r="R609" s="261"/>
      <c r="S609" s="261"/>
      <c r="T609" s="261"/>
      <c r="U609" s="261"/>
      <c r="V609" s="762"/>
      <c r="W609" s="261"/>
      <c r="X609" s="261"/>
      <c r="Y609" s="264">
        <f>IF(NFI_Expiration=1,IF($A609&lt;VLOOKUP(H$5,NFI,5,0),1,0)*Table_NFI[[#This Row],[Hygiene Kit]],Table_NFI[Hygiene Kit])</f>
        <v>0</v>
      </c>
      <c r="Z609" s="264">
        <f>IF(NFI_Expiration=1,IF($A609&lt;VLOOKUP(I$5,NFI,5,0),1,0)*Table_NFI[[#This Row],[NFI Core Kit]],Table_NFI[NFI Core Kit])</f>
        <v>0</v>
      </c>
      <c r="AA609" s="264">
        <f>IF(NFI_Expiration=1,IF($A609&lt;VLOOKUP(J$5,NFI,5,0),1,0)*Table_NFI[[#This Row],[Sanitary Kit]],Table_NFI[Sanitary Kit])</f>
        <v>0</v>
      </c>
      <c r="AB609" s="264">
        <f>IF(NFI_Expiration=1,IF($A609&lt;VLOOKUP(K$5,NFI,5,0),1,0)*Table_NFI[[#This Row],[Mosquito net]],Table_NFI[Mosquito net])</f>
        <v>0</v>
      </c>
      <c r="AC609" s="264">
        <f>IF(NFI_Expiration=1,IF($A609&lt;VLOOKUP(L$5,NFI,5,0),1,0)*Table_NFI[[#This Row],[Tarpaulin]],Table_NFI[[#This Row],[Tarpaulin]])</f>
        <v>0</v>
      </c>
      <c r="AD609" s="264">
        <f>IF(NFI_Expiration=1,IF($A609&lt;VLOOKUP(M$5,NFI,5,0),1,0)*Table_NFI[[#This Row],[Blanket]],Table_NFI[[#This Row],[Blanket]])</f>
        <v>0</v>
      </c>
      <c r="AE609" s="264">
        <f>IF(NFI_Expiration=1,IF($A609&lt;VLOOKUP(N$5,NFI,5,0),1,0)*Table_NFI[[#This Row],[Kitchen Set]],Table_NFI[Kitchen Set])</f>
        <v>0</v>
      </c>
      <c r="AF609" s="264">
        <f>IF(NFI_Expiration=1,IF($A609&lt;VLOOKUP(O$5,NFI,5,0),1,0)*Table_NFI[[#This Row],[Clothes Kit]],Table_NFI[Clothes Kit])</f>
        <v>0</v>
      </c>
      <c r="AG609" s="264">
        <f>IF(NFI_Expiration=1,IF($A609&lt;VLOOKUP(P$5,NFI,5,0),1,0)*Table_NFI[[#This Row],[Plastic Bucket]],Table_NFI[Plastic Bucket])</f>
        <v>0</v>
      </c>
      <c r="AH609" s="264">
        <f>IF(NFI_Expiration=1,IF($A609&lt;VLOOKUP(Q$5,NFI,5,0),1,0)*Table_NFI[[#This Row],[Plastic Mat]],Table_NFI[Plastic Mat])*IF(Table_NFI[[#This Row],[Distribution Date]]&gt;"2014-04-01",1,2.5)</f>
        <v>0</v>
      </c>
      <c r="AI609" s="264">
        <f>IF(NFI_Expiration=1,IF($A609&lt;VLOOKUP(R$5,NFI,5,0),1,0)*Table_NFI[[#This Row],[Winter Clothes Adult]],Table_NFI[Winter Clothes Adult])</f>
        <v>0</v>
      </c>
      <c r="AJ609" s="264">
        <f>IF(NFI_Expiration=1,IF($A609&lt;VLOOKUP(S$5,NFI,5,0),1,0)*Table_NFI[[#This Row],[Winter Clothes Children]],Table_NFI[Winter Clothes Children])</f>
        <v>0</v>
      </c>
      <c r="AK609" s="264">
        <f>IF(NFI_Expiration=1,IF($A609&lt;VLOOKUP(T$5,NFI,5,0),1,0)*Table_NFI[[#This Row],[Winter Items Other]],Table_NFI[Winter Items Other])</f>
        <v>0</v>
      </c>
      <c r="AL609" s="264">
        <f>IF(NFI_Expiration=1,IF($A609&lt;VLOOKUP(M$5,NFI,5,0),1,0)*Table_NFI[[#This Row],[Winter Blanket]],Table_NFI[[#This Row],[Winter Blanket]])</f>
        <v>0</v>
      </c>
      <c r="AM609" s="264">
        <f>IF(Table_NFI[[#This Row],[Winter Clothes Adult]]+Table_NFI[[#This Row],[Winter Clothes Children]]+Table_NFI[[#This Row],[Winter Items Other]]+Table_NFI[[#This Row],[Winter Blanket]]&gt;0,1,0)</f>
        <v>0</v>
      </c>
      <c r="AN609" s="296">
        <f>IF(NFI_Expiration=1,IF($A609&lt;VLOOKUP(V$5,NFI,5,0),1,0)*Table_NFI[[#This Row],[Jerry Can]],Table_NFI[Jerry Can])</f>
        <v>0</v>
      </c>
      <c r="AO609" s="296">
        <f>IF(NFI_Expiration=1,IF($A609&lt;VLOOKUP(V$5,NFI,5,0),1,0)*Table_NFI[[#This Row],[Shelter Tool kit]],Table_NFI[Shelter Tool kit])</f>
        <v>0</v>
      </c>
      <c r="AP609" s="296">
        <f>IF(NFI_Expiration=1,IF($A609&lt;VLOOKUP(V$5,NFI,5,0),1,0)*Table_NFI[[#This Row],[Tent]],Table_NFI[Tent])</f>
        <v>0</v>
      </c>
      <c r="AQ609" s="396" t="str">
        <f>IFERROR(VLOOKUP(Table_NFI[[#This Row],[Camp Name]],CL,2,0),"")</f>
        <v>MMR001CMP059</v>
      </c>
      <c r="AR609" s="702">
        <f ca="1">IF(Table_NFI[[#This Row],[Pcode]]="","",IF(OFFSET(CampList[Opening Date],MATCH(Table_NFI[[#This Row],[Pcode]],CampList[CP_Pcode],0)-1,0,1,1)&gt;=NFI_Monitor_Date,1,0))</f>
        <v>0</v>
      </c>
      <c r="AS609" s="396" t="str">
        <f>IFERROR(VLOOKUP(Table_NFI[[#This Row],[Camp Name]],CL,3,0),"")</f>
        <v>Closed</v>
      </c>
      <c r="AT609" s="264" t="str">
        <f ca="1">IF(Table_NFI[[#This Row],[Pcode]]="","",OFFSET(CampList[Priority],MATCH(Table_NFI[[#This Row],[Pcode]],CampList[CP_Pcode],0)-1,0,1,1))</f>
        <v>P4</v>
      </c>
      <c r="AU609" s="263">
        <f>IFERROR(Table_NFI[[#This Row],[Kitchen Set]]/VLOOKUP(Table_NFI[[#This Row],[Camp Name]],CL,4,0),"")</f>
        <v>0</v>
      </c>
      <c r="AV609" s="390" t="s">
        <v>1087</v>
      </c>
      <c r="AW609" s="392"/>
      <c r="AX609" s="399"/>
      <c r="AY609" s="399"/>
      <c r="AZ609" s="399"/>
      <c r="BA609" s="399"/>
      <c r="BB609" s="399"/>
      <c r="BC609" s="399"/>
      <c r="BD609" s="399"/>
      <c r="BE609" s="399"/>
      <c r="BF609" s="399"/>
      <c r="BG609" s="399"/>
      <c r="BH609" s="399"/>
      <c r="BI609" s="399"/>
      <c r="BJ609" s="399"/>
      <c r="BK609" s="399"/>
      <c r="BL609" s="399"/>
      <c r="BM609" s="399"/>
      <c r="BN609" s="399"/>
      <c r="BO609" s="399"/>
      <c r="BP609" s="399"/>
      <c r="BQ609" s="399"/>
      <c r="BR609" s="399"/>
      <c r="BS609" s="399"/>
      <c r="BT609" s="399"/>
      <c r="BU609" s="399"/>
      <c r="BV609" s="399"/>
      <c r="BW609" s="399"/>
      <c r="BX609" s="399"/>
      <c r="BY609" s="399"/>
      <c r="BZ609" s="399"/>
      <c r="CA609" s="399"/>
      <c r="CB609" s="399"/>
      <c r="CC609" s="399"/>
      <c r="CD609" s="399"/>
      <c r="CE609" s="399"/>
      <c r="CF609" s="399"/>
      <c r="CG609" s="399"/>
      <c r="CH609" s="399"/>
      <c r="CI609" s="399"/>
      <c r="CJ609" s="399"/>
      <c r="CK609" s="399"/>
      <c r="CL609" s="399"/>
      <c r="CM609" s="399"/>
      <c r="CN609" s="399"/>
      <c r="CO609" s="399"/>
      <c r="CP609" s="399"/>
      <c r="CQ609" s="399"/>
      <c r="CR609" s="399"/>
      <c r="CS609" s="399"/>
      <c r="CT609" s="399"/>
      <c r="CU609" s="399"/>
      <c r="CV609" s="399"/>
      <c r="CW609" s="399"/>
      <c r="CX609" s="399"/>
      <c r="CY609" s="399"/>
      <c r="CZ609" s="399"/>
      <c r="DA609" s="399"/>
      <c r="DB609" s="399"/>
      <c r="DC609" s="399"/>
      <c r="DD609" s="399"/>
      <c r="DE609" s="399"/>
      <c r="DF609" s="399"/>
      <c r="DG609" s="399"/>
      <c r="DH609" s="399"/>
      <c r="DI609" s="399"/>
      <c r="DJ609" s="399"/>
      <c r="DK609" s="399"/>
      <c r="DL609" s="399"/>
      <c r="DM609" s="399"/>
      <c r="DN609" s="399"/>
      <c r="DO609" s="399"/>
      <c r="DP609" s="399"/>
      <c r="DQ609" s="399"/>
    </row>
    <row r="610" spans="1:121" s="760" customFormat="1" ht="14.45" customHeight="1" x14ac:dyDescent="0.25">
      <c r="A610" s="266">
        <f t="shared" si="9"/>
        <v>41.6</v>
      </c>
      <c r="B610" s="389">
        <v>41608</v>
      </c>
      <c r="C610" s="390" t="s">
        <v>1092</v>
      </c>
      <c r="D610" s="391" t="s">
        <v>943</v>
      </c>
      <c r="E610" s="390" t="s">
        <v>552</v>
      </c>
      <c r="F610" s="262" t="s">
        <v>778</v>
      </c>
      <c r="G610" s="262" t="s">
        <v>593</v>
      </c>
      <c r="H610" s="261"/>
      <c r="I610" s="261"/>
      <c r="J610" s="261"/>
      <c r="K610" s="261"/>
      <c r="L610" s="261"/>
      <c r="M610" s="261">
        <v>201</v>
      </c>
      <c r="N610" s="261"/>
      <c r="O610" s="261"/>
      <c r="P610" s="261"/>
      <c r="Q610" s="261"/>
      <c r="R610" s="261">
        <v>266</v>
      </c>
      <c r="S610" s="261">
        <v>126</v>
      </c>
      <c r="T610" s="261">
        <v>0</v>
      </c>
      <c r="U610" s="261"/>
      <c r="V610" s="762"/>
      <c r="W610" s="261"/>
      <c r="X610" s="261"/>
      <c r="Y610" s="264">
        <f>IF(NFI_Expiration=1,IF($A610&lt;VLOOKUP(H$5,NFI,5,0),1,0)*Table_NFI[[#This Row],[Hygiene Kit]],Table_NFI[Hygiene Kit])</f>
        <v>0</v>
      </c>
      <c r="Z610" s="264">
        <f>IF(NFI_Expiration=1,IF($A610&lt;VLOOKUP(I$5,NFI,5,0),1,0)*Table_NFI[[#This Row],[NFI Core Kit]],Table_NFI[NFI Core Kit])</f>
        <v>0</v>
      </c>
      <c r="AA610" s="264">
        <f>IF(NFI_Expiration=1,IF($A610&lt;VLOOKUP(J$5,NFI,5,0),1,0)*Table_NFI[[#This Row],[Sanitary Kit]],Table_NFI[Sanitary Kit])</f>
        <v>0</v>
      </c>
      <c r="AB610" s="264">
        <f>IF(NFI_Expiration=1,IF($A610&lt;VLOOKUP(K$5,NFI,5,0),1,0)*Table_NFI[[#This Row],[Mosquito net]],Table_NFI[Mosquito net])</f>
        <v>0</v>
      </c>
      <c r="AC610" s="264">
        <f>IF(NFI_Expiration=1,IF($A610&lt;VLOOKUP(L$5,NFI,5,0),1,0)*Table_NFI[[#This Row],[Tarpaulin]],Table_NFI[[#This Row],[Tarpaulin]])</f>
        <v>0</v>
      </c>
      <c r="AD610" s="264">
        <f>IF(NFI_Expiration=1,IF($A610&lt;VLOOKUP(M$5,NFI,5,0),1,0)*Table_NFI[[#This Row],[Blanket]],Table_NFI[[#This Row],[Blanket]])</f>
        <v>0</v>
      </c>
      <c r="AE610" s="264">
        <f>IF(NFI_Expiration=1,IF($A610&lt;VLOOKUP(N$5,NFI,5,0),1,0)*Table_NFI[[#This Row],[Kitchen Set]],Table_NFI[Kitchen Set])</f>
        <v>0</v>
      </c>
      <c r="AF610" s="264">
        <f>IF(NFI_Expiration=1,IF($A610&lt;VLOOKUP(O$5,NFI,5,0),1,0)*Table_NFI[[#This Row],[Clothes Kit]],Table_NFI[Clothes Kit])</f>
        <v>0</v>
      </c>
      <c r="AG610" s="264">
        <f>IF(NFI_Expiration=1,IF($A610&lt;VLOOKUP(P$5,NFI,5,0),1,0)*Table_NFI[[#This Row],[Plastic Bucket]],Table_NFI[Plastic Bucket])</f>
        <v>0</v>
      </c>
      <c r="AH610" s="264">
        <f>IF(NFI_Expiration=1,IF($A610&lt;VLOOKUP(Q$5,NFI,5,0),1,0)*Table_NFI[[#This Row],[Plastic Mat]],Table_NFI[Plastic Mat])*IF(Table_NFI[[#This Row],[Distribution Date]]&gt;"2014-04-01",1,2.5)</f>
        <v>0</v>
      </c>
      <c r="AI610" s="264">
        <f>IF(NFI_Expiration=1,IF($A610&lt;VLOOKUP(R$5,NFI,5,0),1,0)*Table_NFI[[#This Row],[Winter Clothes Adult]],Table_NFI[Winter Clothes Adult])</f>
        <v>0</v>
      </c>
      <c r="AJ610" s="264">
        <f>IF(NFI_Expiration=1,IF($A610&lt;VLOOKUP(S$5,NFI,5,0),1,0)*Table_NFI[[#This Row],[Winter Clothes Children]],Table_NFI[Winter Clothes Children])</f>
        <v>0</v>
      </c>
      <c r="AK610" s="264">
        <f>IF(NFI_Expiration=1,IF($A610&lt;VLOOKUP(T$5,NFI,5,0),1,0)*Table_NFI[[#This Row],[Winter Items Other]],Table_NFI[Winter Items Other])</f>
        <v>0</v>
      </c>
      <c r="AL610" s="264">
        <f>IF(NFI_Expiration=1,IF($A610&lt;VLOOKUP(M$5,NFI,5,0),1,0)*Table_NFI[[#This Row],[Winter Blanket]],Table_NFI[[#This Row],[Winter Blanket]])</f>
        <v>0</v>
      </c>
      <c r="AM610" s="264">
        <f>IF(Table_NFI[[#This Row],[Winter Clothes Adult]]+Table_NFI[[#This Row],[Winter Clothes Children]]+Table_NFI[[#This Row],[Winter Items Other]]+Table_NFI[[#This Row],[Winter Blanket]]&gt;0,1,0)</f>
        <v>1</v>
      </c>
      <c r="AN610" s="296">
        <f>IF(NFI_Expiration=1,IF($A610&lt;VLOOKUP(V$5,NFI,5,0),1,0)*Table_NFI[[#This Row],[Jerry Can]],Table_NFI[Jerry Can])</f>
        <v>0</v>
      </c>
      <c r="AO610" s="296">
        <f>IF(NFI_Expiration=1,IF($A610&lt;VLOOKUP(V$5,NFI,5,0),1,0)*Table_NFI[[#This Row],[Shelter Tool kit]],Table_NFI[Shelter Tool kit])</f>
        <v>0</v>
      </c>
      <c r="AP610" s="296">
        <f>IF(NFI_Expiration=1,IF($A610&lt;VLOOKUP(V$5,NFI,5,0),1,0)*Table_NFI[[#This Row],[Tent]],Table_NFI[Tent])</f>
        <v>0</v>
      </c>
      <c r="AQ610" s="396" t="str">
        <f>IFERROR(VLOOKUP(Table_NFI[[#This Row],[Camp Name]],CL,2,0),"")</f>
        <v>MMR015CMP207</v>
      </c>
      <c r="AR610" s="702">
        <f ca="1">IF(Table_NFI[[#This Row],[Pcode]]="","",IF(OFFSET(CampList[Opening Date],MATCH(Table_NFI[[#This Row],[Pcode]],CampList[CP_Pcode],0)-1,0,1,1)&gt;=NFI_Monitor_Date,1,0))</f>
        <v>0</v>
      </c>
      <c r="AS610" s="396" t="str">
        <f>IFERROR(VLOOKUP(Table_NFI[[#This Row],[Camp Name]],CL,3,0),"")</f>
        <v>Open</v>
      </c>
      <c r="AT610" s="264" t="str">
        <f ca="1">IF(Table_NFI[[#This Row],[Pcode]]="","",OFFSET(CampList[Priority],MATCH(Table_NFI[[#This Row],[Pcode]],CampList[CP_Pcode],0)-1,0,1,1))</f>
        <v>P4</v>
      </c>
      <c r="AU610" s="263">
        <f>IFERROR(Table_NFI[[#This Row],[Kitchen Set]]/VLOOKUP(Table_NFI[[#This Row],[Camp Name]],CL,4,0),"")</f>
        <v>0</v>
      </c>
      <c r="AV610" s="390" t="s">
        <v>1087</v>
      </c>
      <c r="AW610" s="392"/>
      <c r="AX610" s="399"/>
      <c r="AY610" s="399"/>
      <c r="AZ610" s="399"/>
      <c r="BA610" s="399"/>
      <c r="BB610" s="399"/>
      <c r="BC610" s="399"/>
      <c r="BD610" s="399"/>
      <c r="BE610" s="399"/>
      <c r="BF610" s="399"/>
      <c r="BG610" s="399"/>
      <c r="BH610" s="399"/>
      <c r="BI610" s="399"/>
      <c r="BJ610" s="399"/>
      <c r="BK610" s="399"/>
      <c r="BL610" s="399"/>
      <c r="BM610" s="399"/>
      <c r="BN610" s="399"/>
      <c r="BO610" s="399"/>
      <c r="BP610" s="399"/>
      <c r="BQ610" s="399"/>
      <c r="BR610" s="399"/>
      <c r="BS610" s="399"/>
      <c r="BT610" s="399"/>
      <c r="BU610" s="399"/>
      <c r="BV610" s="399"/>
      <c r="BW610" s="399"/>
      <c r="BX610" s="399"/>
      <c r="BY610" s="399"/>
      <c r="BZ610" s="399"/>
      <c r="CA610" s="399"/>
      <c r="CB610" s="399"/>
      <c r="CC610" s="399"/>
      <c r="CD610" s="399"/>
      <c r="CE610" s="399"/>
      <c r="CF610" s="399"/>
      <c r="CG610" s="399"/>
      <c r="CH610" s="399"/>
      <c r="CI610" s="399"/>
      <c r="CJ610" s="399"/>
      <c r="CK610" s="399"/>
      <c r="CL610" s="399"/>
      <c r="CM610" s="399"/>
      <c r="CN610" s="399"/>
      <c r="CO610" s="399"/>
      <c r="CP610" s="399"/>
      <c r="CQ610" s="399"/>
      <c r="CR610" s="399"/>
      <c r="CS610" s="399"/>
      <c r="CT610" s="399"/>
      <c r="CU610" s="399"/>
      <c r="CV610" s="399"/>
      <c r="CW610" s="399"/>
      <c r="CX610" s="399"/>
      <c r="CY610" s="399"/>
      <c r="CZ610" s="399"/>
      <c r="DA610" s="399"/>
      <c r="DB610" s="399"/>
      <c r="DC610" s="399"/>
      <c r="DD610" s="399"/>
      <c r="DE610" s="399"/>
      <c r="DF610" s="399"/>
      <c r="DG610" s="399"/>
      <c r="DH610" s="399"/>
      <c r="DI610" s="399"/>
      <c r="DJ610" s="399"/>
      <c r="DK610" s="399"/>
      <c r="DL610" s="399"/>
      <c r="DM610" s="399"/>
      <c r="DN610" s="399"/>
      <c r="DO610" s="399"/>
      <c r="DP610" s="399"/>
      <c r="DQ610" s="399"/>
    </row>
    <row r="611" spans="1:121" s="760" customFormat="1" ht="14.45" customHeight="1" x14ac:dyDescent="0.25">
      <c r="A611" s="266">
        <f t="shared" si="9"/>
        <v>41.6</v>
      </c>
      <c r="B611" s="389">
        <v>41608</v>
      </c>
      <c r="C611" s="390" t="s">
        <v>904</v>
      </c>
      <c r="D611" s="390" t="s">
        <v>1001</v>
      </c>
      <c r="E611" s="390" t="s">
        <v>380</v>
      </c>
      <c r="F611" s="262" t="s">
        <v>185</v>
      </c>
      <c r="G611" s="262" t="s">
        <v>215</v>
      </c>
      <c r="H611" s="261"/>
      <c r="I611" s="261"/>
      <c r="J611" s="261"/>
      <c r="K611" s="261"/>
      <c r="L611" s="261"/>
      <c r="M611" s="261"/>
      <c r="N611" s="261"/>
      <c r="O611" s="261"/>
      <c r="P611" s="261"/>
      <c r="Q611" s="261"/>
      <c r="R611" s="261"/>
      <c r="S611" s="261"/>
      <c r="T611" s="261"/>
      <c r="U611" s="261"/>
      <c r="V611" s="762"/>
      <c r="W611" s="261"/>
      <c r="X611" s="261"/>
      <c r="Y611" s="264">
        <f>IF(NFI_Expiration=1,IF($A611&lt;VLOOKUP(H$5,NFI,5,0),1,0)*Table_NFI[[#This Row],[Hygiene Kit]],Table_NFI[Hygiene Kit])</f>
        <v>0</v>
      </c>
      <c r="Z611" s="264">
        <f>IF(NFI_Expiration=1,IF($A611&lt;VLOOKUP(I$5,NFI,5,0),1,0)*Table_NFI[[#This Row],[NFI Core Kit]],Table_NFI[NFI Core Kit])</f>
        <v>0</v>
      </c>
      <c r="AA611" s="264">
        <f>IF(NFI_Expiration=1,IF($A611&lt;VLOOKUP(J$5,NFI,5,0),1,0)*Table_NFI[[#This Row],[Sanitary Kit]],Table_NFI[Sanitary Kit])</f>
        <v>0</v>
      </c>
      <c r="AB611" s="264">
        <f>IF(NFI_Expiration=1,IF($A611&lt;VLOOKUP(K$5,NFI,5,0),1,0)*Table_NFI[[#This Row],[Mosquito net]],Table_NFI[Mosquito net])</f>
        <v>0</v>
      </c>
      <c r="AC611" s="264">
        <f>IF(NFI_Expiration=1,IF($A611&lt;VLOOKUP(L$5,NFI,5,0),1,0)*Table_NFI[[#This Row],[Tarpaulin]],Table_NFI[[#This Row],[Tarpaulin]])</f>
        <v>0</v>
      </c>
      <c r="AD611" s="264">
        <f>IF(NFI_Expiration=1,IF($A611&lt;VLOOKUP(M$5,NFI,5,0),1,0)*Table_NFI[[#This Row],[Blanket]],Table_NFI[[#This Row],[Blanket]])</f>
        <v>0</v>
      </c>
      <c r="AE611" s="264">
        <f>IF(NFI_Expiration=1,IF($A611&lt;VLOOKUP(N$5,NFI,5,0),1,0)*Table_NFI[[#This Row],[Kitchen Set]],Table_NFI[Kitchen Set])</f>
        <v>0</v>
      </c>
      <c r="AF611" s="264">
        <f>IF(NFI_Expiration=1,IF($A611&lt;VLOOKUP(O$5,NFI,5,0),1,0)*Table_NFI[[#This Row],[Clothes Kit]],Table_NFI[Clothes Kit])</f>
        <v>0</v>
      </c>
      <c r="AG611" s="264">
        <f>IF(NFI_Expiration=1,IF($A611&lt;VLOOKUP(P$5,NFI,5,0),1,0)*Table_NFI[[#This Row],[Plastic Bucket]],Table_NFI[Plastic Bucket])</f>
        <v>0</v>
      </c>
      <c r="AH611" s="264">
        <f>IF(NFI_Expiration=1,IF($A611&lt;VLOOKUP(Q$5,NFI,5,0),1,0)*Table_NFI[[#This Row],[Plastic Mat]],Table_NFI[Plastic Mat])*IF(Table_NFI[[#This Row],[Distribution Date]]&gt;"2014-04-01",1,2.5)</f>
        <v>0</v>
      </c>
      <c r="AI611" s="264">
        <f>IF(NFI_Expiration=1,IF($A611&lt;VLOOKUP(R$5,NFI,5,0),1,0)*Table_NFI[[#This Row],[Winter Clothes Adult]],Table_NFI[Winter Clothes Adult])</f>
        <v>0</v>
      </c>
      <c r="AJ611" s="264">
        <f>IF(NFI_Expiration=1,IF($A611&lt;VLOOKUP(S$5,NFI,5,0),1,0)*Table_NFI[[#This Row],[Winter Clothes Children]],Table_NFI[Winter Clothes Children])</f>
        <v>0</v>
      </c>
      <c r="AK611" s="264">
        <f>IF(NFI_Expiration=1,IF($A611&lt;VLOOKUP(T$5,NFI,5,0),1,0)*Table_NFI[[#This Row],[Winter Items Other]],Table_NFI[Winter Items Other])</f>
        <v>0</v>
      </c>
      <c r="AL611" s="264">
        <f>IF(NFI_Expiration=1,IF($A611&lt;VLOOKUP(M$5,NFI,5,0),1,0)*Table_NFI[[#This Row],[Winter Blanket]],Table_NFI[[#This Row],[Winter Blanket]])</f>
        <v>0</v>
      </c>
      <c r="AM611" s="264">
        <f>IF(Table_NFI[[#This Row],[Winter Clothes Adult]]+Table_NFI[[#This Row],[Winter Clothes Children]]+Table_NFI[[#This Row],[Winter Items Other]]+Table_NFI[[#This Row],[Winter Blanket]]&gt;0,1,0)</f>
        <v>0</v>
      </c>
      <c r="AN611" s="296">
        <f>IF(NFI_Expiration=1,IF($A611&lt;VLOOKUP(V$5,NFI,5,0),1,0)*Table_NFI[[#This Row],[Jerry Can]],Table_NFI[Jerry Can])</f>
        <v>0</v>
      </c>
      <c r="AO611" s="296">
        <f>IF(NFI_Expiration=1,IF($A611&lt;VLOOKUP(V$5,NFI,5,0),1,0)*Table_NFI[[#This Row],[Shelter Tool kit]],Table_NFI[Shelter Tool kit])</f>
        <v>0</v>
      </c>
      <c r="AP611" s="296">
        <f>IF(NFI_Expiration=1,IF($A611&lt;VLOOKUP(V$5,NFI,5,0),1,0)*Table_NFI[[#This Row],[Tent]],Table_NFI[Tent])</f>
        <v>0</v>
      </c>
      <c r="AQ611" s="396" t="str">
        <f>IFERROR(VLOOKUP(Table_NFI[[#This Row],[Camp Name]],CL,2,0),"")</f>
        <v>MMR001CMP131</v>
      </c>
      <c r="AR611" s="702">
        <f ca="1">IF(Table_NFI[[#This Row],[Pcode]]="","",IF(OFFSET(CampList[Opening Date],MATCH(Table_NFI[[#This Row],[Pcode]],CampList[CP_Pcode],0)-1,0,1,1)&gt;=NFI_Monitor_Date,1,0))</f>
        <v>0</v>
      </c>
      <c r="AS611" s="396" t="str">
        <f>IFERROR(VLOOKUP(Table_NFI[[#This Row],[Camp Name]],CL,3,0),"")</f>
        <v>Open</v>
      </c>
      <c r="AT611" s="264" t="str">
        <f ca="1">IF(Table_NFI[[#This Row],[Pcode]]="","",OFFSET(CampList[Priority],MATCH(Table_NFI[[#This Row],[Pcode]],CampList[CP_Pcode],0)-1,0,1,1))</f>
        <v>P1</v>
      </c>
      <c r="AU611" s="263">
        <f>IFERROR(Table_NFI[[#This Row],[Kitchen Set]]/VLOOKUP(Table_NFI[[#This Row],[Camp Name]],CL,4,0),"")</f>
        <v>0</v>
      </c>
      <c r="AV611" s="390" t="s">
        <v>1087</v>
      </c>
      <c r="AW611" s="392"/>
      <c r="AX611" s="399"/>
      <c r="AY611" s="399"/>
      <c r="AZ611" s="399"/>
      <c r="BA611" s="399"/>
      <c r="BB611" s="399"/>
      <c r="BC611" s="399"/>
      <c r="BD611" s="399"/>
      <c r="BE611" s="399"/>
      <c r="BF611" s="399"/>
      <c r="BG611" s="399"/>
      <c r="BH611" s="399"/>
      <c r="BI611" s="399"/>
      <c r="BJ611" s="399"/>
      <c r="BK611" s="399"/>
      <c r="BL611" s="399"/>
      <c r="BM611" s="399"/>
      <c r="BN611" s="399"/>
      <c r="BO611" s="399"/>
      <c r="BP611" s="399"/>
      <c r="BQ611" s="399"/>
      <c r="BR611" s="399"/>
      <c r="BS611" s="399"/>
      <c r="BT611" s="399"/>
      <c r="BU611" s="399"/>
      <c r="BV611" s="399"/>
      <c r="BW611" s="399"/>
      <c r="BX611" s="399"/>
      <c r="BY611" s="399"/>
      <c r="BZ611" s="399"/>
      <c r="CA611" s="399"/>
      <c r="CB611" s="399"/>
      <c r="CC611" s="399"/>
      <c r="CD611" s="399"/>
      <c r="CE611" s="399"/>
      <c r="CF611" s="399"/>
      <c r="CG611" s="399"/>
      <c r="CH611" s="399"/>
      <c r="CI611" s="399"/>
      <c r="CJ611" s="399"/>
      <c r="CK611" s="399"/>
      <c r="CL611" s="399"/>
      <c r="CM611" s="399"/>
      <c r="CN611" s="399"/>
      <c r="CO611" s="399"/>
      <c r="CP611" s="399"/>
      <c r="CQ611" s="399"/>
      <c r="CR611" s="399"/>
      <c r="CS611" s="399"/>
      <c r="CT611" s="399"/>
      <c r="CU611" s="399"/>
      <c r="CV611" s="399"/>
      <c r="CW611" s="399"/>
      <c r="CX611" s="399"/>
      <c r="CY611" s="399"/>
      <c r="CZ611" s="399"/>
      <c r="DA611" s="399"/>
      <c r="DB611" s="399"/>
      <c r="DC611" s="399"/>
      <c r="DD611" s="399"/>
      <c r="DE611" s="399"/>
      <c r="DF611" s="399"/>
      <c r="DG611" s="399"/>
      <c r="DH611" s="399"/>
      <c r="DI611" s="399"/>
      <c r="DJ611" s="399"/>
      <c r="DK611" s="399"/>
      <c r="DL611" s="399"/>
      <c r="DM611" s="399"/>
      <c r="DN611" s="399"/>
      <c r="DO611" s="399"/>
      <c r="DP611" s="399"/>
      <c r="DQ611" s="399"/>
    </row>
    <row r="612" spans="1:121" s="760" customFormat="1" ht="14.45" customHeight="1" x14ac:dyDescent="0.25">
      <c r="A612" s="266">
        <f t="shared" si="9"/>
        <v>41.6</v>
      </c>
      <c r="B612" s="389">
        <v>41608</v>
      </c>
      <c r="C612" s="390" t="s">
        <v>904</v>
      </c>
      <c r="D612" s="390"/>
      <c r="E612" s="390" t="s">
        <v>380</v>
      </c>
      <c r="F612" s="262" t="s">
        <v>185</v>
      </c>
      <c r="G612" s="262" t="s">
        <v>229</v>
      </c>
      <c r="H612" s="261"/>
      <c r="I612" s="261"/>
      <c r="J612" s="261"/>
      <c r="K612" s="261"/>
      <c r="L612" s="261"/>
      <c r="M612" s="261"/>
      <c r="N612" s="261"/>
      <c r="O612" s="261"/>
      <c r="P612" s="261"/>
      <c r="Q612" s="261">
        <v>135</v>
      </c>
      <c r="R612" s="261"/>
      <c r="S612" s="261"/>
      <c r="T612" s="261"/>
      <c r="U612" s="261"/>
      <c r="V612" s="762"/>
      <c r="W612" s="261"/>
      <c r="X612" s="261"/>
      <c r="Y612" s="264">
        <f>IF(NFI_Expiration=1,IF($A612&lt;VLOOKUP(H$5,NFI,5,0),1,0)*Table_NFI[[#This Row],[Hygiene Kit]],Table_NFI[Hygiene Kit])</f>
        <v>0</v>
      </c>
      <c r="Z612" s="264">
        <f>IF(NFI_Expiration=1,IF($A612&lt;VLOOKUP(I$5,NFI,5,0),1,0)*Table_NFI[[#This Row],[NFI Core Kit]],Table_NFI[NFI Core Kit])</f>
        <v>0</v>
      </c>
      <c r="AA612" s="264">
        <f>IF(NFI_Expiration=1,IF($A612&lt;VLOOKUP(J$5,NFI,5,0),1,0)*Table_NFI[[#This Row],[Sanitary Kit]],Table_NFI[Sanitary Kit])</f>
        <v>0</v>
      </c>
      <c r="AB612" s="264">
        <f>IF(NFI_Expiration=1,IF($A612&lt;VLOOKUP(K$5,NFI,5,0),1,0)*Table_NFI[[#This Row],[Mosquito net]],Table_NFI[Mosquito net])</f>
        <v>0</v>
      </c>
      <c r="AC612" s="264">
        <f>IF(NFI_Expiration=1,IF($A612&lt;VLOOKUP(L$5,NFI,5,0),1,0)*Table_NFI[[#This Row],[Tarpaulin]],Table_NFI[[#This Row],[Tarpaulin]])</f>
        <v>0</v>
      </c>
      <c r="AD612" s="264">
        <f>IF(NFI_Expiration=1,IF($A612&lt;VLOOKUP(M$5,NFI,5,0),1,0)*Table_NFI[[#This Row],[Blanket]],Table_NFI[[#This Row],[Blanket]])</f>
        <v>0</v>
      </c>
      <c r="AE612" s="264">
        <f>IF(NFI_Expiration=1,IF($A612&lt;VLOOKUP(N$5,NFI,5,0),1,0)*Table_NFI[[#This Row],[Kitchen Set]],Table_NFI[Kitchen Set])</f>
        <v>0</v>
      </c>
      <c r="AF612" s="264">
        <f>IF(NFI_Expiration=1,IF($A612&lt;VLOOKUP(O$5,NFI,5,0),1,0)*Table_NFI[[#This Row],[Clothes Kit]],Table_NFI[Clothes Kit])</f>
        <v>0</v>
      </c>
      <c r="AG612" s="264">
        <f>IF(NFI_Expiration=1,IF($A612&lt;VLOOKUP(P$5,NFI,5,0),1,0)*Table_NFI[[#This Row],[Plastic Bucket]],Table_NFI[Plastic Bucket])</f>
        <v>0</v>
      </c>
      <c r="AH612" s="264">
        <f>IF(NFI_Expiration=1,IF($A612&lt;VLOOKUP(Q$5,NFI,5,0),1,0)*Table_NFI[[#This Row],[Plastic Mat]],Table_NFI[Plastic Mat])*IF(Table_NFI[[#This Row],[Distribution Date]]&gt;"2014-04-01",1,2.5)</f>
        <v>0</v>
      </c>
      <c r="AI612" s="264">
        <f>IF(NFI_Expiration=1,IF($A612&lt;VLOOKUP(R$5,NFI,5,0),1,0)*Table_NFI[[#This Row],[Winter Clothes Adult]],Table_NFI[Winter Clothes Adult])</f>
        <v>0</v>
      </c>
      <c r="AJ612" s="264">
        <f>IF(NFI_Expiration=1,IF($A612&lt;VLOOKUP(S$5,NFI,5,0),1,0)*Table_NFI[[#This Row],[Winter Clothes Children]],Table_NFI[Winter Clothes Children])</f>
        <v>0</v>
      </c>
      <c r="AK612" s="264">
        <f>IF(NFI_Expiration=1,IF($A612&lt;VLOOKUP(T$5,NFI,5,0),1,0)*Table_NFI[[#This Row],[Winter Items Other]],Table_NFI[Winter Items Other])</f>
        <v>0</v>
      </c>
      <c r="AL612" s="264">
        <f>IF(NFI_Expiration=1,IF($A612&lt;VLOOKUP(M$5,NFI,5,0),1,0)*Table_NFI[[#This Row],[Winter Blanket]],Table_NFI[[#This Row],[Winter Blanket]])</f>
        <v>0</v>
      </c>
      <c r="AM612" s="264">
        <f>IF(Table_NFI[[#This Row],[Winter Clothes Adult]]+Table_NFI[[#This Row],[Winter Clothes Children]]+Table_NFI[[#This Row],[Winter Items Other]]+Table_NFI[[#This Row],[Winter Blanket]]&gt;0,1,0)</f>
        <v>0</v>
      </c>
      <c r="AN612" s="296">
        <f>IF(NFI_Expiration=1,IF($A612&lt;VLOOKUP(V$5,NFI,5,0),1,0)*Table_NFI[[#This Row],[Jerry Can]],Table_NFI[Jerry Can])</f>
        <v>0</v>
      </c>
      <c r="AO612" s="296">
        <f>IF(NFI_Expiration=1,IF($A612&lt;VLOOKUP(V$5,NFI,5,0),1,0)*Table_NFI[[#This Row],[Shelter Tool kit]],Table_NFI[Shelter Tool kit])</f>
        <v>0</v>
      </c>
      <c r="AP612" s="296">
        <f>IF(NFI_Expiration=1,IF($A612&lt;VLOOKUP(V$5,NFI,5,0),1,0)*Table_NFI[[#This Row],[Tent]],Table_NFI[Tent])</f>
        <v>0</v>
      </c>
      <c r="AQ612" s="396" t="str">
        <f>IFERROR(VLOOKUP(Table_NFI[[#This Row],[Camp Name]],CL,2,0),"")</f>
        <v>MMR001CMP072</v>
      </c>
      <c r="AR612" s="702">
        <f ca="1">IF(Table_NFI[[#This Row],[Pcode]]="","",IF(OFFSET(CampList[Opening Date],MATCH(Table_NFI[[#This Row],[Pcode]],CampList[CP_Pcode],0)-1,0,1,1)&gt;=NFI_Monitor_Date,1,0))</f>
        <v>0</v>
      </c>
      <c r="AS612" s="396" t="str">
        <f>IFERROR(VLOOKUP(Table_NFI[[#This Row],[Camp Name]],CL,3,0),"")</f>
        <v>Open</v>
      </c>
      <c r="AT612" s="264" t="str">
        <f ca="1">IF(Table_NFI[[#This Row],[Pcode]]="","",OFFSET(CampList[Priority],MATCH(Table_NFI[[#This Row],[Pcode]],CampList[CP_Pcode],0)-1,0,1,1))</f>
        <v>P3</v>
      </c>
      <c r="AU612" s="263">
        <f>IFERROR(Table_NFI[[#This Row],[Kitchen Set]]/VLOOKUP(Table_NFI[[#This Row],[Camp Name]],CL,4,0),"")</f>
        <v>0</v>
      </c>
      <c r="AV612" s="390" t="s">
        <v>1087</v>
      </c>
      <c r="AW612" s="392"/>
      <c r="AX612" s="399"/>
      <c r="AY612" s="399"/>
      <c r="AZ612" s="399"/>
      <c r="BA612" s="399"/>
      <c r="BB612" s="399"/>
      <c r="BC612" s="399"/>
      <c r="BD612" s="399"/>
      <c r="BE612" s="399"/>
      <c r="BF612" s="399"/>
      <c r="BG612" s="399"/>
      <c r="BH612" s="399"/>
      <c r="BI612" s="399"/>
      <c r="BJ612" s="399"/>
      <c r="BK612" s="399"/>
      <c r="BL612" s="399"/>
      <c r="BM612" s="399"/>
      <c r="BN612" s="399"/>
      <c r="BO612" s="399"/>
      <c r="BP612" s="399"/>
      <c r="BQ612" s="399"/>
      <c r="BR612" s="399"/>
      <c r="BS612" s="399"/>
      <c r="BT612" s="399"/>
      <c r="BU612" s="399"/>
      <c r="BV612" s="399"/>
      <c r="BW612" s="399"/>
      <c r="BX612" s="399"/>
      <c r="BY612" s="399"/>
      <c r="BZ612" s="399"/>
      <c r="CA612" s="399"/>
      <c r="CB612" s="399"/>
      <c r="CC612" s="399"/>
      <c r="CD612" s="399"/>
      <c r="CE612" s="399"/>
      <c r="CF612" s="399"/>
      <c r="CG612" s="399"/>
      <c r="CH612" s="399"/>
      <c r="CI612" s="399"/>
      <c r="CJ612" s="399"/>
      <c r="CK612" s="399"/>
      <c r="CL612" s="399"/>
      <c r="CM612" s="399"/>
      <c r="CN612" s="399"/>
      <c r="CO612" s="399"/>
      <c r="CP612" s="399"/>
      <c r="CQ612" s="399"/>
      <c r="CR612" s="399"/>
      <c r="CS612" s="399"/>
      <c r="CT612" s="399"/>
      <c r="CU612" s="399"/>
      <c r="CV612" s="399"/>
      <c r="CW612" s="399"/>
      <c r="CX612" s="399"/>
      <c r="CY612" s="399"/>
      <c r="CZ612" s="399"/>
      <c r="DA612" s="399"/>
      <c r="DB612" s="399"/>
      <c r="DC612" s="399"/>
      <c r="DD612" s="399"/>
      <c r="DE612" s="399"/>
      <c r="DF612" s="399"/>
      <c r="DG612" s="399"/>
      <c r="DH612" s="399"/>
      <c r="DI612" s="399"/>
      <c r="DJ612" s="399"/>
      <c r="DK612" s="399"/>
      <c r="DL612" s="399"/>
      <c r="DM612" s="399"/>
      <c r="DN612" s="399"/>
      <c r="DO612" s="399"/>
      <c r="DP612" s="399"/>
      <c r="DQ612" s="399"/>
    </row>
    <row r="613" spans="1:121" s="760" customFormat="1" ht="14.45" customHeight="1" x14ac:dyDescent="0.25">
      <c r="A613" s="266">
        <f t="shared" si="9"/>
        <v>41.6</v>
      </c>
      <c r="B613" s="389">
        <v>41608</v>
      </c>
      <c r="C613" s="390" t="s">
        <v>904</v>
      </c>
      <c r="D613" s="390" t="s">
        <v>1001</v>
      </c>
      <c r="E613" s="390" t="s">
        <v>380</v>
      </c>
      <c r="F613" s="262" t="s">
        <v>185</v>
      </c>
      <c r="G613" s="262" t="s">
        <v>219</v>
      </c>
      <c r="H613" s="261"/>
      <c r="I613" s="261"/>
      <c r="J613" s="261"/>
      <c r="K613" s="261"/>
      <c r="L613" s="261"/>
      <c r="M613" s="261"/>
      <c r="N613" s="261"/>
      <c r="O613" s="261"/>
      <c r="P613" s="261"/>
      <c r="Q613" s="261"/>
      <c r="R613" s="261"/>
      <c r="S613" s="261"/>
      <c r="T613" s="261"/>
      <c r="U613" s="261"/>
      <c r="V613" s="762"/>
      <c r="W613" s="261"/>
      <c r="X613" s="261"/>
      <c r="Y613" s="264">
        <f>IF(NFI_Expiration=1,IF($A613&lt;VLOOKUP(H$5,NFI,5,0),1,0)*Table_NFI[[#This Row],[Hygiene Kit]],Table_NFI[Hygiene Kit])</f>
        <v>0</v>
      </c>
      <c r="Z613" s="264">
        <f>IF(NFI_Expiration=1,IF($A613&lt;VLOOKUP(I$5,NFI,5,0),1,0)*Table_NFI[[#This Row],[NFI Core Kit]],Table_NFI[NFI Core Kit])</f>
        <v>0</v>
      </c>
      <c r="AA613" s="264">
        <f>IF(NFI_Expiration=1,IF($A613&lt;VLOOKUP(J$5,NFI,5,0),1,0)*Table_NFI[[#This Row],[Sanitary Kit]],Table_NFI[Sanitary Kit])</f>
        <v>0</v>
      </c>
      <c r="AB613" s="264">
        <f>IF(NFI_Expiration=1,IF($A613&lt;VLOOKUP(K$5,NFI,5,0),1,0)*Table_NFI[[#This Row],[Mosquito net]],Table_NFI[Mosquito net])</f>
        <v>0</v>
      </c>
      <c r="AC613" s="264">
        <f>IF(NFI_Expiration=1,IF($A613&lt;VLOOKUP(L$5,NFI,5,0),1,0)*Table_NFI[[#This Row],[Tarpaulin]],Table_NFI[[#This Row],[Tarpaulin]])</f>
        <v>0</v>
      </c>
      <c r="AD613" s="264">
        <f>IF(NFI_Expiration=1,IF($A613&lt;VLOOKUP(M$5,NFI,5,0),1,0)*Table_NFI[[#This Row],[Blanket]],Table_NFI[[#This Row],[Blanket]])</f>
        <v>0</v>
      </c>
      <c r="AE613" s="264">
        <f>IF(NFI_Expiration=1,IF($A613&lt;VLOOKUP(N$5,NFI,5,0),1,0)*Table_NFI[[#This Row],[Kitchen Set]],Table_NFI[Kitchen Set])</f>
        <v>0</v>
      </c>
      <c r="AF613" s="264">
        <f>IF(NFI_Expiration=1,IF($A613&lt;VLOOKUP(O$5,NFI,5,0),1,0)*Table_NFI[[#This Row],[Clothes Kit]],Table_NFI[Clothes Kit])</f>
        <v>0</v>
      </c>
      <c r="AG613" s="264">
        <f>IF(NFI_Expiration=1,IF($A613&lt;VLOOKUP(P$5,NFI,5,0),1,0)*Table_NFI[[#This Row],[Plastic Bucket]],Table_NFI[Plastic Bucket])</f>
        <v>0</v>
      </c>
      <c r="AH613" s="264">
        <f>IF(NFI_Expiration=1,IF($A613&lt;VLOOKUP(Q$5,NFI,5,0),1,0)*Table_NFI[[#This Row],[Plastic Mat]],Table_NFI[Plastic Mat])*IF(Table_NFI[[#This Row],[Distribution Date]]&gt;"2014-04-01",1,2.5)</f>
        <v>0</v>
      </c>
      <c r="AI613" s="264">
        <f>IF(NFI_Expiration=1,IF($A613&lt;VLOOKUP(R$5,NFI,5,0),1,0)*Table_NFI[[#This Row],[Winter Clothes Adult]],Table_NFI[Winter Clothes Adult])</f>
        <v>0</v>
      </c>
      <c r="AJ613" s="264">
        <f>IF(NFI_Expiration=1,IF($A613&lt;VLOOKUP(S$5,NFI,5,0),1,0)*Table_NFI[[#This Row],[Winter Clothes Children]],Table_NFI[Winter Clothes Children])</f>
        <v>0</v>
      </c>
      <c r="AK613" s="264">
        <f>IF(NFI_Expiration=1,IF($A613&lt;VLOOKUP(T$5,NFI,5,0),1,0)*Table_NFI[[#This Row],[Winter Items Other]],Table_NFI[Winter Items Other])</f>
        <v>0</v>
      </c>
      <c r="AL613" s="264">
        <f>IF(NFI_Expiration=1,IF($A613&lt;VLOOKUP(M$5,NFI,5,0),1,0)*Table_NFI[[#This Row],[Winter Blanket]],Table_NFI[[#This Row],[Winter Blanket]])</f>
        <v>0</v>
      </c>
      <c r="AM613" s="264">
        <f>IF(Table_NFI[[#This Row],[Winter Clothes Adult]]+Table_NFI[[#This Row],[Winter Clothes Children]]+Table_NFI[[#This Row],[Winter Items Other]]+Table_NFI[[#This Row],[Winter Blanket]]&gt;0,1,0)</f>
        <v>0</v>
      </c>
      <c r="AN613" s="296">
        <f>IF(NFI_Expiration=1,IF($A613&lt;VLOOKUP(V$5,NFI,5,0),1,0)*Table_NFI[[#This Row],[Jerry Can]],Table_NFI[Jerry Can])</f>
        <v>0</v>
      </c>
      <c r="AO613" s="296">
        <f>IF(NFI_Expiration=1,IF($A613&lt;VLOOKUP(V$5,NFI,5,0),1,0)*Table_NFI[[#This Row],[Shelter Tool kit]],Table_NFI[Shelter Tool kit])</f>
        <v>0</v>
      </c>
      <c r="AP613" s="296">
        <f>IF(NFI_Expiration=1,IF($A613&lt;VLOOKUP(V$5,NFI,5,0),1,0)*Table_NFI[[#This Row],[Tent]],Table_NFI[Tent])</f>
        <v>0</v>
      </c>
      <c r="AQ613" s="396" t="str">
        <f>IFERROR(VLOOKUP(Table_NFI[[#This Row],[Camp Name]],CL,2,0),"")</f>
        <v>MMR001CMP126</v>
      </c>
      <c r="AR613" s="702">
        <f ca="1">IF(Table_NFI[[#This Row],[Pcode]]="","",IF(OFFSET(CampList[Opening Date],MATCH(Table_NFI[[#This Row],[Pcode]],CampList[CP_Pcode],0)-1,0,1,1)&gt;=NFI_Monitor_Date,1,0))</f>
        <v>0</v>
      </c>
      <c r="AS613" s="396" t="str">
        <f>IFERROR(VLOOKUP(Table_NFI[[#This Row],[Camp Name]],CL,3,0),"")</f>
        <v>Open</v>
      </c>
      <c r="AT613" s="264" t="str">
        <f ca="1">IF(Table_NFI[[#This Row],[Pcode]]="","",OFFSET(CampList[Priority],MATCH(Table_NFI[[#This Row],[Pcode]],CampList[CP_Pcode],0)-1,0,1,1))</f>
        <v>P2</v>
      </c>
      <c r="AU613" s="263">
        <f>IFERROR(Table_NFI[[#This Row],[Kitchen Set]]/VLOOKUP(Table_NFI[[#This Row],[Camp Name]],CL,4,0),"")</f>
        <v>0</v>
      </c>
      <c r="AV613" s="390" t="s">
        <v>1087</v>
      </c>
      <c r="AW613" s="392"/>
      <c r="AX613" s="399"/>
      <c r="AY613" s="399"/>
      <c r="AZ613" s="399"/>
      <c r="BA613" s="399"/>
      <c r="BB613" s="399"/>
      <c r="BC613" s="399"/>
      <c r="BD613" s="399"/>
      <c r="BE613" s="399"/>
      <c r="BF613" s="399"/>
      <c r="BG613" s="399"/>
      <c r="BH613" s="399"/>
      <c r="BI613" s="399"/>
      <c r="BJ613" s="399"/>
      <c r="BK613" s="399"/>
      <c r="BL613" s="399"/>
      <c r="BM613" s="399"/>
      <c r="BN613" s="399"/>
      <c r="BO613" s="399"/>
      <c r="BP613" s="399"/>
      <c r="BQ613" s="399"/>
      <c r="BR613" s="399"/>
      <c r="BS613" s="399"/>
      <c r="BT613" s="399"/>
      <c r="BU613" s="399"/>
      <c r="BV613" s="399"/>
      <c r="BW613" s="399"/>
      <c r="BX613" s="399"/>
      <c r="BY613" s="399"/>
      <c r="BZ613" s="399"/>
      <c r="CA613" s="399"/>
      <c r="CB613" s="399"/>
      <c r="CC613" s="399"/>
      <c r="CD613" s="399"/>
      <c r="CE613" s="399"/>
      <c r="CF613" s="399"/>
      <c r="CG613" s="399"/>
      <c r="CH613" s="399"/>
      <c r="CI613" s="399"/>
      <c r="CJ613" s="399"/>
      <c r="CK613" s="399"/>
      <c r="CL613" s="399"/>
      <c r="CM613" s="399"/>
      <c r="CN613" s="399"/>
      <c r="CO613" s="399"/>
      <c r="CP613" s="399"/>
      <c r="CQ613" s="399"/>
      <c r="CR613" s="399"/>
      <c r="CS613" s="399"/>
      <c r="CT613" s="399"/>
      <c r="CU613" s="399"/>
      <c r="CV613" s="399"/>
      <c r="CW613" s="399"/>
      <c r="CX613" s="399"/>
      <c r="CY613" s="399"/>
      <c r="CZ613" s="399"/>
      <c r="DA613" s="399"/>
      <c r="DB613" s="399"/>
      <c r="DC613" s="399"/>
      <c r="DD613" s="399"/>
      <c r="DE613" s="399"/>
      <c r="DF613" s="399"/>
      <c r="DG613" s="399"/>
      <c r="DH613" s="399"/>
      <c r="DI613" s="399"/>
      <c r="DJ613" s="399"/>
      <c r="DK613" s="399"/>
      <c r="DL613" s="399"/>
      <c r="DM613" s="399"/>
      <c r="DN613" s="399"/>
      <c r="DO613" s="399"/>
      <c r="DP613" s="399"/>
      <c r="DQ613" s="399"/>
    </row>
    <row r="614" spans="1:121" s="760" customFormat="1" ht="14.45" customHeight="1" x14ac:dyDescent="0.25">
      <c r="A614" s="266">
        <f t="shared" si="9"/>
        <v>41.6</v>
      </c>
      <c r="B614" s="389">
        <v>41608</v>
      </c>
      <c r="C614" s="390" t="s">
        <v>451</v>
      </c>
      <c r="D614" s="391" t="s">
        <v>451</v>
      </c>
      <c r="E614" s="390" t="s">
        <v>380</v>
      </c>
      <c r="F614" s="262" t="s">
        <v>185</v>
      </c>
      <c r="G614" s="262" t="s">
        <v>219</v>
      </c>
      <c r="H614" s="261"/>
      <c r="I614" s="261"/>
      <c r="J614" s="261"/>
      <c r="K614" s="261"/>
      <c r="L614" s="261"/>
      <c r="M614" s="261"/>
      <c r="N614" s="261"/>
      <c r="O614" s="261"/>
      <c r="P614" s="261"/>
      <c r="Q614" s="261"/>
      <c r="R614" s="261"/>
      <c r="S614" s="261"/>
      <c r="T614" s="261"/>
      <c r="U614" s="261"/>
      <c r="V614" s="762"/>
      <c r="W614" s="261"/>
      <c r="X614" s="261"/>
      <c r="Y614" s="264">
        <f>IF(NFI_Expiration=1,IF($A614&lt;VLOOKUP(H$5,NFI,5,0),1,0)*Table_NFI[[#This Row],[Hygiene Kit]],Table_NFI[Hygiene Kit])</f>
        <v>0</v>
      </c>
      <c r="Z614" s="264">
        <f>IF(NFI_Expiration=1,IF($A614&lt;VLOOKUP(I$5,NFI,5,0),1,0)*Table_NFI[[#This Row],[NFI Core Kit]],Table_NFI[NFI Core Kit])</f>
        <v>0</v>
      </c>
      <c r="AA614" s="264">
        <f>IF(NFI_Expiration=1,IF($A614&lt;VLOOKUP(J$5,NFI,5,0),1,0)*Table_NFI[[#This Row],[Sanitary Kit]],Table_NFI[Sanitary Kit])</f>
        <v>0</v>
      </c>
      <c r="AB614" s="264">
        <f>IF(NFI_Expiration=1,IF($A614&lt;VLOOKUP(K$5,NFI,5,0),1,0)*Table_NFI[[#This Row],[Mosquito net]],Table_NFI[Mosquito net])</f>
        <v>0</v>
      </c>
      <c r="AC614" s="264">
        <f>IF(NFI_Expiration=1,IF($A614&lt;VLOOKUP(L$5,NFI,5,0),1,0)*Table_NFI[[#This Row],[Tarpaulin]],Table_NFI[[#This Row],[Tarpaulin]])</f>
        <v>0</v>
      </c>
      <c r="AD614" s="264">
        <f>IF(NFI_Expiration=1,IF($A614&lt;VLOOKUP(M$5,NFI,5,0),1,0)*Table_NFI[[#This Row],[Blanket]],Table_NFI[[#This Row],[Blanket]])</f>
        <v>0</v>
      </c>
      <c r="AE614" s="264">
        <f>IF(NFI_Expiration=1,IF($A614&lt;VLOOKUP(N$5,NFI,5,0),1,0)*Table_NFI[[#This Row],[Kitchen Set]],Table_NFI[Kitchen Set])</f>
        <v>0</v>
      </c>
      <c r="AF614" s="264">
        <f>IF(NFI_Expiration=1,IF($A614&lt;VLOOKUP(O$5,NFI,5,0),1,0)*Table_NFI[[#This Row],[Clothes Kit]],Table_NFI[Clothes Kit])</f>
        <v>0</v>
      </c>
      <c r="AG614" s="264">
        <f>IF(NFI_Expiration=1,IF($A614&lt;VLOOKUP(P$5,NFI,5,0),1,0)*Table_NFI[[#This Row],[Plastic Bucket]],Table_NFI[Plastic Bucket])</f>
        <v>0</v>
      </c>
      <c r="AH614" s="264">
        <f>IF(NFI_Expiration=1,IF($A614&lt;VLOOKUP(Q$5,NFI,5,0),1,0)*Table_NFI[[#This Row],[Plastic Mat]],Table_NFI[Plastic Mat])*IF(Table_NFI[[#This Row],[Distribution Date]]&gt;"2014-04-01",1,2.5)</f>
        <v>0</v>
      </c>
      <c r="AI614" s="264">
        <f>IF(NFI_Expiration=1,IF($A614&lt;VLOOKUP(R$5,NFI,5,0),1,0)*Table_NFI[[#This Row],[Winter Clothes Adult]],Table_NFI[Winter Clothes Adult])</f>
        <v>0</v>
      </c>
      <c r="AJ614" s="264">
        <f>IF(NFI_Expiration=1,IF($A614&lt;VLOOKUP(S$5,NFI,5,0),1,0)*Table_NFI[[#This Row],[Winter Clothes Children]],Table_NFI[Winter Clothes Children])</f>
        <v>0</v>
      </c>
      <c r="AK614" s="264">
        <f>IF(NFI_Expiration=1,IF($A614&lt;VLOOKUP(T$5,NFI,5,0),1,0)*Table_NFI[[#This Row],[Winter Items Other]],Table_NFI[Winter Items Other])</f>
        <v>0</v>
      </c>
      <c r="AL614" s="264">
        <f>IF(NFI_Expiration=1,IF($A614&lt;VLOOKUP(M$5,NFI,5,0),1,0)*Table_NFI[[#This Row],[Winter Blanket]],Table_NFI[[#This Row],[Winter Blanket]])</f>
        <v>0</v>
      </c>
      <c r="AM614" s="264">
        <f>IF(Table_NFI[[#This Row],[Winter Clothes Adult]]+Table_NFI[[#This Row],[Winter Clothes Children]]+Table_NFI[[#This Row],[Winter Items Other]]+Table_NFI[[#This Row],[Winter Blanket]]&gt;0,1,0)</f>
        <v>0</v>
      </c>
      <c r="AN614" s="296">
        <f>IF(NFI_Expiration=1,IF($A614&lt;VLOOKUP(V$5,NFI,5,0),1,0)*Table_NFI[[#This Row],[Jerry Can]],Table_NFI[Jerry Can])</f>
        <v>0</v>
      </c>
      <c r="AO614" s="296">
        <f>IF(NFI_Expiration=1,IF($A614&lt;VLOOKUP(V$5,NFI,5,0),1,0)*Table_NFI[[#This Row],[Shelter Tool kit]],Table_NFI[Shelter Tool kit])</f>
        <v>0</v>
      </c>
      <c r="AP614" s="296">
        <f>IF(NFI_Expiration=1,IF($A614&lt;VLOOKUP(V$5,NFI,5,0),1,0)*Table_NFI[[#This Row],[Tent]],Table_NFI[Tent])</f>
        <v>0</v>
      </c>
      <c r="AQ614" s="396" t="str">
        <f>IFERROR(VLOOKUP(Table_NFI[[#This Row],[Camp Name]],CL,2,0),"")</f>
        <v>MMR001CMP126</v>
      </c>
      <c r="AR614" s="702">
        <f ca="1">IF(Table_NFI[[#This Row],[Pcode]]="","",IF(OFFSET(CampList[Opening Date],MATCH(Table_NFI[[#This Row],[Pcode]],CampList[CP_Pcode],0)-1,0,1,1)&gt;=NFI_Monitor_Date,1,0))</f>
        <v>0</v>
      </c>
      <c r="AS614" s="396" t="str">
        <f>IFERROR(VLOOKUP(Table_NFI[[#This Row],[Camp Name]],CL,3,0),"")</f>
        <v>Open</v>
      </c>
      <c r="AT614" s="264" t="str">
        <f ca="1">IF(Table_NFI[[#This Row],[Pcode]]="","",OFFSET(CampList[Priority],MATCH(Table_NFI[[#This Row],[Pcode]],CampList[CP_Pcode],0)-1,0,1,1))</f>
        <v>P2</v>
      </c>
      <c r="AU614" s="263">
        <f>IFERROR(Table_NFI[[#This Row],[Kitchen Set]]/VLOOKUP(Table_NFI[[#This Row],[Camp Name]],CL,4,0),"")</f>
        <v>0</v>
      </c>
      <c r="AV614" s="390" t="s">
        <v>1087</v>
      </c>
      <c r="AW614" s="392"/>
      <c r="AX614" s="399"/>
      <c r="AY614" s="399"/>
      <c r="AZ614" s="399"/>
      <c r="BA614" s="399"/>
      <c r="BB614" s="399"/>
      <c r="BC614" s="399"/>
      <c r="BD614" s="399"/>
      <c r="BE614" s="399"/>
      <c r="BF614" s="399"/>
      <c r="BG614" s="399"/>
      <c r="BH614" s="399"/>
      <c r="BI614" s="399"/>
      <c r="BJ614" s="399"/>
      <c r="BK614" s="399"/>
      <c r="BL614" s="399"/>
      <c r="BM614" s="399"/>
      <c r="BN614" s="399"/>
      <c r="BO614" s="399"/>
      <c r="BP614" s="399"/>
      <c r="BQ614" s="399"/>
      <c r="BR614" s="399"/>
      <c r="BS614" s="399"/>
      <c r="BT614" s="399"/>
      <c r="BU614" s="399"/>
      <c r="BV614" s="399"/>
      <c r="BW614" s="399"/>
      <c r="BX614" s="399"/>
      <c r="BY614" s="399"/>
      <c r="BZ614" s="399"/>
      <c r="CA614" s="399"/>
      <c r="CB614" s="399"/>
      <c r="CC614" s="399"/>
      <c r="CD614" s="399"/>
      <c r="CE614" s="399"/>
      <c r="CF614" s="399"/>
      <c r="CG614" s="399"/>
      <c r="CH614" s="399"/>
      <c r="CI614" s="399"/>
      <c r="CJ614" s="399"/>
      <c r="CK614" s="399"/>
      <c r="CL614" s="399"/>
      <c r="CM614" s="399"/>
      <c r="CN614" s="399"/>
      <c r="CO614" s="399"/>
      <c r="CP614" s="399"/>
      <c r="CQ614" s="399"/>
      <c r="CR614" s="399"/>
      <c r="CS614" s="399"/>
      <c r="CT614" s="399"/>
      <c r="CU614" s="399"/>
      <c r="CV614" s="399"/>
      <c r="CW614" s="399"/>
      <c r="CX614" s="399"/>
      <c r="CY614" s="399"/>
      <c r="CZ614" s="399"/>
      <c r="DA614" s="399"/>
      <c r="DB614" s="399"/>
      <c r="DC614" s="399"/>
      <c r="DD614" s="399"/>
      <c r="DE614" s="399"/>
      <c r="DF614" s="399"/>
      <c r="DG614" s="399"/>
      <c r="DH614" s="399"/>
      <c r="DI614" s="399"/>
      <c r="DJ614" s="399"/>
      <c r="DK614" s="399"/>
      <c r="DL614" s="399"/>
      <c r="DM614" s="399"/>
      <c r="DN614" s="399"/>
      <c r="DO614" s="399"/>
      <c r="DP614" s="399"/>
      <c r="DQ614" s="399"/>
    </row>
    <row r="615" spans="1:121" s="760" customFormat="1" ht="14.45" customHeight="1" x14ac:dyDescent="0.25">
      <c r="A615" s="266">
        <f t="shared" si="9"/>
        <v>41.6</v>
      </c>
      <c r="B615" s="389">
        <v>41608</v>
      </c>
      <c r="C615" s="390" t="s">
        <v>904</v>
      </c>
      <c r="D615" s="391" t="s">
        <v>459</v>
      </c>
      <c r="E615" s="390" t="s">
        <v>380</v>
      </c>
      <c r="F615" s="262" t="s">
        <v>310</v>
      </c>
      <c r="G615" s="262" t="s">
        <v>1231</v>
      </c>
      <c r="H615" s="261"/>
      <c r="I615" s="261"/>
      <c r="J615" s="261"/>
      <c r="K615" s="261"/>
      <c r="L615" s="261"/>
      <c r="M615" s="261"/>
      <c r="N615" s="261"/>
      <c r="O615" s="261"/>
      <c r="P615" s="261"/>
      <c r="Q615" s="261"/>
      <c r="R615" s="261"/>
      <c r="S615" s="261"/>
      <c r="T615" s="261"/>
      <c r="U615" s="261"/>
      <c r="V615" s="762"/>
      <c r="W615" s="261"/>
      <c r="X615" s="261"/>
      <c r="Y615" s="264">
        <f>IF(NFI_Expiration=1,IF($A615&lt;VLOOKUP(H$5,NFI,5,0),1,0)*Table_NFI[[#This Row],[Hygiene Kit]],Table_NFI[Hygiene Kit])</f>
        <v>0</v>
      </c>
      <c r="Z615" s="264">
        <f>IF(NFI_Expiration=1,IF($A615&lt;VLOOKUP(I$5,NFI,5,0),1,0)*Table_NFI[[#This Row],[NFI Core Kit]],Table_NFI[NFI Core Kit])</f>
        <v>0</v>
      </c>
      <c r="AA615" s="264">
        <f>IF(NFI_Expiration=1,IF($A615&lt;VLOOKUP(J$5,NFI,5,0),1,0)*Table_NFI[[#This Row],[Sanitary Kit]],Table_NFI[Sanitary Kit])</f>
        <v>0</v>
      </c>
      <c r="AB615" s="264">
        <f>IF(NFI_Expiration=1,IF($A615&lt;VLOOKUP(K$5,NFI,5,0),1,0)*Table_NFI[[#This Row],[Mosquito net]],Table_NFI[Mosquito net])</f>
        <v>0</v>
      </c>
      <c r="AC615" s="264">
        <f>IF(NFI_Expiration=1,IF($A615&lt;VLOOKUP(L$5,NFI,5,0),1,0)*Table_NFI[[#This Row],[Tarpaulin]],Table_NFI[[#This Row],[Tarpaulin]])</f>
        <v>0</v>
      </c>
      <c r="AD615" s="264">
        <f>IF(NFI_Expiration=1,IF($A615&lt;VLOOKUP(M$5,NFI,5,0),1,0)*Table_NFI[[#This Row],[Blanket]],Table_NFI[[#This Row],[Blanket]])</f>
        <v>0</v>
      </c>
      <c r="AE615" s="264">
        <f>IF(NFI_Expiration=1,IF($A615&lt;VLOOKUP(N$5,NFI,5,0),1,0)*Table_NFI[[#This Row],[Kitchen Set]],Table_NFI[Kitchen Set])</f>
        <v>0</v>
      </c>
      <c r="AF615" s="264">
        <f>IF(NFI_Expiration=1,IF($A615&lt;VLOOKUP(O$5,NFI,5,0),1,0)*Table_NFI[[#This Row],[Clothes Kit]],Table_NFI[Clothes Kit])</f>
        <v>0</v>
      </c>
      <c r="AG615" s="264">
        <f>IF(NFI_Expiration=1,IF($A615&lt;VLOOKUP(P$5,NFI,5,0),1,0)*Table_NFI[[#This Row],[Plastic Bucket]],Table_NFI[Plastic Bucket])</f>
        <v>0</v>
      </c>
      <c r="AH615" s="264">
        <f>IF(NFI_Expiration=1,IF($A615&lt;VLOOKUP(Q$5,NFI,5,0),1,0)*Table_NFI[[#This Row],[Plastic Mat]],Table_NFI[Plastic Mat])*IF(Table_NFI[[#This Row],[Distribution Date]]&gt;"2014-04-01",1,2.5)</f>
        <v>0</v>
      </c>
      <c r="AI615" s="264">
        <f>IF(NFI_Expiration=1,IF($A615&lt;VLOOKUP(R$5,NFI,5,0),1,0)*Table_NFI[[#This Row],[Winter Clothes Adult]],Table_NFI[Winter Clothes Adult])</f>
        <v>0</v>
      </c>
      <c r="AJ615" s="264">
        <f>IF(NFI_Expiration=1,IF($A615&lt;VLOOKUP(S$5,NFI,5,0),1,0)*Table_NFI[[#This Row],[Winter Clothes Children]],Table_NFI[Winter Clothes Children])</f>
        <v>0</v>
      </c>
      <c r="AK615" s="264">
        <f>IF(NFI_Expiration=1,IF($A615&lt;VLOOKUP(T$5,NFI,5,0),1,0)*Table_NFI[[#This Row],[Winter Items Other]],Table_NFI[Winter Items Other])</f>
        <v>0</v>
      </c>
      <c r="AL615" s="264">
        <f>IF(NFI_Expiration=1,IF($A615&lt;VLOOKUP(M$5,NFI,5,0),1,0)*Table_NFI[[#This Row],[Winter Blanket]],Table_NFI[[#This Row],[Winter Blanket]])</f>
        <v>0</v>
      </c>
      <c r="AM615" s="264">
        <f>IF(Table_NFI[[#This Row],[Winter Clothes Adult]]+Table_NFI[[#This Row],[Winter Clothes Children]]+Table_NFI[[#This Row],[Winter Items Other]]+Table_NFI[[#This Row],[Winter Blanket]]&gt;0,1,0)</f>
        <v>0</v>
      </c>
      <c r="AN615" s="296">
        <f>IF(NFI_Expiration=1,IF($A615&lt;VLOOKUP(V$5,NFI,5,0),1,0)*Table_NFI[[#This Row],[Jerry Can]],Table_NFI[Jerry Can])</f>
        <v>0</v>
      </c>
      <c r="AO615" s="296">
        <f>IF(NFI_Expiration=1,IF($A615&lt;VLOOKUP(V$5,NFI,5,0),1,0)*Table_NFI[[#This Row],[Shelter Tool kit]],Table_NFI[Shelter Tool kit])</f>
        <v>0</v>
      </c>
      <c r="AP615" s="296">
        <f>IF(NFI_Expiration=1,IF($A615&lt;VLOOKUP(V$5,NFI,5,0),1,0)*Table_NFI[[#This Row],[Tent]],Table_NFI[Tent])</f>
        <v>0</v>
      </c>
      <c r="AQ615" s="396" t="str">
        <f>IFERROR(VLOOKUP(Table_NFI[[#This Row],[Camp Name]],CL,2,0),"")</f>
        <v>MMR001CMP120</v>
      </c>
      <c r="AR615" s="702">
        <f ca="1">IF(Table_NFI[[#This Row],[Pcode]]="","",IF(OFFSET(CampList[Opening Date],MATCH(Table_NFI[[#This Row],[Pcode]],CampList[CP_Pcode],0)-1,0,1,1)&gt;=NFI_Monitor_Date,1,0))</f>
        <v>0</v>
      </c>
      <c r="AS615" s="396" t="str">
        <f>IFERROR(VLOOKUP(Table_NFI[[#This Row],[Camp Name]],CL,3,0),"")</f>
        <v>Open</v>
      </c>
      <c r="AT615" s="264" t="str">
        <f ca="1">IF(Table_NFI[[#This Row],[Pcode]]="","",OFFSET(CampList[Priority],MATCH(Table_NFI[[#This Row],[Pcode]],CampList[CP_Pcode],0)-1,0,1,1))</f>
        <v>P1</v>
      </c>
      <c r="AU615" s="263">
        <f>IFERROR(Table_NFI[[#This Row],[Kitchen Set]]/VLOOKUP(Table_NFI[[#This Row],[Camp Name]],CL,4,0),"")</f>
        <v>0</v>
      </c>
      <c r="AV615" s="390" t="s">
        <v>1087</v>
      </c>
      <c r="AW615" s="392"/>
      <c r="AX615" s="399"/>
      <c r="AY615" s="399"/>
      <c r="AZ615" s="399"/>
      <c r="BA615" s="399"/>
      <c r="BB615" s="399"/>
      <c r="BC615" s="399"/>
      <c r="BD615" s="399"/>
      <c r="BE615" s="399"/>
      <c r="BF615" s="399"/>
      <c r="BG615" s="399"/>
      <c r="BH615" s="399"/>
      <c r="BI615" s="399"/>
      <c r="BJ615" s="399"/>
      <c r="BK615" s="399"/>
      <c r="BL615" s="399"/>
      <c r="BM615" s="399"/>
      <c r="BN615" s="399"/>
      <c r="BO615" s="399"/>
      <c r="BP615" s="399"/>
      <c r="BQ615" s="399"/>
      <c r="BR615" s="399"/>
      <c r="BS615" s="399"/>
      <c r="BT615" s="399"/>
      <c r="BU615" s="399"/>
      <c r="BV615" s="399"/>
      <c r="BW615" s="399"/>
      <c r="BX615" s="399"/>
      <c r="BY615" s="399"/>
      <c r="BZ615" s="399"/>
      <c r="CA615" s="399"/>
      <c r="CB615" s="399"/>
      <c r="CC615" s="399"/>
      <c r="CD615" s="399"/>
      <c r="CE615" s="399"/>
      <c r="CF615" s="399"/>
      <c r="CG615" s="399"/>
      <c r="CH615" s="399"/>
      <c r="CI615" s="399"/>
      <c r="CJ615" s="399"/>
      <c r="CK615" s="399"/>
      <c r="CL615" s="399"/>
      <c r="CM615" s="399"/>
      <c r="CN615" s="399"/>
      <c r="CO615" s="399"/>
      <c r="CP615" s="399"/>
      <c r="CQ615" s="399"/>
      <c r="CR615" s="399"/>
      <c r="CS615" s="399"/>
      <c r="CT615" s="399"/>
      <c r="CU615" s="399"/>
      <c r="CV615" s="399"/>
      <c r="CW615" s="399"/>
      <c r="CX615" s="399"/>
      <c r="CY615" s="399"/>
      <c r="CZ615" s="399"/>
      <c r="DA615" s="399"/>
      <c r="DB615" s="399"/>
      <c r="DC615" s="399"/>
      <c r="DD615" s="399"/>
      <c r="DE615" s="399"/>
      <c r="DF615" s="399"/>
      <c r="DG615" s="399"/>
      <c r="DH615" s="399"/>
      <c r="DI615" s="399"/>
      <c r="DJ615" s="399"/>
      <c r="DK615" s="399"/>
      <c r="DL615" s="399"/>
      <c r="DM615" s="399"/>
      <c r="DN615" s="399"/>
      <c r="DO615" s="399"/>
      <c r="DP615" s="399"/>
      <c r="DQ615" s="399"/>
    </row>
    <row r="616" spans="1:121" s="760" customFormat="1" ht="14.45" customHeight="1" x14ac:dyDescent="0.25">
      <c r="A616" s="266">
        <f t="shared" si="9"/>
        <v>41.6</v>
      </c>
      <c r="B616" s="389">
        <v>41608</v>
      </c>
      <c r="C616" s="390" t="s">
        <v>1092</v>
      </c>
      <c r="D616" s="391" t="s">
        <v>943</v>
      </c>
      <c r="E616" s="390" t="s">
        <v>380</v>
      </c>
      <c r="F616" s="262" t="s">
        <v>5</v>
      </c>
      <c r="G616" s="262" t="s">
        <v>366</v>
      </c>
      <c r="H616" s="261"/>
      <c r="I616" s="261"/>
      <c r="J616" s="261"/>
      <c r="K616" s="261"/>
      <c r="L616" s="261"/>
      <c r="M616" s="261">
        <v>320</v>
      </c>
      <c r="N616" s="261"/>
      <c r="O616" s="261"/>
      <c r="P616" s="261"/>
      <c r="Q616" s="261"/>
      <c r="R616" s="261">
        <v>234</v>
      </c>
      <c r="S616" s="261">
        <v>336</v>
      </c>
      <c r="T616" s="261">
        <v>0</v>
      </c>
      <c r="U616" s="261"/>
      <c r="V616" s="762"/>
      <c r="W616" s="261"/>
      <c r="X616" s="261"/>
      <c r="Y616" s="264">
        <f>IF(NFI_Expiration=1,IF($A616&lt;VLOOKUP(H$5,NFI,5,0),1,0)*Table_NFI[[#This Row],[Hygiene Kit]],Table_NFI[Hygiene Kit])</f>
        <v>0</v>
      </c>
      <c r="Z616" s="264">
        <f>IF(NFI_Expiration=1,IF($A616&lt;VLOOKUP(I$5,NFI,5,0),1,0)*Table_NFI[[#This Row],[NFI Core Kit]],Table_NFI[NFI Core Kit])</f>
        <v>0</v>
      </c>
      <c r="AA616" s="264">
        <f>IF(NFI_Expiration=1,IF($A616&lt;VLOOKUP(J$5,NFI,5,0),1,0)*Table_NFI[[#This Row],[Sanitary Kit]],Table_NFI[Sanitary Kit])</f>
        <v>0</v>
      </c>
      <c r="AB616" s="264">
        <f>IF(NFI_Expiration=1,IF($A616&lt;VLOOKUP(K$5,NFI,5,0),1,0)*Table_NFI[[#This Row],[Mosquito net]],Table_NFI[Mosquito net])</f>
        <v>0</v>
      </c>
      <c r="AC616" s="264">
        <f>IF(NFI_Expiration=1,IF($A616&lt;VLOOKUP(L$5,NFI,5,0),1,0)*Table_NFI[[#This Row],[Tarpaulin]],Table_NFI[[#This Row],[Tarpaulin]])</f>
        <v>0</v>
      </c>
      <c r="AD616" s="264">
        <f>IF(NFI_Expiration=1,IF($A616&lt;VLOOKUP(M$5,NFI,5,0),1,0)*Table_NFI[[#This Row],[Blanket]],Table_NFI[[#This Row],[Blanket]])</f>
        <v>0</v>
      </c>
      <c r="AE616" s="264">
        <f>IF(NFI_Expiration=1,IF($A616&lt;VLOOKUP(N$5,NFI,5,0),1,0)*Table_NFI[[#This Row],[Kitchen Set]],Table_NFI[Kitchen Set])</f>
        <v>0</v>
      </c>
      <c r="AF616" s="264">
        <f>IF(NFI_Expiration=1,IF($A616&lt;VLOOKUP(O$5,NFI,5,0),1,0)*Table_NFI[[#This Row],[Clothes Kit]],Table_NFI[Clothes Kit])</f>
        <v>0</v>
      </c>
      <c r="AG616" s="264">
        <f>IF(NFI_Expiration=1,IF($A616&lt;VLOOKUP(P$5,NFI,5,0),1,0)*Table_NFI[[#This Row],[Plastic Bucket]],Table_NFI[Plastic Bucket])</f>
        <v>0</v>
      </c>
      <c r="AH616" s="264">
        <f>IF(NFI_Expiration=1,IF($A616&lt;VLOOKUP(Q$5,NFI,5,0),1,0)*Table_NFI[[#This Row],[Plastic Mat]],Table_NFI[Plastic Mat])*IF(Table_NFI[[#This Row],[Distribution Date]]&gt;"2014-04-01",1,2.5)</f>
        <v>0</v>
      </c>
      <c r="AI616" s="264">
        <f>IF(NFI_Expiration=1,IF($A616&lt;VLOOKUP(R$5,NFI,5,0),1,0)*Table_NFI[[#This Row],[Winter Clothes Adult]],Table_NFI[Winter Clothes Adult])</f>
        <v>0</v>
      </c>
      <c r="AJ616" s="264">
        <f>IF(NFI_Expiration=1,IF($A616&lt;VLOOKUP(S$5,NFI,5,0),1,0)*Table_NFI[[#This Row],[Winter Clothes Children]],Table_NFI[Winter Clothes Children])</f>
        <v>0</v>
      </c>
      <c r="AK616" s="264">
        <f>IF(NFI_Expiration=1,IF($A616&lt;VLOOKUP(T$5,NFI,5,0),1,0)*Table_NFI[[#This Row],[Winter Items Other]],Table_NFI[Winter Items Other])</f>
        <v>0</v>
      </c>
      <c r="AL616" s="264">
        <f>IF(NFI_Expiration=1,IF($A616&lt;VLOOKUP(M$5,NFI,5,0),1,0)*Table_NFI[[#This Row],[Winter Blanket]],Table_NFI[[#This Row],[Winter Blanket]])</f>
        <v>0</v>
      </c>
      <c r="AM616" s="264">
        <f>IF(Table_NFI[[#This Row],[Winter Clothes Adult]]+Table_NFI[[#This Row],[Winter Clothes Children]]+Table_NFI[[#This Row],[Winter Items Other]]+Table_NFI[[#This Row],[Winter Blanket]]&gt;0,1,0)</f>
        <v>1</v>
      </c>
      <c r="AN616" s="296">
        <f>IF(NFI_Expiration=1,IF($A616&lt;VLOOKUP(V$5,NFI,5,0),1,0)*Table_NFI[[#This Row],[Jerry Can]],Table_NFI[Jerry Can])</f>
        <v>0</v>
      </c>
      <c r="AO616" s="296">
        <f>IF(NFI_Expiration=1,IF($A616&lt;VLOOKUP(V$5,NFI,5,0),1,0)*Table_NFI[[#This Row],[Shelter Tool kit]],Table_NFI[Shelter Tool kit])</f>
        <v>0</v>
      </c>
      <c r="AP616" s="296">
        <f>IF(NFI_Expiration=1,IF($A616&lt;VLOOKUP(V$5,NFI,5,0),1,0)*Table_NFI[[#This Row],[Tent]],Table_NFI[Tent])</f>
        <v>0</v>
      </c>
      <c r="AQ616" s="396" t="str">
        <f>IFERROR(VLOOKUP(Table_NFI[[#This Row],[Camp Name]],CL,2,0),"")</f>
        <v>MMR001CMP193</v>
      </c>
      <c r="AR616" s="702">
        <f ca="1">IF(Table_NFI[[#This Row],[Pcode]]="","",IF(OFFSET(CampList[Opening Date],MATCH(Table_NFI[[#This Row],[Pcode]],CampList[CP_Pcode],0)-1,0,1,1)&gt;=NFI_Monitor_Date,1,0))</f>
        <v>0</v>
      </c>
      <c r="AS616" s="396" t="str">
        <f>IFERROR(VLOOKUP(Table_NFI[[#This Row],[Camp Name]],CL,3,0),"")</f>
        <v>Open</v>
      </c>
      <c r="AT616" s="264" t="str">
        <f ca="1">IF(Table_NFI[[#This Row],[Pcode]]="","",OFFSET(CampList[Priority],MATCH(Table_NFI[[#This Row],[Pcode]],CampList[CP_Pcode],0)-1,0,1,1))</f>
        <v>P4</v>
      </c>
      <c r="AU616" s="263">
        <f>IFERROR(Table_NFI[[#This Row],[Kitchen Set]]/VLOOKUP(Table_NFI[[#This Row],[Camp Name]],CL,4,0),"")</f>
        <v>0</v>
      </c>
      <c r="AV616" s="390" t="s">
        <v>1087</v>
      </c>
      <c r="AW616" s="392"/>
      <c r="AX616" s="399"/>
      <c r="AY616" s="399"/>
      <c r="AZ616" s="399"/>
      <c r="BA616" s="399"/>
      <c r="BB616" s="399"/>
      <c r="BC616" s="399"/>
      <c r="BD616" s="399"/>
      <c r="BE616" s="399"/>
      <c r="BF616" s="399"/>
      <c r="BG616" s="399"/>
      <c r="BH616" s="399"/>
      <c r="BI616" s="399"/>
      <c r="BJ616" s="399"/>
      <c r="BK616" s="399"/>
      <c r="BL616" s="399"/>
      <c r="BM616" s="399"/>
      <c r="BN616" s="399"/>
      <c r="BO616" s="399"/>
      <c r="BP616" s="399"/>
      <c r="BQ616" s="399"/>
      <c r="BR616" s="399"/>
      <c r="BS616" s="399"/>
      <c r="BT616" s="399"/>
      <c r="BU616" s="399"/>
      <c r="BV616" s="399"/>
      <c r="BW616" s="399"/>
      <c r="BX616" s="399"/>
      <c r="BY616" s="399"/>
      <c r="BZ616" s="399"/>
      <c r="CA616" s="399"/>
      <c r="CB616" s="399"/>
      <c r="CC616" s="399"/>
      <c r="CD616" s="399"/>
      <c r="CE616" s="399"/>
      <c r="CF616" s="399"/>
      <c r="CG616" s="399"/>
      <c r="CH616" s="399"/>
      <c r="CI616" s="399"/>
      <c r="CJ616" s="399"/>
      <c r="CK616" s="399"/>
      <c r="CL616" s="399"/>
      <c r="CM616" s="399"/>
      <c r="CN616" s="399"/>
      <c r="CO616" s="399"/>
      <c r="CP616" s="399"/>
      <c r="CQ616" s="399"/>
      <c r="CR616" s="399"/>
      <c r="CS616" s="399"/>
      <c r="CT616" s="399"/>
      <c r="CU616" s="399"/>
      <c r="CV616" s="399"/>
      <c r="CW616" s="399"/>
      <c r="CX616" s="399"/>
      <c r="CY616" s="399"/>
      <c r="CZ616" s="399"/>
      <c r="DA616" s="399"/>
      <c r="DB616" s="399"/>
      <c r="DC616" s="399"/>
      <c r="DD616" s="399"/>
      <c r="DE616" s="399"/>
      <c r="DF616" s="399"/>
      <c r="DG616" s="399"/>
      <c r="DH616" s="399"/>
      <c r="DI616" s="399"/>
      <c r="DJ616" s="399"/>
      <c r="DK616" s="399"/>
      <c r="DL616" s="399"/>
      <c r="DM616" s="399"/>
      <c r="DN616" s="399"/>
      <c r="DO616" s="399"/>
      <c r="DP616" s="399"/>
      <c r="DQ616" s="399"/>
    </row>
    <row r="617" spans="1:121" s="760" customFormat="1" ht="14.45" customHeight="1" x14ac:dyDescent="0.25">
      <c r="A617" s="266">
        <f t="shared" si="9"/>
        <v>41.6</v>
      </c>
      <c r="B617" s="389">
        <v>41608</v>
      </c>
      <c r="C617" s="390" t="s">
        <v>904</v>
      </c>
      <c r="D617" s="390"/>
      <c r="E617" s="390" t="s">
        <v>380</v>
      </c>
      <c r="F617" s="262" t="s">
        <v>5</v>
      </c>
      <c r="G617" s="262" t="s">
        <v>366</v>
      </c>
      <c r="H617" s="261"/>
      <c r="I617" s="261"/>
      <c r="J617" s="261"/>
      <c r="K617" s="261"/>
      <c r="L617" s="261"/>
      <c r="M617" s="261"/>
      <c r="N617" s="261"/>
      <c r="O617" s="261"/>
      <c r="P617" s="261"/>
      <c r="Q617" s="261"/>
      <c r="R617" s="261"/>
      <c r="S617" s="261"/>
      <c r="T617" s="261"/>
      <c r="U617" s="261"/>
      <c r="V617" s="762"/>
      <c r="W617" s="261"/>
      <c r="X617" s="261"/>
      <c r="Y617" s="264">
        <f>IF(NFI_Expiration=1,IF($A617&lt;VLOOKUP(H$5,NFI,5,0),1,0)*Table_NFI[[#This Row],[Hygiene Kit]],Table_NFI[Hygiene Kit])</f>
        <v>0</v>
      </c>
      <c r="Z617" s="264">
        <f>IF(NFI_Expiration=1,IF($A617&lt;VLOOKUP(I$5,NFI,5,0),1,0)*Table_NFI[[#This Row],[NFI Core Kit]],Table_NFI[NFI Core Kit])</f>
        <v>0</v>
      </c>
      <c r="AA617" s="264">
        <f>IF(NFI_Expiration=1,IF($A617&lt;VLOOKUP(J$5,NFI,5,0),1,0)*Table_NFI[[#This Row],[Sanitary Kit]],Table_NFI[Sanitary Kit])</f>
        <v>0</v>
      </c>
      <c r="AB617" s="264">
        <f>IF(NFI_Expiration=1,IF($A617&lt;VLOOKUP(K$5,NFI,5,0),1,0)*Table_NFI[[#This Row],[Mosquito net]],Table_NFI[Mosquito net])</f>
        <v>0</v>
      </c>
      <c r="AC617" s="264">
        <f>IF(NFI_Expiration=1,IF($A617&lt;VLOOKUP(L$5,NFI,5,0),1,0)*Table_NFI[[#This Row],[Tarpaulin]],Table_NFI[[#This Row],[Tarpaulin]])</f>
        <v>0</v>
      </c>
      <c r="AD617" s="264">
        <f>IF(NFI_Expiration=1,IF($A617&lt;VLOOKUP(M$5,NFI,5,0),1,0)*Table_NFI[[#This Row],[Blanket]],Table_NFI[[#This Row],[Blanket]])</f>
        <v>0</v>
      </c>
      <c r="AE617" s="264">
        <f>IF(NFI_Expiration=1,IF($A617&lt;VLOOKUP(N$5,NFI,5,0),1,0)*Table_NFI[[#This Row],[Kitchen Set]],Table_NFI[Kitchen Set])</f>
        <v>0</v>
      </c>
      <c r="AF617" s="264">
        <f>IF(NFI_Expiration=1,IF($A617&lt;VLOOKUP(O$5,NFI,5,0),1,0)*Table_NFI[[#This Row],[Clothes Kit]],Table_NFI[Clothes Kit])</f>
        <v>0</v>
      </c>
      <c r="AG617" s="264">
        <f>IF(NFI_Expiration=1,IF($A617&lt;VLOOKUP(P$5,NFI,5,0),1,0)*Table_NFI[[#This Row],[Plastic Bucket]],Table_NFI[Plastic Bucket])</f>
        <v>0</v>
      </c>
      <c r="AH617" s="264">
        <f>IF(NFI_Expiration=1,IF($A617&lt;VLOOKUP(Q$5,NFI,5,0),1,0)*Table_NFI[[#This Row],[Plastic Mat]],Table_NFI[Plastic Mat])*IF(Table_NFI[[#This Row],[Distribution Date]]&gt;"2014-04-01",1,2.5)</f>
        <v>0</v>
      </c>
      <c r="AI617" s="264">
        <f>IF(NFI_Expiration=1,IF($A617&lt;VLOOKUP(R$5,NFI,5,0),1,0)*Table_NFI[[#This Row],[Winter Clothes Adult]],Table_NFI[Winter Clothes Adult])</f>
        <v>0</v>
      </c>
      <c r="AJ617" s="264">
        <f>IF(NFI_Expiration=1,IF($A617&lt;VLOOKUP(S$5,NFI,5,0),1,0)*Table_NFI[[#This Row],[Winter Clothes Children]],Table_NFI[Winter Clothes Children])</f>
        <v>0</v>
      </c>
      <c r="AK617" s="264">
        <f>IF(NFI_Expiration=1,IF($A617&lt;VLOOKUP(T$5,NFI,5,0),1,0)*Table_NFI[[#This Row],[Winter Items Other]],Table_NFI[Winter Items Other])</f>
        <v>0</v>
      </c>
      <c r="AL617" s="264">
        <f>IF(NFI_Expiration=1,IF($A617&lt;VLOOKUP(M$5,NFI,5,0),1,0)*Table_NFI[[#This Row],[Winter Blanket]],Table_NFI[[#This Row],[Winter Blanket]])</f>
        <v>0</v>
      </c>
      <c r="AM617" s="264">
        <f>IF(Table_NFI[[#This Row],[Winter Clothes Adult]]+Table_NFI[[#This Row],[Winter Clothes Children]]+Table_NFI[[#This Row],[Winter Items Other]]+Table_NFI[[#This Row],[Winter Blanket]]&gt;0,1,0)</f>
        <v>0</v>
      </c>
      <c r="AN617" s="296">
        <f>IF(NFI_Expiration=1,IF($A617&lt;VLOOKUP(V$5,NFI,5,0),1,0)*Table_NFI[[#This Row],[Jerry Can]],Table_NFI[Jerry Can])</f>
        <v>0</v>
      </c>
      <c r="AO617" s="296">
        <f>IF(NFI_Expiration=1,IF($A617&lt;VLOOKUP(V$5,NFI,5,0),1,0)*Table_NFI[[#This Row],[Shelter Tool kit]],Table_NFI[Shelter Tool kit])</f>
        <v>0</v>
      </c>
      <c r="AP617" s="296">
        <f>IF(NFI_Expiration=1,IF($A617&lt;VLOOKUP(V$5,NFI,5,0),1,0)*Table_NFI[[#This Row],[Tent]],Table_NFI[Tent])</f>
        <v>0</v>
      </c>
      <c r="AQ617" s="396" t="str">
        <f>IFERROR(VLOOKUP(Table_NFI[[#This Row],[Camp Name]],CL,2,0),"")</f>
        <v>MMR001CMP193</v>
      </c>
      <c r="AR617" s="702">
        <f ca="1">IF(Table_NFI[[#This Row],[Pcode]]="","",IF(OFFSET(CampList[Opening Date],MATCH(Table_NFI[[#This Row],[Pcode]],CampList[CP_Pcode],0)-1,0,1,1)&gt;=NFI_Monitor_Date,1,0))</f>
        <v>0</v>
      </c>
      <c r="AS617" s="396" t="str">
        <f>IFERROR(VLOOKUP(Table_NFI[[#This Row],[Camp Name]],CL,3,0),"")</f>
        <v>Open</v>
      </c>
      <c r="AT617" s="264" t="str">
        <f ca="1">IF(Table_NFI[[#This Row],[Pcode]]="","",OFFSET(CampList[Priority],MATCH(Table_NFI[[#This Row],[Pcode]],CampList[CP_Pcode],0)-1,0,1,1))</f>
        <v>P4</v>
      </c>
      <c r="AU617" s="263">
        <f>IFERROR(Table_NFI[[#This Row],[Kitchen Set]]/VLOOKUP(Table_NFI[[#This Row],[Camp Name]],CL,4,0),"")</f>
        <v>0</v>
      </c>
      <c r="AV617" s="390" t="s">
        <v>1087</v>
      </c>
      <c r="AW617" s="392"/>
      <c r="AX617" s="399"/>
      <c r="AY617" s="399"/>
      <c r="AZ617" s="399"/>
      <c r="BA617" s="399"/>
      <c r="BB617" s="399"/>
      <c r="BC617" s="399"/>
      <c r="BD617" s="399"/>
      <c r="BE617" s="399"/>
      <c r="BF617" s="399"/>
      <c r="BG617" s="399"/>
      <c r="BH617" s="399"/>
      <c r="BI617" s="399"/>
      <c r="BJ617" s="399"/>
      <c r="BK617" s="399"/>
      <c r="BL617" s="399"/>
      <c r="BM617" s="399"/>
      <c r="BN617" s="399"/>
      <c r="BO617" s="399"/>
      <c r="BP617" s="399"/>
      <c r="BQ617" s="399"/>
      <c r="BR617" s="399"/>
      <c r="BS617" s="399"/>
      <c r="BT617" s="399"/>
      <c r="BU617" s="399"/>
      <c r="BV617" s="399"/>
      <c r="BW617" s="399"/>
      <c r="BX617" s="399"/>
      <c r="BY617" s="399"/>
      <c r="BZ617" s="399"/>
      <c r="CA617" s="399"/>
      <c r="CB617" s="399"/>
      <c r="CC617" s="399"/>
      <c r="CD617" s="399"/>
      <c r="CE617" s="399"/>
      <c r="CF617" s="399"/>
      <c r="CG617" s="399"/>
      <c r="CH617" s="399"/>
      <c r="CI617" s="399"/>
      <c r="CJ617" s="399"/>
      <c r="CK617" s="399"/>
      <c r="CL617" s="399"/>
      <c r="CM617" s="399"/>
      <c r="CN617" s="399"/>
      <c r="CO617" s="399"/>
      <c r="CP617" s="399"/>
      <c r="CQ617" s="399"/>
      <c r="CR617" s="399"/>
      <c r="CS617" s="399"/>
      <c r="CT617" s="399"/>
      <c r="CU617" s="399"/>
      <c r="CV617" s="399"/>
      <c r="CW617" s="399"/>
      <c r="CX617" s="399"/>
      <c r="CY617" s="399"/>
      <c r="CZ617" s="399"/>
      <c r="DA617" s="399"/>
      <c r="DB617" s="399"/>
      <c r="DC617" s="399"/>
      <c r="DD617" s="399"/>
      <c r="DE617" s="399"/>
      <c r="DF617" s="399"/>
      <c r="DG617" s="399"/>
      <c r="DH617" s="399"/>
      <c r="DI617" s="399"/>
      <c r="DJ617" s="399"/>
      <c r="DK617" s="399"/>
      <c r="DL617" s="399"/>
      <c r="DM617" s="399"/>
      <c r="DN617" s="399"/>
      <c r="DO617" s="399"/>
      <c r="DP617" s="399"/>
      <c r="DQ617" s="399"/>
    </row>
    <row r="618" spans="1:121" s="760" customFormat="1" ht="14.45" customHeight="1" x14ac:dyDescent="0.25">
      <c r="A618" s="266">
        <f t="shared" si="9"/>
        <v>41.6</v>
      </c>
      <c r="B618" s="389">
        <v>41608</v>
      </c>
      <c r="C618" s="390" t="s">
        <v>904</v>
      </c>
      <c r="D618" s="391" t="s">
        <v>459</v>
      </c>
      <c r="E618" s="390" t="s">
        <v>380</v>
      </c>
      <c r="F618" s="262" t="s">
        <v>310</v>
      </c>
      <c r="G618" s="262" t="s">
        <v>355</v>
      </c>
      <c r="H618" s="261"/>
      <c r="I618" s="261"/>
      <c r="J618" s="261"/>
      <c r="K618" s="261"/>
      <c r="L618" s="261"/>
      <c r="M618" s="261"/>
      <c r="N618" s="261"/>
      <c r="O618" s="261"/>
      <c r="P618" s="261"/>
      <c r="Q618" s="261"/>
      <c r="R618" s="261"/>
      <c r="S618" s="261"/>
      <c r="T618" s="261"/>
      <c r="U618" s="261"/>
      <c r="V618" s="762"/>
      <c r="W618" s="261"/>
      <c r="X618" s="261"/>
      <c r="Y618" s="264">
        <f>IF(NFI_Expiration=1,IF($A618&lt;VLOOKUP(H$5,NFI,5,0),1,0)*Table_NFI[[#This Row],[Hygiene Kit]],Table_NFI[Hygiene Kit])</f>
        <v>0</v>
      </c>
      <c r="Z618" s="264">
        <f>IF(NFI_Expiration=1,IF($A618&lt;VLOOKUP(I$5,NFI,5,0),1,0)*Table_NFI[[#This Row],[NFI Core Kit]],Table_NFI[NFI Core Kit])</f>
        <v>0</v>
      </c>
      <c r="AA618" s="264">
        <f>IF(NFI_Expiration=1,IF($A618&lt;VLOOKUP(J$5,NFI,5,0),1,0)*Table_NFI[[#This Row],[Sanitary Kit]],Table_NFI[Sanitary Kit])</f>
        <v>0</v>
      </c>
      <c r="AB618" s="264">
        <f>IF(NFI_Expiration=1,IF($A618&lt;VLOOKUP(K$5,NFI,5,0),1,0)*Table_NFI[[#This Row],[Mosquito net]],Table_NFI[Mosquito net])</f>
        <v>0</v>
      </c>
      <c r="AC618" s="264">
        <f>IF(NFI_Expiration=1,IF($A618&lt;VLOOKUP(L$5,NFI,5,0),1,0)*Table_NFI[[#This Row],[Tarpaulin]],Table_NFI[[#This Row],[Tarpaulin]])</f>
        <v>0</v>
      </c>
      <c r="AD618" s="264">
        <f>IF(NFI_Expiration=1,IF($A618&lt;VLOOKUP(M$5,NFI,5,0),1,0)*Table_NFI[[#This Row],[Blanket]],Table_NFI[[#This Row],[Blanket]])</f>
        <v>0</v>
      </c>
      <c r="AE618" s="264">
        <f>IF(NFI_Expiration=1,IF($A618&lt;VLOOKUP(N$5,NFI,5,0),1,0)*Table_NFI[[#This Row],[Kitchen Set]],Table_NFI[Kitchen Set])</f>
        <v>0</v>
      </c>
      <c r="AF618" s="264">
        <f>IF(NFI_Expiration=1,IF($A618&lt;VLOOKUP(O$5,NFI,5,0),1,0)*Table_NFI[[#This Row],[Clothes Kit]],Table_NFI[Clothes Kit])</f>
        <v>0</v>
      </c>
      <c r="AG618" s="264">
        <f>IF(NFI_Expiration=1,IF($A618&lt;VLOOKUP(P$5,NFI,5,0),1,0)*Table_NFI[[#This Row],[Plastic Bucket]],Table_NFI[Plastic Bucket])</f>
        <v>0</v>
      </c>
      <c r="AH618" s="264">
        <f>IF(NFI_Expiration=1,IF($A618&lt;VLOOKUP(Q$5,NFI,5,0),1,0)*Table_NFI[[#This Row],[Plastic Mat]],Table_NFI[Plastic Mat])*IF(Table_NFI[[#This Row],[Distribution Date]]&gt;"2014-04-01",1,2.5)</f>
        <v>0</v>
      </c>
      <c r="AI618" s="264">
        <f>IF(NFI_Expiration=1,IF($A618&lt;VLOOKUP(R$5,NFI,5,0),1,0)*Table_NFI[[#This Row],[Winter Clothes Adult]],Table_NFI[Winter Clothes Adult])</f>
        <v>0</v>
      </c>
      <c r="AJ618" s="264">
        <f>IF(NFI_Expiration=1,IF($A618&lt;VLOOKUP(S$5,NFI,5,0),1,0)*Table_NFI[[#This Row],[Winter Clothes Children]],Table_NFI[Winter Clothes Children])</f>
        <v>0</v>
      </c>
      <c r="AK618" s="264">
        <f>IF(NFI_Expiration=1,IF($A618&lt;VLOOKUP(T$5,NFI,5,0),1,0)*Table_NFI[[#This Row],[Winter Items Other]],Table_NFI[Winter Items Other])</f>
        <v>0</v>
      </c>
      <c r="AL618" s="264">
        <f>IF(NFI_Expiration=1,IF($A618&lt;VLOOKUP(M$5,NFI,5,0),1,0)*Table_NFI[[#This Row],[Winter Blanket]],Table_NFI[[#This Row],[Winter Blanket]])</f>
        <v>0</v>
      </c>
      <c r="AM618" s="264">
        <f>IF(Table_NFI[[#This Row],[Winter Clothes Adult]]+Table_NFI[[#This Row],[Winter Clothes Children]]+Table_NFI[[#This Row],[Winter Items Other]]+Table_NFI[[#This Row],[Winter Blanket]]&gt;0,1,0)</f>
        <v>0</v>
      </c>
      <c r="AN618" s="296">
        <f>IF(NFI_Expiration=1,IF($A618&lt;VLOOKUP(V$5,NFI,5,0),1,0)*Table_NFI[[#This Row],[Jerry Can]],Table_NFI[Jerry Can])</f>
        <v>0</v>
      </c>
      <c r="AO618" s="296">
        <f>IF(NFI_Expiration=1,IF($A618&lt;VLOOKUP(V$5,NFI,5,0),1,0)*Table_NFI[[#This Row],[Shelter Tool kit]],Table_NFI[Shelter Tool kit])</f>
        <v>0</v>
      </c>
      <c r="AP618" s="296">
        <f>IF(NFI_Expiration=1,IF($A618&lt;VLOOKUP(V$5,NFI,5,0),1,0)*Table_NFI[[#This Row],[Tent]],Table_NFI[Tent])</f>
        <v>0</v>
      </c>
      <c r="AQ618" s="396" t="str">
        <f>IFERROR(VLOOKUP(Table_NFI[[#This Row],[Camp Name]],CL,2,0),"")</f>
        <v>MMR001CMP160</v>
      </c>
      <c r="AR618" s="702">
        <f ca="1">IF(Table_NFI[[#This Row],[Pcode]]="","",IF(OFFSET(CampList[Opening Date],MATCH(Table_NFI[[#This Row],[Pcode]],CampList[CP_Pcode],0)-1,0,1,1)&gt;=NFI_Monitor_Date,1,0))</f>
        <v>0</v>
      </c>
      <c r="AS618" s="396" t="str">
        <f>IFERROR(VLOOKUP(Table_NFI[[#This Row],[Camp Name]],CL,3,0),"")</f>
        <v>Open</v>
      </c>
      <c r="AT618" s="264" t="str">
        <f ca="1">IF(Table_NFI[[#This Row],[Pcode]]="","",OFFSET(CampList[Priority],MATCH(Table_NFI[[#This Row],[Pcode]],CampList[CP_Pcode],0)-1,0,1,1))</f>
        <v>P1</v>
      </c>
      <c r="AU618" s="263">
        <f>IFERROR(Table_NFI[[#This Row],[Kitchen Set]]/VLOOKUP(Table_NFI[[#This Row],[Camp Name]],CL,4,0),"")</f>
        <v>0</v>
      </c>
      <c r="AV618" s="390" t="s">
        <v>1087</v>
      </c>
      <c r="AW618" s="392"/>
      <c r="AX618" s="399"/>
      <c r="AY618" s="399"/>
      <c r="AZ618" s="399"/>
      <c r="BA618" s="399"/>
      <c r="BB618" s="399"/>
      <c r="BC618" s="399"/>
      <c r="BD618" s="399"/>
      <c r="BE618" s="399"/>
      <c r="BF618" s="399"/>
      <c r="BG618" s="399"/>
      <c r="BH618" s="399"/>
      <c r="BI618" s="399"/>
      <c r="BJ618" s="399"/>
      <c r="BK618" s="399"/>
      <c r="BL618" s="399"/>
      <c r="BM618" s="399"/>
      <c r="BN618" s="399"/>
      <c r="BO618" s="399"/>
      <c r="BP618" s="399"/>
      <c r="BQ618" s="399"/>
      <c r="BR618" s="399"/>
      <c r="BS618" s="399"/>
      <c r="BT618" s="399"/>
      <c r="BU618" s="399"/>
      <c r="BV618" s="399"/>
      <c r="BW618" s="399"/>
      <c r="BX618" s="399"/>
      <c r="BY618" s="399"/>
      <c r="BZ618" s="399"/>
      <c r="CA618" s="399"/>
      <c r="CB618" s="399"/>
      <c r="CC618" s="399"/>
      <c r="CD618" s="399"/>
      <c r="CE618" s="399"/>
      <c r="CF618" s="399"/>
      <c r="CG618" s="399"/>
      <c r="CH618" s="399"/>
      <c r="CI618" s="399"/>
      <c r="CJ618" s="399"/>
      <c r="CK618" s="399"/>
      <c r="CL618" s="399"/>
      <c r="CM618" s="399"/>
      <c r="CN618" s="399"/>
      <c r="CO618" s="399"/>
      <c r="CP618" s="399"/>
      <c r="CQ618" s="399"/>
      <c r="CR618" s="399"/>
      <c r="CS618" s="399"/>
      <c r="CT618" s="399"/>
      <c r="CU618" s="399"/>
      <c r="CV618" s="399"/>
      <c r="CW618" s="399"/>
      <c r="CX618" s="399"/>
      <c r="CY618" s="399"/>
      <c r="CZ618" s="399"/>
      <c r="DA618" s="399"/>
      <c r="DB618" s="399"/>
      <c r="DC618" s="399"/>
      <c r="DD618" s="399"/>
      <c r="DE618" s="399"/>
      <c r="DF618" s="399"/>
      <c r="DG618" s="399"/>
      <c r="DH618" s="399"/>
      <c r="DI618" s="399"/>
      <c r="DJ618" s="399"/>
      <c r="DK618" s="399"/>
      <c r="DL618" s="399"/>
      <c r="DM618" s="399"/>
      <c r="DN618" s="399"/>
      <c r="DO618" s="399"/>
      <c r="DP618" s="399"/>
      <c r="DQ618" s="399"/>
    </row>
    <row r="619" spans="1:121" s="760" customFormat="1" ht="14.45" customHeight="1" x14ac:dyDescent="0.25">
      <c r="A619" s="266">
        <f t="shared" si="9"/>
        <v>41.6</v>
      </c>
      <c r="B619" s="389">
        <v>41608</v>
      </c>
      <c r="C619" s="390" t="s">
        <v>904</v>
      </c>
      <c r="D619" s="391" t="s">
        <v>459</v>
      </c>
      <c r="E619" s="390" t="s">
        <v>380</v>
      </c>
      <c r="F619" s="262" t="s">
        <v>310</v>
      </c>
      <c r="G619" s="262" t="s">
        <v>342</v>
      </c>
      <c r="H619" s="261"/>
      <c r="I619" s="261"/>
      <c r="J619" s="261"/>
      <c r="K619" s="261"/>
      <c r="L619" s="261"/>
      <c r="M619" s="261"/>
      <c r="N619" s="261"/>
      <c r="O619" s="261"/>
      <c r="P619" s="261"/>
      <c r="Q619" s="261"/>
      <c r="R619" s="261"/>
      <c r="S619" s="261"/>
      <c r="T619" s="261"/>
      <c r="U619" s="261"/>
      <c r="V619" s="762"/>
      <c r="W619" s="261"/>
      <c r="X619" s="261"/>
      <c r="Y619" s="264">
        <f>IF(NFI_Expiration=1,IF($A619&lt;VLOOKUP(H$5,NFI,5,0),1,0)*Table_NFI[[#This Row],[Hygiene Kit]],Table_NFI[Hygiene Kit])</f>
        <v>0</v>
      </c>
      <c r="Z619" s="264">
        <f>IF(NFI_Expiration=1,IF($A619&lt;VLOOKUP(I$5,NFI,5,0),1,0)*Table_NFI[[#This Row],[NFI Core Kit]],Table_NFI[NFI Core Kit])</f>
        <v>0</v>
      </c>
      <c r="AA619" s="264">
        <f>IF(NFI_Expiration=1,IF($A619&lt;VLOOKUP(J$5,NFI,5,0),1,0)*Table_NFI[[#This Row],[Sanitary Kit]],Table_NFI[Sanitary Kit])</f>
        <v>0</v>
      </c>
      <c r="AB619" s="264">
        <f>IF(NFI_Expiration=1,IF($A619&lt;VLOOKUP(K$5,NFI,5,0),1,0)*Table_NFI[[#This Row],[Mosquito net]],Table_NFI[Mosquito net])</f>
        <v>0</v>
      </c>
      <c r="AC619" s="264">
        <f>IF(NFI_Expiration=1,IF($A619&lt;VLOOKUP(L$5,NFI,5,0),1,0)*Table_NFI[[#This Row],[Tarpaulin]],Table_NFI[[#This Row],[Tarpaulin]])</f>
        <v>0</v>
      </c>
      <c r="AD619" s="264">
        <f>IF(NFI_Expiration=1,IF($A619&lt;VLOOKUP(M$5,NFI,5,0),1,0)*Table_NFI[[#This Row],[Blanket]],Table_NFI[[#This Row],[Blanket]])</f>
        <v>0</v>
      </c>
      <c r="AE619" s="264">
        <f>IF(NFI_Expiration=1,IF($A619&lt;VLOOKUP(N$5,NFI,5,0),1,0)*Table_NFI[[#This Row],[Kitchen Set]],Table_NFI[Kitchen Set])</f>
        <v>0</v>
      </c>
      <c r="AF619" s="264">
        <f>IF(NFI_Expiration=1,IF($A619&lt;VLOOKUP(O$5,NFI,5,0),1,0)*Table_NFI[[#This Row],[Clothes Kit]],Table_NFI[Clothes Kit])</f>
        <v>0</v>
      </c>
      <c r="AG619" s="264">
        <f>IF(NFI_Expiration=1,IF($A619&lt;VLOOKUP(P$5,NFI,5,0),1,0)*Table_NFI[[#This Row],[Plastic Bucket]],Table_NFI[Plastic Bucket])</f>
        <v>0</v>
      </c>
      <c r="AH619" s="264">
        <f>IF(NFI_Expiration=1,IF($A619&lt;VLOOKUP(Q$5,NFI,5,0),1,0)*Table_NFI[[#This Row],[Plastic Mat]],Table_NFI[Plastic Mat])*IF(Table_NFI[[#This Row],[Distribution Date]]&gt;"2014-04-01",1,2.5)</f>
        <v>0</v>
      </c>
      <c r="AI619" s="264">
        <f>IF(NFI_Expiration=1,IF($A619&lt;VLOOKUP(R$5,NFI,5,0),1,0)*Table_NFI[[#This Row],[Winter Clothes Adult]],Table_NFI[Winter Clothes Adult])</f>
        <v>0</v>
      </c>
      <c r="AJ619" s="264">
        <f>IF(NFI_Expiration=1,IF($A619&lt;VLOOKUP(S$5,NFI,5,0),1,0)*Table_NFI[[#This Row],[Winter Clothes Children]],Table_NFI[Winter Clothes Children])</f>
        <v>0</v>
      </c>
      <c r="AK619" s="264">
        <f>IF(NFI_Expiration=1,IF($A619&lt;VLOOKUP(T$5,NFI,5,0),1,0)*Table_NFI[[#This Row],[Winter Items Other]],Table_NFI[Winter Items Other])</f>
        <v>0</v>
      </c>
      <c r="AL619" s="264">
        <f>IF(NFI_Expiration=1,IF($A619&lt;VLOOKUP(M$5,NFI,5,0),1,0)*Table_NFI[[#This Row],[Winter Blanket]],Table_NFI[[#This Row],[Winter Blanket]])</f>
        <v>0</v>
      </c>
      <c r="AM619" s="264">
        <f>IF(Table_NFI[[#This Row],[Winter Clothes Adult]]+Table_NFI[[#This Row],[Winter Clothes Children]]+Table_NFI[[#This Row],[Winter Items Other]]+Table_NFI[[#This Row],[Winter Blanket]]&gt;0,1,0)</f>
        <v>0</v>
      </c>
      <c r="AN619" s="296">
        <f>IF(NFI_Expiration=1,IF($A619&lt;VLOOKUP(V$5,NFI,5,0),1,0)*Table_NFI[[#This Row],[Jerry Can]],Table_NFI[Jerry Can])</f>
        <v>0</v>
      </c>
      <c r="AO619" s="296">
        <f>IF(NFI_Expiration=1,IF($A619&lt;VLOOKUP(V$5,NFI,5,0),1,0)*Table_NFI[[#This Row],[Shelter Tool kit]],Table_NFI[Shelter Tool kit])</f>
        <v>0</v>
      </c>
      <c r="AP619" s="296">
        <f>IF(NFI_Expiration=1,IF($A619&lt;VLOOKUP(V$5,NFI,5,0),1,0)*Table_NFI[[#This Row],[Tent]],Table_NFI[Tent])</f>
        <v>0</v>
      </c>
      <c r="AQ619" s="396" t="str">
        <f>IFERROR(VLOOKUP(Table_NFI[[#This Row],[Camp Name]],CL,2,0),"")</f>
        <v>MMR001CMP025</v>
      </c>
      <c r="AR619" s="702">
        <f ca="1">IF(Table_NFI[[#This Row],[Pcode]]="","",IF(OFFSET(CampList[Opening Date],MATCH(Table_NFI[[#This Row],[Pcode]],CampList[CP_Pcode],0)-1,0,1,1)&gt;=NFI_Monitor_Date,1,0))</f>
        <v>0</v>
      </c>
      <c r="AS619" s="396" t="str">
        <f>IFERROR(VLOOKUP(Table_NFI[[#This Row],[Camp Name]],CL,3,0),"")</f>
        <v>Open</v>
      </c>
      <c r="AT619" s="264" t="str">
        <f ca="1">IF(Table_NFI[[#This Row],[Pcode]]="","",OFFSET(CampList[Priority],MATCH(Table_NFI[[#This Row],[Pcode]],CampList[CP_Pcode],0)-1,0,1,1))</f>
        <v>P4</v>
      </c>
      <c r="AU619" s="263">
        <f>IFERROR(Table_NFI[[#This Row],[Kitchen Set]]/VLOOKUP(Table_NFI[[#This Row],[Camp Name]],CL,4,0),"")</f>
        <v>0</v>
      </c>
      <c r="AV619" s="390" t="s">
        <v>1087</v>
      </c>
      <c r="AW619" s="392"/>
      <c r="AX619" s="399"/>
      <c r="AY619" s="399"/>
      <c r="AZ619" s="399"/>
      <c r="BA619" s="399"/>
      <c r="BB619" s="399"/>
      <c r="BC619" s="399"/>
      <c r="BD619" s="399"/>
      <c r="BE619" s="399"/>
      <c r="BF619" s="399"/>
      <c r="BG619" s="399"/>
      <c r="BH619" s="399"/>
      <c r="BI619" s="399"/>
      <c r="BJ619" s="399"/>
      <c r="BK619" s="399"/>
      <c r="BL619" s="399"/>
      <c r="BM619" s="399"/>
      <c r="BN619" s="399"/>
      <c r="BO619" s="399"/>
      <c r="BP619" s="399"/>
      <c r="BQ619" s="399"/>
      <c r="BR619" s="399"/>
      <c r="BS619" s="399"/>
      <c r="BT619" s="399"/>
      <c r="BU619" s="399"/>
      <c r="BV619" s="399"/>
      <c r="BW619" s="399"/>
      <c r="BX619" s="399"/>
      <c r="BY619" s="399"/>
      <c r="BZ619" s="399"/>
      <c r="CA619" s="399"/>
      <c r="CB619" s="399"/>
      <c r="CC619" s="399"/>
      <c r="CD619" s="399"/>
      <c r="CE619" s="399"/>
      <c r="CF619" s="399"/>
      <c r="CG619" s="399"/>
      <c r="CH619" s="399"/>
      <c r="CI619" s="399"/>
      <c r="CJ619" s="399"/>
      <c r="CK619" s="399"/>
      <c r="CL619" s="399"/>
      <c r="CM619" s="399"/>
      <c r="CN619" s="399"/>
      <c r="CO619" s="399"/>
      <c r="CP619" s="399"/>
      <c r="CQ619" s="399"/>
      <c r="CR619" s="399"/>
      <c r="CS619" s="399"/>
      <c r="CT619" s="399"/>
      <c r="CU619" s="399"/>
      <c r="CV619" s="399"/>
      <c r="CW619" s="399"/>
      <c r="CX619" s="399"/>
      <c r="CY619" s="399"/>
      <c r="CZ619" s="399"/>
      <c r="DA619" s="399"/>
      <c r="DB619" s="399"/>
      <c r="DC619" s="399"/>
      <c r="DD619" s="399"/>
      <c r="DE619" s="399"/>
      <c r="DF619" s="399"/>
      <c r="DG619" s="399"/>
      <c r="DH619" s="399"/>
      <c r="DI619" s="399"/>
      <c r="DJ619" s="399"/>
      <c r="DK619" s="399"/>
      <c r="DL619" s="399"/>
      <c r="DM619" s="399"/>
      <c r="DN619" s="399"/>
      <c r="DO619" s="399"/>
      <c r="DP619" s="399"/>
      <c r="DQ619" s="399"/>
    </row>
    <row r="620" spans="1:121" s="760" customFormat="1" ht="14.45" customHeight="1" x14ac:dyDescent="0.25">
      <c r="A620" s="266">
        <f t="shared" si="9"/>
        <v>41.6</v>
      </c>
      <c r="B620" s="389">
        <v>41608</v>
      </c>
      <c r="C620" s="390" t="s">
        <v>904</v>
      </c>
      <c r="D620" s="391" t="s">
        <v>459</v>
      </c>
      <c r="E620" s="390" t="s">
        <v>380</v>
      </c>
      <c r="F620" s="262" t="s">
        <v>310</v>
      </c>
      <c r="G620" s="262" t="s">
        <v>338</v>
      </c>
      <c r="H620" s="261"/>
      <c r="I620" s="261"/>
      <c r="J620" s="261"/>
      <c r="K620" s="261"/>
      <c r="L620" s="261"/>
      <c r="M620" s="261"/>
      <c r="N620" s="261"/>
      <c r="O620" s="261"/>
      <c r="P620" s="261"/>
      <c r="Q620" s="261"/>
      <c r="R620" s="261"/>
      <c r="S620" s="261"/>
      <c r="T620" s="261"/>
      <c r="U620" s="261"/>
      <c r="V620" s="762"/>
      <c r="W620" s="261"/>
      <c r="X620" s="261"/>
      <c r="Y620" s="264">
        <f>IF(NFI_Expiration=1,IF($A620&lt;VLOOKUP(H$5,NFI,5,0),1,0)*Table_NFI[[#This Row],[Hygiene Kit]],Table_NFI[Hygiene Kit])</f>
        <v>0</v>
      </c>
      <c r="Z620" s="264">
        <f>IF(NFI_Expiration=1,IF($A620&lt;VLOOKUP(I$5,NFI,5,0),1,0)*Table_NFI[[#This Row],[NFI Core Kit]],Table_NFI[NFI Core Kit])</f>
        <v>0</v>
      </c>
      <c r="AA620" s="264">
        <f>IF(NFI_Expiration=1,IF($A620&lt;VLOOKUP(J$5,NFI,5,0),1,0)*Table_NFI[[#This Row],[Sanitary Kit]],Table_NFI[Sanitary Kit])</f>
        <v>0</v>
      </c>
      <c r="AB620" s="264">
        <f>IF(NFI_Expiration=1,IF($A620&lt;VLOOKUP(K$5,NFI,5,0),1,0)*Table_NFI[[#This Row],[Mosquito net]],Table_NFI[Mosquito net])</f>
        <v>0</v>
      </c>
      <c r="AC620" s="264">
        <f>IF(NFI_Expiration=1,IF($A620&lt;VLOOKUP(L$5,NFI,5,0),1,0)*Table_NFI[[#This Row],[Tarpaulin]],Table_NFI[[#This Row],[Tarpaulin]])</f>
        <v>0</v>
      </c>
      <c r="AD620" s="264">
        <f>IF(NFI_Expiration=1,IF($A620&lt;VLOOKUP(M$5,NFI,5,0),1,0)*Table_NFI[[#This Row],[Blanket]],Table_NFI[[#This Row],[Blanket]])</f>
        <v>0</v>
      </c>
      <c r="AE620" s="264">
        <f>IF(NFI_Expiration=1,IF($A620&lt;VLOOKUP(N$5,NFI,5,0),1,0)*Table_NFI[[#This Row],[Kitchen Set]],Table_NFI[Kitchen Set])</f>
        <v>0</v>
      </c>
      <c r="AF620" s="264">
        <f>IF(NFI_Expiration=1,IF($A620&lt;VLOOKUP(O$5,NFI,5,0),1,0)*Table_NFI[[#This Row],[Clothes Kit]],Table_NFI[Clothes Kit])</f>
        <v>0</v>
      </c>
      <c r="AG620" s="264">
        <f>IF(NFI_Expiration=1,IF($A620&lt;VLOOKUP(P$5,NFI,5,0),1,0)*Table_NFI[[#This Row],[Plastic Bucket]],Table_NFI[Plastic Bucket])</f>
        <v>0</v>
      </c>
      <c r="AH620" s="264">
        <f>IF(NFI_Expiration=1,IF($A620&lt;VLOOKUP(Q$5,NFI,5,0),1,0)*Table_NFI[[#This Row],[Plastic Mat]],Table_NFI[Plastic Mat])*IF(Table_NFI[[#This Row],[Distribution Date]]&gt;"2014-04-01",1,2.5)</f>
        <v>0</v>
      </c>
      <c r="AI620" s="264">
        <f>IF(NFI_Expiration=1,IF($A620&lt;VLOOKUP(R$5,NFI,5,0),1,0)*Table_NFI[[#This Row],[Winter Clothes Adult]],Table_NFI[Winter Clothes Adult])</f>
        <v>0</v>
      </c>
      <c r="AJ620" s="264">
        <f>IF(NFI_Expiration=1,IF($A620&lt;VLOOKUP(S$5,NFI,5,0),1,0)*Table_NFI[[#This Row],[Winter Clothes Children]],Table_NFI[Winter Clothes Children])</f>
        <v>0</v>
      </c>
      <c r="AK620" s="264">
        <f>IF(NFI_Expiration=1,IF($A620&lt;VLOOKUP(T$5,NFI,5,0),1,0)*Table_NFI[[#This Row],[Winter Items Other]],Table_NFI[Winter Items Other])</f>
        <v>0</v>
      </c>
      <c r="AL620" s="264">
        <f>IF(NFI_Expiration=1,IF($A620&lt;VLOOKUP(M$5,NFI,5,0),1,0)*Table_NFI[[#This Row],[Winter Blanket]],Table_NFI[[#This Row],[Winter Blanket]])</f>
        <v>0</v>
      </c>
      <c r="AM620" s="264">
        <f>IF(Table_NFI[[#This Row],[Winter Clothes Adult]]+Table_NFI[[#This Row],[Winter Clothes Children]]+Table_NFI[[#This Row],[Winter Items Other]]+Table_NFI[[#This Row],[Winter Blanket]]&gt;0,1,0)</f>
        <v>0</v>
      </c>
      <c r="AN620" s="296">
        <f>IF(NFI_Expiration=1,IF($A620&lt;VLOOKUP(V$5,NFI,5,0),1,0)*Table_NFI[[#This Row],[Jerry Can]],Table_NFI[Jerry Can])</f>
        <v>0</v>
      </c>
      <c r="AO620" s="296">
        <f>IF(NFI_Expiration=1,IF($A620&lt;VLOOKUP(V$5,NFI,5,0),1,0)*Table_NFI[[#This Row],[Shelter Tool kit]],Table_NFI[Shelter Tool kit])</f>
        <v>0</v>
      </c>
      <c r="AP620" s="296">
        <f>IF(NFI_Expiration=1,IF($A620&lt;VLOOKUP(V$5,NFI,5,0),1,0)*Table_NFI[[#This Row],[Tent]],Table_NFI[Tent])</f>
        <v>0</v>
      </c>
      <c r="AQ620" s="396" t="str">
        <f>IFERROR(VLOOKUP(Table_NFI[[#This Row],[Camp Name]],CL,2,0),"")</f>
        <v>MMR001CMP030</v>
      </c>
      <c r="AR620" s="702">
        <f ca="1">IF(Table_NFI[[#This Row],[Pcode]]="","",IF(OFFSET(CampList[Opening Date],MATCH(Table_NFI[[#This Row],[Pcode]],CampList[CP_Pcode],0)-1,0,1,1)&gt;=NFI_Monitor_Date,1,0))</f>
        <v>0</v>
      </c>
      <c r="AS620" s="396" t="str">
        <f>IFERROR(VLOOKUP(Table_NFI[[#This Row],[Camp Name]],CL,3,0),"")</f>
        <v>Open</v>
      </c>
      <c r="AT620" s="264" t="str">
        <f ca="1">IF(Table_NFI[[#This Row],[Pcode]]="","",OFFSET(CampList[Priority],MATCH(Table_NFI[[#This Row],[Pcode]],CampList[CP_Pcode],0)-1,0,1,1))</f>
        <v>P4</v>
      </c>
      <c r="AU620" s="263">
        <f>IFERROR(Table_NFI[[#This Row],[Kitchen Set]]/VLOOKUP(Table_NFI[[#This Row],[Camp Name]],CL,4,0),"")</f>
        <v>0</v>
      </c>
      <c r="AV620" s="390" t="s">
        <v>1087</v>
      </c>
      <c r="AW620" s="392"/>
      <c r="AX620" s="399"/>
      <c r="AY620" s="399"/>
      <c r="AZ620" s="399"/>
      <c r="BA620" s="399"/>
      <c r="BB620" s="399"/>
      <c r="BC620" s="399"/>
      <c r="BD620" s="399"/>
      <c r="BE620" s="399"/>
      <c r="BF620" s="399"/>
      <c r="BG620" s="399"/>
      <c r="BH620" s="399"/>
      <c r="BI620" s="399"/>
      <c r="BJ620" s="399"/>
      <c r="BK620" s="399"/>
      <c r="BL620" s="399"/>
      <c r="BM620" s="399"/>
      <c r="BN620" s="399"/>
      <c r="BO620" s="399"/>
      <c r="BP620" s="399"/>
      <c r="BQ620" s="399"/>
      <c r="BR620" s="399"/>
      <c r="BS620" s="399"/>
      <c r="BT620" s="399"/>
      <c r="BU620" s="399"/>
      <c r="BV620" s="399"/>
      <c r="BW620" s="399"/>
      <c r="BX620" s="399"/>
      <c r="BY620" s="399"/>
      <c r="BZ620" s="399"/>
      <c r="CA620" s="399"/>
      <c r="CB620" s="399"/>
      <c r="CC620" s="399"/>
      <c r="CD620" s="399"/>
      <c r="CE620" s="399"/>
      <c r="CF620" s="399"/>
      <c r="CG620" s="399"/>
      <c r="CH620" s="399"/>
      <c r="CI620" s="399"/>
      <c r="CJ620" s="399"/>
      <c r="CK620" s="399"/>
      <c r="CL620" s="399"/>
      <c r="CM620" s="399"/>
      <c r="CN620" s="399"/>
      <c r="CO620" s="399"/>
      <c r="CP620" s="399"/>
      <c r="CQ620" s="399"/>
      <c r="CR620" s="399"/>
      <c r="CS620" s="399"/>
      <c r="CT620" s="399"/>
      <c r="CU620" s="399"/>
      <c r="CV620" s="399"/>
      <c r="CW620" s="399"/>
      <c r="CX620" s="399"/>
      <c r="CY620" s="399"/>
      <c r="CZ620" s="399"/>
      <c r="DA620" s="399"/>
      <c r="DB620" s="399"/>
      <c r="DC620" s="399"/>
      <c r="DD620" s="399"/>
      <c r="DE620" s="399"/>
      <c r="DF620" s="399"/>
      <c r="DG620" s="399"/>
      <c r="DH620" s="399"/>
      <c r="DI620" s="399"/>
      <c r="DJ620" s="399"/>
      <c r="DK620" s="399"/>
      <c r="DL620" s="399"/>
      <c r="DM620" s="399"/>
      <c r="DN620" s="399"/>
      <c r="DO620" s="399"/>
      <c r="DP620" s="399"/>
      <c r="DQ620" s="399"/>
    </row>
    <row r="621" spans="1:121" s="760" customFormat="1" ht="14.45" customHeight="1" x14ac:dyDescent="0.25">
      <c r="A621" s="266">
        <f t="shared" si="9"/>
        <v>41.6</v>
      </c>
      <c r="B621" s="389">
        <v>41608</v>
      </c>
      <c r="C621" s="390" t="s">
        <v>904</v>
      </c>
      <c r="D621" s="390" t="s">
        <v>459</v>
      </c>
      <c r="E621" s="390" t="s">
        <v>380</v>
      </c>
      <c r="F621" s="262" t="s">
        <v>310</v>
      </c>
      <c r="G621" s="262" t="s">
        <v>351</v>
      </c>
      <c r="H621" s="261"/>
      <c r="I621" s="261"/>
      <c r="J621" s="261"/>
      <c r="K621" s="261"/>
      <c r="L621" s="261"/>
      <c r="M621" s="261"/>
      <c r="N621" s="261"/>
      <c r="O621" s="261"/>
      <c r="P621" s="261"/>
      <c r="Q621" s="261"/>
      <c r="R621" s="261"/>
      <c r="S621" s="261"/>
      <c r="T621" s="261"/>
      <c r="U621" s="261"/>
      <c r="V621" s="762"/>
      <c r="W621" s="261"/>
      <c r="X621" s="261"/>
      <c r="Y621" s="264">
        <f>IF(NFI_Expiration=1,IF($A621&lt;VLOOKUP(H$5,NFI,5,0),1,0)*Table_NFI[[#This Row],[Hygiene Kit]],Table_NFI[Hygiene Kit])</f>
        <v>0</v>
      </c>
      <c r="Z621" s="264">
        <f>IF(NFI_Expiration=1,IF($A621&lt;VLOOKUP(I$5,NFI,5,0),1,0)*Table_NFI[[#This Row],[NFI Core Kit]],Table_NFI[NFI Core Kit])</f>
        <v>0</v>
      </c>
      <c r="AA621" s="264">
        <f>IF(NFI_Expiration=1,IF($A621&lt;VLOOKUP(J$5,NFI,5,0),1,0)*Table_NFI[[#This Row],[Sanitary Kit]],Table_NFI[Sanitary Kit])</f>
        <v>0</v>
      </c>
      <c r="AB621" s="264">
        <f>IF(NFI_Expiration=1,IF($A621&lt;VLOOKUP(K$5,NFI,5,0),1,0)*Table_NFI[[#This Row],[Mosquito net]],Table_NFI[Mosquito net])</f>
        <v>0</v>
      </c>
      <c r="AC621" s="264">
        <f>IF(NFI_Expiration=1,IF($A621&lt;VLOOKUP(L$5,NFI,5,0),1,0)*Table_NFI[[#This Row],[Tarpaulin]],Table_NFI[[#This Row],[Tarpaulin]])</f>
        <v>0</v>
      </c>
      <c r="AD621" s="264">
        <f>IF(NFI_Expiration=1,IF($A621&lt;VLOOKUP(M$5,NFI,5,0),1,0)*Table_NFI[[#This Row],[Blanket]],Table_NFI[[#This Row],[Blanket]])</f>
        <v>0</v>
      </c>
      <c r="AE621" s="264">
        <f>IF(NFI_Expiration=1,IF($A621&lt;VLOOKUP(N$5,NFI,5,0),1,0)*Table_NFI[[#This Row],[Kitchen Set]],Table_NFI[Kitchen Set])</f>
        <v>0</v>
      </c>
      <c r="AF621" s="264">
        <f>IF(NFI_Expiration=1,IF($A621&lt;VLOOKUP(O$5,NFI,5,0),1,0)*Table_NFI[[#This Row],[Clothes Kit]],Table_NFI[Clothes Kit])</f>
        <v>0</v>
      </c>
      <c r="AG621" s="264">
        <f>IF(NFI_Expiration=1,IF($A621&lt;VLOOKUP(P$5,NFI,5,0),1,0)*Table_NFI[[#This Row],[Plastic Bucket]],Table_NFI[Plastic Bucket])</f>
        <v>0</v>
      </c>
      <c r="AH621" s="264">
        <f>IF(NFI_Expiration=1,IF($A621&lt;VLOOKUP(Q$5,NFI,5,0),1,0)*Table_NFI[[#This Row],[Plastic Mat]],Table_NFI[Plastic Mat])*IF(Table_NFI[[#This Row],[Distribution Date]]&gt;"2014-04-01",1,2.5)</f>
        <v>0</v>
      </c>
      <c r="AI621" s="264">
        <f>IF(NFI_Expiration=1,IF($A621&lt;VLOOKUP(R$5,NFI,5,0),1,0)*Table_NFI[[#This Row],[Winter Clothes Adult]],Table_NFI[Winter Clothes Adult])</f>
        <v>0</v>
      </c>
      <c r="AJ621" s="264">
        <f>IF(NFI_Expiration=1,IF($A621&lt;VLOOKUP(S$5,NFI,5,0),1,0)*Table_NFI[[#This Row],[Winter Clothes Children]],Table_NFI[Winter Clothes Children])</f>
        <v>0</v>
      </c>
      <c r="AK621" s="264">
        <f>IF(NFI_Expiration=1,IF($A621&lt;VLOOKUP(T$5,NFI,5,0),1,0)*Table_NFI[[#This Row],[Winter Items Other]],Table_NFI[Winter Items Other])</f>
        <v>0</v>
      </c>
      <c r="AL621" s="264">
        <f>IF(NFI_Expiration=1,IF($A621&lt;VLOOKUP(M$5,NFI,5,0),1,0)*Table_NFI[[#This Row],[Winter Blanket]],Table_NFI[[#This Row],[Winter Blanket]])</f>
        <v>0</v>
      </c>
      <c r="AM621" s="264">
        <f>IF(Table_NFI[[#This Row],[Winter Clothes Adult]]+Table_NFI[[#This Row],[Winter Clothes Children]]+Table_NFI[[#This Row],[Winter Items Other]]+Table_NFI[[#This Row],[Winter Blanket]]&gt;0,1,0)</f>
        <v>0</v>
      </c>
      <c r="AN621" s="296">
        <f>IF(NFI_Expiration=1,IF($A621&lt;VLOOKUP(V$5,NFI,5,0),1,0)*Table_NFI[[#This Row],[Jerry Can]],Table_NFI[Jerry Can])</f>
        <v>0</v>
      </c>
      <c r="AO621" s="296">
        <f>IF(NFI_Expiration=1,IF($A621&lt;VLOOKUP(V$5,NFI,5,0),1,0)*Table_NFI[[#This Row],[Shelter Tool kit]],Table_NFI[Shelter Tool kit])</f>
        <v>0</v>
      </c>
      <c r="AP621" s="296">
        <f>IF(NFI_Expiration=1,IF($A621&lt;VLOOKUP(V$5,NFI,5,0),1,0)*Table_NFI[[#This Row],[Tent]],Table_NFI[Tent])</f>
        <v>0</v>
      </c>
      <c r="AQ621" s="396" t="str">
        <f>IFERROR(VLOOKUP(Table_NFI[[#This Row],[Camp Name]],CL,2,0),"")</f>
        <v>MMR001CMP026</v>
      </c>
      <c r="AR621" s="702">
        <f ca="1">IF(Table_NFI[[#This Row],[Pcode]]="","",IF(OFFSET(CampList[Opening Date],MATCH(Table_NFI[[#This Row],[Pcode]],CampList[CP_Pcode],0)-1,0,1,1)&gt;=NFI_Monitor_Date,1,0))</f>
        <v>0</v>
      </c>
      <c r="AS621" s="396" t="str">
        <f>IFERROR(VLOOKUP(Table_NFI[[#This Row],[Camp Name]],CL,3,0),"")</f>
        <v>Open</v>
      </c>
      <c r="AT621" s="264" t="str">
        <f ca="1">IF(Table_NFI[[#This Row],[Pcode]]="","",OFFSET(CampList[Priority],MATCH(Table_NFI[[#This Row],[Pcode]],CampList[CP_Pcode],0)-1,0,1,1))</f>
        <v>P4</v>
      </c>
      <c r="AU621" s="263">
        <f>IFERROR(Table_NFI[[#This Row],[Kitchen Set]]/VLOOKUP(Table_NFI[[#This Row],[Camp Name]],CL,4,0),"")</f>
        <v>0</v>
      </c>
      <c r="AV621" s="390" t="s">
        <v>1087</v>
      </c>
      <c r="AW621" s="392"/>
      <c r="AX621" s="399"/>
      <c r="AY621" s="399"/>
      <c r="AZ621" s="399"/>
      <c r="BA621" s="399"/>
      <c r="BB621" s="399"/>
      <c r="BC621" s="399"/>
      <c r="BD621" s="399"/>
      <c r="BE621" s="399"/>
      <c r="BF621" s="399"/>
      <c r="BG621" s="399"/>
      <c r="BH621" s="399"/>
      <c r="BI621" s="399"/>
      <c r="BJ621" s="399"/>
      <c r="BK621" s="399"/>
      <c r="BL621" s="399"/>
      <c r="BM621" s="399"/>
      <c r="BN621" s="399"/>
      <c r="BO621" s="399"/>
      <c r="BP621" s="399"/>
      <c r="BQ621" s="399"/>
      <c r="BR621" s="399"/>
      <c r="BS621" s="399"/>
      <c r="BT621" s="399"/>
      <c r="BU621" s="399"/>
      <c r="BV621" s="399"/>
      <c r="BW621" s="399"/>
      <c r="BX621" s="399"/>
      <c r="BY621" s="399"/>
      <c r="BZ621" s="399"/>
      <c r="CA621" s="399"/>
      <c r="CB621" s="399"/>
      <c r="CC621" s="399"/>
      <c r="CD621" s="399"/>
      <c r="CE621" s="399"/>
      <c r="CF621" s="399"/>
      <c r="CG621" s="399"/>
      <c r="CH621" s="399"/>
      <c r="CI621" s="399"/>
      <c r="CJ621" s="399"/>
      <c r="CK621" s="399"/>
      <c r="CL621" s="399"/>
      <c r="CM621" s="399"/>
      <c r="CN621" s="399"/>
      <c r="CO621" s="399"/>
      <c r="CP621" s="399"/>
      <c r="CQ621" s="399"/>
      <c r="CR621" s="399"/>
      <c r="CS621" s="399"/>
      <c r="CT621" s="399"/>
      <c r="CU621" s="399"/>
      <c r="CV621" s="399"/>
      <c r="CW621" s="399"/>
      <c r="CX621" s="399"/>
      <c r="CY621" s="399"/>
      <c r="CZ621" s="399"/>
      <c r="DA621" s="399"/>
      <c r="DB621" s="399"/>
      <c r="DC621" s="399"/>
      <c r="DD621" s="399"/>
      <c r="DE621" s="399"/>
      <c r="DF621" s="399"/>
      <c r="DG621" s="399"/>
      <c r="DH621" s="399"/>
      <c r="DI621" s="399"/>
      <c r="DJ621" s="399"/>
      <c r="DK621" s="399"/>
      <c r="DL621" s="399"/>
      <c r="DM621" s="399"/>
      <c r="DN621" s="399"/>
      <c r="DO621" s="399"/>
      <c r="DP621" s="399"/>
      <c r="DQ621" s="399"/>
    </row>
    <row r="622" spans="1:121" s="760" customFormat="1" ht="14.45" customHeight="1" x14ac:dyDescent="0.25">
      <c r="A622" s="266">
        <f t="shared" si="9"/>
        <v>41.6</v>
      </c>
      <c r="B622" s="389">
        <v>41608</v>
      </c>
      <c r="C622" s="390" t="s">
        <v>904</v>
      </c>
      <c r="D622" s="390"/>
      <c r="E622" s="390" t="s">
        <v>380</v>
      </c>
      <c r="F622" s="262" t="s">
        <v>5</v>
      </c>
      <c r="G622" s="262" t="s">
        <v>22</v>
      </c>
      <c r="H622" s="261"/>
      <c r="I622" s="261"/>
      <c r="J622" s="261"/>
      <c r="K622" s="261"/>
      <c r="L622" s="261"/>
      <c r="M622" s="261"/>
      <c r="N622" s="261"/>
      <c r="O622" s="261"/>
      <c r="P622" s="261"/>
      <c r="Q622" s="261">
        <v>1164</v>
      </c>
      <c r="R622" s="261"/>
      <c r="S622" s="261"/>
      <c r="T622" s="261"/>
      <c r="U622" s="261"/>
      <c r="V622" s="762"/>
      <c r="W622" s="261"/>
      <c r="X622" s="261"/>
      <c r="Y622" s="264">
        <f>IF(NFI_Expiration=1,IF($A622&lt;VLOOKUP(H$5,NFI,5,0),1,0)*Table_NFI[[#This Row],[Hygiene Kit]],Table_NFI[Hygiene Kit])</f>
        <v>0</v>
      </c>
      <c r="Z622" s="264">
        <f>IF(NFI_Expiration=1,IF($A622&lt;VLOOKUP(I$5,NFI,5,0),1,0)*Table_NFI[[#This Row],[NFI Core Kit]],Table_NFI[NFI Core Kit])</f>
        <v>0</v>
      </c>
      <c r="AA622" s="264">
        <f>IF(NFI_Expiration=1,IF($A622&lt;VLOOKUP(J$5,NFI,5,0),1,0)*Table_NFI[[#This Row],[Sanitary Kit]],Table_NFI[Sanitary Kit])</f>
        <v>0</v>
      </c>
      <c r="AB622" s="264">
        <f>IF(NFI_Expiration=1,IF($A622&lt;VLOOKUP(K$5,NFI,5,0),1,0)*Table_NFI[[#This Row],[Mosquito net]],Table_NFI[Mosquito net])</f>
        <v>0</v>
      </c>
      <c r="AC622" s="264">
        <f>IF(NFI_Expiration=1,IF($A622&lt;VLOOKUP(L$5,NFI,5,0),1,0)*Table_NFI[[#This Row],[Tarpaulin]],Table_NFI[[#This Row],[Tarpaulin]])</f>
        <v>0</v>
      </c>
      <c r="AD622" s="264">
        <f>IF(NFI_Expiration=1,IF($A622&lt;VLOOKUP(M$5,NFI,5,0),1,0)*Table_NFI[[#This Row],[Blanket]],Table_NFI[[#This Row],[Blanket]])</f>
        <v>0</v>
      </c>
      <c r="AE622" s="264">
        <f>IF(NFI_Expiration=1,IF($A622&lt;VLOOKUP(N$5,NFI,5,0),1,0)*Table_NFI[[#This Row],[Kitchen Set]],Table_NFI[Kitchen Set])</f>
        <v>0</v>
      </c>
      <c r="AF622" s="264">
        <f>IF(NFI_Expiration=1,IF($A622&lt;VLOOKUP(O$5,NFI,5,0),1,0)*Table_NFI[[#This Row],[Clothes Kit]],Table_NFI[Clothes Kit])</f>
        <v>0</v>
      </c>
      <c r="AG622" s="264">
        <f>IF(NFI_Expiration=1,IF($A622&lt;VLOOKUP(P$5,NFI,5,0),1,0)*Table_NFI[[#This Row],[Plastic Bucket]],Table_NFI[Plastic Bucket])</f>
        <v>0</v>
      </c>
      <c r="AH622" s="264">
        <f>IF(NFI_Expiration=1,IF($A622&lt;VLOOKUP(Q$5,NFI,5,0),1,0)*Table_NFI[[#This Row],[Plastic Mat]],Table_NFI[Plastic Mat])*IF(Table_NFI[[#This Row],[Distribution Date]]&gt;"2014-04-01",1,2.5)</f>
        <v>0</v>
      </c>
      <c r="AI622" s="264">
        <f>IF(NFI_Expiration=1,IF($A622&lt;VLOOKUP(R$5,NFI,5,0),1,0)*Table_NFI[[#This Row],[Winter Clothes Adult]],Table_NFI[Winter Clothes Adult])</f>
        <v>0</v>
      </c>
      <c r="AJ622" s="264">
        <f>IF(NFI_Expiration=1,IF($A622&lt;VLOOKUP(S$5,NFI,5,0),1,0)*Table_NFI[[#This Row],[Winter Clothes Children]],Table_NFI[Winter Clothes Children])</f>
        <v>0</v>
      </c>
      <c r="AK622" s="264">
        <f>IF(NFI_Expiration=1,IF($A622&lt;VLOOKUP(T$5,NFI,5,0),1,0)*Table_NFI[[#This Row],[Winter Items Other]],Table_NFI[Winter Items Other])</f>
        <v>0</v>
      </c>
      <c r="AL622" s="264">
        <f>IF(NFI_Expiration=1,IF($A622&lt;VLOOKUP(M$5,NFI,5,0),1,0)*Table_NFI[[#This Row],[Winter Blanket]],Table_NFI[[#This Row],[Winter Blanket]])</f>
        <v>0</v>
      </c>
      <c r="AM622" s="264">
        <f>IF(Table_NFI[[#This Row],[Winter Clothes Adult]]+Table_NFI[[#This Row],[Winter Clothes Children]]+Table_NFI[[#This Row],[Winter Items Other]]+Table_NFI[[#This Row],[Winter Blanket]]&gt;0,1,0)</f>
        <v>0</v>
      </c>
      <c r="AN622" s="296">
        <f>IF(NFI_Expiration=1,IF($A622&lt;VLOOKUP(V$5,NFI,5,0),1,0)*Table_NFI[[#This Row],[Jerry Can]],Table_NFI[Jerry Can])</f>
        <v>0</v>
      </c>
      <c r="AO622" s="296">
        <f>IF(NFI_Expiration=1,IF($A622&lt;VLOOKUP(V$5,NFI,5,0),1,0)*Table_NFI[[#This Row],[Shelter Tool kit]],Table_NFI[Shelter Tool kit])</f>
        <v>0</v>
      </c>
      <c r="AP622" s="296">
        <f>IF(NFI_Expiration=1,IF($A622&lt;VLOOKUP(V$5,NFI,5,0),1,0)*Table_NFI[[#This Row],[Tent]],Table_NFI[Tent])</f>
        <v>0</v>
      </c>
      <c r="AQ622" s="396" t="str">
        <f>IFERROR(VLOOKUP(Table_NFI[[#This Row],[Camp Name]],CL,2,0),"")</f>
        <v>MMR001CMP047</v>
      </c>
      <c r="AR622" s="702">
        <f ca="1">IF(Table_NFI[[#This Row],[Pcode]]="","",IF(OFFSET(CampList[Opening Date],MATCH(Table_NFI[[#This Row],[Pcode]],CampList[CP_Pcode],0)-1,0,1,1)&gt;=NFI_Monitor_Date,1,0))</f>
        <v>0</v>
      </c>
      <c r="AS622" s="396" t="str">
        <f>IFERROR(VLOOKUP(Table_NFI[[#This Row],[Camp Name]],CL,3,0),"")</f>
        <v>Open</v>
      </c>
      <c r="AT622" s="264" t="str">
        <f ca="1">IF(Table_NFI[[#This Row],[Pcode]]="","",OFFSET(CampList[Priority],MATCH(Table_NFI[[#This Row],[Pcode]],CampList[CP_Pcode],0)-1,0,1,1))</f>
        <v>P4</v>
      </c>
      <c r="AU622" s="263">
        <f>IFERROR(Table_NFI[[#This Row],[Kitchen Set]]/VLOOKUP(Table_NFI[[#This Row],[Camp Name]],CL,4,0),"")</f>
        <v>0</v>
      </c>
      <c r="AV622" s="390" t="s">
        <v>1087</v>
      </c>
      <c r="AW622" s="392"/>
      <c r="AX622" s="399"/>
      <c r="AY622" s="399"/>
      <c r="AZ622" s="399"/>
      <c r="BA622" s="399"/>
      <c r="BB622" s="399"/>
      <c r="BC622" s="399"/>
      <c r="BD622" s="399"/>
      <c r="BE622" s="399"/>
      <c r="BF622" s="399"/>
      <c r="BG622" s="399"/>
      <c r="BH622" s="399"/>
      <c r="BI622" s="399"/>
      <c r="BJ622" s="399"/>
      <c r="BK622" s="399"/>
      <c r="BL622" s="399"/>
      <c r="BM622" s="399"/>
      <c r="BN622" s="399"/>
      <c r="BO622" s="399"/>
      <c r="BP622" s="399"/>
      <c r="BQ622" s="399"/>
      <c r="BR622" s="399"/>
      <c r="BS622" s="399"/>
      <c r="BT622" s="399"/>
      <c r="BU622" s="399"/>
      <c r="BV622" s="399"/>
      <c r="BW622" s="399"/>
      <c r="BX622" s="399"/>
      <c r="BY622" s="399"/>
      <c r="BZ622" s="399"/>
      <c r="CA622" s="399"/>
      <c r="CB622" s="399"/>
      <c r="CC622" s="399"/>
      <c r="CD622" s="399"/>
      <c r="CE622" s="399"/>
      <c r="CF622" s="399"/>
      <c r="CG622" s="399"/>
      <c r="CH622" s="399"/>
      <c r="CI622" s="399"/>
      <c r="CJ622" s="399"/>
      <c r="CK622" s="399"/>
      <c r="CL622" s="399"/>
      <c r="CM622" s="399"/>
      <c r="CN622" s="399"/>
      <c r="CO622" s="399"/>
      <c r="CP622" s="399"/>
      <c r="CQ622" s="399"/>
      <c r="CR622" s="399"/>
      <c r="CS622" s="399"/>
      <c r="CT622" s="399"/>
      <c r="CU622" s="399"/>
      <c r="CV622" s="399"/>
      <c r="CW622" s="399"/>
      <c r="CX622" s="399"/>
      <c r="CY622" s="399"/>
      <c r="CZ622" s="399"/>
      <c r="DA622" s="399"/>
      <c r="DB622" s="399"/>
      <c r="DC622" s="399"/>
      <c r="DD622" s="399"/>
      <c r="DE622" s="399"/>
      <c r="DF622" s="399"/>
      <c r="DG622" s="399"/>
      <c r="DH622" s="399"/>
      <c r="DI622" s="399"/>
      <c r="DJ622" s="399"/>
      <c r="DK622" s="399"/>
      <c r="DL622" s="399"/>
      <c r="DM622" s="399"/>
      <c r="DN622" s="399"/>
      <c r="DO622" s="399"/>
      <c r="DP622" s="399"/>
      <c r="DQ622" s="399"/>
    </row>
    <row r="623" spans="1:121" s="760" customFormat="1" ht="14.45" customHeight="1" x14ac:dyDescent="0.25">
      <c r="A623" s="266">
        <f t="shared" si="9"/>
        <v>41.6</v>
      </c>
      <c r="B623" s="389">
        <v>41608</v>
      </c>
      <c r="C623" s="390" t="s">
        <v>451</v>
      </c>
      <c r="D623" s="391" t="s">
        <v>451</v>
      </c>
      <c r="E623" s="390" t="s">
        <v>380</v>
      </c>
      <c r="F623" s="390" t="s">
        <v>5</v>
      </c>
      <c r="G623" s="262" t="s">
        <v>22</v>
      </c>
      <c r="H623" s="261"/>
      <c r="I623" s="261"/>
      <c r="J623" s="261"/>
      <c r="K623" s="261">
        <v>75</v>
      </c>
      <c r="L623" s="261">
        <v>36</v>
      </c>
      <c r="M623" s="261">
        <v>75</v>
      </c>
      <c r="N623" s="261">
        <v>36</v>
      </c>
      <c r="O623" s="261">
        <v>36</v>
      </c>
      <c r="P623" s="261"/>
      <c r="Q623" s="261"/>
      <c r="R623" s="261"/>
      <c r="S623" s="261"/>
      <c r="T623" s="261"/>
      <c r="U623" s="261"/>
      <c r="V623" s="762"/>
      <c r="W623" s="261"/>
      <c r="X623" s="261"/>
      <c r="Y623" s="264">
        <f>IF(NFI_Expiration=1,IF($A623&lt;VLOOKUP(H$5,NFI,5,0),1,0)*Table_NFI[[#This Row],[Hygiene Kit]],Table_NFI[Hygiene Kit])</f>
        <v>0</v>
      </c>
      <c r="Z623" s="264">
        <f>IF(NFI_Expiration=1,IF($A623&lt;VLOOKUP(I$5,NFI,5,0),1,0)*Table_NFI[[#This Row],[NFI Core Kit]],Table_NFI[NFI Core Kit])</f>
        <v>0</v>
      </c>
      <c r="AA623" s="264">
        <f>IF(NFI_Expiration=1,IF($A623&lt;VLOOKUP(J$5,NFI,5,0),1,0)*Table_NFI[[#This Row],[Sanitary Kit]],Table_NFI[Sanitary Kit])</f>
        <v>0</v>
      </c>
      <c r="AB623" s="264">
        <f>IF(NFI_Expiration=1,IF($A623&lt;VLOOKUP(K$5,NFI,5,0),1,0)*Table_NFI[[#This Row],[Mosquito net]],Table_NFI[Mosquito net])</f>
        <v>0</v>
      </c>
      <c r="AC623" s="264">
        <f>IF(NFI_Expiration=1,IF($A623&lt;VLOOKUP(L$5,NFI,5,0),1,0)*Table_NFI[[#This Row],[Tarpaulin]],Table_NFI[[#This Row],[Tarpaulin]])</f>
        <v>0</v>
      </c>
      <c r="AD623" s="264">
        <f>IF(NFI_Expiration=1,IF($A623&lt;VLOOKUP(M$5,NFI,5,0),1,0)*Table_NFI[[#This Row],[Blanket]],Table_NFI[[#This Row],[Blanket]])</f>
        <v>0</v>
      </c>
      <c r="AE623" s="264">
        <f>IF(NFI_Expiration=1,IF($A623&lt;VLOOKUP(N$5,NFI,5,0),1,0)*Table_NFI[[#This Row],[Kitchen Set]],Table_NFI[Kitchen Set])</f>
        <v>0</v>
      </c>
      <c r="AF623" s="264">
        <f>IF(NFI_Expiration=1,IF($A623&lt;VLOOKUP(O$5,NFI,5,0),1,0)*Table_NFI[[#This Row],[Clothes Kit]],Table_NFI[Clothes Kit])</f>
        <v>0</v>
      </c>
      <c r="AG623" s="264">
        <f>IF(NFI_Expiration=1,IF($A623&lt;VLOOKUP(P$5,NFI,5,0),1,0)*Table_NFI[[#This Row],[Plastic Bucket]],Table_NFI[Plastic Bucket])</f>
        <v>0</v>
      </c>
      <c r="AH623" s="264">
        <f>IF(NFI_Expiration=1,IF($A623&lt;VLOOKUP(Q$5,NFI,5,0),1,0)*Table_NFI[[#This Row],[Plastic Mat]],Table_NFI[Plastic Mat])*IF(Table_NFI[[#This Row],[Distribution Date]]&gt;"2014-04-01",1,2.5)</f>
        <v>0</v>
      </c>
      <c r="AI623" s="264">
        <f>IF(NFI_Expiration=1,IF($A623&lt;VLOOKUP(R$5,NFI,5,0),1,0)*Table_NFI[[#This Row],[Winter Clothes Adult]],Table_NFI[Winter Clothes Adult])</f>
        <v>0</v>
      </c>
      <c r="AJ623" s="264">
        <f>IF(NFI_Expiration=1,IF($A623&lt;VLOOKUP(S$5,NFI,5,0),1,0)*Table_NFI[[#This Row],[Winter Clothes Children]],Table_NFI[Winter Clothes Children])</f>
        <v>0</v>
      </c>
      <c r="AK623" s="264">
        <f>IF(NFI_Expiration=1,IF($A623&lt;VLOOKUP(T$5,NFI,5,0),1,0)*Table_NFI[[#This Row],[Winter Items Other]],Table_NFI[Winter Items Other])</f>
        <v>0</v>
      </c>
      <c r="AL623" s="264">
        <f>IF(NFI_Expiration=1,IF($A623&lt;VLOOKUP(M$5,NFI,5,0),1,0)*Table_NFI[[#This Row],[Winter Blanket]],Table_NFI[[#This Row],[Winter Blanket]])</f>
        <v>0</v>
      </c>
      <c r="AM623" s="264">
        <f>IF(Table_NFI[[#This Row],[Winter Clothes Adult]]+Table_NFI[[#This Row],[Winter Clothes Children]]+Table_NFI[[#This Row],[Winter Items Other]]+Table_NFI[[#This Row],[Winter Blanket]]&gt;0,1,0)</f>
        <v>0</v>
      </c>
      <c r="AN623" s="296">
        <f>IF(NFI_Expiration=1,IF($A623&lt;VLOOKUP(V$5,NFI,5,0),1,0)*Table_NFI[[#This Row],[Jerry Can]],Table_NFI[Jerry Can])</f>
        <v>0</v>
      </c>
      <c r="AO623" s="296">
        <f>IF(NFI_Expiration=1,IF($A623&lt;VLOOKUP(V$5,NFI,5,0),1,0)*Table_NFI[[#This Row],[Shelter Tool kit]],Table_NFI[Shelter Tool kit])</f>
        <v>0</v>
      </c>
      <c r="AP623" s="296">
        <f>IF(NFI_Expiration=1,IF($A623&lt;VLOOKUP(V$5,NFI,5,0),1,0)*Table_NFI[[#This Row],[Tent]],Table_NFI[Tent])</f>
        <v>0</v>
      </c>
      <c r="AQ623" s="396" t="str">
        <f>IFERROR(VLOOKUP(Table_NFI[[#This Row],[Camp Name]],CL,2,0),"")</f>
        <v>MMR001CMP047</v>
      </c>
      <c r="AR623" s="702">
        <f ca="1">IF(Table_NFI[[#This Row],[Pcode]]="","",IF(OFFSET(CampList[Opening Date],MATCH(Table_NFI[[#This Row],[Pcode]],CampList[CP_Pcode],0)-1,0,1,1)&gt;=NFI_Monitor_Date,1,0))</f>
        <v>0</v>
      </c>
      <c r="AS623" s="396" t="str">
        <f>IFERROR(VLOOKUP(Table_NFI[[#This Row],[Camp Name]],CL,3,0),"")</f>
        <v>Open</v>
      </c>
      <c r="AT623" s="264" t="str">
        <f ca="1">IF(Table_NFI[[#This Row],[Pcode]]="","",OFFSET(CampList[Priority],MATCH(Table_NFI[[#This Row],[Pcode]],CampList[CP_Pcode],0)-1,0,1,1))</f>
        <v>P4</v>
      </c>
      <c r="AU623" s="263">
        <f>IFERROR(Table_NFI[[#This Row],[Kitchen Set]]/VLOOKUP(Table_NFI[[#This Row],[Camp Name]],CL,4,0),"")</f>
        <v>8.8397790055248619E-4</v>
      </c>
      <c r="AV623" s="390" t="s">
        <v>1087</v>
      </c>
      <c r="AW623" s="392"/>
      <c r="AX623" s="399"/>
      <c r="AY623" s="399"/>
      <c r="AZ623" s="399"/>
      <c r="BA623" s="399"/>
      <c r="BB623" s="399"/>
      <c r="BC623" s="399"/>
      <c r="BD623" s="399"/>
      <c r="BE623" s="399"/>
      <c r="BF623" s="399"/>
      <c r="BG623" s="399"/>
      <c r="BH623" s="399"/>
      <c r="BI623" s="399"/>
      <c r="BJ623" s="399"/>
      <c r="BK623" s="399"/>
      <c r="BL623" s="399"/>
      <c r="BM623" s="399"/>
      <c r="BN623" s="399"/>
      <c r="BO623" s="399"/>
      <c r="BP623" s="399"/>
      <c r="BQ623" s="399"/>
      <c r="BR623" s="399"/>
      <c r="BS623" s="399"/>
      <c r="BT623" s="399"/>
      <c r="BU623" s="399"/>
      <c r="BV623" s="399"/>
      <c r="BW623" s="399"/>
      <c r="BX623" s="399"/>
      <c r="BY623" s="399"/>
      <c r="BZ623" s="399"/>
      <c r="CA623" s="399"/>
      <c r="CB623" s="399"/>
      <c r="CC623" s="399"/>
      <c r="CD623" s="399"/>
      <c r="CE623" s="399"/>
      <c r="CF623" s="399"/>
      <c r="CG623" s="399"/>
      <c r="CH623" s="399"/>
      <c r="CI623" s="399"/>
      <c r="CJ623" s="399"/>
      <c r="CK623" s="399"/>
      <c r="CL623" s="399"/>
      <c r="CM623" s="399"/>
      <c r="CN623" s="399"/>
      <c r="CO623" s="399"/>
      <c r="CP623" s="399"/>
      <c r="CQ623" s="399"/>
      <c r="CR623" s="399"/>
      <c r="CS623" s="399"/>
      <c r="CT623" s="399"/>
      <c r="CU623" s="399"/>
      <c r="CV623" s="399"/>
      <c r="CW623" s="399"/>
      <c r="CX623" s="399"/>
      <c r="CY623" s="399"/>
      <c r="CZ623" s="399"/>
      <c r="DA623" s="399"/>
      <c r="DB623" s="399"/>
      <c r="DC623" s="399"/>
      <c r="DD623" s="399"/>
      <c r="DE623" s="399"/>
      <c r="DF623" s="399"/>
      <c r="DG623" s="399"/>
      <c r="DH623" s="399"/>
      <c r="DI623" s="399"/>
      <c r="DJ623" s="399"/>
      <c r="DK623" s="399"/>
      <c r="DL623" s="399"/>
      <c r="DM623" s="399"/>
      <c r="DN623" s="399"/>
      <c r="DO623" s="399"/>
      <c r="DP623" s="399"/>
      <c r="DQ623" s="399"/>
    </row>
    <row r="624" spans="1:121" s="760" customFormat="1" ht="14.45" customHeight="1" x14ac:dyDescent="0.25">
      <c r="A624" s="266">
        <f t="shared" si="9"/>
        <v>41.6</v>
      </c>
      <c r="B624" s="389">
        <v>41608</v>
      </c>
      <c r="C624" s="390" t="s">
        <v>904</v>
      </c>
      <c r="D624" s="390"/>
      <c r="E624" s="390" t="s">
        <v>380</v>
      </c>
      <c r="F624" s="262" t="s">
        <v>185</v>
      </c>
      <c r="G624" s="262" t="s">
        <v>225</v>
      </c>
      <c r="H624" s="261"/>
      <c r="I624" s="261"/>
      <c r="J624" s="261"/>
      <c r="K624" s="261"/>
      <c r="L624" s="261"/>
      <c r="M624" s="261"/>
      <c r="N624" s="261"/>
      <c r="O624" s="261"/>
      <c r="P624" s="261"/>
      <c r="Q624" s="261">
        <v>99</v>
      </c>
      <c r="R624" s="261"/>
      <c r="S624" s="261"/>
      <c r="T624" s="261"/>
      <c r="U624" s="261"/>
      <c r="V624" s="762"/>
      <c r="W624" s="261"/>
      <c r="X624" s="261"/>
      <c r="Y624" s="264">
        <f>IF(NFI_Expiration=1,IF($A624&lt;VLOOKUP(H$5,NFI,5,0),1,0)*Table_NFI[[#This Row],[Hygiene Kit]],Table_NFI[Hygiene Kit])</f>
        <v>0</v>
      </c>
      <c r="Z624" s="264">
        <f>IF(NFI_Expiration=1,IF($A624&lt;VLOOKUP(I$5,NFI,5,0),1,0)*Table_NFI[[#This Row],[NFI Core Kit]],Table_NFI[NFI Core Kit])</f>
        <v>0</v>
      </c>
      <c r="AA624" s="264">
        <f>IF(NFI_Expiration=1,IF($A624&lt;VLOOKUP(J$5,NFI,5,0),1,0)*Table_NFI[[#This Row],[Sanitary Kit]],Table_NFI[Sanitary Kit])</f>
        <v>0</v>
      </c>
      <c r="AB624" s="264">
        <f>IF(NFI_Expiration=1,IF($A624&lt;VLOOKUP(K$5,NFI,5,0),1,0)*Table_NFI[[#This Row],[Mosquito net]],Table_NFI[Mosquito net])</f>
        <v>0</v>
      </c>
      <c r="AC624" s="264">
        <f>IF(NFI_Expiration=1,IF($A624&lt;VLOOKUP(L$5,NFI,5,0),1,0)*Table_NFI[[#This Row],[Tarpaulin]],Table_NFI[[#This Row],[Tarpaulin]])</f>
        <v>0</v>
      </c>
      <c r="AD624" s="264">
        <f>IF(NFI_Expiration=1,IF($A624&lt;VLOOKUP(M$5,NFI,5,0),1,0)*Table_NFI[[#This Row],[Blanket]],Table_NFI[[#This Row],[Blanket]])</f>
        <v>0</v>
      </c>
      <c r="AE624" s="264">
        <f>IF(NFI_Expiration=1,IF($A624&lt;VLOOKUP(N$5,NFI,5,0),1,0)*Table_NFI[[#This Row],[Kitchen Set]],Table_NFI[Kitchen Set])</f>
        <v>0</v>
      </c>
      <c r="AF624" s="264">
        <f>IF(NFI_Expiration=1,IF($A624&lt;VLOOKUP(O$5,NFI,5,0),1,0)*Table_NFI[[#This Row],[Clothes Kit]],Table_NFI[Clothes Kit])</f>
        <v>0</v>
      </c>
      <c r="AG624" s="264">
        <f>IF(NFI_Expiration=1,IF($A624&lt;VLOOKUP(P$5,NFI,5,0),1,0)*Table_NFI[[#This Row],[Plastic Bucket]],Table_NFI[Plastic Bucket])</f>
        <v>0</v>
      </c>
      <c r="AH624" s="264">
        <f>IF(NFI_Expiration=1,IF($A624&lt;VLOOKUP(Q$5,NFI,5,0),1,0)*Table_NFI[[#This Row],[Plastic Mat]],Table_NFI[Plastic Mat])*IF(Table_NFI[[#This Row],[Distribution Date]]&gt;"2014-04-01",1,2.5)</f>
        <v>0</v>
      </c>
      <c r="AI624" s="264">
        <f>IF(NFI_Expiration=1,IF($A624&lt;VLOOKUP(R$5,NFI,5,0),1,0)*Table_NFI[[#This Row],[Winter Clothes Adult]],Table_NFI[Winter Clothes Adult])</f>
        <v>0</v>
      </c>
      <c r="AJ624" s="264">
        <f>IF(NFI_Expiration=1,IF($A624&lt;VLOOKUP(S$5,NFI,5,0),1,0)*Table_NFI[[#This Row],[Winter Clothes Children]],Table_NFI[Winter Clothes Children])</f>
        <v>0</v>
      </c>
      <c r="AK624" s="264">
        <f>IF(NFI_Expiration=1,IF($A624&lt;VLOOKUP(T$5,NFI,5,0),1,0)*Table_NFI[[#This Row],[Winter Items Other]],Table_NFI[Winter Items Other])</f>
        <v>0</v>
      </c>
      <c r="AL624" s="264">
        <f>IF(NFI_Expiration=1,IF($A624&lt;VLOOKUP(M$5,NFI,5,0),1,0)*Table_NFI[[#This Row],[Winter Blanket]],Table_NFI[[#This Row],[Winter Blanket]])</f>
        <v>0</v>
      </c>
      <c r="AM624" s="264">
        <f>IF(Table_NFI[[#This Row],[Winter Clothes Adult]]+Table_NFI[[#This Row],[Winter Clothes Children]]+Table_NFI[[#This Row],[Winter Items Other]]+Table_NFI[[#This Row],[Winter Blanket]]&gt;0,1,0)</f>
        <v>0</v>
      </c>
      <c r="AN624" s="296">
        <f>IF(NFI_Expiration=1,IF($A624&lt;VLOOKUP(V$5,NFI,5,0),1,0)*Table_NFI[[#This Row],[Jerry Can]],Table_NFI[Jerry Can])</f>
        <v>0</v>
      </c>
      <c r="AO624" s="296">
        <f>IF(NFI_Expiration=1,IF($A624&lt;VLOOKUP(V$5,NFI,5,0),1,0)*Table_NFI[[#This Row],[Shelter Tool kit]],Table_NFI[Shelter Tool kit])</f>
        <v>0</v>
      </c>
      <c r="AP624" s="296">
        <f>IF(NFI_Expiration=1,IF($A624&lt;VLOOKUP(V$5,NFI,5,0),1,0)*Table_NFI[[#This Row],[Tent]],Table_NFI[Tent])</f>
        <v>0</v>
      </c>
      <c r="AQ624" s="396" t="str">
        <f>IFERROR(VLOOKUP(Table_NFI[[#This Row],[Camp Name]],CL,2,0),"")</f>
        <v>MMR001CMP073</v>
      </c>
      <c r="AR624" s="702">
        <f ca="1">IF(Table_NFI[[#This Row],[Pcode]]="","",IF(OFFSET(CampList[Opening Date],MATCH(Table_NFI[[#This Row],[Pcode]],CampList[CP_Pcode],0)-1,0,1,1)&gt;=NFI_Monitor_Date,1,0))</f>
        <v>0</v>
      </c>
      <c r="AS624" s="396" t="str">
        <f>IFERROR(VLOOKUP(Table_NFI[[#This Row],[Camp Name]],CL,3,0),"")</f>
        <v>Open</v>
      </c>
      <c r="AT624" s="264" t="str">
        <f ca="1">IF(Table_NFI[[#This Row],[Pcode]]="","",OFFSET(CampList[Priority],MATCH(Table_NFI[[#This Row],[Pcode]],CampList[CP_Pcode],0)-1,0,1,1))</f>
        <v>P3</v>
      </c>
      <c r="AU624" s="263">
        <f>IFERROR(Table_NFI[[#This Row],[Kitchen Set]]/VLOOKUP(Table_NFI[[#This Row],[Camp Name]],CL,4,0),"")</f>
        <v>0</v>
      </c>
      <c r="AV624" s="390" t="s">
        <v>1087</v>
      </c>
      <c r="AW624" s="392"/>
      <c r="AX624" s="399"/>
      <c r="AY624" s="399"/>
      <c r="AZ624" s="399"/>
      <c r="BA624" s="399"/>
      <c r="BB624" s="399"/>
      <c r="BC624" s="399"/>
      <c r="BD624" s="399"/>
      <c r="BE624" s="399"/>
      <c r="BF624" s="399"/>
      <c r="BG624" s="399"/>
      <c r="BH624" s="399"/>
      <c r="BI624" s="399"/>
      <c r="BJ624" s="399"/>
      <c r="BK624" s="399"/>
      <c r="BL624" s="399"/>
      <c r="BM624" s="399"/>
      <c r="BN624" s="399"/>
      <c r="BO624" s="399"/>
      <c r="BP624" s="399"/>
      <c r="BQ624" s="399"/>
      <c r="BR624" s="399"/>
      <c r="BS624" s="399"/>
      <c r="BT624" s="399"/>
      <c r="BU624" s="399"/>
      <c r="BV624" s="399"/>
      <c r="BW624" s="399"/>
      <c r="BX624" s="399"/>
      <c r="BY624" s="399"/>
      <c r="BZ624" s="399"/>
      <c r="CA624" s="399"/>
      <c r="CB624" s="399"/>
      <c r="CC624" s="399"/>
      <c r="CD624" s="399"/>
      <c r="CE624" s="399"/>
      <c r="CF624" s="399"/>
      <c r="CG624" s="399"/>
      <c r="CH624" s="399"/>
      <c r="CI624" s="399"/>
      <c r="CJ624" s="399"/>
      <c r="CK624" s="399"/>
      <c r="CL624" s="399"/>
      <c r="CM624" s="399"/>
      <c r="CN624" s="399"/>
      <c r="CO624" s="399"/>
      <c r="CP624" s="399"/>
      <c r="CQ624" s="399"/>
      <c r="CR624" s="399"/>
      <c r="CS624" s="399"/>
      <c r="CT624" s="399"/>
      <c r="CU624" s="399"/>
      <c r="CV624" s="399"/>
      <c r="CW624" s="399"/>
      <c r="CX624" s="399"/>
      <c r="CY624" s="399"/>
      <c r="CZ624" s="399"/>
      <c r="DA624" s="399"/>
      <c r="DB624" s="399"/>
      <c r="DC624" s="399"/>
      <c r="DD624" s="399"/>
      <c r="DE624" s="399"/>
      <c r="DF624" s="399"/>
      <c r="DG624" s="399"/>
      <c r="DH624" s="399"/>
      <c r="DI624" s="399"/>
      <c r="DJ624" s="399"/>
      <c r="DK624" s="399"/>
      <c r="DL624" s="399"/>
      <c r="DM624" s="399"/>
      <c r="DN624" s="399"/>
      <c r="DO624" s="399"/>
      <c r="DP624" s="399"/>
      <c r="DQ624" s="399"/>
    </row>
    <row r="625" spans="1:121" s="393" customFormat="1" ht="14.45" customHeight="1" x14ac:dyDescent="0.25">
      <c r="A625" s="266">
        <f t="shared" si="9"/>
        <v>41.6</v>
      </c>
      <c r="B625" s="389">
        <v>41608</v>
      </c>
      <c r="C625" s="390" t="s">
        <v>904</v>
      </c>
      <c r="D625" s="390" t="s">
        <v>459</v>
      </c>
      <c r="E625" s="390" t="s">
        <v>380</v>
      </c>
      <c r="F625" s="262" t="s">
        <v>310</v>
      </c>
      <c r="G625" s="262" t="s">
        <v>347</v>
      </c>
      <c r="H625" s="261"/>
      <c r="I625" s="261"/>
      <c r="J625" s="261"/>
      <c r="K625" s="261"/>
      <c r="L625" s="261"/>
      <c r="M625" s="261"/>
      <c r="N625" s="261"/>
      <c r="O625" s="261"/>
      <c r="P625" s="261"/>
      <c r="Q625" s="261"/>
      <c r="R625" s="261"/>
      <c r="S625" s="261"/>
      <c r="T625" s="261"/>
      <c r="U625" s="261"/>
      <c r="V625" s="762"/>
      <c r="W625" s="261"/>
      <c r="X625" s="261"/>
      <c r="Y625" s="264">
        <f>IF(NFI_Expiration=1,IF($A625&lt;VLOOKUP(H$5,NFI,5,0),1,0)*Table_NFI[[#This Row],[Hygiene Kit]],Table_NFI[Hygiene Kit])</f>
        <v>0</v>
      </c>
      <c r="Z625" s="264">
        <f>IF(NFI_Expiration=1,IF($A625&lt;VLOOKUP(I$5,NFI,5,0),1,0)*Table_NFI[[#This Row],[NFI Core Kit]],Table_NFI[NFI Core Kit])</f>
        <v>0</v>
      </c>
      <c r="AA625" s="264">
        <f>IF(NFI_Expiration=1,IF($A625&lt;VLOOKUP(J$5,NFI,5,0),1,0)*Table_NFI[[#This Row],[Sanitary Kit]],Table_NFI[Sanitary Kit])</f>
        <v>0</v>
      </c>
      <c r="AB625" s="264">
        <f>IF(NFI_Expiration=1,IF($A625&lt;VLOOKUP(K$5,NFI,5,0),1,0)*Table_NFI[[#This Row],[Mosquito net]],Table_NFI[Mosquito net])</f>
        <v>0</v>
      </c>
      <c r="AC625" s="264">
        <f>IF(NFI_Expiration=1,IF($A625&lt;VLOOKUP(L$5,NFI,5,0),1,0)*Table_NFI[[#This Row],[Tarpaulin]],Table_NFI[[#This Row],[Tarpaulin]])</f>
        <v>0</v>
      </c>
      <c r="AD625" s="264">
        <f>IF(NFI_Expiration=1,IF($A625&lt;VLOOKUP(M$5,NFI,5,0),1,0)*Table_NFI[[#This Row],[Blanket]],Table_NFI[[#This Row],[Blanket]])</f>
        <v>0</v>
      </c>
      <c r="AE625" s="264">
        <f>IF(NFI_Expiration=1,IF($A625&lt;VLOOKUP(N$5,NFI,5,0),1,0)*Table_NFI[[#This Row],[Kitchen Set]],Table_NFI[Kitchen Set])</f>
        <v>0</v>
      </c>
      <c r="AF625" s="264">
        <f>IF(NFI_Expiration=1,IF($A625&lt;VLOOKUP(O$5,NFI,5,0),1,0)*Table_NFI[[#This Row],[Clothes Kit]],Table_NFI[Clothes Kit])</f>
        <v>0</v>
      </c>
      <c r="AG625" s="264">
        <f>IF(NFI_Expiration=1,IF($A625&lt;VLOOKUP(P$5,NFI,5,0),1,0)*Table_NFI[[#This Row],[Plastic Bucket]],Table_NFI[Plastic Bucket])</f>
        <v>0</v>
      </c>
      <c r="AH625" s="264">
        <f>IF(NFI_Expiration=1,IF($A625&lt;VLOOKUP(Q$5,NFI,5,0),1,0)*Table_NFI[[#This Row],[Plastic Mat]],Table_NFI[Plastic Mat])*IF(Table_NFI[[#This Row],[Distribution Date]]&gt;"2014-04-01",1,2.5)</f>
        <v>0</v>
      </c>
      <c r="AI625" s="264">
        <f>IF(NFI_Expiration=1,IF($A625&lt;VLOOKUP(R$5,NFI,5,0),1,0)*Table_NFI[[#This Row],[Winter Clothes Adult]],Table_NFI[Winter Clothes Adult])</f>
        <v>0</v>
      </c>
      <c r="AJ625" s="264">
        <f>IF(NFI_Expiration=1,IF($A625&lt;VLOOKUP(S$5,NFI,5,0),1,0)*Table_NFI[[#This Row],[Winter Clothes Children]],Table_NFI[Winter Clothes Children])</f>
        <v>0</v>
      </c>
      <c r="AK625" s="264">
        <f>IF(NFI_Expiration=1,IF($A625&lt;VLOOKUP(T$5,NFI,5,0),1,0)*Table_NFI[[#This Row],[Winter Items Other]],Table_NFI[Winter Items Other])</f>
        <v>0</v>
      </c>
      <c r="AL625" s="264">
        <f>IF(NFI_Expiration=1,IF($A625&lt;VLOOKUP(M$5,NFI,5,0),1,0)*Table_NFI[[#This Row],[Winter Blanket]],Table_NFI[[#This Row],[Winter Blanket]])</f>
        <v>0</v>
      </c>
      <c r="AM625" s="264">
        <f>IF(Table_NFI[[#This Row],[Winter Clothes Adult]]+Table_NFI[[#This Row],[Winter Clothes Children]]+Table_NFI[[#This Row],[Winter Items Other]]+Table_NFI[[#This Row],[Winter Blanket]]&gt;0,1,0)</f>
        <v>0</v>
      </c>
      <c r="AN625" s="296">
        <f>IF(NFI_Expiration=1,IF($A625&lt;VLOOKUP(V$5,NFI,5,0),1,0)*Table_NFI[[#This Row],[Jerry Can]],Table_NFI[Jerry Can])</f>
        <v>0</v>
      </c>
      <c r="AO625" s="296">
        <f>IF(NFI_Expiration=1,IF($A625&lt;VLOOKUP(V$5,NFI,5,0),1,0)*Table_NFI[[#This Row],[Shelter Tool kit]],Table_NFI[Shelter Tool kit])</f>
        <v>0</v>
      </c>
      <c r="AP625" s="296">
        <f>IF(NFI_Expiration=1,IF($A625&lt;VLOOKUP(V$5,NFI,5,0),1,0)*Table_NFI[[#This Row],[Tent]],Table_NFI[Tent])</f>
        <v>0</v>
      </c>
      <c r="AQ625" s="396" t="str">
        <f>IFERROR(VLOOKUP(Table_NFI[[#This Row],[Camp Name]],CL,2,0),"")</f>
        <v>MMR001CMP041</v>
      </c>
      <c r="AR625" s="702">
        <f ca="1">IF(Table_NFI[[#This Row],[Pcode]]="","",IF(OFFSET(CampList[Opening Date],MATCH(Table_NFI[[#This Row],[Pcode]],CampList[CP_Pcode],0)-1,0,1,1)&gt;=NFI_Monitor_Date,1,0))</f>
        <v>0</v>
      </c>
      <c r="AS625" s="396" t="str">
        <f>IFERROR(VLOOKUP(Table_NFI[[#This Row],[Camp Name]],CL,3,0),"")</f>
        <v>Open</v>
      </c>
      <c r="AT625" s="264" t="str">
        <f ca="1">IF(Table_NFI[[#This Row],[Pcode]]="","",OFFSET(CampList[Priority],MATCH(Table_NFI[[#This Row],[Pcode]],CampList[CP_Pcode],0)-1,0,1,1))</f>
        <v>P1</v>
      </c>
      <c r="AU625" s="263">
        <f>IFERROR(Table_NFI[[#This Row],[Kitchen Set]]/VLOOKUP(Table_NFI[[#This Row],[Camp Name]],CL,4,0),"")</f>
        <v>0</v>
      </c>
      <c r="AV625" s="390" t="s">
        <v>1087</v>
      </c>
      <c r="AW625" s="392"/>
      <c r="AX625" s="399"/>
      <c r="AY625" s="399"/>
      <c r="AZ625" s="399"/>
      <c r="BA625" s="399"/>
      <c r="BB625" s="399"/>
      <c r="BC625" s="399"/>
      <c r="BD625" s="399"/>
      <c r="BE625" s="399"/>
      <c r="BF625" s="399"/>
      <c r="BG625" s="399"/>
      <c r="BH625" s="399"/>
      <c r="BI625" s="399"/>
      <c r="BJ625" s="399"/>
      <c r="BK625" s="399"/>
      <c r="BL625" s="399"/>
      <c r="BM625" s="399"/>
      <c r="BN625" s="399"/>
      <c r="BO625" s="399"/>
      <c r="BP625" s="399"/>
      <c r="BQ625" s="399"/>
      <c r="BR625" s="399"/>
      <c r="BS625" s="399"/>
      <c r="BT625" s="399"/>
      <c r="BU625" s="399"/>
      <c r="BV625" s="399"/>
      <c r="BW625" s="399"/>
      <c r="BX625" s="399"/>
      <c r="BY625" s="399"/>
      <c r="BZ625" s="399"/>
      <c r="CA625" s="399"/>
      <c r="CB625" s="399"/>
      <c r="CC625" s="399"/>
      <c r="CD625" s="399"/>
      <c r="CE625" s="399"/>
      <c r="CF625" s="399"/>
      <c r="CG625" s="399"/>
      <c r="CH625" s="399"/>
      <c r="CI625" s="399"/>
      <c r="CJ625" s="399"/>
      <c r="CK625" s="399"/>
      <c r="CL625" s="399"/>
      <c r="CM625" s="399"/>
      <c r="CN625" s="399"/>
      <c r="CO625" s="399"/>
      <c r="CP625" s="399"/>
      <c r="CQ625" s="399"/>
      <c r="CR625" s="399"/>
      <c r="CS625" s="399"/>
      <c r="CT625" s="399"/>
      <c r="CU625" s="399"/>
      <c r="CV625" s="399"/>
      <c r="CW625" s="399"/>
      <c r="CX625" s="399"/>
      <c r="CY625" s="399"/>
      <c r="CZ625" s="399"/>
      <c r="DA625" s="399"/>
      <c r="DB625" s="399"/>
      <c r="DC625" s="399"/>
      <c r="DD625" s="399"/>
      <c r="DE625" s="399"/>
      <c r="DF625" s="399"/>
      <c r="DG625" s="399"/>
      <c r="DH625" s="399"/>
      <c r="DI625" s="399"/>
      <c r="DJ625" s="399"/>
      <c r="DK625" s="399"/>
      <c r="DL625" s="399"/>
      <c r="DM625" s="399"/>
      <c r="DN625" s="399"/>
      <c r="DO625" s="399"/>
      <c r="DP625" s="399"/>
      <c r="DQ625" s="399"/>
    </row>
    <row r="626" spans="1:121" s="760" customFormat="1" ht="14.45" customHeight="1" x14ac:dyDescent="0.25">
      <c r="A626" s="266">
        <f t="shared" si="9"/>
        <v>41.6</v>
      </c>
      <c r="B626" s="389">
        <v>41608</v>
      </c>
      <c r="C626" s="390" t="s">
        <v>1092</v>
      </c>
      <c r="D626" s="391" t="s">
        <v>943</v>
      </c>
      <c r="E626" s="390" t="s">
        <v>380</v>
      </c>
      <c r="F626" s="262" t="s">
        <v>302</v>
      </c>
      <c r="G626" s="262" t="s">
        <v>306</v>
      </c>
      <c r="H626" s="261"/>
      <c r="I626" s="261"/>
      <c r="J626" s="261"/>
      <c r="K626" s="261"/>
      <c r="L626" s="261"/>
      <c r="M626" s="261">
        <v>197</v>
      </c>
      <c r="N626" s="261"/>
      <c r="O626" s="261"/>
      <c r="P626" s="261"/>
      <c r="Q626" s="261"/>
      <c r="R626" s="261">
        <v>226</v>
      </c>
      <c r="S626" s="261">
        <v>68</v>
      </c>
      <c r="T626" s="261">
        <v>0</v>
      </c>
      <c r="U626" s="261"/>
      <c r="V626" s="762"/>
      <c r="W626" s="261"/>
      <c r="X626" s="261"/>
      <c r="Y626" s="264">
        <f>IF(NFI_Expiration=1,IF($A626&lt;VLOOKUP(H$5,NFI,5,0),1,0)*Table_NFI[[#This Row],[Hygiene Kit]],Table_NFI[Hygiene Kit])</f>
        <v>0</v>
      </c>
      <c r="Z626" s="264">
        <f>IF(NFI_Expiration=1,IF($A626&lt;VLOOKUP(I$5,NFI,5,0),1,0)*Table_NFI[[#This Row],[NFI Core Kit]],Table_NFI[NFI Core Kit])</f>
        <v>0</v>
      </c>
      <c r="AA626" s="264">
        <f>IF(NFI_Expiration=1,IF($A626&lt;VLOOKUP(J$5,NFI,5,0),1,0)*Table_NFI[[#This Row],[Sanitary Kit]],Table_NFI[Sanitary Kit])</f>
        <v>0</v>
      </c>
      <c r="AB626" s="264">
        <f>IF(NFI_Expiration=1,IF($A626&lt;VLOOKUP(K$5,NFI,5,0),1,0)*Table_NFI[[#This Row],[Mosquito net]],Table_NFI[Mosquito net])</f>
        <v>0</v>
      </c>
      <c r="AC626" s="264">
        <f>IF(NFI_Expiration=1,IF($A626&lt;VLOOKUP(L$5,NFI,5,0),1,0)*Table_NFI[[#This Row],[Tarpaulin]],Table_NFI[[#This Row],[Tarpaulin]])</f>
        <v>0</v>
      </c>
      <c r="AD626" s="264">
        <f>IF(NFI_Expiration=1,IF($A626&lt;VLOOKUP(M$5,NFI,5,0),1,0)*Table_NFI[[#This Row],[Blanket]],Table_NFI[[#This Row],[Blanket]])</f>
        <v>0</v>
      </c>
      <c r="AE626" s="264">
        <f>IF(NFI_Expiration=1,IF($A626&lt;VLOOKUP(N$5,NFI,5,0),1,0)*Table_NFI[[#This Row],[Kitchen Set]],Table_NFI[Kitchen Set])</f>
        <v>0</v>
      </c>
      <c r="AF626" s="264">
        <f>IF(NFI_Expiration=1,IF($A626&lt;VLOOKUP(O$5,NFI,5,0),1,0)*Table_NFI[[#This Row],[Clothes Kit]],Table_NFI[Clothes Kit])</f>
        <v>0</v>
      </c>
      <c r="AG626" s="264">
        <f>IF(NFI_Expiration=1,IF($A626&lt;VLOOKUP(P$5,NFI,5,0),1,0)*Table_NFI[[#This Row],[Plastic Bucket]],Table_NFI[Plastic Bucket])</f>
        <v>0</v>
      </c>
      <c r="AH626" s="264">
        <f>IF(NFI_Expiration=1,IF($A626&lt;VLOOKUP(Q$5,NFI,5,0),1,0)*Table_NFI[[#This Row],[Plastic Mat]],Table_NFI[Plastic Mat])*IF(Table_NFI[[#This Row],[Distribution Date]]&gt;"2014-04-01",1,2.5)</f>
        <v>0</v>
      </c>
      <c r="AI626" s="264">
        <f>IF(NFI_Expiration=1,IF($A626&lt;VLOOKUP(R$5,NFI,5,0),1,0)*Table_NFI[[#This Row],[Winter Clothes Adult]],Table_NFI[Winter Clothes Adult])</f>
        <v>0</v>
      </c>
      <c r="AJ626" s="264">
        <f>IF(NFI_Expiration=1,IF($A626&lt;VLOOKUP(S$5,NFI,5,0),1,0)*Table_NFI[[#This Row],[Winter Clothes Children]],Table_NFI[Winter Clothes Children])</f>
        <v>0</v>
      </c>
      <c r="AK626" s="264">
        <f>IF(NFI_Expiration=1,IF($A626&lt;VLOOKUP(T$5,NFI,5,0),1,0)*Table_NFI[[#This Row],[Winter Items Other]],Table_NFI[Winter Items Other])</f>
        <v>0</v>
      </c>
      <c r="AL626" s="264">
        <f>IF(NFI_Expiration=1,IF($A626&lt;VLOOKUP(M$5,NFI,5,0),1,0)*Table_NFI[[#This Row],[Winter Blanket]],Table_NFI[[#This Row],[Winter Blanket]])</f>
        <v>0</v>
      </c>
      <c r="AM626" s="264">
        <f>IF(Table_NFI[[#This Row],[Winter Clothes Adult]]+Table_NFI[[#This Row],[Winter Clothes Children]]+Table_NFI[[#This Row],[Winter Items Other]]+Table_NFI[[#This Row],[Winter Blanket]]&gt;0,1,0)</f>
        <v>1</v>
      </c>
      <c r="AN626" s="296">
        <f>IF(NFI_Expiration=1,IF($A626&lt;VLOOKUP(V$5,NFI,5,0),1,0)*Table_NFI[[#This Row],[Jerry Can]],Table_NFI[Jerry Can])</f>
        <v>0</v>
      </c>
      <c r="AO626" s="296">
        <f>IF(NFI_Expiration=1,IF($A626&lt;VLOOKUP(V$5,NFI,5,0),1,0)*Table_NFI[[#This Row],[Shelter Tool kit]],Table_NFI[Shelter Tool kit])</f>
        <v>0</v>
      </c>
      <c r="AP626" s="296">
        <f>IF(NFI_Expiration=1,IF($A626&lt;VLOOKUP(V$5,NFI,5,0),1,0)*Table_NFI[[#This Row],[Tent]],Table_NFI[Tent])</f>
        <v>0</v>
      </c>
      <c r="AQ626" s="396" t="str">
        <f>IFERROR(VLOOKUP(Table_NFI[[#This Row],[Camp Name]],CL,2,0),"")</f>
        <v>MMR001CMP067</v>
      </c>
      <c r="AR626" s="702">
        <f ca="1">IF(Table_NFI[[#This Row],[Pcode]]="","",IF(OFFSET(CampList[Opening Date],MATCH(Table_NFI[[#This Row],[Pcode]],CampList[CP_Pcode],0)-1,0,1,1)&gt;=NFI_Monitor_Date,1,0))</f>
        <v>0</v>
      </c>
      <c r="AS626" s="396" t="str">
        <f>IFERROR(VLOOKUP(Table_NFI[[#This Row],[Camp Name]],CL,3,0),"")</f>
        <v>Open</v>
      </c>
      <c r="AT626" s="264" t="str">
        <f ca="1">IF(Table_NFI[[#This Row],[Pcode]]="","",OFFSET(CampList[Priority],MATCH(Table_NFI[[#This Row],[Pcode]],CampList[CP_Pcode],0)-1,0,1,1))</f>
        <v>P4</v>
      </c>
      <c r="AU626" s="263">
        <f>IFERROR(Table_NFI[[#This Row],[Kitchen Set]]/VLOOKUP(Table_NFI[[#This Row],[Camp Name]],CL,4,0),"")</f>
        <v>0</v>
      </c>
      <c r="AV626" s="390" t="s">
        <v>1087</v>
      </c>
      <c r="AW626" s="392"/>
      <c r="AX626" s="399"/>
      <c r="AY626" s="399"/>
      <c r="AZ626" s="399"/>
      <c r="BA626" s="399"/>
      <c r="BB626" s="399"/>
      <c r="BC626" s="399"/>
      <c r="BD626" s="399"/>
      <c r="BE626" s="399"/>
      <c r="BF626" s="399"/>
      <c r="BG626" s="399"/>
      <c r="BH626" s="399"/>
      <c r="BI626" s="399"/>
      <c r="BJ626" s="399"/>
      <c r="BK626" s="399"/>
      <c r="BL626" s="399"/>
      <c r="BM626" s="399"/>
      <c r="BN626" s="399"/>
      <c r="BO626" s="399"/>
      <c r="BP626" s="399"/>
      <c r="BQ626" s="399"/>
      <c r="BR626" s="399"/>
      <c r="BS626" s="399"/>
      <c r="BT626" s="399"/>
      <c r="BU626" s="399"/>
      <c r="BV626" s="399"/>
      <c r="BW626" s="399"/>
      <c r="BX626" s="399"/>
      <c r="BY626" s="399"/>
      <c r="BZ626" s="399"/>
      <c r="CA626" s="399"/>
      <c r="CB626" s="399"/>
      <c r="CC626" s="399"/>
      <c r="CD626" s="399"/>
      <c r="CE626" s="399"/>
      <c r="CF626" s="399"/>
      <c r="CG626" s="399"/>
      <c r="CH626" s="399"/>
      <c r="CI626" s="399"/>
      <c r="CJ626" s="399"/>
      <c r="CK626" s="399"/>
      <c r="CL626" s="399"/>
      <c r="CM626" s="399"/>
      <c r="CN626" s="399"/>
      <c r="CO626" s="399"/>
      <c r="CP626" s="399"/>
      <c r="CQ626" s="399"/>
      <c r="CR626" s="399"/>
      <c r="CS626" s="399"/>
      <c r="CT626" s="399"/>
      <c r="CU626" s="399"/>
      <c r="CV626" s="399"/>
      <c r="CW626" s="399"/>
      <c r="CX626" s="399"/>
      <c r="CY626" s="399"/>
      <c r="CZ626" s="399"/>
      <c r="DA626" s="399"/>
      <c r="DB626" s="399"/>
      <c r="DC626" s="399"/>
      <c r="DD626" s="399"/>
      <c r="DE626" s="399"/>
      <c r="DF626" s="399"/>
      <c r="DG626" s="399"/>
      <c r="DH626" s="399"/>
      <c r="DI626" s="399"/>
      <c r="DJ626" s="399"/>
      <c r="DK626" s="399"/>
      <c r="DL626" s="399"/>
      <c r="DM626" s="399"/>
      <c r="DN626" s="399"/>
      <c r="DO626" s="399"/>
      <c r="DP626" s="399"/>
      <c r="DQ626" s="399"/>
    </row>
    <row r="627" spans="1:121" s="760" customFormat="1" ht="14.45" customHeight="1" x14ac:dyDescent="0.25">
      <c r="A627" s="266">
        <f t="shared" si="9"/>
        <v>41.6</v>
      </c>
      <c r="B627" s="389">
        <v>41608</v>
      </c>
      <c r="C627" s="390" t="s">
        <v>904</v>
      </c>
      <c r="D627" s="390"/>
      <c r="E627" s="390" t="s">
        <v>380</v>
      </c>
      <c r="F627" s="262" t="s">
        <v>302</v>
      </c>
      <c r="G627" s="262" t="s">
        <v>306</v>
      </c>
      <c r="H627" s="261"/>
      <c r="I627" s="261"/>
      <c r="J627" s="261"/>
      <c r="K627" s="261"/>
      <c r="L627" s="261"/>
      <c r="M627" s="261"/>
      <c r="N627" s="261"/>
      <c r="O627" s="261"/>
      <c r="P627" s="261"/>
      <c r="Q627" s="261">
        <v>204</v>
      </c>
      <c r="R627" s="261"/>
      <c r="S627" s="261"/>
      <c r="T627" s="261"/>
      <c r="U627" s="261"/>
      <c r="V627" s="762"/>
      <c r="W627" s="261"/>
      <c r="X627" s="261"/>
      <c r="Y627" s="264">
        <f>IF(NFI_Expiration=1,IF($A627&lt;VLOOKUP(H$5,NFI,5,0),1,0)*Table_NFI[[#This Row],[Hygiene Kit]],Table_NFI[Hygiene Kit])</f>
        <v>0</v>
      </c>
      <c r="Z627" s="264">
        <f>IF(NFI_Expiration=1,IF($A627&lt;VLOOKUP(I$5,NFI,5,0),1,0)*Table_NFI[[#This Row],[NFI Core Kit]],Table_NFI[NFI Core Kit])</f>
        <v>0</v>
      </c>
      <c r="AA627" s="264">
        <f>IF(NFI_Expiration=1,IF($A627&lt;VLOOKUP(J$5,NFI,5,0),1,0)*Table_NFI[[#This Row],[Sanitary Kit]],Table_NFI[Sanitary Kit])</f>
        <v>0</v>
      </c>
      <c r="AB627" s="264">
        <f>IF(NFI_Expiration=1,IF($A627&lt;VLOOKUP(K$5,NFI,5,0),1,0)*Table_NFI[[#This Row],[Mosquito net]],Table_NFI[Mosquito net])</f>
        <v>0</v>
      </c>
      <c r="AC627" s="264">
        <f>IF(NFI_Expiration=1,IF($A627&lt;VLOOKUP(L$5,NFI,5,0),1,0)*Table_NFI[[#This Row],[Tarpaulin]],Table_NFI[[#This Row],[Tarpaulin]])</f>
        <v>0</v>
      </c>
      <c r="AD627" s="264">
        <f>IF(NFI_Expiration=1,IF($A627&lt;VLOOKUP(M$5,NFI,5,0),1,0)*Table_NFI[[#This Row],[Blanket]],Table_NFI[[#This Row],[Blanket]])</f>
        <v>0</v>
      </c>
      <c r="AE627" s="264">
        <f>IF(NFI_Expiration=1,IF($A627&lt;VLOOKUP(N$5,NFI,5,0),1,0)*Table_NFI[[#This Row],[Kitchen Set]],Table_NFI[Kitchen Set])</f>
        <v>0</v>
      </c>
      <c r="AF627" s="264">
        <f>IF(NFI_Expiration=1,IF($A627&lt;VLOOKUP(O$5,NFI,5,0),1,0)*Table_NFI[[#This Row],[Clothes Kit]],Table_NFI[Clothes Kit])</f>
        <v>0</v>
      </c>
      <c r="AG627" s="264">
        <f>IF(NFI_Expiration=1,IF($A627&lt;VLOOKUP(P$5,NFI,5,0),1,0)*Table_NFI[[#This Row],[Plastic Bucket]],Table_NFI[Plastic Bucket])</f>
        <v>0</v>
      </c>
      <c r="AH627" s="264">
        <f>IF(NFI_Expiration=1,IF($A627&lt;VLOOKUP(Q$5,NFI,5,0),1,0)*Table_NFI[[#This Row],[Plastic Mat]],Table_NFI[Plastic Mat])*IF(Table_NFI[[#This Row],[Distribution Date]]&gt;"2014-04-01",1,2.5)</f>
        <v>0</v>
      </c>
      <c r="AI627" s="264">
        <f>IF(NFI_Expiration=1,IF($A627&lt;VLOOKUP(R$5,NFI,5,0),1,0)*Table_NFI[[#This Row],[Winter Clothes Adult]],Table_NFI[Winter Clothes Adult])</f>
        <v>0</v>
      </c>
      <c r="AJ627" s="264">
        <f>IF(NFI_Expiration=1,IF($A627&lt;VLOOKUP(S$5,NFI,5,0),1,0)*Table_NFI[[#This Row],[Winter Clothes Children]],Table_NFI[Winter Clothes Children])</f>
        <v>0</v>
      </c>
      <c r="AK627" s="264">
        <f>IF(NFI_Expiration=1,IF($A627&lt;VLOOKUP(T$5,NFI,5,0),1,0)*Table_NFI[[#This Row],[Winter Items Other]],Table_NFI[Winter Items Other])</f>
        <v>0</v>
      </c>
      <c r="AL627" s="264">
        <f>IF(NFI_Expiration=1,IF($A627&lt;VLOOKUP(M$5,NFI,5,0),1,0)*Table_NFI[[#This Row],[Winter Blanket]],Table_NFI[[#This Row],[Winter Blanket]])</f>
        <v>0</v>
      </c>
      <c r="AM627" s="264">
        <f>IF(Table_NFI[[#This Row],[Winter Clothes Adult]]+Table_NFI[[#This Row],[Winter Clothes Children]]+Table_NFI[[#This Row],[Winter Items Other]]+Table_NFI[[#This Row],[Winter Blanket]]&gt;0,1,0)</f>
        <v>0</v>
      </c>
      <c r="AN627" s="296">
        <f>IF(NFI_Expiration=1,IF($A627&lt;VLOOKUP(V$5,NFI,5,0),1,0)*Table_NFI[[#This Row],[Jerry Can]],Table_NFI[Jerry Can])</f>
        <v>0</v>
      </c>
      <c r="AO627" s="296">
        <f>IF(NFI_Expiration=1,IF($A627&lt;VLOOKUP(V$5,NFI,5,0),1,0)*Table_NFI[[#This Row],[Shelter Tool kit]],Table_NFI[Shelter Tool kit])</f>
        <v>0</v>
      </c>
      <c r="AP627" s="296">
        <f>IF(NFI_Expiration=1,IF($A627&lt;VLOOKUP(V$5,NFI,5,0),1,0)*Table_NFI[[#This Row],[Tent]],Table_NFI[Tent])</f>
        <v>0</v>
      </c>
      <c r="AQ627" s="396" t="str">
        <f>IFERROR(VLOOKUP(Table_NFI[[#This Row],[Camp Name]],CL,2,0),"")</f>
        <v>MMR001CMP067</v>
      </c>
      <c r="AR627" s="702">
        <f ca="1">IF(Table_NFI[[#This Row],[Pcode]]="","",IF(OFFSET(CampList[Opening Date],MATCH(Table_NFI[[#This Row],[Pcode]],CampList[CP_Pcode],0)-1,0,1,1)&gt;=NFI_Monitor_Date,1,0))</f>
        <v>0</v>
      </c>
      <c r="AS627" s="396" t="str">
        <f>IFERROR(VLOOKUP(Table_NFI[[#This Row],[Camp Name]],CL,3,0),"")</f>
        <v>Open</v>
      </c>
      <c r="AT627" s="264" t="str">
        <f ca="1">IF(Table_NFI[[#This Row],[Pcode]]="","",OFFSET(CampList[Priority],MATCH(Table_NFI[[#This Row],[Pcode]],CampList[CP_Pcode],0)-1,0,1,1))</f>
        <v>P4</v>
      </c>
      <c r="AU627" s="263">
        <f>IFERROR(Table_NFI[[#This Row],[Kitchen Set]]/VLOOKUP(Table_NFI[[#This Row],[Camp Name]],CL,4,0),"")</f>
        <v>0</v>
      </c>
      <c r="AV627" s="390" t="s">
        <v>1087</v>
      </c>
      <c r="AW627" s="392"/>
      <c r="AX627" s="399"/>
      <c r="AY627" s="399"/>
      <c r="AZ627" s="399"/>
      <c r="BA627" s="399"/>
      <c r="BB627" s="399"/>
      <c r="BC627" s="399"/>
      <c r="BD627" s="399"/>
      <c r="BE627" s="399"/>
      <c r="BF627" s="399"/>
      <c r="BG627" s="399"/>
      <c r="BH627" s="399"/>
      <c r="BI627" s="399"/>
      <c r="BJ627" s="399"/>
      <c r="BK627" s="399"/>
      <c r="BL627" s="399"/>
      <c r="BM627" s="399"/>
      <c r="BN627" s="399"/>
      <c r="BO627" s="399"/>
      <c r="BP627" s="399"/>
      <c r="BQ627" s="399"/>
      <c r="BR627" s="399"/>
      <c r="BS627" s="399"/>
      <c r="BT627" s="399"/>
      <c r="BU627" s="399"/>
      <c r="BV627" s="399"/>
      <c r="BW627" s="399"/>
      <c r="BX627" s="399"/>
      <c r="BY627" s="399"/>
      <c r="BZ627" s="399"/>
      <c r="CA627" s="399"/>
      <c r="CB627" s="399"/>
      <c r="CC627" s="399"/>
      <c r="CD627" s="399"/>
      <c r="CE627" s="399"/>
      <c r="CF627" s="399"/>
      <c r="CG627" s="399"/>
      <c r="CH627" s="399"/>
      <c r="CI627" s="399"/>
      <c r="CJ627" s="399"/>
      <c r="CK627" s="399"/>
      <c r="CL627" s="399"/>
      <c r="CM627" s="399"/>
      <c r="CN627" s="399"/>
      <c r="CO627" s="399"/>
      <c r="CP627" s="399"/>
      <c r="CQ627" s="399"/>
      <c r="CR627" s="399"/>
      <c r="CS627" s="399"/>
      <c r="CT627" s="399"/>
      <c r="CU627" s="399"/>
      <c r="CV627" s="399"/>
      <c r="CW627" s="399"/>
      <c r="CX627" s="399"/>
      <c r="CY627" s="399"/>
      <c r="CZ627" s="399"/>
      <c r="DA627" s="399"/>
      <c r="DB627" s="399"/>
      <c r="DC627" s="399"/>
      <c r="DD627" s="399"/>
      <c r="DE627" s="399"/>
      <c r="DF627" s="399"/>
      <c r="DG627" s="399"/>
      <c r="DH627" s="399"/>
      <c r="DI627" s="399"/>
      <c r="DJ627" s="399"/>
      <c r="DK627" s="399"/>
      <c r="DL627" s="399"/>
      <c r="DM627" s="399"/>
      <c r="DN627" s="399"/>
      <c r="DO627" s="399"/>
      <c r="DP627" s="399"/>
      <c r="DQ627" s="399"/>
    </row>
    <row r="628" spans="1:121" s="760" customFormat="1" ht="14.45" customHeight="1" x14ac:dyDescent="0.25">
      <c r="A628" s="266">
        <f t="shared" si="9"/>
        <v>41.6</v>
      </c>
      <c r="B628" s="389">
        <v>41608</v>
      </c>
      <c r="C628" s="390" t="s">
        <v>1092</v>
      </c>
      <c r="D628" s="391" t="s">
        <v>943</v>
      </c>
      <c r="E628" s="390" t="s">
        <v>380</v>
      </c>
      <c r="F628" s="262" t="s">
        <v>302</v>
      </c>
      <c r="G628" s="262" t="s">
        <v>308</v>
      </c>
      <c r="H628" s="261"/>
      <c r="I628" s="261"/>
      <c r="J628" s="261"/>
      <c r="K628" s="261"/>
      <c r="L628" s="261"/>
      <c r="M628" s="261">
        <v>142</v>
      </c>
      <c r="N628" s="261"/>
      <c r="O628" s="261"/>
      <c r="P628" s="261"/>
      <c r="Q628" s="261"/>
      <c r="R628" s="261">
        <v>182</v>
      </c>
      <c r="S628" s="261">
        <v>60</v>
      </c>
      <c r="T628" s="261">
        <v>0</v>
      </c>
      <c r="U628" s="261"/>
      <c r="V628" s="762"/>
      <c r="W628" s="261"/>
      <c r="X628" s="261"/>
      <c r="Y628" s="264">
        <f>IF(NFI_Expiration=1,IF($A628&lt;VLOOKUP(H$5,NFI,5,0),1,0)*Table_NFI[[#This Row],[Hygiene Kit]],Table_NFI[Hygiene Kit])</f>
        <v>0</v>
      </c>
      <c r="Z628" s="264">
        <f>IF(NFI_Expiration=1,IF($A628&lt;VLOOKUP(I$5,NFI,5,0),1,0)*Table_NFI[[#This Row],[NFI Core Kit]],Table_NFI[NFI Core Kit])</f>
        <v>0</v>
      </c>
      <c r="AA628" s="264">
        <f>IF(NFI_Expiration=1,IF($A628&lt;VLOOKUP(J$5,NFI,5,0),1,0)*Table_NFI[[#This Row],[Sanitary Kit]],Table_NFI[Sanitary Kit])</f>
        <v>0</v>
      </c>
      <c r="AB628" s="264">
        <f>IF(NFI_Expiration=1,IF($A628&lt;VLOOKUP(K$5,NFI,5,0),1,0)*Table_NFI[[#This Row],[Mosquito net]],Table_NFI[Mosquito net])</f>
        <v>0</v>
      </c>
      <c r="AC628" s="264">
        <f>IF(NFI_Expiration=1,IF($A628&lt;VLOOKUP(L$5,NFI,5,0),1,0)*Table_NFI[[#This Row],[Tarpaulin]],Table_NFI[[#This Row],[Tarpaulin]])</f>
        <v>0</v>
      </c>
      <c r="AD628" s="264">
        <f>IF(NFI_Expiration=1,IF($A628&lt;VLOOKUP(M$5,NFI,5,0),1,0)*Table_NFI[[#This Row],[Blanket]],Table_NFI[[#This Row],[Blanket]])</f>
        <v>0</v>
      </c>
      <c r="AE628" s="264">
        <f>IF(NFI_Expiration=1,IF($A628&lt;VLOOKUP(N$5,NFI,5,0),1,0)*Table_NFI[[#This Row],[Kitchen Set]],Table_NFI[Kitchen Set])</f>
        <v>0</v>
      </c>
      <c r="AF628" s="264">
        <f>IF(NFI_Expiration=1,IF($A628&lt;VLOOKUP(O$5,NFI,5,0),1,0)*Table_NFI[[#This Row],[Clothes Kit]],Table_NFI[Clothes Kit])</f>
        <v>0</v>
      </c>
      <c r="AG628" s="264">
        <f>IF(NFI_Expiration=1,IF($A628&lt;VLOOKUP(P$5,NFI,5,0),1,0)*Table_NFI[[#This Row],[Plastic Bucket]],Table_NFI[Plastic Bucket])</f>
        <v>0</v>
      </c>
      <c r="AH628" s="264">
        <f>IF(NFI_Expiration=1,IF($A628&lt;VLOOKUP(Q$5,NFI,5,0),1,0)*Table_NFI[[#This Row],[Plastic Mat]],Table_NFI[Plastic Mat])*IF(Table_NFI[[#This Row],[Distribution Date]]&gt;"2014-04-01",1,2.5)</f>
        <v>0</v>
      </c>
      <c r="AI628" s="264">
        <f>IF(NFI_Expiration=1,IF($A628&lt;VLOOKUP(R$5,NFI,5,0),1,0)*Table_NFI[[#This Row],[Winter Clothes Adult]],Table_NFI[Winter Clothes Adult])</f>
        <v>0</v>
      </c>
      <c r="AJ628" s="264">
        <f>IF(NFI_Expiration=1,IF($A628&lt;VLOOKUP(S$5,NFI,5,0),1,0)*Table_NFI[[#This Row],[Winter Clothes Children]],Table_NFI[Winter Clothes Children])</f>
        <v>0</v>
      </c>
      <c r="AK628" s="264">
        <f>IF(NFI_Expiration=1,IF($A628&lt;VLOOKUP(T$5,NFI,5,0),1,0)*Table_NFI[[#This Row],[Winter Items Other]],Table_NFI[Winter Items Other])</f>
        <v>0</v>
      </c>
      <c r="AL628" s="264">
        <f>IF(NFI_Expiration=1,IF($A628&lt;VLOOKUP(M$5,NFI,5,0),1,0)*Table_NFI[[#This Row],[Winter Blanket]],Table_NFI[[#This Row],[Winter Blanket]])</f>
        <v>0</v>
      </c>
      <c r="AM628" s="264">
        <f>IF(Table_NFI[[#This Row],[Winter Clothes Adult]]+Table_NFI[[#This Row],[Winter Clothes Children]]+Table_NFI[[#This Row],[Winter Items Other]]+Table_NFI[[#This Row],[Winter Blanket]]&gt;0,1,0)</f>
        <v>1</v>
      </c>
      <c r="AN628" s="296">
        <f>IF(NFI_Expiration=1,IF($A628&lt;VLOOKUP(V$5,NFI,5,0),1,0)*Table_NFI[[#This Row],[Jerry Can]],Table_NFI[Jerry Can])</f>
        <v>0</v>
      </c>
      <c r="AO628" s="296">
        <f>IF(NFI_Expiration=1,IF($A628&lt;VLOOKUP(V$5,NFI,5,0),1,0)*Table_NFI[[#This Row],[Shelter Tool kit]],Table_NFI[Shelter Tool kit])</f>
        <v>0</v>
      </c>
      <c r="AP628" s="296">
        <f>IF(NFI_Expiration=1,IF($A628&lt;VLOOKUP(V$5,NFI,5,0),1,0)*Table_NFI[[#This Row],[Tent]],Table_NFI[Tent])</f>
        <v>0</v>
      </c>
      <c r="AQ628" s="396" t="str">
        <f>IFERROR(VLOOKUP(Table_NFI[[#This Row],[Camp Name]],CL,2,0),"")</f>
        <v>MMR001CMP068</v>
      </c>
      <c r="AR628" s="702">
        <f ca="1">IF(Table_NFI[[#This Row],[Pcode]]="","",IF(OFFSET(CampList[Opening Date],MATCH(Table_NFI[[#This Row],[Pcode]],CampList[CP_Pcode],0)-1,0,1,1)&gt;=NFI_Monitor_Date,1,0))</f>
        <v>0</v>
      </c>
      <c r="AS628" s="396" t="str">
        <f>IFERROR(VLOOKUP(Table_NFI[[#This Row],[Camp Name]],CL,3,0),"")</f>
        <v>Open</v>
      </c>
      <c r="AT628" s="264" t="str">
        <f ca="1">IF(Table_NFI[[#This Row],[Pcode]]="","",OFFSET(CampList[Priority],MATCH(Table_NFI[[#This Row],[Pcode]],CampList[CP_Pcode],0)-1,0,1,1))</f>
        <v>P4</v>
      </c>
      <c r="AU628" s="263">
        <f>IFERROR(Table_NFI[[#This Row],[Kitchen Set]]/VLOOKUP(Table_NFI[[#This Row],[Camp Name]],CL,4,0),"")</f>
        <v>0</v>
      </c>
      <c r="AV628" s="390" t="s">
        <v>1087</v>
      </c>
      <c r="AW628" s="392"/>
      <c r="AX628" s="399"/>
      <c r="AY628" s="399"/>
      <c r="AZ628" s="399"/>
      <c r="BA628" s="399"/>
      <c r="BB628" s="399"/>
      <c r="BC628" s="399"/>
      <c r="BD628" s="399"/>
      <c r="BE628" s="399"/>
      <c r="BF628" s="399"/>
      <c r="BG628" s="399"/>
      <c r="BH628" s="399"/>
      <c r="BI628" s="399"/>
      <c r="BJ628" s="399"/>
      <c r="BK628" s="399"/>
      <c r="BL628" s="399"/>
      <c r="BM628" s="399"/>
      <c r="BN628" s="399"/>
      <c r="BO628" s="399"/>
      <c r="BP628" s="399"/>
      <c r="BQ628" s="399"/>
      <c r="BR628" s="399"/>
      <c r="BS628" s="399"/>
      <c r="BT628" s="399"/>
      <c r="BU628" s="399"/>
      <c r="BV628" s="399"/>
      <c r="BW628" s="399"/>
      <c r="BX628" s="399"/>
      <c r="BY628" s="399"/>
      <c r="BZ628" s="399"/>
      <c r="CA628" s="399"/>
      <c r="CB628" s="399"/>
      <c r="CC628" s="399"/>
      <c r="CD628" s="399"/>
      <c r="CE628" s="399"/>
      <c r="CF628" s="399"/>
      <c r="CG628" s="399"/>
      <c r="CH628" s="399"/>
      <c r="CI628" s="399"/>
      <c r="CJ628" s="399"/>
      <c r="CK628" s="399"/>
      <c r="CL628" s="399"/>
      <c r="CM628" s="399"/>
      <c r="CN628" s="399"/>
      <c r="CO628" s="399"/>
      <c r="CP628" s="399"/>
      <c r="CQ628" s="399"/>
      <c r="CR628" s="399"/>
      <c r="CS628" s="399"/>
      <c r="CT628" s="399"/>
      <c r="CU628" s="399"/>
      <c r="CV628" s="399"/>
      <c r="CW628" s="399"/>
      <c r="CX628" s="399"/>
      <c r="CY628" s="399"/>
      <c r="CZ628" s="399"/>
      <c r="DA628" s="399"/>
      <c r="DB628" s="399"/>
      <c r="DC628" s="399"/>
      <c r="DD628" s="399"/>
      <c r="DE628" s="399"/>
      <c r="DF628" s="399"/>
      <c r="DG628" s="399"/>
      <c r="DH628" s="399"/>
      <c r="DI628" s="399"/>
      <c r="DJ628" s="399"/>
      <c r="DK628" s="399"/>
      <c r="DL628" s="399"/>
      <c r="DM628" s="399"/>
      <c r="DN628" s="399"/>
      <c r="DO628" s="399"/>
      <c r="DP628" s="399"/>
      <c r="DQ628" s="399"/>
    </row>
    <row r="629" spans="1:121" s="760" customFormat="1" ht="14.45" customHeight="1" x14ac:dyDescent="0.25">
      <c r="A629" s="266">
        <f t="shared" si="9"/>
        <v>41.6</v>
      </c>
      <c r="B629" s="389">
        <v>41608</v>
      </c>
      <c r="C629" s="390" t="s">
        <v>904</v>
      </c>
      <c r="D629" s="390"/>
      <c r="E629" s="390" t="s">
        <v>380</v>
      </c>
      <c r="F629" s="262" t="s">
        <v>302</v>
      </c>
      <c r="G629" s="262" t="s">
        <v>308</v>
      </c>
      <c r="H629" s="261"/>
      <c r="I629" s="261"/>
      <c r="J629" s="261"/>
      <c r="K629" s="261"/>
      <c r="L629" s="261"/>
      <c r="M629" s="261"/>
      <c r="N629" s="261"/>
      <c r="O629" s="261"/>
      <c r="P629" s="261"/>
      <c r="Q629" s="261">
        <v>126</v>
      </c>
      <c r="R629" s="261"/>
      <c r="S629" s="261"/>
      <c r="T629" s="261"/>
      <c r="U629" s="261"/>
      <c r="V629" s="762"/>
      <c r="W629" s="261"/>
      <c r="X629" s="261"/>
      <c r="Y629" s="264">
        <f>IF(NFI_Expiration=1,IF($A629&lt;VLOOKUP(H$5,NFI,5,0),1,0)*Table_NFI[[#This Row],[Hygiene Kit]],Table_NFI[Hygiene Kit])</f>
        <v>0</v>
      </c>
      <c r="Z629" s="264">
        <f>IF(NFI_Expiration=1,IF($A629&lt;VLOOKUP(I$5,NFI,5,0),1,0)*Table_NFI[[#This Row],[NFI Core Kit]],Table_NFI[NFI Core Kit])</f>
        <v>0</v>
      </c>
      <c r="AA629" s="264">
        <f>IF(NFI_Expiration=1,IF($A629&lt;VLOOKUP(J$5,NFI,5,0),1,0)*Table_NFI[[#This Row],[Sanitary Kit]],Table_NFI[Sanitary Kit])</f>
        <v>0</v>
      </c>
      <c r="AB629" s="264">
        <f>IF(NFI_Expiration=1,IF($A629&lt;VLOOKUP(K$5,NFI,5,0),1,0)*Table_NFI[[#This Row],[Mosquito net]],Table_NFI[Mosquito net])</f>
        <v>0</v>
      </c>
      <c r="AC629" s="264">
        <f>IF(NFI_Expiration=1,IF($A629&lt;VLOOKUP(L$5,NFI,5,0),1,0)*Table_NFI[[#This Row],[Tarpaulin]],Table_NFI[[#This Row],[Tarpaulin]])</f>
        <v>0</v>
      </c>
      <c r="AD629" s="264">
        <f>IF(NFI_Expiration=1,IF($A629&lt;VLOOKUP(M$5,NFI,5,0),1,0)*Table_NFI[[#This Row],[Blanket]],Table_NFI[[#This Row],[Blanket]])</f>
        <v>0</v>
      </c>
      <c r="AE629" s="264">
        <f>IF(NFI_Expiration=1,IF($A629&lt;VLOOKUP(N$5,NFI,5,0),1,0)*Table_NFI[[#This Row],[Kitchen Set]],Table_NFI[Kitchen Set])</f>
        <v>0</v>
      </c>
      <c r="AF629" s="264">
        <f>IF(NFI_Expiration=1,IF($A629&lt;VLOOKUP(O$5,NFI,5,0),1,0)*Table_NFI[[#This Row],[Clothes Kit]],Table_NFI[Clothes Kit])</f>
        <v>0</v>
      </c>
      <c r="AG629" s="264">
        <f>IF(NFI_Expiration=1,IF($A629&lt;VLOOKUP(P$5,NFI,5,0),1,0)*Table_NFI[[#This Row],[Plastic Bucket]],Table_NFI[Plastic Bucket])</f>
        <v>0</v>
      </c>
      <c r="AH629" s="264">
        <f>IF(NFI_Expiration=1,IF($A629&lt;VLOOKUP(Q$5,NFI,5,0),1,0)*Table_NFI[[#This Row],[Plastic Mat]],Table_NFI[Plastic Mat])*IF(Table_NFI[[#This Row],[Distribution Date]]&gt;"2014-04-01",1,2.5)</f>
        <v>0</v>
      </c>
      <c r="AI629" s="264">
        <f>IF(NFI_Expiration=1,IF($A629&lt;VLOOKUP(R$5,NFI,5,0),1,0)*Table_NFI[[#This Row],[Winter Clothes Adult]],Table_NFI[Winter Clothes Adult])</f>
        <v>0</v>
      </c>
      <c r="AJ629" s="264">
        <f>IF(NFI_Expiration=1,IF($A629&lt;VLOOKUP(S$5,NFI,5,0),1,0)*Table_NFI[[#This Row],[Winter Clothes Children]],Table_NFI[Winter Clothes Children])</f>
        <v>0</v>
      </c>
      <c r="AK629" s="264">
        <f>IF(NFI_Expiration=1,IF($A629&lt;VLOOKUP(T$5,NFI,5,0),1,0)*Table_NFI[[#This Row],[Winter Items Other]],Table_NFI[Winter Items Other])</f>
        <v>0</v>
      </c>
      <c r="AL629" s="264">
        <f>IF(NFI_Expiration=1,IF($A629&lt;VLOOKUP(M$5,NFI,5,0),1,0)*Table_NFI[[#This Row],[Winter Blanket]],Table_NFI[[#This Row],[Winter Blanket]])</f>
        <v>0</v>
      </c>
      <c r="AM629" s="264">
        <f>IF(Table_NFI[[#This Row],[Winter Clothes Adult]]+Table_NFI[[#This Row],[Winter Clothes Children]]+Table_NFI[[#This Row],[Winter Items Other]]+Table_NFI[[#This Row],[Winter Blanket]]&gt;0,1,0)</f>
        <v>0</v>
      </c>
      <c r="AN629" s="296">
        <f>IF(NFI_Expiration=1,IF($A629&lt;VLOOKUP(V$5,NFI,5,0),1,0)*Table_NFI[[#This Row],[Jerry Can]],Table_NFI[Jerry Can])</f>
        <v>0</v>
      </c>
      <c r="AO629" s="296">
        <f>IF(NFI_Expiration=1,IF($A629&lt;VLOOKUP(V$5,NFI,5,0),1,0)*Table_NFI[[#This Row],[Shelter Tool kit]],Table_NFI[Shelter Tool kit])</f>
        <v>0</v>
      </c>
      <c r="AP629" s="296">
        <f>IF(NFI_Expiration=1,IF($A629&lt;VLOOKUP(V$5,NFI,5,0),1,0)*Table_NFI[[#This Row],[Tent]],Table_NFI[Tent])</f>
        <v>0</v>
      </c>
      <c r="AQ629" s="396" t="str">
        <f>IFERROR(VLOOKUP(Table_NFI[[#This Row],[Camp Name]],CL,2,0),"")</f>
        <v>MMR001CMP068</v>
      </c>
      <c r="AR629" s="702">
        <f ca="1">IF(Table_NFI[[#This Row],[Pcode]]="","",IF(OFFSET(CampList[Opening Date],MATCH(Table_NFI[[#This Row],[Pcode]],CampList[CP_Pcode],0)-1,0,1,1)&gt;=NFI_Monitor_Date,1,0))</f>
        <v>0</v>
      </c>
      <c r="AS629" s="396" t="str">
        <f>IFERROR(VLOOKUP(Table_NFI[[#This Row],[Camp Name]],CL,3,0),"")</f>
        <v>Open</v>
      </c>
      <c r="AT629" s="264" t="str">
        <f ca="1">IF(Table_NFI[[#This Row],[Pcode]]="","",OFFSET(CampList[Priority],MATCH(Table_NFI[[#This Row],[Pcode]],CampList[CP_Pcode],0)-1,0,1,1))</f>
        <v>P4</v>
      </c>
      <c r="AU629" s="263">
        <f>IFERROR(Table_NFI[[#This Row],[Kitchen Set]]/VLOOKUP(Table_NFI[[#This Row],[Camp Name]],CL,4,0),"")</f>
        <v>0</v>
      </c>
      <c r="AV629" s="390" t="s">
        <v>1087</v>
      </c>
      <c r="AW629" s="392"/>
      <c r="AX629" s="399"/>
      <c r="AY629" s="399"/>
      <c r="AZ629" s="399"/>
      <c r="BA629" s="399"/>
      <c r="BB629" s="399"/>
      <c r="BC629" s="399"/>
      <c r="BD629" s="399"/>
      <c r="BE629" s="399"/>
      <c r="BF629" s="399"/>
      <c r="BG629" s="399"/>
      <c r="BH629" s="399"/>
      <c r="BI629" s="399"/>
      <c r="BJ629" s="399"/>
      <c r="BK629" s="399"/>
      <c r="BL629" s="399"/>
      <c r="BM629" s="399"/>
      <c r="BN629" s="399"/>
      <c r="BO629" s="399"/>
      <c r="BP629" s="399"/>
      <c r="BQ629" s="399"/>
      <c r="BR629" s="399"/>
      <c r="BS629" s="399"/>
      <c r="BT629" s="399"/>
      <c r="BU629" s="399"/>
      <c r="BV629" s="399"/>
      <c r="BW629" s="399"/>
      <c r="BX629" s="399"/>
      <c r="BY629" s="399"/>
      <c r="BZ629" s="399"/>
      <c r="CA629" s="399"/>
      <c r="CB629" s="399"/>
      <c r="CC629" s="399"/>
      <c r="CD629" s="399"/>
      <c r="CE629" s="399"/>
      <c r="CF629" s="399"/>
      <c r="CG629" s="399"/>
      <c r="CH629" s="399"/>
      <c r="CI629" s="399"/>
      <c r="CJ629" s="399"/>
      <c r="CK629" s="399"/>
      <c r="CL629" s="399"/>
      <c r="CM629" s="399"/>
      <c r="CN629" s="399"/>
      <c r="CO629" s="399"/>
      <c r="CP629" s="399"/>
      <c r="CQ629" s="399"/>
      <c r="CR629" s="399"/>
      <c r="CS629" s="399"/>
      <c r="CT629" s="399"/>
      <c r="CU629" s="399"/>
      <c r="CV629" s="399"/>
      <c r="CW629" s="399"/>
      <c r="CX629" s="399"/>
      <c r="CY629" s="399"/>
      <c r="CZ629" s="399"/>
      <c r="DA629" s="399"/>
      <c r="DB629" s="399"/>
      <c r="DC629" s="399"/>
      <c r="DD629" s="399"/>
      <c r="DE629" s="399"/>
      <c r="DF629" s="399"/>
      <c r="DG629" s="399"/>
      <c r="DH629" s="399"/>
      <c r="DI629" s="399"/>
      <c r="DJ629" s="399"/>
      <c r="DK629" s="399"/>
      <c r="DL629" s="399"/>
      <c r="DM629" s="399"/>
      <c r="DN629" s="399"/>
      <c r="DO629" s="399"/>
      <c r="DP629" s="399"/>
      <c r="DQ629" s="399"/>
    </row>
    <row r="630" spans="1:121" s="760" customFormat="1" ht="14.45" customHeight="1" x14ac:dyDescent="0.25">
      <c r="A630" s="266">
        <f t="shared" si="9"/>
        <v>41.6</v>
      </c>
      <c r="B630" s="389">
        <v>41608</v>
      </c>
      <c r="C630" s="390" t="s">
        <v>1092</v>
      </c>
      <c r="D630" s="391" t="s">
        <v>943</v>
      </c>
      <c r="E630" s="390" t="s">
        <v>380</v>
      </c>
      <c r="F630" s="262" t="s">
        <v>5</v>
      </c>
      <c r="G630" s="262" t="s">
        <v>24</v>
      </c>
      <c r="H630" s="261"/>
      <c r="I630" s="261"/>
      <c r="J630" s="261"/>
      <c r="K630" s="261"/>
      <c r="L630" s="261"/>
      <c r="M630" s="261">
        <v>135</v>
      </c>
      <c r="N630" s="261"/>
      <c r="O630" s="261"/>
      <c r="P630" s="261"/>
      <c r="Q630" s="261"/>
      <c r="R630" s="261">
        <v>68</v>
      </c>
      <c r="S630" s="261">
        <v>61</v>
      </c>
      <c r="T630" s="261">
        <v>0</v>
      </c>
      <c r="U630" s="261"/>
      <c r="V630" s="762"/>
      <c r="W630" s="261"/>
      <c r="X630" s="261"/>
      <c r="Y630" s="264">
        <f>IF(NFI_Expiration=1,IF($A630&lt;VLOOKUP(H$5,NFI,5,0),1,0)*Table_NFI[[#This Row],[Hygiene Kit]],Table_NFI[Hygiene Kit])</f>
        <v>0</v>
      </c>
      <c r="Z630" s="264">
        <f>IF(NFI_Expiration=1,IF($A630&lt;VLOOKUP(I$5,NFI,5,0),1,0)*Table_NFI[[#This Row],[NFI Core Kit]],Table_NFI[NFI Core Kit])</f>
        <v>0</v>
      </c>
      <c r="AA630" s="264">
        <f>IF(NFI_Expiration=1,IF($A630&lt;VLOOKUP(J$5,NFI,5,0),1,0)*Table_NFI[[#This Row],[Sanitary Kit]],Table_NFI[Sanitary Kit])</f>
        <v>0</v>
      </c>
      <c r="AB630" s="264">
        <f>IF(NFI_Expiration=1,IF($A630&lt;VLOOKUP(K$5,NFI,5,0),1,0)*Table_NFI[[#This Row],[Mosquito net]],Table_NFI[Mosquito net])</f>
        <v>0</v>
      </c>
      <c r="AC630" s="264">
        <f>IF(NFI_Expiration=1,IF($A630&lt;VLOOKUP(L$5,NFI,5,0),1,0)*Table_NFI[[#This Row],[Tarpaulin]],Table_NFI[[#This Row],[Tarpaulin]])</f>
        <v>0</v>
      </c>
      <c r="AD630" s="264">
        <f>IF(NFI_Expiration=1,IF($A630&lt;VLOOKUP(M$5,NFI,5,0),1,0)*Table_NFI[[#This Row],[Blanket]],Table_NFI[[#This Row],[Blanket]])</f>
        <v>0</v>
      </c>
      <c r="AE630" s="264">
        <f>IF(NFI_Expiration=1,IF($A630&lt;VLOOKUP(N$5,NFI,5,0),1,0)*Table_NFI[[#This Row],[Kitchen Set]],Table_NFI[Kitchen Set])</f>
        <v>0</v>
      </c>
      <c r="AF630" s="264">
        <f>IF(NFI_Expiration=1,IF($A630&lt;VLOOKUP(O$5,NFI,5,0),1,0)*Table_NFI[[#This Row],[Clothes Kit]],Table_NFI[Clothes Kit])</f>
        <v>0</v>
      </c>
      <c r="AG630" s="264">
        <f>IF(NFI_Expiration=1,IF($A630&lt;VLOOKUP(P$5,NFI,5,0),1,0)*Table_NFI[[#This Row],[Plastic Bucket]],Table_NFI[Plastic Bucket])</f>
        <v>0</v>
      </c>
      <c r="AH630" s="264">
        <f>IF(NFI_Expiration=1,IF($A630&lt;VLOOKUP(Q$5,NFI,5,0),1,0)*Table_NFI[[#This Row],[Plastic Mat]],Table_NFI[Plastic Mat])*IF(Table_NFI[[#This Row],[Distribution Date]]&gt;"2014-04-01",1,2.5)</f>
        <v>0</v>
      </c>
      <c r="AI630" s="264">
        <f>IF(NFI_Expiration=1,IF($A630&lt;VLOOKUP(R$5,NFI,5,0),1,0)*Table_NFI[[#This Row],[Winter Clothes Adult]],Table_NFI[Winter Clothes Adult])</f>
        <v>0</v>
      </c>
      <c r="AJ630" s="264">
        <f>IF(NFI_Expiration=1,IF($A630&lt;VLOOKUP(S$5,NFI,5,0),1,0)*Table_NFI[[#This Row],[Winter Clothes Children]],Table_NFI[Winter Clothes Children])</f>
        <v>0</v>
      </c>
      <c r="AK630" s="264">
        <f>IF(NFI_Expiration=1,IF($A630&lt;VLOOKUP(T$5,NFI,5,0),1,0)*Table_NFI[[#This Row],[Winter Items Other]],Table_NFI[Winter Items Other])</f>
        <v>0</v>
      </c>
      <c r="AL630" s="264">
        <f>IF(NFI_Expiration=1,IF($A630&lt;VLOOKUP(M$5,NFI,5,0),1,0)*Table_NFI[[#This Row],[Winter Blanket]],Table_NFI[[#This Row],[Winter Blanket]])</f>
        <v>0</v>
      </c>
      <c r="AM630" s="264">
        <f>IF(Table_NFI[[#This Row],[Winter Clothes Adult]]+Table_NFI[[#This Row],[Winter Clothes Children]]+Table_NFI[[#This Row],[Winter Items Other]]+Table_NFI[[#This Row],[Winter Blanket]]&gt;0,1,0)</f>
        <v>1</v>
      </c>
      <c r="AN630" s="296">
        <f>IF(NFI_Expiration=1,IF($A630&lt;VLOOKUP(V$5,NFI,5,0),1,0)*Table_NFI[[#This Row],[Jerry Can]],Table_NFI[Jerry Can])</f>
        <v>0</v>
      </c>
      <c r="AO630" s="296">
        <f>IF(NFI_Expiration=1,IF($A630&lt;VLOOKUP(V$5,NFI,5,0),1,0)*Table_NFI[[#This Row],[Shelter Tool kit]],Table_NFI[Shelter Tool kit])</f>
        <v>0</v>
      </c>
      <c r="AP630" s="296">
        <f>IF(NFI_Expiration=1,IF($A630&lt;VLOOKUP(V$5,NFI,5,0),1,0)*Table_NFI[[#This Row],[Tent]],Table_NFI[Tent])</f>
        <v>0</v>
      </c>
      <c r="AQ630" s="396" t="str">
        <f>IFERROR(VLOOKUP(Table_NFI[[#This Row],[Camp Name]],CL,2,0),"")</f>
        <v>MMR001CMP055</v>
      </c>
      <c r="AR630" s="702">
        <f ca="1">IF(Table_NFI[[#This Row],[Pcode]]="","",IF(OFFSET(CampList[Opening Date],MATCH(Table_NFI[[#This Row],[Pcode]],CampList[CP_Pcode],0)-1,0,1,1)&gt;=NFI_Monitor_Date,1,0))</f>
        <v>0</v>
      </c>
      <c r="AS630" s="396" t="str">
        <f>IFERROR(VLOOKUP(Table_NFI[[#This Row],[Camp Name]],CL,3,0),"")</f>
        <v>Open</v>
      </c>
      <c r="AT630" s="264" t="str">
        <f ca="1">IF(Table_NFI[[#This Row],[Pcode]]="","",OFFSET(CampList[Priority],MATCH(Table_NFI[[#This Row],[Pcode]],CampList[CP_Pcode],0)-1,0,1,1))</f>
        <v>P4</v>
      </c>
      <c r="AU630" s="263">
        <f>IFERROR(Table_NFI[[#This Row],[Kitchen Set]]/VLOOKUP(Table_NFI[[#This Row],[Camp Name]],CL,4,0),"")</f>
        <v>0</v>
      </c>
      <c r="AV630" s="390" t="s">
        <v>1087</v>
      </c>
      <c r="AW630" s="392"/>
      <c r="AX630" s="399"/>
      <c r="AY630" s="399"/>
      <c r="AZ630" s="399"/>
      <c r="BA630" s="399"/>
      <c r="BB630" s="399"/>
      <c r="BC630" s="399"/>
      <c r="BD630" s="399"/>
      <c r="BE630" s="399"/>
      <c r="BF630" s="399"/>
      <c r="BG630" s="399"/>
      <c r="BH630" s="399"/>
      <c r="BI630" s="399"/>
      <c r="BJ630" s="399"/>
      <c r="BK630" s="399"/>
      <c r="BL630" s="399"/>
      <c r="BM630" s="399"/>
      <c r="BN630" s="399"/>
      <c r="BO630" s="399"/>
      <c r="BP630" s="399"/>
      <c r="BQ630" s="399"/>
      <c r="BR630" s="399"/>
      <c r="BS630" s="399"/>
      <c r="BT630" s="399"/>
      <c r="BU630" s="399"/>
      <c r="BV630" s="399"/>
      <c r="BW630" s="399"/>
      <c r="BX630" s="399"/>
      <c r="BY630" s="399"/>
      <c r="BZ630" s="399"/>
      <c r="CA630" s="399"/>
      <c r="CB630" s="399"/>
      <c r="CC630" s="399"/>
      <c r="CD630" s="399"/>
      <c r="CE630" s="399"/>
      <c r="CF630" s="399"/>
      <c r="CG630" s="399"/>
      <c r="CH630" s="399"/>
      <c r="CI630" s="399"/>
      <c r="CJ630" s="399"/>
      <c r="CK630" s="399"/>
      <c r="CL630" s="399"/>
      <c r="CM630" s="399"/>
      <c r="CN630" s="399"/>
      <c r="CO630" s="399"/>
      <c r="CP630" s="399"/>
      <c r="CQ630" s="399"/>
      <c r="CR630" s="399"/>
      <c r="CS630" s="399"/>
      <c r="CT630" s="399"/>
      <c r="CU630" s="399"/>
      <c r="CV630" s="399"/>
      <c r="CW630" s="399"/>
      <c r="CX630" s="399"/>
      <c r="CY630" s="399"/>
      <c r="CZ630" s="399"/>
      <c r="DA630" s="399"/>
      <c r="DB630" s="399"/>
      <c r="DC630" s="399"/>
      <c r="DD630" s="399"/>
      <c r="DE630" s="399"/>
      <c r="DF630" s="399"/>
      <c r="DG630" s="399"/>
      <c r="DH630" s="399"/>
      <c r="DI630" s="399"/>
      <c r="DJ630" s="399"/>
      <c r="DK630" s="399"/>
      <c r="DL630" s="399"/>
      <c r="DM630" s="399"/>
      <c r="DN630" s="399"/>
      <c r="DO630" s="399"/>
      <c r="DP630" s="399"/>
      <c r="DQ630" s="399"/>
    </row>
    <row r="631" spans="1:121" s="760" customFormat="1" ht="14.45" customHeight="1" x14ac:dyDescent="0.25">
      <c r="A631" s="266">
        <f t="shared" si="9"/>
        <v>41.6</v>
      </c>
      <c r="B631" s="389">
        <v>41608</v>
      </c>
      <c r="C631" s="390" t="s">
        <v>904</v>
      </c>
      <c r="D631" s="390"/>
      <c r="E631" s="390" t="s">
        <v>380</v>
      </c>
      <c r="F631" s="262" t="s">
        <v>5</v>
      </c>
      <c r="G631" s="262" t="s">
        <v>24</v>
      </c>
      <c r="H631" s="261"/>
      <c r="I631" s="261"/>
      <c r="J631" s="261"/>
      <c r="K631" s="261"/>
      <c r="L631" s="261"/>
      <c r="M631" s="261"/>
      <c r="N631" s="261"/>
      <c r="O631" s="261"/>
      <c r="P631" s="261"/>
      <c r="Q631" s="261"/>
      <c r="R631" s="261"/>
      <c r="S631" s="261"/>
      <c r="T631" s="261"/>
      <c r="U631" s="261"/>
      <c r="V631" s="762"/>
      <c r="W631" s="261"/>
      <c r="X631" s="261"/>
      <c r="Y631" s="264">
        <f>IF(NFI_Expiration=1,IF($A631&lt;VLOOKUP(H$5,NFI,5,0),1,0)*Table_NFI[[#This Row],[Hygiene Kit]],Table_NFI[Hygiene Kit])</f>
        <v>0</v>
      </c>
      <c r="Z631" s="264">
        <f>IF(NFI_Expiration=1,IF($A631&lt;VLOOKUP(I$5,NFI,5,0),1,0)*Table_NFI[[#This Row],[NFI Core Kit]],Table_NFI[NFI Core Kit])</f>
        <v>0</v>
      </c>
      <c r="AA631" s="264">
        <f>IF(NFI_Expiration=1,IF($A631&lt;VLOOKUP(J$5,NFI,5,0),1,0)*Table_NFI[[#This Row],[Sanitary Kit]],Table_NFI[Sanitary Kit])</f>
        <v>0</v>
      </c>
      <c r="AB631" s="264">
        <f>IF(NFI_Expiration=1,IF($A631&lt;VLOOKUP(K$5,NFI,5,0),1,0)*Table_NFI[[#This Row],[Mosquito net]],Table_NFI[Mosquito net])</f>
        <v>0</v>
      </c>
      <c r="AC631" s="264">
        <f>IF(NFI_Expiration=1,IF($A631&lt;VLOOKUP(L$5,NFI,5,0),1,0)*Table_NFI[[#This Row],[Tarpaulin]],Table_NFI[[#This Row],[Tarpaulin]])</f>
        <v>0</v>
      </c>
      <c r="AD631" s="264">
        <f>IF(NFI_Expiration=1,IF($A631&lt;VLOOKUP(M$5,NFI,5,0),1,0)*Table_NFI[[#This Row],[Blanket]],Table_NFI[[#This Row],[Blanket]])</f>
        <v>0</v>
      </c>
      <c r="AE631" s="264">
        <f>IF(NFI_Expiration=1,IF($A631&lt;VLOOKUP(N$5,NFI,5,0),1,0)*Table_NFI[[#This Row],[Kitchen Set]],Table_NFI[Kitchen Set])</f>
        <v>0</v>
      </c>
      <c r="AF631" s="264">
        <f>IF(NFI_Expiration=1,IF($A631&lt;VLOOKUP(O$5,NFI,5,0),1,0)*Table_NFI[[#This Row],[Clothes Kit]],Table_NFI[Clothes Kit])</f>
        <v>0</v>
      </c>
      <c r="AG631" s="264">
        <f>IF(NFI_Expiration=1,IF($A631&lt;VLOOKUP(P$5,NFI,5,0),1,0)*Table_NFI[[#This Row],[Plastic Bucket]],Table_NFI[Plastic Bucket])</f>
        <v>0</v>
      </c>
      <c r="AH631" s="264">
        <f>IF(NFI_Expiration=1,IF($A631&lt;VLOOKUP(Q$5,NFI,5,0),1,0)*Table_NFI[[#This Row],[Plastic Mat]],Table_NFI[Plastic Mat])*IF(Table_NFI[[#This Row],[Distribution Date]]&gt;"2014-04-01",1,2.5)</f>
        <v>0</v>
      </c>
      <c r="AI631" s="264">
        <f>IF(NFI_Expiration=1,IF($A631&lt;VLOOKUP(R$5,NFI,5,0),1,0)*Table_NFI[[#This Row],[Winter Clothes Adult]],Table_NFI[Winter Clothes Adult])</f>
        <v>0</v>
      </c>
      <c r="AJ631" s="264">
        <f>IF(NFI_Expiration=1,IF($A631&lt;VLOOKUP(S$5,NFI,5,0),1,0)*Table_NFI[[#This Row],[Winter Clothes Children]],Table_NFI[Winter Clothes Children])</f>
        <v>0</v>
      </c>
      <c r="AK631" s="264">
        <f>IF(NFI_Expiration=1,IF($A631&lt;VLOOKUP(T$5,NFI,5,0),1,0)*Table_NFI[[#This Row],[Winter Items Other]],Table_NFI[Winter Items Other])</f>
        <v>0</v>
      </c>
      <c r="AL631" s="264">
        <f>IF(NFI_Expiration=1,IF($A631&lt;VLOOKUP(M$5,NFI,5,0),1,0)*Table_NFI[[#This Row],[Winter Blanket]],Table_NFI[[#This Row],[Winter Blanket]])</f>
        <v>0</v>
      </c>
      <c r="AM631" s="264">
        <f>IF(Table_NFI[[#This Row],[Winter Clothes Adult]]+Table_NFI[[#This Row],[Winter Clothes Children]]+Table_NFI[[#This Row],[Winter Items Other]]+Table_NFI[[#This Row],[Winter Blanket]]&gt;0,1,0)</f>
        <v>0</v>
      </c>
      <c r="AN631" s="296">
        <f>IF(NFI_Expiration=1,IF($A631&lt;VLOOKUP(V$5,NFI,5,0),1,0)*Table_NFI[[#This Row],[Jerry Can]],Table_NFI[Jerry Can])</f>
        <v>0</v>
      </c>
      <c r="AO631" s="296">
        <f>IF(NFI_Expiration=1,IF($A631&lt;VLOOKUP(V$5,NFI,5,0),1,0)*Table_NFI[[#This Row],[Shelter Tool kit]],Table_NFI[Shelter Tool kit])</f>
        <v>0</v>
      </c>
      <c r="AP631" s="296">
        <f>IF(NFI_Expiration=1,IF($A631&lt;VLOOKUP(V$5,NFI,5,0),1,0)*Table_NFI[[#This Row],[Tent]],Table_NFI[Tent])</f>
        <v>0</v>
      </c>
      <c r="AQ631" s="396" t="str">
        <f>IFERROR(VLOOKUP(Table_NFI[[#This Row],[Camp Name]],CL,2,0),"")</f>
        <v>MMR001CMP055</v>
      </c>
      <c r="AR631" s="702">
        <f ca="1">IF(Table_NFI[[#This Row],[Pcode]]="","",IF(OFFSET(CampList[Opening Date],MATCH(Table_NFI[[#This Row],[Pcode]],CampList[CP_Pcode],0)-1,0,1,1)&gt;=NFI_Monitor_Date,1,0))</f>
        <v>0</v>
      </c>
      <c r="AS631" s="396" t="str">
        <f>IFERROR(VLOOKUP(Table_NFI[[#This Row],[Camp Name]],CL,3,0),"")</f>
        <v>Open</v>
      </c>
      <c r="AT631" s="264" t="str">
        <f ca="1">IF(Table_NFI[[#This Row],[Pcode]]="","",OFFSET(CampList[Priority],MATCH(Table_NFI[[#This Row],[Pcode]],CampList[CP_Pcode],0)-1,0,1,1))</f>
        <v>P4</v>
      </c>
      <c r="AU631" s="263">
        <f>IFERROR(Table_NFI[[#This Row],[Kitchen Set]]/VLOOKUP(Table_NFI[[#This Row],[Camp Name]],CL,4,0),"")</f>
        <v>0</v>
      </c>
      <c r="AV631" s="390" t="s">
        <v>1087</v>
      </c>
      <c r="AW631" s="392"/>
      <c r="AX631" s="399"/>
      <c r="AY631" s="399"/>
      <c r="AZ631" s="399"/>
      <c r="BA631" s="399"/>
      <c r="BB631" s="399"/>
      <c r="BC631" s="399"/>
      <c r="BD631" s="399"/>
      <c r="BE631" s="399"/>
      <c r="BF631" s="399"/>
      <c r="BG631" s="399"/>
      <c r="BH631" s="399"/>
      <c r="BI631" s="399"/>
      <c r="BJ631" s="399"/>
      <c r="BK631" s="399"/>
      <c r="BL631" s="399"/>
      <c r="BM631" s="399"/>
      <c r="BN631" s="399"/>
      <c r="BO631" s="399"/>
      <c r="BP631" s="399"/>
      <c r="BQ631" s="399"/>
      <c r="BR631" s="399"/>
      <c r="BS631" s="399"/>
      <c r="BT631" s="399"/>
      <c r="BU631" s="399"/>
      <c r="BV631" s="399"/>
      <c r="BW631" s="399"/>
      <c r="BX631" s="399"/>
      <c r="BY631" s="399"/>
      <c r="BZ631" s="399"/>
      <c r="CA631" s="399"/>
      <c r="CB631" s="399"/>
      <c r="CC631" s="399"/>
      <c r="CD631" s="399"/>
      <c r="CE631" s="399"/>
      <c r="CF631" s="399"/>
      <c r="CG631" s="399"/>
      <c r="CH631" s="399"/>
      <c r="CI631" s="399"/>
      <c r="CJ631" s="399"/>
      <c r="CK631" s="399"/>
      <c r="CL631" s="399"/>
      <c r="CM631" s="399"/>
      <c r="CN631" s="399"/>
      <c r="CO631" s="399"/>
      <c r="CP631" s="399"/>
      <c r="CQ631" s="399"/>
      <c r="CR631" s="399"/>
      <c r="CS631" s="399"/>
      <c r="CT631" s="399"/>
      <c r="CU631" s="399"/>
      <c r="CV631" s="399"/>
      <c r="CW631" s="399"/>
      <c r="CX631" s="399"/>
      <c r="CY631" s="399"/>
      <c r="CZ631" s="399"/>
      <c r="DA631" s="399"/>
      <c r="DB631" s="399"/>
      <c r="DC631" s="399"/>
      <c r="DD631" s="399"/>
      <c r="DE631" s="399"/>
      <c r="DF631" s="399"/>
      <c r="DG631" s="399"/>
      <c r="DH631" s="399"/>
      <c r="DI631" s="399"/>
      <c r="DJ631" s="399"/>
      <c r="DK631" s="399"/>
      <c r="DL631" s="399"/>
      <c r="DM631" s="399"/>
      <c r="DN631" s="399"/>
      <c r="DO631" s="399"/>
      <c r="DP631" s="399"/>
      <c r="DQ631" s="399"/>
    </row>
    <row r="632" spans="1:121" s="759" customFormat="1" ht="14.45" customHeight="1" x14ac:dyDescent="0.25">
      <c r="A632" s="266">
        <f t="shared" si="9"/>
        <v>41.6</v>
      </c>
      <c r="B632" s="389">
        <v>41608</v>
      </c>
      <c r="C632" s="390" t="s">
        <v>904</v>
      </c>
      <c r="D632" s="390" t="s">
        <v>459</v>
      </c>
      <c r="E632" s="390" t="s">
        <v>380</v>
      </c>
      <c r="F632" s="262" t="s">
        <v>310</v>
      </c>
      <c r="G632" s="262" t="s">
        <v>349</v>
      </c>
      <c r="H632" s="261"/>
      <c r="I632" s="261"/>
      <c r="J632" s="261"/>
      <c r="K632" s="261"/>
      <c r="L632" s="261"/>
      <c r="M632" s="261"/>
      <c r="N632" s="261"/>
      <c r="O632" s="261"/>
      <c r="P632" s="261"/>
      <c r="Q632" s="261"/>
      <c r="R632" s="261"/>
      <c r="S632" s="261"/>
      <c r="T632" s="261"/>
      <c r="U632" s="261"/>
      <c r="V632" s="762"/>
      <c r="W632" s="261"/>
      <c r="X632" s="261"/>
      <c r="Y632" s="264">
        <f>IF(NFI_Expiration=1,IF($A632&lt;VLOOKUP(H$5,NFI,5,0),1,0)*Table_NFI[[#This Row],[Hygiene Kit]],Table_NFI[Hygiene Kit])</f>
        <v>0</v>
      </c>
      <c r="Z632" s="264">
        <f>IF(NFI_Expiration=1,IF($A632&lt;VLOOKUP(I$5,NFI,5,0),1,0)*Table_NFI[[#This Row],[NFI Core Kit]],Table_NFI[NFI Core Kit])</f>
        <v>0</v>
      </c>
      <c r="AA632" s="264">
        <f>IF(NFI_Expiration=1,IF($A632&lt;VLOOKUP(J$5,NFI,5,0),1,0)*Table_NFI[[#This Row],[Sanitary Kit]],Table_NFI[Sanitary Kit])</f>
        <v>0</v>
      </c>
      <c r="AB632" s="264">
        <f>IF(NFI_Expiration=1,IF($A632&lt;VLOOKUP(K$5,NFI,5,0),1,0)*Table_NFI[[#This Row],[Mosquito net]],Table_NFI[Mosquito net])</f>
        <v>0</v>
      </c>
      <c r="AC632" s="264">
        <f>IF(NFI_Expiration=1,IF($A632&lt;VLOOKUP(L$5,NFI,5,0),1,0)*Table_NFI[[#This Row],[Tarpaulin]],Table_NFI[[#This Row],[Tarpaulin]])</f>
        <v>0</v>
      </c>
      <c r="AD632" s="264">
        <f>IF(NFI_Expiration=1,IF($A632&lt;VLOOKUP(M$5,NFI,5,0),1,0)*Table_NFI[[#This Row],[Blanket]],Table_NFI[[#This Row],[Blanket]])</f>
        <v>0</v>
      </c>
      <c r="AE632" s="264">
        <f>IF(NFI_Expiration=1,IF($A632&lt;VLOOKUP(N$5,NFI,5,0),1,0)*Table_NFI[[#This Row],[Kitchen Set]],Table_NFI[Kitchen Set])</f>
        <v>0</v>
      </c>
      <c r="AF632" s="264">
        <f>IF(NFI_Expiration=1,IF($A632&lt;VLOOKUP(O$5,NFI,5,0),1,0)*Table_NFI[[#This Row],[Clothes Kit]],Table_NFI[Clothes Kit])</f>
        <v>0</v>
      </c>
      <c r="AG632" s="264">
        <f>IF(NFI_Expiration=1,IF($A632&lt;VLOOKUP(P$5,NFI,5,0),1,0)*Table_NFI[[#This Row],[Plastic Bucket]],Table_NFI[Plastic Bucket])</f>
        <v>0</v>
      </c>
      <c r="AH632" s="264">
        <f>IF(NFI_Expiration=1,IF($A632&lt;VLOOKUP(Q$5,NFI,5,0),1,0)*Table_NFI[[#This Row],[Plastic Mat]],Table_NFI[Plastic Mat])*IF(Table_NFI[[#This Row],[Distribution Date]]&gt;"2014-04-01",1,2.5)</f>
        <v>0</v>
      </c>
      <c r="AI632" s="264">
        <f>IF(NFI_Expiration=1,IF($A632&lt;VLOOKUP(R$5,NFI,5,0),1,0)*Table_NFI[[#This Row],[Winter Clothes Adult]],Table_NFI[Winter Clothes Adult])</f>
        <v>0</v>
      </c>
      <c r="AJ632" s="264">
        <f>IF(NFI_Expiration=1,IF($A632&lt;VLOOKUP(S$5,NFI,5,0),1,0)*Table_NFI[[#This Row],[Winter Clothes Children]],Table_NFI[Winter Clothes Children])</f>
        <v>0</v>
      </c>
      <c r="AK632" s="264">
        <f>IF(NFI_Expiration=1,IF($A632&lt;VLOOKUP(T$5,NFI,5,0),1,0)*Table_NFI[[#This Row],[Winter Items Other]],Table_NFI[Winter Items Other])</f>
        <v>0</v>
      </c>
      <c r="AL632" s="264">
        <f>IF(NFI_Expiration=1,IF($A632&lt;VLOOKUP(M$5,NFI,5,0),1,0)*Table_NFI[[#This Row],[Winter Blanket]],Table_NFI[[#This Row],[Winter Blanket]])</f>
        <v>0</v>
      </c>
      <c r="AM632" s="264">
        <f>IF(Table_NFI[[#This Row],[Winter Clothes Adult]]+Table_NFI[[#This Row],[Winter Clothes Children]]+Table_NFI[[#This Row],[Winter Items Other]]+Table_NFI[[#This Row],[Winter Blanket]]&gt;0,1,0)</f>
        <v>0</v>
      </c>
      <c r="AN632" s="296">
        <f>IF(NFI_Expiration=1,IF($A632&lt;VLOOKUP(V$5,NFI,5,0),1,0)*Table_NFI[[#This Row],[Jerry Can]],Table_NFI[Jerry Can])</f>
        <v>0</v>
      </c>
      <c r="AO632" s="296">
        <f>IF(NFI_Expiration=1,IF($A632&lt;VLOOKUP(V$5,NFI,5,0),1,0)*Table_NFI[[#This Row],[Shelter Tool kit]],Table_NFI[Shelter Tool kit])</f>
        <v>0</v>
      </c>
      <c r="AP632" s="296">
        <f>IF(NFI_Expiration=1,IF($A632&lt;VLOOKUP(V$5,NFI,5,0),1,0)*Table_NFI[[#This Row],[Tent]],Table_NFI[Tent])</f>
        <v>0</v>
      </c>
      <c r="AQ632" s="396" t="str">
        <f>IFERROR(VLOOKUP(Table_NFI[[#This Row],[Camp Name]],CL,2,0),"")</f>
        <v>MMR001CMP037</v>
      </c>
      <c r="AR632" s="702">
        <f ca="1">IF(Table_NFI[[#This Row],[Pcode]]="","",IF(OFFSET(CampList[Opening Date],MATCH(Table_NFI[[#This Row],[Pcode]],CampList[CP_Pcode],0)-1,0,1,1)&gt;=NFI_Monitor_Date,1,0))</f>
        <v>0</v>
      </c>
      <c r="AS632" s="396" t="str">
        <f>IFERROR(VLOOKUP(Table_NFI[[#This Row],[Camp Name]],CL,3,0),"")</f>
        <v>Open</v>
      </c>
      <c r="AT632" s="264" t="str">
        <f ca="1">IF(Table_NFI[[#This Row],[Pcode]]="","",OFFSET(CampList[Priority],MATCH(Table_NFI[[#This Row],[Pcode]],CampList[CP_Pcode],0)-1,0,1,1))</f>
        <v>P4</v>
      </c>
      <c r="AU632" s="263">
        <f>IFERROR(Table_NFI[[#This Row],[Kitchen Set]]/VLOOKUP(Table_NFI[[#This Row],[Camp Name]],CL,4,0),"")</f>
        <v>0</v>
      </c>
      <c r="AV632" s="390" t="s">
        <v>1087</v>
      </c>
      <c r="AW632" s="392"/>
      <c r="AX632" s="402"/>
      <c r="AY632" s="402"/>
      <c r="AZ632" s="402"/>
      <c r="BA632" s="402"/>
      <c r="BB632" s="402"/>
      <c r="BC632" s="402"/>
      <c r="BD632" s="402"/>
      <c r="BE632" s="402"/>
      <c r="BF632" s="402"/>
      <c r="BG632" s="402"/>
      <c r="BH632" s="402"/>
      <c r="BI632" s="402"/>
      <c r="BJ632" s="402"/>
      <c r="BK632" s="402"/>
      <c r="BL632" s="402"/>
      <c r="BM632" s="402"/>
      <c r="BN632" s="402"/>
      <c r="BO632" s="402"/>
      <c r="BP632" s="402"/>
      <c r="BQ632" s="402"/>
      <c r="BR632" s="402"/>
      <c r="BS632" s="402"/>
      <c r="BT632" s="402"/>
      <c r="BU632" s="402"/>
      <c r="BV632" s="402"/>
      <c r="BW632" s="402"/>
      <c r="BX632" s="402"/>
      <c r="BY632" s="402"/>
      <c r="BZ632" s="402"/>
      <c r="CA632" s="402"/>
      <c r="CB632" s="402"/>
      <c r="CC632" s="402"/>
      <c r="CD632" s="402"/>
      <c r="CE632" s="402"/>
      <c r="CF632" s="402"/>
      <c r="CG632" s="402"/>
      <c r="CH632" s="402"/>
      <c r="CI632" s="402"/>
      <c r="CJ632" s="402"/>
      <c r="CK632" s="402"/>
      <c r="CL632" s="402"/>
      <c r="CM632" s="402"/>
      <c r="CN632" s="402"/>
      <c r="CO632" s="402"/>
      <c r="CP632" s="402"/>
      <c r="CQ632" s="402"/>
      <c r="CR632" s="402"/>
      <c r="CS632" s="402"/>
      <c r="CT632" s="402"/>
      <c r="CU632" s="402"/>
      <c r="CV632" s="402"/>
      <c r="CW632" s="402"/>
      <c r="CX632" s="402"/>
      <c r="CY632" s="402"/>
      <c r="CZ632" s="402"/>
      <c r="DA632" s="402"/>
      <c r="DB632" s="402"/>
      <c r="DC632" s="402"/>
      <c r="DD632" s="402"/>
      <c r="DE632" s="402"/>
      <c r="DF632" s="402"/>
      <c r="DG632" s="402"/>
      <c r="DH632" s="402"/>
      <c r="DI632" s="402"/>
      <c r="DJ632" s="402"/>
      <c r="DK632" s="402"/>
      <c r="DL632" s="402"/>
      <c r="DM632" s="402"/>
      <c r="DN632" s="402"/>
      <c r="DO632" s="402"/>
      <c r="DP632" s="402"/>
      <c r="DQ632" s="402"/>
    </row>
    <row r="633" spans="1:121" s="759" customFormat="1" ht="14.45" customHeight="1" x14ac:dyDescent="0.25">
      <c r="A633" s="266">
        <f t="shared" si="9"/>
        <v>41.6</v>
      </c>
      <c r="B633" s="389">
        <v>41608</v>
      </c>
      <c r="C633" s="390" t="s">
        <v>904</v>
      </c>
      <c r="D633" s="390" t="s">
        <v>459</v>
      </c>
      <c r="E633" s="390" t="s">
        <v>380</v>
      </c>
      <c r="F633" s="262" t="s">
        <v>310</v>
      </c>
      <c r="G633" s="262" t="s">
        <v>316</v>
      </c>
      <c r="H633" s="261"/>
      <c r="I633" s="261"/>
      <c r="J633" s="261"/>
      <c r="K633" s="261"/>
      <c r="L633" s="261"/>
      <c r="M633" s="261"/>
      <c r="N633" s="261"/>
      <c r="O633" s="261"/>
      <c r="P633" s="261"/>
      <c r="Q633" s="261"/>
      <c r="R633" s="261"/>
      <c r="S633" s="261"/>
      <c r="T633" s="261"/>
      <c r="U633" s="261"/>
      <c r="V633" s="762"/>
      <c r="W633" s="261"/>
      <c r="X633" s="261"/>
      <c r="Y633" s="264">
        <f>IF(NFI_Expiration=1,IF($A633&lt;VLOOKUP(H$5,NFI,5,0),1,0)*Table_NFI[[#This Row],[Hygiene Kit]],Table_NFI[Hygiene Kit])</f>
        <v>0</v>
      </c>
      <c r="Z633" s="264">
        <f>IF(NFI_Expiration=1,IF($A633&lt;VLOOKUP(I$5,NFI,5,0),1,0)*Table_NFI[[#This Row],[NFI Core Kit]],Table_NFI[NFI Core Kit])</f>
        <v>0</v>
      </c>
      <c r="AA633" s="264">
        <f>IF(NFI_Expiration=1,IF($A633&lt;VLOOKUP(J$5,NFI,5,0),1,0)*Table_NFI[[#This Row],[Sanitary Kit]],Table_NFI[Sanitary Kit])</f>
        <v>0</v>
      </c>
      <c r="AB633" s="264">
        <f>IF(NFI_Expiration=1,IF($A633&lt;VLOOKUP(K$5,NFI,5,0),1,0)*Table_NFI[[#This Row],[Mosquito net]],Table_NFI[Mosquito net])</f>
        <v>0</v>
      </c>
      <c r="AC633" s="264">
        <f>IF(NFI_Expiration=1,IF($A633&lt;VLOOKUP(L$5,NFI,5,0),1,0)*Table_NFI[[#This Row],[Tarpaulin]],Table_NFI[[#This Row],[Tarpaulin]])</f>
        <v>0</v>
      </c>
      <c r="AD633" s="264">
        <f>IF(NFI_Expiration=1,IF($A633&lt;VLOOKUP(M$5,NFI,5,0),1,0)*Table_NFI[[#This Row],[Blanket]],Table_NFI[[#This Row],[Blanket]])</f>
        <v>0</v>
      </c>
      <c r="AE633" s="264">
        <f>IF(NFI_Expiration=1,IF($A633&lt;VLOOKUP(N$5,NFI,5,0),1,0)*Table_NFI[[#This Row],[Kitchen Set]],Table_NFI[Kitchen Set])</f>
        <v>0</v>
      </c>
      <c r="AF633" s="264">
        <f>IF(NFI_Expiration=1,IF($A633&lt;VLOOKUP(O$5,NFI,5,0),1,0)*Table_NFI[[#This Row],[Clothes Kit]],Table_NFI[Clothes Kit])</f>
        <v>0</v>
      </c>
      <c r="AG633" s="264">
        <f>IF(NFI_Expiration=1,IF($A633&lt;VLOOKUP(P$5,NFI,5,0),1,0)*Table_NFI[[#This Row],[Plastic Bucket]],Table_NFI[Plastic Bucket])</f>
        <v>0</v>
      </c>
      <c r="AH633" s="264">
        <f>IF(NFI_Expiration=1,IF($A633&lt;VLOOKUP(Q$5,NFI,5,0),1,0)*Table_NFI[[#This Row],[Plastic Mat]],Table_NFI[Plastic Mat])*IF(Table_NFI[[#This Row],[Distribution Date]]&gt;"2014-04-01",1,2.5)</f>
        <v>0</v>
      </c>
      <c r="AI633" s="264">
        <f>IF(NFI_Expiration=1,IF($A633&lt;VLOOKUP(R$5,NFI,5,0),1,0)*Table_NFI[[#This Row],[Winter Clothes Adult]],Table_NFI[Winter Clothes Adult])</f>
        <v>0</v>
      </c>
      <c r="AJ633" s="264">
        <f>IF(NFI_Expiration=1,IF($A633&lt;VLOOKUP(S$5,NFI,5,0),1,0)*Table_NFI[[#This Row],[Winter Clothes Children]],Table_NFI[Winter Clothes Children])</f>
        <v>0</v>
      </c>
      <c r="AK633" s="264">
        <f>IF(NFI_Expiration=1,IF($A633&lt;VLOOKUP(T$5,NFI,5,0),1,0)*Table_NFI[[#This Row],[Winter Items Other]],Table_NFI[Winter Items Other])</f>
        <v>0</v>
      </c>
      <c r="AL633" s="264">
        <f>IF(NFI_Expiration=1,IF($A633&lt;VLOOKUP(M$5,NFI,5,0),1,0)*Table_NFI[[#This Row],[Winter Blanket]],Table_NFI[[#This Row],[Winter Blanket]])</f>
        <v>0</v>
      </c>
      <c r="AM633" s="264">
        <f>IF(Table_NFI[[#This Row],[Winter Clothes Adult]]+Table_NFI[[#This Row],[Winter Clothes Children]]+Table_NFI[[#This Row],[Winter Items Other]]+Table_NFI[[#This Row],[Winter Blanket]]&gt;0,1,0)</f>
        <v>0</v>
      </c>
      <c r="AN633" s="296">
        <f>IF(NFI_Expiration=1,IF($A633&lt;VLOOKUP(V$5,NFI,5,0),1,0)*Table_NFI[[#This Row],[Jerry Can]],Table_NFI[Jerry Can])</f>
        <v>0</v>
      </c>
      <c r="AO633" s="296">
        <f>IF(NFI_Expiration=1,IF($A633&lt;VLOOKUP(V$5,NFI,5,0),1,0)*Table_NFI[[#This Row],[Shelter Tool kit]],Table_NFI[Shelter Tool kit])</f>
        <v>0</v>
      </c>
      <c r="AP633" s="296">
        <f>IF(NFI_Expiration=1,IF($A633&lt;VLOOKUP(V$5,NFI,5,0),1,0)*Table_NFI[[#This Row],[Tent]],Table_NFI[Tent])</f>
        <v>0</v>
      </c>
      <c r="AQ633" s="396" t="str">
        <f>IFERROR(VLOOKUP(Table_NFI[[#This Row],[Camp Name]],CL,2,0),"")</f>
        <v>MMR001CMP038</v>
      </c>
      <c r="AR633" s="702">
        <f ca="1">IF(Table_NFI[[#This Row],[Pcode]]="","",IF(OFFSET(CampList[Opening Date],MATCH(Table_NFI[[#This Row],[Pcode]],CampList[CP_Pcode],0)-1,0,1,1)&gt;=NFI_Monitor_Date,1,0))</f>
        <v>0</v>
      </c>
      <c r="AS633" s="396" t="str">
        <f>IFERROR(VLOOKUP(Table_NFI[[#This Row],[Camp Name]],CL,3,0),"")</f>
        <v>Open</v>
      </c>
      <c r="AT633" s="264" t="str">
        <f ca="1">IF(Table_NFI[[#This Row],[Pcode]]="","",OFFSET(CampList[Priority],MATCH(Table_NFI[[#This Row],[Pcode]],CampList[CP_Pcode],0)-1,0,1,1))</f>
        <v>P4</v>
      </c>
      <c r="AU633" s="263">
        <f>IFERROR(Table_NFI[[#This Row],[Kitchen Set]]/VLOOKUP(Table_NFI[[#This Row],[Camp Name]],CL,4,0),"")</f>
        <v>0</v>
      </c>
      <c r="AV633" s="390" t="s">
        <v>1087</v>
      </c>
      <c r="AW633" s="392"/>
      <c r="AX633" s="402"/>
      <c r="AY633" s="402"/>
      <c r="AZ633" s="402"/>
      <c r="BA633" s="402"/>
      <c r="BB633" s="402"/>
      <c r="BC633" s="402"/>
      <c r="BD633" s="402"/>
      <c r="BE633" s="402"/>
      <c r="BF633" s="402"/>
      <c r="BG633" s="402"/>
      <c r="BH633" s="402"/>
      <c r="BI633" s="402"/>
      <c r="BJ633" s="402"/>
      <c r="BK633" s="402"/>
      <c r="BL633" s="402"/>
      <c r="BM633" s="402"/>
      <c r="BN633" s="402"/>
      <c r="BO633" s="402"/>
      <c r="BP633" s="402"/>
      <c r="BQ633" s="402"/>
      <c r="BR633" s="402"/>
      <c r="BS633" s="402"/>
      <c r="BT633" s="402"/>
      <c r="BU633" s="402"/>
      <c r="BV633" s="402"/>
      <c r="BW633" s="402"/>
      <c r="BX633" s="402"/>
      <c r="BY633" s="402"/>
      <c r="BZ633" s="402"/>
      <c r="CA633" s="402"/>
      <c r="CB633" s="402"/>
      <c r="CC633" s="402"/>
      <c r="CD633" s="402"/>
      <c r="CE633" s="402"/>
      <c r="CF633" s="402"/>
      <c r="CG633" s="402"/>
      <c r="CH633" s="402"/>
      <c r="CI633" s="402"/>
      <c r="CJ633" s="402"/>
      <c r="CK633" s="402"/>
      <c r="CL633" s="402"/>
      <c r="CM633" s="402"/>
      <c r="CN633" s="402"/>
      <c r="CO633" s="402"/>
      <c r="CP633" s="402"/>
      <c r="CQ633" s="402"/>
      <c r="CR633" s="402"/>
      <c r="CS633" s="402"/>
      <c r="CT633" s="402"/>
      <c r="CU633" s="402"/>
      <c r="CV633" s="402"/>
      <c r="CW633" s="402"/>
      <c r="CX633" s="402"/>
      <c r="CY633" s="402"/>
      <c r="CZ633" s="402"/>
      <c r="DA633" s="402"/>
      <c r="DB633" s="402"/>
      <c r="DC633" s="402"/>
      <c r="DD633" s="402"/>
      <c r="DE633" s="402"/>
      <c r="DF633" s="402"/>
      <c r="DG633" s="402"/>
      <c r="DH633" s="402"/>
      <c r="DI633" s="402"/>
      <c r="DJ633" s="402"/>
      <c r="DK633" s="402"/>
      <c r="DL633" s="402"/>
      <c r="DM633" s="402"/>
      <c r="DN633" s="402"/>
      <c r="DO633" s="402"/>
      <c r="DP633" s="402"/>
      <c r="DQ633" s="402"/>
    </row>
    <row r="634" spans="1:121" s="760" customFormat="1" ht="14.45" customHeight="1" x14ac:dyDescent="0.25">
      <c r="A634" s="266">
        <f t="shared" si="9"/>
        <v>41.6</v>
      </c>
      <c r="B634" s="389">
        <v>41608</v>
      </c>
      <c r="C634" s="390" t="s">
        <v>904</v>
      </c>
      <c r="D634" s="390" t="s">
        <v>459</v>
      </c>
      <c r="E634" s="390" t="s">
        <v>380</v>
      </c>
      <c r="F634" s="262" t="s">
        <v>310</v>
      </c>
      <c r="G634" s="262" t="s">
        <v>353</v>
      </c>
      <c r="H634" s="261"/>
      <c r="I634" s="261"/>
      <c r="J634" s="261"/>
      <c r="K634" s="261"/>
      <c r="L634" s="261"/>
      <c r="M634" s="261"/>
      <c r="N634" s="261"/>
      <c r="O634" s="261"/>
      <c r="P634" s="261"/>
      <c r="Q634" s="261">
        <v>1851</v>
      </c>
      <c r="R634" s="261"/>
      <c r="S634" s="261"/>
      <c r="T634" s="261"/>
      <c r="U634" s="261"/>
      <c r="V634" s="762"/>
      <c r="W634" s="261"/>
      <c r="X634" s="261"/>
      <c r="Y634" s="264">
        <f>IF(NFI_Expiration=1,IF($A634&lt;VLOOKUP(H$5,NFI,5,0),1,0)*Table_NFI[[#This Row],[Hygiene Kit]],Table_NFI[Hygiene Kit])</f>
        <v>0</v>
      </c>
      <c r="Z634" s="264">
        <f>IF(NFI_Expiration=1,IF($A634&lt;VLOOKUP(I$5,NFI,5,0),1,0)*Table_NFI[[#This Row],[NFI Core Kit]],Table_NFI[NFI Core Kit])</f>
        <v>0</v>
      </c>
      <c r="AA634" s="264">
        <f>IF(NFI_Expiration=1,IF($A634&lt;VLOOKUP(J$5,NFI,5,0),1,0)*Table_NFI[[#This Row],[Sanitary Kit]],Table_NFI[Sanitary Kit])</f>
        <v>0</v>
      </c>
      <c r="AB634" s="264">
        <f>IF(NFI_Expiration=1,IF($A634&lt;VLOOKUP(K$5,NFI,5,0),1,0)*Table_NFI[[#This Row],[Mosquito net]],Table_NFI[Mosquito net])</f>
        <v>0</v>
      </c>
      <c r="AC634" s="264">
        <f>IF(NFI_Expiration=1,IF($A634&lt;VLOOKUP(L$5,NFI,5,0),1,0)*Table_NFI[[#This Row],[Tarpaulin]],Table_NFI[[#This Row],[Tarpaulin]])</f>
        <v>0</v>
      </c>
      <c r="AD634" s="264">
        <f>IF(NFI_Expiration=1,IF($A634&lt;VLOOKUP(M$5,NFI,5,0),1,0)*Table_NFI[[#This Row],[Blanket]],Table_NFI[[#This Row],[Blanket]])</f>
        <v>0</v>
      </c>
      <c r="AE634" s="264">
        <f>IF(NFI_Expiration=1,IF($A634&lt;VLOOKUP(N$5,NFI,5,0),1,0)*Table_NFI[[#This Row],[Kitchen Set]],Table_NFI[Kitchen Set])</f>
        <v>0</v>
      </c>
      <c r="AF634" s="264">
        <f>IF(NFI_Expiration=1,IF($A634&lt;VLOOKUP(O$5,NFI,5,0),1,0)*Table_NFI[[#This Row],[Clothes Kit]],Table_NFI[Clothes Kit])</f>
        <v>0</v>
      </c>
      <c r="AG634" s="264">
        <f>IF(NFI_Expiration=1,IF($A634&lt;VLOOKUP(P$5,NFI,5,0),1,0)*Table_NFI[[#This Row],[Plastic Bucket]],Table_NFI[Plastic Bucket])</f>
        <v>0</v>
      </c>
      <c r="AH634" s="264">
        <f>IF(NFI_Expiration=1,IF($A634&lt;VLOOKUP(Q$5,NFI,5,0),1,0)*Table_NFI[[#This Row],[Plastic Mat]],Table_NFI[Plastic Mat])*IF(Table_NFI[[#This Row],[Distribution Date]]&gt;"2014-04-01",1,2.5)</f>
        <v>0</v>
      </c>
      <c r="AI634" s="264">
        <f>IF(NFI_Expiration=1,IF($A634&lt;VLOOKUP(R$5,NFI,5,0),1,0)*Table_NFI[[#This Row],[Winter Clothes Adult]],Table_NFI[Winter Clothes Adult])</f>
        <v>0</v>
      </c>
      <c r="AJ634" s="264">
        <f>IF(NFI_Expiration=1,IF($A634&lt;VLOOKUP(S$5,NFI,5,0),1,0)*Table_NFI[[#This Row],[Winter Clothes Children]],Table_NFI[Winter Clothes Children])</f>
        <v>0</v>
      </c>
      <c r="AK634" s="264">
        <f>IF(NFI_Expiration=1,IF($A634&lt;VLOOKUP(T$5,NFI,5,0),1,0)*Table_NFI[[#This Row],[Winter Items Other]],Table_NFI[Winter Items Other])</f>
        <v>0</v>
      </c>
      <c r="AL634" s="264">
        <f>IF(NFI_Expiration=1,IF($A634&lt;VLOOKUP(M$5,NFI,5,0),1,0)*Table_NFI[[#This Row],[Winter Blanket]],Table_NFI[[#This Row],[Winter Blanket]])</f>
        <v>0</v>
      </c>
      <c r="AM634" s="264">
        <f>IF(Table_NFI[[#This Row],[Winter Clothes Adult]]+Table_NFI[[#This Row],[Winter Clothes Children]]+Table_NFI[[#This Row],[Winter Items Other]]+Table_NFI[[#This Row],[Winter Blanket]]&gt;0,1,0)</f>
        <v>0</v>
      </c>
      <c r="AN634" s="296">
        <f>IF(NFI_Expiration=1,IF($A634&lt;VLOOKUP(V$5,NFI,5,0),1,0)*Table_NFI[[#This Row],[Jerry Can]],Table_NFI[Jerry Can])</f>
        <v>0</v>
      </c>
      <c r="AO634" s="296">
        <f>IF(NFI_Expiration=1,IF($A634&lt;VLOOKUP(V$5,NFI,5,0),1,0)*Table_NFI[[#This Row],[Shelter Tool kit]],Table_NFI[Shelter Tool kit])</f>
        <v>0</v>
      </c>
      <c r="AP634" s="296">
        <f>IF(NFI_Expiration=1,IF($A634&lt;VLOOKUP(V$5,NFI,5,0),1,0)*Table_NFI[[#This Row],[Tent]],Table_NFI[Tent])</f>
        <v>0</v>
      </c>
      <c r="AQ634" s="396" t="str">
        <f>IFERROR(VLOOKUP(Table_NFI[[#This Row],[Camp Name]],CL,2,0),"")</f>
        <v>MMR001CMP116</v>
      </c>
      <c r="AR634" s="702">
        <f ca="1">IF(Table_NFI[[#This Row],[Pcode]]="","",IF(OFFSET(CampList[Opening Date],MATCH(Table_NFI[[#This Row],[Pcode]],CampList[CP_Pcode],0)-1,0,1,1)&gt;=NFI_Monitor_Date,1,0))</f>
        <v>0</v>
      </c>
      <c r="AS634" s="396" t="str">
        <f>IFERROR(VLOOKUP(Table_NFI[[#This Row],[Camp Name]],CL,3,0),"")</f>
        <v>Open</v>
      </c>
      <c r="AT634" s="264" t="str">
        <f ca="1">IF(Table_NFI[[#This Row],[Pcode]]="","",OFFSET(CampList[Priority],MATCH(Table_NFI[[#This Row],[Pcode]],CampList[CP_Pcode],0)-1,0,1,1))</f>
        <v>P4</v>
      </c>
      <c r="AU634" s="263">
        <f>IFERROR(Table_NFI[[#This Row],[Kitchen Set]]/VLOOKUP(Table_NFI[[#This Row],[Camp Name]],CL,4,0),"")</f>
        <v>0</v>
      </c>
      <c r="AV634" s="390" t="s">
        <v>1087</v>
      </c>
      <c r="AW634" s="392"/>
      <c r="AX634" s="399"/>
      <c r="AY634" s="399"/>
      <c r="AZ634" s="399"/>
      <c r="BA634" s="399"/>
      <c r="BB634" s="399"/>
      <c r="BC634" s="399"/>
      <c r="BD634" s="399"/>
      <c r="BE634" s="399"/>
      <c r="BF634" s="399"/>
      <c r="BG634" s="399"/>
      <c r="BH634" s="399"/>
      <c r="BI634" s="399"/>
      <c r="BJ634" s="399"/>
      <c r="BK634" s="399"/>
      <c r="BL634" s="399"/>
      <c r="BM634" s="399"/>
      <c r="BN634" s="399"/>
      <c r="BO634" s="399"/>
      <c r="BP634" s="399"/>
      <c r="BQ634" s="399"/>
      <c r="BR634" s="399"/>
      <c r="BS634" s="399"/>
      <c r="BT634" s="399"/>
      <c r="BU634" s="399"/>
      <c r="BV634" s="399"/>
      <c r="BW634" s="399"/>
      <c r="BX634" s="399"/>
      <c r="BY634" s="399"/>
      <c r="BZ634" s="399"/>
      <c r="CA634" s="399"/>
      <c r="CB634" s="399"/>
      <c r="CC634" s="399"/>
      <c r="CD634" s="399"/>
      <c r="CE634" s="399"/>
      <c r="CF634" s="399"/>
      <c r="CG634" s="399"/>
      <c r="CH634" s="399"/>
      <c r="CI634" s="399"/>
      <c r="CJ634" s="399"/>
      <c r="CK634" s="399"/>
      <c r="CL634" s="399"/>
      <c r="CM634" s="399"/>
      <c r="CN634" s="399"/>
      <c r="CO634" s="399"/>
      <c r="CP634" s="399"/>
      <c r="CQ634" s="399"/>
      <c r="CR634" s="399"/>
      <c r="CS634" s="399"/>
      <c r="CT634" s="399"/>
      <c r="CU634" s="399"/>
      <c r="CV634" s="399"/>
      <c r="CW634" s="399"/>
      <c r="CX634" s="399"/>
      <c r="CY634" s="399"/>
      <c r="CZ634" s="399"/>
      <c r="DA634" s="399"/>
      <c r="DB634" s="399"/>
      <c r="DC634" s="399"/>
      <c r="DD634" s="399"/>
      <c r="DE634" s="399"/>
      <c r="DF634" s="399"/>
      <c r="DG634" s="399"/>
      <c r="DH634" s="399"/>
      <c r="DI634" s="399"/>
      <c r="DJ634" s="399"/>
      <c r="DK634" s="399"/>
      <c r="DL634" s="399"/>
      <c r="DM634" s="399"/>
      <c r="DN634" s="399"/>
      <c r="DO634" s="399"/>
      <c r="DP634" s="399"/>
      <c r="DQ634" s="399"/>
    </row>
    <row r="635" spans="1:121" s="760" customFormat="1" ht="14.45" customHeight="1" x14ac:dyDescent="0.25">
      <c r="A635" s="266">
        <f t="shared" si="9"/>
        <v>41.6</v>
      </c>
      <c r="B635" s="389">
        <v>41608</v>
      </c>
      <c r="C635" s="390" t="s">
        <v>1092</v>
      </c>
      <c r="D635" s="391" t="s">
        <v>943</v>
      </c>
      <c r="E635" s="390" t="s">
        <v>380</v>
      </c>
      <c r="F635" s="262" t="s">
        <v>5</v>
      </c>
      <c r="G635" s="262" t="s">
        <v>26</v>
      </c>
      <c r="H635" s="261"/>
      <c r="I635" s="261"/>
      <c r="J635" s="261"/>
      <c r="K635" s="261"/>
      <c r="L635" s="261"/>
      <c r="M635" s="261">
        <v>64</v>
      </c>
      <c r="N635" s="261"/>
      <c r="O635" s="261"/>
      <c r="P635" s="261"/>
      <c r="Q635" s="261"/>
      <c r="R635" s="261">
        <v>58</v>
      </c>
      <c r="S635" s="261">
        <v>52</v>
      </c>
      <c r="T635" s="261">
        <v>0</v>
      </c>
      <c r="U635" s="261"/>
      <c r="V635" s="762"/>
      <c r="W635" s="261"/>
      <c r="X635" s="261"/>
      <c r="Y635" s="264">
        <f>IF(NFI_Expiration=1,IF($A635&lt;VLOOKUP(H$5,NFI,5,0),1,0)*Table_NFI[[#This Row],[Hygiene Kit]],Table_NFI[Hygiene Kit])</f>
        <v>0</v>
      </c>
      <c r="Z635" s="264">
        <f>IF(NFI_Expiration=1,IF($A635&lt;VLOOKUP(I$5,NFI,5,0),1,0)*Table_NFI[[#This Row],[NFI Core Kit]],Table_NFI[NFI Core Kit])</f>
        <v>0</v>
      </c>
      <c r="AA635" s="264">
        <f>IF(NFI_Expiration=1,IF($A635&lt;VLOOKUP(J$5,NFI,5,0),1,0)*Table_NFI[[#This Row],[Sanitary Kit]],Table_NFI[Sanitary Kit])</f>
        <v>0</v>
      </c>
      <c r="AB635" s="264">
        <f>IF(NFI_Expiration=1,IF($A635&lt;VLOOKUP(K$5,NFI,5,0),1,0)*Table_NFI[[#This Row],[Mosquito net]],Table_NFI[Mosquito net])</f>
        <v>0</v>
      </c>
      <c r="AC635" s="264">
        <f>IF(NFI_Expiration=1,IF($A635&lt;VLOOKUP(L$5,NFI,5,0),1,0)*Table_NFI[[#This Row],[Tarpaulin]],Table_NFI[[#This Row],[Tarpaulin]])</f>
        <v>0</v>
      </c>
      <c r="AD635" s="264">
        <f>IF(NFI_Expiration=1,IF($A635&lt;VLOOKUP(M$5,NFI,5,0),1,0)*Table_NFI[[#This Row],[Blanket]],Table_NFI[[#This Row],[Blanket]])</f>
        <v>0</v>
      </c>
      <c r="AE635" s="264">
        <f>IF(NFI_Expiration=1,IF($A635&lt;VLOOKUP(N$5,NFI,5,0),1,0)*Table_NFI[[#This Row],[Kitchen Set]],Table_NFI[Kitchen Set])</f>
        <v>0</v>
      </c>
      <c r="AF635" s="264">
        <f>IF(NFI_Expiration=1,IF($A635&lt;VLOOKUP(O$5,NFI,5,0),1,0)*Table_NFI[[#This Row],[Clothes Kit]],Table_NFI[Clothes Kit])</f>
        <v>0</v>
      </c>
      <c r="AG635" s="264">
        <f>IF(NFI_Expiration=1,IF($A635&lt;VLOOKUP(P$5,NFI,5,0),1,0)*Table_NFI[[#This Row],[Plastic Bucket]],Table_NFI[Plastic Bucket])</f>
        <v>0</v>
      </c>
      <c r="AH635" s="264">
        <f>IF(NFI_Expiration=1,IF($A635&lt;VLOOKUP(Q$5,NFI,5,0),1,0)*Table_NFI[[#This Row],[Plastic Mat]],Table_NFI[Plastic Mat])*IF(Table_NFI[[#This Row],[Distribution Date]]&gt;"2014-04-01",1,2.5)</f>
        <v>0</v>
      </c>
      <c r="AI635" s="264">
        <f>IF(NFI_Expiration=1,IF($A635&lt;VLOOKUP(R$5,NFI,5,0),1,0)*Table_NFI[[#This Row],[Winter Clothes Adult]],Table_NFI[Winter Clothes Adult])</f>
        <v>0</v>
      </c>
      <c r="AJ635" s="264">
        <f>IF(NFI_Expiration=1,IF($A635&lt;VLOOKUP(S$5,NFI,5,0),1,0)*Table_NFI[[#This Row],[Winter Clothes Children]],Table_NFI[Winter Clothes Children])</f>
        <v>0</v>
      </c>
      <c r="AK635" s="264">
        <f>IF(NFI_Expiration=1,IF($A635&lt;VLOOKUP(T$5,NFI,5,0),1,0)*Table_NFI[[#This Row],[Winter Items Other]],Table_NFI[Winter Items Other])</f>
        <v>0</v>
      </c>
      <c r="AL635" s="264">
        <f>IF(NFI_Expiration=1,IF($A635&lt;VLOOKUP(M$5,NFI,5,0),1,0)*Table_NFI[[#This Row],[Winter Blanket]],Table_NFI[[#This Row],[Winter Blanket]])</f>
        <v>0</v>
      </c>
      <c r="AM635" s="264">
        <f>IF(Table_NFI[[#This Row],[Winter Clothes Adult]]+Table_NFI[[#This Row],[Winter Clothes Children]]+Table_NFI[[#This Row],[Winter Items Other]]+Table_NFI[[#This Row],[Winter Blanket]]&gt;0,1,0)</f>
        <v>1</v>
      </c>
      <c r="AN635" s="296">
        <f>IF(NFI_Expiration=1,IF($A635&lt;VLOOKUP(V$5,NFI,5,0),1,0)*Table_NFI[[#This Row],[Jerry Can]],Table_NFI[Jerry Can])</f>
        <v>0</v>
      </c>
      <c r="AO635" s="296">
        <f>IF(NFI_Expiration=1,IF($A635&lt;VLOOKUP(V$5,NFI,5,0),1,0)*Table_NFI[[#This Row],[Shelter Tool kit]],Table_NFI[Shelter Tool kit])</f>
        <v>0</v>
      </c>
      <c r="AP635" s="296">
        <f>IF(NFI_Expiration=1,IF($A635&lt;VLOOKUP(V$5,NFI,5,0),1,0)*Table_NFI[[#This Row],[Tent]],Table_NFI[Tent])</f>
        <v>0</v>
      </c>
      <c r="AQ635" s="396" t="str">
        <f>IFERROR(VLOOKUP(Table_NFI[[#This Row],[Camp Name]],CL,2,0),"")</f>
        <v>MMR001CMP053</v>
      </c>
      <c r="AR635" s="702">
        <f ca="1">IF(Table_NFI[[#This Row],[Pcode]]="","",IF(OFFSET(CampList[Opening Date],MATCH(Table_NFI[[#This Row],[Pcode]],CampList[CP_Pcode],0)-1,0,1,1)&gt;=NFI_Monitor_Date,1,0))</f>
        <v>0</v>
      </c>
      <c r="AS635" s="396" t="str">
        <f>IFERROR(VLOOKUP(Table_NFI[[#This Row],[Camp Name]],CL,3,0),"")</f>
        <v>Open</v>
      </c>
      <c r="AT635" s="264" t="str">
        <f ca="1">IF(Table_NFI[[#This Row],[Pcode]]="","",OFFSET(CampList[Priority],MATCH(Table_NFI[[#This Row],[Pcode]],CampList[CP_Pcode],0)-1,0,1,1))</f>
        <v>P4</v>
      </c>
      <c r="AU635" s="263">
        <f>IFERROR(Table_NFI[[#This Row],[Kitchen Set]]/VLOOKUP(Table_NFI[[#This Row],[Camp Name]],CL,4,0),"")</f>
        <v>0</v>
      </c>
      <c r="AV635" s="390" t="s">
        <v>1087</v>
      </c>
      <c r="AW635" s="392"/>
      <c r="AX635" s="399"/>
      <c r="AY635" s="399"/>
      <c r="AZ635" s="399"/>
      <c r="BA635" s="399"/>
      <c r="BB635" s="399"/>
      <c r="BC635" s="399"/>
      <c r="BD635" s="399"/>
      <c r="BE635" s="399"/>
      <c r="BF635" s="399"/>
      <c r="BG635" s="399"/>
      <c r="BH635" s="399"/>
      <c r="BI635" s="399"/>
      <c r="BJ635" s="399"/>
      <c r="BK635" s="399"/>
      <c r="BL635" s="399"/>
      <c r="BM635" s="399"/>
      <c r="BN635" s="399"/>
      <c r="BO635" s="399"/>
      <c r="BP635" s="399"/>
      <c r="BQ635" s="399"/>
      <c r="BR635" s="399"/>
      <c r="BS635" s="399"/>
      <c r="BT635" s="399"/>
      <c r="BU635" s="399"/>
      <c r="BV635" s="399"/>
      <c r="BW635" s="399"/>
      <c r="BX635" s="399"/>
      <c r="BY635" s="399"/>
      <c r="BZ635" s="399"/>
      <c r="CA635" s="399"/>
      <c r="CB635" s="399"/>
      <c r="CC635" s="399"/>
      <c r="CD635" s="399"/>
      <c r="CE635" s="399"/>
      <c r="CF635" s="399"/>
      <c r="CG635" s="399"/>
      <c r="CH635" s="399"/>
      <c r="CI635" s="399"/>
      <c r="CJ635" s="399"/>
      <c r="CK635" s="399"/>
      <c r="CL635" s="399"/>
      <c r="CM635" s="399"/>
      <c r="CN635" s="399"/>
      <c r="CO635" s="399"/>
      <c r="CP635" s="399"/>
      <c r="CQ635" s="399"/>
      <c r="CR635" s="399"/>
      <c r="CS635" s="399"/>
      <c r="CT635" s="399"/>
      <c r="CU635" s="399"/>
      <c r="CV635" s="399"/>
      <c r="CW635" s="399"/>
      <c r="CX635" s="399"/>
      <c r="CY635" s="399"/>
      <c r="CZ635" s="399"/>
      <c r="DA635" s="399"/>
      <c r="DB635" s="399"/>
      <c r="DC635" s="399"/>
      <c r="DD635" s="399"/>
      <c r="DE635" s="399"/>
      <c r="DF635" s="399"/>
      <c r="DG635" s="399"/>
      <c r="DH635" s="399"/>
      <c r="DI635" s="399"/>
      <c r="DJ635" s="399"/>
      <c r="DK635" s="399"/>
      <c r="DL635" s="399"/>
      <c r="DM635" s="399"/>
      <c r="DN635" s="399"/>
      <c r="DO635" s="399"/>
      <c r="DP635" s="399"/>
      <c r="DQ635" s="399"/>
    </row>
    <row r="636" spans="1:121" s="760" customFormat="1" ht="14.45" customHeight="1" x14ac:dyDescent="0.25">
      <c r="A636" s="266">
        <f t="shared" si="9"/>
        <v>41.6</v>
      </c>
      <c r="B636" s="389">
        <v>41608</v>
      </c>
      <c r="C636" s="390" t="s">
        <v>904</v>
      </c>
      <c r="D636" s="390"/>
      <c r="E636" s="390" t="s">
        <v>380</v>
      </c>
      <c r="F636" s="262" t="s">
        <v>5</v>
      </c>
      <c r="G636" s="262" t="s">
        <v>26</v>
      </c>
      <c r="H636" s="261"/>
      <c r="I636" s="261"/>
      <c r="J636" s="261"/>
      <c r="K636" s="261"/>
      <c r="L636" s="261"/>
      <c r="M636" s="261"/>
      <c r="N636" s="261"/>
      <c r="O636" s="261"/>
      <c r="P636" s="261"/>
      <c r="Q636" s="261">
        <v>99</v>
      </c>
      <c r="R636" s="261"/>
      <c r="S636" s="261"/>
      <c r="T636" s="261"/>
      <c r="U636" s="261"/>
      <c r="V636" s="762"/>
      <c r="W636" s="261"/>
      <c r="X636" s="261"/>
      <c r="Y636" s="264">
        <f>IF(NFI_Expiration=1,IF($A636&lt;VLOOKUP(H$5,NFI,5,0),1,0)*Table_NFI[[#This Row],[Hygiene Kit]],Table_NFI[Hygiene Kit])</f>
        <v>0</v>
      </c>
      <c r="Z636" s="264">
        <f>IF(NFI_Expiration=1,IF($A636&lt;VLOOKUP(I$5,NFI,5,0),1,0)*Table_NFI[[#This Row],[NFI Core Kit]],Table_NFI[NFI Core Kit])</f>
        <v>0</v>
      </c>
      <c r="AA636" s="264">
        <f>IF(NFI_Expiration=1,IF($A636&lt;VLOOKUP(J$5,NFI,5,0),1,0)*Table_NFI[[#This Row],[Sanitary Kit]],Table_NFI[Sanitary Kit])</f>
        <v>0</v>
      </c>
      <c r="AB636" s="264">
        <f>IF(NFI_Expiration=1,IF($A636&lt;VLOOKUP(K$5,NFI,5,0),1,0)*Table_NFI[[#This Row],[Mosquito net]],Table_NFI[Mosquito net])</f>
        <v>0</v>
      </c>
      <c r="AC636" s="264">
        <f>IF(NFI_Expiration=1,IF($A636&lt;VLOOKUP(L$5,NFI,5,0),1,0)*Table_NFI[[#This Row],[Tarpaulin]],Table_NFI[[#This Row],[Tarpaulin]])</f>
        <v>0</v>
      </c>
      <c r="AD636" s="264">
        <f>IF(NFI_Expiration=1,IF($A636&lt;VLOOKUP(M$5,NFI,5,0),1,0)*Table_NFI[[#This Row],[Blanket]],Table_NFI[[#This Row],[Blanket]])</f>
        <v>0</v>
      </c>
      <c r="AE636" s="264">
        <f>IF(NFI_Expiration=1,IF($A636&lt;VLOOKUP(N$5,NFI,5,0),1,0)*Table_NFI[[#This Row],[Kitchen Set]],Table_NFI[Kitchen Set])</f>
        <v>0</v>
      </c>
      <c r="AF636" s="264">
        <f>IF(NFI_Expiration=1,IF($A636&lt;VLOOKUP(O$5,NFI,5,0),1,0)*Table_NFI[[#This Row],[Clothes Kit]],Table_NFI[Clothes Kit])</f>
        <v>0</v>
      </c>
      <c r="AG636" s="264">
        <f>IF(NFI_Expiration=1,IF($A636&lt;VLOOKUP(P$5,NFI,5,0),1,0)*Table_NFI[[#This Row],[Plastic Bucket]],Table_NFI[Plastic Bucket])</f>
        <v>0</v>
      </c>
      <c r="AH636" s="264">
        <f>IF(NFI_Expiration=1,IF($A636&lt;VLOOKUP(Q$5,NFI,5,0),1,0)*Table_NFI[[#This Row],[Plastic Mat]],Table_NFI[Plastic Mat])*IF(Table_NFI[[#This Row],[Distribution Date]]&gt;"2014-04-01",1,2.5)</f>
        <v>0</v>
      </c>
      <c r="AI636" s="264">
        <f>IF(NFI_Expiration=1,IF($A636&lt;VLOOKUP(R$5,NFI,5,0),1,0)*Table_NFI[[#This Row],[Winter Clothes Adult]],Table_NFI[Winter Clothes Adult])</f>
        <v>0</v>
      </c>
      <c r="AJ636" s="264">
        <f>IF(NFI_Expiration=1,IF($A636&lt;VLOOKUP(S$5,NFI,5,0),1,0)*Table_NFI[[#This Row],[Winter Clothes Children]],Table_NFI[Winter Clothes Children])</f>
        <v>0</v>
      </c>
      <c r="AK636" s="264">
        <f>IF(NFI_Expiration=1,IF($A636&lt;VLOOKUP(T$5,NFI,5,0),1,0)*Table_NFI[[#This Row],[Winter Items Other]],Table_NFI[Winter Items Other])</f>
        <v>0</v>
      </c>
      <c r="AL636" s="264">
        <f>IF(NFI_Expiration=1,IF($A636&lt;VLOOKUP(M$5,NFI,5,0),1,0)*Table_NFI[[#This Row],[Winter Blanket]],Table_NFI[[#This Row],[Winter Blanket]])</f>
        <v>0</v>
      </c>
      <c r="AM636" s="264">
        <f>IF(Table_NFI[[#This Row],[Winter Clothes Adult]]+Table_NFI[[#This Row],[Winter Clothes Children]]+Table_NFI[[#This Row],[Winter Items Other]]+Table_NFI[[#This Row],[Winter Blanket]]&gt;0,1,0)</f>
        <v>0</v>
      </c>
      <c r="AN636" s="296">
        <f>IF(NFI_Expiration=1,IF($A636&lt;VLOOKUP(V$5,NFI,5,0),1,0)*Table_NFI[[#This Row],[Jerry Can]],Table_NFI[Jerry Can])</f>
        <v>0</v>
      </c>
      <c r="AO636" s="296">
        <f>IF(NFI_Expiration=1,IF($A636&lt;VLOOKUP(V$5,NFI,5,0),1,0)*Table_NFI[[#This Row],[Shelter Tool kit]],Table_NFI[Shelter Tool kit])</f>
        <v>0</v>
      </c>
      <c r="AP636" s="296">
        <f>IF(NFI_Expiration=1,IF($A636&lt;VLOOKUP(V$5,NFI,5,0),1,0)*Table_NFI[[#This Row],[Tent]],Table_NFI[Tent])</f>
        <v>0</v>
      </c>
      <c r="AQ636" s="396" t="str">
        <f>IFERROR(VLOOKUP(Table_NFI[[#This Row],[Camp Name]],CL,2,0),"")</f>
        <v>MMR001CMP053</v>
      </c>
      <c r="AR636" s="702">
        <f ca="1">IF(Table_NFI[[#This Row],[Pcode]]="","",IF(OFFSET(CampList[Opening Date],MATCH(Table_NFI[[#This Row],[Pcode]],CampList[CP_Pcode],0)-1,0,1,1)&gt;=NFI_Monitor_Date,1,0))</f>
        <v>0</v>
      </c>
      <c r="AS636" s="396" t="str">
        <f>IFERROR(VLOOKUP(Table_NFI[[#This Row],[Camp Name]],CL,3,0),"")</f>
        <v>Open</v>
      </c>
      <c r="AT636" s="264" t="str">
        <f ca="1">IF(Table_NFI[[#This Row],[Pcode]]="","",OFFSET(CampList[Priority],MATCH(Table_NFI[[#This Row],[Pcode]],CampList[CP_Pcode],0)-1,0,1,1))</f>
        <v>P4</v>
      </c>
      <c r="AU636" s="263">
        <f>IFERROR(Table_NFI[[#This Row],[Kitchen Set]]/VLOOKUP(Table_NFI[[#This Row],[Camp Name]],CL,4,0),"")</f>
        <v>0</v>
      </c>
      <c r="AV636" s="390" t="s">
        <v>1087</v>
      </c>
      <c r="AW636" s="392"/>
      <c r="AX636" s="399"/>
      <c r="AY636" s="399"/>
      <c r="AZ636" s="399"/>
      <c r="BA636" s="399"/>
      <c r="BB636" s="399"/>
      <c r="BC636" s="399"/>
      <c r="BD636" s="399"/>
      <c r="BE636" s="399"/>
      <c r="BF636" s="399"/>
      <c r="BG636" s="399"/>
      <c r="BH636" s="399"/>
      <c r="BI636" s="399"/>
      <c r="BJ636" s="399"/>
      <c r="BK636" s="399"/>
      <c r="BL636" s="399"/>
      <c r="BM636" s="399"/>
      <c r="BN636" s="399"/>
      <c r="BO636" s="399"/>
      <c r="BP636" s="399"/>
      <c r="BQ636" s="399"/>
      <c r="BR636" s="399"/>
      <c r="BS636" s="399"/>
      <c r="BT636" s="399"/>
      <c r="BU636" s="399"/>
      <c r="BV636" s="399"/>
      <c r="BW636" s="399"/>
      <c r="BX636" s="399"/>
      <c r="BY636" s="399"/>
      <c r="BZ636" s="399"/>
      <c r="CA636" s="399"/>
      <c r="CB636" s="399"/>
      <c r="CC636" s="399"/>
      <c r="CD636" s="399"/>
      <c r="CE636" s="399"/>
      <c r="CF636" s="399"/>
      <c r="CG636" s="399"/>
      <c r="CH636" s="399"/>
      <c r="CI636" s="399"/>
      <c r="CJ636" s="399"/>
      <c r="CK636" s="399"/>
      <c r="CL636" s="399"/>
      <c r="CM636" s="399"/>
      <c r="CN636" s="399"/>
      <c r="CO636" s="399"/>
      <c r="CP636" s="399"/>
      <c r="CQ636" s="399"/>
      <c r="CR636" s="399"/>
      <c r="CS636" s="399"/>
      <c r="CT636" s="399"/>
      <c r="CU636" s="399"/>
      <c r="CV636" s="399"/>
      <c r="CW636" s="399"/>
      <c r="CX636" s="399"/>
      <c r="CY636" s="399"/>
      <c r="CZ636" s="399"/>
      <c r="DA636" s="399"/>
      <c r="DB636" s="399"/>
      <c r="DC636" s="399"/>
      <c r="DD636" s="399"/>
      <c r="DE636" s="399"/>
      <c r="DF636" s="399"/>
      <c r="DG636" s="399"/>
      <c r="DH636" s="399"/>
      <c r="DI636" s="399"/>
      <c r="DJ636" s="399"/>
      <c r="DK636" s="399"/>
      <c r="DL636" s="399"/>
      <c r="DM636" s="399"/>
      <c r="DN636" s="399"/>
      <c r="DO636" s="399"/>
      <c r="DP636" s="399"/>
      <c r="DQ636" s="399"/>
    </row>
    <row r="637" spans="1:121" s="760" customFormat="1" ht="14.45" customHeight="1" x14ac:dyDescent="0.25">
      <c r="A637" s="266">
        <f t="shared" si="9"/>
        <v>41.6</v>
      </c>
      <c r="B637" s="389">
        <v>41608</v>
      </c>
      <c r="C637" s="390" t="s">
        <v>904</v>
      </c>
      <c r="D637" s="390" t="s">
        <v>459</v>
      </c>
      <c r="E637" s="390" t="s">
        <v>380</v>
      </c>
      <c r="F637" s="262" t="s">
        <v>310</v>
      </c>
      <c r="G637" s="262" t="s">
        <v>1233</v>
      </c>
      <c r="H637" s="261"/>
      <c r="I637" s="261"/>
      <c r="J637" s="261"/>
      <c r="K637" s="261"/>
      <c r="L637" s="261"/>
      <c r="M637" s="261"/>
      <c r="N637" s="261"/>
      <c r="O637" s="261"/>
      <c r="P637" s="261"/>
      <c r="Q637" s="261"/>
      <c r="R637" s="261"/>
      <c r="S637" s="261"/>
      <c r="T637" s="261"/>
      <c r="U637" s="261"/>
      <c r="V637" s="762"/>
      <c r="W637" s="261"/>
      <c r="X637" s="261"/>
      <c r="Y637" s="264">
        <f>IF(NFI_Expiration=1,IF($A637&lt;VLOOKUP(H$5,NFI,5,0),1,0)*Table_NFI[[#This Row],[Hygiene Kit]],Table_NFI[Hygiene Kit])</f>
        <v>0</v>
      </c>
      <c r="Z637" s="264">
        <f>IF(NFI_Expiration=1,IF($A637&lt;VLOOKUP(I$5,NFI,5,0),1,0)*Table_NFI[[#This Row],[NFI Core Kit]],Table_NFI[NFI Core Kit])</f>
        <v>0</v>
      </c>
      <c r="AA637" s="264">
        <f>IF(NFI_Expiration=1,IF($A637&lt;VLOOKUP(J$5,NFI,5,0),1,0)*Table_NFI[[#This Row],[Sanitary Kit]],Table_NFI[Sanitary Kit])</f>
        <v>0</v>
      </c>
      <c r="AB637" s="264">
        <f>IF(NFI_Expiration=1,IF($A637&lt;VLOOKUP(K$5,NFI,5,0),1,0)*Table_NFI[[#This Row],[Mosquito net]],Table_NFI[Mosquito net])</f>
        <v>0</v>
      </c>
      <c r="AC637" s="264">
        <f>IF(NFI_Expiration=1,IF($A637&lt;VLOOKUP(L$5,NFI,5,0),1,0)*Table_NFI[[#This Row],[Tarpaulin]],Table_NFI[[#This Row],[Tarpaulin]])</f>
        <v>0</v>
      </c>
      <c r="AD637" s="264">
        <f>IF(NFI_Expiration=1,IF($A637&lt;VLOOKUP(M$5,NFI,5,0),1,0)*Table_NFI[[#This Row],[Blanket]],Table_NFI[[#This Row],[Blanket]])</f>
        <v>0</v>
      </c>
      <c r="AE637" s="264">
        <f>IF(NFI_Expiration=1,IF($A637&lt;VLOOKUP(N$5,NFI,5,0),1,0)*Table_NFI[[#This Row],[Kitchen Set]],Table_NFI[Kitchen Set])</f>
        <v>0</v>
      </c>
      <c r="AF637" s="264">
        <f>IF(NFI_Expiration=1,IF($A637&lt;VLOOKUP(O$5,NFI,5,0),1,0)*Table_NFI[[#This Row],[Clothes Kit]],Table_NFI[Clothes Kit])</f>
        <v>0</v>
      </c>
      <c r="AG637" s="264">
        <f>IF(NFI_Expiration=1,IF($A637&lt;VLOOKUP(P$5,NFI,5,0),1,0)*Table_NFI[[#This Row],[Plastic Bucket]],Table_NFI[Plastic Bucket])</f>
        <v>0</v>
      </c>
      <c r="AH637" s="264">
        <f>IF(NFI_Expiration=1,IF($A637&lt;VLOOKUP(Q$5,NFI,5,0),1,0)*Table_NFI[[#This Row],[Plastic Mat]],Table_NFI[Plastic Mat])*IF(Table_NFI[[#This Row],[Distribution Date]]&gt;"2014-04-01",1,2.5)</f>
        <v>0</v>
      </c>
      <c r="AI637" s="264">
        <f>IF(NFI_Expiration=1,IF($A637&lt;VLOOKUP(R$5,NFI,5,0),1,0)*Table_NFI[[#This Row],[Winter Clothes Adult]],Table_NFI[Winter Clothes Adult])</f>
        <v>0</v>
      </c>
      <c r="AJ637" s="264">
        <f>IF(NFI_Expiration=1,IF($A637&lt;VLOOKUP(S$5,NFI,5,0),1,0)*Table_NFI[[#This Row],[Winter Clothes Children]],Table_NFI[Winter Clothes Children])</f>
        <v>0</v>
      </c>
      <c r="AK637" s="264">
        <f>IF(NFI_Expiration=1,IF($A637&lt;VLOOKUP(T$5,NFI,5,0),1,0)*Table_NFI[[#This Row],[Winter Items Other]],Table_NFI[Winter Items Other])</f>
        <v>0</v>
      </c>
      <c r="AL637" s="264">
        <f>IF(NFI_Expiration=1,IF($A637&lt;VLOOKUP(M$5,NFI,5,0),1,0)*Table_NFI[[#This Row],[Winter Blanket]],Table_NFI[[#This Row],[Winter Blanket]])</f>
        <v>0</v>
      </c>
      <c r="AM637" s="264">
        <f>IF(Table_NFI[[#This Row],[Winter Clothes Adult]]+Table_NFI[[#This Row],[Winter Clothes Children]]+Table_NFI[[#This Row],[Winter Items Other]]+Table_NFI[[#This Row],[Winter Blanket]]&gt;0,1,0)</f>
        <v>0</v>
      </c>
      <c r="AN637" s="296">
        <f>IF(NFI_Expiration=1,IF($A637&lt;VLOOKUP(V$5,NFI,5,0),1,0)*Table_NFI[[#This Row],[Jerry Can]],Table_NFI[Jerry Can])</f>
        <v>0</v>
      </c>
      <c r="AO637" s="296">
        <f>IF(NFI_Expiration=1,IF($A637&lt;VLOOKUP(V$5,NFI,5,0),1,0)*Table_NFI[[#This Row],[Shelter Tool kit]],Table_NFI[Shelter Tool kit])</f>
        <v>0</v>
      </c>
      <c r="AP637" s="296">
        <f>IF(NFI_Expiration=1,IF($A637&lt;VLOOKUP(V$5,NFI,5,0),1,0)*Table_NFI[[#This Row],[Tent]],Table_NFI[Tent])</f>
        <v>0</v>
      </c>
      <c r="AQ637" s="396" t="str">
        <f>IFERROR(VLOOKUP(Table_NFI[[#This Row],[Camp Name]],CL,2,0),"")</f>
        <v>MMR001CMP111</v>
      </c>
      <c r="AR637" s="702">
        <f ca="1">IF(Table_NFI[[#This Row],[Pcode]]="","",IF(OFFSET(CampList[Opening Date],MATCH(Table_NFI[[#This Row],[Pcode]],CampList[CP_Pcode],0)-1,0,1,1)&gt;=NFI_Monitor_Date,1,0))</f>
        <v>0</v>
      </c>
      <c r="AS637" s="396" t="str">
        <f>IFERROR(VLOOKUP(Table_NFI[[#This Row],[Camp Name]],CL,3,0),"")</f>
        <v>Closed</v>
      </c>
      <c r="AT637" s="264" t="str">
        <f ca="1">IF(Table_NFI[[#This Row],[Pcode]]="","",OFFSET(CampList[Priority],MATCH(Table_NFI[[#This Row],[Pcode]],CampList[CP_Pcode],0)-1,0,1,1))</f>
        <v>P2</v>
      </c>
      <c r="AU637" s="263">
        <f>IFERROR(Table_NFI[[#This Row],[Kitchen Set]]/VLOOKUP(Table_NFI[[#This Row],[Camp Name]],CL,4,0),"")</f>
        <v>0</v>
      </c>
      <c r="AV637" s="390" t="s">
        <v>1087</v>
      </c>
      <c r="AW637" s="392"/>
      <c r="AX637" s="399"/>
      <c r="AY637" s="399"/>
      <c r="AZ637" s="399"/>
      <c r="BA637" s="399"/>
      <c r="BB637" s="399"/>
      <c r="BC637" s="399"/>
      <c r="BD637" s="399"/>
      <c r="BE637" s="399"/>
      <c r="BF637" s="399"/>
      <c r="BG637" s="399"/>
      <c r="BH637" s="399"/>
      <c r="BI637" s="399"/>
      <c r="BJ637" s="399"/>
      <c r="BK637" s="399"/>
      <c r="BL637" s="399"/>
      <c r="BM637" s="399"/>
      <c r="BN637" s="399"/>
      <c r="BO637" s="399"/>
      <c r="BP637" s="399"/>
      <c r="BQ637" s="399"/>
      <c r="BR637" s="399"/>
      <c r="BS637" s="399"/>
      <c r="BT637" s="399"/>
      <c r="BU637" s="399"/>
      <c r="BV637" s="399"/>
      <c r="BW637" s="399"/>
      <c r="BX637" s="399"/>
      <c r="BY637" s="399"/>
      <c r="BZ637" s="399"/>
      <c r="CA637" s="399"/>
      <c r="CB637" s="399"/>
      <c r="CC637" s="399"/>
      <c r="CD637" s="399"/>
      <c r="CE637" s="399"/>
      <c r="CF637" s="399"/>
      <c r="CG637" s="399"/>
      <c r="CH637" s="399"/>
      <c r="CI637" s="399"/>
      <c r="CJ637" s="399"/>
      <c r="CK637" s="399"/>
      <c r="CL637" s="399"/>
      <c r="CM637" s="399"/>
      <c r="CN637" s="399"/>
      <c r="CO637" s="399"/>
      <c r="CP637" s="399"/>
      <c r="CQ637" s="399"/>
      <c r="CR637" s="399"/>
      <c r="CS637" s="399"/>
      <c r="CT637" s="399"/>
      <c r="CU637" s="399"/>
      <c r="CV637" s="399"/>
      <c r="CW637" s="399"/>
      <c r="CX637" s="399"/>
      <c r="CY637" s="399"/>
      <c r="CZ637" s="399"/>
      <c r="DA637" s="399"/>
      <c r="DB637" s="399"/>
      <c r="DC637" s="399"/>
      <c r="DD637" s="399"/>
      <c r="DE637" s="399"/>
      <c r="DF637" s="399"/>
      <c r="DG637" s="399"/>
      <c r="DH637" s="399"/>
      <c r="DI637" s="399"/>
      <c r="DJ637" s="399"/>
      <c r="DK637" s="399"/>
      <c r="DL637" s="399"/>
      <c r="DM637" s="399"/>
      <c r="DN637" s="399"/>
      <c r="DO637" s="399"/>
      <c r="DP637" s="399"/>
      <c r="DQ637" s="399"/>
    </row>
    <row r="638" spans="1:121" s="760" customFormat="1" ht="15" customHeight="1" x14ac:dyDescent="0.25">
      <c r="A638" s="266">
        <f t="shared" si="9"/>
        <v>41.633333333333333</v>
      </c>
      <c r="B638" s="389">
        <v>41607</v>
      </c>
      <c r="C638" s="390" t="s">
        <v>904</v>
      </c>
      <c r="D638" s="390" t="s">
        <v>459</v>
      </c>
      <c r="E638" s="390" t="s">
        <v>380</v>
      </c>
      <c r="F638" s="390" t="s">
        <v>310</v>
      </c>
      <c r="G638" s="390" t="s">
        <v>336</v>
      </c>
      <c r="H638" s="261"/>
      <c r="I638" s="261"/>
      <c r="J638" s="261"/>
      <c r="K638" s="261"/>
      <c r="L638" s="261"/>
      <c r="M638" s="261"/>
      <c r="N638" s="261"/>
      <c r="O638" s="261"/>
      <c r="P638" s="261"/>
      <c r="Q638" s="261"/>
      <c r="R638" s="261">
        <v>177</v>
      </c>
      <c r="S638" s="261">
        <v>354</v>
      </c>
      <c r="T638" s="261">
        <v>1062</v>
      </c>
      <c r="U638" s="261">
        <v>531</v>
      </c>
      <c r="V638" s="762"/>
      <c r="W638" s="261"/>
      <c r="X638" s="261"/>
      <c r="Y638" s="264">
        <f>IF(NFI_Expiration=1,IF($A638&lt;VLOOKUP(H$5,NFI,5,0),1,0)*Table_NFI[[#This Row],[Hygiene Kit]],Table_NFI[Hygiene Kit])</f>
        <v>0</v>
      </c>
      <c r="Z638" s="264">
        <f>IF(NFI_Expiration=1,IF($A638&lt;VLOOKUP(I$5,NFI,5,0),1,0)*Table_NFI[[#This Row],[NFI Core Kit]],Table_NFI[NFI Core Kit])</f>
        <v>0</v>
      </c>
      <c r="AA638" s="264">
        <f>IF(NFI_Expiration=1,IF($A638&lt;VLOOKUP(J$5,NFI,5,0),1,0)*Table_NFI[[#This Row],[Sanitary Kit]],Table_NFI[Sanitary Kit])</f>
        <v>0</v>
      </c>
      <c r="AB638" s="264">
        <f>IF(NFI_Expiration=1,IF($A638&lt;VLOOKUP(K$5,NFI,5,0),1,0)*Table_NFI[[#This Row],[Mosquito net]],Table_NFI[Mosquito net])</f>
        <v>0</v>
      </c>
      <c r="AC638" s="264">
        <f>IF(NFI_Expiration=1,IF($A638&lt;VLOOKUP(L$5,NFI,5,0),1,0)*Table_NFI[[#This Row],[Tarpaulin]],Table_NFI[[#This Row],[Tarpaulin]])</f>
        <v>0</v>
      </c>
      <c r="AD638" s="264">
        <f>IF(NFI_Expiration=1,IF($A638&lt;VLOOKUP(M$5,NFI,5,0),1,0)*Table_NFI[[#This Row],[Blanket]],Table_NFI[[#This Row],[Blanket]])</f>
        <v>0</v>
      </c>
      <c r="AE638" s="264">
        <f>IF(NFI_Expiration=1,IF($A638&lt;VLOOKUP(N$5,NFI,5,0),1,0)*Table_NFI[[#This Row],[Kitchen Set]],Table_NFI[Kitchen Set])</f>
        <v>0</v>
      </c>
      <c r="AF638" s="264">
        <f>IF(NFI_Expiration=1,IF($A638&lt;VLOOKUP(O$5,NFI,5,0),1,0)*Table_NFI[[#This Row],[Clothes Kit]],Table_NFI[Clothes Kit])</f>
        <v>0</v>
      </c>
      <c r="AG638" s="264">
        <f>IF(NFI_Expiration=1,IF($A638&lt;VLOOKUP(P$5,NFI,5,0),1,0)*Table_NFI[[#This Row],[Plastic Bucket]],Table_NFI[Plastic Bucket])</f>
        <v>0</v>
      </c>
      <c r="AH638" s="264">
        <f>IF(NFI_Expiration=1,IF($A638&lt;VLOOKUP(Q$5,NFI,5,0),1,0)*Table_NFI[[#This Row],[Plastic Mat]],Table_NFI[Plastic Mat])*IF(Table_NFI[[#This Row],[Distribution Date]]&gt;"2014-04-01",1,2.5)</f>
        <v>0</v>
      </c>
      <c r="AI638" s="264">
        <f>IF(NFI_Expiration=1,IF($A638&lt;VLOOKUP(R$5,NFI,5,0),1,0)*Table_NFI[[#This Row],[Winter Clothes Adult]],Table_NFI[Winter Clothes Adult])</f>
        <v>0</v>
      </c>
      <c r="AJ638" s="264">
        <f>IF(NFI_Expiration=1,IF($A638&lt;VLOOKUP(S$5,NFI,5,0),1,0)*Table_NFI[[#This Row],[Winter Clothes Children]],Table_NFI[Winter Clothes Children])</f>
        <v>0</v>
      </c>
      <c r="AK638" s="264">
        <f>IF(NFI_Expiration=1,IF($A638&lt;VLOOKUP(T$5,NFI,5,0),1,0)*Table_NFI[[#This Row],[Winter Items Other]],Table_NFI[Winter Items Other])</f>
        <v>0</v>
      </c>
      <c r="AL638" s="264">
        <f>IF(NFI_Expiration=1,IF($A638&lt;VLOOKUP(M$5,NFI,5,0),1,0)*Table_NFI[[#This Row],[Winter Blanket]],Table_NFI[[#This Row],[Winter Blanket]])</f>
        <v>0</v>
      </c>
      <c r="AM638" s="264">
        <f>IF(Table_NFI[[#This Row],[Winter Clothes Adult]]+Table_NFI[[#This Row],[Winter Clothes Children]]+Table_NFI[[#This Row],[Winter Items Other]]+Table_NFI[[#This Row],[Winter Blanket]]&gt;0,1,0)</f>
        <v>1</v>
      </c>
      <c r="AN638" s="296">
        <f>IF(NFI_Expiration=1,IF($A638&lt;VLOOKUP(V$5,NFI,5,0),1,0)*Table_NFI[[#This Row],[Jerry Can]],Table_NFI[Jerry Can])</f>
        <v>0</v>
      </c>
      <c r="AO638" s="296">
        <f>IF(NFI_Expiration=1,IF($A638&lt;VLOOKUP(V$5,NFI,5,0),1,0)*Table_NFI[[#This Row],[Shelter Tool kit]],Table_NFI[Shelter Tool kit])</f>
        <v>0</v>
      </c>
      <c r="AP638" s="296">
        <f>IF(NFI_Expiration=1,IF($A638&lt;VLOOKUP(V$5,NFI,5,0),1,0)*Table_NFI[[#This Row],[Tent]],Table_NFI[Tent])</f>
        <v>0</v>
      </c>
      <c r="AQ638" s="396" t="str">
        <f>IFERROR(VLOOKUP(Table_NFI[[#This Row],[Camp Name]],CL,2,0),"")</f>
        <v>MMR001CMP115</v>
      </c>
      <c r="AR638" s="702">
        <f ca="1">IF(Table_NFI[[#This Row],[Pcode]]="","",IF(OFFSET(CampList[Opening Date],MATCH(Table_NFI[[#This Row],[Pcode]],CampList[CP_Pcode],0)-1,0,1,1)&gt;=NFI_Monitor_Date,1,0))</f>
        <v>0</v>
      </c>
      <c r="AS638" s="396" t="str">
        <f>IFERROR(VLOOKUP(Table_NFI[[#This Row],[Camp Name]],CL,3,0),"")</f>
        <v>Open</v>
      </c>
      <c r="AT638" s="264" t="str">
        <f ca="1">IF(Table_NFI[[#This Row],[Pcode]]="","",OFFSET(CampList[Priority],MATCH(Table_NFI[[#This Row],[Pcode]],CampList[CP_Pcode],0)-1,0,1,1))</f>
        <v>P1</v>
      </c>
      <c r="AU638" s="263">
        <f>IFERROR(Table_NFI[[#This Row],[Kitchen Set]]/VLOOKUP(Table_NFI[[#This Row],[Camp Name]],CL,4,0),"")</f>
        <v>0</v>
      </c>
      <c r="AV638" s="390"/>
      <c r="AW638" s="392"/>
      <c r="AX638" s="399"/>
      <c r="AY638" s="399"/>
      <c r="AZ638" s="399"/>
      <c r="BA638" s="399"/>
      <c r="BB638" s="399"/>
      <c r="BC638" s="399"/>
      <c r="BD638" s="399"/>
      <c r="BE638" s="399"/>
      <c r="BF638" s="399"/>
      <c r="BG638" s="399"/>
      <c r="BH638" s="399"/>
      <c r="BI638" s="399"/>
      <c r="BJ638" s="399"/>
      <c r="BK638" s="399"/>
      <c r="BL638" s="399"/>
      <c r="BM638" s="399"/>
      <c r="BN638" s="399"/>
      <c r="BO638" s="399"/>
      <c r="BP638" s="399"/>
      <c r="BQ638" s="399"/>
      <c r="BR638" s="399"/>
      <c r="BS638" s="399"/>
      <c r="BT638" s="399"/>
      <c r="BU638" s="399"/>
      <c r="BV638" s="399"/>
      <c r="BW638" s="399"/>
      <c r="BX638" s="399"/>
      <c r="BY638" s="399"/>
      <c r="BZ638" s="399"/>
      <c r="CA638" s="399"/>
      <c r="CB638" s="399"/>
      <c r="CC638" s="399"/>
      <c r="CD638" s="399"/>
      <c r="CE638" s="399"/>
      <c r="CF638" s="399"/>
      <c r="CG638" s="399"/>
      <c r="CH638" s="399"/>
      <c r="CI638" s="399"/>
      <c r="CJ638" s="399"/>
      <c r="CK638" s="399"/>
      <c r="CL638" s="399"/>
      <c r="CM638" s="399"/>
      <c r="CN638" s="399"/>
      <c r="CO638" s="399"/>
      <c r="CP638" s="399"/>
      <c r="CQ638" s="399"/>
      <c r="CR638" s="399"/>
      <c r="CS638" s="399"/>
      <c r="CT638" s="399"/>
      <c r="CU638" s="399"/>
      <c r="CV638" s="399"/>
      <c r="CW638" s="399"/>
      <c r="CX638" s="399"/>
      <c r="CY638" s="399"/>
      <c r="CZ638" s="399"/>
      <c r="DA638" s="399"/>
      <c r="DB638" s="399"/>
      <c r="DC638" s="399"/>
      <c r="DD638" s="399"/>
      <c r="DE638" s="399"/>
      <c r="DF638" s="399"/>
      <c r="DG638" s="399"/>
      <c r="DH638" s="399"/>
      <c r="DI638" s="399"/>
      <c r="DJ638" s="399"/>
      <c r="DK638" s="399"/>
      <c r="DL638" s="399"/>
      <c r="DM638" s="399"/>
      <c r="DN638" s="399"/>
      <c r="DO638" s="399"/>
      <c r="DP638" s="399"/>
      <c r="DQ638" s="399"/>
    </row>
    <row r="639" spans="1:121" s="760" customFormat="1" ht="14.45" customHeight="1" x14ac:dyDescent="0.25">
      <c r="A639" s="266">
        <f t="shared" si="9"/>
        <v>41.666666666666664</v>
      </c>
      <c r="B639" s="389">
        <v>41606</v>
      </c>
      <c r="C639" s="391" t="s">
        <v>451</v>
      </c>
      <c r="D639" s="391" t="s">
        <v>451</v>
      </c>
      <c r="E639" s="390" t="s">
        <v>380</v>
      </c>
      <c r="F639" s="262" t="s">
        <v>151</v>
      </c>
      <c r="G639" s="262" t="s">
        <v>152</v>
      </c>
      <c r="H639" s="261"/>
      <c r="I639" s="261"/>
      <c r="J639" s="261"/>
      <c r="K639" s="261">
        <v>20</v>
      </c>
      <c r="L639" s="261">
        <v>7</v>
      </c>
      <c r="M639" s="261">
        <v>22</v>
      </c>
      <c r="N639" s="261">
        <v>7</v>
      </c>
      <c r="O639" s="261">
        <v>7</v>
      </c>
      <c r="P639" s="261"/>
      <c r="Q639" s="261"/>
      <c r="R639" s="261"/>
      <c r="S639" s="261"/>
      <c r="T639" s="261"/>
      <c r="U639" s="261"/>
      <c r="V639" s="762"/>
      <c r="W639" s="261"/>
      <c r="X639" s="261"/>
      <c r="Y639" s="264">
        <f>IF(NFI_Expiration=1,IF($A639&lt;VLOOKUP(H$5,NFI,5,0),1,0)*Table_NFI[[#This Row],[Hygiene Kit]],Table_NFI[Hygiene Kit])</f>
        <v>0</v>
      </c>
      <c r="Z639" s="264">
        <f>IF(NFI_Expiration=1,IF($A639&lt;VLOOKUP(I$5,NFI,5,0),1,0)*Table_NFI[[#This Row],[NFI Core Kit]],Table_NFI[NFI Core Kit])</f>
        <v>0</v>
      </c>
      <c r="AA639" s="264">
        <f>IF(NFI_Expiration=1,IF($A639&lt;VLOOKUP(J$5,NFI,5,0),1,0)*Table_NFI[[#This Row],[Sanitary Kit]],Table_NFI[Sanitary Kit])</f>
        <v>0</v>
      </c>
      <c r="AB639" s="264">
        <f>IF(NFI_Expiration=1,IF($A639&lt;VLOOKUP(K$5,NFI,5,0),1,0)*Table_NFI[[#This Row],[Mosquito net]],Table_NFI[Mosquito net])</f>
        <v>0</v>
      </c>
      <c r="AC639" s="264">
        <f>IF(NFI_Expiration=1,IF($A639&lt;VLOOKUP(L$5,NFI,5,0),1,0)*Table_NFI[[#This Row],[Tarpaulin]],Table_NFI[[#This Row],[Tarpaulin]])</f>
        <v>0</v>
      </c>
      <c r="AD639" s="264">
        <f>IF(NFI_Expiration=1,IF($A639&lt;VLOOKUP(M$5,NFI,5,0),1,0)*Table_NFI[[#This Row],[Blanket]],Table_NFI[[#This Row],[Blanket]])</f>
        <v>0</v>
      </c>
      <c r="AE639" s="264">
        <f>IF(NFI_Expiration=1,IF($A639&lt;VLOOKUP(N$5,NFI,5,0),1,0)*Table_NFI[[#This Row],[Kitchen Set]],Table_NFI[Kitchen Set])</f>
        <v>0</v>
      </c>
      <c r="AF639" s="264">
        <f>IF(NFI_Expiration=1,IF($A639&lt;VLOOKUP(O$5,NFI,5,0),1,0)*Table_NFI[[#This Row],[Clothes Kit]],Table_NFI[Clothes Kit])</f>
        <v>0</v>
      </c>
      <c r="AG639" s="264">
        <f>IF(NFI_Expiration=1,IF($A639&lt;VLOOKUP(P$5,NFI,5,0),1,0)*Table_NFI[[#This Row],[Plastic Bucket]],Table_NFI[Plastic Bucket])</f>
        <v>0</v>
      </c>
      <c r="AH639" s="264">
        <f>IF(NFI_Expiration=1,IF($A639&lt;VLOOKUP(Q$5,NFI,5,0),1,0)*Table_NFI[[#This Row],[Plastic Mat]],Table_NFI[Plastic Mat])*IF(Table_NFI[[#This Row],[Distribution Date]]&gt;"2014-04-01",1,2.5)</f>
        <v>0</v>
      </c>
      <c r="AI639" s="264">
        <f>IF(NFI_Expiration=1,IF($A639&lt;VLOOKUP(R$5,NFI,5,0),1,0)*Table_NFI[[#This Row],[Winter Clothes Adult]],Table_NFI[Winter Clothes Adult])</f>
        <v>0</v>
      </c>
      <c r="AJ639" s="264">
        <f>IF(NFI_Expiration=1,IF($A639&lt;VLOOKUP(S$5,NFI,5,0),1,0)*Table_NFI[[#This Row],[Winter Clothes Children]],Table_NFI[Winter Clothes Children])</f>
        <v>0</v>
      </c>
      <c r="AK639" s="264">
        <f>IF(NFI_Expiration=1,IF($A639&lt;VLOOKUP(T$5,NFI,5,0),1,0)*Table_NFI[[#This Row],[Winter Items Other]],Table_NFI[Winter Items Other])</f>
        <v>0</v>
      </c>
      <c r="AL639" s="264">
        <f>IF(NFI_Expiration=1,IF($A639&lt;VLOOKUP(M$5,NFI,5,0),1,0)*Table_NFI[[#This Row],[Winter Blanket]],Table_NFI[[#This Row],[Winter Blanket]])</f>
        <v>0</v>
      </c>
      <c r="AM639" s="264">
        <f>IF(Table_NFI[[#This Row],[Winter Clothes Adult]]+Table_NFI[[#This Row],[Winter Clothes Children]]+Table_NFI[[#This Row],[Winter Items Other]]+Table_NFI[[#This Row],[Winter Blanket]]&gt;0,1,0)</f>
        <v>0</v>
      </c>
      <c r="AN639" s="296">
        <f>IF(NFI_Expiration=1,IF($A639&lt;VLOOKUP(V$5,NFI,5,0),1,0)*Table_NFI[[#This Row],[Jerry Can]],Table_NFI[Jerry Can])</f>
        <v>0</v>
      </c>
      <c r="AO639" s="296">
        <f>IF(NFI_Expiration=1,IF($A639&lt;VLOOKUP(V$5,NFI,5,0),1,0)*Table_NFI[[#This Row],[Shelter Tool kit]],Table_NFI[Shelter Tool kit])</f>
        <v>0</v>
      </c>
      <c r="AP639" s="296">
        <f>IF(NFI_Expiration=1,IF($A639&lt;VLOOKUP(V$5,NFI,5,0),1,0)*Table_NFI[[#This Row],[Tent]],Table_NFI[Tent])</f>
        <v>0</v>
      </c>
      <c r="AQ639" s="396" t="str">
        <f>IFERROR(VLOOKUP(Table_NFI[[#This Row],[Camp Name]],CL,2,0),"")</f>
        <v>MMR001CMP066</v>
      </c>
      <c r="AR639" s="702">
        <f ca="1">IF(Table_NFI[[#This Row],[Pcode]]="","",IF(OFFSET(CampList[Opening Date],MATCH(Table_NFI[[#This Row],[Pcode]],CampList[CP_Pcode],0)-1,0,1,1)&gt;=NFI_Monitor_Date,1,0))</f>
        <v>0</v>
      </c>
      <c r="AS639" s="396" t="str">
        <f>IFERROR(VLOOKUP(Table_NFI[[#This Row],[Camp Name]],CL,3,0),"")</f>
        <v>Open</v>
      </c>
      <c r="AT639" s="264" t="str">
        <f ca="1">IF(Table_NFI[[#This Row],[Pcode]]="","",OFFSET(CampList[Priority],MATCH(Table_NFI[[#This Row],[Pcode]],CampList[CP_Pcode],0)-1,0,1,1))</f>
        <v>P4</v>
      </c>
      <c r="AU639" s="263">
        <f>IFERROR(Table_NFI[[#This Row],[Kitchen Set]]/VLOOKUP(Table_NFI[[#This Row],[Camp Name]],CL,4,0),"")</f>
        <v>1.6835421727314268E-4</v>
      </c>
      <c r="AV639" s="390" t="s">
        <v>1087</v>
      </c>
      <c r="AW639" s="392"/>
      <c r="AX639" s="399"/>
      <c r="AY639" s="399"/>
      <c r="AZ639" s="399"/>
      <c r="BA639" s="399"/>
      <c r="BB639" s="399"/>
      <c r="BC639" s="399"/>
      <c r="BD639" s="399"/>
      <c r="BE639" s="399"/>
      <c r="BF639" s="399"/>
      <c r="BG639" s="399"/>
      <c r="BH639" s="399"/>
      <c r="BI639" s="399"/>
      <c r="BJ639" s="399"/>
      <c r="BK639" s="399"/>
      <c r="BL639" s="399"/>
      <c r="BM639" s="399"/>
      <c r="BN639" s="399"/>
      <c r="BO639" s="399"/>
      <c r="BP639" s="399"/>
      <c r="BQ639" s="399"/>
      <c r="BR639" s="399"/>
      <c r="BS639" s="399"/>
      <c r="BT639" s="399"/>
      <c r="BU639" s="399"/>
      <c r="BV639" s="399"/>
      <c r="BW639" s="399"/>
      <c r="BX639" s="399"/>
      <c r="BY639" s="399"/>
      <c r="BZ639" s="399"/>
      <c r="CA639" s="399"/>
      <c r="CB639" s="399"/>
      <c r="CC639" s="399"/>
      <c r="CD639" s="399"/>
      <c r="CE639" s="399"/>
      <c r="CF639" s="399"/>
      <c r="CG639" s="399"/>
      <c r="CH639" s="399"/>
      <c r="CI639" s="399"/>
      <c r="CJ639" s="399"/>
      <c r="CK639" s="399"/>
      <c r="CL639" s="399"/>
      <c r="CM639" s="399"/>
      <c r="CN639" s="399"/>
      <c r="CO639" s="399"/>
      <c r="CP639" s="399"/>
      <c r="CQ639" s="399"/>
      <c r="CR639" s="399"/>
      <c r="CS639" s="399"/>
      <c r="CT639" s="399"/>
      <c r="CU639" s="399"/>
      <c r="CV639" s="399"/>
      <c r="CW639" s="399"/>
      <c r="CX639" s="399"/>
      <c r="CY639" s="399"/>
      <c r="CZ639" s="399"/>
      <c r="DA639" s="399"/>
      <c r="DB639" s="399"/>
      <c r="DC639" s="399"/>
      <c r="DD639" s="399"/>
      <c r="DE639" s="399"/>
      <c r="DF639" s="399"/>
      <c r="DG639" s="399"/>
      <c r="DH639" s="399"/>
      <c r="DI639" s="399"/>
      <c r="DJ639" s="399"/>
      <c r="DK639" s="399"/>
      <c r="DL639" s="399"/>
      <c r="DM639" s="399"/>
      <c r="DN639" s="399"/>
      <c r="DO639" s="399"/>
      <c r="DP639" s="399"/>
      <c r="DQ639" s="399"/>
    </row>
    <row r="640" spans="1:121" s="760" customFormat="1" ht="14.45" customHeight="1" x14ac:dyDescent="0.25">
      <c r="A640" s="266">
        <f t="shared" si="9"/>
        <v>41.666666666666664</v>
      </c>
      <c r="B640" s="389">
        <v>41606</v>
      </c>
      <c r="C640" s="390" t="s">
        <v>904</v>
      </c>
      <c r="D640" s="390" t="s">
        <v>459</v>
      </c>
      <c r="E640" s="390" t="s">
        <v>380</v>
      </c>
      <c r="F640" s="390" t="s">
        <v>310</v>
      </c>
      <c r="G640" s="390" t="s">
        <v>1233</v>
      </c>
      <c r="H640" s="261"/>
      <c r="I640" s="261"/>
      <c r="J640" s="261"/>
      <c r="K640" s="261"/>
      <c r="L640" s="261"/>
      <c r="M640" s="261"/>
      <c r="N640" s="261"/>
      <c r="O640" s="261"/>
      <c r="P640" s="261"/>
      <c r="Q640" s="261"/>
      <c r="R640" s="261">
        <v>636</v>
      </c>
      <c r="S640" s="261">
        <v>1272</v>
      </c>
      <c r="T640" s="261">
        <v>3816</v>
      </c>
      <c r="U640" s="261">
        <v>1908</v>
      </c>
      <c r="V640" s="762"/>
      <c r="W640" s="261"/>
      <c r="X640" s="261"/>
      <c r="Y640" s="264">
        <f>IF(NFI_Expiration=1,IF($A640&lt;VLOOKUP(H$5,NFI,5,0),1,0)*Table_NFI[[#This Row],[Hygiene Kit]],Table_NFI[Hygiene Kit])</f>
        <v>0</v>
      </c>
      <c r="Z640" s="264">
        <f>IF(NFI_Expiration=1,IF($A640&lt;VLOOKUP(I$5,NFI,5,0),1,0)*Table_NFI[[#This Row],[NFI Core Kit]],Table_NFI[NFI Core Kit])</f>
        <v>0</v>
      </c>
      <c r="AA640" s="264">
        <f>IF(NFI_Expiration=1,IF($A640&lt;VLOOKUP(J$5,NFI,5,0),1,0)*Table_NFI[[#This Row],[Sanitary Kit]],Table_NFI[Sanitary Kit])</f>
        <v>0</v>
      </c>
      <c r="AB640" s="264">
        <f>IF(NFI_Expiration=1,IF($A640&lt;VLOOKUP(K$5,NFI,5,0),1,0)*Table_NFI[[#This Row],[Mosquito net]],Table_NFI[Mosquito net])</f>
        <v>0</v>
      </c>
      <c r="AC640" s="264">
        <f>IF(NFI_Expiration=1,IF($A640&lt;VLOOKUP(L$5,NFI,5,0),1,0)*Table_NFI[[#This Row],[Tarpaulin]],Table_NFI[[#This Row],[Tarpaulin]])</f>
        <v>0</v>
      </c>
      <c r="AD640" s="264">
        <f>IF(NFI_Expiration=1,IF($A640&lt;VLOOKUP(M$5,NFI,5,0),1,0)*Table_NFI[[#This Row],[Blanket]],Table_NFI[[#This Row],[Blanket]])</f>
        <v>0</v>
      </c>
      <c r="AE640" s="264">
        <f>IF(NFI_Expiration=1,IF($A640&lt;VLOOKUP(N$5,NFI,5,0),1,0)*Table_NFI[[#This Row],[Kitchen Set]],Table_NFI[Kitchen Set])</f>
        <v>0</v>
      </c>
      <c r="AF640" s="264">
        <f>IF(NFI_Expiration=1,IF($A640&lt;VLOOKUP(O$5,NFI,5,0),1,0)*Table_NFI[[#This Row],[Clothes Kit]],Table_NFI[Clothes Kit])</f>
        <v>0</v>
      </c>
      <c r="AG640" s="264">
        <f>IF(NFI_Expiration=1,IF($A640&lt;VLOOKUP(P$5,NFI,5,0),1,0)*Table_NFI[[#This Row],[Plastic Bucket]],Table_NFI[Plastic Bucket])</f>
        <v>0</v>
      </c>
      <c r="AH640" s="264">
        <f>IF(NFI_Expiration=1,IF($A640&lt;VLOOKUP(Q$5,NFI,5,0),1,0)*Table_NFI[[#This Row],[Plastic Mat]],Table_NFI[Plastic Mat])*IF(Table_NFI[[#This Row],[Distribution Date]]&gt;"2014-04-01",1,2.5)</f>
        <v>0</v>
      </c>
      <c r="AI640" s="264">
        <f>IF(NFI_Expiration=1,IF($A640&lt;VLOOKUP(R$5,NFI,5,0),1,0)*Table_NFI[[#This Row],[Winter Clothes Adult]],Table_NFI[Winter Clothes Adult])</f>
        <v>0</v>
      </c>
      <c r="AJ640" s="264">
        <f>IF(NFI_Expiration=1,IF($A640&lt;VLOOKUP(S$5,NFI,5,0),1,0)*Table_NFI[[#This Row],[Winter Clothes Children]],Table_NFI[Winter Clothes Children])</f>
        <v>0</v>
      </c>
      <c r="AK640" s="264">
        <f>IF(NFI_Expiration=1,IF($A640&lt;VLOOKUP(T$5,NFI,5,0),1,0)*Table_NFI[[#This Row],[Winter Items Other]],Table_NFI[Winter Items Other])</f>
        <v>0</v>
      </c>
      <c r="AL640" s="264">
        <f>IF(NFI_Expiration=1,IF($A640&lt;VLOOKUP(M$5,NFI,5,0),1,0)*Table_NFI[[#This Row],[Winter Blanket]],Table_NFI[[#This Row],[Winter Blanket]])</f>
        <v>0</v>
      </c>
      <c r="AM640" s="264">
        <f>IF(Table_NFI[[#This Row],[Winter Clothes Adult]]+Table_NFI[[#This Row],[Winter Clothes Children]]+Table_NFI[[#This Row],[Winter Items Other]]+Table_NFI[[#This Row],[Winter Blanket]]&gt;0,1,0)</f>
        <v>1</v>
      </c>
      <c r="AN640" s="296">
        <f>IF(NFI_Expiration=1,IF($A640&lt;VLOOKUP(V$5,NFI,5,0),1,0)*Table_NFI[[#This Row],[Jerry Can]],Table_NFI[Jerry Can])</f>
        <v>0</v>
      </c>
      <c r="AO640" s="296">
        <f>IF(NFI_Expiration=1,IF($A640&lt;VLOOKUP(V$5,NFI,5,0),1,0)*Table_NFI[[#This Row],[Shelter Tool kit]],Table_NFI[Shelter Tool kit])</f>
        <v>0</v>
      </c>
      <c r="AP640" s="296">
        <f>IF(NFI_Expiration=1,IF($A640&lt;VLOOKUP(V$5,NFI,5,0),1,0)*Table_NFI[[#This Row],[Tent]],Table_NFI[Tent])</f>
        <v>0</v>
      </c>
      <c r="AQ640" s="396" t="str">
        <f>IFERROR(VLOOKUP(Table_NFI[[#This Row],[Camp Name]],CL,2,0),"")</f>
        <v>MMR001CMP111</v>
      </c>
      <c r="AR640" s="702">
        <f ca="1">IF(Table_NFI[[#This Row],[Pcode]]="","",IF(OFFSET(CampList[Opening Date],MATCH(Table_NFI[[#This Row],[Pcode]],CampList[CP_Pcode],0)-1,0,1,1)&gt;=NFI_Monitor_Date,1,0))</f>
        <v>0</v>
      </c>
      <c r="AS640" s="396" t="str">
        <f>IFERROR(VLOOKUP(Table_NFI[[#This Row],[Camp Name]],CL,3,0),"")</f>
        <v>Closed</v>
      </c>
      <c r="AT640" s="264" t="str">
        <f ca="1">IF(Table_NFI[[#This Row],[Pcode]]="","",OFFSET(CampList[Priority],MATCH(Table_NFI[[#This Row],[Pcode]],CampList[CP_Pcode],0)-1,0,1,1))</f>
        <v>P2</v>
      </c>
      <c r="AU640" s="263">
        <f>IFERROR(Table_NFI[[#This Row],[Kitchen Set]]/VLOOKUP(Table_NFI[[#This Row],[Camp Name]],CL,4,0),"")</f>
        <v>0</v>
      </c>
      <c r="AV640" s="390"/>
      <c r="AW640" s="392"/>
      <c r="AX640" s="399"/>
      <c r="AY640" s="399"/>
      <c r="AZ640" s="399"/>
      <c r="BA640" s="399"/>
      <c r="BB640" s="399"/>
      <c r="BC640" s="399"/>
      <c r="BD640" s="399"/>
      <c r="BE640" s="399"/>
      <c r="BF640" s="399"/>
      <c r="BG640" s="399"/>
      <c r="BH640" s="399"/>
      <c r="BI640" s="399"/>
      <c r="BJ640" s="399"/>
      <c r="BK640" s="399"/>
      <c r="BL640" s="399"/>
      <c r="BM640" s="399"/>
      <c r="BN640" s="399"/>
      <c r="BO640" s="399"/>
      <c r="BP640" s="399"/>
      <c r="BQ640" s="399"/>
      <c r="BR640" s="399"/>
      <c r="BS640" s="399"/>
      <c r="BT640" s="399"/>
      <c r="BU640" s="399"/>
      <c r="BV640" s="399"/>
      <c r="BW640" s="399"/>
      <c r="BX640" s="399"/>
      <c r="BY640" s="399"/>
      <c r="BZ640" s="399"/>
      <c r="CA640" s="399"/>
      <c r="CB640" s="399"/>
      <c r="CC640" s="399"/>
      <c r="CD640" s="399"/>
      <c r="CE640" s="399"/>
      <c r="CF640" s="399"/>
      <c r="CG640" s="399"/>
      <c r="CH640" s="399"/>
      <c r="CI640" s="399"/>
      <c r="CJ640" s="399"/>
      <c r="CK640" s="399"/>
      <c r="CL640" s="399"/>
      <c r="CM640" s="399"/>
      <c r="CN640" s="399"/>
      <c r="CO640" s="399"/>
      <c r="CP640" s="399"/>
      <c r="CQ640" s="399"/>
      <c r="CR640" s="399"/>
      <c r="CS640" s="399"/>
      <c r="CT640" s="399"/>
      <c r="CU640" s="399"/>
      <c r="CV640" s="399"/>
      <c r="CW640" s="399"/>
      <c r="CX640" s="399"/>
      <c r="CY640" s="399"/>
      <c r="CZ640" s="399"/>
      <c r="DA640" s="399"/>
      <c r="DB640" s="399"/>
      <c r="DC640" s="399"/>
      <c r="DD640" s="399"/>
      <c r="DE640" s="399"/>
      <c r="DF640" s="399"/>
      <c r="DG640" s="399"/>
      <c r="DH640" s="399"/>
      <c r="DI640" s="399"/>
      <c r="DJ640" s="399"/>
      <c r="DK640" s="399"/>
      <c r="DL640" s="399"/>
      <c r="DM640" s="399"/>
      <c r="DN640" s="399"/>
      <c r="DO640" s="399"/>
      <c r="DP640" s="399"/>
      <c r="DQ640" s="399"/>
    </row>
    <row r="641" spans="1:121" s="760" customFormat="1" ht="14.45" customHeight="1" x14ac:dyDescent="0.25">
      <c r="A641" s="266">
        <f t="shared" si="9"/>
        <v>41.733333333333334</v>
      </c>
      <c r="B641" s="389">
        <v>41604</v>
      </c>
      <c r="C641" s="391" t="s">
        <v>451</v>
      </c>
      <c r="D641" s="391" t="s">
        <v>451</v>
      </c>
      <c r="E641" s="390" t="s">
        <v>380</v>
      </c>
      <c r="F641" s="390" t="s">
        <v>5</v>
      </c>
      <c r="G641" s="262" t="s">
        <v>511</v>
      </c>
      <c r="H641" s="261"/>
      <c r="I641" s="261"/>
      <c r="J641" s="261"/>
      <c r="K641" s="261">
        <v>11</v>
      </c>
      <c r="L641" s="261">
        <v>5</v>
      </c>
      <c r="M641" s="261">
        <v>11</v>
      </c>
      <c r="N641" s="261">
        <v>5</v>
      </c>
      <c r="O641" s="261">
        <v>5</v>
      </c>
      <c r="P641" s="261"/>
      <c r="Q641" s="261"/>
      <c r="R641" s="261"/>
      <c r="S641" s="261"/>
      <c r="T641" s="261"/>
      <c r="U641" s="261"/>
      <c r="V641" s="762"/>
      <c r="W641" s="261"/>
      <c r="X641" s="261"/>
      <c r="Y641" s="264">
        <f>IF(NFI_Expiration=1,IF($A641&lt;VLOOKUP(H$5,NFI,5,0),1,0)*Table_NFI[[#This Row],[Hygiene Kit]],Table_NFI[Hygiene Kit])</f>
        <v>0</v>
      </c>
      <c r="Z641" s="264">
        <f>IF(NFI_Expiration=1,IF($A641&lt;VLOOKUP(I$5,NFI,5,0),1,0)*Table_NFI[[#This Row],[NFI Core Kit]],Table_NFI[NFI Core Kit])</f>
        <v>0</v>
      </c>
      <c r="AA641" s="264">
        <f>IF(NFI_Expiration=1,IF($A641&lt;VLOOKUP(J$5,NFI,5,0),1,0)*Table_NFI[[#This Row],[Sanitary Kit]],Table_NFI[Sanitary Kit])</f>
        <v>0</v>
      </c>
      <c r="AB641" s="264">
        <f>IF(NFI_Expiration=1,IF($A641&lt;VLOOKUP(K$5,NFI,5,0),1,0)*Table_NFI[[#This Row],[Mosquito net]],Table_NFI[Mosquito net])</f>
        <v>0</v>
      </c>
      <c r="AC641" s="264">
        <f>IF(NFI_Expiration=1,IF($A641&lt;VLOOKUP(L$5,NFI,5,0),1,0)*Table_NFI[[#This Row],[Tarpaulin]],Table_NFI[[#This Row],[Tarpaulin]])</f>
        <v>0</v>
      </c>
      <c r="AD641" s="264">
        <f>IF(NFI_Expiration=1,IF($A641&lt;VLOOKUP(M$5,NFI,5,0),1,0)*Table_NFI[[#This Row],[Blanket]],Table_NFI[[#This Row],[Blanket]])</f>
        <v>0</v>
      </c>
      <c r="AE641" s="264">
        <f>IF(NFI_Expiration=1,IF($A641&lt;VLOOKUP(N$5,NFI,5,0),1,0)*Table_NFI[[#This Row],[Kitchen Set]],Table_NFI[Kitchen Set])</f>
        <v>0</v>
      </c>
      <c r="AF641" s="264">
        <f>IF(NFI_Expiration=1,IF($A641&lt;VLOOKUP(O$5,NFI,5,0),1,0)*Table_NFI[[#This Row],[Clothes Kit]],Table_NFI[Clothes Kit])</f>
        <v>0</v>
      </c>
      <c r="AG641" s="264">
        <f>IF(NFI_Expiration=1,IF($A641&lt;VLOOKUP(P$5,NFI,5,0),1,0)*Table_NFI[[#This Row],[Plastic Bucket]],Table_NFI[Plastic Bucket])</f>
        <v>0</v>
      </c>
      <c r="AH641" s="264">
        <f>IF(NFI_Expiration=1,IF($A641&lt;VLOOKUP(Q$5,NFI,5,0),1,0)*Table_NFI[[#This Row],[Plastic Mat]],Table_NFI[Plastic Mat])*IF(Table_NFI[[#This Row],[Distribution Date]]&gt;"2014-04-01",1,2.5)</f>
        <v>0</v>
      </c>
      <c r="AI641" s="264">
        <f>IF(NFI_Expiration=1,IF($A641&lt;VLOOKUP(R$5,NFI,5,0),1,0)*Table_NFI[[#This Row],[Winter Clothes Adult]],Table_NFI[Winter Clothes Adult])</f>
        <v>0</v>
      </c>
      <c r="AJ641" s="264">
        <f>IF(NFI_Expiration=1,IF($A641&lt;VLOOKUP(S$5,NFI,5,0),1,0)*Table_NFI[[#This Row],[Winter Clothes Children]],Table_NFI[Winter Clothes Children])</f>
        <v>0</v>
      </c>
      <c r="AK641" s="264">
        <f>IF(NFI_Expiration=1,IF($A641&lt;VLOOKUP(T$5,NFI,5,0),1,0)*Table_NFI[[#This Row],[Winter Items Other]],Table_NFI[Winter Items Other])</f>
        <v>0</v>
      </c>
      <c r="AL641" s="264">
        <f>IF(NFI_Expiration=1,IF($A641&lt;VLOOKUP(M$5,NFI,5,0),1,0)*Table_NFI[[#This Row],[Winter Blanket]],Table_NFI[[#This Row],[Winter Blanket]])</f>
        <v>0</v>
      </c>
      <c r="AM641" s="264">
        <f>IF(Table_NFI[[#This Row],[Winter Clothes Adult]]+Table_NFI[[#This Row],[Winter Clothes Children]]+Table_NFI[[#This Row],[Winter Items Other]]+Table_NFI[[#This Row],[Winter Blanket]]&gt;0,1,0)</f>
        <v>0</v>
      </c>
      <c r="AN641" s="296">
        <f>IF(NFI_Expiration=1,IF($A641&lt;VLOOKUP(V$5,NFI,5,0),1,0)*Table_NFI[[#This Row],[Jerry Can]],Table_NFI[Jerry Can])</f>
        <v>0</v>
      </c>
      <c r="AO641" s="296">
        <f>IF(NFI_Expiration=1,IF($A641&lt;VLOOKUP(V$5,NFI,5,0),1,0)*Table_NFI[[#This Row],[Shelter Tool kit]],Table_NFI[Shelter Tool kit])</f>
        <v>0</v>
      </c>
      <c r="AP641" s="296">
        <f>IF(NFI_Expiration=1,IF($A641&lt;VLOOKUP(V$5,NFI,5,0),1,0)*Table_NFI[[#This Row],[Tent]],Table_NFI[Tent])</f>
        <v>0</v>
      </c>
      <c r="AQ641" s="396" t="str">
        <f>IFERROR(VLOOKUP(Table_NFI[[#This Row],[Camp Name]],CL,2,0),"")</f>
        <v>MMR001CMP194</v>
      </c>
      <c r="AR641" s="702">
        <f ca="1">IF(Table_NFI[[#This Row],[Pcode]]="","",IF(OFFSET(CampList[Opening Date],MATCH(Table_NFI[[#This Row],[Pcode]],CampList[CP_Pcode],0)-1,0,1,1)&gt;=NFI_Monitor_Date,1,0))</f>
        <v>0</v>
      </c>
      <c r="AS641" s="396" t="str">
        <f>IFERROR(VLOOKUP(Table_NFI[[#This Row],[Camp Name]],CL,3,0),"")</f>
        <v>Open</v>
      </c>
      <c r="AT641" s="264" t="str">
        <f ca="1">IF(Table_NFI[[#This Row],[Pcode]]="","",OFFSET(CampList[Priority],MATCH(Table_NFI[[#This Row],[Pcode]],CampList[CP_Pcode],0)-1,0,1,1))</f>
        <v>P4</v>
      </c>
      <c r="AU641" s="263">
        <f>IFERROR(Table_NFI[[#This Row],[Kitchen Set]]/VLOOKUP(Table_NFI[[#This Row],[Camp Name]],CL,4,0),"")</f>
        <v>1.2258807953514599E-4</v>
      </c>
      <c r="AV641" s="390" t="s">
        <v>1087</v>
      </c>
      <c r="AW641" s="392"/>
      <c r="AX641" s="399"/>
      <c r="AY641" s="399"/>
      <c r="AZ641" s="399"/>
      <c r="BA641" s="399"/>
      <c r="BB641" s="399"/>
      <c r="BC641" s="399"/>
      <c r="BD641" s="399"/>
      <c r="BE641" s="399"/>
      <c r="BF641" s="399"/>
      <c r="BG641" s="399"/>
      <c r="BH641" s="399"/>
      <c r="BI641" s="399"/>
      <c r="BJ641" s="399"/>
      <c r="BK641" s="399"/>
      <c r="BL641" s="399"/>
      <c r="BM641" s="399"/>
      <c r="BN641" s="399"/>
      <c r="BO641" s="399"/>
      <c r="BP641" s="399"/>
      <c r="BQ641" s="399"/>
      <c r="BR641" s="399"/>
      <c r="BS641" s="399"/>
      <c r="BT641" s="399"/>
      <c r="BU641" s="399"/>
      <c r="BV641" s="399"/>
      <c r="BW641" s="399"/>
      <c r="BX641" s="399"/>
      <c r="BY641" s="399"/>
      <c r="BZ641" s="399"/>
      <c r="CA641" s="399"/>
      <c r="CB641" s="399"/>
      <c r="CC641" s="399"/>
      <c r="CD641" s="399"/>
      <c r="CE641" s="399"/>
      <c r="CF641" s="399"/>
      <c r="CG641" s="399"/>
      <c r="CH641" s="399"/>
      <c r="CI641" s="399"/>
      <c r="CJ641" s="399"/>
      <c r="CK641" s="399"/>
      <c r="CL641" s="399"/>
      <c r="CM641" s="399"/>
      <c r="CN641" s="399"/>
      <c r="CO641" s="399"/>
      <c r="CP641" s="399"/>
      <c r="CQ641" s="399"/>
      <c r="CR641" s="399"/>
      <c r="CS641" s="399"/>
      <c r="CT641" s="399"/>
      <c r="CU641" s="399"/>
      <c r="CV641" s="399"/>
      <c r="CW641" s="399"/>
      <c r="CX641" s="399"/>
      <c r="CY641" s="399"/>
      <c r="CZ641" s="399"/>
      <c r="DA641" s="399"/>
      <c r="DB641" s="399"/>
      <c r="DC641" s="399"/>
      <c r="DD641" s="399"/>
      <c r="DE641" s="399"/>
      <c r="DF641" s="399"/>
      <c r="DG641" s="399"/>
      <c r="DH641" s="399"/>
      <c r="DI641" s="399"/>
      <c r="DJ641" s="399"/>
      <c r="DK641" s="399"/>
      <c r="DL641" s="399"/>
      <c r="DM641" s="399"/>
      <c r="DN641" s="399"/>
      <c r="DO641" s="399"/>
      <c r="DP641" s="399"/>
      <c r="DQ641" s="399"/>
    </row>
    <row r="642" spans="1:121" s="760" customFormat="1" ht="14.45" customHeight="1" x14ac:dyDescent="0.25">
      <c r="A642" s="266">
        <f t="shared" si="9"/>
        <v>41.733333333333334</v>
      </c>
      <c r="B642" s="389">
        <v>41604</v>
      </c>
      <c r="C642" s="391" t="s">
        <v>451</v>
      </c>
      <c r="D642" s="391" t="s">
        <v>451</v>
      </c>
      <c r="E642" s="390" t="s">
        <v>380</v>
      </c>
      <c r="F642" s="390" t="s">
        <v>5</v>
      </c>
      <c r="G642" s="262" t="s">
        <v>12</v>
      </c>
      <c r="H642" s="261"/>
      <c r="I642" s="261"/>
      <c r="J642" s="261"/>
      <c r="K642" s="261">
        <v>25</v>
      </c>
      <c r="L642" s="261">
        <v>13</v>
      </c>
      <c r="M642" s="261">
        <v>25</v>
      </c>
      <c r="N642" s="261">
        <v>13</v>
      </c>
      <c r="O642" s="261">
        <v>13</v>
      </c>
      <c r="P642" s="261"/>
      <c r="Q642" s="261"/>
      <c r="R642" s="261"/>
      <c r="S642" s="261"/>
      <c r="T642" s="261"/>
      <c r="U642" s="261"/>
      <c r="V642" s="762"/>
      <c r="W642" s="261"/>
      <c r="X642" s="261"/>
      <c r="Y642" s="264">
        <f>IF(NFI_Expiration=1,IF($A642&lt;VLOOKUP(H$5,NFI,5,0),1,0)*Table_NFI[[#This Row],[Hygiene Kit]],Table_NFI[Hygiene Kit])</f>
        <v>0</v>
      </c>
      <c r="Z642" s="264">
        <f>IF(NFI_Expiration=1,IF($A642&lt;VLOOKUP(I$5,NFI,5,0),1,0)*Table_NFI[[#This Row],[NFI Core Kit]],Table_NFI[NFI Core Kit])</f>
        <v>0</v>
      </c>
      <c r="AA642" s="264">
        <f>IF(NFI_Expiration=1,IF($A642&lt;VLOOKUP(J$5,NFI,5,0),1,0)*Table_NFI[[#This Row],[Sanitary Kit]],Table_NFI[Sanitary Kit])</f>
        <v>0</v>
      </c>
      <c r="AB642" s="264">
        <f>IF(NFI_Expiration=1,IF($A642&lt;VLOOKUP(K$5,NFI,5,0),1,0)*Table_NFI[[#This Row],[Mosquito net]],Table_NFI[Mosquito net])</f>
        <v>0</v>
      </c>
      <c r="AC642" s="264">
        <f>IF(NFI_Expiration=1,IF($A642&lt;VLOOKUP(L$5,NFI,5,0),1,0)*Table_NFI[[#This Row],[Tarpaulin]],Table_NFI[[#This Row],[Tarpaulin]])</f>
        <v>0</v>
      </c>
      <c r="AD642" s="264">
        <f>IF(NFI_Expiration=1,IF($A642&lt;VLOOKUP(M$5,NFI,5,0),1,0)*Table_NFI[[#This Row],[Blanket]],Table_NFI[[#This Row],[Blanket]])</f>
        <v>0</v>
      </c>
      <c r="AE642" s="264">
        <f>IF(NFI_Expiration=1,IF($A642&lt;VLOOKUP(N$5,NFI,5,0),1,0)*Table_NFI[[#This Row],[Kitchen Set]],Table_NFI[Kitchen Set])</f>
        <v>0</v>
      </c>
      <c r="AF642" s="264">
        <f>IF(NFI_Expiration=1,IF($A642&lt;VLOOKUP(O$5,NFI,5,0),1,0)*Table_NFI[[#This Row],[Clothes Kit]],Table_NFI[Clothes Kit])</f>
        <v>0</v>
      </c>
      <c r="AG642" s="264">
        <f>IF(NFI_Expiration=1,IF($A642&lt;VLOOKUP(P$5,NFI,5,0),1,0)*Table_NFI[[#This Row],[Plastic Bucket]],Table_NFI[Plastic Bucket])</f>
        <v>0</v>
      </c>
      <c r="AH642" s="264">
        <f>IF(NFI_Expiration=1,IF($A642&lt;VLOOKUP(Q$5,NFI,5,0),1,0)*Table_NFI[[#This Row],[Plastic Mat]],Table_NFI[Plastic Mat])*IF(Table_NFI[[#This Row],[Distribution Date]]&gt;"2014-04-01",1,2.5)</f>
        <v>0</v>
      </c>
      <c r="AI642" s="264">
        <f>IF(NFI_Expiration=1,IF($A642&lt;VLOOKUP(R$5,NFI,5,0),1,0)*Table_NFI[[#This Row],[Winter Clothes Adult]],Table_NFI[Winter Clothes Adult])</f>
        <v>0</v>
      </c>
      <c r="AJ642" s="264">
        <f>IF(NFI_Expiration=1,IF($A642&lt;VLOOKUP(S$5,NFI,5,0),1,0)*Table_NFI[[#This Row],[Winter Clothes Children]],Table_NFI[Winter Clothes Children])</f>
        <v>0</v>
      </c>
      <c r="AK642" s="264">
        <f>IF(NFI_Expiration=1,IF($A642&lt;VLOOKUP(T$5,NFI,5,0),1,0)*Table_NFI[[#This Row],[Winter Items Other]],Table_NFI[Winter Items Other])</f>
        <v>0</v>
      </c>
      <c r="AL642" s="264">
        <f>IF(NFI_Expiration=1,IF($A642&lt;VLOOKUP(M$5,NFI,5,0),1,0)*Table_NFI[[#This Row],[Winter Blanket]],Table_NFI[[#This Row],[Winter Blanket]])</f>
        <v>0</v>
      </c>
      <c r="AM642" s="264">
        <f>IF(Table_NFI[[#This Row],[Winter Clothes Adult]]+Table_NFI[[#This Row],[Winter Clothes Children]]+Table_NFI[[#This Row],[Winter Items Other]]+Table_NFI[[#This Row],[Winter Blanket]]&gt;0,1,0)</f>
        <v>0</v>
      </c>
      <c r="AN642" s="296">
        <f>IF(NFI_Expiration=1,IF($A642&lt;VLOOKUP(V$5,NFI,5,0),1,0)*Table_NFI[[#This Row],[Jerry Can]],Table_NFI[Jerry Can])</f>
        <v>0</v>
      </c>
      <c r="AO642" s="296">
        <f>IF(NFI_Expiration=1,IF($A642&lt;VLOOKUP(V$5,NFI,5,0),1,0)*Table_NFI[[#This Row],[Shelter Tool kit]],Table_NFI[Shelter Tool kit])</f>
        <v>0</v>
      </c>
      <c r="AP642" s="296">
        <f>IF(NFI_Expiration=1,IF($A642&lt;VLOOKUP(V$5,NFI,5,0),1,0)*Table_NFI[[#This Row],[Tent]],Table_NFI[Tent])</f>
        <v>0</v>
      </c>
      <c r="AQ642" s="396" t="str">
        <f>IFERROR(VLOOKUP(Table_NFI[[#This Row],[Camp Name]],CL,2,0),"")</f>
        <v>MMR001CMP163</v>
      </c>
      <c r="AR642" s="702">
        <f ca="1">IF(Table_NFI[[#This Row],[Pcode]]="","",IF(OFFSET(CampList[Opening Date],MATCH(Table_NFI[[#This Row],[Pcode]],CampList[CP_Pcode],0)-1,0,1,1)&gt;=NFI_Monitor_Date,1,0))</f>
        <v>0</v>
      </c>
      <c r="AS642" s="396" t="str">
        <f>IFERROR(VLOOKUP(Table_NFI[[#This Row],[Camp Name]],CL,3,0),"")</f>
        <v>Open</v>
      </c>
      <c r="AT642" s="264" t="str">
        <f ca="1">IF(Table_NFI[[#This Row],[Pcode]]="","",OFFSET(CampList[Priority],MATCH(Table_NFI[[#This Row],[Pcode]],CampList[CP_Pcode],0)-1,0,1,1))</f>
        <v>P4</v>
      </c>
      <c r="AU642" s="263" t="str">
        <f>IFERROR(Table_NFI[[#This Row],[Kitchen Set]]/VLOOKUP(Table_NFI[[#This Row],[Camp Name]],CL,4,0),"")</f>
        <v/>
      </c>
      <c r="AV642" s="390" t="s">
        <v>1087</v>
      </c>
      <c r="AW642" s="392"/>
      <c r="AX642" s="399"/>
      <c r="AY642" s="399"/>
      <c r="AZ642" s="399"/>
      <c r="BA642" s="399"/>
      <c r="BB642" s="399"/>
      <c r="BC642" s="399"/>
      <c r="BD642" s="399"/>
      <c r="BE642" s="399"/>
      <c r="BF642" s="399"/>
      <c r="BG642" s="399"/>
      <c r="BH642" s="399"/>
      <c r="BI642" s="399"/>
      <c r="BJ642" s="399"/>
      <c r="BK642" s="399"/>
      <c r="BL642" s="399"/>
      <c r="BM642" s="399"/>
      <c r="BN642" s="399"/>
      <c r="BO642" s="399"/>
      <c r="BP642" s="399"/>
      <c r="BQ642" s="399"/>
      <c r="BR642" s="399"/>
      <c r="BS642" s="399"/>
      <c r="BT642" s="399"/>
      <c r="BU642" s="399"/>
      <c r="BV642" s="399"/>
      <c r="BW642" s="399"/>
      <c r="BX642" s="399"/>
      <c r="BY642" s="399"/>
      <c r="BZ642" s="399"/>
      <c r="CA642" s="399"/>
      <c r="CB642" s="399"/>
      <c r="CC642" s="399"/>
      <c r="CD642" s="399"/>
      <c r="CE642" s="399"/>
      <c r="CF642" s="399"/>
      <c r="CG642" s="399"/>
      <c r="CH642" s="399"/>
      <c r="CI642" s="399"/>
      <c r="CJ642" s="399"/>
      <c r="CK642" s="399"/>
      <c r="CL642" s="399"/>
      <c r="CM642" s="399"/>
      <c r="CN642" s="399"/>
      <c r="CO642" s="399"/>
      <c r="CP642" s="399"/>
      <c r="CQ642" s="399"/>
      <c r="CR642" s="399"/>
      <c r="CS642" s="399"/>
      <c r="CT642" s="399"/>
      <c r="CU642" s="399"/>
      <c r="CV642" s="399"/>
      <c r="CW642" s="399"/>
      <c r="CX642" s="399"/>
      <c r="CY642" s="399"/>
      <c r="CZ642" s="399"/>
      <c r="DA642" s="399"/>
      <c r="DB642" s="399"/>
      <c r="DC642" s="399"/>
      <c r="DD642" s="399"/>
      <c r="DE642" s="399"/>
      <c r="DF642" s="399"/>
      <c r="DG642" s="399"/>
      <c r="DH642" s="399"/>
      <c r="DI642" s="399"/>
      <c r="DJ642" s="399"/>
      <c r="DK642" s="399"/>
      <c r="DL642" s="399"/>
      <c r="DM642" s="399"/>
      <c r="DN642" s="399"/>
      <c r="DO642" s="399"/>
      <c r="DP642" s="399"/>
      <c r="DQ642" s="399"/>
    </row>
    <row r="643" spans="1:121" s="760" customFormat="1" ht="14.45" customHeight="1" x14ac:dyDescent="0.25">
      <c r="A643" s="266">
        <f t="shared" si="9"/>
        <v>41.733333333333334</v>
      </c>
      <c r="B643" s="389">
        <v>41604</v>
      </c>
      <c r="C643" s="391" t="s">
        <v>451</v>
      </c>
      <c r="D643" s="391" t="s">
        <v>451</v>
      </c>
      <c r="E643" s="390" t="s">
        <v>380</v>
      </c>
      <c r="F643" s="390" t="s">
        <v>5</v>
      </c>
      <c r="G643" s="262" t="s">
        <v>18</v>
      </c>
      <c r="H643" s="261"/>
      <c r="I643" s="261"/>
      <c r="J643" s="261"/>
      <c r="K643" s="261">
        <v>31</v>
      </c>
      <c r="L643" s="261">
        <v>13</v>
      </c>
      <c r="M643" s="261">
        <v>31</v>
      </c>
      <c r="N643" s="261">
        <v>13</v>
      </c>
      <c r="O643" s="261">
        <v>13</v>
      </c>
      <c r="P643" s="261"/>
      <c r="Q643" s="261"/>
      <c r="R643" s="261"/>
      <c r="S643" s="261"/>
      <c r="T643" s="261"/>
      <c r="U643" s="261"/>
      <c r="V643" s="762"/>
      <c r="W643" s="261"/>
      <c r="X643" s="261"/>
      <c r="Y643" s="264">
        <f>IF(NFI_Expiration=1,IF($A643&lt;VLOOKUP(H$5,NFI,5,0),1,0)*Table_NFI[[#This Row],[Hygiene Kit]],Table_NFI[Hygiene Kit])</f>
        <v>0</v>
      </c>
      <c r="Z643" s="264">
        <f>IF(NFI_Expiration=1,IF($A643&lt;VLOOKUP(I$5,NFI,5,0),1,0)*Table_NFI[[#This Row],[NFI Core Kit]],Table_NFI[NFI Core Kit])</f>
        <v>0</v>
      </c>
      <c r="AA643" s="264">
        <f>IF(NFI_Expiration=1,IF($A643&lt;VLOOKUP(J$5,NFI,5,0),1,0)*Table_NFI[[#This Row],[Sanitary Kit]],Table_NFI[Sanitary Kit])</f>
        <v>0</v>
      </c>
      <c r="AB643" s="264">
        <f>IF(NFI_Expiration=1,IF($A643&lt;VLOOKUP(K$5,NFI,5,0),1,0)*Table_NFI[[#This Row],[Mosquito net]],Table_NFI[Mosquito net])</f>
        <v>0</v>
      </c>
      <c r="AC643" s="264">
        <f>IF(NFI_Expiration=1,IF($A643&lt;VLOOKUP(L$5,NFI,5,0),1,0)*Table_NFI[[#This Row],[Tarpaulin]],Table_NFI[[#This Row],[Tarpaulin]])</f>
        <v>0</v>
      </c>
      <c r="AD643" s="264">
        <f>IF(NFI_Expiration=1,IF($A643&lt;VLOOKUP(M$5,NFI,5,0),1,0)*Table_NFI[[#This Row],[Blanket]],Table_NFI[[#This Row],[Blanket]])</f>
        <v>0</v>
      </c>
      <c r="AE643" s="264">
        <f>IF(NFI_Expiration=1,IF($A643&lt;VLOOKUP(N$5,NFI,5,0),1,0)*Table_NFI[[#This Row],[Kitchen Set]],Table_NFI[Kitchen Set])</f>
        <v>0</v>
      </c>
      <c r="AF643" s="264">
        <f>IF(NFI_Expiration=1,IF($A643&lt;VLOOKUP(O$5,NFI,5,0),1,0)*Table_NFI[[#This Row],[Clothes Kit]],Table_NFI[Clothes Kit])</f>
        <v>0</v>
      </c>
      <c r="AG643" s="264">
        <f>IF(NFI_Expiration=1,IF($A643&lt;VLOOKUP(P$5,NFI,5,0),1,0)*Table_NFI[[#This Row],[Plastic Bucket]],Table_NFI[Plastic Bucket])</f>
        <v>0</v>
      </c>
      <c r="AH643" s="264">
        <f>IF(NFI_Expiration=1,IF($A643&lt;VLOOKUP(Q$5,NFI,5,0),1,0)*Table_NFI[[#This Row],[Plastic Mat]],Table_NFI[Plastic Mat])*IF(Table_NFI[[#This Row],[Distribution Date]]&gt;"2014-04-01",1,2.5)</f>
        <v>0</v>
      </c>
      <c r="AI643" s="264">
        <f>IF(NFI_Expiration=1,IF($A643&lt;VLOOKUP(R$5,NFI,5,0),1,0)*Table_NFI[[#This Row],[Winter Clothes Adult]],Table_NFI[Winter Clothes Adult])</f>
        <v>0</v>
      </c>
      <c r="AJ643" s="264">
        <f>IF(NFI_Expiration=1,IF($A643&lt;VLOOKUP(S$5,NFI,5,0),1,0)*Table_NFI[[#This Row],[Winter Clothes Children]],Table_NFI[Winter Clothes Children])</f>
        <v>0</v>
      </c>
      <c r="AK643" s="264">
        <f>IF(NFI_Expiration=1,IF($A643&lt;VLOOKUP(T$5,NFI,5,0),1,0)*Table_NFI[[#This Row],[Winter Items Other]],Table_NFI[Winter Items Other])</f>
        <v>0</v>
      </c>
      <c r="AL643" s="264">
        <f>IF(NFI_Expiration=1,IF($A643&lt;VLOOKUP(M$5,NFI,5,0),1,0)*Table_NFI[[#This Row],[Winter Blanket]],Table_NFI[[#This Row],[Winter Blanket]])</f>
        <v>0</v>
      </c>
      <c r="AM643" s="264">
        <f>IF(Table_NFI[[#This Row],[Winter Clothes Adult]]+Table_NFI[[#This Row],[Winter Clothes Children]]+Table_NFI[[#This Row],[Winter Items Other]]+Table_NFI[[#This Row],[Winter Blanket]]&gt;0,1,0)</f>
        <v>0</v>
      </c>
      <c r="AN643" s="296">
        <f>IF(NFI_Expiration=1,IF($A643&lt;VLOOKUP(V$5,NFI,5,0),1,0)*Table_NFI[[#This Row],[Jerry Can]],Table_NFI[Jerry Can])</f>
        <v>0</v>
      </c>
      <c r="AO643" s="296">
        <f>IF(NFI_Expiration=1,IF($A643&lt;VLOOKUP(V$5,NFI,5,0),1,0)*Table_NFI[[#This Row],[Shelter Tool kit]],Table_NFI[Shelter Tool kit])</f>
        <v>0</v>
      </c>
      <c r="AP643" s="296">
        <f>IF(NFI_Expiration=1,IF($A643&lt;VLOOKUP(V$5,NFI,5,0),1,0)*Table_NFI[[#This Row],[Tent]],Table_NFI[Tent])</f>
        <v>0</v>
      </c>
      <c r="AQ643" s="396" t="str">
        <f>IFERROR(VLOOKUP(Table_NFI[[#This Row],[Camp Name]],CL,2,0),"")</f>
        <v>MMR001CMP049</v>
      </c>
      <c r="AR643" s="702">
        <f ca="1">IF(Table_NFI[[#This Row],[Pcode]]="","",IF(OFFSET(CampList[Opening Date],MATCH(Table_NFI[[#This Row],[Pcode]],CampList[CP_Pcode],0)-1,0,1,1)&gt;=NFI_Monitor_Date,1,0))</f>
        <v>0</v>
      </c>
      <c r="AS643" s="396" t="str">
        <f>IFERROR(VLOOKUP(Table_NFI[[#This Row],[Camp Name]],CL,3,0),"")</f>
        <v>Open</v>
      </c>
      <c r="AT643" s="264" t="str">
        <f ca="1">IF(Table_NFI[[#This Row],[Pcode]]="","",OFFSET(CampList[Priority],MATCH(Table_NFI[[#This Row],[Pcode]],CampList[CP_Pcode],0)-1,0,1,1))</f>
        <v>P4</v>
      </c>
      <c r="AU643" s="263">
        <f>IFERROR(Table_NFI[[#This Row],[Kitchen Set]]/VLOOKUP(Table_NFI[[#This Row],[Camp Name]],CL,4,0),"")</f>
        <v>3.1944956382848013E-4</v>
      </c>
      <c r="AV643" s="390" t="s">
        <v>1087</v>
      </c>
      <c r="AW643" s="392"/>
      <c r="AX643" s="399"/>
      <c r="AY643" s="399"/>
      <c r="AZ643" s="399"/>
      <c r="BA643" s="399"/>
      <c r="BB643" s="399"/>
      <c r="BC643" s="399"/>
      <c r="BD643" s="399"/>
      <c r="BE643" s="399"/>
      <c r="BF643" s="399"/>
      <c r="BG643" s="399"/>
      <c r="BH643" s="399"/>
      <c r="BI643" s="399"/>
      <c r="BJ643" s="399"/>
      <c r="BK643" s="399"/>
      <c r="BL643" s="399"/>
      <c r="BM643" s="399"/>
      <c r="BN643" s="399"/>
      <c r="BO643" s="399"/>
      <c r="BP643" s="399"/>
      <c r="BQ643" s="399"/>
      <c r="BR643" s="399"/>
      <c r="BS643" s="399"/>
      <c r="BT643" s="399"/>
      <c r="BU643" s="399"/>
      <c r="BV643" s="399"/>
      <c r="BW643" s="399"/>
      <c r="BX643" s="399"/>
      <c r="BY643" s="399"/>
      <c r="BZ643" s="399"/>
      <c r="CA643" s="399"/>
      <c r="CB643" s="399"/>
      <c r="CC643" s="399"/>
      <c r="CD643" s="399"/>
      <c r="CE643" s="399"/>
      <c r="CF643" s="399"/>
      <c r="CG643" s="399"/>
      <c r="CH643" s="399"/>
      <c r="CI643" s="399"/>
      <c r="CJ643" s="399"/>
      <c r="CK643" s="399"/>
      <c r="CL643" s="399"/>
      <c r="CM643" s="399"/>
      <c r="CN643" s="399"/>
      <c r="CO643" s="399"/>
      <c r="CP643" s="399"/>
      <c r="CQ643" s="399"/>
      <c r="CR643" s="399"/>
      <c r="CS643" s="399"/>
      <c r="CT643" s="399"/>
      <c r="CU643" s="399"/>
      <c r="CV643" s="399"/>
      <c r="CW643" s="399"/>
      <c r="CX643" s="399"/>
      <c r="CY643" s="399"/>
      <c r="CZ643" s="399"/>
      <c r="DA643" s="399"/>
      <c r="DB643" s="399"/>
      <c r="DC643" s="399"/>
      <c r="DD643" s="399"/>
      <c r="DE643" s="399"/>
      <c r="DF643" s="399"/>
      <c r="DG643" s="399"/>
      <c r="DH643" s="399"/>
      <c r="DI643" s="399"/>
      <c r="DJ643" s="399"/>
      <c r="DK643" s="399"/>
      <c r="DL643" s="399"/>
      <c r="DM643" s="399"/>
      <c r="DN643" s="399"/>
      <c r="DO643" s="399"/>
      <c r="DP643" s="399"/>
      <c r="DQ643" s="399"/>
    </row>
    <row r="644" spans="1:121" s="760" customFormat="1" ht="14.45" customHeight="1" x14ac:dyDescent="0.25">
      <c r="A644" s="266">
        <f t="shared" si="9"/>
        <v>41.733333333333334</v>
      </c>
      <c r="B644" s="389">
        <v>41604</v>
      </c>
      <c r="C644" s="391" t="s">
        <v>451</v>
      </c>
      <c r="D644" s="391" t="s">
        <v>451</v>
      </c>
      <c r="E644" s="390" t="s">
        <v>380</v>
      </c>
      <c r="F644" s="262" t="s">
        <v>5</v>
      </c>
      <c r="G644" s="262" t="s">
        <v>8</v>
      </c>
      <c r="H644" s="261"/>
      <c r="I644" s="261"/>
      <c r="J644" s="261"/>
      <c r="K644" s="261">
        <v>22</v>
      </c>
      <c r="L644" s="261">
        <v>11</v>
      </c>
      <c r="M644" s="261">
        <v>22</v>
      </c>
      <c r="N644" s="261">
        <v>11</v>
      </c>
      <c r="O644" s="261">
        <v>11</v>
      </c>
      <c r="P644" s="261"/>
      <c r="Q644" s="261"/>
      <c r="R644" s="261"/>
      <c r="S644" s="261"/>
      <c r="T644" s="261"/>
      <c r="U644" s="261"/>
      <c r="V644" s="762"/>
      <c r="W644" s="261"/>
      <c r="X644" s="261"/>
      <c r="Y644" s="264">
        <f>IF(NFI_Expiration=1,IF($A644&lt;VLOOKUP(H$5,NFI,5,0),1,0)*Table_NFI[[#This Row],[Hygiene Kit]],Table_NFI[Hygiene Kit])</f>
        <v>0</v>
      </c>
      <c r="Z644" s="264">
        <f>IF(NFI_Expiration=1,IF($A644&lt;VLOOKUP(I$5,NFI,5,0),1,0)*Table_NFI[[#This Row],[NFI Core Kit]],Table_NFI[NFI Core Kit])</f>
        <v>0</v>
      </c>
      <c r="AA644" s="264">
        <f>IF(NFI_Expiration=1,IF($A644&lt;VLOOKUP(J$5,NFI,5,0),1,0)*Table_NFI[[#This Row],[Sanitary Kit]],Table_NFI[Sanitary Kit])</f>
        <v>0</v>
      </c>
      <c r="AB644" s="264">
        <f>IF(NFI_Expiration=1,IF($A644&lt;VLOOKUP(K$5,NFI,5,0),1,0)*Table_NFI[[#This Row],[Mosquito net]],Table_NFI[Mosquito net])</f>
        <v>0</v>
      </c>
      <c r="AC644" s="264">
        <f>IF(NFI_Expiration=1,IF($A644&lt;VLOOKUP(L$5,NFI,5,0),1,0)*Table_NFI[[#This Row],[Tarpaulin]],Table_NFI[[#This Row],[Tarpaulin]])</f>
        <v>0</v>
      </c>
      <c r="AD644" s="264">
        <f>IF(NFI_Expiration=1,IF($A644&lt;VLOOKUP(M$5,NFI,5,0),1,0)*Table_NFI[[#This Row],[Blanket]],Table_NFI[[#This Row],[Blanket]])</f>
        <v>0</v>
      </c>
      <c r="AE644" s="264">
        <f>IF(NFI_Expiration=1,IF($A644&lt;VLOOKUP(N$5,NFI,5,0),1,0)*Table_NFI[[#This Row],[Kitchen Set]],Table_NFI[Kitchen Set])</f>
        <v>0</v>
      </c>
      <c r="AF644" s="264">
        <f>IF(NFI_Expiration=1,IF($A644&lt;VLOOKUP(O$5,NFI,5,0),1,0)*Table_NFI[[#This Row],[Clothes Kit]],Table_NFI[Clothes Kit])</f>
        <v>0</v>
      </c>
      <c r="AG644" s="264">
        <f>IF(NFI_Expiration=1,IF($A644&lt;VLOOKUP(P$5,NFI,5,0),1,0)*Table_NFI[[#This Row],[Plastic Bucket]],Table_NFI[Plastic Bucket])</f>
        <v>0</v>
      </c>
      <c r="AH644" s="264">
        <f>IF(NFI_Expiration=1,IF($A644&lt;VLOOKUP(Q$5,NFI,5,0),1,0)*Table_NFI[[#This Row],[Plastic Mat]],Table_NFI[Plastic Mat])*IF(Table_NFI[[#This Row],[Distribution Date]]&gt;"2014-04-01",1,2.5)</f>
        <v>0</v>
      </c>
      <c r="AI644" s="264">
        <f>IF(NFI_Expiration=1,IF($A644&lt;VLOOKUP(R$5,NFI,5,0),1,0)*Table_NFI[[#This Row],[Winter Clothes Adult]],Table_NFI[Winter Clothes Adult])</f>
        <v>0</v>
      </c>
      <c r="AJ644" s="264">
        <f>IF(NFI_Expiration=1,IF($A644&lt;VLOOKUP(S$5,NFI,5,0),1,0)*Table_NFI[[#This Row],[Winter Clothes Children]],Table_NFI[Winter Clothes Children])</f>
        <v>0</v>
      </c>
      <c r="AK644" s="264">
        <f>IF(NFI_Expiration=1,IF($A644&lt;VLOOKUP(T$5,NFI,5,0),1,0)*Table_NFI[[#This Row],[Winter Items Other]],Table_NFI[Winter Items Other])</f>
        <v>0</v>
      </c>
      <c r="AL644" s="264">
        <f>IF(NFI_Expiration=1,IF($A644&lt;VLOOKUP(M$5,NFI,5,0),1,0)*Table_NFI[[#This Row],[Winter Blanket]],Table_NFI[[#This Row],[Winter Blanket]])</f>
        <v>0</v>
      </c>
      <c r="AM644" s="264">
        <f>IF(Table_NFI[[#This Row],[Winter Clothes Adult]]+Table_NFI[[#This Row],[Winter Clothes Children]]+Table_NFI[[#This Row],[Winter Items Other]]+Table_NFI[[#This Row],[Winter Blanket]]&gt;0,1,0)</f>
        <v>0</v>
      </c>
      <c r="AN644" s="296">
        <f>IF(NFI_Expiration=1,IF($A644&lt;VLOOKUP(V$5,NFI,5,0),1,0)*Table_NFI[[#This Row],[Jerry Can]],Table_NFI[Jerry Can])</f>
        <v>0</v>
      </c>
      <c r="AO644" s="296">
        <f>IF(NFI_Expiration=1,IF($A644&lt;VLOOKUP(V$5,NFI,5,0),1,0)*Table_NFI[[#This Row],[Shelter Tool kit]],Table_NFI[Shelter Tool kit])</f>
        <v>0</v>
      </c>
      <c r="AP644" s="296">
        <f>IF(NFI_Expiration=1,IF($A644&lt;VLOOKUP(V$5,NFI,5,0),1,0)*Table_NFI[[#This Row],[Tent]],Table_NFI[Tent])</f>
        <v>0</v>
      </c>
      <c r="AQ644" s="396" t="str">
        <f>IFERROR(VLOOKUP(Table_NFI[[#This Row],[Camp Name]],CL,2,0),"")</f>
        <v>MMR001CMP051</v>
      </c>
      <c r="AR644" s="702">
        <f ca="1">IF(Table_NFI[[#This Row],[Pcode]]="","",IF(OFFSET(CampList[Opening Date],MATCH(Table_NFI[[#This Row],[Pcode]],CampList[CP_Pcode],0)-1,0,1,1)&gt;=NFI_Monitor_Date,1,0))</f>
        <v>0</v>
      </c>
      <c r="AS644" s="396" t="str">
        <f>IFERROR(VLOOKUP(Table_NFI[[#This Row],[Camp Name]],CL,3,0),"")</f>
        <v>Open</v>
      </c>
      <c r="AT644" s="264" t="str">
        <f ca="1">IF(Table_NFI[[#This Row],[Pcode]]="","",OFFSET(CampList[Priority],MATCH(Table_NFI[[#This Row],[Pcode]],CampList[CP_Pcode],0)-1,0,1,1))</f>
        <v>P4</v>
      </c>
      <c r="AU644" s="263">
        <f>IFERROR(Table_NFI[[#This Row],[Kitchen Set]]/VLOOKUP(Table_NFI[[#This Row],[Camp Name]],CL,4,0),"")</f>
        <v>2.6710050263458222E-4</v>
      </c>
      <c r="AV644" s="390" t="s">
        <v>1087</v>
      </c>
      <c r="AW644" s="392"/>
      <c r="AX644" s="399"/>
      <c r="AY644" s="399"/>
      <c r="AZ644" s="399"/>
      <c r="BA644" s="399"/>
      <c r="BB644" s="399"/>
      <c r="BC644" s="399"/>
      <c r="BD644" s="399"/>
      <c r="BE644" s="399"/>
      <c r="BF644" s="399"/>
      <c r="BG644" s="399"/>
      <c r="BH644" s="399"/>
      <c r="BI644" s="399"/>
      <c r="BJ644" s="399"/>
      <c r="BK644" s="399"/>
      <c r="BL644" s="399"/>
      <c r="BM644" s="399"/>
      <c r="BN644" s="399"/>
      <c r="BO644" s="399"/>
      <c r="BP644" s="399"/>
      <c r="BQ644" s="399"/>
      <c r="BR644" s="399"/>
      <c r="BS644" s="399"/>
      <c r="BT644" s="399"/>
      <c r="BU644" s="399"/>
      <c r="BV644" s="399"/>
      <c r="BW644" s="399"/>
      <c r="BX644" s="399"/>
      <c r="BY644" s="399"/>
      <c r="BZ644" s="399"/>
      <c r="CA644" s="399"/>
      <c r="CB644" s="399"/>
      <c r="CC644" s="399"/>
      <c r="CD644" s="399"/>
      <c r="CE644" s="399"/>
      <c r="CF644" s="399"/>
      <c r="CG644" s="399"/>
      <c r="CH644" s="399"/>
      <c r="CI644" s="399"/>
      <c r="CJ644" s="399"/>
      <c r="CK644" s="399"/>
      <c r="CL644" s="399"/>
      <c r="CM644" s="399"/>
      <c r="CN644" s="399"/>
      <c r="CO644" s="399"/>
      <c r="CP644" s="399"/>
      <c r="CQ644" s="399"/>
      <c r="CR644" s="399"/>
      <c r="CS644" s="399"/>
      <c r="CT644" s="399"/>
      <c r="CU644" s="399"/>
      <c r="CV644" s="399"/>
      <c r="CW644" s="399"/>
      <c r="CX644" s="399"/>
      <c r="CY644" s="399"/>
      <c r="CZ644" s="399"/>
      <c r="DA644" s="399"/>
      <c r="DB644" s="399"/>
      <c r="DC644" s="399"/>
      <c r="DD644" s="399"/>
      <c r="DE644" s="399"/>
      <c r="DF644" s="399"/>
      <c r="DG644" s="399"/>
      <c r="DH644" s="399"/>
      <c r="DI644" s="399"/>
      <c r="DJ644" s="399"/>
      <c r="DK644" s="399"/>
      <c r="DL644" s="399"/>
      <c r="DM644" s="399"/>
      <c r="DN644" s="399"/>
      <c r="DO644" s="399"/>
      <c r="DP644" s="399"/>
      <c r="DQ644" s="399"/>
    </row>
    <row r="645" spans="1:121" s="760" customFormat="1" ht="14.45" customHeight="1" x14ac:dyDescent="0.25">
      <c r="A645" s="266">
        <f t="shared" si="9"/>
        <v>41.733333333333334</v>
      </c>
      <c r="B645" s="389">
        <v>41604</v>
      </c>
      <c r="C645" s="390" t="s">
        <v>904</v>
      </c>
      <c r="D645" s="390" t="s">
        <v>459</v>
      </c>
      <c r="E645" s="390" t="s">
        <v>380</v>
      </c>
      <c r="F645" s="390" t="s">
        <v>310</v>
      </c>
      <c r="G645" s="390" t="s">
        <v>1231</v>
      </c>
      <c r="H645" s="261"/>
      <c r="I645" s="261"/>
      <c r="J645" s="261"/>
      <c r="K645" s="261"/>
      <c r="L645" s="261"/>
      <c r="M645" s="261"/>
      <c r="N645" s="261"/>
      <c r="O645" s="261"/>
      <c r="P645" s="261"/>
      <c r="Q645" s="261"/>
      <c r="R645" s="261">
        <v>98</v>
      </c>
      <c r="S645" s="261">
        <v>196</v>
      </c>
      <c r="T645" s="261">
        <v>588</v>
      </c>
      <c r="U645" s="261">
        <v>294</v>
      </c>
      <c r="V645" s="762"/>
      <c r="W645" s="261"/>
      <c r="X645" s="261"/>
      <c r="Y645" s="264">
        <f>IF(NFI_Expiration=1,IF($A645&lt;VLOOKUP(H$5,NFI,5,0),1,0)*Table_NFI[[#This Row],[Hygiene Kit]],Table_NFI[Hygiene Kit])</f>
        <v>0</v>
      </c>
      <c r="Z645" s="264">
        <f>IF(NFI_Expiration=1,IF($A645&lt;VLOOKUP(I$5,NFI,5,0),1,0)*Table_NFI[[#This Row],[NFI Core Kit]],Table_NFI[NFI Core Kit])</f>
        <v>0</v>
      </c>
      <c r="AA645" s="264">
        <f>IF(NFI_Expiration=1,IF($A645&lt;VLOOKUP(J$5,NFI,5,0),1,0)*Table_NFI[[#This Row],[Sanitary Kit]],Table_NFI[Sanitary Kit])</f>
        <v>0</v>
      </c>
      <c r="AB645" s="264">
        <f>IF(NFI_Expiration=1,IF($A645&lt;VLOOKUP(K$5,NFI,5,0),1,0)*Table_NFI[[#This Row],[Mosquito net]],Table_NFI[Mosquito net])</f>
        <v>0</v>
      </c>
      <c r="AC645" s="264">
        <f>IF(NFI_Expiration=1,IF($A645&lt;VLOOKUP(L$5,NFI,5,0),1,0)*Table_NFI[[#This Row],[Tarpaulin]],Table_NFI[[#This Row],[Tarpaulin]])</f>
        <v>0</v>
      </c>
      <c r="AD645" s="264">
        <f>IF(NFI_Expiration=1,IF($A645&lt;VLOOKUP(M$5,NFI,5,0),1,0)*Table_NFI[[#This Row],[Blanket]],Table_NFI[[#This Row],[Blanket]])</f>
        <v>0</v>
      </c>
      <c r="AE645" s="264">
        <f>IF(NFI_Expiration=1,IF($A645&lt;VLOOKUP(N$5,NFI,5,0),1,0)*Table_NFI[[#This Row],[Kitchen Set]],Table_NFI[Kitchen Set])</f>
        <v>0</v>
      </c>
      <c r="AF645" s="264">
        <f>IF(NFI_Expiration=1,IF($A645&lt;VLOOKUP(O$5,NFI,5,0),1,0)*Table_NFI[[#This Row],[Clothes Kit]],Table_NFI[Clothes Kit])</f>
        <v>0</v>
      </c>
      <c r="AG645" s="264">
        <f>IF(NFI_Expiration=1,IF($A645&lt;VLOOKUP(P$5,NFI,5,0),1,0)*Table_NFI[[#This Row],[Plastic Bucket]],Table_NFI[Plastic Bucket])</f>
        <v>0</v>
      </c>
      <c r="AH645" s="264">
        <f>IF(NFI_Expiration=1,IF($A645&lt;VLOOKUP(Q$5,NFI,5,0),1,0)*Table_NFI[[#This Row],[Plastic Mat]],Table_NFI[Plastic Mat])*IF(Table_NFI[[#This Row],[Distribution Date]]&gt;"2014-04-01",1,2.5)</f>
        <v>0</v>
      </c>
      <c r="AI645" s="264">
        <f>IF(NFI_Expiration=1,IF($A645&lt;VLOOKUP(R$5,NFI,5,0),1,0)*Table_NFI[[#This Row],[Winter Clothes Adult]],Table_NFI[Winter Clothes Adult])</f>
        <v>0</v>
      </c>
      <c r="AJ645" s="264">
        <f>IF(NFI_Expiration=1,IF($A645&lt;VLOOKUP(S$5,NFI,5,0),1,0)*Table_NFI[[#This Row],[Winter Clothes Children]],Table_NFI[Winter Clothes Children])</f>
        <v>0</v>
      </c>
      <c r="AK645" s="264">
        <f>IF(NFI_Expiration=1,IF($A645&lt;VLOOKUP(T$5,NFI,5,0),1,0)*Table_NFI[[#This Row],[Winter Items Other]],Table_NFI[Winter Items Other])</f>
        <v>0</v>
      </c>
      <c r="AL645" s="264">
        <f>IF(NFI_Expiration=1,IF($A645&lt;VLOOKUP(M$5,NFI,5,0),1,0)*Table_NFI[[#This Row],[Winter Blanket]],Table_NFI[[#This Row],[Winter Blanket]])</f>
        <v>0</v>
      </c>
      <c r="AM645" s="264">
        <f>IF(Table_NFI[[#This Row],[Winter Clothes Adult]]+Table_NFI[[#This Row],[Winter Clothes Children]]+Table_NFI[[#This Row],[Winter Items Other]]+Table_NFI[[#This Row],[Winter Blanket]]&gt;0,1,0)</f>
        <v>1</v>
      </c>
      <c r="AN645" s="296">
        <f>IF(NFI_Expiration=1,IF($A645&lt;VLOOKUP(V$5,NFI,5,0),1,0)*Table_NFI[[#This Row],[Jerry Can]],Table_NFI[Jerry Can])</f>
        <v>0</v>
      </c>
      <c r="AO645" s="296">
        <f>IF(NFI_Expiration=1,IF($A645&lt;VLOOKUP(V$5,NFI,5,0),1,0)*Table_NFI[[#This Row],[Shelter Tool kit]],Table_NFI[Shelter Tool kit])</f>
        <v>0</v>
      </c>
      <c r="AP645" s="296">
        <f>IF(NFI_Expiration=1,IF($A645&lt;VLOOKUP(V$5,NFI,5,0),1,0)*Table_NFI[[#This Row],[Tent]],Table_NFI[Tent])</f>
        <v>0</v>
      </c>
      <c r="AQ645" s="396" t="str">
        <f>IFERROR(VLOOKUP(Table_NFI[[#This Row],[Camp Name]],CL,2,0),"")</f>
        <v>MMR001CMP120</v>
      </c>
      <c r="AR645" s="702">
        <f ca="1">IF(Table_NFI[[#This Row],[Pcode]]="","",IF(OFFSET(CampList[Opening Date],MATCH(Table_NFI[[#This Row],[Pcode]],CampList[CP_Pcode],0)-1,0,1,1)&gt;=NFI_Monitor_Date,1,0))</f>
        <v>0</v>
      </c>
      <c r="AS645" s="396" t="str">
        <f>IFERROR(VLOOKUP(Table_NFI[[#This Row],[Camp Name]],CL,3,0),"")</f>
        <v>Open</v>
      </c>
      <c r="AT645" s="264" t="str">
        <f ca="1">IF(Table_NFI[[#This Row],[Pcode]]="","",OFFSET(CampList[Priority],MATCH(Table_NFI[[#This Row],[Pcode]],CampList[CP_Pcode],0)-1,0,1,1))</f>
        <v>P1</v>
      </c>
      <c r="AU645" s="263">
        <f>IFERROR(Table_NFI[[#This Row],[Kitchen Set]]/VLOOKUP(Table_NFI[[#This Row],[Camp Name]],CL,4,0),"")</f>
        <v>0</v>
      </c>
      <c r="AV645" s="390"/>
      <c r="AW645" s="392"/>
      <c r="AX645" s="399"/>
      <c r="AY645" s="399"/>
      <c r="AZ645" s="399"/>
      <c r="BA645" s="399"/>
      <c r="BB645" s="399"/>
      <c r="BC645" s="399"/>
      <c r="BD645" s="399"/>
      <c r="BE645" s="399"/>
      <c r="BF645" s="399"/>
      <c r="BG645" s="399"/>
      <c r="BH645" s="399"/>
      <c r="BI645" s="399"/>
      <c r="BJ645" s="399"/>
      <c r="BK645" s="399"/>
      <c r="BL645" s="399"/>
      <c r="BM645" s="399"/>
      <c r="BN645" s="399"/>
      <c r="BO645" s="399"/>
      <c r="BP645" s="399"/>
      <c r="BQ645" s="399"/>
      <c r="BR645" s="399"/>
      <c r="BS645" s="399"/>
      <c r="BT645" s="399"/>
      <c r="BU645" s="399"/>
      <c r="BV645" s="399"/>
      <c r="BW645" s="399"/>
      <c r="BX645" s="399"/>
      <c r="BY645" s="399"/>
      <c r="BZ645" s="399"/>
      <c r="CA645" s="399"/>
      <c r="CB645" s="399"/>
      <c r="CC645" s="399"/>
      <c r="CD645" s="399"/>
      <c r="CE645" s="399"/>
      <c r="CF645" s="399"/>
      <c r="CG645" s="399"/>
      <c r="CH645" s="399"/>
      <c r="CI645" s="399"/>
      <c r="CJ645" s="399"/>
      <c r="CK645" s="399"/>
      <c r="CL645" s="399"/>
      <c r="CM645" s="399"/>
      <c r="CN645" s="399"/>
      <c r="CO645" s="399"/>
      <c r="CP645" s="399"/>
      <c r="CQ645" s="399"/>
      <c r="CR645" s="399"/>
      <c r="CS645" s="399"/>
      <c r="CT645" s="399"/>
      <c r="CU645" s="399"/>
      <c r="CV645" s="399"/>
      <c r="CW645" s="399"/>
      <c r="CX645" s="399"/>
      <c r="CY645" s="399"/>
      <c r="CZ645" s="399"/>
      <c r="DA645" s="399"/>
      <c r="DB645" s="399"/>
      <c r="DC645" s="399"/>
      <c r="DD645" s="399"/>
      <c r="DE645" s="399"/>
      <c r="DF645" s="399"/>
      <c r="DG645" s="399"/>
      <c r="DH645" s="399"/>
      <c r="DI645" s="399"/>
      <c r="DJ645" s="399"/>
      <c r="DK645" s="399"/>
      <c r="DL645" s="399"/>
      <c r="DM645" s="399"/>
      <c r="DN645" s="399"/>
      <c r="DO645" s="399"/>
      <c r="DP645" s="399"/>
      <c r="DQ645" s="399"/>
    </row>
    <row r="646" spans="1:121" s="760" customFormat="1" ht="14.45" customHeight="1" x14ac:dyDescent="0.25">
      <c r="A646" s="266">
        <f t="shared" ref="A646:A709" si="10">IF(ISBLANK(B646),"",(Report_Date-B646)/30)</f>
        <v>41.733333333333334</v>
      </c>
      <c r="B646" s="389">
        <v>41604</v>
      </c>
      <c r="C646" s="390" t="s">
        <v>904</v>
      </c>
      <c r="D646" s="390" t="s">
        <v>904</v>
      </c>
      <c r="E646" s="390" t="s">
        <v>380</v>
      </c>
      <c r="F646" s="390" t="s">
        <v>151</v>
      </c>
      <c r="G646" s="390" t="s">
        <v>515</v>
      </c>
      <c r="H646" s="261"/>
      <c r="I646" s="261"/>
      <c r="J646" s="261"/>
      <c r="K646" s="261"/>
      <c r="L646" s="261"/>
      <c r="M646" s="261"/>
      <c r="N646" s="261"/>
      <c r="O646" s="261"/>
      <c r="P646" s="261"/>
      <c r="Q646" s="261"/>
      <c r="R646" s="261">
        <v>80</v>
      </c>
      <c r="S646" s="261">
        <v>160</v>
      </c>
      <c r="T646" s="261">
        <v>480</v>
      </c>
      <c r="U646" s="261">
        <v>240</v>
      </c>
      <c r="V646" s="762"/>
      <c r="W646" s="261"/>
      <c r="X646" s="261"/>
      <c r="Y646" s="264">
        <f>IF(NFI_Expiration=1,IF($A646&lt;VLOOKUP(H$5,NFI,5,0),1,0)*Table_NFI[[#This Row],[Hygiene Kit]],Table_NFI[Hygiene Kit])</f>
        <v>0</v>
      </c>
      <c r="Z646" s="264">
        <f>IF(NFI_Expiration=1,IF($A646&lt;VLOOKUP(I$5,NFI,5,0),1,0)*Table_NFI[[#This Row],[NFI Core Kit]],Table_NFI[NFI Core Kit])</f>
        <v>0</v>
      </c>
      <c r="AA646" s="264">
        <f>IF(NFI_Expiration=1,IF($A646&lt;VLOOKUP(J$5,NFI,5,0),1,0)*Table_NFI[[#This Row],[Sanitary Kit]],Table_NFI[Sanitary Kit])</f>
        <v>0</v>
      </c>
      <c r="AB646" s="264">
        <f>IF(NFI_Expiration=1,IF($A646&lt;VLOOKUP(K$5,NFI,5,0),1,0)*Table_NFI[[#This Row],[Mosquito net]],Table_NFI[Mosquito net])</f>
        <v>0</v>
      </c>
      <c r="AC646" s="264">
        <f>IF(NFI_Expiration=1,IF($A646&lt;VLOOKUP(L$5,NFI,5,0),1,0)*Table_NFI[[#This Row],[Tarpaulin]],Table_NFI[[#This Row],[Tarpaulin]])</f>
        <v>0</v>
      </c>
      <c r="AD646" s="264">
        <f>IF(NFI_Expiration=1,IF($A646&lt;VLOOKUP(M$5,NFI,5,0),1,0)*Table_NFI[[#This Row],[Blanket]],Table_NFI[[#This Row],[Blanket]])</f>
        <v>0</v>
      </c>
      <c r="AE646" s="264">
        <f>IF(NFI_Expiration=1,IF($A646&lt;VLOOKUP(N$5,NFI,5,0),1,0)*Table_NFI[[#This Row],[Kitchen Set]],Table_NFI[Kitchen Set])</f>
        <v>0</v>
      </c>
      <c r="AF646" s="264">
        <f>IF(NFI_Expiration=1,IF($A646&lt;VLOOKUP(O$5,NFI,5,0),1,0)*Table_NFI[[#This Row],[Clothes Kit]],Table_NFI[Clothes Kit])</f>
        <v>0</v>
      </c>
      <c r="AG646" s="264">
        <f>IF(NFI_Expiration=1,IF($A646&lt;VLOOKUP(P$5,NFI,5,0),1,0)*Table_NFI[[#This Row],[Plastic Bucket]],Table_NFI[Plastic Bucket])</f>
        <v>0</v>
      </c>
      <c r="AH646" s="264">
        <f>IF(NFI_Expiration=1,IF($A646&lt;VLOOKUP(Q$5,NFI,5,0),1,0)*Table_NFI[[#This Row],[Plastic Mat]],Table_NFI[Plastic Mat])*IF(Table_NFI[[#This Row],[Distribution Date]]&gt;"2014-04-01",1,2.5)</f>
        <v>0</v>
      </c>
      <c r="AI646" s="264">
        <f>IF(NFI_Expiration=1,IF($A646&lt;VLOOKUP(R$5,NFI,5,0),1,0)*Table_NFI[[#This Row],[Winter Clothes Adult]],Table_NFI[Winter Clothes Adult])</f>
        <v>0</v>
      </c>
      <c r="AJ646" s="264">
        <f>IF(NFI_Expiration=1,IF($A646&lt;VLOOKUP(S$5,NFI,5,0),1,0)*Table_NFI[[#This Row],[Winter Clothes Children]],Table_NFI[Winter Clothes Children])</f>
        <v>0</v>
      </c>
      <c r="AK646" s="264">
        <f>IF(NFI_Expiration=1,IF($A646&lt;VLOOKUP(T$5,NFI,5,0),1,0)*Table_NFI[[#This Row],[Winter Items Other]],Table_NFI[Winter Items Other])</f>
        <v>0</v>
      </c>
      <c r="AL646" s="264">
        <f>IF(NFI_Expiration=1,IF($A646&lt;VLOOKUP(M$5,NFI,5,0),1,0)*Table_NFI[[#This Row],[Winter Blanket]],Table_NFI[[#This Row],[Winter Blanket]])</f>
        <v>0</v>
      </c>
      <c r="AM646" s="264">
        <f>IF(Table_NFI[[#This Row],[Winter Clothes Adult]]+Table_NFI[[#This Row],[Winter Clothes Children]]+Table_NFI[[#This Row],[Winter Items Other]]+Table_NFI[[#This Row],[Winter Blanket]]&gt;0,1,0)</f>
        <v>1</v>
      </c>
      <c r="AN646" s="296">
        <f>IF(NFI_Expiration=1,IF($A646&lt;VLOOKUP(V$5,NFI,5,0),1,0)*Table_NFI[[#This Row],[Jerry Can]],Table_NFI[Jerry Can])</f>
        <v>0</v>
      </c>
      <c r="AO646" s="296">
        <f>IF(NFI_Expiration=1,IF($A646&lt;VLOOKUP(V$5,NFI,5,0),1,0)*Table_NFI[[#This Row],[Shelter Tool kit]],Table_NFI[Shelter Tool kit])</f>
        <v>0</v>
      </c>
      <c r="AP646" s="296">
        <f>IF(NFI_Expiration=1,IF($A646&lt;VLOOKUP(V$5,NFI,5,0),1,0)*Table_NFI[[#This Row],[Tent]],Table_NFI[Tent])</f>
        <v>0</v>
      </c>
      <c r="AQ646" s="396" t="str">
        <f>IFERROR(VLOOKUP(Table_NFI[[#This Row],[Camp Name]],CL,2,0),"")</f>
        <v>MMR001CMP202</v>
      </c>
      <c r="AR646" s="702">
        <f ca="1">IF(Table_NFI[[#This Row],[Pcode]]="","",IF(OFFSET(CampList[Opening Date],MATCH(Table_NFI[[#This Row],[Pcode]],CampList[CP_Pcode],0)-1,0,1,1)&gt;=NFI_Monitor_Date,1,0))</f>
        <v>0</v>
      </c>
      <c r="AS646" s="396" t="str">
        <f>IFERROR(VLOOKUP(Table_NFI[[#This Row],[Camp Name]],CL,3,0),"")</f>
        <v>Closed</v>
      </c>
      <c r="AT646" s="264" t="str">
        <f ca="1">IF(Table_NFI[[#This Row],[Pcode]]="","",OFFSET(CampList[Priority],MATCH(Table_NFI[[#This Row],[Pcode]],CampList[CP_Pcode],0)-1,0,1,1))</f>
        <v>P4</v>
      </c>
      <c r="AU646" s="263">
        <f>IFERROR(Table_NFI[[#This Row],[Kitchen Set]]/VLOOKUP(Table_NFI[[#This Row],[Camp Name]],CL,4,0),"")</f>
        <v>0</v>
      </c>
      <c r="AV646" s="390"/>
      <c r="AW646" s="392"/>
      <c r="AX646" s="399"/>
      <c r="AY646" s="399"/>
      <c r="AZ646" s="399"/>
      <c r="BA646" s="399"/>
      <c r="BB646" s="399"/>
      <c r="BC646" s="399"/>
      <c r="BD646" s="399"/>
      <c r="BE646" s="399"/>
      <c r="BF646" s="399"/>
      <c r="BG646" s="399"/>
      <c r="BH646" s="399"/>
      <c r="BI646" s="399"/>
      <c r="BJ646" s="399"/>
      <c r="BK646" s="399"/>
      <c r="BL646" s="399"/>
      <c r="BM646" s="399"/>
      <c r="BN646" s="399"/>
      <c r="BO646" s="399"/>
      <c r="BP646" s="399"/>
      <c r="BQ646" s="399"/>
      <c r="BR646" s="399"/>
      <c r="BS646" s="399"/>
      <c r="BT646" s="399"/>
      <c r="BU646" s="399"/>
      <c r="BV646" s="399"/>
      <c r="BW646" s="399"/>
      <c r="BX646" s="399"/>
      <c r="BY646" s="399"/>
      <c r="BZ646" s="399"/>
      <c r="CA646" s="399"/>
      <c r="CB646" s="399"/>
      <c r="CC646" s="399"/>
      <c r="CD646" s="399"/>
      <c r="CE646" s="399"/>
      <c r="CF646" s="399"/>
      <c r="CG646" s="399"/>
      <c r="CH646" s="399"/>
      <c r="CI646" s="399"/>
      <c r="CJ646" s="399"/>
      <c r="CK646" s="399"/>
      <c r="CL646" s="399"/>
      <c r="CM646" s="399"/>
      <c r="CN646" s="399"/>
      <c r="CO646" s="399"/>
      <c r="CP646" s="399"/>
      <c r="CQ646" s="399"/>
      <c r="CR646" s="399"/>
      <c r="CS646" s="399"/>
      <c r="CT646" s="399"/>
      <c r="CU646" s="399"/>
      <c r="CV646" s="399"/>
      <c r="CW646" s="399"/>
      <c r="CX646" s="399"/>
      <c r="CY646" s="399"/>
      <c r="CZ646" s="399"/>
      <c r="DA646" s="399"/>
      <c r="DB646" s="399"/>
      <c r="DC646" s="399"/>
      <c r="DD646" s="399"/>
      <c r="DE646" s="399"/>
      <c r="DF646" s="399"/>
      <c r="DG646" s="399"/>
      <c r="DH646" s="399"/>
      <c r="DI646" s="399"/>
      <c r="DJ646" s="399"/>
      <c r="DK646" s="399"/>
      <c r="DL646" s="399"/>
      <c r="DM646" s="399"/>
      <c r="DN646" s="399"/>
      <c r="DO646" s="399"/>
      <c r="DP646" s="399"/>
      <c r="DQ646" s="399"/>
    </row>
    <row r="647" spans="1:121" ht="14.45" customHeight="1" x14ac:dyDescent="0.25">
      <c r="A647" s="266">
        <f t="shared" si="10"/>
        <v>41.766666666666666</v>
      </c>
      <c r="B647" s="389">
        <v>41603</v>
      </c>
      <c r="C647" s="390" t="s">
        <v>904</v>
      </c>
      <c r="D647" s="390" t="s">
        <v>904</v>
      </c>
      <c r="E647" s="390" t="s">
        <v>380</v>
      </c>
      <c r="F647" s="390" t="s">
        <v>151</v>
      </c>
      <c r="G647" s="390" t="s">
        <v>160</v>
      </c>
      <c r="H647" s="261"/>
      <c r="I647" s="261"/>
      <c r="J647" s="261"/>
      <c r="K647" s="261"/>
      <c r="L647" s="261"/>
      <c r="M647" s="261"/>
      <c r="N647" s="261"/>
      <c r="O647" s="261"/>
      <c r="P647" s="261"/>
      <c r="Q647" s="261"/>
      <c r="R647" s="261"/>
      <c r="S647" s="261"/>
      <c r="T647" s="261"/>
      <c r="U647" s="261"/>
      <c r="V647" s="762"/>
      <c r="W647" s="261"/>
      <c r="X647" s="261"/>
      <c r="Y647" s="264">
        <f>IF(NFI_Expiration=1,IF($A647&lt;VLOOKUP(H$5,NFI,5,0),1,0)*Table_NFI[[#This Row],[Hygiene Kit]],Table_NFI[Hygiene Kit])</f>
        <v>0</v>
      </c>
      <c r="Z647" s="264">
        <f>IF(NFI_Expiration=1,IF($A647&lt;VLOOKUP(I$5,NFI,5,0),1,0)*Table_NFI[[#This Row],[NFI Core Kit]],Table_NFI[NFI Core Kit])</f>
        <v>0</v>
      </c>
      <c r="AA647" s="264">
        <f>IF(NFI_Expiration=1,IF($A647&lt;VLOOKUP(J$5,NFI,5,0),1,0)*Table_NFI[[#This Row],[Sanitary Kit]],Table_NFI[Sanitary Kit])</f>
        <v>0</v>
      </c>
      <c r="AB647" s="264">
        <f>IF(NFI_Expiration=1,IF($A647&lt;VLOOKUP(K$5,NFI,5,0),1,0)*Table_NFI[[#This Row],[Mosquito net]],Table_NFI[Mosquito net])</f>
        <v>0</v>
      </c>
      <c r="AC647" s="264">
        <f>IF(NFI_Expiration=1,IF($A647&lt;VLOOKUP(L$5,NFI,5,0),1,0)*Table_NFI[[#This Row],[Tarpaulin]],Table_NFI[[#This Row],[Tarpaulin]])</f>
        <v>0</v>
      </c>
      <c r="AD647" s="264">
        <f>IF(NFI_Expiration=1,IF($A647&lt;VLOOKUP(M$5,NFI,5,0),1,0)*Table_NFI[[#This Row],[Blanket]],Table_NFI[[#This Row],[Blanket]])</f>
        <v>0</v>
      </c>
      <c r="AE647" s="264">
        <f>IF(NFI_Expiration=1,IF($A647&lt;VLOOKUP(N$5,NFI,5,0),1,0)*Table_NFI[[#This Row],[Kitchen Set]],Table_NFI[Kitchen Set])</f>
        <v>0</v>
      </c>
      <c r="AF647" s="264">
        <f>IF(NFI_Expiration=1,IF($A647&lt;VLOOKUP(O$5,NFI,5,0),1,0)*Table_NFI[[#This Row],[Clothes Kit]],Table_NFI[Clothes Kit])</f>
        <v>0</v>
      </c>
      <c r="AG647" s="264">
        <f>IF(NFI_Expiration=1,IF($A647&lt;VLOOKUP(P$5,NFI,5,0),1,0)*Table_NFI[[#This Row],[Plastic Bucket]],Table_NFI[Plastic Bucket])</f>
        <v>0</v>
      </c>
      <c r="AH647" s="264">
        <f>IF(NFI_Expiration=1,IF($A647&lt;VLOOKUP(Q$5,NFI,5,0),1,0)*Table_NFI[[#This Row],[Plastic Mat]],Table_NFI[Plastic Mat])*IF(Table_NFI[[#This Row],[Distribution Date]]&gt;"2014-04-01",1,2.5)</f>
        <v>0</v>
      </c>
      <c r="AI647" s="264">
        <f>IF(NFI_Expiration=1,IF($A647&lt;VLOOKUP(R$5,NFI,5,0),1,0)*Table_NFI[[#This Row],[Winter Clothes Adult]],Table_NFI[Winter Clothes Adult])</f>
        <v>0</v>
      </c>
      <c r="AJ647" s="264">
        <f>IF(NFI_Expiration=1,IF($A647&lt;VLOOKUP(S$5,NFI,5,0),1,0)*Table_NFI[[#This Row],[Winter Clothes Children]],Table_NFI[Winter Clothes Children])</f>
        <v>0</v>
      </c>
      <c r="AK647" s="264">
        <f>IF(NFI_Expiration=1,IF($A647&lt;VLOOKUP(T$5,NFI,5,0),1,0)*Table_NFI[[#This Row],[Winter Items Other]],Table_NFI[Winter Items Other])</f>
        <v>0</v>
      </c>
      <c r="AL647" s="264">
        <f>IF(NFI_Expiration=1,IF($A647&lt;VLOOKUP(M$5,NFI,5,0),1,0)*Table_NFI[[#This Row],[Winter Blanket]],Table_NFI[[#This Row],[Winter Blanket]])</f>
        <v>0</v>
      </c>
      <c r="AM647" s="264">
        <f>IF(Table_NFI[[#This Row],[Winter Clothes Adult]]+Table_NFI[[#This Row],[Winter Clothes Children]]+Table_NFI[[#This Row],[Winter Items Other]]+Table_NFI[[#This Row],[Winter Blanket]]&gt;0,1,0)</f>
        <v>0</v>
      </c>
      <c r="AN647" s="296">
        <f>IF(NFI_Expiration=1,IF($A647&lt;VLOOKUP(V$5,NFI,5,0),1,0)*Table_NFI[[#This Row],[Jerry Can]],Table_NFI[Jerry Can])</f>
        <v>0</v>
      </c>
      <c r="AO647" s="296">
        <f>IF(NFI_Expiration=1,IF($A647&lt;VLOOKUP(V$5,NFI,5,0),1,0)*Table_NFI[[#This Row],[Shelter Tool kit]],Table_NFI[Shelter Tool kit])</f>
        <v>0</v>
      </c>
      <c r="AP647" s="296">
        <f>IF(NFI_Expiration=1,IF($A647&lt;VLOOKUP(V$5,NFI,5,0),1,0)*Table_NFI[[#This Row],[Tent]],Table_NFI[Tent])</f>
        <v>0</v>
      </c>
      <c r="AQ647" s="396" t="str">
        <f>IFERROR(VLOOKUP(Table_NFI[[#This Row],[Camp Name]],CL,2,0),"")</f>
        <v>MMR001CMP133</v>
      </c>
      <c r="AR647" s="702">
        <f ca="1">IF(Table_NFI[[#This Row],[Pcode]]="","",IF(OFFSET(CampList[Opening Date],MATCH(Table_NFI[[#This Row],[Pcode]],CampList[CP_Pcode],0)-1,0,1,1)&gt;=NFI_Monitor_Date,1,0))</f>
        <v>0</v>
      </c>
      <c r="AS647" s="396" t="str">
        <f>IFERROR(VLOOKUP(Table_NFI[[#This Row],[Camp Name]],CL,3,0),"")</f>
        <v>Open</v>
      </c>
      <c r="AT647" s="264" t="str">
        <f ca="1">IF(Table_NFI[[#This Row],[Pcode]]="","",OFFSET(CampList[Priority],MATCH(Table_NFI[[#This Row],[Pcode]],CampList[CP_Pcode],0)-1,0,1,1))</f>
        <v>P4</v>
      </c>
      <c r="AU647" s="263">
        <f>IFERROR(Table_NFI[[#This Row],[Kitchen Set]]/VLOOKUP(Table_NFI[[#This Row],[Camp Name]],CL,4,0),"")</f>
        <v>0</v>
      </c>
      <c r="AV647" s="390"/>
      <c r="AW647" s="392"/>
    </row>
    <row r="648" spans="1:121" s="760" customFormat="1" ht="14.45" customHeight="1" x14ac:dyDescent="0.25">
      <c r="A648" s="266">
        <f t="shared" si="10"/>
        <v>41.766666666666666</v>
      </c>
      <c r="B648" s="389">
        <v>41603</v>
      </c>
      <c r="C648" s="390" t="s">
        <v>904</v>
      </c>
      <c r="D648" s="390" t="s">
        <v>904</v>
      </c>
      <c r="E648" s="390" t="s">
        <v>380</v>
      </c>
      <c r="F648" s="390" t="s">
        <v>151</v>
      </c>
      <c r="G648" s="390" t="s">
        <v>160</v>
      </c>
      <c r="H648" s="261"/>
      <c r="I648" s="261"/>
      <c r="J648" s="261"/>
      <c r="K648" s="261"/>
      <c r="L648" s="261"/>
      <c r="M648" s="261"/>
      <c r="N648" s="261"/>
      <c r="O648" s="261"/>
      <c r="P648" s="261"/>
      <c r="Q648" s="261"/>
      <c r="R648" s="261">
        <v>19</v>
      </c>
      <c r="S648" s="261">
        <v>38</v>
      </c>
      <c r="T648" s="261">
        <v>114</v>
      </c>
      <c r="U648" s="261">
        <v>57</v>
      </c>
      <c r="V648" s="762"/>
      <c r="W648" s="261"/>
      <c r="X648" s="261"/>
      <c r="Y648" s="264">
        <f>IF(NFI_Expiration=1,IF($A648&lt;VLOOKUP(H$5,NFI,5,0),1,0)*Table_NFI[[#This Row],[Hygiene Kit]],Table_NFI[Hygiene Kit])</f>
        <v>0</v>
      </c>
      <c r="Z648" s="264">
        <f>IF(NFI_Expiration=1,IF($A648&lt;VLOOKUP(I$5,NFI,5,0),1,0)*Table_NFI[[#This Row],[NFI Core Kit]],Table_NFI[NFI Core Kit])</f>
        <v>0</v>
      </c>
      <c r="AA648" s="264">
        <f>IF(NFI_Expiration=1,IF($A648&lt;VLOOKUP(J$5,NFI,5,0),1,0)*Table_NFI[[#This Row],[Sanitary Kit]],Table_NFI[Sanitary Kit])</f>
        <v>0</v>
      </c>
      <c r="AB648" s="264">
        <f>IF(NFI_Expiration=1,IF($A648&lt;VLOOKUP(K$5,NFI,5,0),1,0)*Table_NFI[[#This Row],[Mosquito net]],Table_NFI[Mosquito net])</f>
        <v>0</v>
      </c>
      <c r="AC648" s="264">
        <f>IF(NFI_Expiration=1,IF($A648&lt;VLOOKUP(L$5,NFI,5,0),1,0)*Table_NFI[[#This Row],[Tarpaulin]],Table_NFI[[#This Row],[Tarpaulin]])</f>
        <v>0</v>
      </c>
      <c r="AD648" s="264">
        <f>IF(NFI_Expiration=1,IF($A648&lt;VLOOKUP(M$5,NFI,5,0),1,0)*Table_NFI[[#This Row],[Blanket]],Table_NFI[[#This Row],[Blanket]])</f>
        <v>0</v>
      </c>
      <c r="AE648" s="264">
        <f>IF(NFI_Expiration=1,IF($A648&lt;VLOOKUP(N$5,NFI,5,0),1,0)*Table_NFI[[#This Row],[Kitchen Set]],Table_NFI[Kitchen Set])</f>
        <v>0</v>
      </c>
      <c r="AF648" s="264">
        <f>IF(NFI_Expiration=1,IF($A648&lt;VLOOKUP(O$5,NFI,5,0),1,0)*Table_NFI[[#This Row],[Clothes Kit]],Table_NFI[Clothes Kit])</f>
        <v>0</v>
      </c>
      <c r="AG648" s="264">
        <f>IF(NFI_Expiration=1,IF($A648&lt;VLOOKUP(P$5,NFI,5,0),1,0)*Table_NFI[[#This Row],[Plastic Bucket]],Table_NFI[Plastic Bucket])</f>
        <v>0</v>
      </c>
      <c r="AH648" s="264">
        <f>IF(NFI_Expiration=1,IF($A648&lt;VLOOKUP(Q$5,NFI,5,0),1,0)*Table_NFI[[#This Row],[Plastic Mat]],Table_NFI[Plastic Mat])*IF(Table_NFI[[#This Row],[Distribution Date]]&gt;"2014-04-01",1,2.5)</f>
        <v>0</v>
      </c>
      <c r="AI648" s="264">
        <f>IF(NFI_Expiration=1,IF($A648&lt;VLOOKUP(R$5,NFI,5,0),1,0)*Table_NFI[[#This Row],[Winter Clothes Adult]],Table_NFI[Winter Clothes Adult])</f>
        <v>0</v>
      </c>
      <c r="AJ648" s="264">
        <f>IF(NFI_Expiration=1,IF($A648&lt;VLOOKUP(S$5,NFI,5,0),1,0)*Table_NFI[[#This Row],[Winter Clothes Children]],Table_NFI[Winter Clothes Children])</f>
        <v>0</v>
      </c>
      <c r="AK648" s="264">
        <f>IF(NFI_Expiration=1,IF($A648&lt;VLOOKUP(T$5,NFI,5,0),1,0)*Table_NFI[[#This Row],[Winter Items Other]],Table_NFI[Winter Items Other])</f>
        <v>0</v>
      </c>
      <c r="AL648" s="264">
        <f>IF(NFI_Expiration=1,IF($A648&lt;VLOOKUP(M$5,NFI,5,0),1,0)*Table_NFI[[#This Row],[Winter Blanket]],Table_NFI[[#This Row],[Winter Blanket]])</f>
        <v>0</v>
      </c>
      <c r="AM648" s="264">
        <f>IF(Table_NFI[[#This Row],[Winter Clothes Adult]]+Table_NFI[[#This Row],[Winter Clothes Children]]+Table_NFI[[#This Row],[Winter Items Other]]+Table_NFI[[#This Row],[Winter Blanket]]&gt;0,1,0)</f>
        <v>1</v>
      </c>
      <c r="AN648" s="296">
        <f>IF(NFI_Expiration=1,IF($A648&lt;VLOOKUP(V$5,NFI,5,0),1,0)*Table_NFI[[#This Row],[Jerry Can]],Table_NFI[Jerry Can])</f>
        <v>0</v>
      </c>
      <c r="AO648" s="296">
        <f>IF(NFI_Expiration=1,IF($A648&lt;VLOOKUP(V$5,NFI,5,0),1,0)*Table_NFI[[#This Row],[Shelter Tool kit]],Table_NFI[Shelter Tool kit])</f>
        <v>0</v>
      </c>
      <c r="AP648" s="296">
        <f>IF(NFI_Expiration=1,IF($A648&lt;VLOOKUP(V$5,NFI,5,0),1,0)*Table_NFI[[#This Row],[Tent]],Table_NFI[Tent])</f>
        <v>0</v>
      </c>
      <c r="AQ648" s="396" t="str">
        <f>IFERROR(VLOOKUP(Table_NFI[[#This Row],[Camp Name]],CL,2,0),"")</f>
        <v>MMR001CMP133</v>
      </c>
      <c r="AR648" s="702">
        <f ca="1">IF(Table_NFI[[#This Row],[Pcode]]="","",IF(OFFSET(CampList[Opening Date],MATCH(Table_NFI[[#This Row],[Pcode]],CampList[CP_Pcode],0)-1,0,1,1)&gt;=NFI_Monitor_Date,1,0))</f>
        <v>0</v>
      </c>
      <c r="AS648" s="396" t="str">
        <f>IFERROR(VLOOKUP(Table_NFI[[#This Row],[Camp Name]],CL,3,0),"")</f>
        <v>Open</v>
      </c>
      <c r="AT648" s="264" t="str">
        <f ca="1">IF(Table_NFI[[#This Row],[Pcode]]="","",OFFSET(CampList[Priority],MATCH(Table_NFI[[#This Row],[Pcode]],CampList[CP_Pcode],0)-1,0,1,1))</f>
        <v>P4</v>
      </c>
      <c r="AU648" s="263">
        <f>IFERROR(Table_NFI[[#This Row],[Kitchen Set]]/VLOOKUP(Table_NFI[[#This Row],[Camp Name]],CL,4,0),"")</f>
        <v>0</v>
      </c>
      <c r="AV648" s="390"/>
      <c r="AW648" s="392"/>
      <c r="AX648" s="399"/>
      <c r="AY648" s="399"/>
      <c r="AZ648" s="399"/>
      <c r="BA648" s="399"/>
      <c r="BB648" s="399"/>
      <c r="BC648" s="399"/>
      <c r="BD648" s="399"/>
      <c r="BE648" s="399"/>
      <c r="BF648" s="399"/>
      <c r="BG648" s="399"/>
      <c r="BH648" s="399"/>
      <c r="BI648" s="399"/>
      <c r="BJ648" s="399"/>
      <c r="BK648" s="399"/>
      <c r="BL648" s="399"/>
      <c r="BM648" s="399"/>
      <c r="BN648" s="399"/>
      <c r="BO648" s="399"/>
      <c r="BP648" s="399"/>
      <c r="BQ648" s="399"/>
      <c r="BR648" s="399"/>
      <c r="BS648" s="399"/>
      <c r="BT648" s="399"/>
      <c r="BU648" s="399"/>
      <c r="BV648" s="399"/>
      <c r="BW648" s="399"/>
      <c r="BX648" s="399"/>
      <c r="BY648" s="399"/>
      <c r="BZ648" s="399"/>
      <c r="CA648" s="399"/>
      <c r="CB648" s="399"/>
      <c r="CC648" s="399"/>
      <c r="CD648" s="399"/>
      <c r="CE648" s="399"/>
      <c r="CF648" s="399"/>
      <c r="CG648" s="399"/>
      <c r="CH648" s="399"/>
      <c r="CI648" s="399"/>
      <c r="CJ648" s="399"/>
      <c r="CK648" s="399"/>
      <c r="CL648" s="399"/>
      <c r="CM648" s="399"/>
      <c r="CN648" s="399"/>
      <c r="CO648" s="399"/>
      <c r="CP648" s="399"/>
      <c r="CQ648" s="399"/>
      <c r="CR648" s="399"/>
      <c r="CS648" s="399"/>
      <c r="CT648" s="399"/>
      <c r="CU648" s="399"/>
      <c r="CV648" s="399"/>
      <c r="CW648" s="399"/>
      <c r="CX648" s="399"/>
      <c r="CY648" s="399"/>
      <c r="CZ648" s="399"/>
      <c r="DA648" s="399"/>
      <c r="DB648" s="399"/>
      <c r="DC648" s="399"/>
      <c r="DD648" s="399"/>
      <c r="DE648" s="399"/>
      <c r="DF648" s="399"/>
      <c r="DG648" s="399"/>
      <c r="DH648" s="399"/>
      <c r="DI648" s="399"/>
      <c r="DJ648" s="399"/>
      <c r="DK648" s="399"/>
      <c r="DL648" s="399"/>
      <c r="DM648" s="399"/>
      <c r="DN648" s="399"/>
      <c r="DO648" s="399"/>
      <c r="DP648" s="399"/>
      <c r="DQ648" s="399"/>
    </row>
    <row r="649" spans="1:121" s="760" customFormat="1" ht="14.45" customHeight="1" x14ac:dyDescent="0.25">
      <c r="A649" s="266">
        <f t="shared" si="10"/>
        <v>41.766666666666666</v>
      </c>
      <c r="B649" s="389">
        <v>41603</v>
      </c>
      <c r="C649" s="390" t="s">
        <v>904</v>
      </c>
      <c r="D649" s="390" t="s">
        <v>904</v>
      </c>
      <c r="E649" s="390" t="s">
        <v>380</v>
      </c>
      <c r="F649" s="390" t="s">
        <v>151</v>
      </c>
      <c r="G649" s="390" t="s">
        <v>154</v>
      </c>
      <c r="H649" s="261"/>
      <c r="I649" s="261"/>
      <c r="J649" s="261"/>
      <c r="K649" s="261"/>
      <c r="L649" s="261"/>
      <c r="M649" s="261"/>
      <c r="N649" s="261"/>
      <c r="O649" s="261"/>
      <c r="P649" s="261"/>
      <c r="Q649" s="261"/>
      <c r="R649" s="261">
        <v>60</v>
      </c>
      <c r="S649" s="261">
        <v>120</v>
      </c>
      <c r="T649" s="261">
        <v>360</v>
      </c>
      <c r="U649" s="261">
        <v>180</v>
      </c>
      <c r="V649" s="762"/>
      <c r="W649" s="261"/>
      <c r="X649" s="261"/>
      <c r="Y649" s="264">
        <f>IF(NFI_Expiration=1,IF($A649&lt;VLOOKUP(H$5,NFI,5,0),1,0)*Table_NFI[[#This Row],[Hygiene Kit]],Table_NFI[Hygiene Kit])</f>
        <v>0</v>
      </c>
      <c r="Z649" s="264">
        <f>IF(NFI_Expiration=1,IF($A649&lt;VLOOKUP(I$5,NFI,5,0),1,0)*Table_NFI[[#This Row],[NFI Core Kit]],Table_NFI[NFI Core Kit])</f>
        <v>0</v>
      </c>
      <c r="AA649" s="264">
        <f>IF(NFI_Expiration=1,IF($A649&lt;VLOOKUP(J$5,NFI,5,0),1,0)*Table_NFI[[#This Row],[Sanitary Kit]],Table_NFI[Sanitary Kit])</f>
        <v>0</v>
      </c>
      <c r="AB649" s="264">
        <f>IF(NFI_Expiration=1,IF($A649&lt;VLOOKUP(K$5,NFI,5,0),1,0)*Table_NFI[[#This Row],[Mosquito net]],Table_NFI[Mosquito net])</f>
        <v>0</v>
      </c>
      <c r="AC649" s="264">
        <f>IF(NFI_Expiration=1,IF($A649&lt;VLOOKUP(L$5,NFI,5,0),1,0)*Table_NFI[[#This Row],[Tarpaulin]],Table_NFI[[#This Row],[Tarpaulin]])</f>
        <v>0</v>
      </c>
      <c r="AD649" s="264">
        <f>IF(NFI_Expiration=1,IF($A649&lt;VLOOKUP(M$5,NFI,5,0),1,0)*Table_NFI[[#This Row],[Blanket]],Table_NFI[[#This Row],[Blanket]])</f>
        <v>0</v>
      </c>
      <c r="AE649" s="264">
        <f>IF(NFI_Expiration=1,IF($A649&lt;VLOOKUP(N$5,NFI,5,0),1,0)*Table_NFI[[#This Row],[Kitchen Set]],Table_NFI[Kitchen Set])</f>
        <v>0</v>
      </c>
      <c r="AF649" s="264">
        <f>IF(NFI_Expiration=1,IF($A649&lt;VLOOKUP(O$5,NFI,5,0),1,0)*Table_NFI[[#This Row],[Clothes Kit]],Table_NFI[Clothes Kit])</f>
        <v>0</v>
      </c>
      <c r="AG649" s="264">
        <f>IF(NFI_Expiration=1,IF($A649&lt;VLOOKUP(P$5,NFI,5,0),1,0)*Table_NFI[[#This Row],[Plastic Bucket]],Table_NFI[Plastic Bucket])</f>
        <v>0</v>
      </c>
      <c r="AH649" s="264">
        <f>IF(NFI_Expiration=1,IF($A649&lt;VLOOKUP(Q$5,NFI,5,0),1,0)*Table_NFI[[#This Row],[Plastic Mat]],Table_NFI[Plastic Mat])*IF(Table_NFI[[#This Row],[Distribution Date]]&gt;"2014-04-01",1,2.5)</f>
        <v>0</v>
      </c>
      <c r="AI649" s="264">
        <f>IF(NFI_Expiration=1,IF($A649&lt;VLOOKUP(R$5,NFI,5,0),1,0)*Table_NFI[[#This Row],[Winter Clothes Adult]],Table_NFI[Winter Clothes Adult])</f>
        <v>0</v>
      </c>
      <c r="AJ649" s="264">
        <f>IF(NFI_Expiration=1,IF($A649&lt;VLOOKUP(S$5,NFI,5,0),1,0)*Table_NFI[[#This Row],[Winter Clothes Children]],Table_NFI[Winter Clothes Children])</f>
        <v>0</v>
      </c>
      <c r="AK649" s="264">
        <f>IF(NFI_Expiration=1,IF($A649&lt;VLOOKUP(T$5,NFI,5,0),1,0)*Table_NFI[[#This Row],[Winter Items Other]],Table_NFI[Winter Items Other])</f>
        <v>0</v>
      </c>
      <c r="AL649" s="264">
        <f>IF(NFI_Expiration=1,IF($A649&lt;VLOOKUP(M$5,NFI,5,0),1,0)*Table_NFI[[#This Row],[Winter Blanket]],Table_NFI[[#This Row],[Winter Blanket]])</f>
        <v>0</v>
      </c>
      <c r="AM649" s="264">
        <f>IF(Table_NFI[[#This Row],[Winter Clothes Adult]]+Table_NFI[[#This Row],[Winter Clothes Children]]+Table_NFI[[#This Row],[Winter Items Other]]+Table_NFI[[#This Row],[Winter Blanket]]&gt;0,1,0)</f>
        <v>1</v>
      </c>
      <c r="AN649" s="296">
        <f>IF(NFI_Expiration=1,IF($A649&lt;VLOOKUP(V$5,NFI,5,0),1,0)*Table_NFI[[#This Row],[Jerry Can]],Table_NFI[Jerry Can])</f>
        <v>0</v>
      </c>
      <c r="AO649" s="296">
        <f>IF(NFI_Expiration=1,IF($A649&lt;VLOOKUP(V$5,NFI,5,0),1,0)*Table_NFI[[#This Row],[Shelter Tool kit]],Table_NFI[Shelter Tool kit])</f>
        <v>0</v>
      </c>
      <c r="AP649" s="296">
        <f>IF(NFI_Expiration=1,IF($A649&lt;VLOOKUP(V$5,NFI,5,0),1,0)*Table_NFI[[#This Row],[Tent]],Table_NFI[Tent])</f>
        <v>0</v>
      </c>
      <c r="AQ649" s="396" t="str">
        <f>IFERROR(VLOOKUP(Table_NFI[[#This Row],[Camp Name]],CL,2,0),"")</f>
        <v>MMR001CMP132</v>
      </c>
      <c r="AR649" s="702">
        <f ca="1">IF(Table_NFI[[#This Row],[Pcode]]="","",IF(OFFSET(CampList[Opening Date],MATCH(Table_NFI[[#This Row],[Pcode]],CampList[CP_Pcode],0)-1,0,1,1)&gt;=NFI_Monitor_Date,1,0))</f>
        <v>0</v>
      </c>
      <c r="AS649" s="396" t="str">
        <f>IFERROR(VLOOKUP(Table_NFI[[#This Row],[Camp Name]],CL,3,0),"")</f>
        <v>Open</v>
      </c>
      <c r="AT649" s="264" t="str">
        <f ca="1">IF(Table_NFI[[#This Row],[Pcode]]="","",OFFSET(CampList[Priority],MATCH(Table_NFI[[#This Row],[Pcode]],CampList[CP_Pcode],0)-1,0,1,1))</f>
        <v>P4</v>
      </c>
      <c r="AU649" s="263">
        <f>IFERROR(Table_NFI[[#This Row],[Kitchen Set]]/VLOOKUP(Table_NFI[[#This Row],[Camp Name]],CL,4,0),"")</f>
        <v>0</v>
      </c>
      <c r="AV649" s="390"/>
      <c r="AW649" s="392"/>
      <c r="AX649" s="399"/>
      <c r="AY649" s="399"/>
      <c r="AZ649" s="399"/>
      <c r="BA649" s="399"/>
      <c r="BB649" s="399"/>
      <c r="BC649" s="399"/>
      <c r="BD649" s="399"/>
      <c r="BE649" s="399"/>
      <c r="BF649" s="399"/>
      <c r="BG649" s="399"/>
      <c r="BH649" s="399"/>
      <c r="BI649" s="399"/>
      <c r="BJ649" s="399"/>
      <c r="BK649" s="399"/>
      <c r="BL649" s="399"/>
      <c r="BM649" s="399"/>
      <c r="BN649" s="399"/>
      <c r="BO649" s="399"/>
      <c r="BP649" s="399"/>
      <c r="BQ649" s="399"/>
      <c r="BR649" s="399"/>
      <c r="BS649" s="399"/>
      <c r="BT649" s="399"/>
      <c r="BU649" s="399"/>
      <c r="BV649" s="399"/>
      <c r="BW649" s="399"/>
      <c r="BX649" s="399"/>
      <c r="BY649" s="399"/>
      <c r="BZ649" s="399"/>
      <c r="CA649" s="399"/>
      <c r="CB649" s="399"/>
      <c r="CC649" s="399"/>
      <c r="CD649" s="399"/>
      <c r="CE649" s="399"/>
      <c r="CF649" s="399"/>
      <c r="CG649" s="399"/>
      <c r="CH649" s="399"/>
      <c r="CI649" s="399"/>
      <c r="CJ649" s="399"/>
      <c r="CK649" s="399"/>
      <c r="CL649" s="399"/>
      <c r="CM649" s="399"/>
      <c r="CN649" s="399"/>
      <c r="CO649" s="399"/>
      <c r="CP649" s="399"/>
      <c r="CQ649" s="399"/>
      <c r="CR649" s="399"/>
      <c r="CS649" s="399"/>
      <c r="CT649" s="399"/>
      <c r="CU649" s="399"/>
      <c r="CV649" s="399"/>
      <c r="CW649" s="399"/>
      <c r="CX649" s="399"/>
      <c r="CY649" s="399"/>
      <c r="CZ649" s="399"/>
      <c r="DA649" s="399"/>
      <c r="DB649" s="399"/>
      <c r="DC649" s="399"/>
      <c r="DD649" s="399"/>
      <c r="DE649" s="399"/>
      <c r="DF649" s="399"/>
      <c r="DG649" s="399"/>
      <c r="DH649" s="399"/>
      <c r="DI649" s="399"/>
      <c r="DJ649" s="399"/>
      <c r="DK649" s="399"/>
      <c r="DL649" s="399"/>
      <c r="DM649" s="399"/>
      <c r="DN649" s="399"/>
      <c r="DO649" s="399"/>
      <c r="DP649" s="399"/>
      <c r="DQ649" s="399"/>
    </row>
    <row r="650" spans="1:121" s="760" customFormat="1" ht="14.45" customHeight="1" x14ac:dyDescent="0.25">
      <c r="A650" s="266">
        <f t="shared" si="10"/>
        <v>41.8</v>
      </c>
      <c r="B650" s="389">
        <v>41602</v>
      </c>
      <c r="C650" s="390" t="s">
        <v>904</v>
      </c>
      <c r="D650" s="390" t="s">
        <v>904</v>
      </c>
      <c r="E650" s="390" t="s">
        <v>380</v>
      </c>
      <c r="F650" s="390" t="s">
        <v>302</v>
      </c>
      <c r="G650" s="390" t="s">
        <v>304</v>
      </c>
      <c r="H650" s="261"/>
      <c r="I650" s="261"/>
      <c r="J650" s="261"/>
      <c r="K650" s="261"/>
      <c r="L650" s="261"/>
      <c r="M650" s="261"/>
      <c r="N650" s="261"/>
      <c r="O650" s="261"/>
      <c r="P650" s="261"/>
      <c r="Q650" s="261"/>
      <c r="R650" s="261">
        <v>45</v>
      </c>
      <c r="S650" s="261">
        <v>90</v>
      </c>
      <c r="T650" s="261">
        <v>270</v>
      </c>
      <c r="U650" s="261">
        <v>135</v>
      </c>
      <c r="V650" s="762"/>
      <c r="W650" s="261"/>
      <c r="X650" s="261"/>
      <c r="Y650" s="264">
        <f>IF(NFI_Expiration=1,IF($A650&lt;VLOOKUP(H$5,NFI,5,0),1,0)*Table_NFI[[#This Row],[Hygiene Kit]],Table_NFI[Hygiene Kit])</f>
        <v>0</v>
      </c>
      <c r="Z650" s="264">
        <f>IF(NFI_Expiration=1,IF($A650&lt;VLOOKUP(I$5,NFI,5,0),1,0)*Table_NFI[[#This Row],[NFI Core Kit]],Table_NFI[NFI Core Kit])</f>
        <v>0</v>
      </c>
      <c r="AA650" s="264">
        <f>IF(NFI_Expiration=1,IF($A650&lt;VLOOKUP(J$5,NFI,5,0),1,0)*Table_NFI[[#This Row],[Sanitary Kit]],Table_NFI[Sanitary Kit])</f>
        <v>0</v>
      </c>
      <c r="AB650" s="264">
        <f>IF(NFI_Expiration=1,IF($A650&lt;VLOOKUP(K$5,NFI,5,0),1,0)*Table_NFI[[#This Row],[Mosquito net]],Table_NFI[Mosquito net])</f>
        <v>0</v>
      </c>
      <c r="AC650" s="264">
        <f>IF(NFI_Expiration=1,IF($A650&lt;VLOOKUP(L$5,NFI,5,0),1,0)*Table_NFI[[#This Row],[Tarpaulin]],Table_NFI[[#This Row],[Tarpaulin]])</f>
        <v>0</v>
      </c>
      <c r="AD650" s="264">
        <f>IF(NFI_Expiration=1,IF($A650&lt;VLOOKUP(M$5,NFI,5,0),1,0)*Table_NFI[[#This Row],[Blanket]],Table_NFI[[#This Row],[Blanket]])</f>
        <v>0</v>
      </c>
      <c r="AE650" s="264">
        <f>IF(NFI_Expiration=1,IF($A650&lt;VLOOKUP(N$5,NFI,5,0),1,0)*Table_NFI[[#This Row],[Kitchen Set]],Table_NFI[Kitchen Set])</f>
        <v>0</v>
      </c>
      <c r="AF650" s="264">
        <f>IF(NFI_Expiration=1,IF($A650&lt;VLOOKUP(O$5,NFI,5,0),1,0)*Table_NFI[[#This Row],[Clothes Kit]],Table_NFI[Clothes Kit])</f>
        <v>0</v>
      </c>
      <c r="AG650" s="264">
        <f>IF(NFI_Expiration=1,IF($A650&lt;VLOOKUP(P$5,NFI,5,0),1,0)*Table_NFI[[#This Row],[Plastic Bucket]],Table_NFI[Plastic Bucket])</f>
        <v>0</v>
      </c>
      <c r="AH650" s="264">
        <f>IF(NFI_Expiration=1,IF($A650&lt;VLOOKUP(Q$5,NFI,5,0),1,0)*Table_NFI[[#This Row],[Plastic Mat]],Table_NFI[Plastic Mat])*IF(Table_NFI[[#This Row],[Distribution Date]]&gt;"2014-04-01",1,2.5)</f>
        <v>0</v>
      </c>
      <c r="AI650" s="264">
        <f>IF(NFI_Expiration=1,IF($A650&lt;VLOOKUP(R$5,NFI,5,0),1,0)*Table_NFI[[#This Row],[Winter Clothes Adult]],Table_NFI[Winter Clothes Adult])</f>
        <v>0</v>
      </c>
      <c r="AJ650" s="264">
        <f>IF(NFI_Expiration=1,IF($A650&lt;VLOOKUP(S$5,NFI,5,0),1,0)*Table_NFI[[#This Row],[Winter Clothes Children]],Table_NFI[Winter Clothes Children])</f>
        <v>0</v>
      </c>
      <c r="AK650" s="264">
        <f>IF(NFI_Expiration=1,IF($A650&lt;VLOOKUP(T$5,NFI,5,0),1,0)*Table_NFI[[#This Row],[Winter Items Other]],Table_NFI[Winter Items Other])</f>
        <v>0</v>
      </c>
      <c r="AL650" s="264">
        <f>IF(NFI_Expiration=1,IF($A650&lt;VLOOKUP(M$5,NFI,5,0),1,0)*Table_NFI[[#This Row],[Winter Blanket]],Table_NFI[[#This Row],[Winter Blanket]])</f>
        <v>0</v>
      </c>
      <c r="AM650" s="264">
        <f>IF(Table_NFI[[#This Row],[Winter Clothes Adult]]+Table_NFI[[#This Row],[Winter Clothes Children]]+Table_NFI[[#This Row],[Winter Items Other]]+Table_NFI[[#This Row],[Winter Blanket]]&gt;0,1,0)</f>
        <v>1</v>
      </c>
      <c r="AN650" s="296">
        <f>IF(NFI_Expiration=1,IF($A650&lt;VLOOKUP(V$5,NFI,5,0),1,0)*Table_NFI[[#This Row],[Jerry Can]],Table_NFI[Jerry Can])</f>
        <v>0</v>
      </c>
      <c r="AO650" s="296">
        <f>IF(NFI_Expiration=1,IF($A650&lt;VLOOKUP(V$5,NFI,5,0),1,0)*Table_NFI[[#This Row],[Shelter Tool kit]],Table_NFI[Shelter Tool kit])</f>
        <v>0</v>
      </c>
      <c r="AP650" s="296">
        <f>IF(NFI_Expiration=1,IF($A650&lt;VLOOKUP(V$5,NFI,5,0),1,0)*Table_NFI[[#This Row],[Tent]],Table_NFI[Tent])</f>
        <v>0</v>
      </c>
      <c r="AQ650" s="396" t="str">
        <f>IFERROR(VLOOKUP(Table_NFI[[#This Row],[Camp Name]],CL,2,0),"")</f>
        <v>MMR001CMP147</v>
      </c>
      <c r="AR650" s="702">
        <f ca="1">IF(Table_NFI[[#This Row],[Pcode]]="","",IF(OFFSET(CampList[Opening Date],MATCH(Table_NFI[[#This Row],[Pcode]],CampList[CP_Pcode],0)-1,0,1,1)&gt;=NFI_Monitor_Date,1,0))</f>
        <v>1</v>
      </c>
      <c r="AS650" s="396" t="str">
        <f>IFERROR(VLOOKUP(Table_NFI[[#This Row],[Camp Name]],CL,3,0),"")</f>
        <v>Open</v>
      </c>
      <c r="AT650" s="264" t="str">
        <f ca="1">IF(Table_NFI[[#This Row],[Pcode]]="","",OFFSET(CampList[Priority],MATCH(Table_NFI[[#This Row],[Pcode]],CampList[CP_Pcode],0)-1,0,1,1))</f>
        <v>P4</v>
      </c>
      <c r="AU650" s="263">
        <f>IFERROR(Table_NFI[[#This Row],[Kitchen Set]]/VLOOKUP(Table_NFI[[#This Row],[Camp Name]],CL,4,0),"")</f>
        <v>0</v>
      </c>
      <c r="AV650" s="390"/>
      <c r="AW650" s="392"/>
      <c r="AX650" s="399"/>
      <c r="AY650" s="399"/>
      <c r="AZ650" s="399"/>
      <c r="BA650" s="399"/>
      <c r="BB650" s="399"/>
      <c r="BC650" s="399"/>
      <c r="BD650" s="399"/>
      <c r="BE650" s="399"/>
      <c r="BF650" s="399"/>
      <c r="BG650" s="399"/>
      <c r="BH650" s="399"/>
      <c r="BI650" s="399"/>
      <c r="BJ650" s="399"/>
      <c r="BK650" s="399"/>
      <c r="BL650" s="399"/>
      <c r="BM650" s="399"/>
      <c r="BN650" s="399"/>
      <c r="BO650" s="399"/>
      <c r="BP650" s="399"/>
      <c r="BQ650" s="399"/>
      <c r="BR650" s="399"/>
      <c r="BS650" s="399"/>
      <c r="BT650" s="399"/>
      <c r="BU650" s="399"/>
      <c r="BV650" s="399"/>
      <c r="BW650" s="399"/>
      <c r="BX650" s="399"/>
      <c r="BY650" s="399"/>
      <c r="BZ650" s="399"/>
      <c r="CA650" s="399"/>
      <c r="CB650" s="399"/>
      <c r="CC650" s="399"/>
      <c r="CD650" s="399"/>
      <c r="CE650" s="399"/>
      <c r="CF650" s="399"/>
      <c r="CG650" s="399"/>
      <c r="CH650" s="399"/>
      <c r="CI650" s="399"/>
      <c r="CJ650" s="399"/>
      <c r="CK650" s="399"/>
      <c r="CL650" s="399"/>
      <c r="CM650" s="399"/>
      <c r="CN650" s="399"/>
      <c r="CO650" s="399"/>
      <c r="CP650" s="399"/>
      <c r="CQ650" s="399"/>
      <c r="CR650" s="399"/>
      <c r="CS650" s="399"/>
      <c r="CT650" s="399"/>
      <c r="CU650" s="399"/>
      <c r="CV650" s="399"/>
      <c r="CW650" s="399"/>
      <c r="CX650" s="399"/>
      <c r="CY650" s="399"/>
      <c r="CZ650" s="399"/>
      <c r="DA650" s="399"/>
      <c r="DB650" s="399"/>
      <c r="DC650" s="399"/>
      <c r="DD650" s="399"/>
      <c r="DE650" s="399"/>
      <c r="DF650" s="399"/>
      <c r="DG650" s="399"/>
      <c r="DH650" s="399"/>
      <c r="DI650" s="399"/>
      <c r="DJ650" s="399"/>
      <c r="DK650" s="399"/>
      <c r="DL650" s="399"/>
      <c r="DM650" s="399"/>
      <c r="DN650" s="399"/>
      <c r="DO650" s="399"/>
      <c r="DP650" s="399"/>
      <c r="DQ650" s="399"/>
    </row>
    <row r="651" spans="1:121" s="760" customFormat="1" ht="14.45" customHeight="1" x14ac:dyDescent="0.25">
      <c r="A651" s="266">
        <f t="shared" si="10"/>
        <v>41.8</v>
      </c>
      <c r="B651" s="389">
        <v>41602</v>
      </c>
      <c r="C651" s="390" t="s">
        <v>904</v>
      </c>
      <c r="D651" s="390" t="s">
        <v>904</v>
      </c>
      <c r="E651" s="390" t="s">
        <v>380</v>
      </c>
      <c r="F651" s="390" t="s">
        <v>151</v>
      </c>
      <c r="G651" s="390" t="s">
        <v>881</v>
      </c>
      <c r="H651" s="261"/>
      <c r="I651" s="261"/>
      <c r="J651" s="261"/>
      <c r="K651" s="261"/>
      <c r="L651" s="261"/>
      <c r="M651" s="261"/>
      <c r="N651" s="261"/>
      <c r="O651" s="261"/>
      <c r="P651" s="261"/>
      <c r="Q651" s="261"/>
      <c r="R651" s="261">
        <v>24</v>
      </c>
      <c r="S651" s="261">
        <v>48</v>
      </c>
      <c r="T651" s="261">
        <v>144</v>
      </c>
      <c r="U651" s="261">
        <v>72</v>
      </c>
      <c r="V651" s="762"/>
      <c r="W651" s="261"/>
      <c r="X651" s="261"/>
      <c r="Y651" s="264">
        <f>IF(NFI_Expiration=1,IF($A651&lt;VLOOKUP(H$5,NFI,5,0),1,0)*Table_NFI[[#This Row],[Hygiene Kit]],Table_NFI[Hygiene Kit])</f>
        <v>0</v>
      </c>
      <c r="Z651" s="264">
        <f>IF(NFI_Expiration=1,IF($A651&lt;VLOOKUP(I$5,NFI,5,0),1,0)*Table_NFI[[#This Row],[NFI Core Kit]],Table_NFI[NFI Core Kit])</f>
        <v>0</v>
      </c>
      <c r="AA651" s="264">
        <f>IF(NFI_Expiration=1,IF($A651&lt;VLOOKUP(J$5,NFI,5,0),1,0)*Table_NFI[[#This Row],[Sanitary Kit]],Table_NFI[Sanitary Kit])</f>
        <v>0</v>
      </c>
      <c r="AB651" s="264">
        <f>IF(NFI_Expiration=1,IF($A651&lt;VLOOKUP(K$5,NFI,5,0),1,0)*Table_NFI[[#This Row],[Mosquito net]],Table_NFI[Mosquito net])</f>
        <v>0</v>
      </c>
      <c r="AC651" s="264">
        <f>IF(NFI_Expiration=1,IF($A651&lt;VLOOKUP(L$5,NFI,5,0),1,0)*Table_NFI[[#This Row],[Tarpaulin]],Table_NFI[[#This Row],[Tarpaulin]])</f>
        <v>0</v>
      </c>
      <c r="AD651" s="264">
        <f>IF(NFI_Expiration=1,IF($A651&lt;VLOOKUP(M$5,NFI,5,0),1,0)*Table_NFI[[#This Row],[Blanket]],Table_NFI[[#This Row],[Blanket]])</f>
        <v>0</v>
      </c>
      <c r="AE651" s="264">
        <f>IF(NFI_Expiration=1,IF($A651&lt;VLOOKUP(N$5,NFI,5,0),1,0)*Table_NFI[[#This Row],[Kitchen Set]],Table_NFI[Kitchen Set])</f>
        <v>0</v>
      </c>
      <c r="AF651" s="264">
        <f>IF(NFI_Expiration=1,IF($A651&lt;VLOOKUP(O$5,NFI,5,0),1,0)*Table_NFI[[#This Row],[Clothes Kit]],Table_NFI[Clothes Kit])</f>
        <v>0</v>
      </c>
      <c r="AG651" s="264">
        <f>IF(NFI_Expiration=1,IF($A651&lt;VLOOKUP(P$5,NFI,5,0),1,0)*Table_NFI[[#This Row],[Plastic Bucket]],Table_NFI[Plastic Bucket])</f>
        <v>0</v>
      </c>
      <c r="AH651" s="264">
        <f>IF(NFI_Expiration=1,IF($A651&lt;VLOOKUP(Q$5,NFI,5,0),1,0)*Table_NFI[[#This Row],[Plastic Mat]],Table_NFI[Plastic Mat])*IF(Table_NFI[[#This Row],[Distribution Date]]&gt;"2014-04-01",1,2.5)</f>
        <v>0</v>
      </c>
      <c r="AI651" s="264">
        <f>IF(NFI_Expiration=1,IF($A651&lt;VLOOKUP(R$5,NFI,5,0),1,0)*Table_NFI[[#This Row],[Winter Clothes Adult]],Table_NFI[Winter Clothes Adult])</f>
        <v>0</v>
      </c>
      <c r="AJ651" s="264">
        <f>IF(NFI_Expiration=1,IF($A651&lt;VLOOKUP(S$5,NFI,5,0),1,0)*Table_NFI[[#This Row],[Winter Clothes Children]],Table_NFI[Winter Clothes Children])</f>
        <v>0</v>
      </c>
      <c r="AK651" s="264">
        <f>IF(NFI_Expiration=1,IF($A651&lt;VLOOKUP(T$5,NFI,5,0),1,0)*Table_NFI[[#This Row],[Winter Items Other]],Table_NFI[Winter Items Other])</f>
        <v>0</v>
      </c>
      <c r="AL651" s="264">
        <f>IF(NFI_Expiration=1,IF($A651&lt;VLOOKUP(M$5,NFI,5,0),1,0)*Table_NFI[[#This Row],[Winter Blanket]],Table_NFI[[#This Row],[Winter Blanket]])</f>
        <v>0</v>
      </c>
      <c r="AM651" s="264">
        <f>IF(Table_NFI[[#This Row],[Winter Clothes Adult]]+Table_NFI[[#This Row],[Winter Clothes Children]]+Table_NFI[[#This Row],[Winter Items Other]]+Table_NFI[[#This Row],[Winter Blanket]]&gt;0,1,0)</f>
        <v>1</v>
      </c>
      <c r="AN651" s="296">
        <f>IF(NFI_Expiration=1,IF($A651&lt;VLOOKUP(V$5,NFI,5,0),1,0)*Table_NFI[[#This Row],[Jerry Can]],Table_NFI[Jerry Can])</f>
        <v>0</v>
      </c>
      <c r="AO651" s="296">
        <f>IF(NFI_Expiration=1,IF($A651&lt;VLOOKUP(V$5,NFI,5,0),1,0)*Table_NFI[[#This Row],[Shelter Tool kit]],Table_NFI[Shelter Tool kit])</f>
        <v>0</v>
      </c>
      <c r="AP651" s="296">
        <f>IF(NFI_Expiration=1,IF($A651&lt;VLOOKUP(V$5,NFI,5,0),1,0)*Table_NFI[[#This Row],[Tent]],Table_NFI[Tent])</f>
        <v>0</v>
      </c>
      <c r="AQ651" s="396" t="str">
        <f>IFERROR(VLOOKUP(Table_NFI[[#This Row],[Camp Name]],CL,2,0),"")</f>
        <v>MMR001CMP215</v>
      </c>
      <c r="AR651" s="702">
        <f ca="1">IF(Table_NFI[[#This Row],[Pcode]]="","",IF(OFFSET(CampList[Opening Date],MATCH(Table_NFI[[#This Row],[Pcode]],CampList[CP_Pcode],0)-1,0,1,1)&gt;=NFI_Monitor_Date,1,0))</f>
        <v>0</v>
      </c>
      <c r="AS651" s="396" t="str">
        <f>IFERROR(VLOOKUP(Table_NFI[[#This Row],[Camp Name]],CL,3,0),"")</f>
        <v>Closed</v>
      </c>
      <c r="AT651" s="264" t="str">
        <f ca="1">IF(Table_NFI[[#This Row],[Pcode]]="","",OFFSET(CampList[Priority],MATCH(Table_NFI[[#This Row],[Pcode]],CampList[CP_Pcode],0)-1,0,1,1))</f>
        <v/>
      </c>
      <c r="AU651" s="263" t="str">
        <f>IFERROR(Table_NFI[[#This Row],[Kitchen Set]]/VLOOKUP(Table_NFI[[#This Row],[Camp Name]],CL,4,0),"")</f>
        <v/>
      </c>
      <c r="AV651" s="390"/>
      <c r="AW651" s="392"/>
      <c r="AX651" s="399"/>
      <c r="AY651" s="399"/>
      <c r="AZ651" s="399"/>
      <c r="BA651" s="399"/>
      <c r="BB651" s="399"/>
      <c r="BC651" s="399"/>
      <c r="BD651" s="399"/>
      <c r="BE651" s="399"/>
      <c r="BF651" s="399"/>
      <c r="BG651" s="399"/>
      <c r="BH651" s="399"/>
      <c r="BI651" s="399"/>
      <c r="BJ651" s="399"/>
      <c r="BK651" s="399"/>
      <c r="BL651" s="399"/>
      <c r="BM651" s="399"/>
      <c r="BN651" s="399"/>
      <c r="BO651" s="399"/>
      <c r="BP651" s="399"/>
      <c r="BQ651" s="399"/>
      <c r="BR651" s="399"/>
      <c r="BS651" s="399"/>
      <c r="BT651" s="399"/>
      <c r="BU651" s="399"/>
      <c r="BV651" s="399"/>
      <c r="BW651" s="399"/>
      <c r="BX651" s="399"/>
      <c r="BY651" s="399"/>
      <c r="BZ651" s="399"/>
      <c r="CA651" s="399"/>
      <c r="CB651" s="399"/>
      <c r="CC651" s="399"/>
      <c r="CD651" s="399"/>
      <c r="CE651" s="399"/>
      <c r="CF651" s="399"/>
      <c r="CG651" s="399"/>
      <c r="CH651" s="399"/>
      <c r="CI651" s="399"/>
      <c r="CJ651" s="399"/>
      <c r="CK651" s="399"/>
      <c r="CL651" s="399"/>
      <c r="CM651" s="399"/>
      <c r="CN651" s="399"/>
      <c r="CO651" s="399"/>
      <c r="CP651" s="399"/>
      <c r="CQ651" s="399"/>
      <c r="CR651" s="399"/>
      <c r="CS651" s="399"/>
      <c r="CT651" s="399"/>
      <c r="CU651" s="399"/>
      <c r="CV651" s="399"/>
      <c r="CW651" s="399"/>
      <c r="CX651" s="399"/>
      <c r="CY651" s="399"/>
      <c r="CZ651" s="399"/>
      <c r="DA651" s="399"/>
      <c r="DB651" s="399"/>
      <c r="DC651" s="399"/>
      <c r="DD651" s="399"/>
      <c r="DE651" s="399"/>
      <c r="DF651" s="399"/>
      <c r="DG651" s="399"/>
      <c r="DH651" s="399"/>
      <c r="DI651" s="399"/>
      <c r="DJ651" s="399"/>
      <c r="DK651" s="399"/>
      <c r="DL651" s="399"/>
      <c r="DM651" s="399"/>
      <c r="DN651" s="399"/>
      <c r="DO651" s="399"/>
      <c r="DP651" s="399"/>
      <c r="DQ651" s="399"/>
    </row>
    <row r="652" spans="1:121" ht="14.45" customHeight="1" x14ac:dyDescent="0.25">
      <c r="A652" s="266">
        <f t="shared" si="10"/>
        <v>41.8</v>
      </c>
      <c r="B652" s="389">
        <v>41602</v>
      </c>
      <c r="C652" s="390" t="s">
        <v>904</v>
      </c>
      <c r="D652" s="390" t="s">
        <v>904</v>
      </c>
      <c r="E652" s="390" t="s">
        <v>380</v>
      </c>
      <c r="F652" s="390" t="s">
        <v>151</v>
      </c>
      <c r="G652" s="390" t="s">
        <v>877</v>
      </c>
      <c r="H652" s="261"/>
      <c r="I652" s="261"/>
      <c r="J652" s="261"/>
      <c r="K652" s="261"/>
      <c r="L652" s="261"/>
      <c r="M652" s="261"/>
      <c r="N652" s="261"/>
      <c r="O652" s="261"/>
      <c r="P652" s="261"/>
      <c r="Q652" s="261"/>
      <c r="R652" s="261">
        <v>135</v>
      </c>
      <c r="S652" s="261">
        <v>270</v>
      </c>
      <c r="T652" s="261">
        <v>810</v>
      </c>
      <c r="U652" s="261">
        <v>405</v>
      </c>
      <c r="V652" s="762"/>
      <c r="W652" s="261"/>
      <c r="X652" s="261"/>
      <c r="Y652" s="264">
        <f>IF(NFI_Expiration=1,IF($A652&lt;VLOOKUP(H$5,NFI,5,0),1,0)*Table_NFI[[#This Row],[Hygiene Kit]],Table_NFI[Hygiene Kit])</f>
        <v>0</v>
      </c>
      <c r="Z652" s="264">
        <f>IF(NFI_Expiration=1,IF($A652&lt;VLOOKUP(I$5,NFI,5,0),1,0)*Table_NFI[[#This Row],[NFI Core Kit]],Table_NFI[NFI Core Kit])</f>
        <v>0</v>
      </c>
      <c r="AA652" s="264">
        <f>IF(NFI_Expiration=1,IF($A652&lt;VLOOKUP(J$5,NFI,5,0),1,0)*Table_NFI[[#This Row],[Sanitary Kit]],Table_NFI[Sanitary Kit])</f>
        <v>0</v>
      </c>
      <c r="AB652" s="264">
        <f>IF(NFI_Expiration=1,IF($A652&lt;VLOOKUP(K$5,NFI,5,0),1,0)*Table_NFI[[#This Row],[Mosquito net]],Table_NFI[Mosquito net])</f>
        <v>0</v>
      </c>
      <c r="AC652" s="264">
        <f>IF(NFI_Expiration=1,IF($A652&lt;VLOOKUP(L$5,NFI,5,0),1,0)*Table_NFI[[#This Row],[Tarpaulin]],Table_NFI[[#This Row],[Tarpaulin]])</f>
        <v>0</v>
      </c>
      <c r="AD652" s="264">
        <f>IF(NFI_Expiration=1,IF($A652&lt;VLOOKUP(M$5,NFI,5,0),1,0)*Table_NFI[[#This Row],[Blanket]],Table_NFI[[#This Row],[Blanket]])</f>
        <v>0</v>
      </c>
      <c r="AE652" s="264">
        <f>IF(NFI_Expiration=1,IF($A652&lt;VLOOKUP(N$5,NFI,5,0),1,0)*Table_NFI[[#This Row],[Kitchen Set]],Table_NFI[Kitchen Set])</f>
        <v>0</v>
      </c>
      <c r="AF652" s="264">
        <f>IF(NFI_Expiration=1,IF($A652&lt;VLOOKUP(O$5,NFI,5,0),1,0)*Table_NFI[[#This Row],[Clothes Kit]],Table_NFI[Clothes Kit])</f>
        <v>0</v>
      </c>
      <c r="AG652" s="264">
        <f>IF(NFI_Expiration=1,IF($A652&lt;VLOOKUP(P$5,NFI,5,0),1,0)*Table_NFI[[#This Row],[Plastic Bucket]],Table_NFI[Plastic Bucket])</f>
        <v>0</v>
      </c>
      <c r="AH652" s="264">
        <f>IF(NFI_Expiration=1,IF($A652&lt;VLOOKUP(Q$5,NFI,5,0),1,0)*Table_NFI[[#This Row],[Plastic Mat]],Table_NFI[Plastic Mat])*IF(Table_NFI[[#This Row],[Distribution Date]]&gt;"2014-04-01",1,2.5)</f>
        <v>0</v>
      </c>
      <c r="AI652" s="264">
        <f>IF(NFI_Expiration=1,IF($A652&lt;VLOOKUP(R$5,NFI,5,0),1,0)*Table_NFI[[#This Row],[Winter Clothes Adult]],Table_NFI[Winter Clothes Adult])</f>
        <v>0</v>
      </c>
      <c r="AJ652" s="264">
        <f>IF(NFI_Expiration=1,IF($A652&lt;VLOOKUP(S$5,NFI,5,0),1,0)*Table_NFI[[#This Row],[Winter Clothes Children]],Table_NFI[Winter Clothes Children])</f>
        <v>0</v>
      </c>
      <c r="AK652" s="264">
        <f>IF(NFI_Expiration=1,IF($A652&lt;VLOOKUP(T$5,NFI,5,0),1,0)*Table_NFI[[#This Row],[Winter Items Other]],Table_NFI[Winter Items Other])</f>
        <v>0</v>
      </c>
      <c r="AL652" s="264">
        <f>IF(NFI_Expiration=1,IF($A652&lt;VLOOKUP(M$5,NFI,5,0),1,0)*Table_NFI[[#This Row],[Winter Blanket]],Table_NFI[[#This Row],[Winter Blanket]])</f>
        <v>0</v>
      </c>
      <c r="AM652" s="264">
        <f>IF(Table_NFI[[#This Row],[Winter Clothes Adult]]+Table_NFI[[#This Row],[Winter Clothes Children]]+Table_NFI[[#This Row],[Winter Items Other]]+Table_NFI[[#This Row],[Winter Blanket]]&gt;0,1,0)</f>
        <v>1</v>
      </c>
      <c r="AN652" s="296">
        <f>IF(NFI_Expiration=1,IF($A652&lt;VLOOKUP(V$5,NFI,5,0),1,0)*Table_NFI[[#This Row],[Jerry Can]],Table_NFI[Jerry Can])</f>
        <v>0</v>
      </c>
      <c r="AO652" s="296">
        <f>IF(NFI_Expiration=1,IF($A652&lt;VLOOKUP(V$5,NFI,5,0),1,0)*Table_NFI[[#This Row],[Shelter Tool kit]],Table_NFI[Shelter Tool kit])</f>
        <v>0</v>
      </c>
      <c r="AP652" s="296">
        <f>IF(NFI_Expiration=1,IF($A652&lt;VLOOKUP(V$5,NFI,5,0),1,0)*Table_NFI[[#This Row],[Tent]],Table_NFI[Tent])</f>
        <v>0</v>
      </c>
      <c r="AQ652" s="396" t="str">
        <f>IFERROR(VLOOKUP(Table_NFI[[#This Row],[Camp Name]],CL,2,0),"")</f>
        <v>MMR001CMP214</v>
      </c>
      <c r="AR652" s="702">
        <f ca="1">IF(Table_NFI[[#This Row],[Pcode]]="","",IF(OFFSET(CampList[Opening Date],MATCH(Table_NFI[[#This Row],[Pcode]],CampList[CP_Pcode],0)-1,0,1,1)&gt;=NFI_Monitor_Date,1,0))</f>
        <v>0</v>
      </c>
      <c r="AS652" s="396" t="str">
        <f>IFERROR(VLOOKUP(Table_NFI[[#This Row],[Camp Name]],CL,3,0),"")</f>
        <v>Closed</v>
      </c>
      <c r="AT652" s="264" t="str">
        <f ca="1">IF(Table_NFI[[#This Row],[Pcode]]="","",OFFSET(CampList[Priority],MATCH(Table_NFI[[#This Row],[Pcode]],CampList[CP_Pcode],0)-1,0,1,1))</f>
        <v/>
      </c>
      <c r="AU652" s="263" t="str">
        <f>IFERROR(Table_NFI[[#This Row],[Kitchen Set]]/VLOOKUP(Table_NFI[[#This Row],[Camp Name]],CL,4,0),"")</f>
        <v/>
      </c>
      <c r="AV652" s="390"/>
      <c r="AW652" s="392"/>
    </row>
    <row r="653" spans="1:121" s="760" customFormat="1" ht="14.45" customHeight="1" x14ac:dyDescent="0.25">
      <c r="A653" s="266">
        <f t="shared" si="10"/>
        <v>41.833333333333336</v>
      </c>
      <c r="B653" s="389">
        <v>41601</v>
      </c>
      <c r="C653" s="390" t="s">
        <v>452</v>
      </c>
      <c r="D653" s="390"/>
      <c r="E653" s="390" t="s">
        <v>380</v>
      </c>
      <c r="F653" s="390" t="s">
        <v>310</v>
      </c>
      <c r="G653" s="390" t="s">
        <v>334</v>
      </c>
      <c r="H653" s="261"/>
      <c r="I653" s="261"/>
      <c r="J653" s="261"/>
      <c r="K653" s="261"/>
      <c r="L653" s="261"/>
      <c r="M653" s="261">
        <v>358</v>
      </c>
      <c r="N653" s="261"/>
      <c r="O653" s="261"/>
      <c r="P653" s="261"/>
      <c r="Q653" s="261"/>
      <c r="R653" s="261"/>
      <c r="S653" s="261"/>
      <c r="T653" s="261"/>
      <c r="U653" s="261"/>
      <c r="V653" s="762"/>
      <c r="W653" s="261"/>
      <c r="X653" s="261"/>
      <c r="Y653" s="264">
        <f>IF(NFI_Expiration=1,IF($A653&lt;VLOOKUP(H$5,NFI,5,0),1,0)*Table_NFI[[#This Row],[Hygiene Kit]],Table_NFI[Hygiene Kit])</f>
        <v>0</v>
      </c>
      <c r="Z653" s="264">
        <f>IF(NFI_Expiration=1,IF($A653&lt;VLOOKUP(I$5,NFI,5,0),1,0)*Table_NFI[[#This Row],[NFI Core Kit]],Table_NFI[NFI Core Kit])</f>
        <v>0</v>
      </c>
      <c r="AA653" s="264">
        <f>IF(NFI_Expiration=1,IF($A653&lt;VLOOKUP(J$5,NFI,5,0),1,0)*Table_NFI[[#This Row],[Sanitary Kit]],Table_NFI[Sanitary Kit])</f>
        <v>0</v>
      </c>
      <c r="AB653" s="264">
        <f>IF(NFI_Expiration=1,IF($A653&lt;VLOOKUP(K$5,NFI,5,0),1,0)*Table_NFI[[#This Row],[Mosquito net]],Table_NFI[Mosquito net])</f>
        <v>0</v>
      </c>
      <c r="AC653" s="264">
        <f>IF(NFI_Expiration=1,IF($A653&lt;VLOOKUP(L$5,NFI,5,0),1,0)*Table_NFI[[#This Row],[Tarpaulin]],Table_NFI[[#This Row],[Tarpaulin]])</f>
        <v>0</v>
      </c>
      <c r="AD653" s="264">
        <f>IF(NFI_Expiration=1,IF($A653&lt;VLOOKUP(M$5,NFI,5,0),1,0)*Table_NFI[[#This Row],[Blanket]],Table_NFI[[#This Row],[Blanket]])</f>
        <v>0</v>
      </c>
      <c r="AE653" s="264">
        <f>IF(NFI_Expiration=1,IF($A653&lt;VLOOKUP(N$5,NFI,5,0),1,0)*Table_NFI[[#This Row],[Kitchen Set]],Table_NFI[Kitchen Set])</f>
        <v>0</v>
      </c>
      <c r="AF653" s="264">
        <f>IF(NFI_Expiration=1,IF($A653&lt;VLOOKUP(O$5,NFI,5,0),1,0)*Table_NFI[[#This Row],[Clothes Kit]],Table_NFI[Clothes Kit])</f>
        <v>0</v>
      </c>
      <c r="AG653" s="264">
        <f>IF(NFI_Expiration=1,IF($A653&lt;VLOOKUP(P$5,NFI,5,0),1,0)*Table_NFI[[#This Row],[Plastic Bucket]],Table_NFI[Plastic Bucket])</f>
        <v>0</v>
      </c>
      <c r="AH653" s="264">
        <f>IF(NFI_Expiration=1,IF($A653&lt;VLOOKUP(Q$5,NFI,5,0),1,0)*Table_NFI[[#This Row],[Plastic Mat]],Table_NFI[Plastic Mat])*IF(Table_NFI[[#This Row],[Distribution Date]]&gt;"2014-04-01",1,2.5)</f>
        <v>0</v>
      </c>
      <c r="AI653" s="264">
        <f>IF(NFI_Expiration=1,IF($A653&lt;VLOOKUP(R$5,NFI,5,0),1,0)*Table_NFI[[#This Row],[Winter Clothes Adult]],Table_NFI[Winter Clothes Adult])</f>
        <v>0</v>
      </c>
      <c r="AJ653" s="264">
        <f>IF(NFI_Expiration=1,IF($A653&lt;VLOOKUP(S$5,NFI,5,0),1,0)*Table_NFI[[#This Row],[Winter Clothes Children]],Table_NFI[Winter Clothes Children])</f>
        <v>0</v>
      </c>
      <c r="AK653" s="264">
        <f>IF(NFI_Expiration=1,IF($A653&lt;VLOOKUP(T$5,NFI,5,0),1,0)*Table_NFI[[#This Row],[Winter Items Other]],Table_NFI[Winter Items Other])</f>
        <v>0</v>
      </c>
      <c r="AL653" s="264">
        <f>IF(NFI_Expiration=1,IF($A653&lt;VLOOKUP(M$5,NFI,5,0),1,0)*Table_NFI[[#This Row],[Winter Blanket]],Table_NFI[[#This Row],[Winter Blanket]])</f>
        <v>0</v>
      </c>
      <c r="AM653" s="264">
        <f>IF(Table_NFI[[#This Row],[Winter Clothes Adult]]+Table_NFI[[#This Row],[Winter Clothes Children]]+Table_NFI[[#This Row],[Winter Items Other]]+Table_NFI[[#This Row],[Winter Blanket]]&gt;0,1,0)</f>
        <v>0</v>
      </c>
      <c r="AN653" s="296">
        <f>IF(NFI_Expiration=1,IF($A653&lt;VLOOKUP(V$5,NFI,5,0),1,0)*Table_NFI[[#This Row],[Jerry Can]],Table_NFI[Jerry Can])</f>
        <v>0</v>
      </c>
      <c r="AO653" s="296">
        <f>IF(NFI_Expiration=1,IF($A653&lt;VLOOKUP(V$5,NFI,5,0),1,0)*Table_NFI[[#This Row],[Shelter Tool kit]],Table_NFI[Shelter Tool kit])</f>
        <v>0</v>
      </c>
      <c r="AP653" s="296">
        <f>IF(NFI_Expiration=1,IF($A653&lt;VLOOKUP(V$5,NFI,5,0),1,0)*Table_NFI[[#This Row],[Tent]],Table_NFI[Tent])</f>
        <v>0</v>
      </c>
      <c r="AQ653" s="396" t="str">
        <f>IFERROR(VLOOKUP(Table_NFI[[#This Row],[Camp Name]],CL,2,0),"")</f>
        <v>MMR001CMP113</v>
      </c>
      <c r="AR653" s="702">
        <f ca="1">IF(Table_NFI[[#This Row],[Pcode]]="","",IF(OFFSET(CampList[Opening Date],MATCH(Table_NFI[[#This Row],[Pcode]],CampList[CP_Pcode],0)-1,0,1,1)&gt;=NFI_Monitor_Date,1,0))</f>
        <v>0</v>
      </c>
      <c r="AS653" s="396" t="str">
        <f>IFERROR(VLOOKUP(Table_NFI[[#This Row],[Camp Name]],CL,3,0),"")</f>
        <v>Open</v>
      </c>
      <c r="AT653" s="264" t="str">
        <f ca="1">IF(Table_NFI[[#This Row],[Pcode]]="","",OFFSET(CampList[Priority],MATCH(Table_NFI[[#This Row],[Pcode]],CampList[CP_Pcode],0)-1,0,1,1))</f>
        <v>P1</v>
      </c>
      <c r="AU653" s="263">
        <f>IFERROR(Table_NFI[[#This Row],[Kitchen Set]]/VLOOKUP(Table_NFI[[#This Row],[Camp Name]],CL,4,0),"")</f>
        <v>0</v>
      </c>
      <c r="AV653" s="390" t="s">
        <v>1087</v>
      </c>
      <c r="AW653" s="392"/>
      <c r="AX653" s="399"/>
      <c r="AY653" s="399"/>
      <c r="AZ653" s="399"/>
      <c r="BA653" s="399"/>
      <c r="BB653" s="399"/>
      <c r="BC653" s="399"/>
      <c r="BD653" s="399"/>
      <c r="BE653" s="399"/>
      <c r="BF653" s="399"/>
      <c r="BG653" s="399"/>
      <c r="BH653" s="399"/>
      <c r="BI653" s="399"/>
      <c r="BJ653" s="399"/>
      <c r="BK653" s="399"/>
      <c r="BL653" s="399"/>
      <c r="BM653" s="399"/>
      <c r="BN653" s="399"/>
      <c r="BO653" s="399"/>
      <c r="BP653" s="399"/>
      <c r="BQ653" s="399"/>
      <c r="BR653" s="399"/>
      <c r="BS653" s="399"/>
      <c r="BT653" s="399"/>
      <c r="BU653" s="399"/>
      <c r="BV653" s="399"/>
      <c r="BW653" s="399"/>
      <c r="BX653" s="399"/>
      <c r="BY653" s="399"/>
      <c r="BZ653" s="399"/>
      <c r="CA653" s="399"/>
      <c r="CB653" s="399"/>
      <c r="CC653" s="399"/>
      <c r="CD653" s="399"/>
      <c r="CE653" s="399"/>
      <c r="CF653" s="399"/>
      <c r="CG653" s="399"/>
      <c r="CH653" s="399"/>
      <c r="CI653" s="399"/>
      <c r="CJ653" s="399"/>
      <c r="CK653" s="399"/>
      <c r="CL653" s="399"/>
      <c r="CM653" s="399"/>
      <c r="CN653" s="399"/>
      <c r="CO653" s="399"/>
      <c r="CP653" s="399"/>
      <c r="CQ653" s="399"/>
      <c r="CR653" s="399"/>
      <c r="CS653" s="399"/>
      <c r="CT653" s="399"/>
      <c r="CU653" s="399"/>
      <c r="CV653" s="399"/>
      <c r="CW653" s="399"/>
      <c r="CX653" s="399"/>
      <c r="CY653" s="399"/>
      <c r="CZ653" s="399"/>
      <c r="DA653" s="399"/>
      <c r="DB653" s="399"/>
      <c r="DC653" s="399"/>
      <c r="DD653" s="399"/>
      <c r="DE653" s="399"/>
      <c r="DF653" s="399"/>
      <c r="DG653" s="399"/>
      <c r="DH653" s="399"/>
      <c r="DI653" s="399"/>
      <c r="DJ653" s="399"/>
      <c r="DK653" s="399"/>
      <c r="DL653" s="399"/>
      <c r="DM653" s="399"/>
      <c r="DN653" s="399"/>
      <c r="DO653" s="399"/>
      <c r="DP653" s="399"/>
      <c r="DQ653" s="399"/>
    </row>
    <row r="654" spans="1:121" s="760" customFormat="1" ht="14.45" customHeight="1" x14ac:dyDescent="0.25">
      <c r="A654" s="266">
        <f t="shared" si="10"/>
        <v>41.9</v>
      </c>
      <c r="B654" s="389">
        <v>41599</v>
      </c>
      <c r="C654" s="391" t="s">
        <v>451</v>
      </c>
      <c r="D654" s="391" t="s">
        <v>451</v>
      </c>
      <c r="E654" s="390" t="s">
        <v>380</v>
      </c>
      <c r="F654" s="262" t="s">
        <v>5</v>
      </c>
      <c r="G654" s="262" t="s">
        <v>511</v>
      </c>
      <c r="H654" s="261"/>
      <c r="I654" s="261"/>
      <c r="J654" s="261"/>
      <c r="K654" s="261">
        <v>34</v>
      </c>
      <c r="L654" s="261">
        <v>18</v>
      </c>
      <c r="M654" s="261">
        <v>34</v>
      </c>
      <c r="N654" s="261">
        <v>18</v>
      </c>
      <c r="O654" s="261">
        <v>18</v>
      </c>
      <c r="P654" s="261"/>
      <c r="Q654" s="261"/>
      <c r="R654" s="261"/>
      <c r="S654" s="261"/>
      <c r="T654" s="261"/>
      <c r="U654" s="261"/>
      <c r="V654" s="762"/>
      <c r="W654" s="261"/>
      <c r="X654" s="261"/>
      <c r="Y654" s="264">
        <f>IF(NFI_Expiration=1,IF($A654&lt;VLOOKUP(H$5,NFI,5,0),1,0)*Table_NFI[[#This Row],[Hygiene Kit]],Table_NFI[Hygiene Kit])</f>
        <v>0</v>
      </c>
      <c r="Z654" s="264">
        <f>IF(NFI_Expiration=1,IF($A654&lt;VLOOKUP(I$5,NFI,5,0),1,0)*Table_NFI[[#This Row],[NFI Core Kit]],Table_NFI[NFI Core Kit])</f>
        <v>0</v>
      </c>
      <c r="AA654" s="264">
        <f>IF(NFI_Expiration=1,IF($A654&lt;VLOOKUP(J$5,NFI,5,0),1,0)*Table_NFI[[#This Row],[Sanitary Kit]],Table_NFI[Sanitary Kit])</f>
        <v>0</v>
      </c>
      <c r="AB654" s="264">
        <f>IF(NFI_Expiration=1,IF($A654&lt;VLOOKUP(K$5,NFI,5,0),1,0)*Table_NFI[[#This Row],[Mosquito net]],Table_NFI[Mosquito net])</f>
        <v>0</v>
      </c>
      <c r="AC654" s="264">
        <f>IF(NFI_Expiration=1,IF($A654&lt;VLOOKUP(L$5,NFI,5,0),1,0)*Table_NFI[[#This Row],[Tarpaulin]],Table_NFI[[#This Row],[Tarpaulin]])</f>
        <v>0</v>
      </c>
      <c r="AD654" s="264">
        <f>IF(NFI_Expiration=1,IF($A654&lt;VLOOKUP(M$5,NFI,5,0),1,0)*Table_NFI[[#This Row],[Blanket]],Table_NFI[[#This Row],[Blanket]])</f>
        <v>0</v>
      </c>
      <c r="AE654" s="264">
        <f>IF(NFI_Expiration=1,IF($A654&lt;VLOOKUP(N$5,NFI,5,0),1,0)*Table_NFI[[#This Row],[Kitchen Set]],Table_NFI[Kitchen Set])</f>
        <v>0</v>
      </c>
      <c r="AF654" s="264">
        <f>IF(NFI_Expiration=1,IF($A654&lt;VLOOKUP(O$5,NFI,5,0),1,0)*Table_NFI[[#This Row],[Clothes Kit]],Table_NFI[Clothes Kit])</f>
        <v>0</v>
      </c>
      <c r="AG654" s="264">
        <f>IF(NFI_Expiration=1,IF($A654&lt;VLOOKUP(P$5,NFI,5,0),1,0)*Table_NFI[[#This Row],[Plastic Bucket]],Table_NFI[Plastic Bucket])</f>
        <v>0</v>
      </c>
      <c r="AH654" s="264">
        <f>IF(NFI_Expiration=1,IF($A654&lt;VLOOKUP(Q$5,NFI,5,0),1,0)*Table_NFI[[#This Row],[Plastic Mat]],Table_NFI[Plastic Mat])*IF(Table_NFI[[#This Row],[Distribution Date]]&gt;"2014-04-01",1,2.5)</f>
        <v>0</v>
      </c>
      <c r="AI654" s="264">
        <f>IF(NFI_Expiration=1,IF($A654&lt;VLOOKUP(R$5,NFI,5,0),1,0)*Table_NFI[[#This Row],[Winter Clothes Adult]],Table_NFI[Winter Clothes Adult])</f>
        <v>0</v>
      </c>
      <c r="AJ654" s="264">
        <f>IF(NFI_Expiration=1,IF($A654&lt;VLOOKUP(S$5,NFI,5,0),1,0)*Table_NFI[[#This Row],[Winter Clothes Children]],Table_NFI[Winter Clothes Children])</f>
        <v>0</v>
      </c>
      <c r="AK654" s="264">
        <f>IF(NFI_Expiration=1,IF($A654&lt;VLOOKUP(T$5,NFI,5,0),1,0)*Table_NFI[[#This Row],[Winter Items Other]],Table_NFI[Winter Items Other])</f>
        <v>0</v>
      </c>
      <c r="AL654" s="264">
        <f>IF(NFI_Expiration=1,IF($A654&lt;VLOOKUP(M$5,NFI,5,0),1,0)*Table_NFI[[#This Row],[Winter Blanket]],Table_NFI[[#This Row],[Winter Blanket]])</f>
        <v>0</v>
      </c>
      <c r="AM654" s="264">
        <f>IF(Table_NFI[[#This Row],[Winter Clothes Adult]]+Table_NFI[[#This Row],[Winter Clothes Children]]+Table_NFI[[#This Row],[Winter Items Other]]+Table_NFI[[#This Row],[Winter Blanket]]&gt;0,1,0)</f>
        <v>0</v>
      </c>
      <c r="AN654" s="296">
        <f>IF(NFI_Expiration=1,IF($A654&lt;VLOOKUP(V$5,NFI,5,0),1,0)*Table_NFI[[#This Row],[Jerry Can]],Table_NFI[Jerry Can])</f>
        <v>0</v>
      </c>
      <c r="AO654" s="296">
        <f>IF(NFI_Expiration=1,IF($A654&lt;VLOOKUP(V$5,NFI,5,0),1,0)*Table_NFI[[#This Row],[Shelter Tool kit]],Table_NFI[Shelter Tool kit])</f>
        <v>0</v>
      </c>
      <c r="AP654" s="296">
        <f>IF(NFI_Expiration=1,IF($A654&lt;VLOOKUP(V$5,NFI,5,0),1,0)*Table_NFI[[#This Row],[Tent]],Table_NFI[Tent])</f>
        <v>0</v>
      </c>
      <c r="AQ654" s="396" t="str">
        <f>IFERROR(VLOOKUP(Table_NFI[[#This Row],[Camp Name]],CL,2,0),"")</f>
        <v>MMR001CMP194</v>
      </c>
      <c r="AR654" s="702">
        <f ca="1">IF(Table_NFI[[#This Row],[Pcode]]="","",IF(OFFSET(CampList[Opening Date],MATCH(Table_NFI[[#This Row],[Pcode]],CampList[CP_Pcode],0)-1,0,1,1)&gt;=NFI_Monitor_Date,1,0))</f>
        <v>0</v>
      </c>
      <c r="AS654" s="396" t="str">
        <f>IFERROR(VLOOKUP(Table_NFI[[#This Row],[Camp Name]],CL,3,0),"")</f>
        <v>Open</v>
      </c>
      <c r="AT654" s="264" t="str">
        <f ca="1">IF(Table_NFI[[#This Row],[Pcode]]="","",OFFSET(CampList[Priority],MATCH(Table_NFI[[#This Row],[Pcode]],CampList[CP_Pcode],0)-1,0,1,1))</f>
        <v>P4</v>
      </c>
      <c r="AU654" s="263">
        <f>IFERROR(Table_NFI[[#This Row],[Kitchen Set]]/VLOOKUP(Table_NFI[[#This Row],[Camp Name]],CL,4,0),"")</f>
        <v>4.4131708632652562E-4</v>
      </c>
      <c r="AV654" s="390" t="s">
        <v>1087</v>
      </c>
      <c r="AW654" s="392"/>
      <c r="AX654" s="399"/>
      <c r="AY654" s="399"/>
      <c r="AZ654" s="399"/>
      <c r="BA654" s="399"/>
      <c r="BB654" s="399"/>
      <c r="BC654" s="399"/>
      <c r="BD654" s="399"/>
      <c r="BE654" s="399"/>
      <c r="BF654" s="399"/>
      <c r="BG654" s="399"/>
      <c r="BH654" s="399"/>
      <c r="BI654" s="399"/>
      <c r="BJ654" s="399"/>
      <c r="BK654" s="399"/>
      <c r="BL654" s="399"/>
      <c r="BM654" s="399"/>
      <c r="BN654" s="399"/>
      <c r="BO654" s="399"/>
      <c r="BP654" s="399"/>
      <c r="BQ654" s="399"/>
      <c r="BR654" s="399"/>
      <c r="BS654" s="399"/>
      <c r="BT654" s="399"/>
      <c r="BU654" s="399"/>
      <c r="BV654" s="399"/>
      <c r="BW654" s="399"/>
      <c r="BX654" s="399"/>
      <c r="BY654" s="399"/>
      <c r="BZ654" s="399"/>
      <c r="CA654" s="399"/>
      <c r="CB654" s="399"/>
      <c r="CC654" s="399"/>
      <c r="CD654" s="399"/>
      <c r="CE654" s="399"/>
      <c r="CF654" s="399"/>
      <c r="CG654" s="399"/>
      <c r="CH654" s="399"/>
      <c r="CI654" s="399"/>
      <c r="CJ654" s="399"/>
      <c r="CK654" s="399"/>
      <c r="CL654" s="399"/>
      <c r="CM654" s="399"/>
      <c r="CN654" s="399"/>
      <c r="CO654" s="399"/>
      <c r="CP654" s="399"/>
      <c r="CQ654" s="399"/>
      <c r="CR654" s="399"/>
      <c r="CS654" s="399"/>
      <c r="CT654" s="399"/>
      <c r="CU654" s="399"/>
      <c r="CV654" s="399"/>
      <c r="CW654" s="399"/>
      <c r="CX654" s="399"/>
      <c r="CY654" s="399"/>
      <c r="CZ654" s="399"/>
      <c r="DA654" s="399"/>
      <c r="DB654" s="399"/>
      <c r="DC654" s="399"/>
      <c r="DD654" s="399"/>
      <c r="DE654" s="399"/>
      <c r="DF654" s="399"/>
      <c r="DG654" s="399"/>
      <c r="DH654" s="399"/>
      <c r="DI654" s="399"/>
      <c r="DJ654" s="399"/>
      <c r="DK654" s="399"/>
      <c r="DL654" s="399"/>
      <c r="DM654" s="399"/>
      <c r="DN654" s="399"/>
      <c r="DO654" s="399"/>
      <c r="DP654" s="399"/>
      <c r="DQ654" s="399"/>
    </row>
    <row r="655" spans="1:121" s="760" customFormat="1" ht="14.45" customHeight="1" x14ac:dyDescent="0.25">
      <c r="A655" s="266">
        <f t="shared" si="10"/>
        <v>41.9</v>
      </c>
      <c r="B655" s="389">
        <v>41599</v>
      </c>
      <c r="C655" s="391" t="s">
        <v>451</v>
      </c>
      <c r="D655" s="391" t="s">
        <v>451</v>
      </c>
      <c r="E655" s="390" t="s">
        <v>380</v>
      </c>
      <c r="F655" s="262" t="s">
        <v>5</v>
      </c>
      <c r="G655" s="262" t="s">
        <v>366</v>
      </c>
      <c r="H655" s="261"/>
      <c r="I655" s="261"/>
      <c r="J655" s="261"/>
      <c r="K655" s="261">
        <v>15</v>
      </c>
      <c r="L655" s="261">
        <v>9</v>
      </c>
      <c r="M655" s="261">
        <v>15</v>
      </c>
      <c r="N655" s="261">
        <v>9</v>
      </c>
      <c r="O655" s="261">
        <v>9</v>
      </c>
      <c r="P655" s="261"/>
      <c r="Q655" s="261"/>
      <c r="R655" s="261"/>
      <c r="S655" s="261"/>
      <c r="T655" s="261"/>
      <c r="U655" s="261"/>
      <c r="V655" s="762"/>
      <c r="W655" s="261"/>
      <c r="X655" s="261"/>
      <c r="Y655" s="264">
        <f>IF(NFI_Expiration=1,IF($A655&lt;VLOOKUP(H$5,NFI,5,0),1,0)*Table_NFI[[#This Row],[Hygiene Kit]],Table_NFI[Hygiene Kit])</f>
        <v>0</v>
      </c>
      <c r="Z655" s="264">
        <f>IF(NFI_Expiration=1,IF($A655&lt;VLOOKUP(I$5,NFI,5,0),1,0)*Table_NFI[[#This Row],[NFI Core Kit]],Table_NFI[NFI Core Kit])</f>
        <v>0</v>
      </c>
      <c r="AA655" s="264">
        <f>IF(NFI_Expiration=1,IF($A655&lt;VLOOKUP(J$5,NFI,5,0),1,0)*Table_NFI[[#This Row],[Sanitary Kit]],Table_NFI[Sanitary Kit])</f>
        <v>0</v>
      </c>
      <c r="AB655" s="264">
        <f>IF(NFI_Expiration=1,IF($A655&lt;VLOOKUP(K$5,NFI,5,0),1,0)*Table_NFI[[#This Row],[Mosquito net]],Table_NFI[Mosquito net])</f>
        <v>0</v>
      </c>
      <c r="AC655" s="264">
        <f>IF(NFI_Expiration=1,IF($A655&lt;VLOOKUP(L$5,NFI,5,0),1,0)*Table_NFI[[#This Row],[Tarpaulin]],Table_NFI[[#This Row],[Tarpaulin]])</f>
        <v>0</v>
      </c>
      <c r="AD655" s="264">
        <f>IF(NFI_Expiration=1,IF($A655&lt;VLOOKUP(M$5,NFI,5,0),1,0)*Table_NFI[[#This Row],[Blanket]],Table_NFI[[#This Row],[Blanket]])</f>
        <v>0</v>
      </c>
      <c r="AE655" s="264">
        <f>IF(NFI_Expiration=1,IF($A655&lt;VLOOKUP(N$5,NFI,5,0),1,0)*Table_NFI[[#This Row],[Kitchen Set]],Table_NFI[Kitchen Set])</f>
        <v>0</v>
      </c>
      <c r="AF655" s="264">
        <f>IF(NFI_Expiration=1,IF($A655&lt;VLOOKUP(O$5,NFI,5,0),1,0)*Table_NFI[[#This Row],[Clothes Kit]],Table_NFI[Clothes Kit])</f>
        <v>0</v>
      </c>
      <c r="AG655" s="264">
        <f>IF(NFI_Expiration=1,IF($A655&lt;VLOOKUP(P$5,NFI,5,0),1,0)*Table_NFI[[#This Row],[Plastic Bucket]],Table_NFI[Plastic Bucket])</f>
        <v>0</v>
      </c>
      <c r="AH655" s="264">
        <f>IF(NFI_Expiration=1,IF($A655&lt;VLOOKUP(Q$5,NFI,5,0),1,0)*Table_NFI[[#This Row],[Plastic Mat]],Table_NFI[Plastic Mat])*IF(Table_NFI[[#This Row],[Distribution Date]]&gt;"2014-04-01",1,2.5)</f>
        <v>0</v>
      </c>
      <c r="AI655" s="264">
        <f>IF(NFI_Expiration=1,IF($A655&lt;VLOOKUP(R$5,NFI,5,0),1,0)*Table_NFI[[#This Row],[Winter Clothes Adult]],Table_NFI[Winter Clothes Adult])</f>
        <v>0</v>
      </c>
      <c r="AJ655" s="264">
        <f>IF(NFI_Expiration=1,IF($A655&lt;VLOOKUP(S$5,NFI,5,0),1,0)*Table_NFI[[#This Row],[Winter Clothes Children]],Table_NFI[Winter Clothes Children])</f>
        <v>0</v>
      </c>
      <c r="AK655" s="264">
        <f>IF(NFI_Expiration=1,IF($A655&lt;VLOOKUP(T$5,NFI,5,0),1,0)*Table_NFI[[#This Row],[Winter Items Other]],Table_NFI[Winter Items Other])</f>
        <v>0</v>
      </c>
      <c r="AL655" s="264">
        <f>IF(NFI_Expiration=1,IF($A655&lt;VLOOKUP(M$5,NFI,5,0),1,0)*Table_NFI[[#This Row],[Winter Blanket]],Table_NFI[[#This Row],[Winter Blanket]])</f>
        <v>0</v>
      </c>
      <c r="AM655" s="264">
        <f>IF(Table_NFI[[#This Row],[Winter Clothes Adult]]+Table_NFI[[#This Row],[Winter Clothes Children]]+Table_NFI[[#This Row],[Winter Items Other]]+Table_NFI[[#This Row],[Winter Blanket]]&gt;0,1,0)</f>
        <v>0</v>
      </c>
      <c r="AN655" s="296">
        <f>IF(NFI_Expiration=1,IF($A655&lt;VLOOKUP(V$5,NFI,5,0),1,0)*Table_NFI[[#This Row],[Jerry Can]],Table_NFI[Jerry Can])</f>
        <v>0</v>
      </c>
      <c r="AO655" s="296">
        <f>IF(NFI_Expiration=1,IF($A655&lt;VLOOKUP(V$5,NFI,5,0),1,0)*Table_NFI[[#This Row],[Shelter Tool kit]],Table_NFI[Shelter Tool kit])</f>
        <v>0</v>
      </c>
      <c r="AP655" s="296">
        <f>IF(NFI_Expiration=1,IF($A655&lt;VLOOKUP(V$5,NFI,5,0),1,0)*Table_NFI[[#This Row],[Tent]],Table_NFI[Tent])</f>
        <v>0</v>
      </c>
      <c r="AQ655" s="396" t="str">
        <f>IFERROR(VLOOKUP(Table_NFI[[#This Row],[Camp Name]],CL,2,0),"")</f>
        <v>MMR001CMP193</v>
      </c>
      <c r="AR655" s="702">
        <f ca="1">IF(Table_NFI[[#This Row],[Pcode]]="","",IF(OFFSET(CampList[Opening Date],MATCH(Table_NFI[[#This Row],[Pcode]],CampList[CP_Pcode],0)-1,0,1,1)&gt;=NFI_Monitor_Date,1,0))</f>
        <v>0</v>
      </c>
      <c r="AS655" s="396" t="str">
        <f>IFERROR(VLOOKUP(Table_NFI[[#This Row],[Camp Name]],CL,3,0),"")</f>
        <v>Open</v>
      </c>
      <c r="AT655" s="264" t="str">
        <f ca="1">IF(Table_NFI[[#This Row],[Pcode]]="","",OFFSET(CampList[Priority],MATCH(Table_NFI[[#This Row],[Pcode]],CampList[CP_Pcode],0)-1,0,1,1))</f>
        <v>P4</v>
      </c>
      <c r="AU655" s="263">
        <f>IFERROR(Table_NFI[[#This Row],[Kitchen Set]]/VLOOKUP(Table_NFI[[#This Row],[Camp Name]],CL,4,0),"")</f>
        <v>2.1804966686856452E-4</v>
      </c>
      <c r="AV655" s="390" t="s">
        <v>1087</v>
      </c>
      <c r="AW655" s="392"/>
      <c r="AX655" s="399"/>
      <c r="AY655" s="399"/>
      <c r="AZ655" s="399"/>
      <c r="BA655" s="399"/>
      <c r="BB655" s="399"/>
      <c r="BC655" s="399"/>
      <c r="BD655" s="399"/>
      <c r="BE655" s="399"/>
      <c r="BF655" s="399"/>
      <c r="BG655" s="399"/>
      <c r="BH655" s="399"/>
      <c r="BI655" s="399"/>
      <c r="BJ655" s="399"/>
      <c r="BK655" s="399"/>
      <c r="BL655" s="399"/>
      <c r="BM655" s="399"/>
      <c r="BN655" s="399"/>
      <c r="BO655" s="399"/>
      <c r="BP655" s="399"/>
      <c r="BQ655" s="399"/>
      <c r="BR655" s="399"/>
      <c r="BS655" s="399"/>
      <c r="BT655" s="399"/>
      <c r="BU655" s="399"/>
      <c r="BV655" s="399"/>
      <c r="BW655" s="399"/>
      <c r="BX655" s="399"/>
      <c r="BY655" s="399"/>
      <c r="BZ655" s="399"/>
      <c r="CA655" s="399"/>
      <c r="CB655" s="399"/>
      <c r="CC655" s="399"/>
      <c r="CD655" s="399"/>
      <c r="CE655" s="399"/>
      <c r="CF655" s="399"/>
      <c r="CG655" s="399"/>
      <c r="CH655" s="399"/>
      <c r="CI655" s="399"/>
      <c r="CJ655" s="399"/>
      <c r="CK655" s="399"/>
      <c r="CL655" s="399"/>
      <c r="CM655" s="399"/>
      <c r="CN655" s="399"/>
      <c r="CO655" s="399"/>
      <c r="CP655" s="399"/>
      <c r="CQ655" s="399"/>
      <c r="CR655" s="399"/>
      <c r="CS655" s="399"/>
      <c r="CT655" s="399"/>
      <c r="CU655" s="399"/>
      <c r="CV655" s="399"/>
      <c r="CW655" s="399"/>
      <c r="CX655" s="399"/>
      <c r="CY655" s="399"/>
      <c r="CZ655" s="399"/>
      <c r="DA655" s="399"/>
      <c r="DB655" s="399"/>
      <c r="DC655" s="399"/>
      <c r="DD655" s="399"/>
      <c r="DE655" s="399"/>
      <c r="DF655" s="399"/>
      <c r="DG655" s="399"/>
      <c r="DH655" s="399"/>
      <c r="DI655" s="399"/>
      <c r="DJ655" s="399"/>
      <c r="DK655" s="399"/>
      <c r="DL655" s="399"/>
      <c r="DM655" s="399"/>
      <c r="DN655" s="399"/>
      <c r="DO655" s="399"/>
      <c r="DP655" s="399"/>
      <c r="DQ655" s="399"/>
    </row>
    <row r="656" spans="1:121" s="760" customFormat="1" ht="14.45" customHeight="1" x14ac:dyDescent="0.25">
      <c r="A656" s="266">
        <f t="shared" si="10"/>
        <v>41.9</v>
      </c>
      <c r="B656" s="389">
        <v>41599</v>
      </c>
      <c r="C656" s="391" t="s">
        <v>451</v>
      </c>
      <c r="D656" s="391" t="s">
        <v>572</v>
      </c>
      <c r="E656" s="390" t="s">
        <v>380</v>
      </c>
      <c r="F656" s="390" t="s">
        <v>151</v>
      </c>
      <c r="G656" s="262" t="s">
        <v>875</v>
      </c>
      <c r="H656" s="261"/>
      <c r="I656" s="261"/>
      <c r="J656" s="261"/>
      <c r="K656" s="261">
        <v>400</v>
      </c>
      <c r="L656" s="261">
        <v>210</v>
      </c>
      <c r="M656" s="261">
        <v>400</v>
      </c>
      <c r="N656" s="261">
        <v>210</v>
      </c>
      <c r="O656" s="261"/>
      <c r="P656" s="261"/>
      <c r="Q656" s="261">
        <v>210</v>
      </c>
      <c r="R656" s="261"/>
      <c r="S656" s="261"/>
      <c r="T656" s="261"/>
      <c r="U656" s="261"/>
      <c r="V656" s="762"/>
      <c r="W656" s="261"/>
      <c r="X656" s="261"/>
      <c r="Y656" s="264">
        <f>IF(NFI_Expiration=1,IF($A656&lt;VLOOKUP(H$5,NFI,5,0),1,0)*Table_NFI[[#This Row],[Hygiene Kit]],Table_NFI[Hygiene Kit])</f>
        <v>0</v>
      </c>
      <c r="Z656" s="264">
        <f>IF(NFI_Expiration=1,IF($A656&lt;VLOOKUP(I$5,NFI,5,0),1,0)*Table_NFI[[#This Row],[NFI Core Kit]],Table_NFI[NFI Core Kit])</f>
        <v>0</v>
      </c>
      <c r="AA656" s="264">
        <f>IF(NFI_Expiration=1,IF($A656&lt;VLOOKUP(J$5,NFI,5,0),1,0)*Table_NFI[[#This Row],[Sanitary Kit]],Table_NFI[Sanitary Kit])</f>
        <v>0</v>
      </c>
      <c r="AB656" s="264">
        <f>IF(NFI_Expiration=1,IF($A656&lt;VLOOKUP(K$5,NFI,5,0),1,0)*Table_NFI[[#This Row],[Mosquito net]],Table_NFI[Mosquito net])</f>
        <v>0</v>
      </c>
      <c r="AC656" s="264">
        <f>IF(NFI_Expiration=1,IF($A656&lt;VLOOKUP(L$5,NFI,5,0),1,0)*Table_NFI[[#This Row],[Tarpaulin]],Table_NFI[[#This Row],[Tarpaulin]])</f>
        <v>0</v>
      </c>
      <c r="AD656" s="264">
        <f>IF(NFI_Expiration=1,IF($A656&lt;VLOOKUP(M$5,NFI,5,0),1,0)*Table_NFI[[#This Row],[Blanket]],Table_NFI[[#This Row],[Blanket]])</f>
        <v>0</v>
      </c>
      <c r="AE656" s="264">
        <f>IF(NFI_Expiration=1,IF($A656&lt;VLOOKUP(N$5,NFI,5,0),1,0)*Table_NFI[[#This Row],[Kitchen Set]],Table_NFI[Kitchen Set])</f>
        <v>0</v>
      </c>
      <c r="AF656" s="264">
        <f>IF(NFI_Expiration=1,IF($A656&lt;VLOOKUP(O$5,NFI,5,0),1,0)*Table_NFI[[#This Row],[Clothes Kit]],Table_NFI[Clothes Kit])</f>
        <v>0</v>
      </c>
      <c r="AG656" s="264">
        <f>IF(NFI_Expiration=1,IF($A656&lt;VLOOKUP(P$5,NFI,5,0),1,0)*Table_NFI[[#This Row],[Plastic Bucket]],Table_NFI[Plastic Bucket])</f>
        <v>0</v>
      </c>
      <c r="AH656" s="264">
        <f>IF(NFI_Expiration=1,IF($A656&lt;VLOOKUP(Q$5,NFI,5,0),1,0)*Table_NFI[[#This Row],[Plastic Mat]],Table_NFI[Plastic Mat])*IF(Table_NFI[[#This Row],[Distribution Date]]&gt;"2014-04-01",1,2.5)</f>
        <v>0</v>
      </c>
      <c r="AI656" s="264">
        <f>IF(NFI_Expiration=1,IF($A656&lt;VLOOKUP(R$5,NFI,5,0),1,0)*Table_NFI[[#This Row],[Winter Clothes Adult]],Table_NFI[Winter Clothes Adult])</f>
        <v>0</v>
      </c>
      <c r="AJ656" s="264">
        <f>IF(NFI_Expiration=1,IF($A656&lt;VLOOKUP(S$5,NFI,5,0),1,0)*Table_NFI[[#This Row],[Winter Clothes Children]],Table_NFI[Winter Clothes Children])</f>
        <v>0</v>
      </c>
      <c r="AK656" s="264">
        <f>IF(NFI_Expiration=1,IF($A656&lt;VLOOKUP(T$5,NFI,5,0),1,0)*Table_NFI[[#This Row],[Winter Items Other]],Table_NFI[Winter Items Other])</f>
        <v>0</v>
      </c>
      <c r="AL656" s="264">
        <f>IF(NFI_Expiration=1,IF($A656&lt;VLOOKUP(M$5,NFI,5,0),1,0)*Table_NFI[[#This Row],[Winter Blanket]],Table_NFI[[#This Row],[Winter Blanket]])</f>
        <v>0</v>
      </c>
      <c r="AM656" s="264">
        <f>IF(Table_NFI[[#This Row],[Winter Clothes Adult]]+Table_NFI[[#This Row],[Winter Clothes Children]]+Table_NFI[[#This Row],[Winter Items Other]]+Table_NFI[[#This Row],[Winter Blanket]]&gt;0,1,0)</f>
        <v>0</v>
      </c>
      <c r="AN656" s="296">
        <f>IF(NFI_Expiration=1,IF($A656&lt;VLOOKUP(V$5,NFI,5,0),1,0)*Table_NFI[[#This Row],[Jerry Can]],Table_NFI[Jerry Can])</f>
        <v>0</v>
      </c>
      <c r="AO656" s="296">
        <f>IF(NFI_Expiration=1,IF($A656&lt;VLOOKUP(V$5,NFI,5,0),1,0)*Table_NFI[[#This Row],[Shelter Tool kit]],Table_NFI[Shelter Tool kit])</f>
        <v>0</v>
      </c>
      <c r="AP656" s="296">
        <f>IF(NFI_Expiration=1,IF($A656&lt;VLOOKUP(V$5,NFI,5,0),1,0)*Table_NFI[[#This Row],[Tent]],Table_NFI[Tent])</f>
        <v>0</v>
      </c>
      <c r="AQ656" s="396" t="str">
        <f>IFERROR(VLOOKUP(Table_NFI[[#This Row],[Camp Name]],CL,2,0),"")</f>
        <v>MMR001CMP212</v>
      </c>
      <c r="AR656" s="702">
        <f ca="1">IF(Table_NFI[[#This Row],[Pcode]]="","",IF(OFFSET(CampList[Opening Date],MATCH(Table_NFI[[#This Row],[Pcode]],CampList[CP_Pcode],0)-1,0,1,1)&gt;=NFI_Monitor_Date,1,0))</f>
        <v>0</v>
      </c>
      <c r="AS656" s="396" t="str">
        <f>IFERROR(VLOOKUP(Table_NFI[[#This Row],[Camp Name]],CL,3,0),"")</f>
        <v>Closed</v>
      </c>
      <c r="AT656" s="264" t="str">
        <f ca="1">IF(Table_NFI[[#This Row],[Pcode]]="","",OFFSET(CampList[Priority],MATCH(Table_NFI[[#This Row],[Pcode]],CampList[CP_Pcode],0)-1,0,1,1))</f>
        <v/>
      </c>
      <c r="AU656" s="263" t="str">
        <f>IFERROR(Table_NFI[[#This Row],[Kitchen Set]]/VLOOKUP(Table_NFI[[#This Row],[Camp Name]],CL,4,0),"")</f>
        <v/>
      </c>
      <c r="AV656" s="390" t="s">
        <v>1087</v>
      </c>
      <c r="AW656" s="392"/>
      <c r="AX656" s="399"/>
      <c r="AY656" s="399"/>
      <c r="AZ656" s="399"/>
      <c r="BA656" s="399"/>
      <c r="BB656" s="399"/>
      <c r="BC656" s="399"/>
      <c r="BD656" s="399"/>
      <c r="BE656" s="399"/>
      <c r="BF656" s="399"/>
      <c r="BG656" s="399"/>
      <c r="BH656" s="399"/>
      <c r="BI656" s="399"/>
      <c r="BJ656" s="399"/>
      <c r="BK656" s="399"/>
      <c r="BL656" s="399"/>
      <c r="BM656" s="399"/>
      <c r="BN656" s="399"/>
      <c r="BO656" s="399"/>
      <c r="BP656" s="399"/>
      <c r="BQ656" s="399"/>
      <c r="BR656" s="399"/>
      <c r="BS656" s="399"/>
      <c r="BT656" s="399"/>
      <c r="BU656" s="399"/>
      <c r="BV656" s="399"/>
      <c r="BW656" s="399"/>
      <c r="BX656" s="399"/>
      <c r="BY656" s="399"/>
      <c r="BZ656" s="399"/>
      <c r="CA656" s="399"/>
      <c r="CB656" s="399"/>
      <c r="CC656" s="399"/>
      <c r="CD656" s="399"/>
      <c r="CE656" s="399"/>
      <c r="CF656" s="399"/>
      <c r="CG656" s="399"/>
      <c r="CH656" s="399"/>
      <c r="CI656" s="399"/>
      <c r="CJ656" s="399"/>
      <c r="CK656" s="399"/>
      <c r="CL656" s="399"/>
      <c r="CM656" s="399"/>
      <c r="CN656" s="399"/>
      <c r="CO656" s="399"/>
      <c r="CP656" s="399"/>
      <c r="CQ656" s="399"/>
      <c r="CR656" s="399"/>
      <c r="CS656" s="399"/>
      <c r="CT656" s="399"/>
      <c r="CU656" s="399"/>
      <c r="CV656" s="399"/>
      <c r="CW656" s="399"/>
      <c r="CX656" s="399"/>
      <c r="CY656" s="399"/>
      <c r="CZ656" s="399"/>
      <c r="DA656" s="399"/>
      <c r="DB656" s="399"/>
      <c r="DC656" s="399"/>
      <c r="DD656" s="399"/>
      <c r="DE656" s="399"/>
      <c r="DF656" s="399"/>
      <c r="DG656" s="399"/>
      <c r="DH656" s="399"/>
      <c r="DI656" s="399"/>
      <c r="DJ656" s="399"/>
      <c r="DK656" s="399"/>
      <c r="DL656" s="399"/>
      <c r="DM656" s="399"/>
      <c r="DN656" s="399"/>
      <c r="DO656" s="399"/>
      <c r="DP656" s="399"/>
      <c r="DQ656" s="399"/>
    </row>
    <row r="657" spans="1:121" s="760" customFormat="1" ht="15" customHeight="1" x14ac:dyDescent="0.25">
      <c r="A657" s="266">
        <f t="shared" si="10"/>
        <v>41.93333333333333</v>
      </c>
      <c r="B657" s="389">
        <v>41598</v>
      </c>
      <c r="C657" s="390" t="s">
        <v>904</v>
      </c>
      <c r="D657" s="390" t="s">
        <v>904</v>
      </c>
      <c r="E657" s="390" t="s">
        <v>380</v>
      </c>
      <c r="F657" s="390" t="s">
        <v>5</v>
      </c>
      <c r="G657" s="390" t="s">
        <v>22</v>
      </c>
      <c r="H657" s="261"/>
      <c r="I657" s="261"/>
      <c r="J657" s="261"/>
      <c r="K657" s="261"/>
      <c r="L657" s="261"/>
      <c r="M657" s="261"/>
      <c r="N657" s="261"/>
      <c r="O657" s="261"/>
      <c r="P657" s="261"/>
      <c r="Q657" s="261"/>
      <c r="R657" s="261"/>
      <c r="S657" s="261">
        <v>19</v>
      </c>
      <c r="T657" s="261">
        <v>38</v>
      </c>
      <c r="U657" s="261">
        <v>19</v>
      </c>
      <c r="V657" s="762"/>
      <c r="W657" s="261"/>
      <c r="X657" s="261"/>
      <c r="Y657" s="264">
        <f>IF(NFI_Expiration=1,IF($A657&lt;VLOOKUP(H$5,NFI,5,0),1,0)*Table_NFI[[#This Row],[Hygiene Kit]],Table_NFI[Hygiene Kit])</f>
        <v>0</v>
      </c>
      <c r="Z657" s="264">
        <f>IF(NFI_Expiration=1,IF($A657&lt;VLOOKUP(I$5,NFI,5,0),1,0)*Table_NFI[[#This Row],[NFI Core Kit]],Table_NFI[NFI Core Kit])</f>
        <v>0</v>
      </c>
      <c r="AA657" s="264">
        <f>IF(NFI_Expiration=1,IF($A657&lt;VLOOKUP(J$5,NFI,5,0),1,0)*Table_NFI[[#This Row],[Sanitary Kit]],Table_NFI[Sanitary Kit])</f>
        <v>0</v>
      </c>
      <c r="AB657" s="264">
        <f>IF(NFI_Expiration=1,IF($A657&lt;VLOOKUP(K$5,NFI,5,0),1,0)*Table_NFI[[#This Row],[Mosquito net]],Table_NFI[Mosquito net])</f>
        <v>0</v>
      </c>
      <c r="AC657" s="264">
        <f>IF(NFI_Expiration=1,IF($A657&lt;VLOOKUP(L$5,NFI,5,0),1,0)*Table_NFI[[#This Row],[Tarpaulin]],Table_NFI[[#This Row],[Tarpaulin]])</f>
        <v>0</v>
      </c>
      <c r="AD657" s="264">
        <f>IF(NFI_Expiration=1,IF($A657&lt;VLOOKUP(M$5,NFI,5,0),1,0)*Table_NFI[[#This Row],[Blanket]],Table_NFI[[#This Row],[Blanket]])</f>
        <v>0</v>
      </c>
      <c r="AE657" s="264">
        <f>IF(NFI_Expiration=1,IF($A657&lt;VLOOKUP(N$5,NFI,5,0),1,0)*Table_NFI[[#This Row],[Kitchen Set]],Table_NFI[Kitchen Set])</f>
        <v>0</v>
      </c>
      <c r="AF657" s="264">
        <f>IF(NFI_Expiration=1,IF($A657&lt;VLOOKUP(O$5,NFI,5,0),1,0)*Table_NFI[[#This Row],[Clothes Kit]],Table_NFI[Clothes Kit])</f>
        <v>0</v>
      </c>
      <c r="AG657" s="264">
        <f>IF(NFI_Expiration=1,IF($A657&lt;VLOOKUP(P$5,NFI,5,0),1,0)*Table_NFI[[#This Row],[Plastic Bucket]],Table_NFI[Plastic Bucket])</f>
        <v>0</v>
      </c>
      <c r="AH657" s="264">
        <f>IF(NFI_Expiration=1,IF($A657&lt;VLOOKUP(Q$5,NFI,5,0),1,0)*Table_NFI[[#This Row],[Plastic Mat]],Table_NFI[Plastic Mat])*IF(Table_NFI[[#This Row],[Distribution Date]]&gt;"2014-04-01",1,2.5)</f>
        <v>0</v>
      </c>
      <c r="AI657" s="264">
        <f>IF(NFI_Expiration=1,IF($A657&lt;VLOOKUP(R$5,NFI,5,0),1,0)*Table_NFI[[#This Row],[Winter Clothes Adult]],Table_NFI[Winter Clothes Adult])</f>
        <v>0</v>
      </c>
      <c r="AJ657" s="264">
        <f>IF(NFI_Expiration=1,IF($A657&lt;VLOOKUP(S$5,NFI,5,0),1,0)*Table_NFI[[#This Row],[Winter Clothes Children]],Table_NFI[Winter Clothes Children])</f>
        <v>0</v>
      </c>
      <c r="AK657" s="264">
        <f>IF(NFI_Expiration=1,IF($A657&lt;VLOOKUP(T$5,NFI,5,0),1,0)*Table_NFI[[#This Row],[Winter Items Other]],Table_NFI[Winter Items Other])</f>
        <v>0</v>
      </c>
      <c r="AL657" s="264">
        <f>IF(NFI_Expiration=1,IF($A657&lt;VLOOKUP(M$5,NFI,5,0),1,0)*Table_NFI[[#This Row],[Winter Blanket]],Table_NFI[[#This Row],[Winter Blanket]])</f>
        <v>0</v>
      </c>
      <c r="AM657" s="264">
        <f>IF(Table_NFI[[#This Row],[Winter Clothes Adult]]+Table_NFI[[#This Row],[Winter Clothes Children]]+Table_NFI[[#This Row],[Winter Items Other]]+Table_NFI[[#This Row],[Winter Blanket]]&gt;0,1,0)</f>
        <v>1</v>
      </c>
      <c r="AN657" s="296">
        <f>IF(NFI_Expiration=1,IF($A657&lt;VLOOKUP(V$5,NFI,5,0),1,0)*Table_NFI[[#This Row],[Jerry Can]],Table_NFI[Jerry Can])</f>
        <v>0</v>
      </c>
      <c r="AO657" s="296">
        <f>IF(NFI_Expiration=1,IF($A657&lt;VLOOKUP(V$5,NFI,5,0),1,0)*Table_NFI[[#This Row],[Shelter Tool kit]],Table_NFI[Shelter Tool kit])</f>
        <v>0</v>
      </c>
      <c r="AP657" s="296">
        <f>IF(NFI_Expiration=1,IF($A657&lt;VLOOKUP(V$5,NFI,5,0),1,0)*Table_NFI[[#This Row],[Tent]],Table_NFI[Tent])</f>
        <v>0</v>
      </c>
      <c r="AQ657" s="396" t="str">
        <f>IFERROR(VLOOKUP(Table_NFI[[#This Row],[Camp Name]],CL,2,0),"")</f>
        <v>MMR001CMP047</v>
      </c>
      <c r="AR657" s="702">
        <f ca="1">IF(Table_NFI[[#This Row],[Pcode]]="","",IF(OFFSET(CampList[Opening Date],MATCH(Table_NFI[[#This Row],[Pcode]],CampList[CP_Pcode],0)-1,0,1,1)&gt;=NFI_Monitor_Date,1,0))</f>
        <v>0</v>
      </c>
      <c r="AS657" s="396" t="str">
        <f>IFERROR(VLOOKUP(Table_NFI[[#This Row],[Camp Name]],CL,3,0),"")</f>
        <v>Open</v>
      </c>
      <c r="AT657" s="264" t="str">
        <f ca="1">IF(Table_NFI[[#This Row],[Pcode]]="","",OFFSET(CampList[Priority],MATCH(Table_NFI[[#This Row],[Pcode]],CampList[CP_Pcode],0)-1,0,1,1))</f>
        <v>P4</v>
      </c>
      <c r="AU657" s="263">
        <f>IFERROR(Table_NFI[[#This Row],[Kitchen Set]]/VLOOKUP(Table_NFI[[#This Row],[Camp Name]],CL,4,0),"")</f>
        <v>0</v>
      </c>
      <c r="AV657" s="390"/>
      <c r="AW657" s="392"/>
      <c r="AX657" s="399"/>
      <c r="AY657" s="399"/>
      <c r="AZ657" s="399"/>
      <c r="BA657" s="399"/>
      <c r="BB657" s="399"/>
      <c r="BC657" s="399"/>
      <c r="BD657" s="399"/>
      <c r="BE657" s="399"/>
      <c r="BF657" s="399"/>
      <c r="BG657" s="399"/>
      <c r="BH657" s="399"/>
      <c r="BI657" s="399"/>
      <c r="BJ657" s="399"/>
      <c r="BK657" s="399"/>
      <c r="BL657" s="399"/>
      <c r="BM657" s="399"/>
      <c r="BN657" s="399"/>
      <c r="BO657" s="399"/>
      <c r="BP657" s="399"/>
      <c r="BQ657" s="399"/>
      <c r="BR657" s="399"/>
      <c r="BS657" s="399"/>
      <c r="BT657" s="399"/>
      <c r="BU657" s="399"/>
      <c r="BV657" s="399"/>
      <c r="BW657" s="399"/>
      <c r="BX657" s="399"/>
      <c r="BY657" s="399"/>
      <c r="BZ657" s="399"/>
      <c r="CA657" s="399"/>
      <c r="CB657" s="399"/>
      <c r="CC657" s="399"/>
      <c r="CD657" s="399"/>
      <c r="CE657" s="399"/>
      <c r="CF657" s="399"/>
      <c r="CG657" s="399"/>
      <c r="CH657" s="399"/>
      <c r="CI657" s="399"/>
      <c r="CJ657" s="399"/>
      <c r="CK657" s="399"/>
      <c r="CL657" s="399"/>
      <c r="CM657" s="399"/>
      <c r="CN657" s="399"/>
      <c r="CO657" s="399"/>
      <c r="CP657" s="399"/>
      <c r="CQ657" s="399"/>
      <c r="CR657" s="399"/>
      <c r="CS657" s="399"/>
      <c r="CT657" s="399"/>
      <c r="CU657" s="399"/>
      <c r="CV657" s="399"/>
      <c r="CW657" s="399"/>
      <c r="CX657" s="399"/>
      <c r="CY657" s="399"/>
      <c r="CZ657" s="399"/>
      <c r="DA657" s="399"/>
      <c r="DB657" s="399"/>
      <c r="DC657" s="399"/>
      <c r="DD657" s="399"/>
      <c r="DE657" s="399"/>
      <c r="DF657" s="399"/>
      <c r="DG657" s="399"/>
      <c r="DH657" s="399"/>
      <c r="DI657" s="399"/>
      <c r="DJ657" s="399"/>
      <c r="DK657" s="399"/>
      <c r="DL657" s="399"/>
      <c r="DM657" s="399"/>
      <c r="DN657" s="399"/>
      <c r="DO657" s="399"/>
      <c r="DP657" s="399"/>
      <c r="DQ657" s="399"/>
    </row>
    <row r="658" spans="1:121" s="760" customFormat="1" ht="15" customHeight="1" x14ac:dyDescent="0.25">
      <c r="A658" s="266">
        <f t="shared" si="10"/>
        <v>41.966666666666669</v>
      </c>
      <c r="B658" s="389">
        <v>41597</v>
      </c>
      <c r="C658" s="391" t="s">
        <v>451</v>
      </c>
      <c r="D658" s="391" t="s">
        <v>451</v>
      </c>
      <c r="E658" s="390" t="s">
        <v>380</v>
      </c>
      <c r="F658" s="390" t="s">
        <v>5</v>
      </c>
      <c r="G658" s="262" t="s">
        <v>12</v>
      </c>
      <c r="H658" s="261"/>
      <c r="I658" s="261"/>
      <c r="J658" s="261"/>
      <c r="K658" s="261">
        <v>57</v>
      </c>
      <c r="L658" s="261">
        <v>33</v>
      </c>
      <c r="M658" s="261">
        <v>57</v>
      </c>
      <c r="N658" s="261">
        <v>33</v>
      </c>
      <c r="O658" s="261">
        <v>33</v>
      </c>
      <c r="P658" s="261"/>
      <c r="Q658" s="261"/>
      <c r="R658" s="261"/>
      <c r="S658" s="261"/>
      <c r="T658" s="261"/>
      <c r="U658" s="261"/>
      <c r="V658" s="762"/>
      <c r="W658" s="762"/>
      <c r="X658" s="762"/>
      <c r="Y658" s="264">
        <f>IF(NFI_Expiration=1,IF($A658&lt;VLOOKUP(H$5,NFI,5,0),1,0)*Table_NFI[[#This Row],[Hygiene Kit]],Table_NFI[Hygiene Kit])</f>
        <v>0</v>
      </c>
      <c r="Z658" s="264">
        <f>IF(NFI_Expiration=1,IF($A658&lt;VLOOKUP(I$5,NFI,5,0),1,0)*Table_NFI[[#This Row],[NFI Core Kit]],Table_NFI[NFI Core Kit])</f>
        <v>0</v>
      </c>
      <c r="AA658" s="264">
        <f>IF(NFI_Expiration=1,IF($A658&lt;VLOOKUP(J$5,NFI,5,0),1,0)*Table_NFI[[#This Row],[Sanitary Kit]],Table_NFI[Sanitary Kit])</f>
        <v>0</v>
      </c>
      <c r="AB658" s="264">
        <f>IF(NFI_Expiration=1,IF($A658&lt;VLOOKUP(K$5,NFI,5,0),1,0)*Table_NFI[[#This Row],[Mosquito net]],Table_NFI[Mosquito net])</f>
        <v>0</v>
      </c>
      <c r="AC658" s="264">
        <f>IF(NFI_Expiration=1,IF($A658&lt;VLOOKUP(L$5,NFI,5,0),1,0)*Table_NFI[[#This Row],[Tarpaulin]],Table_NFI[[#This Row],[Tarpaulin]])</f>
        <v>0</v>
      </c>
      <c r="AD658" s="264">
        <f>IF(NFI_Expiration=1,IF($A658&lt;VLOOKUP(M$5,NFI,5,0),1,0)*Table_NFI[[#This Row],[Blanket]],Table_NFI[[#This Row],[Blanket]])</f>
        <v>0</v>
      </c>
      <c r="AE658" s="264">
        <f>IF(NFI_Expiration=1,IF($A658&lt;VLOOKUP(N$5,NFI,5,0),1,0)*Table_NFI[[#This Row],[Kitchen Set]],Table_NFI[Kitchen Set])</f>
        <v>0</v>
      </c>
      <c r="AF658" s="264">
        <f>IF(NFI_Expiration=1,IF($A658&lt;VLOOKUP(O$5,NFI,5,0),1,0)*Table_NFI[[#This Row],[Clothes Kit]],Table_NFI[Clothes Kit])</f>
        <v>0</v>
      </c>
      <c r="AG658" s="264">
        <f>IF(NFI_Expiration=1,IF($A658&lt;VLOOKUP(P$5,NFI,5,0),1,0)*Table_NFI[[#This Row],[Plastic Bucket]],Table_NFI[Plastic Bucket])</f>
        <v>0</v>
      </c>
      <c r="AH658" s="264">
        <f>IF(NFI_Expiration=1,IF($A658&lt;VLOOKUP(Q$5,NFI,5,0),1,0)*Table_NFI[[#This Row],[Plastic Mat]],Table_NFI[Plastic Mat])*IF(Table_NFI[[#This Row],[Distribution Date]]&gt;"2014-04-01",1,2.5)</f>
        <v>0</v>
      </c>
      <c r="AI658" s="264">
        <f>IF(NFI_Expiration=1,IF($A658&lt;VLOOKUP(R$5,NFI,5,0),1,0)*Table_NFI[[#This Row],[Winter Clothes Adult]],Table_NFI[Winter Clothes Adult])</f>
        <v>0</v>
      </c>
      <c r="AJ658" s="264">
        <f>IF(NFI_Expiration=1,IF($A658&lt;VLOOKUP(S$5,NFI,5,0),1,0)*Table_NFI[[#This Row],[Winter Clothes Children]],Table_NFI[Winter Clothes Children])</f>
        <v>0</v>
      </c>
      <c r="AK658" s="264">
        <f>IF(NFI_Expiration=1,IF($A658&lt;VLOOKUP(T$5,NFI,5,0),1,0)*Table_NFI[[#This Row],[Winter Items Other]],Table_NFI[Winter Items Other])</f>
        <v>0</v>
      </c>
      <c r="AL658" s="264">
        <f>IF(NFI_Expiration=1,IF($A658&lt;VLOOKUP(M$5,NFI,5,0),1,0)*Table_NFI[[#This Row],[Winter Blanket]],Table_NFI[[#This Row],[Winter Blanket]])</f>
        <v>0</v>
      </c>
      <c r="AM658" s="264">
        <f>IF(Table_NFI[[#This Row],[Winter Clothes Adult]]+Table_NFI[[#This Row],[Winter Clothes Children]]+Table_NFI[[#This Row],[Winter Items Other]]+Table_NFI[[#This Row],[Winter Blanket]]&gt;0,1,0)</f>
        <v>0</v>
      </c>
      <c r="AN658" s="296">
        <f>IF(NFI_Expiration=1,IF($A658&lt;VLOOKUP(V$5,NFI,5,0),1,0)*Table_NFI[[#This Row],[Jerry Can]],Table_NFI[Jerry Can])</f>
        <v>0</v>
      </c>
      <c r="AO658" s="296">
        <f>IF(NFI_Expiration=1,IF($A658&lt;VLOOKUP(V$5,NFI,5,0),1,0)*Table_NFI[[#This Row],[Shelter Tool kit]],Table_NFI[Shelter Tool kit])</f>
        <v>0</v>
      </c>
      <c r="AP658" s="296">
        <f>IF(NFI_Expiration=1,IF($A658&lt;VLOOKUP(V$5,NFI,5,0),1,0)*Table_NFI[[#This Row],[Tent]],Table_NFI[Tent])</f>
        <v>0</v>
      </c>
      <c r="AQ658" s="396" t="str">
        <f>IFERROR(VLOOKUP(Table_NFI[[#This Row],[Camp Name]],CL,2,0),"")</f>
        <v>MMR001CMP163</v>
      </c>
      <c r="AR658" s="702">
        <f ca="1">IF(Table_NFI[[#This Row],[Pcode]]="","",IF(OFFSET(CampList[Opening Date],MATCH(Table_NFI[[#This Row],[Pcode]],CampList[CP_Pcode],0)-1,0,1,1)&gt;=NFI_Monitor_Date,1,0))</f>
        <v>0</v>
      </c>
      <c r="AS658" s="396" t="str">
        <f>IFERROR(VLOOKUP(Table_NFI[[#This Row],[Camp Name]],CL,3,0),"")</f>
        <v>Open</v>
      </c>
      <c r="AT658" s="264" t="str">
        <f ca="1">IF(Table_NFI[[#This Row],[Pcode]]="","",OFFSET(CampList[Priority],MATCH(Table_NFI[[#This Row],[Pcode]],CampList[CP_Pcode],0)-1,0,1,1))</f>
        <v>P4</v>
      </c>
      <c r="AU658" s="263" t="str">
        <f>IFERROR(Table_NFI[[#This Row],[Kitchen Set]]/VLOOKUP(Table_NFI[[#This Row],[Camp Name]],CL,4,0),"")</f>
        <v/>
      </c>
      <c r="AV658" s="390" t="s">
        <v>1087</v>
      </c>
      <c r="AW658" s="392"/>
      <c r="AX658" s="399"/>
      <c r="AY658" s="399"/>
      <c r="AZ658" s="399"/>
      <c r="BA658" s="399"/>
      <c r="BB658" s="399"/>
      <c r="BC658" s="399"/>
      <c r="BD658" s="399"/>
      <c r="BE658" s="399"/>
      <c r="BF658" s="399"/>
      <c r="BG658" s="399"/>
      <c r="BH658" s="399"/>
      <c r="BI658" s="399"/>
      <c r="BJ658" s="399"/>
      <c r="BK658" s="399"/>
      <c r="BL658" s="399"/>
      <c r="BM658" s="399"/>
      <c r="BN658" s="399"/>
      <c r="BO658" s="399"/>
      <c r="BP658" s="399"/>
      <c r="BQ658" s="399"/>
      <c r="BR658" s="399"/>
      <c r="BS658" s="399"/>
      <c r="BT658" s="399"/>
      <c r="BU658" s="399"/>
      <c r="BV658" s="399"/>
      <c r="BW658" s="399"/>
      <c r="BX658" s="399"/>
      <c r="BY658" s="399"/>
      <c r="BZ658" s="399"/>
      <c r="CA658" s="399"/>
      <c r="CB658" s="399"/>
      <c r="CC658" s="399"/>
      <c r="CD658" s="399"/>
      <c r="CE658" s="399"/>
      <c r="CF658" s="399"/>
      <c r="CG658" s="399"/>
      <c r="CH658" s="399"/>
      <c r="CI658" s="399"/>
      <c r="CJ658" s="399"/>
      <c r="CK658" s="399"/>
      <c r="CL658" s="399"/>
      <c r="CM658" s="399"/>
      <c r="CN658" s="399"/>
      <c r="CO658" s="399"/>
      <c r="CP658" s="399"/>
      <c r="CQ658" s="399"/>
      <c r="CR658" s="399"/>
      <c r="CS658" s="399"/>
      <c r="CT658" s="399"/>
      <c r="CU658" s="399"/>
      <c r="CV658" s="399"/>
      <c r="CW658" s="399"/>
      <c r="CX658" s="399"/>
      <c r="CY658" s="399"/>
      <c r="CZ658" s="399"/>
      <c r="DA658" s="399"/>
      <c r="DB658" s="399"/>
      <c r="DC658" s="399"/>
      <c r="DD658" s="399"/>
      <c r="DE658" s="399"/>
      <c r="DF658" s="399"/>
      <c r="DG658" s="399"/>
      <c r="DH658" s="399"/>
      <c r="DI658" s="399"/>
      <c r="DJ658" s="399"/>
      <c r="DK658" s="399"/>
      <c r="DL658" s="399"/>
      <c r="DM658" s="399"/>
      <c r="DN658" s="399"/>
      <c r="DO658" s="399"/>
      <c r="DP658" s="399"/>
      <c r="DQ658" s="399"/>
    </row>
    <row r="659" spans="1:121" s="760" customFormat="1" ht="15" customHeight="1" x14ac:dyDescent="0.25">
      <c r="A659" s="266">
        <f t="shared" si="10"/>
        <v>41.966666666666669</v>
      </c>
      <c r="B659" s="389">
        <v>41597</v>
      </c>
      <c r="C659" s="390" t="s">
        <v>904</v>
      </c>
      <c r="D659" s="390" t="s">
        <v>459</v>
      </c>
      <c r="E659" s="390" t="s">
        <v>380</v>
      </c>
      <c r="F659" s="390" t="s">
        <v>310</v>
      </c>
      <c r="G659" s="390" t="s">
        <v>322</v>
      </c>
      <c r="H659" s="261"/>
      <c r="I659" s="261"/>
      <c r="J659" s="261"/>
      <c r="K659" s="261"/>
      <c r="L659" s="261"/>
      <c r="M659" s="261"/>
      <c r="N659" s="261"/>
      <c r="O659" s="261"/>
      <c r="P659" s="261"/>
      <c r="Q659" s="261"/>
      <c r="R659" s="261">
        <v>613</v>
      </c>
      <c r="S659" s="261">
        <v>1226</v>
      </c>
      <c r="T659" s="261">
        <v>3678</v>
      </c>
      <c r="U659" s="261">
        <v>1839</v>
      </c>
      <c r="V659" s="762"/>
      <c r="W659" s="762"/>
      <c r="X659" s="762"/>
      <c r="Y659" s="264">
        <f>IF(NFI_Expiration=1,IF($A659&lt;VLOOKUP(H$5,NFI,5,0),1,0)*Table_NFI[[#This Row],[Hygiene Kit]],Table_NFI[Hygiene Kit])</f>
        <v>0</v>
      </c>
      <c r="Z659" s="264">
        <f>IF(NFI_Expiration=1,IF($A659&lt;VLOOKUP(I$5,NFI,5,0),1,0)*Table_NFI[[#This Row],[NFI Core Kit]],Table_NFI[NFI Core Kit])</f>
        <v>0</v>
      </c>
      <c r="AA659" s="264">
        <f>IF(NFI_Expiration=1,IF($A659&lt;VLOOKUP(J$5,NFI,5,0),1,0)*Table_NFI[[#This Row],[Sanitary Kit]],Table_NFI[Sanitary Kit])</f>
        <v>0</v>
      </c>
      <c r="AB659" s="264">
        <f>IF(NFI_Expiration=1,IF($A659&lt;VLOOKUP(K$5,NFI,5,0),1,0)*Table_NFI[[#This Row],[Mosquito net]],Table_NFI[Mosquito net])</f>
        <v>0</v>
      </c>
      <c r="AC659" s="264">
        <f>IF(NFI_Expiration=1,IF($A659&lt;VLOOKUP(L$5,NFI,5,0),1,0)*Table_NFI[[#This Row],[Tarpaulin]],Table_NFI[[#This Row],[Tarpaulin]])</f>
        <v>0</v>
      </c>
      <c r="AD659" s="264">
        <f>IF(NFI_Expiration=1,IF($A659&lt;VLOOKUP(M$5,NFI,5,0),1,0)*Table_NFI[[#This Row],[Blanket]],Table_NFI[[#This Row],[Blanket]])</f>
        <v>0</v>
      </c>
      <c r="AE659" s="264">
        <f>IF(NFI_Expiration=1,IF($A659&lt;VLOOKUP(N$5,NFI,5,0),1,0)*Table_NFI[[#This Row],[Kitchen Set]],Table_NFI[Kitchen Set])</f>
        <v>0</v>
      </c>
      <c r="AF659" s="264">
        <f>IF(NFI_Expiration=1,IF($A659&lt;VLOOKUP(O$5,NFI,5,0),1,0)*Table_NFI[[#This Row],[Clothes Kit]],Table_NFI[Clothes Kit])</f>
        <v>0</v>
      </c>
      <c r="AG659" s="264">
        <f>IF(NFI_Expiration=1,IF($A659&lt;VLOOKUP(P$5,NFI,5,0),1,0)*Table_NFI[[#This Row],[Plastic Bucket]],Table_NFI[Plastic Bucket])</f>
        <v>0</v>
      </c>
      <c r="AH659" s="264">
        <f>IF(NFI_Expiration=1,IF($A659&lt;VLOOKUP(Q$5,NFI,5,0),1,0)*Table_NFI[[#This Row],[Plastic Mat]],Table_NFI[Plastic Mat])*IF(Table_NFI[[#This Row],[Distribution Date]]&gt;"2014-04-01",1,2.5)</f>
        <v>0</v>
      </c>
      <c r="AI659" s="264">
        <f>IF(NFI_Expiration=1,IF($A659&lt;VLOOKUP(R$5,NFI,5,0),1,0)*Table_NFI[[#This Row],[Winter Clothes Adult]],Table_NFI[Winter Clothes Adult])</f>
        <v>0</v>
      </c>
      <c r="AJ659" s="264">
        <f>IF(NFI_Expiration=1,IF($A659&lt;VLOOKUP(S$5,NFI,5,0),1,0)*Table_NFI[[#This Row],[Winter Clothes Children]],Table_NFI[Winter Clothes Children])</f>
        <v>0</v>
      </c>
      <c r="AK659" s="264">
        <f>IF(NFI_Expiration=1,IF($A659&lt;VLOOKUP(T$5,NFI,5,0),1,0)*Table_NFI[[#This Row],[Winter Items Other]],Table_NFI[Winter Items Other])</f>
        <v>0</v>
      </c>
      <c r="AL659" s="264">
        <f>IF(NFI_Expiration=1,IF($A659&lt;VLOOKUP(M$5,NFI,5,0),1,0)*Table_NFI[[#This Row],[Winter Blanket]],Table_NFI[[#This Row],[Winter Blanket]])</f>
        <v>0</v>
      </c>
      <c r="AM659" s="264">
        <f>IF(Table_NFI[[#This Row],[Winter Clothes Adult]]+Table_NFI[[#This Row],[Winter Clothes Children]]+Table_NFI[[#This Row],[Winter Items Other]]+Table_NFI[[#This Row],[Winter Blanket]]&gt;0,1,0)</f>
        <v>1</v>
      </c>
      <c r="AN659" s="296">
        <f>IF(NFI_Expiration=1,IF($A659&lt;VLOOKUP(V$5,NFI,5,0),1,0)*Table_NFI[[#This Row],[Jerry Can]],Table_NFI[Jerry Can])</f>
        <v>0</v>
      </c>
      <c r="AO659" s="296">
        <f>IF(NFI_Expiration=1,IF($A659&lt;VLOOKUP(V$5,NFI,5,0),1,0)*Table_NFI[[#This Row],[Shelter Tool kit]],Table_NFI[Shelter Tool kit])</f>
        <v>0</v>
      </c>
      <c r="AP659" s="296">
        <f>IF(NFI_Expiration=1,IF($A659&lt;VLOOKUP(V$5,NFI,5,0),1,0)*Table_NFI[[#This Row],[Tent]],Table_NFI[Tent])</f>
        <v>0</v>
      </c>
      <c r="AQ659" s="396" t="str">
        <f>IFERROR(VLOOKUP(Table_NFI[[#This Row],[Camp Name]],CL,2,0),"")</f>
        <v>MMR001CMP119</v>
      </c>
      <c r="AR659" s="702">
        <f ca="1">IF(Table_NFI[[#This Row],[Pcode]]="","",IF(OFFSET(CampList[Opening Date],MATCH(Table_NFI[[#This Row],[Pcode]],CampList[CP_Pcode],0)-1,0,1,1)&gt;=NFI_Monitor_Date,1,0))</f>
        <v>0</v>
      </c>
      <c r="AS659" s="396" t="str">
        <f>IFERROR(VLOOKUP(Table_NFI[[#This Row],[Camp Name]],CL,3,0),"")</f>
        <v>Open</v>
      </c>
      <c r="AT659" s="264" t="str">
        <f ca="1">IF(Table_NFI[[#This Row],[Pcode]]="","",OFFSET(CampList[Priority],MATCH(Table_NFI[[#This Row],[Pcode]],CampList[CP_Pcode],0)-1,0,1,1))</f>
        <v>P2</v>
      </c>
      <c r="AU659" s="263">
        <f>IFERROR(Table_NFI[[#This Row],[Kitchen Set]]/VLOOKUP(Table_NFI[[#This Row],[Camp Name]],CL,4,0),"")</f>
        <v>0</v>
      </c>
      <c r="AV659" s="390"/>
      <c r="AW659" s="392"/>
      <c r="AX659" s="399"/>
      <c r="AY659" s="399"/>
      <c r="AZ659" s="399"/>
      <c r="BA659" s="399"/>
      <c r="BB659" s="399"/>
      <c r="BC659" s="399"/>
      <c r="BD659" s="399"/>
      <c r="BE659" s="399"/>
      <c r="BF659" s="399"/>
      <c r="BG659" s="399"/>
      <c r="BH659" s="399"/>
      <c r="BI659" s="399"/>
      <c r="BJ659" s="399"/>
      <c r="BK659" s="399"/>
      <c r="BL659" s="399"/>
      <c r="BM659" s="399"/>
      <c r="BN659" s="399"/>
      <c r="BO659" s="399"/>
      <c r="BP659" s="399"/>
      <c r="BQ659" s="399"/>
      <c r="BR659" s="399"/>
      <c r="BS659" s="399"/>
      <c r="BT659" s="399"/>
      <c r="BU659" s="399"/>
      <c r="BV659" s="399"/>
      <c r="BW659" s="399"/>
      <c r="BX659" s="399"/>
      <c r="BY659" s="399"/>
      <c r="BZ659" s="399"/>
      <c r="CA659" s="399"/>
      <c r="CB659" s="399"/>
      <c r="CC659" s="399"/>
      <c r="CD659" s="399"/>
      <c r="CE659" s="399"/>
      <c r="CF659" s="399"/>
      <c r="CG659" s="399"/>
      <c r="CH659" s="399"/>
      <c r="CI659" s="399"/>
      <c r="CJ659" s="399"/>
      <c r="CK659" s="399"/>
      <c r="CL659" s="399"/>
      <c r="CM659" s="399"/>
      <c r="CN659" s="399"/>
      <c r="CO659" s="399"/>
      <c r="CP659" s="399"/>
      <c r="CQ659" s="399"/>
      <c r="CR659" s="399"/>
      <c r="CS659" s="399"/>
      <c r="CT659" s="399"/>
      <c r="CU659" s="399"/>
      <c r="CV659" s="399"/>
      <c r="CW659" s="399"/>
      <c r="CX659" s="399"/>
      <c r="CY659" s="399"/>
      <c r="CZ659" s="399"/>
      <c r="DA659" s="399"/>
      <c r="DB659" s="399"/>
      <c r="DC659" s="399"/>
      <c r="DD659" s="399"/>
      <c r="DE659" s="399"/>
      <c r="DF659" s="399"/>
      <c r="DG659" s="399"/>
      <c r="DH659" s="399"/>
      <c r="DI659" s="399"/>
      <c r="DJ659" s="399"/>
      <c r="DK659" s="399"/>
      <c r="DL659" s="399"/>
      <c r="DM659" s="399"/>
      <c r="DN659" s="399"/>
      <c r="DO659" s="399"/>
      <c r="DP659" s="399"/>
      <c r="DQ659" s="399"/>
    </row>
    <row r="660" spans="1:121" s="760" customFormat="1" ht="15" customHeight="1" x14ac:dyDescent="0.25">
      <c r="A660" s="266">
        <f t="shared" si="10"/>
        <v>41.966666666666669</v>
      </c>
      <c r="B660" s="389">
        <v>41597</v>
      </c>
      <c r="C660" s="391" t="s">
        <v>451</v>
      </c>
      <c r="D660" s="391" t="s">
        <v>451</v>
      </c>
      <c r="E660" s="390" t="s">
        <v>380</v>
      </c>
      <c r="F660" s="390" t="s">
        <v>5</v>
      </c>
      <c r="G660" s="262" t="s">
        <v>22</v>
      </c>
      <c r="H660" s="261"/>
      <c r="I660" s="261"/>
      <c r="J660" s="261">
        <v>40</v>
      </c>
      <c r="K660" s="261">
        <v>38</v>
      </c>
      <c r="L660" s="261">
        <v>20</v>
      </c>
      <c r="M660" s="261">
        <v>38</v>
      </c>
      <c r="N660" s="261">
        <v>20</v>
      </c>
      <c r="O660" s="261">
        <v>20</v>
      </c>
      <c r="P660" s="261"/>
      <c r="Q660" s="261"/>
      <c r="R660" s="261"/>
      <c r="S660" s="261"/>
      <c r="T660" s="261"/>
      <c r="U660" s="261"/>
      <c r="V660" s="762"/>
      <c r="W660" s="261"/>
      <c r="X660" s="261"/>
      <c r="Y660" s="264">
        <f>IF(NFI_Expiration=1,IF($A660&lt;VLOOKUP(H$5,NFI,5,0),1,0)*Table_NFI[[#This Row],[Hygiene Kit]],Table_NFI[Hygiene Kit])</f>
        <v>0</v>
      </c>
      <c r="Z660" s="264">
        <f>IF(NFI_Expiration=1,IF($A660&lt;VLOOKUP(I$5,NFI,5,0),1,0)*Table_NFI[[#This Row],[NFI Core Kit]],Table_NFI[NFI Core Kit])</f>
        <v>0</v>
      </c>
      <c r="AA660" s="264">
        <f>IF(NFI_Expiration=1,IF($A660&lt;VLOOKUP(J$5,NFI,5,0),1,0)*Table_NFI[[#This Row],[Sanitary Kit]],Table_NFI[Sanitary Kit])</f>
        <v>0</v>
      </c>
      <c r="AB660" s="264">
        <f>IF(NFI_Expiration=1,IF($A660&lt;VLOOKUP(K$5,NFI,5,0),1,0)*Table_NFI[[#This Row],[Mosquito net]],Table_NFI[Mosquito net])</f>
        <v>0</v>
      </c>
      <c r="AC660" s="264">
        <f>IF(NFI_Expiration=1,IF($A660&lt;VLOOKUP(L$5,NFI,5,0),1,0)*Table_NFI[[#This Row],[Tarpaulin]],Table_NFI[[#This Row],[Tarpaulin]])</f>
        <v>0</v>
      </c>
      <c r="AD660" s="264">
        <f>IF(NFI_Expiration=1,IF($A660&lt;VLOOKUP(M$5,NFI,5,0),1,0)*Table_NFI[[#This Row],[Blanket]],Table_NFI[[#This Row],[Blanket]])</f>
        <v>0</v>
      </c>
      <c r="AE660" s="264">
        <f>IF(NFI_Expiration=1,IF($A660&lt;VLOOKUP(N$5,NFI,5,0),1,0)*Table_NFI[[#This Row],[Kitchen Set]],Table_NFI[Kitchen Set])</f>
        <v>0</v>
      </c>
      <c r="AF660" s="264">
        <f>IF(NFI_Expiration=1,IF($A660&lt;VLOOKUP(O$5,NFI,5,0),1,0)*Table_NFI[[#This Row],[Clothes Kit]],Table_NFI[Clothes Kit])</f>
        <v>0</v>
      </c>
      <c r="AG660" s="264">
        <f>IF(NFI_Expiration=1,IF($A660&lt;VLOOKUP(P$5,NFI,5,0),1,0)*Table_NFI[[#This Row],[Plastic Bucket]],Table_NFI[Plastic Bucket])</f>
        <v>0</v>
      </c>
      <c r="AH660" s="264">
        <f>IF(NFI_Expiration=1,IF($A660&lt;VLOOKUP(Q$5,NFI,5,0),1,0)*Table_NFI[[#This Row],[Plastic Mat]],Table_NFI[Plastic Mat])*IF(Table_NFI[[#This Row],[Distribution Date]]&gt;"2014-04-01",1,2.5)</f>
        <v>0</v>
      </c>
      <c r="AI660" s="264">
        <f>IF(NFI_Expiration=1,IF($A660&lt;VLOOKUP(R$5,NFI,5,0),1,0)*Table_NFI[[#This Row],[Winter Clothes Adult]],Table_NFI[Winter Clothes Adult])</f>
        <v>0</v>
      </c>
      <c r="AJ660" s="264">
        <f>IF(NFI_Expiration=1,IF($A660&lt;VLOOKUP(S$5,NFI,5,0),1,0)*Table_NFI[[#This Row],[Winter Clothes Children]],Table_NFI[Winter Clothes Children])</f>
        <v>0</v>
      </c>
      <c r="AK660" s="264">
        <f>IF(NFI_Expiration=1,IF($A660&lt;VLOOKUP(T$5,NFI,5,0),1,0)*Table_NFI[[#This Row],[Winter Items Other]],Table_NFI[Winter Items Other])</f>
        <v>0</v>
      </c>
      <c r="AL660" s="264">
        <f>IF(NFI_Expiration=1,IF($A660&lt;VLOOKUP(M$5,NFI,5,0),1,0)*Table_NFI[[#This Row],[Winter Blanket]],Table_NFI[[#This Row],[Winter Blanket]])</f>
        <v>0</v>
      </c>
      <c r="AM660" s="264">
        <f>IF(Table_NFI[[#This Row],[Winter Clothes Adult]]+Table_NFI[[#This Row],[Winter Clothes Children]]+Table_NFI[[#This Row],[Winter Items Other]]+Table_NFI[[#This Row],[Winter Blanket]]&gt;0,1,0)</f>
        <v>0</v>
      </c>
      <c r="AN660" s="296">
        <f>IF(NFI_Expiration=1,IF($A660&lt;VLOOKUP(V$5,NFI,5,0),1,0)*Table_NFI[[#This Row],[Jerry Can]],Table_NFI[Jerry Can])</f>
        <v>0</v>
      </c>
      <c r="AO660" s="296">
        <f>IF(NFI_Expiration=1,IF($A660&lt;VLOOKUP(V$5,NFI,5,0),1,0)*Table_NFI[[#This Row],[Shelter Tool kit]],Table_NFI[Shelter Tool kit])</f>
        <v>0</v>
      </c>
      <c r="AP660" s="296">
        <f>IF(NFI_Expiration=1,IF($A660&lt;VLOOKUP(V$5,NFI,5,0),1,0)*Table_NFI[[#This Row],[Tent]],Table_NFI[Tent])</f>
        <v>0</v>
      </c>
      <c r="AQ660" s="396" t="str">
        <f>IFERROR(VLOOKUP(Table_NFI[[#This Row],[Camp Name]],CL,2,0),"")</f>
        <v>MMR001CMP047</v>
      </c>
      <c r="AR660" s="702">
        <f ca="1">IF(Table_NFI[[#This Row],[Pcode]]="","",IF(OFFSET(CampList[Opening Date],MATCH(Table_NFI[[#This Row],[Pcode]],CampList[CP_Pcode],0)-1,0,1,1)&gt;=NFI_Monitor_Date,1,0))</f>
        <v>0</v>
      </c>
      <c r="AS660" s="396" t="str">
        <f>IFERROR(VLOOKUP(Table_NFI[[#This Row],[Camp Name]],CL,3,0),"")</f>
        <v>Open</v>
      </c>
      <c r="AT660" s="264" t="str">
        <f ca="1">IF(Table_NFI[[#This Row],[Pcode]]="","",OFFSET(CampList[Priority],MATCH(Table_NFI[[#This Row],[Pcode]],CampList[CP_Pcode],0)-1,0,1,1))</f>
        <v>P4</v>
      </c>
      <c r="AU660" s="263">
        <f>IFERROR(Table_NFI[[#This Row],[Kitchen Set]]/VLOOKUP(Table_NFI[[#This Row],[Camp Name]],CL,4,0),"")</f>
        <v>4.9109883364027013E-4</v>
      </c>
      <c r="AV660" s="390" t="s">
        <v>1087</v>
      </c>
      <c r="AW660" s="392"/>
      <c r="AX660" s="399"/>
      <c r="AY660" s="399"/>
      <c r="AZ660" s="399"/>
      <c r="BA660" s="399"/>
      <c r="BB660" s="399"/>
      <c r="BC660" s="399"/>
      <c r="BD660" s="399"/>
      <c r="BE660" s="399"/>
      <c r="BF660" s="399"/>
      <c r="BG660" s="399"/>
      <c r="BH660" s="399"/>
      <c r="BI660" s="399"/>
      <c r="BJ660" s="399"/>
      <c r="BK660" s="399"/>
      <c r="BL660" s="399"/>
      <c r="BM660" s="399"/>
      <c r="BN660" s="399"/>
      <c r="BO660" s="399"/>
      <c r="BP660" s="399"/>
      <c r="BQ660" s="399"/>
      <c r="BR660" s="399"/>
      <c r="BS660" s="399"/>
      <c r="BT660" s="399"/>
      <c r="BU660" s="399"/>
      <c r="BV660" s="399"/>
      <c r="BW660" s="399"/>
      <c r="BX660" s="399"/>
      <c r="BY660" s="399"/>
      <c r="BZ660" s="399"/>
      <c r="CA660" s="399"/>
      <c r="CB660" s="399"/>
      <c r="CC660" s="399"/>
      <c r="CD660" s="399"/>
      <c r="CE660" s="399"/>
      <c r="CF660" s="399"/>
      <c r="CG660" s="399"/>
      <c r="CH660" s="399"/>
      <c r="CI660" s="399"/>
      <c r="CJ660" s="399"/>
      <c r="CK660" s="399"/>
      <c r="CL660" s="399"/>
      <c r="CM660" s="399"/>
      <c r="CN660" s="399"/>
      <c r="CO660" s="399"/>
      <c r="CP660" s="399"/>
      <c r="CQ660" s="399"/>
      <c r="CR660" s="399"/>
      <c r="CS660" s="399"/>
      <c r="CT660" s="399"/>
      <c r="CU660" s="399"/>
      <c r="CV660" s="399"/>
      <c r="CW660" s="399"/>
      <c r="CX660" s="399"/>
      <c r="CY660" s="399"/>
      <c r="CZ660" s="399"/>
      <c r="DA660" s="399"/>
      <c r="DB660" s="399"/>
      <c r="DC660" s="399"/>
      <c r="DD660" s="399"/>
      <c r="DE660" s="399"/>
      <c r="DF660" s="399"/>
      <c r="DG660" s="399"/>
      <c r="DH660" s="399"/>
      <c r="DI660" s="399"/>
      <c r="DJ660" s="399"/>
      <c r="DK660" s="399"/>
      <c r="DL660" s="399"/>
      <c r="DM660" s="399"/>
      <c r="DN660" s="399"/>
      <c r="DO660" s="399"/>
      <c r="DP660" s="399"/>
      <c r="DQ660" s="399"/>
    </row>
    <row r="661" spans="1:121" ht="14.45" customHeight="1" x14ac:dyDescent="0.25">
      <c r="A661" s="266">
        <f t="shared" si="10"/>
        <v>41.966666666666669</v>
      </c>
      <c r="B661" s="389">
        <v>41597</v>
      </c>
      <c r="C661" s="391" t="s">
        <v>451</v>
      </c>
      <c r="D661" s="391" t="s">
        <v>451</v>
      </c>
      <c r="E661" s="390" t="s">
        <v>380</v>
      </c>
      <c r="F661" s="390" t="s">
        <v>5</v>
      </c>
      <c r="G661" s="262" t="s">
        <v>868</v>
      </c>
      <c r="H661" s="261"/>
      <c r="I661" s="261"/>
      <c r="J661" s="261"/>
      <c r="K661" s="261">
        <v>13</v>
      </c>
      <c r="L661" s="261">
        <v>9</v>
      </c>
      <c r="M661" s="261">
        <v>13</v>
      </c>
      <c r="N661" s="261">
        <v>9</v>
      </c>
      <c r="O661" s="261">
        <v>9</v>
      </c>
      <c r="P661" s="261"/>
      <c r="Q661" s="261"/>
      <c r="R661" s="261"/>
      <c r="S661" s="261"/>
      <c r="T661" s="261"/>
      <c r="U661" s="261"/>
      <c r="V661" s="762"/>
      <c r="W661" s="261"/>
      <c r="X661" s="261"/>
      <c r="Y661" s="264">
        <f>IF(NFI_Expiration=1,IF($A661&lt;VLOOKUP(H$5,NFI,5,0),1,0)*Table_NFI[[#This Row],[Hygiene Kit]],Table_NFI[Hygiene Kit])</f>
        <v>0</v>
      </c>
      <c r="Z661" s="264">
        <f>IF(NFI_Expiration=1,IF($A661&lt;VLOOKUP(I$5,NFI,5,0),1,0)*Table_NFI[[#This Row],[NFI Core Kit]],Table_NFI[NFI Core Kit])</f>
        <v>0</v>
      </c>
      <c r="AA661" s="264">
        <f>IF(NFI_Expiration=1,IF($A661&lt;VLOOKUP(J$5,NFI,5,0),1,0)*Table_NFI[[#This Row],[Sanitary Kit]],Table_NFI[Sanitary Kit])</f>
        <v>0</v>
      </c>
      <c r="AB661" s="264">
        <f>IF(NFI_Expiration=1,IF($A661&lt;VLOOKUP(K$5,NFI,5,0),1,0)*Table_NFI[[#This Row],[Mosquito net]],Table_NFI[Mosquito net])</f>
        <v>0</v>
      </c>
      <c r="AC661" s="264">
        <f>IF(NFI_Expiration=1,IF($A661&lt;VLOOKUP(L$5,NFI,5,0),1,0)*Table_NFI[[#This Row],[Tarpaulin]],Table_NFI[[#This Row],[Tarpaulin]])</f>
        <v>0</v>
      </c>
      <c r="AD661" s="264">
        <f>IF(NFI_Expiration=1,IF($A661&lt;VLOOKUP(M$5,NFI,5,0),1,0)*Table_NFI[[#This Row],[Blanket]],Table_NFI[[#This Row],[Blanket]])</f>
        <v>0</v>
      </c>
      <c r="AE661" s="264">
        <f>IF(NFI_Expiration=1,IF($A661&lt;VLOOKUP(N$5,NFI,5,0),1,0)*Table_NFI[[#This Row],[Kitchen Set]],Table_NFI[Kitchen Set])</f>
        <v>0</v>
      </c>
      <c r="AF661" s="264">
        <f>IF(NFI_Expiration=1,IF($A661&lt;VLOOKUP(O$5,NFI,5,0),1,0)*Table_NFI[[#This Row],[Clothes Kit]],Table_NFI[Clothes Kit])</f>
        <v>0</v>
      </c>
      <c r="AG661" s="264">
        <f>IF(NFI_Expiration=1,IF($A661&lt;VLOOKUP(P$5,NFI,5,0),1,0)*Table_NFI[[#This Row],[Plastic Bucket]],Table_NFI[Plastic Bucket])</f>
        <v>0</v>
      </c>
      <c r="AH661" s="264">
        <f>IF(NFI_Expiration=1,IF($A661&lt;VLOOKUP(Q$5,NFI,5,0),1,0)*Table_NFI[[#This Row],[Plastic Mat]],Table_NFI[Plastic Mat])*IF(Table_NFI[[#This Row],[Distribution Date]]&gt;"2014-04-01",1,2.5)</f>
        <v>0</v>
      </c>
      <c r="AI661" s="264">
        <f>IF(NFI_Expiration=1,IF($A661&lt;VLOOKUP(R$5,NFI,5,0),1,0)*Table_NFI[[#This Row],[Winter Clothes Adult]],Table_NFI[Winter Clothes Adult])</f>
        <v>0</v>
      </c>
      <c r="AJ661" s="264">
        <f>IF(NFI_Expiration=1,IF($A661&lt;VLOOKUP(S$5,NFI,5,0),1,0)*Table_NFI[[#This Row],[Winter Clothes Children]],Table_NFI[Winter Clothes Children])</f>
        <v>0</v>
      </c>
      <c r="AK661" s="264">
        <f>IF(NFI_Expiration=1,IF($A661&lt;VLOOKUP(T$5,NFI,5,0),1,0)*Table_NFI[[#This Row],[Winter Items Other]],Table_NFI[Winter Items Other])</f>
        <v>0</v>
      </c>
      <c r="AL661" s="264">
        <f>IF(NFI_Expiration=1,IF($A661&lt;VLOOKUP(M$5,NFI,5,0),1,0)*Table_NFI[[#This Row],[Winter Blanket]],Table_NFI[[#This Row],[Winter Blanket]])</f>
        <v>0</v>
      </c>
      <c r="AM661" s="264">
        <f>IF(Table_NFI[[#This Row],[Winter Clothes Adult]]+Table_NFI[[#This Row],[Winter Clothes Children]]+Table_NFI[[#This Row],[Winter Items Other]]+Table_NFI[[#This Row],[Winter Blanket]]&gt;0,1,0)</f>
        <v>0</v>
      </c>
      <c r="AN661" s="296">
        <f>IF(NFI_Expiration=1,IF($A661&lt;VLOOKUP(V$5,NFI,5,0),1,0)*Table_NFI[[#This Row],[Jerry Can]],Table_NFI[Jerry Can])</f>
        <v>0</v>
      </c>
      <c r="AO661" s="296">
        <f>IF(NFI_Expiration=1,IF($A661&lt;VLOOKUP(V$5,NFI,5,0),1,0)*Table_NFI[[#This Row],[Shelter Tool kit]],Table_NFI[Shelter Tool kit])</f>
        <v>0</v>
      </c>
      <c r="AP661" s="296">
        <f>IF(NFI_Expiration=1,IF($A661&lt;VLOOKUP(V$5,NFI,5,0),1,0)*Table_NFI[[#This Row],[Tent]],Table_NFI[Tent])</f>
        <v>0</v>
      </c>
      <c r="AQ661" s="396" t="str">
        <f>IFERROR(VLOOKUP(Table_NFI[[#This Row],[Camp Name]],CL,2,0),"")</f>
        <v>MMR001CMP211</v>
      </c>
      <c r="AR661" s="702">
        <f ca="1">IF(Table_NFI[[#This Row],[Pcode]]="","",IF(OFFSET(CampList[Opening Date],MATCH(Table_NFI[[#This Row],[Pcode]],CampList[CP_Pcode],0)-1,0,1,1)&gt;=NFI_Monitor_Date,1,0))</f>
        <v>0</v>
      </c>
      <c r="AS661" s="396" t="str">
        <f>IFERROR(VLOOKUP(Table_NFI[[#This Row],[Camp Name]],CL,3,0),"")</f>
        <v>Closed</v>
      </c>
      <c r="AT661" s="264" t="str">
        <f ca="1">IF(Table_NFI[[#This Row],[Pcode]]="","",OFFSET(CampList[Priority],MATCH(Table_NFI[[#This Row],[Pcode]],CampList[CP_Pcode],0)-1,0,1,1))</f>
        <v/>
      </c>
      <c r="AU661" s="263" t="str">
        <f>IFERROR(Table_NFI[[#This Row],[Kitchen Set]]/VLOOKUP(Table_NFI[[#This Row],[Camp Name]],CL,4,0),"")</f>
        <v/>
      </c>
      <c r="AV661" s="390" t="s">
        <v>1087</v>
      </c>
      <c r="AW661" s="392"/>
    </row>
    <row r="662" spans="1:121" ht="14.45" customHeight="1" x14ac:dyDescent="0.25">
      <c r="A662" s="266">
        <f t="shared" si="10"/>
        <v>42</v>
      </c>
      <c r="B662" s="389">
        <v>41596</v>
      </c>
      <c r="C662" s="390" t="s">
        <v>452</v>
      </c>
      <c r="D662" s="390"/>
      <c r="E662" s="390" t="s">
        <v>380</v>
      </c>
      <c r="F662" s="390" t="s">
        <v>185</v>
      </c>
      <c r="G662" s="390" t="s">
        <v>190</v>
      </c>
      <c r="H662" s="261"/>
      <c r="I662" s="261"/>
      <c r="J662" s="261"/>
      <c r="K662" s="261"/>
      <c r="L662" s="261"/>
      <c r="M662" s="261">
        <v>395</v>
      </c>
      <c r="N662" s="261"/>
      <c r="O662" s="261"/>
      <c r="P662" s="261"/>
      <c r="Q662" s="261"/>
      <c r="R662" s="261"/>
      <c r="S662" s="261"/>
      <c r="T662" s="261"/>
      <c r="U662" s="261"/>
      <c r="V662" s="762"/>
      <c r="W662" s="261"/>
      <c r="X662" s="261"/>
      <c r="Y662" s="264">
        <f>IF(NFI_Expiration=1,IF($A662&lt;VLOOKUP(H$5,NFI,5,0),1,0)*Table_NFI[[#This Row],[Hygiene Kit]],Table_NFI[Hygiene Kit])</f>
        <v>0</v>
      </c>
      <c r="Z662" s="264">
        <f>IF(NFI_Expiration=1,IF($A662&lt;VLOOKUP(I$5,NFI,5,0),1,0)*Table_NFI[[#This Row],[NFI Core Kit]],Table_NFI[NFI Core Kit])</f>
        <v>0</v>
      </c>
      <c r="AA662" s="264">
        <f>IF(NFI_Expiration=1,IF($A662&lt;VLOOKUP(J$5,NFI,5,0),1,0)*Table_NFI[[#This Row],[Sanitary Kit]],Table_NFI[Sanitary Kit])</f>
        <v>0</v>
      </c>
      <c r="AB662" s="264">
        <f>IF(NFI_Expiration=1,IF($A662&lt;VLOOKUP(K$5,NFI,5,0),1,0)*Table_NFI[[#This Row],[Mosquito net]],Table_NFI[Mosquito net])</f>
        <v>0</v>
      </c>
      <c r="AC662" s="264">
        <f>IF(NFI_Expiration=1,IF($A662&lt;VLOOKUP(L$5,NFI,5,0),1,0)*Table_NFI[[#This Row],[Tarpaulin]],Table_NFI[[#This Row],[Tarpaulin]])</f>
        <v>0</v>
      </c>
      <c r="AD662" s="264">
        <f>IF(NFI_Expiration=1,IF($A662&lt;VLOOKUP(M$5,NFI,5,0),1,0)*Table_NFI[[#This Row],[Blanket]],Table_NFI[[#This Row],[Blanket]])</f>
        <v>0</v>
      </c>
      <c r="AE662" s="264">
        <f>IF(NFI_Expiration=1,IF($A662&lt;VLOOKUP(N$5,NFI,5,0),1,0)*Table_NFI[[#This Row],[Kitchen Set]],Table_NFI[Kitchen Set])</f>
        <v>0</v>
      </c>
      <c r="AF662" s="264">
        <f>IF(NFI_Expiration=1,IF($A662&lt;VLOOKUP(O$5,NFI,5,0),1,0)*Table_NFI[[#This Row],[Clothes Kit]],Table_NFI[Clothes Kit])</f>
        <v>0</v>
      </c>
      <c r="AG662" s="264">
        <f>IF(NFI_Expiration=1,IF($A662&lt;VLOOKUP(P$5,NFI,5,0),1,0)*Table_NFI[[#This Row],[Plastic Bucket]],Table_NFI[Plastic Bucket])</f>
        <v>0</v>
      </c>
      <c r="AH662" s="264">
        <f>IF(NFI_Expiration=1,IF($A662&lt;VLOOKUP(Q$5,NFI,5,0),1,0)*Table_NFI[[#This Row],[Plastic Mat]],Table_NFI[Plastic Mat])*IF(Table_NFI[[#This Row],[Distribution Date]]&gt;"2014-04-01",1,2.5)</f>
        <v>0</v>
      </c>
      <c r="AI662" s="264">
        <f>IF(NFI_Expiration=1,IF($A662&lt;VLOOKUP(R$5,NFI,5,0),1,0)*Table_NFI[[#This Row],[Winter Clothes Adult]],Table_NFI[Winter Clothes Adult])</f>
        <v>0</v>
      </c>
      <c r="AJ662" s="264">
        <f>IF(NFI_Expiration=1,IF($A662&lt;VLOOKUP(S$5,NFI,5,0),1,0)*Table_NFI[[#This Row],[Winter Clothes Children]],Table_NFI[Winter Clothes Children])</f>
        <v>0</v>
      </c>
      <c r="AK662" s="264">
        <f>IF(NFI_Expiration=1,IF($A662&lt;VLOOKUP(T$5,NFI,5,0),1,0)*Table_NFI[[#This Row],[Winter Items Other]],Table_NFI[Winter Items Other])</f>
        <v>0</v>
      </c>
      <c r="AL662" s="264">
        <f>IF(NFI_Expiration=1,IF($A662&lt;VLOOKUP(M$5,NFI,5,0),1,0)*Table_NFI[[#This Row],[Winter Blanket]],Table_NFI[[#This Row],[Winter Blanket]])</f>
        <v>0</v>
      </c>
      <c r="AM662" s="264">
        <f>IF(Table_NFI[[#This Row],[Winter Clothes Adult]]+Table_NFI[[#This Row],[Winter Clothes Children]]+Table_NFI[[#This Row],[Winter Items Other]]+Table_NFI[[#This Row],[Winter Blanket]]&gt;0,1,0)</f>
        <v>0</v>
      </c>
      <c r="AN662" s="296">
        <f>IF(NFI_Expiration=1,IF($A662&lt;VLOOKUP(V$5,NFI,5,0),1,0)*Table_NFI[[#This Row],[Jerry Can]],Table_NFI[Jerry Can])</f>
        <v>0</v>
      </c>
      <c r="AO662" s="296">
        <f>IF(NFI_Expiration=1,IF($A662&lt;VLOOKUP(V$5,NFI,5,0),1,0)*Table_NFI[[#This Row],[Shelter Tool kit]],Table_NFI[Shelter Tool kit])</f>
        <v>0</v>
      </c>
      <c r="AP662" s="296">
        <f>IF(NFI_Expiration=1,IF($A662&lt;VLOOKUP(V$5,NFI,5,0),1,0)*Table_NFI[[#This Row],[Tent]],Table_NFI[Tent])</f>
        <v>0</v>
      </c>
      <c r="AQ662" s="396" t="str">
        <f>IFERROR(VLOOKUP(Table_NFI[[#This Row],[Camp Name]],CL,2,0),"")</f>
        <v>MMR001CMP070</v>
      </c>
      <c r="AR662" s="702">
        <f ca="1">IF(Table_NFI[[#This Row],[Pcode]]="","",IF(OFFSET(CampList[Opening Date],MATCH(Table_NFI[[#This Row],[Pcode]],CampList[CP_Pcode],0)-1,0,1,1)&gt;=NFI_Monitor_Date,1,0))</f>
        <v>0</v>
      </c>
      <c r="AS662" s="396" t="str">
        <f>IFERROR(VLOOKUP(Table_NFI[[#This Row],[Camp Name]],CL,3,0),"")</f>
        <v>Open</v>
      </c>
      <c r="AT662" s="264" t="str">
        <f ca="1">IF(Table_NFI[[#This Row],[Pcode]]="","",OFFSET(CampList[Priority],MATCH(Table_NFI[[#This Row],[Pcode]],CampList[CP_Pcode],0)-1,0,1,1))</f>
        <v>P3</v>
      </c>
      <c r="AU662" s="263">
        <f>IFERROR(Table_NFI[[#This Row],[Kitchen Set]]/VLOOKUP(Table_NFI[[#This Row],[Camp Name]],CL,4,0),"")</f>
        <v>0</v>
      </c>
      <c r="AV662" s="390" t="s">
        <v>1087</v>
      </c>
      <c r="AW662" s="392"/>
    </row>
    <row r="663" spans="1:121" s="760" customFormat="1" ht="14.45" customHeight="1" x14ac:dyDescent="0.25">
      <c r="A663" s="266">
        <f t="shared" si="10"/>
        <v>42.033333333333331</v>
      </c>
      <c r="B663" s="389">
        <v>41595</v>
      </c>
      <c r="C663" s="390" t="s">
        <v>452</v>
      </c>
      <c r="D663" s="390"/>
      <c r="E663" s="390" t="s">
        <v>380</v>
      </c>
      <c r="F663" s="390" t="s">
        <v>185</v>
      </c>
      <c r="G663" s="390" t="s">
        <v>223</v>
      </c>
      <c r="H663" s="261"/>
      <c r="I663" s="261"/>
      <c r="J663" s="261"/>
      <c r="K663" s="261"/>
      <c r="L663" s="261"/>
      <c r="M663" s="261">
        <v>141</v>
      </c>
      <c r="N663" s="261"/>
      <c r="O663" s="261"/>
      <c r="P663" s="261"/>
      <c r="Q663" s="261"/>
      <c r="R663" s="261"/>
      <c r="S663" s="261"/>
      <c r="T663" s="261"/>
      <c r="U663" s="261"/>
      <c r="V663" s="762"/>
      <c r="W663" s="261"/>
      <c r="X663" s="261"/>
      <c r="Y663" s="264">
        <f>IF(NFI_Expiration=1,IF($A663&lt;VLOOKUP(H$5,NFI,5,0),1,0)*Table_NFI[[#This Row],[Hygiene Kit]],Table_NFI[Hygiene Kit])</f>
        <v>0</v>
      </c>
      <c r="Z663" s="264">
        <f>IF(NFI_Expiration=1,IF($A663&lt;VLOOKUP(I$5,NFI,5,0),1,0)*Table_NFI[[#This Row],[NFI Core Kit]],Table_NFI[NFI Core Kit])</f>
        <v>0</v>
      </c>
      <c r="AA663" s="264">
        <f>IF(NFI_Expiration=1,IF($A663&lt;VLOOKUP(J$5,NFI,5,0),1,0)*Table_NFI[[#This Row],[Sanitary Kit]],Table_NFI[Sanitary Kit])</f>
        <v>0</v>
      </c>
      <c r="AB663" s="264">
        <f>IF(NFI_Expiration=1,IF($A663&lt;VLOOKUP(K$5,NFI,5,0),1,0)*Table_NFI[[#This Row],[Mosquito net]],Table_NFI[Mosquito net])</f>
        <v>0</v>
      </c>
      <c r="AC663" s="264">
        <f>IF(NFI_Expiration=1,IF($A663&lt;VLOOKUP(L$5,NFI,5,0),1,0)*Table_NFI[[#This Row],[Tarpaulin]],Table_NFI[[#This Row],[Tarpaulin]])</f>
        <v>0</v>
      </c>
      <c r="AD663" s="264">
        <f>IF(NFI_Expiration=1,IF($A663&lt;VLOOKUP(M$5,NFI,5,0),1,0)*Table_NFI[[#This Row],[Blanket]],Table_NFI[[#This Row],[Blanket]])</f>
        <v>0</v>
      </c>
      <c r="AE663" s="264">
        <f>IF(NFI_Expiration=1,IF($A663&lt;VLOOKUP(N$5,NFI,5,0),1,0)*Table_NFI[[#This Row],[Kitchen Set]],Table_NFI[Kitchen Set])</f>
        <v>0</v>
      </c>
      <c r="AF663" s="264">
        <f>IF(NFI_Expiration=1,IF($A663&lt;VLOOKUP(O$5,NFI,5,0),1,0)*Table_NFI[[#This Row],[Clothes Kit]],Table_NFI[Clothes Kit])</f>
        <v>0</v>
      </c>
      <c r="AG663" s="264">
        <f>IF(NFI_Expiration=1,IF($A663&lt;VLOOKUP(P$5,NFI,5,0),1,0)*Table_NFI[[#This Row],[Plastic Bucket]],Table_NFI[Plastic Bucket])</f>
        <v>0</v>
      </c>
      <c r="AH663" s="264">
        <f>IF(NFI_Expiration=1,IF($A663&lt;VLOOKUP(Q$5,NFI,5,0),1,0)*Table_NFI[[#This Row],[Plastic Mat]],Table_NFI[Plastic Mat])*IF(Table_NFI[[#This Row],[Distribution Date]]&gt;"2014-04-01",1,2.5)</f>
        <v>0</v>
      </c>
      <c r="AI663" s="264">
        <f>IF(NFI_Expiration=1,IF($A663&lt;VLOOKUP(R$5,NFI,5,0),1,0)*Table_NFI[[#This Row],[Winter Clothes Adult]],Table_NFI[Winter Clothes Adult])</f>
        <v>0</v>
      </c>
      <c r="AJ663" s="264">
        <f>IF(NFI_Expiration=1,IF($A663&lt;VLOOKUP(S$5,NFI,5,0),1,0)*Table_NFI[[#This Row],[Winter Clothes Children]],Table_NFI[Winter Clothes Children])</f>
        <v>0</v>
      </c>
      <c r="AK663" s="264">
        <f>IF(NFI_Expiration=1,IF($A663&lt;VLOOKUP(T$5,NFI,5,0),1,0)*Table_NFI[[#This Row],[Winter Items Other]],Table_NFI[Winter Items Other])</f>
        <v>0</v>
      </c>
      <c r="AL663" s="264">
        <f>IF(NFI_Expiration=1,IF($A663&lt;VLOOKUP(M$5,NFI,5,0),1,0)*Table_NFI[[#This Row],[Winter Blanket]],Table_NFI[[#This Row],[Winter Blanket]])</f>
        <v>0</v>
      </c>
      <c r="AM663" s="264">
        <f>IF(Table_NFI[[#This Row],[Winter Clothes Adult]]+Table_NFI[[#This Row],[Winter Clothes Children]]+Table_NFI[[#This Row],[Winter Items Other]]+Table_NFI[[#This Row],[Winter Blanket]]&gt;0,1,0)</f>
        <v>0</v>
      </c>
      <c r="AN663" s="296">
        <f>IF(NFI_Expiration=1,IF($A663&lt;VLOOKUP(V$5,NFI,5,0),1,0)*Table_NFI[[#This Row],[Jerry Can]],Table_NFI[Jerry Can])</f>
        <v>0</v>
      </c>
      <c r="AO663" s="296">
        <f>IF(NFI_Expiration=1,IF($A663&lt;VLOOKUP(V$5,NFI,5,0),1,0)*Table_NFI[[#This Row],[Shelter Tool kit]],Table_NFI[Shelter Tool kit])</f>
        <v>0</v>
      </c>
      <c r="AP663" s="296">
        <f>IF(NFI_Expiration=1,IF($A663&lt;VLOOKUP(V$5,NFI,5,0),1,0)*Table_NFI[[#This Row],[Tent]],Table_NFI[Tent])</f>
        <v>0</v>
      </c>
      <c r="AQ663" s="396" t="str">
        <f>IFERROR(VLOOKUP(Table_NFI[[#This Row],[Camp Name]],CL,2,0),"")</f>
        <v>MMR001CMP069</v>
      </c>
      <c r="AR663" s="702">
        <f ca="1">IF(Table_NFI[[#This Row],[Pcode]]="","",IF(OFFSET(CampList[Opening Date],MATCH(Table_NFI[[#This Row],[Pcode]],CampList[CP_Pcode],0)-1,0,1,1)&gt;=NFI_Monitor_Date,1,0))</f>
        <v>0</v>
      </c>
      <c r="AS663" s="396" t="str">
        <f>IFERROR(VLOOKUP(Table_NFI[[#This Row],[Camp Name]],CL,3,0),"")</f>
        <v>Open</v>
      </c>
      <c r="AT663" s="264" t="str">
        <f ca="1">IF(Table_NFI[[#This Row],[Pcode]]="","",OFFSET(CampList[Priority],MATCH(Table_NFI[[#This Row],[Pcode]],CampList[CP_Pcode],0)-1,0,1,1))</f>
        <v>P3</v>
      </c>
      <c r="AU663" s="263">
        <f>IFERROR(Table_NFI[[#This Row],[Kitchen Set]]/VLOOKUP(Table_NFI[[#This Row],[Camp Name]],CL,4,0),"")</f>
        <v>0</v>
      </c>
      <c r="AV663" s="390" t="s">
        <v>1087</v>
      </c>
      <c r="AW663" s="392"/>
      <c r="AX663" s="399"/>
      <c r="AY663" s="399"/>
      <c r="AZ663" s="399"/>
      <c r="BA663" s="399"/>
      <c r="BB663" s="399"/>
      <c r="BC663" s="399"/>
      <c r="BD663" s="399"/>
      <c r="BE663" s="399"/>
      <c r="BF663" s="399"/>
      <c r="BG663" s="399"/>
      <c r="BH663" s="399"/>
      <c r="BI663" s="399"/>
      <c r="BJ663" s="399"/>
      <c r="BK663" s="399"/>
      <c r="BL663" s="399"/>
      <c r="BM663" s="399"/>
      <c r="BN663" s="399"/>
      <c r="BO663" s="399"/>
      <c r="BP663" s="399"/>
      <c r="BQ663" s="399"/>
      <c r="BR663" s="399"/>
      <c r="BS663" s="399"/>
      <c r="BT663" s="399"/>
      <c r="BU663" s="399"/>
      <c r="BV663" s="399"/>
      <c r="BW663" s="399"/>
      <c r="BX663" s="399"/>
      <c r="BY663" s="399"/>
      <c r="BZ663" s="399"/>
      <c r="CA663" s="399"/>
      <c r="CB663" s="399"/>
      <c r="CC663" s="399"/>
      <c r="CD663" s="399"/>
      <c r="CE663" s="399"/>
      <c r="CF663" s="399"/>
      <c r="CG663" s="399"/>
      <c r="CH663" s="399"/>
      <c r="CI663" s="399"/>
      <c r="CJ663" s="399"/>
      <c r="CK663" s="399"/>
      <c r="CL663" s="399"/>
      <c r="CM663" s="399"/>
      <c r="CN663" s="399"/>
      <c r="CO663" s="399"/>
      <c r="CP663" s="399"/>
      <c r="CQ663" s="399"/>
      <c r="CR663" s="399"/>
      <c r="CS663" s="399"/>
      <c r="CT663" s="399"/>
      <c r="CU663" s="399"/>
      <c r="CV663" s="399"/>
      <c r="CW663" s="399"/>
      <c r="CX663" s="399"/>
      <c r="CY663" s="399"/>
      <c r="CZ663" s="399"/>
      <c r="DA663" s="399"/>
      <c r="DB663" s="399"/>
      <c r="DC663" s="399"/>
      <c r="DD663" s="399"/>
      <c r="DE663" s="399"/>
      <c r="DF663" s="399"/>
      <c r="DG663" s="399"/>
      <c r="DH663" s="399"/>
      <c r="DI663" s="399"/>
      <c r="DJ663" s="399"/>
      <c r="DK663" s="399"/>
      <c r="DL663" s="399"/>
      <c r="DM663" s="399"/>
      <c r="DN663" s="399"/>
      <c r="DO663" s="399"/>
      <c r="DP663" s="399"/>
      <c r="DQ663" s="399"/>
    </row>
    <row r="664" spans="1:121" s="760" customFormat="1" ht="14.45" customHeight="1" x14ac:dyDescent="0.25">
      <c r="A664" s="266">
        <f t="shared" si="10"/>
        <v>42.033333333333331</v>
      </c>
      <c r="B664" s="389">
        <v>41595</v>
      </c>
      <c r="C664" s="391" t="s">
        <v>451</v>
      </c>
      <c r="D664" s="391" t="s">
        <v>572</v>
      </c>
      <c r="E664" s="390" t="s">
        <v>380</v>
      </c>
      <c r="F664" s="262" t="s">
        <v>151</v>
      </c>
      <c r="G664" s="262" t="s">
        <v>154</v>
      </c>
      <c r="H664" s="261"/>
      <c r="I664" s="261"/>
      <c r="J664" s="261"/>
      <c r="K664" s="261">
        <v>700</v>
      </c>
      <c r="L664" s="261">
        <v>350</v>
      </c>
      <c r="M664" s="261">
        <v>700</v>
      </c>
      <c r="N664" s="261">
        <v>350</v>
      </c>
      <c r="O664" s="261">
        <v>350</v>
      </c>
      <c r="P664" s="261"/>
      <c r="Q664" s="261"/>
      <c r="R664" s="261"/>
      <c r="S664" s="261"/>
      <c r="T664" s="261"/>
      <c r="U664" s="261"/>
      <c r="V664" s="762"/>
      <c r="W664" s="261"/>
      <c r="X664" s="261"/>
      <c r="Y664" s="264">
        <f>IF(NFI_Expiration=1,IF($A664&lt;VLOOKUP(H$5,NFI,5,0),1,0)*Table_NFI[[#This Row],[Hygiene Kit]],Table_NFI[Hygiene Kit])</f>
        <v>0</v>
      </c>
      <c r="Z664" s="264">
        <f>IF(NFI_Expiration=1,IF($A664&lt;VLOOKUP(I$5,NFI,5,0),1,0)*Table_NFI[[#This Row],[NFI Core Kit]],Table_NFI[NFI Core Kit])</f>
        <v>0</v>
      </c>
      <c r="AA664" s="264">
        <f>IF(NFI_Expiration=1,IF($A664&lt;VLOOKUP(J$5,NFI,5,0),1,0)*Table_NFI[[#This Row],[Sanitary Kit]],Table_NFI[Sanitary Kit])</f>
        <v>0</v>
      </c>
      <c r="AB664" s="264">
        <f>IF(NFI_Expiration=1,IF($A664&lt;VLOOKUP(K$5,NFI,5,0),1,0)*Table_NFI[[#This Row],[Mosquito net]],Table_NFI[Mosquito net])</f>
        <v>0</v>
      </c>
      <c r="AC664" s="264">
        <f>IF(NFI_Expiration=1,IF($A664&lt;VLOOKUP(L$5,NFI,5,0),1,0)*Table_NFI[[#This Row],[Tarpaulin]],Table_NFI[[#This Row],[Tarpaulin]])</f>
        <v>0</v>
      </c>
      <c r="AD664" s="264">
        <f>IF(NFI_Expiration=1,IF($A664&lt;VLOOKUP(M$5,NFI,5,0),1,0)*Table_NFI[[#This Row],[Blanket]],Table_NFI[[#This Row],[Blanket]])</f>
        <v>0</v>
      </c>
      <c r="AE664" s="264">
        <f>IF(NFI_Expiration=1,IF($A664&lt;VLOOKUP(N$5,NFI,5,0),1,0)*Table_NFI[[#This Row],[Kitchen Set]],Table_NFI[Kitchen Set])</f>
        <v>0</v>
      </c>
      <c r="AF664" s="264">
        <f>IF(NFI_Expiration=1,IF($A664&lt;VLOOKUP(O$5,NFI,5,0),1,0)*Table_NFI[[#This Row],[Clothes Kit]],Table_NFI[Clothes Kit])</f>
        <v>0</v>
      </c>
      <c r="AG664" s="264">
        <f>IF(NFI_Expiration=1,IF($A664&lt;VLOOKUP(P$5,NFI,5,0),1,0)*Table_NFI[[#This Row],[Plastic Bucket]],Table_NFI[Plastic Bucket])</f>
        <v>0</v>
      </c>
      <c r="AH664" s="264">
        <f>IF(NFI_Expiration=1,IF($A664&lt;VLOOKUP(Q$5,NFI,5,0),1,0)*Table_NFI[[#This Row],[Plastic Mat]],Table_NFI[Plastic Mat])*IF(Table_NFI[[#This Row],[Distribution Date]]&gt;"2014-04-01",1,2.5)</f>
        <v>0</v>
      </c>
      <c r="AI664" s="264">
        <f>IF(NFI_Expiration=1,IF($A664&lt;VLOOKUP(R$5,NFI,5,0),1,0)*Table_NFI[[#This Row],[Winter Clothes Adult]],Table_NFI[Winter Clothes Adult])</f>
        <v>0</v>
      </c>
      <c r="AJ664" s="264">
        <f>IF(NFI_Expiration=1,IF($A664&lt;VLOOKUP(S$5,NFI,5,0),1,0)*Table_NFI[[#This Row],[Winter Clothes Children]],Table_NFI[Winter Clothes Children])</f>
        <v>0</v>
      </c>
      <c r="AK664" s="264">
        <f>IF(NFI_Expiration=1,IF($A664&lt;VLOOKUP(T$5,NFI,5,0),1,0)*Table_NFI[[#This Row],[Winter Items Other]],Table_NFI[Winter Items Other])</f>
        <v>0</v>
      </c>
      <c r="AL664" s="264">
        <f>IF(NFI_Expiration=1,IF($A664&lt;VLOOKUP(M$5,NFI,5,0),1,0)*Table_NFI[[#This Row],[Winter Blanket]],Table_NFI[[#This Row],[Winter Blanket]])</f>
        <v>0</v>
      </c>
      <c r="AM664" s="264">
        <f>IF(Table_NFI[[#This Row],[Winter Clothes Adult]]+Table_NFI[[#This Row],[Winter Clothes Children]]+Table_NFI[[#This Row],[Winter Items Other]]+Table_NFI[[#This Row],[Winter Blanket]]&gt;0,1,0)</f>
        <v>0</v>
      </c>
      <c r="AN664" s="296">
        <f>IF(NFI_Expiration=1,IF($A664&lt;VLOOKUP(V$5,NFI,5,0),1,0)*Table_NFI[[#This Row],[Jerry Can]],Table_NFI[Jerry Can])</f>
        <v>0</v>
      </c>
      <c r="AO664" s="296">
        <f>IF(NFI_Expiration=1,IF($A664&lt;VLOOKUP(V$5,NFI,5,0),1,0)*Table_NFI[[#This Row],[Shelter Tool kit]],Table_NFI[Shelter Tool kit])</f>
        <v>0</v>
      </c>
      <c r="AP664" s="296">
        <f>IF(NFI_Expiration=1,IF($A664&lt;VLOOKUP(V$5,NFI,5,0),1,0)*Table_NFI[[#This Row],[Tent]],Table_NFI[Tent])</f>
        <v>0</v>
      </c>
      <c r="AQ664" s="396" t="str">
        <f>IFERROR(VLOOKUP(Table_NFI[[#This Row],[Camp Name]],CL,2,0),"")</f>
        <v>MMR001CMP132</v>
      </c>
      <c r="AR664" s="702">
        <f ca="1">IF(Table_NFI[[#This Row],[Pcode]]="","",IF(OFFSET(CampList[Opening Date],MATCH(Table_NFI[[#This Row],[Pcode]],CampList[CP_Pcode],0)-1,0,1,1)&gt;=NFI_Monitor_Date,1,0))</f>
        <v>0</v>
      </c>
      <c r="AS664" s="396" t="str">
        <f>IFERROR(VLOOKUP(Table_NFI[[#This Row],[Camp Name]],CL,3,0),"")</f>
        <v>Open</v>
      </c>
      <c r="AT664" s="264" t="str">
        <f ca="1">IF(Table_NFI[[#This Row],[Pcode]]="","",OFFSET(CampList[Priority],MATCH(Table_NFI[[#This Row],[Pcode]],CampList[CP_Pcode],0)-1,0,1,1))</f>
        <v>P4</v>
      </c>
      <c r="AU664" s="263">
        <f>IFERROR(Table_NFI[[#This Row],[Kitchen Set]]/VLOOKUP(Table_NFI[[#This Row],[Camp Name]],CL,4,0),"")</f>
        <v>8.5683509596553072E-3</v>
      </c>
      <c r="AV664" s="390" t="s">
        <v>1087</v>
      </c>
      <c r="AW664" s="392"/>
      <c r="AX664" s="399"/>
      <c r="AY664" s="399"/>
      <c r="AZ664" s="399"/>
      <c r="BA664" s="399"/>
      <c r="BB664" s="399"/>
      <c r="BC664" s="399"/>
      <c r="BD664" s="399"/>
      <c r="BE664" s="399"/>
      <c r="BF664" s="399"/>
      <c r="BG664" s="399"/>
      <c r="BH664" s="399"/>
      <c r="BI664" s="399"/>
      <c r="BJ664" s="399"/>
      <c r="BK664" s="399"/>
      <c r="BL664" s="399"/>
      <c r="BM664" s="399"/>
      <c r="BN664" s="399"/>
      <c r="BO664" s="399"/>
      <c r="BP664" s="399"/>
      <c r="BQ664" s="399"/>
      <c r="BR664" s="399"/>
      <c r="BS664" s="399"/>
      <c r="BT664" s="399"/>
      <c r="BU664" s="399"/>
      <c r="BV664" s="399"/>
      <c r="BW664" s="399"/>
      <c r="BX664" s="399"/>
      <c r="BY664" s="399"/>
      <c r="BZ664" s="399"/>
      <c r="CA664" s="399"/>
      <c r="CB664" s="399"/>
      <c r="CC664" s="399"/>
      <c r="CD664" s="399"/>
      <c r="CE664" s="399"/>
      <c r="CF664" s="399"/>
      <c r="CG664" s="399"/>
      <c r="CH664" s="399"/>
      <c r="CI664" s="399"/>
      <c r="CJ664" s="399"/>
      <c r="CK664" s="399"/>
      <c r="CL664" s="399"/>
      <c r="CM664" s="399"/>
      <c r="CN664" s="399"/>
      <c r="CO664" s="399"/>
      <c r="CP664" s="399"/>
      <c r="CQ664" s="399"/>
      <c r="CR664" s="399"/>
      <c r="CS664" s="399"/>
      <c r="CT664" s="399"/>
      <c r="CU664" s="399"/>
      <c r="CV664" s="399"/>
      <c r="CW664" s="399"/>
      <c r="CX664" s="399"/>
      <c r="CY664" s="399"/>
      <c r="CZ664" s="399"/>
      <c r="DA664" s="399"/>
      <c r="DB664" s="399"/>
      <c r="DC664" s="399"/>
      <c r="DD664" s="399"/>
      <c r="DE664" s="399"/>
      <c r="DF664" s="399"/>
      <c r="DG664" s="399"/>
      <c r="DH664" s="399"/>
      <c r="DI664" s="399"/>
      <c r="DJ664" s="399"/>
      <c r="DK664" s="399"/>
      <c r="DL664" s="399"/>
      <c r="DM664" s="399"/>
      <c r="DN664" s="399"/>
      <c r="DO664" s="399"/>
      <c r="DP664" s="399"/>
      <c r="DQ664" s="399"/>
    </row>
    <row r="665" spans="1:121" s="760" customFormat="1" ht="14.45" customHeight="1" x14ac:dyDescent="0.25">
      <c r="A665" s="266">
        <f t="shared" si="10"/>
        <v>42.033333333333331</v>
      </c>
      <c r="B665" s="389">
        <v>41595</v>
      </c>
      <c r="C665" s="390" t="s">
        <v>452</v>
      </c>
      <c r="D665" s="390"/>
      <c r="E665" s="390" t="s">
        <v>380</v>
      </c>
      <c r="F665" s="390" t="s">
        <v>185</v>
      </c>
      <c r="G665" s="390" t="s">
        <v>229</v>
      </c>
      <c r="H665" s="261"/>
      <c r="I665" s="261"/>
      <c r="J665" s="261"/>
      <c r="K665" s="261"/>
      <c r="L665" s="261"/>
      <c r="M665" s="261">
        <v>145</v>
      </c>
      <c r="N665" s="261"/>
      <c r="O665" s="261"/>
      <c r="P665" s="261"/>
      <c r="Q665" s="261"/>
      <c r="R665" s="261"/>
      <c r="S665" s="261"/>
      <c r="T665" s="261"/>
      <c r="U665" s="261"/>
      <c r="V665" s="762"/>
      <c r="W665" s="261"/>
      <c r="X665" s="261"/>
      <c r="Y665" s="264">
        <f>IF(NFI_Expiration=1,IF($A665&lt;VLOOKUP(H$5,NFI,5,0),1,0)*Table_NFI[[#This Row],[Hygiene Kit]],Table_NFI[Hygiene Kit])</f>
        <v>0</v>
      </c>
      <c r="Z665" s="264">
        <f>IF(NFI_Expiration=1,IF($A665&lt;VLOOKUP(I$5,NFI,5,0),1,0)*Table_NFI[[#This Row],[NFI Core Kit]],Table_NFI[NFI Core Kit])</f>
        <v>0</v>
      </c>
      <c r="AA665" s="264">
        <f>IF(NFI_Expiration=1,IF($A665&lt;VLOOKUP(J$5,NFI,5,0),1,0)*Table_NFI[[#This Row],[Sanitary Kit]],Table_NFI[Sanitary Kit])</f>
        <v>0</v>
      </c>
      <c r="AB665" s="264">
        <f>IF(NFI_Expiration=1,IF($A665&lt;VLOOKUP(K$5,NFI,5,0),1,0)*Table_NFI[[#This Row],[Mosquito net]],Table_NFI[Mosquito net])</f>
        <v>0</v>
      </c>
      <c r="AC665" s="264">
        <f>IF(NFI_Expiration=1,IF($A665&lt;VLOOKUP(L$5,NFI,5,0),1,0)*Table_NFI[[#This Row],[Tarpaulin]],Table_NFI[[#This Row],[Tarpaulin]])</f>
        <v>0</v>
      </c>
      <c r="AD665" s="264">
        <f>IF(NFI_Expiration=1,IF($A665&lt;VLOOKUP(M$5,NFI,5,0),1,0)*Table_NFI[[#This Row],[Blanket]],Table_NFI[[#This Row],[Blanket]])</f>
        <v>0</v>
      </c>
      <c r="AE665" s="264">
        <f>IF(NFI_Expiration=1,IF($A665&lt;VLOOKUP(N$5,NFI,5,0),1,0)*Table_NFI[[#This Row],[Kitchen Set]],Table_NFI[Kitchen Set])</f>
        <v>0</v>
      </c>
      <c r="AF665" s="264">
        <f>IF(NFI_Expiration=1,IF($A665&lt;VLOOKUP(O$5,NFI,5,0),1,0)*Table_NFI[[#This Row],[Clothes Kit]],Table_NFI[Clothes Kit])</f>
        <v>0</v>
      </c>
      <c r="AG665" s="264">
        <f>IF(NFI_Expiration=1,IF($A665&lt;VLOOKUP(P$5,NFI,5,0),1,0)*Table_NFI[[#This Row],[Plastic Bucket]],Table_NFI[Plastic Bucket])</f>
        <v>0</v>
      </c>
      <c r="AH665" s="264">
        <f>IF(NFI_Expiration=1,IF($A665&lt;VLOOKUP(Q$5,NFI,5,0),1,0)*Table_NFI[[#This Row],[Plastic Mat]],Table_NFI[Plastic Mat])*IF(Table_NFI[[#This Row],[Distribution Date]]&gt;"2014-04-01",1,2.5)</f>
        <v>0</v>
      </c>
      <c r="AI665" s="264">
        <f>IF(NFI_Expiration=1,IF($A665&lt;VLOOKUP(R$5,NFI,5,0),1,0)*Table_NFI[[#This Row],[Winter Clothes Adult]],Table_NFI[Winter Clothes Adult])</f>
        <v>0</v>
      </c>
      <c r="AJ665" s="264">
        <f>IF(NFI_Expiration=1,IF($A665&lt;VLOOKUP(S$5,NFI,5,0),1,0)*Table_NFI[[#This Row],[Winter Clothes Children]],Table_NFI[Winter Clothes Children])</f>
        <v>0</v>
      </c>
      <c r="AK665" s="264">
        <f>IF(NFI_Expiration=1,IF($A665&lt;VLOOKUP(T$5,NFI,5,0),1,0)*Table_NFI[[#This Row],[Winter Items Other]],Table_NFI[Winter Items Other])</f>
        <v>0</v>
      </c>
      <c r="AL665" s="264">
        <f>IF(NFI_Expiration=1,IF($A665&lt;VLOOKUP(M$5,NFI,5,0),1,0)*Table_NFI[[#This Row],[Winter Blanket]],Table_NFI[[#This Row],[Winter Blanket]])</f>
        <v>0</v>
      </c>
      <c r="AM665" s="264">
        <f>IF(Table_NFI[[#This Row],[Winter Clothes Adult]]+Table_NFI[[#This Row],[Winter Clothes Children]]+Table_NFI[[#This Row],[Winter Items Other]]+Table_NFI[[#This Row],[Winter Blanket]]&gt;0,1,0)</f>
        <v>0</v>
      </c>
      <c r="AN665" s="296">
        <f>IF(NFI_Expiration=1,IF($A665&lt;VLOOKUP(V$5,NFI,5,0),1,0)*Table_NFI[[#This Row],[Jerry Can]],Table_NFI[Jerry Can])</f>
        <v>0</v>
      </c>
      <c r="AO665" s="296">
        <f>IF(NFI_Expiration=1,IF($A665&lt;VLOOKUP(V$5,NFI,5,0),1,0)*Table_NFI[[#This Row],[Shelter Tool kit]],Table_NFI[Shelter Tool kit])</f>
        <v>0</v>
      </c>
      <c r="AP665" s="296">
        <f>IF(NFI_Expiration=1,IF($A665&lt;VLOOKUP(V$5,NFI,5,0),1,0)*Table_NFI[[#This Row],[Tent]],Table_NFI[Tent])</f>
        <v>0</v>
      </c>
      <c r="AQ665" s="396" t="str">
        <f>IFERROR(VLOOKUP(Table_NFI[[#This Row],[Camp Name]],CL,2,0),"")</f>
        <v>MMR001CMP072</v>
      </c>
      <c r="AR665" s="702">
        <f ca="1">IF(Table_NFI[[#This Row],[Pcode]]="","",IF(OFFSET(CampList[Opening Date],MATCH(Table_NFI[[#This Row],[Pcode]],CampList[CP_Pcode],0)-1,0,1,1)&gt;=NFI_Monitor_Date,1,0))</f>
        <v>0</v>
      </c>
      <c r="AS665" s="396" t="str">
        <f>IFERROR(VLOOKUP(Table_NFI[[#This Row],[Camp Name]],CL,3,0),"")</f>
        <v>Open</v>
      </c>
      <c r="AT665" s="264" t="str">
        <f ca="1">IF(Table_NFI[[#This Row],[Pcode]]="","",OFFSET(CampList[Priority],MATCH(Table_NFI[[#This Row],[Pcode]],CampList[CP_Pcode],0)-1,0,1,1))</f>
        <v>P3</v>
      </c>
      <c r="AU665" s="263">
        <f>IFERROR(Table_NFI[[#This Row],[Kitchen Set]]/VLOOKUP(Table_NFI[[#This Row],[Camp Name]],CL,4,0),"")</f>
        <v>0</v>
      </c>
      <c r="AV665" s="390" t="s">
        <v>1087</v>
      </c>
      <c r="AW665" s="392"/>
      <c r="AX665" s="399"/>
      <c r="AY665" s="399"/>
      <c r="AZ665" s="399"/>
      <c r="BA665" s="399"/>
      <c r="BB665" s="399"/>
      <c r="BC665" s="399"/>
      <c r="BD665" s="399"/>
      <c r="BE665" s="399"/>
      <c r="BF665" s="399"/>
      <c r="BG665" s="399"/>
      <c r="BH665" s="399"/>
      <c r="BI665" s="399"/>
      <c r="BJ665" s="399"/>
      <c r="BK665" s="399"/>
      <c r="BL665" s="399"/>
      <c r="BM665" s="399"/>
      <c r="BN665" s="399"/>
      <c r="BO665" s="399"/>
      <c r="BP665" s="399"/>
      <c r="BQ665" s="399"/>
      <c r="BR665" s="399"/>
      <c r="BS665" s="399"/>
      <c r="BT665" s="399"/>
      <c r="BU665" s="399"/>
      <c r="BV665" s="399"/>
      <c r="BW665" s="399"/>
      <c r="BX665" s="399"/>
      <c r="BY665" s="399"/>
      <c r="BZ665" s="399"/>
      <c r="CA665" s="399"/>
      <c r="CB665" s="399"/>
      <c r="CC665" s="399"/>
      <c r="CD665" s="399"/>
      <c r="CE665" s="399"/>
      <c r="CF665" s="399"/>
      <c r="CG665" s="399"/>
      <c r="CH665" s="399"/>
      <c r="CI665" s="399"/>
      <c r="CJ665" s="399"/>
      <c r="CK665" s="399"/>
      <c r="CL665" s="399"/>
      <c r="CM665" s="399"/>
      <c r="CN665" s="399"/>
      <c r="CO665" s="399"/>
      <c r="CP665" s="399"/>
      <c r="CQ665" s="399"/>
      <c r="CR665" s="399"/>
      <c r="CS665" s="399"/>
      <c r="CT665" s="399"/>
      <c r="CU665" s="399"/>
      <c r="CV665" s="399"/>
      <c r="CW665" s="399"/>
      <c r="CX665" s="399"/>
      <c r="CY665" s="399"/>
      <c r="CZ665" s="399"/>
      <c r="DA665" s="399"/>
      <c r="DB665" s="399"/>
      <c r="DC665" s="399"/>
      <c r="DD665" s="399"/>
      <c r="DE665" s="399"/>
      <c r="DF665" s="399"/>
      <c r="DG665" s="399"/>
      <c r="DH665" s="399"/>
      <c r="DI665" s="399"/>
      <c r="DJ665" s="399"/>
      <c r="DK665" s="399"/>
      <c r="DL665" s="399"/>
      <c r="DM665" s="399"/>
      <c r="DN665" s="399"/>
      <c r="DO665" s="399"/>
      <c r="DP665" s="399"/>
      <c r="DQ665" s="399"/>
    </row>
    <row r="666" spans="1:121" s="760" customFormat="1" ht="14.45" customHeight="1" x14ac:dyDescent="0.25">
      <c r="A666" s="266">
        <f t="shared" si="10"/>
        <v>42.06666666666667</v>
      </c>
      <c r="B666" s="389">
        <v>41594</v>
      </c>
      <c r="C666" s="390" t="s">
        <v>451</v>
      </c>
      <c r="D666" s="390" t="s">
        <v>572</v>
      </c>
      <c r="E666" s="390" t="s">
        <v>380</v>
      </c>
      <c r="F666" s="262" t="s">
        <v>5</v>
      </c>
      <c r="G666" s="262" t="s">
        <v>366</v>
      </c>
      <c r="H666" s="261"/>
      <c r="I666" s="261"/>
      <c r="J666" s="261"/>
      <c r="K666" s="261"/>
      <c r="L666" s="261">
        <v>11</v>
      </c>
      <c r="M666" s="261"/>
      <c r="N666" s="261"/>
      <c r="O666" s="261"/>
      <c r="P666" s="261"/>
      <c r="Q666" s="261"/>
      <c r="R666" s="261"/>
      <c r="S666" s="261"/>
      <c r="T666" s="261"/>
      <c r="U666" s="261"/>
      <c r="V666" s="762"/>
      <c r="W666" s="261"/>
      <c r="X666" s="261"/>
      <c r="Y666" s="264">
        <f>IF(NFI_Expiration=1,IF($A666&lt;VLOOKUP(H$5,NFI,5,0),1,0)*Table_NFI[[#This Row],[Hygiene Kit]],Table_NFI[Hygiene Kit])</f>
        <v>0</v>
      </c>
      <c r="Z666" s="264">
        <f>IF(NFI_Expiration=1,IF($A666&lt;VLOOKUP(I$5,NFI,5,0),1,0)*Table_NFI[[#This Row],[NFI Core Kit]],Table_NFI[NFI Core Kit])</f>
        <v>0</v>
      </c>
      <c r="AA666" s="264">
        <f>IF(NFI_Expiration=1,IF($A666&lt;VLOOKUP(J$5,NFI,5,0),1,0)*Table_NFI[[#This Row],[Sanitary Kit]],Table_NFI[Sanitary Kit])</f>
        <v>0</v>
      </c>
      <c r="AB666" s="264">
        <f>IF(NFI_Expiration=1,IF($A666&lt;VLOOKUP(K$5,NFI,5,0),1,0)*Table_NFI[[#This Row],[Mosquito net]],Table_NFI[Mosquito net])</f>
        <v>0</v>
      </c>
      <c r="AC666" s="264">
        <f>IF(NFI_Expiration=1,IF($A666&lt;VLOOKUP(L$5,NFI,5,0),1,0)*Table_NFI[[#This Row],[Tarpaulin]],Table_NFI[[#This Row],[Tarpaulin]])</f>
        <v>0</v>
      </c>
      <c r="AD666" s="264">
        <f>IF(NFI_Expiration=1,IF($A666&lt;VLOOKUP(M$5,NFI,5,0),1,0)*Table_NFI[[#This Row],[Blanket]],Table_NFI[[#This Row],[Blanket]])</f>
        <v>0</v>
      </c>
      <c r="AE666" s="264">
        <f>IF(NFI_Expiration=1,IF($A666&lt;VLOOKUP(N$5,NFI,5,0),1,0)*Table_NFI[[#This Row],[Kitchen Set]],Table_NFI[Kitchen Set])</f>
        <v>0</v>
      </c>
      <c r="AF666" s="264">
        <f>IF(NFI_Expiration=1,IF($A666&lt;VLOOKUP(O$5,NFI,5,0),1,0)*Table_NFI[[#This Row],[Clothes Kit]],Table_NFI[Clothes Kit])</f>
        <v>0</v>
      </c>
      <c r="AG666" s="264">
        <f>IF(NFI_Expiration=1,IF($A666&lt;VLOOKUP(P$5,NFI,5,0),1,0)*Table_NFI[[#This Row],[Plastic Bucket]],Table_NFI[Plastic Bucket])</f>
        <v>0</v>
      </c>
      <c r="AH666" s="264">
        <f>IF(NFI_Expiration=1,IF($A666&lt;VLOOKUP(Q$5,NFI,5,0),1,0)*Table_NFI[[#This Row],[Plastic Mat]],Table_NFI[Plastic Mat])*IF(Table_NFI[[#This Row],[Distribution Date]]&gt;"2014-04-01",1,2.5)</f>
        <v>0</v>
      </c>
      <c r="AI666" s="264">
        <f>IF(NFI_Expiration=1,IF($A666&lt;VLOOKUP(R$5,NFI,5,0),1,0)*Table_NFI[[#This Row],[Winter Clothes Adult]],Table_NFI[Winter Clothes Adult])</f>
        <v>0</v>
      </c>
      <c r="AJ666" s="264">
        <f>IF(NFI_Expiration=1,IF($A666&lt;VLOOKUP(S$5,NFI,5,0),1,0)*Table_NFI[[#This Row],[Winter Clothes Children]],Table_NFI[Winter Clothes Children])</f>
        <v>0</v>
      </c>
      <c r="AK666" s="264">
        <f>IF(NFI_Expiration=1,IF($A666&lt;VLOOKUP(T$5,NFI,5,0),1,0)*Table_NFI[[#This Row],[Winter Items Other]],Table_NFI[Winter Items Other])</f>
        <v>0</v>
      </c>
      <c r="AL666" s="264">
        <f>IF(NFI_Expiration=1,IF($A666&lt;VLOOKUP(M$5,NFI,5,0),1,0)*Table_NFI[[#This Row],[Winter Blanket]],Table_NFI[[#This Row],[Winter Blanket]])</f>
        <v>0</v>
      </c>
      <c r="AM666" s="264">
        <f>IF(Table_NFI[[#This Row],[Winter Clothes Adult]]+Table_NFI[[#This Row],[Winter Clothes Children]]+Table_NFI[[#This Row],[Winter Items Other]]+Table_NFI[[#This Row],[Winter Blanket]]&gt;0,1,0)</f>
        <v>0</v>
      </c>
      <c r="AN666" s="296">
        <f>IF(NFI_Expiration=1,IF($A666&lt;VLOOKUP(V$5,NFI,5,0),1,0)*Table_NFI[[#This Row],[Jerry Can]],Table_NFI[Jerry Can])</f>
        <v>0</v>
      </c>
      <c r="AO666" s="296">
        <f>IF(NFI_Expiration=1,IF($A666&lt;VLOOKUP(V$5,NFI,5,0),1,0)*Table_NFI[[#This Row],[Shelter Tool kit]],Table_NFI[Shelter Tool kit])</f>
        <v>0</v>
      </c>
      <c r="AP666" s="296">
        <f>IF(NFI_Expiration=1,IF($A666&lt;VLOOKUP(V$5,NFI,5,0),1,0)*Table_NFI[[#This Row],[Tent]],Table_NFI[Tent])</f>
        <v>0</v>
      </c>
      <c r="AQ666" s="396" t="str">
        <f>IFERROR(VLOOKUP(Table_NFI[[#This Row],[Camp Name]],CL,2,0),"")</f>
        <v>MMR001CMP193</v>
      </c>
      <c r="AR666" s="702">
        <f ca="1">IF(Table_NFI[[#This Row],[Pcode]]="","",IF(OFFSET(CampList[Opening Date],MATCH(Table_NFI[[#This Row],[Pcode]],CampList[CP_Pcode],0)-1,0,1,1)&gt;=NFI_Monitor_Date,1,0))</f>
        <v>0</v>
      </c>
      <c r="AS666" s="396" t="str">
        <f>IFERROR(VLOOKUP(Table_NFI[[#This Row],[Camp Name]],CL,3,0),"")</f>
        <v>Open</v>
      </c>
      <c r="AT666" s="264" t="str">
        <f ca="1">IF(Table_NFI[[#This Row],[Pcode]]="","",OFFSET(CampList[Priority],MATCH(Table_NFI[[#This Row],[Pcode]],CampList[CP_Pcode],0)-1,0,1,1))</f>
        <v>P4</v>
      </c>
      <c r="AU666" s="263">
        <f>IFERROR(Table_NFI[[#This Row],[Kitchen Set]]/VLOOKUP(Table_NFI[[#This Row],[Camp Name]],CL,4,0),"")</f>
        <v>0</v>
      </c>
      <c r="AV666" s="390" t="s">
        <v>1087</v>
      </c>
      <c r="AW666" s="392"/>
      <c r="AX666" s="399"/>
      <c r="AY666" s="399"/>
      <c r="AZ666" s="399"/>
      <c r="BA666" s="399"/>
      <c r="BB666" s="399"/>
      <c r="BC666" s="399"/>
      <c r="BD666" s="399"/>
      <c r="BE666" s="399"/>
      <c r="BF666" s="399"/>
      <c r="BG666" s="399"/>
      <c r="BH666" s="399"/>
      <c r="BI666" s="399"/>
      <c r="BJ666" s="399"/>
      <c r="BK666" s="399"/>
      <c r="BL666" s="399"/>
      <c r="BM666" s="399"/>
      <c r="BN666" s="399"/>
      <c r="BO666" s="399"/>
      <c r="BP666" s="399"/>
      <c r="BQ666" s="399"/>
      <c r="BR666" s="399"/>
      <c r="BS666" s="399"/>
      <c r="BT666" s="399"/>
      <c r="BU666" s="399"/>
      <c r="BV666" s="399"/>
      <c r="BW666" s="399"/>
      <c r="BX666" s="399"/>
      <c r="BY666" s="399"/>
      <c r="BZ666" s="399"/>
      <c r="CA666" s="399"/>
      <c r="CB666" s="399"/>
      <c r="CC666" s="399"/>
      <c r="CD666" s="399"/>
      <c r="CE666" s="399"/>
      <c r="CF666" s="399"/>
      <c r="CG666" s="399"/>
      <c r="CH666" s="399"/>
      <c r="CI666" s="399"/>
      <c r="CJ666" s="399"/>
      <c r="CK666" s="399"/>
      <c r="CL666" s="399"/>
      <c r="CM666" s="399"/>
      <c r="CN666" s="399"/>
      <c r="CO666" s="399"/>
      <c r="CP666" s="399"/>
      <c r="CQ666" s="399"/>
      <c r="CR666" s="399"/>
      <c r="CS666" s="399"/>
      <c r="CT666" s="399"/>
      <c r="CU666" s="399"/>
      <c r="CV666" s="399"/>
      <c r="CW666" s="399"/>
      <c r="CX666" s="399"/>
      <c r="CY666" s="399"/>
      <c r="CZ666" s="399"/>
      <c r="DA666" s="399"/>
      <c r="DB666" s="399"/>
      <c r="DC666" s="399"/>
      <c r="DD666" s="399"/>
      <c r="DE666" s="399"/>
      <c r="DF666" s="399"/>
      <c r="DG666" s="399"/>
      <c r="DH666" s="399"/>
      <c r="DI666" s="399"/>
      <c r="DJ666" s="399"/>
      <c r="DK666" s="399"/>
      <c r="DL666" s="399"/>
      <c r="DM666" s="399"/>
      <c r="DN666" s="399"/>
      <c r="DO666" s="399"/>
      <c r="DP666" s="399"/>
      <c r="DQ666" s="399"/>
    </row>
    <row r="667" spans="1:121" s="760" customFormat="1" ht="14.45" customHeight="1" x14ac:dyDescent="0.25">
      <c r="A667" s="266">
        <f t="shared" si="10"/>
        <v>42.06666666666667</v>
      </c>
      <c r="B667" s="389">
        <v>41594</v>
      </c>
      <c r="C667" s="390" t="s">
        <v>451</v>
      </c>
      <c r="D667" s="390" t="s">
        <v>451</v>
      </c>
      <c r="E667" s="390" t="s">
        <v>380</v>
      </c>
      <c r="F667" s="262" t="s">
        <v>5</v>
      </c>
      <c r="G667" s="262" t="s">
        <v>22</v>
      </c>
      <c r="H667" s="261"/>
      <c r="I667" s="261"/>
      <c r="J667" s="261"/>
      <c r="K667" s="261"/>
      <c r="L667" s="261">
        <v>10</v>
      </c>
      <c r="M667" s="261"/>
      <c r="N667" s="261"/>
      <c r="O667" s="261"/>
      <c r="P667" s="261"/>
      <c r="Q667" s="261"/>
      <c r="R667" s="261"/>
      <c r="S667" s="261"/>
      <c r="T667" s="261"/>
      <c r="U667" s="261"/>
      <c r="V667" s="762"/>
      <c r="W667" s="261"/>
      <c r="X667" s="261"/>
      <c r="Y667" s="264">
        <f>IF(NFI_Expiration=1,IF($A667&lt;VLOOKUP(H$5,NFI,5,0),1,0)*Table_NFI[[#This Row],[Hygiene Kit]],Table_NFI[Hygiene Kit])</f>
        <v>0</v>
      </c>
      <c r="Z667" s="264">
        <f>IF(NFI_Expiration=1,IF($A667&lt;VLOOKUP(I$5,NFI,5,0),1,0)*Table_NFI[[#This Row],[NFI Core Kit]],Table_NFI[NFI Core Kit])</f>
        <v>0</v>
      </c>
      <c r="AA667" s="264">
        <f>IF(NFI_Expiration=1,IF($A667&lt;VLOOKUP(J$5,NFI,5,0),1,0)*Table_NFI[[#This Row],[Sanitary Kit]],Table_NFI[Sanitary Kit])</f>
        <v>0</v>
      </c>
      <c r="AB667" s="264">
        <f>IF(NFI_Expiration=1,IF($A667&lt;VLOOKUP(K$5,NFI,5,0),1,0)*Table_NFI[[#This Row],[Mosquito net]],Table_NFI[Mosquito net])</f>
        <v>0</v>
      </c>
      <c r="AC667" s="264">
        <f>IF(NFI_Expiration=1,IF($A667&lt;VLOOKUP(L$5,NFI,5,0),1,0)*Table_NFI[[#This Row],[Tarpaulin]],Table_NFI[[#This Row],[Tarpaulin]])</f>
        <v>0</v>
      </c>
      <c r="AD667" s="264">
        <f>IF(NFI_Expiration=1,IF($A667&lt;VLOOKUP(M$5,NFI,5,0),1,0)*Table_NFI[[#This Row],[Blanket]],Table_NFI[[#This Row],[Blanket]])</f>
        <v>0</v>
      </c>
      <c r="AE667" s="264">
        <f>IF(NFI_Expiration=1,IF($A667&lt;VLOOKUP(N$5,NFI,5,0),1,0)*Table_NFI[[#This Row],[Kitchen Set]],Table_NFI[Kitchen Set])</f>
        <v>0</v>
      </c>
      <c r="AF667" s="264">
        <f>IF(NFI_Expiration=1,IF($A667&lt;VLOOKUP(O$5,NFI,5,0),1,0)*Table_NFI[[#This Row],[Clothes Kit]],Table_NFI[Clothes Kit])</f>
        <v>0</v>
      </c>
      <c r="AG667" s="264">
        <f>IF(NFI_Expiration=1,IF($A667&lt;VLOOKUP(P$5,NFI,5,0),1,0)*Table_NFI[[#This Row],[Plastic Bucket]],Table_NFI[Plastic Bucket])</f>
        <v>0</v>
      </c>
      <c r="AH667" s="264">
        <f>IF(NFI_Expiration=1,IF($A667&lt;VLOOKUP(Q$5,NFI,5,0),1,0)*Table_NFI[[#This Row],[Plastic Mat]],Table_NFI[Plastic Mat])*IF(Table_NFI[[#This Row],[Distribution Date]]&gt;"2014-04-01",1,2.5)</f>
        <v>0</v>
      </c>
      <c r="AI667" s="264">
        <f>IF(NFI_Expiration=1,IF($A667&lt;VLOOKUP(R$5,NFI,5,0),1,0)*Table_NFI[[#This Row],[Winter Clothes Adult]],Table_NFI[Winter Clothes Adult])</f>
        <v>0</v>
      </c>
      <c r="AJ667" s="264">
        <f>IF(NFI_Expiration=1,IF($A667&lt;VLOOKUP(S$5,NFI,5,0),1,0)*Table_NFI[[#This Row],[Winter Clothes Children]],Table_NFI[Winter Clothes Children])</f>
        <v>0</v>
      </c>
      <c r="AK667" s="264">
        <f>IF(NFI_Expiration=1,IF($A667&lt;VLOOKUP(T$5,NFI,5,0),1,0)*Table_NFI[[#This Row],[Winter Items Other]],Table_NFI[Winter Items Other])</f>
        <v>0</v>
      </c>
      <c r="AL667" s="264">
        <f>IF(NFI_Expiration=1,IF($A667&lt;VLOOKUP(M$5,NFI,5,0),1,0)*Table_NFI[[#This Row],[Winter Blanket]],Table_NFI[[#This Row],[Winter Blanket]])</f>
        <v>0</v>
      </c>
      <c r="AM667" s="264">
        <f>IF(Table_NFI[[#This Row],[Winter Clothes Adult]]+Table_NFI[[#This Row],[Winter Clothes Children]]+Table_NFI[[#This Row],[Winter Items Other]]+Table_NFI[[#This Row],[Winter Blanket]]&gt;0,1,0)</f>
        <v>0</v>
      </c>
      <c r="AN667" s="296">
        <f>IF(NFI_Expiration=1,IF($A667&lt;VLOOKUP(V$5,NFI,5,0),1,0)*Table_NFI[[#This Row],[Jerry Can]],Table_NFI[Jerry Can])</f>
        <v>0</v>
      </c>
      <c r="AO667" s="296">
        <f>IF(NFI_Expiration=1,IF($A667&lt;VLOOKUP(V$5,NFI,5,0),1,0)*Table_NFI[[#This Row],[Shelter Tool kit]],Table_NFI[Shelter Tool kit])</f>
        <v>0</v>
      </c>
      <c r="AP667" s="296">
        <f>IF(NFI_Expiration=1,IF($A667&lt;VLOOKUP(V$5,NFI,5,0),1,0)*Table_NFI[[#This Row],[Tent]],Table_NFI[Tent])</f>
        <v>0</v>
      </c>
      <c r="AQ667" s="396" t="str">
        <f>IFERROR(VLOOKUP(Table_NFI[[#This Row],[Camp Name]],CL,2,0),"")</f>
        <v>MMR001CMP047</v>
      </c>
      <c r="AR667" s="702">
        <f ca="1">IF(Table_NFI[[#This Row],[Pcode]]="","",IF(OFFSET(CampList[Opening Date],MATCH(Table_NFI[[#This Row],[Pcode]],CampList[CP_Pcode],0)-1,0,1,1)&gt;=NFI_Monitor_Date,1,0))</f>
        <v>0</v>
      </c>
      <c r="AS667" s="396" t="str">
        <f>IFERROR(VLOOKUP(Table_NFI[[#This Row],[Camp Name]],CL,3,0),"")</f>
        <v>Open</v>
      </c>
      <c r="AT667" s="264" t="str">
        <f ca="1">IF(Table_NFI[[#This Row],[Pcode]]="","",OFFSET(CampList[Priority],MATCH(Table_NFI[[#This Row],[Pcode]],CampList[CP_Pcode],0)-1,0,1,1))</f>
        <v>P4</v>
      </c>
      <c r="AU667" s="263">
        <f>IFERROR(Table_NFI[[#This Row],[Kitchen Set]]/VLOOKUP(Table_NFI[[#This Row],[Camp Name]],CL,4,0),"")</f>
        <v>0</v>
      </c>
      <c r="AV667" s="390" t="s">
        <v>1087</v>
      </c>
      <c r="AW667" s="392"/>
      <c r="AX667" s="399"/>
      <c r="AY667" s="399"/>
      <c r="AZ667" s="399"/>
      <c r="BA667" s="399"/>
      <c r="BB667" s="399"/>
      <c r="BC667" s="399"/>
      <c r="BD667" s="399"/>
      <c r="BE667" s="399"/>
      <c r="BF667" s="399"/>
      <c r="BG667" s="399"/>
      <c r="BH667" s="399"/>
      <c r="BI667" s="399"/>
      <c r="BJ667" s="399"/>
      <c r="BK667" s="399"/>
      <c r="BL667" s="399"/>
      <c r="BM667" s="399"/>
      <c r="BN667" s="399"/>
      <c r="BO667" s="399"/>
      <c r="BP667" s="399"/>
      <c r="BQ667" s="399"/>
      <c r="BR667" s="399"/>
      <c r="BS667" s="399"/>
      <c r="BT667" s="399"/>
      <c r="BU667" s="399"/>
      <c r="BV667" s="399"/>
      <c r="BW667" s="399"/>
      <c r="BX667" s="399"/>
      <c r="BY667" s="399"/>
      <c r="BZ667" s="399"/>
      <c r="CA667" s="399"/>
      <c r="CB667" s="399"/>
      <c r="CC667" s="399"/>
      <c r="CD667" s="399"/>
      <c r="CE667" s="399"/>
      <c r="CF667" s="399"/>
      <c r="CG667" s="399"/>
      <c r="CH667" s="399"/>
      <c r="CI667" s="399"/>
      <c r="CJ667" s="399"/>
      <c r="CK667" s="399"/>
      <c r="CL667" s="399"/>
      <c r="CM667" s="399"/>
      <c r="CN667" s="399"/>
      <c r="CO667" s="399"/>
      <c r="CP667" s="399"/>
      <c r="CQ667" s="399"/>
      <c r="CR667" s="399"/>
      <c r="CS667" s="399"/>
      <c r="CT667" s="399"/>
      <c r="CU667" s="399"/>
      <c r="CV667" s="399"/>
      <c r="CW667" s="399"/>
      <c r="CX667" s="399"/>
      <c r="CY667" s="399"/>
      <c r="CZ667" s="399"/>
      <c r="DA667" s="399"/>
      <c r="DB667" s="399"/>
      <c r="DC667" s="399"/>
      <c r="DD667" s="399"/>
      <c r="DE667" s="399"/>
      <c r="DF667" s="399"/>
      <c r="DG667" s="399"/>
      <c r="DH667" s="399"/>
      <c r="DI667" s="399"/>
      <c r="DJ667" s="399"/>
      <c r="DK667" s="399"/>
      <c r="DL667" s="399"/>
      <c r="DM667" s="399"/>
      <c r="DN667" s="399"/>
      <c r="DO667" s="399"/>
      <c r="DP667" s="399"/>
      <c r="DQ667" s="399"/>
    </row>
    <row r="668" spans="1:121" s="760" customFormat="1" ht="14.45" customHeight="1" x14ac:dyDescent="0.25">
      <c r="A668" s="266">
        <f t="shared" si="10"/>
        <v>42.1</v>
      </c>
      <c r="B668" s="389">
        <v>41593</v>
      </c>
      <c r="C668" s="390" t="s">
        <v>904</v>
      </c>
      <c r="D668" s="390" t="s">
        <v>1001</v>
      </c>
      <c r="E668" s="390" t="s">
        <v>380</v>
      </c>
      <c r="F668" s="390" t="s">
        <v>185</v>
      </c>
      <c r="G668" s="390" t="s">
        <v>215</v>
      </c>
      <c r="H668" s="261"/>
      <c r="I668" s="261"/>
      <c r="J668" s="261"/>
      <c r="K668" s="261"/>
      <c r="L668" s="261"/>
      <c r="M668" s="261"/>
      <c r="N668" s="261"/>
      <c r="O668" s="261"/>
      <c r="P668" s="261"/>
      <c r="Q668" s="261"/>
      <c r="R668" s="261">
        <v>387</v>
      </c>
      <c r="S668" s="261">
        <v>760</v>
      </c>
      <c r="T668" s="261">
        <v>2294</v>
      </c>
      <c r="U668" s="261">
        <v>1147</v>
      </c>
      <c r="V668" s="762"/>
      <c r="W668" s="261"/>
      <c r="X668" s="261"/>
      <c r="Y668" s="264">
        <f>IF(NFI_Expiration=1,IF($A668&lt;VLOOKUP(H$5,NFI,5,0),1,0)*Table_NFI[[#This Row],[Hygiene Kit]],Table_NFI[Hygiene Kit])</f>
        <v>0</v>
      </c>
      <c r="Z668" s="264">
        <f>IF(NFI_Expiration=1,IF($A668&lt;VLOOKUP(I$5,NFI,5,0),1,0)*Table_NFI[[#This Row],[NFI Core Kit]],Table_NFI[NFI Core Kit])</f>
        <v>0</v>
      </c>
      <c r="AA668" s="264">
        <f>IF(NFI_Expiration=1,IF($A668&lt;VLOOKUP(J$5,NFI,5,0),1,0)*Table_NFI[[#This Row],[Sanitary Kit]],Table_NFI[Sanitary Kit])</f>
        <v>0</v>
      </c>
      <c r="AB668" s="264">
        <f>IF(NFI_Expiration=1,IF($A668&lt;VLOOKUP(K$5,NFI,5,0),1,0)*Table_NFI[[#This Row],[Mosquito net]],Table_NFI[Mosquito net])</f>
        <v>0</v>
      </c>
      <c r="AC668" s="264">
        <f>IF(NFI_Expiration=1,IF($A668&lt;VLOOKUP(L$5,NFI,5,0),1,0)*Table_NFI[[#This Row],[Tarpaulin]],Table_NFI[[#This Row],[Tarpaulin]])</f>
        <v>0</v>
      </c>
      <c r="AD668" s="264">
        <f>IF(NFI_Expiration=1,IF($A668&lt;VLOOKUP(M$5,NFI,5,0),1,0)*Table_NFI[[#This Row],[Blanket]],Table_NFI[[#This Row],[Blanket]])</f>
        <v>0</v>
      </c>
      <c r="AE668" s="264">
        <f>IF(NFI_Expiration=1,IF($A668&lt;VLOOKUP(N$5,NFI,5,0),1,0)*Table_NFI[[#This Row],[Kitchen Set]],Table_NFI[Kitchen Set])</f>
        <v>0</v>
      </c>
      <c r="AF668" s="264">
        <f>IF(NFI_Expiration=1,IF($A668&lt;VLOOKUP(O$5,NFI,5,0),1,0)*Table_NFI[[#This Row],[Clothes Kit]],Table_NFI[Clothes Kit])</f>
        <v>0</v>
      </c>
      <c r="AG668" s="264">
        <f>IF(NFI_Expiration=1,IF($A668&lt;VLOOKUP(P$5,NFI,5,0),1,0)*Table_NFI[[#This Row],[Plastic Bucket]],Table_NFI[Plastic Bucket])</f>
        <v>0</v>
      </c>
      <c r="AH668" s="264">
        <f>IF(NFI_Expiration=1,IF($A668&lt;VLOOKUP(Q$5,NFI,5,0),1,0)*Table_NFI[[#This Row],[Plastic Mat]],Table_NFI[Plastic Mat])*IF(Table_NFI[[#This Row],[Distribution Date]]&gt;"2014-04-01",1,2.5)</f>
        <v>0</v>
      </c>
      <c r="AI668" s="264">
        <f>IF(NFI_Expiration=1,IF($A668&lt;VLOOKUP(R$5,NFI,5,0),1,0)*Table_NFI[[#This Row],[Winter Clothes Adult]],Table_NFI[Winter Clothes Adult])</f>
        <v>0</v>
      </c>
      <c r="AJ668" s="264">
        <f>IF(NFI_Expiration=1,IF($A668&lt;VLOOKUP(S$5,NFI,5,0),1,0)*Table_NFI[[#This Row],[Winter Clothes Children]],Table_NFI[Winter Clothes Children])</f>
        <v>0</v>
      </c>
      <c r="AK668" s="264">
        <f>IF(NFI_Expiration=1,IF($A668&lt;VLOOKUP(T$5,NFI,5,0),1,0)*Table_NFI[[#This Row],[Winter Items Other]],Table_NFI[Winter Items Other])</f>
        <v>0</v>
      </c>
      <c r="AL668" s="264">
        <f>IF(NFI_Expiration=1,IF($A668&lt;VLOOKUP(M$5,NFI,5,0),1,0)*Table_NFI[[#This Row],[Winter Blanket]],Table_NFI[[#This Row],[Winter Blanket]])</f>
        <v>0</v>
      </c>
      <c r="AM668" s="264">
        <f>IF(Table_NFI[[#This Row],[Winter Clothes Adult]]+Table_NFI[[#This Row],[Winter Clothes Children]]+Table_NFI[[#This Row],[Winter Items Other]]+Table_NFI[[#This Row],[Winter Blanket]]&gt;0,1,0)</f>
        <v>1</v>
      </c>
      <c r="AN668" s="296">
        <f>IF(NFI_Expiration=1,IF($A668&lt;VLOOKUP(V$5,NFI,5,0),1,0)*Table_NFI[[#This Row],[Jerry Can]],Table_NFI[Jerry Can])</f>
        <v>0</v>
      </c>
      <c r="AO668" s="296">
        <f>IF(NFI_Expiration=1,IF($A668&lt;VLOOKUP(V$5,NFI,5,0),1,0)*Table_NFI[[#This Row],[Shelter Tool kit]],Table_NFI[Shelter Tool kit])</f>
        <v>0</v>
      </c>
      <c r="AP668" s="296">
        <f>IF(NFI_Expiration=1,IF($A668&lt;VLOOKUP(V$5,NFI,5,0),1,0)*Table_NFI[[#This Row],[Tent]],Table_NFI[Tent])</f>
        <v>0</v>
      </c>
      <c r="AQ668" s="396" t="str">
        <f>IFERROR(VLOOKUP(Table_NFI[[#This Row],[Camp Name]],CL,2,0),"")</f>
        <v>MMR001CMP131</v>
      </c>
      <c r="AR668" s="702">
        <f ca="1">IF(Table_NFI[[#This Row],[Pcode]]="","",IF(OFFSET(CampList[Opening Date],MATCH(Table_NFI[[#This Row],[Pcode]],CampList[CP_Pcode],0)-1,0,1,1)&gt;=NFI_Monitor_Date,1,0))</f>
        <v>0</v>
      </c>
      <c r="AS668" s="396" t="str">
        <f>IFERROR(VLOOKUP(Table_NFI[[#This Row],[Camp Name]],CL,3,0),"")</f>
        <v>Open</v>
      </c>
      <c r="AT668" s="264" t="str">
        <f ca="1">IF(Table_NFI[[#This Row],[Pcode]]="","",OFFSET(CampList[Priority],MATCH(Table_NFI[[#This Row],[Pcode]],CampList[CP_Pcode],0)-1,0,1,1))</f>
        <v>P1</v>
      </c>
      <c r="AU668" s="263">
        <f>IFERROR(Table_NFI[[#This Row],[Kitchen Set]]/VLOOKUP(Table_NFI[[#This Row],[Camp Name]],CL,4,0),"")</f>
        <v>0</v>
      </c>
      <c r="AV668" s="390"/>
      <c r="AW668" s="392"/>
      <c r="AX668" s="399"/>
      <c r="AY668" s="399"/>
      <c r="AZ668" s="399"/>
      <c r="BA668" s="399"/>
      <c r="BB668" s="399"/>
      <c r="BC668" s="399"/>
      <c r="BD668" s="399"/>
      <c r="BE668" s="399"/>
      <c r="BF668" s="399"/>
      <c r="BG668" s="399"/>
      <c r="BH668" s="399"/>
      <c r="BI668" s="399"/>
      <c r="BJ668" s="399"/>
      <c r="BK668" s="399"/>
      <c r="BL668" s="399"/>
      <c r="BM668" s="399"/>
      <c r="BN668" s="399"/>
      <c r="BO668" s="399"/>
      <c r="BP668" s="399"/>
      <c r="BQ668" s="399"/>
      <c r="BR668" s="399"/>
      <c r="BS668" s="399"/>
      <c r="BT668" s="399"/>
      <c r="BU668" s="399"/>
      <c r="BV668" s="399"/>
      <c r="BW668" s="399"/>
      <c r="BX668" s="399"/>
      <c r="BY668" s="399"/>
      <c r="BZ668" s="399"/>
      <c r="CA668" s="399"/>
      <c r="CB668" s="399"/>
      <c r="CC668" s="399"/>
      <c r="CD668" s="399"/>
      <c r="CE668" s="399"/>
      <c r="CF668" s="399"/>
      <c r="CG668" s="399"/>
      <c r="CH668" s="399"/>
      <c r="CI668" s="399"/>
      <c r="CJ668" s="399"/>
      <c r="CK668" s="399"/>
      <c r="CL668" s="399"/>
      <c r="CM668" s="399"/>
      <c r="CN668" s="399"/>
      <c r="CO668" s="399"/>
      <c r="CP668" s="399"/>
      <c r="CQ668" s="399"/>
      <c r="CR668" s="399"/>
      <c r="CS668" s="399"/>
      <c r="CT668" s="399"/>
      <c r="CU668" s="399"/>
      <c r="CV668" s="399"/>
      <c r="CW668" s="399"/>
      <c r="CX668" s="399"/>
      <c r="CY668" s="399"/>
      <c r="CZ668" s="399"/>
      <c r="DA668" s="399"/>
      <c r="DB668" s="399"/>
      <c r="DC668" s="399"/>
      <c r="DD668" s="399"/>
      <c r="DE668" s="399"/>
      <c r="DF668" s="399"/>
      <c r="DG668" s="399"/>
      <c r="DH668" s="399"/>
      <c r="DI668" s="399"/>
      <c r="DJ668" s="399"/>
      <c r="DK668" s="399"/>
      <c r="DL668" s="399"/>
      <c r="DM668" s="399"/>
      <c r="DN668" s="399"/>
      <c r="DO668" s="399"/>
      <c r="DP668" s="399"/>
      <c r="DQ668" s="399"/>
    </row>
    <row r="669" spans="1:121" s="760" customFormat="1" ht="14.45" customHeight="1" x14ac:dyDescent="0.25">
      <c r="A669" s="266">
        <f t="shared" si="10"/>
        <v>42.1</v>
      </c>
      <c r="B669" s="389">
        <v>41593</v>
      </c>
      <c r="C669" s="390" t="s">
        <v>904</v>
      </c>
      <c r="D669" s="390" t="s">
        <v>1001</v>
      </c>
      <c r="E669" s="390" t="s">
        <v>380</v>
      </c>
      <c r="F669" s="390" t="s">
        <v>151</v>
      </c>
      <c r="G669" s="390" t="s">
        <v>158</v>
      </c>
      <c r="H669" s="261"/>
      <c r="I669" s="261"/>
      <c r="J669" s="261"/>
      <c r="K669" s="261"/>
      <c r="L669" s="261"/>
      <c r="M669" s="261"/>
      <c r="N669" s="261"/>
      <c r="O669" s="261"/>
      <c r="P669" s="261"/>
      <c r="Q669" s="261"/>
      <c r="R669" s="261">
        <v>54</v>
      </c>
      <c r="S669" s="261">
        <v>106</v>
      </c>
      <c r="T669" s="261">
        <v>320</v>
      </c>
      <c r="U669" s="261">
        <v>160</v>
      </c>
      <c r="V669" s="762"/>
      <c r="W669" s="261"/>
      <c r="X669" s="261"/>
      <c r="Y669" s="264">
        <f>IF(NFI_Expiration=1,IF($A669&lt;VLOOKUP(H$5,NFI,5,0),1,0)*Table_NFI[[#This Row],[Hygiene Kit]],Table_NFI[Hygiene Kit])</f>
        <v>0</v>
      </c>
      <c r="Z669" s="264">
        <f>IF(NFI_Expiration=1,IF($A669&lt;VLOOKUP(I$5,NFI,5,0),1,0)*Table_NFI[[#This Row],[NFI Core Kit]],Table_NFI[NFI Core Kit])</f>
        <v>0</v>
      </c>
      <c r="AA669" s="264">
        <f>IF(NFI_Expiration=1,IF($A669&lt;VLOOKUP(J$5,NFI,5,0),1,0)*Table_NFI[[#This Row],[Sanitary Kit]],Table_NFI[Sanitary Kit])</f>
        <v>0</v>
      </c>
      <c r="AB669" s="264">
        <f>IF(NFI_Expiration=1,IF($A669&lt;VLOOKUP(K$5,NFI,5,0),1,0)*Table_NFI[[#This Row],[Mosquito net]],Table_NFI[Mosquito net])</f>
        <v>0</v>
      </c>
      <c r="AC669" s="264">
        <f>IF(NFI_Expiration=1,IF($A669&lt;VLOOKUP(L$5,NFI,5,0),1,0)*Table_NFI[[#This Row],[Tarpaulin]],Table_NFI[[#This Row],[Tarpaulin]])</f>
        <v>0</v>
      </c>
      <c r="AD669" s="264">
        <f>IF(NFI_Expiration=1,IF($A669&lt;VLOOKUP(M$5,NFI,5,0),1,0)*Table_NFI[[#This Row],[Blanket]],Table_NFI[[#This Row],[Blanket]])</f>
        <v>0</v>
      </c>
      <c r="AE669" s="264">
        <f>IF(NFI_Expiration=1,IF($A669&lt;VLOOKUP(N$5,NFI,5,0),1,0)*Table_NFI[[#This Row],[Kitchen Set]],Table_NFI[Kitchen Set])</f>
        <v>0</v>
      </c>
      <c r="AF669" s="264">
        <f>IF(NFI_Expiration=1,IF($A669&lt;VLOOKUP(O$5,NFI,5,0),1,0)*Table_NFI[[#This Row],[Clothes Kit]],Table_NFI[Clothes Kit])</f>
        <v>0</v>
      </c>
      <c r="AG669" s="264">
        <f>IF(NFI_Expiration=1,IF($A669&lt;VLOOKUP(P$5,NFI,5,0),1,0)*Table_NFI[[#This Row],[Plastic Bucket]],Table_NFI[Plastic Bucket])</f>
        <v>0</v>
      </c>
      <c r="AH669" s="264">
        <f>IF(NFI_Expiration=1,IF($A669&lt;VLOOKUP(Q$5,NFI,5,0),1,0)*Table_NFI[[#This Row],[Plastic Mat]],Table_NFI[Plastic Mat])*IF(Table_NFI[[#This Row],[Distribution Date]]&gt;"2014-04-01",1,2.5)</f>
        <v>0</v>
      </c>
      <c r="AI669" s="264">
        <f>IF(NFI_Expiration=1,IF($A669&lt;VLOOKUP(R$5,NFI,5,0),1,0)*Table_NFI[[#This Row],[Winter Clothes Adult]],Table_NFI[Winter Clothes Adult])</f>
        <v>0</v>
      </c>
      <c r="AJ669" s="264">
        <f>IF(NFI_Expiration=1,IF($A669&lt;VLOOKUP(S$5,NFI,5,0),1,0)*Table_NFI[[#This Row],[Winter Clothes Children]],Table_NFI[Winter Clothes Children])</f>
        <v>0</v>
      </c>
      <c r="AK669" s="264">
        <f>IF(NFI_Expiration=1,IF($A669&lt;VLOOKUP(T$5,NFI,5,0),1,0)*Table_NFI[[#This Row],[Winter Items Other]],Table_NFI[Winter Items Other])</f>
        <v>0</v>
      </c>
      <c r="AL669" s="264">
        <f>IF(NFI_Expiration=1,IF($A669&lt;VLOOKUP(M$5,NFI,5,0),1,0)*Table_NFI[[#This Row],[Winter Blanket]],Table_NFI[[#This Row],[Winter Blanket]])</f>
        <v>0</v>
      </c>
      <c r="AM669" s="264">
        <f>IF(Table_NFI[[#This Row],[Winter Clothes Adult]]+Table_NFI[[#This Row],[Winter Clothes Children]]+Table_NFI[[#This Row],[Winter Items Other]]+Table_NFI[[#This Row],[Winter Blanket]]&gt;0,1,0)</f>
        <v>1</v>
      </c>
      <c r="AN669" s="296">
        <f>IF(NFI_Expiration=1,IF($A669&lt;VLOOKUP(V$5,NFI,5,0),1,0)*Table_NFI[[#This Row],[Jerry Can]],Table_NFI[Jerry Can])</f>
        <v>0</v>
      </c>
      <c r="AO669" s="296">
        <f>IF(NFI_Expiration=1,IF($A669&lt;VLOOKUP(V$5,NFI,5,0),1,0)*Table_NFI[[#This Row],[Shelter Tool kit]],Table_NFI[Shelter Tool kit])</f>
        <v>0</v>
      </c>
      <c r="AP669" s="296">
        <f>IF(NFI_Expiration=1,IF($A669&lt;VLOOKUP(V$5,NFI,5,0),1,0)*Table_NFI[[#This Row],[Tent]],Table_NFI[Tent])</f>
        <v>0</v>
      </c>
      <c r="AQ669" s="396" t="str">
        <f>IFERROR(VLOOKUP(Table_NFI[[#This Row],[Camp Name]],CL,2,0),"")</f>
        <v>MMR001CMP135</v>
      </c>
      <c r="AR669" s="702">
        <f ca="1">IF(Table_NFI[[#This Row],[Pcode]]="","",IF(OFFSET(CampList[Opening Date],MATCH(Table_NFI[[#This Row],[Pcode]],CampList[CP_Pcode],0)-1,0,1,1)&gt;=NFI_Monitor_Date,1,0))</f>
        <v>0</v>
      </c>
      <c r="AS669" s="396" t="str">
        <f>IFERROR(VLOOKUP(Table_NFI[[#This Row],[Camp Name]],CL,3,0),"")</f>
        <v>Closed</v>
      </c>
      <c r="AT669" s="264" t="str">
        <f ca="1">IF(Table_NFI[[#This Row],[Pcode]]="","",OFFSET(CampList[Priority],MATCH(Table_NFI[[#This Row],[Pcode]],CampList[CP_Pcode],0)-1,0,1,1))</f>
        <v>P2</v>
      </c>
      <c r="AU669" s="263">
        <f>IFERROR(Table_NFI[[#This Row],[Kitchen Set]]/VLOOKUP(Table_NFI[[#This Row],[Camp Name]],CL,4,0),"")</f>
        <v>0</v>
      </c>
      <c r="AV669" s="390"/>
      <c r="AW669" s="392"/>
      <c r="AX669" s="399"/>
      <c r="AY669" s="399"/>
      <c r="AZ669" s="399"/>
      <c r="BA669" s="399"/>
      <c r="BB669" s="399"/>
      <c r="BC669" s="399"/>
      <c r="BD669" s="399"/>
      <c r="BE669" s="399"/>
      <c r="BF669" s="399"/>
      <c r="BG669" s="399"/>
      <c r="BH669" s="399"/>
      <c r="BI669" s="399"/>
      <c r="BJ669" s="399"/>
      <c r="BK669" s="399"/>
      <c r="BL669" s="399"/>
      <c r="BM669" s="399"/>
      <c r="BN669" s="399"/>
      <c r="BO669" s="399"/>
      <c r="BP669" s="399"/>
      <c r="BQ669" s="399"/>
      <c r="BR669" s="399"/>
      <c r="BS669" s="399"/>
      <c r="BT669" s="399"/>
      <c r="BU669" s="399"/>
      <c r="BV669" s="399"/>
      <c r="BW669" s="399"/>
      <c r="BX669" s="399"/>
      <c r="BY669" s="399"/>
      <c r="BZ669" s="399"/>
      <c r="CA669" s="399"/>
      <c r="CB669" s="399"/>
      <c r="CC669" s="399"/>
      <c r="CD669" s="399"/>
      <c r="CE669" s="399"/>
      <c r="CF669" s="399"/>
      <c r="CG669" s="399"/>
      <c r="CH669" s="399"/>
      <c r="CI669" s="399"/>
      <c r="CJ669" s="399"/>
      <c r="CK669" s="399"/>
      <c r="CL669" s="399"/>
      <c r="CM669" s="399"/>
      <c r="CN669" s="399"/>
      <c r="CO669" s="399"/>
      <c r="CP669" s="399"/>
      <c r="CQ669" s="399"/>
      <c r="CR669" s="399"/>
      <c r="CS669" s="399"/>
      <c r="CT669" s="399"/>
      <c r="CU669" s="399"/>
      <c r="CV669" s="399"/>
      <c r="CW669" s="399"/>
      <c r="CX669" s="399"/>
      <c r="CY669" s="399"/>
      <c r="CZ669" s="399"/>
      <c r="DA669" s="399"/>
      <c r="DB669" s="399"/>
      <c r="DC669" s="399"/>
      <c r="DD669" s="399"/>
      <c r="DE669" s="399"/>
      <c r="DF669" s="399"/>
      <c r="DG669" s="399"/>
      <c r="DH669" s="399"/>
      <c r="DI669" s="399"/>
      <c r="DJ669" s="399"/>
      <c r="DK669" s="399"/>
      <c r="DL669" s="399"/>
      <c r="DM669" s="399"/>
      <c r="DN669" s="399"/>
      <c r="DO669" s="399"/>
      <c r="DP669" s="399"/>
      <c r="DQ669" s="399"/>
    </row>
    <row r="670" spans="1:121" s="760" customFormat="1" ht="14.45" customHeight="1" x14ac:dyDescent="0.25">
      <c r="A670" s="266">
        <f t="shared" si="10"/>
        <v>42.1</v>
      </c>
      <c r="B670" s="389">
        <v>41593</v>
      </c>
      <c r="C670" s="390" t="s">
        <v>451</v>
      </c>
      <c r="D670" s="390" t="s">
        <v>572</v>
      </c>
      <c r="E670" s="390" t="s">
        <v>380</v>
      </c>
      <c r="F670" s="262" t="s">
        <v>5</v>
      </c>
      <c r="G670" s="262"/>
      <c r="H670" s="261"/>
      <c r="I670" s="261"/>
      <c r="J670" s="261"/>
      <c r="K670" s="261"/>
      <c r="L670" s="261">
        <v>12</v>
      </c>
      <c r="M670" s="261"/>
      <c r="N670" s="261"/>
      <c r="O670" s="261"/>
      <c r="P670" s="261"/>
      <c r="Q670" s="261"/>
      <c r="R670" s="261"/>
      <c r="S670" s="261"/>
      <c r="T670" s="261"/>
      <c r="U670" s="261"/>
      <c r="V670" s="762"/>
      <c r="W670" s="261"/>
      <c r="X670" s="261"/>
      <c r="Y670" s="264">
        <f>IF(NFI_Expiration=1,IF($A670&lt;VLOOKUP(H$5,NFI,5,0),1,0)*Table_NFI[[#This Row],[Hygiene Kit]],Table_NFI[Hygiene Kit])</f>
        <v>0</v>
      </c>
      <c r="Z670" s="264">
        <f>IF(NFI_Expiration=1,IF($A670&lt;VLOOKUP(I$5,NFI,5,0),1,0)*Table_NFI[[#This Row],[NFI Core Kit]],Table_NFI[NFI Core Kit])</f>
        <v>0</v>
      </c>
      <c r="AA670" s="264">
        <f>IF(NFI_Expiration=1,IF($A670&lt;VLOOKUP(J$5,NFI,5,0),1,0)*Table_NFI[[#This Row],[Sanitary Kit]],Table_NFI[Sanitary Kit])</f>
        <v>0</v>
      </c>
      <c r="AB670" s="264">
        <f>IF(NFI_Expiration=1,IF($A670&lt;VLOOKUP(K$5,NFI,5,0),1,0)*Table_NFI[[#This Row],[Mosquito net]],Table_NFI[Mosquito net])</f>
        <v>0</v>
      </c>
      <c r="AC670" s="264">
        <f>IF(NFI_Expiration=1,IF($A670&lt;VLOOKUP(L$5,NFI,5,0),1,0)*Table_NFI[[#This Row],[Tarpaulin]],Table_NFI[[#This Row],[Tarpaulin]])</f>
        <v>0</v>
      </c>
      <c r="AD670" s="264">
        <f>IF(NFI_Expiration=1,IF($A670&lt;VLOOKUP(M$5,NFI,5,0),1,0)*Table_NFI[[#This Row],[Blanket]],Table_NFI[[#This Row],[Blanket]])</f>
        <v>0</v>
      </c>
      <c r="AE670" s="264">
        <f>IF(NFI_Expiration=1,IF($A670&lt;VLOOKUP(N$5,NFI,5,0),1,0)*Table_NFI[[#This Row],[Kitchen Set]],Table_NFI[Kitchen Set])</f>
        <v>0</v>
      </c>
      <c r="AF670" s="264">
        <f>IF(NFI_Expiration=1,IF($A670&lt;VLOOKUP(O$5,NFI,5,0),1,0)*Table_NFI[[#This Row],[Clothes Kit]],Table_NFI[Clothes Kit])</f>
        <v>0</v>
      </c>
      <c r="AG670" s="264">
        <f>IF(NFI_Expiration=1,IF($A670&lt;VLOOKUP(P$5,NFI,5,0),1,0)*Table_NFI[[#This Row],[Plastic Bucket]],Table_NFI[Plastic Bucket])</f>
        <v>0</v>
      </c>
      <c r="AH670" s="264">
        <f>IF(NFI_Expiration=1,IF($A670&lt;VLOOKUP(Q$5,NFI,5,0),1,0)*Table_NFI[[#This Row],[Plastic Mat]],Table_NFI[Plastic Mat])*IF(Table_NFI[[#This Row],[Distribution Date]]&gt;"2014-04-01",1,2.5)</f>
        <v>0</v>
      </c>
      <c r="AI670" s="264">
        <f>IF(NFI_Expiration=1,IF($A670&lt;VLOOKUP(R$5,NFI,5,0),1,0)*Table_NFI[[#This Row],[Winter Clothes Adult]],Table_NFI[Winter Clothes Adult])</f>
        <v>0</v>
      </c>
      <c r="AJ670" s="264">
        <f>IF(NFI_Expiration=1,IF($A670&lt;VLOOKUP(S$5,NFI,5,0),1,0)*Table_NFI[[#This Row],[Winter Clothes Children]],Table_NFI[Winter Clothes Children])</f>
        <v>0</v>
      </c>
      <c r="AK670" s="264">
        <f>IF(NFI_Expiration=1,IF($A670&lt;VLOOKUP(T$5,NFI,5,0),1,0)*Table_NFI[[#This Row],[Winter Items Other]],Table_NFI[Winter Items Other])</f>
        <v>0</v>
      </c>
      <c r="AL670" s="264">
        <f>IF(NFI_Expiration=1,IF($A670&lt;VLOOKUP(M$5,NFI,5,0),1,0)*Table_NFI[[#This Row],[Winter Blanket]],Table_NFI[[#This Row],[Winter Blanket]])</f>
        <v>0</v>
      </c>
      <c r="AM670" s="264">
        <f>IF(Table_NFI[[#This Row],[Winter Clothes Adult]]+Table_NFI[[#This Row],[Winter Clothes Children]]+Table_NFI[[#This Row],[Winter Items Other]]+Table_NFI[[#This Row],[Winter Blanket]]&gt;0,1,0)</f>
        <v>0</v>
      </c>
      <c r="AN670" s="296">
        <f>IF(NFI_Expiration=1,IF($A670&lt;VLOOKUP(V$5,NFI,5,0),1,0)*Table_NFI[[#This Row],[Jerry Can]],Table_NFI[Jerry Can])</f>
        <v>0</v>
      </c>
      <c r="AO670" s="296">
        <f>IF(NFI_Expiration=1,IF($A670&lt;VLOOKUP(V$5,NFI,5,0),1,0)*Table_NFI[[#This Row],[Shelter Tool kit]],Table_NFI[Shelter Tool kit])</f>
        <v>0</v>
      </c>
      <c r="AP670" s="296">
        <f>IF(NFI_Expiration=1,IF($A670&lt;VLOOKUP(V$5,NFI,5,0),1,0)*Table_NFI[[#This Row],[Tent]],Table_NFI[Tent])</f>
        <v>0</v>
      </c>
      <c r="AQ670" s="396" t="str">
        <f>IFERROR(VLOOKUP(Table_NFI[[#This Row],[Camp Name]],CL,2,0),"")</f>
        <v/>
      </c>
      <c r="AR670" s="702" t="str">
        <f ca="1">IF(Table_NFI[[#This Row],[Pcode]]="","",IF(OFFSET(CampList[Opening Date],MATCH(Table_NFI[[#This Row],[Pcode]],CampList[CP_Pcode],0)-1,0,1,1)&gt;=NFI_Monitor_Date,1,0))</f>
        <v/>
      </c>
      <c r="AS670" s="396" t="str">
        <f>IFERROR(VLOOKUP(Table_NFI[[#This Row],[Camp Name]],CL,3,0),"")</f>
        <v/>
      </c>
      <c r="AT670" s="264" t="str">
        <f ca="1">IF(Table_NFI[[#This Row],[Pcode]]="","",OFFSET(CampList[Priority],MATCH(Table_NFI[[#This Row],[Pcode]],CampList[CP_Pcode],0)-1,0,1,1))</f>
        <v/>
      </c>
      <c r="AU670" s="263" t="str">
        <f>IFERROR(Table_NFI[[#This Row],[Kitchen Set]]/VLOOKUP(Table_NFI[[#This Row],[Camp Name]],CL,4,0),"")</f>
        <v/>
      </c>
      <c r="AV670" s="390" t="s">
        <v>1087</v>
      </c>
      <c r="AW670" s="392"/>
      <c r="AX670" s="399"/>
      <c r="AY670" s="399"/>
      <c r="AZ670" s="399"/>
      <c r="BA670" s="399"/>
      <c r="BB670" s="399"/>
      <c r="BC670" s="399"/>
      <c r="BD670" s="399"/>
      <c r="BE670" s="399"/>
      <c r="BF670" s="399"/>
      <c r="BG670" s="399"/>
      <c r="BH670" s="399"/>
      <c r="BI670" s="399"/>
      <c r="BJ670" s="399"/>
      <c r="BK670" s="399"/>
      <c r="BL670" s="399"/>
      <c r="BM670" s="399"/>
      <c r="BN670" s="399"/>
      <c r="BO670" s="399"/>
      <c r="BP670" s="399"/>
      <c r="BQ670" s="399"/>
      <c r="BR670" s="399"/>
      <c r="BS670" s="399"/>
      <c r="BT670" s="399"/>
      <c r="BU670" s="399"/>
      <c r="BV670" s="399"/>
      <c r="BW670" s="399"/>
      <c r="BX670" s="399"/>
      <c r="BY670" s="399"/>
      <c r="BZ670" s="399"/>
      <c r="CA670" s="399"/>
      <c r="CB670" s="399"/>
      <c r="CC670" s="399"/>
      <c r="CD670" s="399"/>
      <c r="CE670" s="399"/>
      <c r="CF670" s="399"/>
      <c r="CG670" s="399"/>
      <c r="CH670" s="399"/>
      <c r="CI670" s="399"/>
      <c r="CJ670" s="399"/>
      <c r="CK670" s="399"/>
      <c r="CL670" s="399"/>
      <c r="CM670" s="399"/>
      <c r="CN670" s="399"/>
      <c r="CO670" s="399"/>
      <c r="CP670" s="399"/>
      <c r="CQ670" s="399"/>
      <c r="CR670" s="399"/>
      <c r="CS670" s="399"/>
      <c r="CT670" s="399"/>
      <c r="CU670" s="399"/>
      <c r="CV670" s="399"/>
      <c r="CW670" s="399"/>
      <c r="CX670" s="399"/>
      <c r="CY670" s="399"/>
      <c r="CZ670" s="399"/>
      <c r="DA670" s="399"/>
      <c r="DB670" s="399"/>
      <c r="DC670" s="399"/>
      <c r="DD670" s="399"/>
      <c r="DE670" s="399"/>
      <c r="DF670" s="399"/>
      <c r="DG670" s="399"/>
      <c r="DH670" s="399"/>
      <c r="DI670" s="399"/>
      <c r="DJ670" s="399"/>
      <c r="DK670" s="399"/>
      <c r="DL670" s="399"/>
      <c r="DM670" s="399"/>
      <c r="DN670" s="399"/>
      <c r="DO670" s="399"/>
      <c r="DP670" s="399"/>
      <c r="DQ670" s="399"/>
    </row>
    <row r="671" spans="1:121" s="760" customFormat="1" ht="14.45" customHeight="1" x14ac:dyDescent="0.25">
      <c r="A671" s="266">
        <f t="shared" si="10"/>
        <v>42.133333333333333</v>
      </c>
      <c r="B671" s="389">
        <v>41592</v>
      </c>
      <c r="C671" s="390" t="s">
        <v>451</v>
      </c>
      <c r="D671" s="390" t="s">
        <v>572</v>
      </c>
      <c r="E671" s="390" t="s">
        <v>380</v>
      </c>
      <c r="F671" s="262" t="s">
        <v>5</v>
      </c>
      <c r="G671" s="262" t="s">
        <v>511</v>
      </c>
      <c r="H671" s="261"/>
      <c r="I671" s="261"/>
      <c r="J671" s="261"/>
      <c r="K671" s="261">
        <v>12</v>
      </c>
      <c r="L671" s="261">
        <v>9</v>
      </c>
      <c r="M671" s="261">
        <v>12</v>
      </c>
      <c r="N671" s="261">
        <v>9</v>
      </c>
      <c r="O671" s="261">
        <v>9</v>
      </c>
      <c r="P671" s="261"/>
      <c r="Q671" s="261"/>
      <c r="R671" s="261"/>
      <c r="S671" s="261"/>
      <c r="T671" s="261"/>
      <c r="U671" s="261"/>
      <c r="V671" s="762"/>
      <c r="W671" s="261"/>
      <c r="X671" s="261"/>
      <c r="Y671" s="264">
        <f>IF(NFI_Expiration=1,IF($A671&lt;VLOOKUP(H$5,NFI,5,0),1,0)*Table_NFI[[#This Row],[Hygiene Kit]],Table_NFI[Hygiene Kit])</f>
        <v>0</v>
      </c>
      <c r="Z671" s="264">
        <f>IF(NFI_Expiration=1,IF($A671&lt;VLOOKUP(I$5,NFI,5,0),1,0)*Table_NFI[[#This Row],[NFI Core Kit]],Table_NFI[NFI Core Kit])</f>
        <v>0</v>
      </c>
      <c r="AA671" s="264">
        <f>IF(NFI_Expiration=1,IF($A671&lt;VLOOKUP(J$5,NFI,5,0),1,0)*Table_NFI[[#This Row],[Sanitary Kit]],Table_NFI[Sanitary Kit])</f>
        <v>0</v>
      </c>
      <c r="AB671" s="264">
        <f>IF(NFI_Expiration=1,IF($A671&lt;VLOOKUP(K$5,NFI,5,0),1,0)*Table_NFI[[#This Row],[Mosquito net]],Table_NFI[Mosquito net])</f>
        <v>0</v>
      </c>
      <c r="AC671" s="264">
        <f>IF(NFI_Expiration=1,IF($A671&lt;VLOOKUP(L$5,NFI,5,0),1,0)*Table_NFI[[#This Row],[Tarpaulin]],Table_NFI[[#This Row],[Tarpaulin]])</f>
        <v>0</v>
      </c>
      <c r="AD671" s="264">
        <f>IF(NFI_Expiration=1,IF($A671&lt;VLOOKUP(M$5,NFI,5,0),1,0)*Table_NFI[[#This Row],[Blanket]],Table_NFI[[#This Row],[Blanket]])</f>
        <v>0</v>
      </c>
      <c r="AE671" s="264">
        <f>IF(NFI_Expiration=1,IF($A671&lt;VLOOKUP(N$5,NFI,5,0),1,0)*Table_NFI[[#This Row],[Kitchen Set]],Table_NFI[Kitchen Set])</f>
        <v>0</v>
      </c>
      <c r="AF671" s="264">
        <f>IF(NFI_Expiration=1,IF($A671&lt;VLOOKUP(O$5,NFI,5,0),1,0)*Table_NFI[[#This Row],[Clothes Kit]],Table_NFI[Clothes Kit])</f>
        <v>0</v>
      </c>
      <c r="AG671" s="264">
        <f>IF(NFI_Expiration=1,IF($A671&lt;VLOOKUP(P$5,NFI,5,0),1,0)*Table_NFI[[#This Row],[Plastic Bucket]],Table_NFI[Plastic Bucket])</f>
        <v>0</v>
      </c>
      <c r="AH671" s="264">
        <f>IF(NFI_Expiration=1,IF($A671&lt;VLOOKUP(Q$5,NFI,5,0),1,0)*Table_NFI[[#This Row],[Plastic Mat]],Table_NFI[Plastic Mat])*IF(Table_NFI[[#This Row],[Distribution Date]]&gt;"2014-04-01",1,2.5)</f>
        <v>0</v>
      </c>
      <c r="AI671" s="264">
        <f>IF(NFI_Expiration=1,IF($A671&lt;VLOOKUP(R$5,NFI,5,0),1,0)*Table_NFI[[#This Row],[Winter Clothes Adult]],Table_NFI[Winter Clothes Adult])</f>
        <v>0</v>
      </c>
      <c r="AJ671" s="264">
        <f>IF(NFI_Expiration=1,IF($A671&lt;VLOOKUP(S$5,NFI,5,0),1,0)*Table_NFI[[#This Row],[Winter Clothes Children]],Table_NFI[Winter Clothes Children])</f>
        <v>0</v>
      </c>
      <c r="AK671" s="264">
        <f>IF(NFI_Expiration=1,IF($A671&lt;VLOOKUP(T$5,NFI,5,0),1,0)*Table_NFI[[#This Row],[Winter Items Other]],Table_NFI[Winter Items Other])</f>
        <v>0</v>
      </c>
      <c r="AL671" s="264">
        <f>IF(NFI_Expiration=1,IF($A671&lt;VLOOKUP(M$5,NFI,5,0),1,0)*Table_NFI[[#This Row],[Winter Blanket]],Table_NFI[[#This Row],[Winter Blanket]])</f>
        <v>0</v>
      </c>
      <c r="AM671" s="264">
        <f>IF(Table_NFI[[#This Row],[Winter Clothes Adult]]+Table_NFI[[#This Row],[Winter Clothes Children]]+Table_NFI[[#This Row],[Winter Items Other]]+Table_NFI[[#This Row],[Winter Blanket]]&gt;0,1,0)</f>
        <v>0</v>
      </c>
      <c r="AN671" s="296">
        <f>IF(NFI_Expiration=1,IF($A671&lt;VLOOKUP(V$5,NFI,5,0),1,0)*Table_NFI[[#This Row],[Jerry Can]],Table_NFI[Jerry Can])</f>
        <v>0</v>
      </c>
      <c r="AO671" s="296">
        <f>IF(NFI_Expiration=1,IF($A671&lt;VLOOKUP(V$5,NFI,5,0),1,0)*Table_NFI[[#This Row],[Shelter Tool kit]],Table_NFI[Shelter Tool kit])</f>
        <v>0</v>
      </c>
      <c r="AP671" s="296">
        <f>IF(NFI_Expiration=1,IF($A671&lt;VLOOKUP(V$5,NFI,5,0),1,0)*Table_NFI[[#This Row],[Tent]],Table_NFI[Tent])</f>
        <v>0</v>
      </c>
      <c r="AQ671" s="396" t="str">
        <f>IFERROR(VLOOKUP(Table_NFI[[#This Row],[Camp Name]],CL,2,0),"")</f>
        <v>MMR001CMP194</v>
      </c>
      <c r="AR671" s="702">
        <f ca="1">IF(Table_NFI[[#This Row],[Pcode]]="","",IF(OFFSET(CampList[Opening Date],MATCH(Table_NFI[[#This Row],[Pcode]],CampList[CP_Pcode],0)-1,0,1,1)&gt;=NFI_Monitor_Date,1,0))</f>
        <v>0</v>
      </c>
      <c r="AS671" s="396" t="str">
        <f>IFERROR(VLOOKUP(Table_NFI[[#This Row],[Camp Name]],CL,3,0),"")</f>
        <v>Open</v>
      </c>
      <c r="AT671" s="264" t="str">
        <f ca="1">IF(Table_NFI[[#This Row],[Pcode]]="","",OFFSET(CampList[Priority],MATCH(Table_NFI[[#This Row],[Pcode]],CampList[CP_Pcode],0)-1,0,1,1))</f>
        <v>P4</v>
      </c>
      <c r="AU671" s="263">
        <f>IFERROR(Table_NFI[[#This Row],[Kitchen Set]]/VLOOKUP(Table_NFI[[#This Row],[Camp Name]],CL,4,0),"")</f>
        <v>2.2065854316326281E-4</v>
      </c>
      <c r="AV671" s="390" t="s">
        <v>1087</v>
      </c>
      <c r="AW671" s="392"/>
      <c r="AX671" s="399"/>
      <c r="AY671" s="399"/>
      <c r="AZ671" s="399"/>
      <c r="BA671" s="399"/>
      <c r="BB671" s="399"/>
      <c r="BC671" s="399"/>
      <c r="BD671" s="399"/>
      <c r="BE671" s="399"/>
      <c r="BF671" s="399"/>
      <c r="BG671" s="399"/>
      <c r="BH671" s="399"/>
      <c r="BI671" s="399"/>
      <c r="BJ671" s="399"/>
      <c r="BK671" s="399"/>
      <c r="BL671" s="399"/>
      <c r="BM671" s="399"/>
      <c r="BN671" s="399"/>
      <c r="BO671" s="399"/>
      <c r="BP671" s="399"/>
      <c r="BQ671" s="399"/>
      <c r="BR671" s="399"/>
      <c r="BS671" s="399"/>
      <c r="BT671" s="399"/>
      <c r="BU671" s="399"/>
      <c r="BV671" s="399"/>
      <c r="BW671" s="399"/>
      <c r="BX671" s="399"/>
      <c r="BY671" s="399"/>
      <c r="BZ671" s="399"/>
      <c r="CA671" s="399"/>
      <c r="CB671" s="399"/>
      <c r="CC671" s="399"/>
      <c r="CD671" s="399"/>
      <c r="CE671" s="399"/>
      <c r="CF671" s="399"/>
      <c r="CG671" s="399"/>
      <c r="CH671" s="399"/>
      <c r="CI671" s="399"/>
      <c r="CJ671" s="399"/>
      <c r="CK671" s="399"/>
      <c r="CL671" s="399"/>
      <c r="CM671" s="399"/>
      <c r="CN671" s="399"/>
      <c r="CO671" s="399"/>
      <c r="CP671" s="399"/>
      <c r="CQ671" s="399"/>
      <c r="CR671" s="399"/>
      <c r="CS671" s="399"/>
      <c r="CT671" s="399"/>
      <c r="CU671" s="399"/>
      <c r="CV671" s="399"/>
      <c r="CW671" s="399"/>
      <c r="CX671" s="399"/>
      <c r="CY671" s="399"/>
      <c r="CZ671" s="399"/>
      <c r="DA671" s="399"/>
      <c r="DB671" s="399"/>
      <c r="DC671" s="399"/>
      <c r="DD671" s="399"/>
      <c r="DE671" s="399"/>
      <c r="DF671" s="399"/>
      <c r="DG671" s="399"/>
      <c r="DH671" s="399"/>
      <c r="DI671" s="399"/>
      <c r="DJ671" s="399"/>
      <c r="DK671" s="399"/>
      <c r="DL671" s="399"/>
      <c r="DM671" s="399"/>
      <c r="DN671" s="399"/>
      <c r="DO671" s="399"/>
      <c r="DP671" s="399"/>
      <c r="DQ671" s="399"/>
    </row>
    <row r="672" spans="1:121" s="760" customFormat="1" ht="14.45" customHeight="1" x14ac:dyDescent="0.25">
      <c r="A672" s="266">
        <f t="shared" si="10"/>
        <v>42.133333333333333</v>
      </c>
      <c r="B672" s="389">
        <v>41592</v>
      </c>
      <c r="C672" s="390" t="s">
        <v>904</v>
      </c>
      <c r="D672" s="390" t="s">
        <v>1001</v>
      </c>
      <c r="E672" s="390" t="s">
        <v>380</v>
      </c>
      <c r="F672" s="262" t="s">
        <v>151</v>
      </c>
      <c r="G672" s="390" t="s">
        <v>198</v>
      </c>
      <c r="H672" s="261"/>
      <c r="I672" s="261"/>
      <c r="J672" s="261"/>
      <c r="K672" s="261"/>
      <c r="L672" s="261"/>
      <c r="M672" s="261"/>
      <c r="N672" s="261"/>
      <c r="O672" s="261"/>
      <c r="P672" s="261"/>
      <c r="Q672" s="261"/>
      <c r="R672" s="261">
        <v>550</v>
      </c>
      <c r="S672" s="261">
        <v>1101</v>
      </c>
      <c r="T672" s="261">
        <v>3302</v>
      </c>
      <c r="U672" s="261">
        <v>1651</v>
      </c>
      <c r="V672" s="762"/>
      <c r="W672" s="261"/>
      <c r="X672" s="261"/>
      <c r="Y672" s="264">
        <f>IF(NFI_Expiration=1,IF($A672&lt;VLOOKUP(H$5,NFI,5,0),1,0)*Table_NFI[[#This Row],[Hygiene Kit]],Table_NFI[Hygiene Kit])</f>
        <v>0</v>
      </c>
      <c r="Z672" s="264">
        <f>IF(NFI_Expiration=1,IF($A672&lt;VLOOKUP(I$5,NFI,5,0),1,0)*Table_NFI[[#This Row],[NFI Core Kit]],Table_NFI[NFI Core Kit])</f>
        <v>0</v>
      </c>
      <c r="AA672" s="264">
        <f>IF(NFI_Expiration=1,IF($A672&lt;VLOOKUP(J$5,NFI,5,0),1,0)*Table_NFI[[#This Row],[Sanitary Kit]],Table_NFI[Sanitary Kit])</f>
        <v>0</v>
      </c>
      <c r="AB672" s="264">
        <f>IF(NFI_Expiration=1,IF($A672&lt;VLOOKUP(K$5,NFI,5,0),1,0)*Table_NFI[[#This Row],[Mosquito net]],Table_NFI[Mosquito net])</f>
        <v>0</v>
      </c>
      <c r="AC672" s="264">
        <f>IF(NFI_Expiration=1,IF($A672&lt;VLOOKUP(L$5,NFI,5,0),1,0)*Table_NFI[[#This Row],[Tarpaulin]],Table_NFI[[#This Row],[Tarpaulin]])</f>
        <v>0</v>
      </c>
      <c r="AD672" s="264">
        <f>IF(NFI_Expiration=1,IF($A672&lt;VLOOKUP(M$5,NFI,5,0),1,0)*Table_NFI[[#This Row],[Blanket]],Table_NFI[[#This Row],[Blanket]])</f>
        <v>0</v>
      </c>
      <c r="AE672" s="264">
        <f>IF(NFI_Expiration=1,IF($A672&lt;VLOOKUP(N$5,NFI,5,0),1,0)*Table_NFI[[#This Row],[Kitchen Set]],Table_NFI[Kitchen Set])</f>
        <v>0</v>
      </c>
      <c r="AF672" s="264">
        <f>IF(NFI_Expiration=1,IF($A672&lt;VLOOKUP(O$5,NFI,5,0),1,0)*Table_NFI[[#This Row],[Clothes Kit]],Table_NFI[Clothes Kit])</f>
        <v>0</v>
      </c>
      <c r="AG672" s="264">
        <f>IF(NFI_Expiration=1,IF($A672&lt;VLOOKUP(P$5,NFI,5,0),1,0)*Table_NFI[[#This Row],[Plastic Bucket]],Table_NFI[Plastic Bucket])</f>
        <v>0</v>
      </c>
      <c r="AH672" s="264">
        <f>IF(NFI_Expiration=1,IF($A672&lt;VLOOKUP(Q$5,NFI,5,0),1,0)*Table_NFI[[#This Row],[Plastic Mat]],Table_NFI[Plastic Mat])*IF(Table_NFI[[#This Row],[Distribution Date]]&gt;"2014-04-01",1,2.5)</f>
        <v>0</v>
      </c>
      <c r="AI672" s="264">
        <f>IF(NFI_Expiration=1,IF($A672&lt;VLOOKUP(R$5,NFI,5,0),1,0)*Table_NFI[[#This Row],[Winter Clothes Adult]],Table_NFI[Winter Clothes Adult])</f>
        <v>0</v>
      </c>
      <c r="AJ672" s="264">
        <f>IF(NFI_Expiration=1,IF($A672&lt;VLOOKUP(S$5,NFI,5,0),1,0)*Table_NFI[[#This Row],[Winter Clothes Children]],Table_NFI[Winter Clothes Children])</f>
        <v>0</v>
      </c>
      <c r="AK672" s="264">
        <f>IF(NFI_Expiration=1,IF($A672&lt;VLOOKUP(T$5,NFI,5,0),1,0)*Table_NFI[[#This Row],[Winter Items Other]],Table_NFI[Winter Items Other])</f>
        <v>0</v>
      </c>
      <c r="AL672" s="264">
        <f>IF(NFI_Expiration=1,IF($A672&lt;VLOOKUP(M$5,NFI,5,0),1,0)*Table_NFI[[#This Row],[Winter Blanket]],Table_NFI[[#This Row],[Winter Blanket]])</f>
        <v>0</v>
      </c>
      <c r="AM672" s="264">
        <f>IF(Table_NFI[[#This Row],[Winter Clothes Adult]]+Table_NFI[[#This Row],[Winter Clothes Children]]+Table_NFI[[#This Row],[Winter Items Other]]+Table_NFI[[#This Row],[Winter Blanket]]&gt;0,1,0)</f>
        <v>1</v>
      </c>
      <c r="AN672" s="296">
        <f>IF(NFI_Expiration=1,IF($A672&lt;VLOOKUP(V$5,NFI,5,0),1,0)*Table_NFI[[#This Row],[Jerry Can]],Table_NFI[Jerry Can])</f>
        <v>0</v>
      </c>
      <c r="AO672" s="296">
        <f>IF(NFI_Expiration=1,IF($A672&lt;VLOOKUP(V$5,NFI,5,0),1,0)*Table_NFI[[#This Row],[Shelter Tool kit]],Table_NFI[Shelter Tool kit])</f>
        <v>0</v>
      </c>
      <c r="AP672" s="296">
        <f>IF(NFI_Expiration=1,IF($A672&lt;VLOOKUP(V$5,NFI,5,0),1,0)*Table_NFI[[#This Row],[Tent]],Table_NFI[Tent])</f>
        <v>0</v>
      </c>
      <c r="AQ672" s="396" t="str">
        <f>IFERROR(VLOOKUP(Table_NFI[[#This Row],[Camp Name]],CL,2,0),"")</f>
        <v>MMR001CMP128</v>
      </c>
      <c r="AR672" s="702">
        <f ca="1">IF(Table_NFI[[#This Row],[Pcode]]="","",IF(OFFSET(CampList[Opening Date],MATCH(Table_NFI[[#This Row],[Pcode]],CampList[CP_Pcode],0)-1,0,1,1)&gt;=NFI_Monitor_Date,1,0))</f>
        <v>0</v>
      </c>
      <c r="AS672" s="396" t="str">
        <f>IFERROR(VLOOKUP(Table_NFI[[#This Row],[Camp Name]],CL,3,0),"")</f>
        <v>Open</v>
      </c>
      <c r="AT672" s="264" t="str">
        <f ca="1">IF(Table_NFI[[#This Row],[Pcode]]="","",OFFSET(CampList[Priority],MATCH(Table_NFI[[#This Row],[Pcode]],CampList[CP_Pcode],0)-1,0,1,1))</f>
        <v>P2</v>
      </c>
      <c r="AU672" s="263">
        <f>IFERROR(Table_NFI[[#This Row],[Kitchen Set]]/VLOOKUP(Table_NFI[[#This Row],[Camp Name]],CL,4,0),"")</f>
        <v>0</v>
      </c>
      <c r="AV672" s="390"/>
      <c r="AW672" s="392"/>
      <c r="AX672" s="399"/>
      <c r="AY672" s="399"/>
      <c r="AZ672" s="399"/>
      <c r="BA672" s="399"/>
      <c r="BB672" s="399"/>
      <c r="BC672" s="399"/>
      <c r="BD672" s="399"/>
      <c r="BE672" s="399"/>
      <c r="BF672" s="399"/>
      <c r="BG672" s="399"/>
      <c r="BH672" s="399"/>
      <c r="BI672" s="399"/>
      <c r="BJ672" s="399"/>
      <c r="BK672" s="399"/>
      <c r="BL672" s="399"/>
      <c r="BM672" s="399"/>
      <c r="BN672" s="399"/>
      <c r="BO672" s="399"/>
      <c r="BP672" s="399"/>
      <c r="BQ672" s="399"/>
      <c r="BR672" s="399"/>
      <c r="BS672" s="399"/>
      <c r="BT672" s="399"/>
      <c r="BU672" s="399"/>
      <c r="BV672" s="399"/>
      <c r="BW672" s="399"/>
      <c r="BX672" s="399"/>
      <c r="BY672" s="399"/>
      <c r="BZ672" s="399"/>
      <c r="CA672" s="399"/>
      <c r="CB672" s="399"/>
      <c r="CC672" s="399"/>
      <c r="CD672" s="399"/>
      <c r="CE672" s="399"/>
      <c r="CF672" s="399"/>
      <c r="CG672" s="399"/>
      <c r="CH672" s="399"/>
      <c r="CI672" s="399"/>
      <c r="CJ672" s="399"/>
      <c r="CK672" s="399"/>
      <c r="CL672" s="399"/>
      <c r="CM672" s="399"/>
      <c r="CN672" s="399"/>
      <c r="CO672" s="399"/>
      <c r="CP672" s="399"/>
      <c r="CQ672" s="399"/>
      <c r="CR672" s="399"/>
      <c r="CS672" s="399"/>
      <c r="CT672" s="399"/>
      <c r="CU672" s="399"/>
      <c r="CV672" s="399"/>
      <c r="CW672" s="399"/>
      <c r="CX672" s="399"/>
      <c r="CY672" s="399"/>
      <c r="CZ672" s="399"/>
      <c r="DA672" s="399"/>
      <c r="DB672" s="399"/>
      <c r="DC672" s="399"/>
      <c r="DD672" s="399"/>
      <c r="DE672" s="399"/>
      <c r="DF672" s="399"/>
      <c r="DG672" s="399"/>
      <c r="DH672" s="399"/>
      <c r="DI672" s="399"/>
      <c r="DJ672" s="399"/>
      <c r="DK672" s="399"/>
      <c r="DL672" s="399"/>
      <c r="DM672" s="399"/>
      <c r="DN672" s="399"/>
      <c r="DO672" s="399"/>
      <c r="DP672" s="399"/>
      <c r="DQ672" s="399"/>
    </row>
    <row r="673" spans="1:121" s="760" customFormat="1" ht="14.45" customHeight="1" x14ac:dyDescent="0.25">
      <c r="A673" s="266">
        <f t="shared" si="10"/>
        <v>42.133333333333333</v>
      </c>
      <c r="B673" s="389">
        <v>41592</v>
      </c>
      <c r="C673" s="390" t="s">
        <v>452</v>
      </c>
      <c r="D673" s="390"/>
      <c r="E673" s="390" t="s">
        <v>380</v>
      </c>
      <c r="F673" s="390" t="s">
        <v>185</v>
      </c>
      <c r="G673" s="390" t="s">
        <v>186</v>
      </c>
      <c r="H673" s="261"/>
      <c r="I673" s="261"/>
      <c r="J673" s="261"/>
      <c r="K673" s="261"/>
      <c r="L673" s="261"/>
      <c r="M673" s="261">
        <v>75</v>
      </c>
      <c r="N673" s="261"/>
      <c r="O673" s="261"/>
      <c r="P673" s="261"/>
      <c r="Q673" s="261"/>
      <c r="R673" s="261"/>
      <c r="S673" s="261"/>
      <c r="T673" s="261"/>
      <c r="U673" s="261"/>
      <c r="V673" s="762"/>
      <c r="W673" s="261"/>
      <c r="X673" s="261"/>
      <c r="Y673" s="264">
        <f>IF(NFI_Expiration=1,IF($A673&lt;VLOOKUP(H$5,NFI,5,0),1,0)*Table_NFI[[#This Row],[Hygiene Kit]],Table_NFI[Hygiene Kit])</f>
        <v>0</v>
      </c>
      <c r="Z673" s="264">
        <f>IF(NFI_Expiration=1,IF($A673&lt;VLOOKUP(I$5,NFI,5,0),1,0)*Table_NFI[[#This Row],[NFI Core Kit]],Table_NFI[NFI Core Kit])</f>
        <v>0</v>
      </c>
      <c r="AA673" s="264">
        <f>IF(NFI_Expiration=1,IF($A673&lt;VLOOKUP(J$5,NFI,5,0),1,0)*Table_NFI[[#This Row],[Sanitary Kit]],Table_NFI[Sanitary Kit])</f>
        <v>0</v>
      </c>
      <c r="AB673" s="264">
        <f>IF(NFI_Expiration=1,IF($A673&lt;VLOOKUP(K$5,NFI,5,0),1,0)*Table_NFI[[#This Row],[Mosquito net]],Table_NFI[Mosquito net])</f>
        <v>0</v>
      </c>
      <c r="AC673" s="264">
        <f>IF(NFI_Expiration=1,IF($A673&lt;VLOOKUP(L$5,NFI,5,0),1,0)*Table_NFI[[#This Row],[Tarpaulin]],Table_NFI[[#This Row],[Tarpaulin]])</f>
        <v>0</v>
      </c>
      <c r="AD673" s="264">
        <f>IF(NFI_Expiration=1,IF($A673&lt;VLOOKUP(M$5,NFI,5,0),1,0)*Table_NFI[[#This Row],[Blanket]],Table_NFI[[#This Row],[Blanket]])</f>
        <v>0</v>
      </c>
      <c r="AE673" s="264">
        <f>IF(NFI_Expiration=1,IF($A673&lt;VLOOKUP(N$5,NFI,5,0),1,0)*Table_NFI[[#This Row],[Kitchen Set]],Table_NFI[Kitchen Set])</f>
        <v>0</v>
      </c>
      <c r="AF673" s="264">
        <f>IF(NFI_Expiration=1,IF($A673&lt;VLOOKUP(O$5,NFI,5,0),1,0)*Table_NFI[[#This Row],[Clothes Kit]],Table_NFI[Clothes Kit])</f>
        <v>0</v>
      </c>
      <c r="AG673" s="264">
        <f>IF(NFI_Expiration=1,IF($A673&lt;VLOOKUP(P$5,NFI,5,0),1,0)*Table_NFI[[#This Row],[Plastic Bucket]],Table_NFI[Plastic Bucket])</f>
        <v>0</v>
      </c>
      <c r="AH673" s="264">
        <f>IF(NFI_Expiration=1,IF($A673&lt;VLOOKUP(Q$5,NFI,5,0),1,0)*Table_NFI[[#This Row],[Plastic Mat]],Table_NFI[Plastic Mat])*IF(Table_NFI[[#This Row],[Distribution Date]]&gt;"2014-04-01",1,2.5)</f>
        <v>0</v>
      </c>
      <c r="AI673" s="264">
        <f>IF(NFI_Expiration=1,IF($A673&lt;VLOOKUP(R$5,NFI,5,0),1,0)*Table_NFI[[#This Row],[Winter Clothes Adult]],Table_NFI[Winter Clothes Adult])</f>
        <v>0</v>
      </c>
      <c r="AJ673" s="264">
        <f>IF(NFI_Expiration=1,IF($A673&lt;VLOOKUP(S$5,NFI,5,0),1,0)*Table_NFI[[#This Row],[Winter Clothes Children]],Table_NFI[Winter Clothes Children])</f>
        <v>0</v>
      </c>
      <c r="AK673" s="264">
        <f>IF(NFI_Expiration=1,IF($A673&lt;VLOOKUP(T$5,NFI,5,0),1,0)*Table_NFI[[#This Row],[Winter Items Other]],Table_NFI[Winter Items Other])</f>
        <v>0</v>
      </c>
      <c r="AL673" s="264">
        <f>IF(NFI_Expiration=1,IF($A673&lt;VLOOKUP(M$5,NFI,5,0),1,0)*Table_NFI[[#This Row],[Winter Blanket]],Table_NFI[[#This Row],[Winter Blanket]])</f>
        <v>0</v>
      </c>
      <c r="AM673" s="264">
        <f>IF(Table_NFI[[#This Row],[Winter Clothes Adult]]+Table_NFI[[#This Row],[Winter Clothes Children]]+Table_NFI[[#This Row],[Winter Items Other]]+Table_NFI[[#This Row],[Winter Blanket]]&gt;0,1,0)</f>
        <v>0</v>
      </c>
      <c r="AN673" s="296">
        <f>IF(NFI_Expiration=1,IF($A673&lt;VLOOKUP(V$5,NFI,5,0),1,0)*Table_NFI[[#This Row],[Jerry Can]],Table_NFI[Jerry Can])</f>
        <v>0</v>
      </c>
      <c r="AO673" s="296">
        <f>IF(NFI_Expiration=1,IF($A673&lt;VLOOKUP(V$5,NFI,5,0),1,0)*Table_NFI[[#This Row],[Shelter Tool kit]],Table_NFI[Shelter Tool kit])</f>
        <v>0</v>
      </c>
      <c r="AP673" s="296">
        <f>IF(NFI_Expiration=1,IF($A673&lt;VLOOKUP(V$5,NFI,5,0),1,0)*Table_NFI[[#This Row],[Tent]],Table_NFI[Tent])</f>
        <v>0</v>
      </c>
      <c r="AQ673" s="396" t="str">
        <f>IFERROR(VLOOKUP(Table_NFI[[#This Row],[Camp Name]],CL,2,0),"")</f>
        <v>MMR001CMP071</v>
      </c>
      <c r="AR673" s="702">
        <f ca="1">IF(Table_NFI[[#This Row],[Pcode]]="","",IF(OFFSET(CampList[Opening Date],MATCH(Table_NFI[[#This Row],[Pcode]],CampList[CP_Pcode],0)-1,0,1,1)&gt;=NFI_Monitor_Date,1,0))</f>
        <v>0</v>
      </c>
      <c r="AS673" s="396" t="str">
        <f>IFERROR(VLOOKUP(Table_NFI[[#This Row],[Camp Name]],CL,3,0),"")</f>
        <v>Open</v>
      </c>
      <c r="AT673" s="264" t="str">
        <f ca="1">IF(Table_NFI[[#This Row],[Pcode]]="","",OFFSET(CampList[Priority],MATCH(Table_NFI[[#This Row],[Pcode]],CampList[CP_Pcode],0)-1,0,1,1))</f>
        <v>P3</v>
      </c>
      <c r="AU673" s="263">
        <f>IFERROR(Table_NFI[[#This Row],[Kitchen Set]]/VLOOKUP(Table_NFI[[#This Row],[Camp Name]],CL,4,0),"")</f>
        <v>0</v>
      </c>
      <c r="AV673" s="390" t="s">
        <v>1087</v>
      </c>
      <c r="AW673" s="392"/>
      <c r="AX673" s="399"/>
      <c r="AY673" s="399"/>
      <c r="AZ673" s="399"/>
      <c r="BA673" s="399"/>
      <c r="BB673" s="399"/>
      <c r="BC673" s="399"/>
      <c r="BD673" s="399"/>
      <c r="BE673" s="399"/>
      <c r="BF673" s="399"/>
      <c r="BG673" s="399"/>
      <c r="BH673" s="399"/>
      <c r="BI673" s="399"/>
      <c r="BJ673" s="399"/>
      <c r="BK673" s="399"/>
      <c r="BL673" s="399"/>
      <c r="BM673" s="399"/>
      <c r="BN673" s="399"/>
      <c r="BO673" s="399"/>
      <c r="BP673" s="399"/>
      <c r="BQ673" s="399"/>
      <c r="BR673" s="399"/>
      <c r="BS673" s="399"/>
      <c r="BT673" s="399"/>
      <c r="BU673" s="399"/>
      <c r="BV673" s="399"/>
      <c r="BW673" s="399"/>
      <c r="BX673" s="399"/>
      <c r="BY673" s="399"/>
      <c r="BZ673" s="399"/>
      <c r="CA673" s="399"/>
      <c r="CB673" s="399"/>
      <c r="CC673" s="399"/>
      <c r="CD673" s="399"/>
      <c r="CE673" s="399"/>
      <c r="CF673" s="399"/>
      <c r="CG673" s="399"/>
      <c r="CH673" s="399"/>
      <c r="CI673" s="399"/>
      <c r="CJ673" s="399"/>
      <c r="CK673" s="399"/>
      <c r="CL673" s="399"/>
      <c r="CM673" s="399"/>
      <c r="CN673" s="399"/>
      <c r="CO673" s="399"/>
      <c r="CP673" s="399"/>
      <c r="CQ673" s="399"/>
      <c r="CR673" s="399"/>
      <c r="CS673" s="399"/>
      <c r="CT673" s="399"/>
      <c r="CU673" s="399"/>
      <c r="CV673" s="399"/>
      <c r="CW673" s="399"/>
      <c r="CX673" s="399"/>
      <c r="CY673" s="399"/>
      <c r="CZ673" s="399"/>
      <c r="DA673" s="399"/>
      <c r="DB673" s="399"/>
      <c r="DC673" s="399"/>
      <c r="DD673" s="399"/>
      <c r="DE673" s="399"/>
      <c r="DF673" s="399"/>
      <c r="DG673" s="399"/>
      <c r="DH673" s="399"/>
      <c r="DI673" s="399"/>
      <c r="DJ673" s="399"/>
      <c r="DK673" s="399"/>
      <c r="DL673" s="399"/>
      <c r="DM673" s="399"/>
      <c r="DN673" s="399"/>
      <c r="DO673" s="399"/>
      <c r="DP673" s="399"/>
      <c r="DQ673" s="399"/>
    </row>
    <row r="674" spans="1:121" s="760" customFormat="1" ht="14.45" customHeight="1" x14ac:dyDescent="0.25">
      <c r="A674" s="266">
        <f t="shared" si="10"/>
        <v>42.133333333333333</v>
      </c>
      <c r="B674" s="389">
        <v>41592</v>
      </c>
      <c r="C674" s="390" t="s">
        <v>452</v>
      </c>
      <c r="D674" s="390"/>
      <c r="E674" s="390" t="s">
        <v>380</v>
      </c>
      <c r="F674" s="390" t="s">
        <v>151</v>
      </c>
      <c r="G674" s="390" t="s">
        <v>160</v>
      </c>
      <c r="H674" s="261"/>
      <c r="I674" s="261"/>
      <c r="J674" s="261"/>
      <c r="K674" s="261"/>
      <c r="L674" s="261"/>
      <c r="M674" s="261"/>
      <c r="N674" s="261"/>
      <c r="O674" s="261"/>
      <c r="P674" s="261"/>
      <c r="Q674" s="261"/>
      <c r="R674" s="261"/>
      <c r="S674" s="261">
        <v>32</v>
      </c>
      <c r="T674" s="261"/>
      <c r="U674" s="261"/>
      <c r="V674" s="762"/>
      <c r="W674" s="261"/>
      <c r="X674" s="261"/>
      <c r="Y674" s="264">
        <f>IF(NFI_Expiration=1,IF($A674&lt;VLOOKUP(H$5,NFI,5,0),1,0)*Table_NFI[[#This Row],[Hygiene Kit]],Table_NFI[Hygiene Kit])</f>
        <v>0</v>
      </c>
      <c r="Z674" s="264">
        <f>IF(NFI_Expiration=1,IF($A674&lt;VLOOKUP(I$5,NFI,5,0),1,0)*Table_NFI[[#This Row],[NFI Core Kit]],Table_NFI[NFI Core Kit])</f>
        <v>0</v>
      </c>
      <c r="AA674" s="264">
        <f>IF(NFI_Expiration=1,IF($A674&lt;VLOOKUP(J$5,NFI,5,0),1,0)*Table_NFI[[#This Row],[Sanitary Kit]],Table_NFI[Sanitary Kit])</f>
        <v>0</v>
      </c>
      <c r="AB674" s="264">
        <f>IF(NFI_Expiration=1,IF($A674&lt;VLOOKUP(K$5,NFI,5,0),1,0)*Table_NFI[[#This Row],[Mosquito net]],Table_NFI[Mosquito net])</f>
        <v>0</v>
      </c>
      <c r="AC674" s="264">
        <f>IF(NFI_Expiration=1,IF($A674&lt;VLOOKUP(L$5,NFI,5,0),1,0)*Table_NFI[[#This Row],[Tarpaulin]],Table_NFI[[#This Row],[Tarpaulin]])</f>
        <v>0</v>
      </c>
      <c r="AD674" s="264">
        <f>IF(NFI_Expiration=1,IF($A674&lt;VLOOKUP(M$5,NFI,5,0),1,0)*Table_NFI[[#This Row],[Blanket]],Table_NFI[[#This Row],[Blanket]])</f>
        <v>0</v>
      </c>
      <c r="AE674" s="264">
        <f>IF(NFI_Expiration=1,IF($A674&lt;VLOOKUP(N$5,NFI,5,0),1,0)*Table_NFI[[#This Row],[Kitchen Set]],Table_NFI[Kitchen Set])</f>
        <v>0</v>
      </c>
      <c r="AF674" s="264">
        <f>IF(NFI_Expiration=1,IF($A674&lt;VLOOKUP(O$5,NFI,5,0),1,0)*Table_NFI[[#This Row],[Clothes Kit]],Table_NFI[Clothes Kit])</f>
        <v>0</v>
      </c>
      <c r="AG674" s="264">
        <f>IF(NFI_Expiration=1,IF($A674&lt;VLOOKUP(P$5,NFI,5,0),1,0)*Table_NFI[[#This Row],[Plastic Bucket]],Table_NFI[Plastic Bucket])</f>
        <v>0</v>
      </c>
      <c r="AH674" s="264">
        <f>IF(NFI_Expiration=1,IF($A674&lt;VLOOKUP(Q$5,NFI,5,0),1,0)*Table_NFI[[#This Row],[Plastic Mat]],Table_NFI[Plastic Mat])*IF(Table_NFI[[#This Row],[Distribution Date]]&gt;"2014-04-01",1,2.5)</f>
        <v>0</v>
      </c>
      <c r="AI674" s="264">
        <f>IF(NFI_Expiration=1,IF($A674&lt;VLOOKUP(R$5,NFI,5,0),1,0)*Table_NFI[[#This Row],[Winter Clothes Adult]],Table_NFI[Winter Clothes Adult])</f>
        <v>0</v>
      </c>
      <c r="AJ674" s="264">
        <f>IF(NFI_Expiration=1,IF($A674&lt;VLOOKUP(S$5,NFI,5,0),1,0)*Table_NFI[[#This Row],[Winter Clothes Children]],Table_NFI[Winter Clothes Children])</f>
        <v>0</v>
      </c>
      <c r="AK674" s="264">
        <f>IF(NFI_Expiration=1,IF($A674&lt;VLOOKUP(T$5,NFI,5,0),1,0)*Table_NFI[[#This Row],[Winter Items Other]],Table_NFI[Winter Items Other])</f>
        <v>0</v>
      </c>
      <c r="AL674" s="264">
        <f>IF(NFI_Expiration=1,IF($A674&lt;VLOOKUP(M$5,NFI,5,0),1,0)*Table_NFI[[#This Row],[Winter Blanket]],Table_NFI[[#This Row],[Winter Blanket]])</f>
        <v>0</v>
      </c>
      <c r="AM674" s="264">
        <f>IF(Table_NFI[[#This Row],[Winter Clothes Adult]]+Table_NFI[[#This Row],[Winter Clothes Children]]+Table_NFI[[#This Row],[Winter Items Other]]+Table_NFI[[#This Row],[Winter Blanket]]&gt;0,1,0)</f>
        <v>1</v>
      </c>
      <c r="AN674" s="296">
        <f>IF(NFI_Expiration=1,IF($A674&lt;VLOOKUP(V$5,NFI,5,0),1,0)*Table_NFI[[#This Row],[Jerry Can]],Table_NFI[Jerry Can])</f>
        <v>0</v>
      </c>
      <c r="AO674" s="296">
        <f>IF(NFI_Expiration=1,IF($A674&lt;VLOOKUP(V$5,NFI,5,0),1,0)*Table_NFI[[#This Row],[Shelter Tool kit]],Table_NFI[Shelter Tool kit])</f>
        <v>0</v>
      </c>
      <c r="AP674" s="296">
        <f>IF(NFI_Expiration=1,IF($A674&lt;VLOOKUP(V$5,NFI,5,0),1,0)*Table_NFI[[#This Row],[Tent]],Table_NFI[Tent])</f>
        <v>0</v>
      </c>
      <c r="AQ674" s="396" t="str">
        <f>IFERROR(VLOOKUP(Table_NFI[[#This Row],[Camp Name]],CL,2,0),"")</f>
        <v>MMR001CMP133</v>
      </c>
      <c r="AR674" s="702">
        <f ca="1">IF(Table_NFI[[#This Row],[Pcode]]="","",IF(OFFSET(CampList[Opening Date],MATCH(Table_NFI[[#This Row],[Pcode]],CampList[CP_Pcode],0)-1,0,1,1)&gt;=NFI_Monitor_Date,1,0))</f>
        <v>0</v>
      </c>
      <c r="AS674" s="396" t="str">
        <f>IFERROR(VLOOKUP(Table_NFI[[#This Row],[Camp Name]],CL,3,0),"")</f>
        <v>Open</v>
      </c>
      <c r="AT674" s="264" t="str">
        <f ca="1">IF(Table_NFI[[#This Row],[Pcode]]="","",OFFSET(CampList[Priority],MATCH(Table_NFI[[#This Row],[Pcode]],CampList[CP_Pcode],0)-1,0,1,1))</f>
        <v>P4</v>
      </c>
      <c r="AU674" s="263">
        <f>IFERROR(Table_NFI[[#This Row],[Kitchen Set]]/VLOOKUP(Table_NFI[[#This Row],[Camp Name]],CL,4,0),"")</f>
        <v>0</v>
      </c>
      <c r="AV674" s="390" t="s">
        <v>1087</v>
      </c>
      <c r="AW674" s="392"/>
      <c r="AX674" s="399"/>
      <c r="AY674" s="399"/>
      <c r="AZ674" s="399"/>
      <c r="BA674" s="399"/>
      <c r="BB674" s="399"/>
      <c r="BC674" s="399"/>
      <c r="BD674" s="399"/>
      <c r="BE674" s="399"/>
      <c r="BF674" s="399"/>
      <c r="BG674" s="399"/>
      <c r="BH674" s="399"/>
      <c r="BI674" s="399"/>
      <c r="BJ674" s="399"/>
      <c r="BK674" s="399"/>
      <c r="BL674" s="399"/>
      <c r="BM674" s="399"/>
      <c r="BN674" s="399"/>
      <c r="BO674" s="399"/>
      <c r="BP674" s="399"/>
      <c r="BQ674" s="399"/>
      <c r="BR674" s="399"/>
      <c r="BS674" s="399"/>
      <c r="BT674" s="399"/>
      <c r="BU674" s="399"/>
      <c r="BV674" s="399"/>
      <c r="BW674" s="399"/>
      <c r="BX674" s="399"/>
      <c r="BY674" s="399"/>
      <c r="BZ674" s="399"/>
      <c r="CA674" s="399"/>
      <c r="CB674" s="399"/>
      <c r="CC674" s="399"/>
      <c r="CD674" s="399"/>
      <c r="CE674" s="399"/>
      <c r="CF674" s="399"/>
      <c r="CG674" s="399"/>
      <c r="CH674" s="399"/>
      <c r="CI674" s="399"/>
      <c r="CJ674" s="399"/>
      <c r="CK674" s="399"/>
      <c r="CL674" s="399"/>
      <c r="CM674" s="399"/>
      <c r="CN674" s="399"/>
      <c r="CO674" s="399"/>
      <c r="CP674" s="399"/>
      <c r="CQ674" s="399"/>
      <c r="CR674" s="399"/>
      <c r="CS674" s="399"/>
      <c r="CT674" s="399"/>
      <c r="CU674" s="399"/>
      <c r="CV674" s="399"/>
      <c r="CW674" s="399"/>
      <c r="CX674" s="399"/>
      <c r="CY674" s="399"/>
      <c r="CZ674" s="399"/>
      <c r="DA674" s="399"/>
      <c r="DB674" s="399"/>
      <c r="DC674" s="399"/>
      <c r="DD674" s="399"/>
      <c r="DE674" s="399"/>
      <c r="DF674" s="399"/>
      <c r="DG674" s="399"/>
      <c r="DH674" s="399"/>
      <c r="DI674" s="399"/>
      <c r="DJ674" s="399"/>
      <c r="DK674" s="399"/>
      <c r="DL674" s="399"/>
      <c r="DM674" s="399"/>
      <c r="DN674" s="399"/>
      <c r="DO674" s="399"/>
      <c r="DP674" s="399"/>
      <c r="DQ674" s="399"/>
    </row>
    <row r="675" spans="1:121" s="760" customFormat="1" ht="14.45" customHeight="1" x14ac:dyDescent="0.25">
      <c r="A675" s="266">
        <f t="shared" si="10"/>
        <v>42.133333333333333</v>
      </c>
      <c r="B675" s="389">
        <v>41592</v>
      </c>
      <c r="C675" s="390" t="s">
        <v>904</v>
      </c>
      <c r="D675" s="390" t="s">
        <v>904</v>
      </c>
      <c r="E675" s="390" t="s">
        <v>380</v>
      </c>
      <c r="F675" s="390" t="s">
        <v>151</v>
      </c>
      <c r="G675" s="390" t="s">
        <v>154</v>
      </c>
      <c r="H675" s="261"/>
      <c r="I675" s="261"/>
      <c r="J675" s="261"/>
      <c r="K675" s="261"/>
      <c r="L675" s="261"/>
      <c r="M675" s="261"/>
      <c r="N675" s="261"/>
      <c r="O675" s="261"/>
      <c r="P675" s="261"/>
      <c r="Q675" s="261"/>
      <c r="R675" s="261"/>
      <c r="S675" s="261">
        <v>176</v>
      </c>
      <c r="T675" s="261">
        <v>352</v>
      </c>
      <c r="U675" s="261">
        <v>176</v>
      </c>
      <c r="V675" s="762"/>
      <c r="W675" s="261"/>
      <c r="X675" s="261"/>
      <c r="Y675" s="264">
        <f>IF(NFI_Expiration=1,IF($A675&lt;VLOOKUP(H$5,NFI,5,0),1,0)*Table_NFI[[#This Row],[Hygiene Kit]],Table_NFI[Hygiene Kit])</f>
        <v>0</v>
      </c>
      <c r="Z675" s="264">
        <f>IF(NFI_Expiration=1,IF($A675&lt;VLOOKUP(I$5,NFI,5,0),1,0)*Table_NFI[[#This Row],[NFI Core Kit]],Table_NFI[NFI Core Kit])</f>
        <v>0</v>
      </c>
      <c r="AA675" s="264">
        <f>IF(NFI_Expiration=1,IF($A675&lt;VLOOKUP(J$5,NFI,5,0),1,0)*Table_NFI[[#This Row],[Sanitary Kit]],Table_NFI[Sanitary Kit])</f>
        <v>0</v>
      </c>
      <c r="AB675" s="264">
        <f>IF(NFI_Expiration=1,IF($A675&lt;VLOOKUP(K$5,NFI,5,0),1,0)*Table_NFI[[#This Row],[Mosquito net]],Table_NFI[Mosquito net])</f>
        <v>0</v>
      </c>
      <c r="AC675" s="264">
        <f>IF(NFI_Expiration=1,IF($A675&lt;VLOOKUP(L$5,NFI,5,0),1,0)*Table_NFI[[#This Row],[Tarpaulin]],Table_NFI[[#This Row],[Tarpaulin]])</f>
        <v>0</v>
      </c>
      <c r="AD675" s="264">
        <f>IF(NFI_Expiration=1,IF($A675&lt;VLOOKUP(M$5,NFI,5,0),1,0)*Table_NFI[[#This Row],[Blanket]],Table_NFI[[#This Row],[Blanket]])</f>
        <v>0</v>
      </c>
      <c r="AE675" s="264">
        <f>IF(NFI_Expiration=1,IF($A675&lt;VLOOKUP(N$5,NFI,5,0),1,0)*Table_NFI[[#This Row],[Kitchen Set]],Table_NFI[Kitchen Set])</f>
        <v>0</v>
      </c>
      <c r="AF675" s="264">
        <f>IF(NFI_Expiration=1,IF($A675&lt;VLOOKUP(O$5,NFI,5,0),1,0)*Table_NFI[[#This Row],[Clothes Kit]],Table_NFI[Clothes Kit])</f>
        <v>0</v>
      </c>
      <c r="AG675" s="264">
        <f>IF(NFI_Expiration=1,IF($A675&lt;VLOOKUP(P$5,NFI,5,0),1,0)*Table_NFI[[#This Row],[Plastic Bucket]],Table_NFI[Plastic Bucket])</f>
        <v>0</v>
      </c>
      <c r="AH675" s="264">
        <f>IF(NFI_Expiration=1,IF($A675&lt;VLOOKUP(Q$5,NFI,5,0),1,0)*Table_NFI[[#This Row],[Plastic Mat]],Table_NFI[Plastic Mat])*IF(Table_NFI[[#This Row],[Distribution Date]]&gt;"2014-04-01",1,2.5)</f>
        <v>0</v>
      </c>
      <c r="AI675" s="264">
        <f>IF(NFI_Expiration=1,IF($A675&lt;VLOOKUP(R$5,NFI,5,0),1,0)*Table_NFI[[#This Row],[Winter Clothes Adult]],Table_NFI[Winter Clothes Adult])</f>
        <v>0</v>
      </c>
      <c r="AJ675" s="264">
        <f>IF(NFI_Expiration=1,IF($A675&lt;VLOOKUP(S$5,NFI,5,0),1,0)*Table_NFI[[#This Row],[Winter Clothes Children]],Table_NFI[Winter Clothes Children])</f>
        <v>0</v>
      </c>
      <c r="AK675" s="264">
        <f>IF(NFI_Expiration=1,IF($A675&lt;VLOOKUP(T$5,NFI,5,0),1,0)*Table_NFI[[#This Row],[Winter Items Other]],Table_NFI[Winter Items Other])</f>
        <v>0</v>
      </c>
      <c r="AL675" s="264">
        <f>IF(NFI_Expiration=1,IF($A675&lt;VLOOKUP(M$5,NFI,5,0),1,0)*Table_NFI[[#This Row],[Winter Blanket]],Table_NFI[[#This Row],[Winter Blanket]])</f>
        <v>0</v>
      </c>
      <c r="AM675" s="264">
        <f>IF(Table_NFI[[#This Row],[Winter Clothes Adult]]+Table_NFI[[#This Row],[Winter Clothes Children]]+Table_NFI[[#This Row],[Winter Items Other]]+Table_NFI[[#This Row],[Winter Blanket]]&gt;0,1,0)</f>
        <v>1</v>
      </c>
      <c r="AN675" s="296">
        <f>IF(NFI_Expiration=1,IF($A675&lt;VLOOKUP(V$5,NFI,5,0),1,0)*Table_NFI[[#This Row],[Jerry Can]],Table_NFI[Jerry Can])</f>
        <v>0</v>
      </c>
      <c r="AO675" s="296">
        <f>IF(NFI_Expiration=1,IF($A675&lt;VLOOKUP(V$5,NFI,5,0),1,0)*Table_NFI[[#This Row],[Shelter Tool kit]],Table_NFI[Shelter Tool kit])</f>
        <v>0</v>
      </c>
      <c r="AP675" s="296">
        <f>IF(NFI_Expiration=1,IF($A675&lt;VLOOKUP(V$5,NFI,5,0),1,0)*Table_NFI[[#This Row],[Tent]],Table_NFI[Tent])</f>
        <v>0</v>
      </c>
      <c r="AQ675" s="396" t="str">
        <f>IFERROR(VLOOKUP(Table_NFI[[#This Row],[Camp Name]],CL,2,0),"")</f>
        <v>MMR001CMP132</v>
      </c>
      <c r="AR675" s="702">
        <f ca="1">IF(Table_NFI[[#This Row],[Pcode]]="","",IF(OFFSET(CampList[Opening Date],MATCH(Table_NFI[[#This Row],[Pcode]],CampList[CP_Pcode],0)-1,0,1,1)&gt;=NFI_Monitor_Date,1,0))</f>
        <v>0</v>
      </c>
      <c r="AS675" s="396" t="str">
        <f>IFERROR(VLOOKUP(Table_NFI[[#This Row],[Camp Name]],CL,3,0),"")</f>
        <v>Open</v>
      </c>
      <c r="AT675" s="264" t="str">
        <f ca="1">IF(Table_NFI[[#This Row],[Pcode]]="","",OFFSET(CampList[Priority],MATCH(Table_NFI[[#This Row],[Pcode]],CampList[CP_Pcode],0)-1,0,1,1))</f>
        <v>P4</v>
      </c>
      <c r="AU675" s="263">
        <f>IFERROR(Table_NFI[[#This Row],[Kitchen Set]]/VLOOKUP(Table_NFI[[#This Row],[Camp Name]],CL,4,0),"")</f>
        <v>0</v>
      </c>
      <c r="AV675" s="390"/>
      <c r="AW675" s="392"/>
      <c r="AX675" s="399"/>
      <c r="AY675" s="399"/>
      <c r="AZ675" s="399"/>
      <c r="BA675" s="399"/>
      <c r="BB675" s="399"/>
      <c r="BC675" s="399"/>
      <c r="BD675" s="399"/>
      <c r="BE675" s="399"/>
      <c r="BF675" s="399"/>
      <c r="BG675" s="399"/>
      <c r="BH675" s="399"/>
      <c r="BI675" s="399"/>
      <c r="BJ675" s="399"/>
      <c r="BK675" s="399"/>
      <c r="BL675" s="399"/>
      <c r="BM675" s="399"/>
      <c r="BN675" s="399"/>
      <c r="BO675" s="399"/>
      <c r="BP675" s="399"/>
      <c r="BQ675" s="399"/>
      <c r="BR675" s="399"/>
      <c r="BS675" s="399"/>
      <c r="BT675" s="399"/>
      <c r="BU675" s="399"/>
      <c r="BV675" s="399"/>
      <c r="BW675" s="399"/>
      <c r="BX675" s="399"/>
      <c r="BY675" s="399"/>
      <c r="BZ675" s="399"/>
      <c r="CA675" s="399"/>
      <c r="CB675" s="399"/>
      <c r="CC675" s="399"/>
      <c r="CD675" s="399"/>
      <c r="CE675" s="399"/>
      <c r="CF675" s="399"/>
      <c r="CG675" s="399"/>
      <c r="CH675" s="399"/>
      <c r="CI675" s="399"/>
      <c r="CJ675" s="399"/>
      <c r="CK675" s="399"/>
      <c r="CL675" s="399"/>
      <c r="CM675" s="399"/>
      <c r="CN675" s="399"/>
      <c r="CO675" s="399"/>
      <c r="CP675" s="399"/>
      <c r="CQ675" s="399"/>
      <c r="CR675" s="399"/>
      <c r="CS675" s="399"/>
      <c r="CT675" s="399"/>
      <c r="CU675" s="399"/>
      <c r="CV675" s="399"/>
      <c r="CW675" s="399"/>
      <c r="CX675" s="399"/>
      <c r="CY675" s="399"/>
      <c r="CZ675" s="399"/>
      <c r="DA675" s="399"/>
      <c r="DB675" s="399"/>
      <c r="DC675" s="399"/>
      <c r="DD675" s="399"/>
      <c r="DE675" s="399"/>
      <c r="DF675" s="399"/>
      <c r="DG675" s="399"/>
      <c r="DH675" s="399"/>
      <c r="DI675" s="399"/>
      <c r="DJ675" s="399"/>
      <c r="DK675" s="399"/>
      <c r="DL675" s="399"/>
      <c r="DM675" s="399"/>
      <c r="DN675" s="399"/>
      <c r="DO675" s="399"/>
      <c r="DP675" s="399"/>
      <c r="DQ675" s="399"/>
    </row>
    <row r="676" spans="1:121" s="760" customFormat="1" ht="14.45" customHeight="1" x14ac:dyDescent="0.25">
      <c r="A676" s="266">
        <f t="shared" si="10"/>
        <v>42.133333333333333</v>
      </c>
      <c r="B676" s="389">
        <v>41592</v>
      </c>
      <c r="C676" s="390" t="s">
        <v>451</v>
      </c>
      <c r="D676" s="390" t="s">
        <v>451</v>
      </c>
      <c r="E676" s="390" t="s">
        <v>380</v>
      </c>
      <c r="F676" s="262" t="s">
        <v>151</v>
      </c>
      <c r="G676" s="262" t="s">
        <v>152</v>
      </c>
      <c r="H676" s="261"/>
      <c r="I676" s="261"/>
      <c r="J676" s="261">
        <v>18</v>
      </c>
      <c r="K676" s="261">
        <v>31</v>
      </c>
      <c r="L676" s="261">
        <v>18</v>
      </c>
      <c r="M676" s="261">
        <v>31</v>
      </c>
      <c r="N676" s="261">
        <v>18</v>
      </c>
      <c r="O676" s="261">
        <v>18</v>
      </c>
      <c r="P676" s="261"/>
      <c r="Q676" s="261"/>
      <c r="R676" s="261"/>
      <c r="S676" s="261"/>
      <c r="T676" s="261"/>
      <c r="U676" s="261"/>
      <c r="V676" s="762"/>
      <c r="W676" s="261"/>
      <c r="X676" s="261"/>
      <c r="Y676" s="264">
        <f>IF(NFI_Expiration=1,IF($A676&lt;VLOOKUP(H$5,NFI,5,0),1,0)*Table_NFI[[#This Row],[Hygiene Kit]],Table_NFI[Hygiene Kit])</f>
        <v>0</v>
      </c>
      <c r="Z676" s="264">
        <f>IF(NFI_Expiration=1,IF($A676&lt;VLOOKUP(I$5,NFI,5,0),1,0)*Table_NFI[[#This Row],[NFI Core Kit]],Table_NFI[NFI Core Kit])</f>
        <v>0</v>
      </c>
      <c r="AA676" s="264">
        <f>IF(NFI_Expiration=1,IF($A676&lt;VLOOKUP(J$5,NFI,5,0),1,0)*Table_NFI[[#This Row],[Sanitary Kit]],Table_NFI[Sanitary Kit])</f>
        <v>0</v>
      </c>
      <c r="AB676" s="264">
        <f>IF(NFI_Expiration=1,IF($A676&lt;VLOOKUP(K$5,NFI,5,0),1,0)*Table_NFI[[#This Row],[Mosquito net]],Table_NFI[Mosquito net])</f>
        <v>0</v>
      </c>
      <c r="AC676" s="264">
        <f>IF(NFI_Expiration=1,IF($A676&lt;VLOOKUP(L$5,NFI,5,0),1,0)*Table_NFI[[#This Row],[Tarpaulin]],Table_NFI[[#This Row],[Tarpaulin]])</f>
        <v>0</v>
      </c>
      <c r="AD676" s="264">
        <f>IF(NFI_Expiration=1,IF($A676&lt;VLOOKUP(M$5,NFI,5,0),1,0)*Table_NFI[[#This Row],[Blanket]],Table_NFI[[#This Row],[Blanket]])</f>
        <v>0</v>
      </c>
      <c r="AE676" s="264">
        <f>IF(NFI_Expiration=1,IF($A676&lt;VLOOKUP(N$5,NFI,5,0),1,0)*Table_NFI[[#This Row],[Kitchen Set]],Table_NFI[Kitchen Set])</f>
        <v>0</v>
      </c>
      <c r="AF676" s="264">
        <f>IF(NFI_Expiration=1,IF($A676&lt;VLOOKUP(O$5,NFI,5,0),1,0)*Table_NFI[[#This Row],[Clothes Kit]],Table_NFI[Clothes Kit])</f>
        <v>0</v>
      </c>
      <c r="AG676" s="264">
        <f>IF(NFI_Expiration=1,IF($A676&lt;VLOOKUP(P$5,NFI,5,0),1,0)*Table_NFI[[#This Row],[Plastic Bucket]],Table_NFI[Plastic Bucket])</f>
        <v>0</v>
      </c>
      <c r="AH676" s="264">
        <f>IF(NFI_Expiration=1,IF($A676&lt;VLOOKUP(Q$5,NFI,5,0),1,0)*Table_NFI[[#This Row],[Plastic Mat]],Table_NFI[Plastic Mat])*IF(Table_NFI[[#This Row],[Distribution Date]]&gt;"2014-04-01",1,2.5)</f>
        <v>0</v>
      </c>
      <c r="AI676" s="264">
        <f>IF(NFI_Expiration=1,IF($A676&lt;VLOOKUP(R$5,NFI,5,0),1,0)*Table_NFI[[#This Row],[Winter Clothes Adult]],Table_NFI[Winter Clothes Adult])</f>
        <v>0</v>
      </c>
      <c r="AJ676" s="264">
        <f>IF(NFI_Expiration=1,IF($A676&lt;VLOOKUP(S$5,NFI,5,0),1,0)*Table_NFI[[#This Row],[Winter Clothes Children]],Table_NFI[Winter Clothes Children])</f>
        <v>0</v>
      </c>
      <c r="AK676" s="264">
        <f>IF(NFI_Expiration=1,IF($A676&lt;VLOOKUP(T$5,NFI,5,0),1,0)*Table_NFI[[#This Row],[Winter Items Other]],Table_NFI[Winter Items Other])</f>
        <v>0</v>
      </c>
      <c r="AL676" s="264">
        <f>IF(NFI_Expiration=1,IF($A676&lt;VLOOKUP(M$5,NFI,5,0),1,0)*Table_NFI[[#This Row],[Winter Blanket]],Table_NFI[[#This Row],[Winter Blanket]])</f>
        <v>0</v>
      </c>
      <c r="AM676" s="264">
        <f>IF(Table_NFI[[#This Row],[Winter Clothes Adult]]+Table_NFI[[#This Row],[Winter Clothes Children]]+Table_NFI[[#This Row],[Winter Items Other]]+Table_NFI[[#This Row],[Winter Blanket]]&gt;0,1,0)</f>
        <v>0</v>
      </c>
      <c r="AN676" s="296">
        <f>IF(NFI_Expiration=1,IF($A676&lt;VLOOKUP(V$5,NFI,5,0),1,0)*Table_NFI[[#This Row],[Jerry Can]],Table_NFI[Jerry Can])</f>
        <v>0</v>
      </c>
      <c r="AO676" s="296">
        <f>IF(NFI_Expiration=1,IF($A676&lt;VLOOKUP(V$5,NFI,5,0),1,0)*Table_NFI[[#This Row],[Shelter Tool kit]],Table_NFI[Shelter Tool kit])</f>
        <v>0</v>
      </c>
      <c r="AP676" s="296">
        <f>IF(NFI_Expiration=1,IF($A676&lt;VLOOKUP(V$5,NFI,5,0),1,0)*Table_NFI[[#This Row],[Tent]],Table_NFI[Tent])</f>
        <v>0</v>
      </c>
      <c r="AQ676" s="396" t="str">
        <f>IFERROR(VLOOKUP(Table_NFI[[#This Row],[Camp Name]],CL,2,0),"")</f>
        <v>MMR001CMP066</v>
      </c>
      <c r="AR676" s="702">
        <f ca="1">IF(Table_NFI[[#This Row],[Pcode]]="","",IF(OFFSET(CampList[Opening Date],MATCH(Table_NFI[[#This Row],[Pcode]],CampList[CP_Pcode],0)-1,0,1,1)&gt;=NFI_Monitor_Date,1,0))</f>
        <v>0</v>
      </c>
      <c r="AS676" s="396" t="str">
        <f>IFERROR(VLOOKUP(Table_NFI[[#This Row],[Camp Name]],CL,3,0),"")</f>
        <v>Open</v>
      </c>
      <c r="AT676" s="264" t="str">
        <f ca="1">IF(Table_NFI[[#This Row],[Pcode]]="","",OFFSET(CampList[Priority],MATCH(Table_NFI[[#This Row],[Pcode]],CampList[CP_Pcode],0)-1,0,1,1))</f>
        <v>P4</v>
      </c>
      <c r="AU676" s="263">
        <f>IFERROR(Table_NFI[[#This Row],[Kitchen Set]]/VLOOKUP(Table_NFI[[#This Row],[Camp Name]],CL,4,0),"")</f>
        <v>4.3291084441665265E-4</v>
      </c>
      <c r="AV676" s="390" t="s">
        <v>1087</v>
      </c>
      <c r="AW676" s="392"/>
      <c r="AX676" s="399"/>
      <c r="AY676" s="399"/>
      <c r="AZ676" s="399"/>
      <c r="BA676" s="399"/>
      <c r="BB676" s="399"/>
      <c r="BC676" s="399"/>
      <c r="BD676" s="399"/>
      <c r="BE676" s="399"/>
      <c r="BF676" s="399"/>
      <c r="BG676" s="399"/>
      <c r="BH676" s="399"/>
      <c r="BI676" s="399"/>
      <c r="BJ676" s="399"/>
      <c r="BK676" s="399"/>
      <c r="BL676" s="399"/>
      <c r="BM676" s="399"/>
      <c r="BN676" s="399"/>
      <c r="BO676" s="399"/>
      <c r="BP676" s="399"/>
      <c r="BQ676" s="399"/>
      <c r="BR676" s="399"/>
      <c r="BS676" s="399"/>
      <c r="BT676" s="399"/>
      <c r="BU676" s="399"/>
      <c r="BV676" s="399"/>
      <c r="BW676" s="399"/>
      <c r="BX676" s="399"/>
      <c r="BY676" s="399"/>
      <c r="BZ676" s="399"/>
      <c r="CA676" s="399"/>
      <c r="CB676" s="399"/>
      <c r="CC676" s="399"/>
      <c r="CD676" s="399"/>
      <c r="CE676" s="399"/>
      <c r="CF676" s="399"/>
      <c r="CG676" s="399"/>
      <c r="CH676" s="399"/>
      <c r="CI676" s="399"/>
      <c r="CJ676" s="399"/>
      <c r="CK676" s="399"/>
      <c r="CL676" s="399"/>
      <c r="CM676" s="399"/>
      <c r="CN676" s="399"/>
      <c r="CO676" s="399"/>
      <c r="CP676" s="399"/>
      <c r="CQ676" s="399"/>
      <c r="CR676" s="399"/>
      <c r="CS676" s="399"/>
      <c r="CT676" s="399"/>
      <c r="CU676" s="399"/>
      <c r="CV676" s="399"/>
      <c r="CW676" s="399"/>
      <c r="CX676" s="399"/>
      <c r="CY676" s="399"/>
      <c r="CZ676" s="399"/>
      <c r="DA676" s="399"/>
      <c r="DB676" s="399"/>
      <c r="DC676" s="399"/>
      <c r="DD676" s="399"/>
      <c r="DE676" s="399"/>
      <c r="DF676" s="399"/>
      <c r="DG676" s="399"/>
      <c r="DH676" s="399"/>
      <c r="DI676" s="399"/>
      <c r="DJ676" s="399"/>
      <c r="DK676" s="399"/>
      <c r="DL676" s="399"/>
      <c r="DM676" s="399"/>
      <c r="DN676" s="399"/>
      <c r="DO676" s="399"/>
      <c r="DP676" s="399"/>
      <c r="DQ676" s="399"/>
    </row>
    <row r="677" spans="1:121" s="760" customFormat="1" ht="14.45" customHeight="1" x14ac:dyDescent="0.25">
      <c r="A677" s="266">
        <f t="shared" si="10"/>
        <v>42.133333333333333</v>
      </c>
      <c r="B677" s="389">
        <v>41592</v>
      </c>
      <c r="C677" s="390" t="s">
        <v>452</v>
      </c>
      <c r="D677" s="390"/>
      <c r="E677" s="390" t="s">
        <v>380</v>
      </c>
      <c r="F677" s="390" t="s">
        <v>185</v>
      </c>
      <c r="G677" s="390" t="s">
        <v>225</v>
      </c>
      <c r="H677" s="261"/>
      <c r="I677" s="261"/>
      <c r="J677" s="261"/>
      <c r="K677" s="261"/>
      <c r="L677" s="261"/>
      <c r="M677" s="261">
        <v>110</v>
      </c>
      <c r="N677" s="261"/>
      <c r="O677" s="261"/>
      <c r="P677" s="261"/>
      <c r="Q677" s="261"/>
      <c r="R677" s="261"/>
      <c r="S677" s="261"/>
      <c r="T677" s="261"/>
      <c r="U677" s="261"/>
      <c r="V677" s="762"/>
      <c r="W677" s="261"/>
      <c r="X677" s="261"/>
      <c r="Y677" s="264">
        <f>IF(NFI_Expiration=1,IF($A677&lt;VLOOKUP(H$5,NFI,5,0),1,0)*Table_NFI[[#This Row],[Hygiene Kit]],Table_NFI[Hygiene Kit])</f>
        <v>0</v>
      </c>
      <c r="Z677" s="264">
        <f>IF(NFI_Expiration=1,IF($A677&lt;VLOOKUP(I$5,NFI,5,0),1,0)*Table_NFI[[#This Row],[NFI Core Kit]],Table_NFI[NFI Core Kit])</f>
        <v>0</v>
      </c>
      <c r="AA677" s="264">
        <f>IF(NFI_Expiration=1,IF($A677&lt;VLOOKUP(J$5,NFI,5,0),1,0)*Table_NFI[[#This Row],[Sanitary Kit]],Table_NFI[Sanitary Kit])</f>
        <v>0</v>
      </c>
      <c r="AB677" s="264">
        <f>IF(NFI_Expiration=1,IF($A677&lt;VLOOKUP(K$5,NFI,5,0),1,0)*Table_NFI[[#This Row],[Mosquito net]],Table_NFI[Mosquito net])</f>
        <v>0</v>
      </c>
      <c r="AC677" s="264">
        <f>IF(NFI_Expiration=1,IF($A677&lt;VLOOKUP(L$5,NFI,5,0),1,0)*Table_NFI[[#This Row],[Tarpaulin]],Table_NFI[[#This Row],[Tarpaulin]])</f>
        <v>0</v>
      </c>
      <c r="AD677" s="264">
        <f>IF(NFI_Expiration=1,IF($A677&lt;VLOOKUP(M$5,NFI,5,0),1,0)*Table_NFI[[#This Row],[Blanket]],Table_NFI[[#This Row],[Blanket]])</f>
        <v>0</v>
      </c>
      <c r="AE677" s="264">
        <f>IF(NFI_Expiration=1,IF($A677&lt;VLOOKUP(N$5,NFI,5,0),1,0)*Table_NFI[[#This Row],[Kitchen Set]],Table_NFI[Kitchen Set])</f>
        <v>0</v>
      </c>
      <c r="AF677" s="264">
        <f>IF(NFI_Expiration=1,IF($A677&lt;VLOOKUP(O$5,NFI,5,0),1,0)*Table_NFI[[#This Row],[Clothes Kit]],Table_NFI[Clothes Kit])</f>
        <v>0</v>
      </c>
      <c r="AG677" s="264">
        <f>IF(NFI_Expiration=1,IF($A677&lt;VLOOKUP(P$5,NFI,5,0),1,0)*Table_NFI[[#This Row],[Plastic Bucket]],Table_NFI[Plastic Bucket])</f>
        <v>0</v>
      </c>
      <c r="AH677" s="264">
        <f>IF(NFI_Expiration=1,IF($A677&lt;VLOOKUP(Q$5,NFI,5,0),1,0)*Table_NFI[[#This Row],[Plastic Mat]],Table_NFI[Plastic Mat])*IF(Table_NFI[[#This Row],[Distribution Date]]&gt;"2014-04-01",1,2.5)</f>
        <v>0</v>
      </c>
      <c r="AI677" s="264">
        <f>IF(NFI_Expiration=1,IF($A677&lt;VLOOKUP(R$5,NFI,5,0),1,0)*Table_NFI[[#This Row],[Winter Clothes Adult]],Table_NFI[Winter Clothes Adult])</f>
        <v>0</v>
      </c>
      <c r="AJ677" s="264">
        <f>IF(NFI_Expiration=1,IF($A677&lt;VLOOKUP(S$5,NFI,5,0),1,0)*Table_NFI[[#This Row],[Winter Clothes Children]],Table_NFI[Winter Clothes Children])</f>
        <v>0</v>
      </c>
      <c r="AK677" s="264">
        <f>IF(NFI_Expiration=1,IF($A677&lt;VLOOKUP(T$5,NFI,5,0),1,0)*Table_NFI[[#This Row],[Winter Items Other]],Table_NFI[Winter Items Other])</f>
        <v>0</v>
      </c>
      <c r="AL677" s="264">
        <f>IF(NFI_Expiration=1,IF($A677&lt;VLOOKUP(M$5,NFI,5,0),1,0)*Table_NFI[[#This Row],[Winter Blanket]],Table_NFI[[#This Row],[Winter Blanket]])</f>
        <v>0</v>
      </c>
      <c r="AM677" s="264">
        <f>IF(Table_NFI[[#This Row],[Winter Clothes Adult]]+Table_NFI[[#This Row],[Winter Clothes Children]]+Table_NFI[[#This Row],[Winter Items Other]]+Table_NFI[[#This Row],[Winter Blanket]]&gt;0,1,0)</f>
        <v>0</v>
      </c>
      <c r="AN677" s="296">
        <f>IF(NFI_Expiration=1,IF($A677&lt;VLOOKUP(V$5,NFI,5,0),1,0)*Table_NFI[[#This Row],[Jerry Can]],Table_NFI[Jerry Can])</f>
        <v>0</v>
      </c>
      <c r="AO677" s="296">
        <f>IF(NFI_Expiration=1,IF($A677&lt;VLOOKUP(V$5,NFI,5,0),1,0)*Table_NFI[[#This Row],[Shelter Tool kit]],Table_NFI[Shelter Tool kit])</f>
        <v>0</v>
      </c>
      <c r="AP677" s="296">
        <f>IF(NFI_Expiration=1,IF($A677&lt;VLOOKUP(V$5,NFI,5,0),1,0)*Table_NFI[[#This Row],[Tent]],Table_NFI[Tent])</f>
        <v>0</v>
      </c>
      <c r="AQ677" s="396" t="str">
        <f>IFERROR(VLOOKUP(Table_NFI[[#This Row],[Camp Name]],CL,2,0),"")</f>
        <v>MMR001CMP073</v>
      </c>
      <c r="AR677" s="702">
        <f ca="1">IF(Table_NFI[[#This Row],[Pcode]]="","",IF(OFFSET(CampList[Opening Date],MATCH(Table_NFI[[#This Row],[Pcode]],CampList[CP_Pcode],0)-1,0,1,1)&gt;=NFI_Monitor_Date,1,0))</f>
        <v>0</v>
      </c>
      <c r="AS677" s="396" t="str">
        <f>IFERROR(VLOOKUP(Table_NFI[[#This Row],[Camp Name]],CL,3,0),"")</f>
        <v>Open</v>
      </c>
      <c r="AT677" s="264" t="str">
        <f ca="1">IF(Table_NFI[[#This Row],[Pcode]]="","",OFFSET(CampList[Priority],MATCH(Table_NFI[[#This Row],[Pcode]],CampList[CP_Pcode],0)-1,0,1,1))</f>
        <v>P3</v>
      </c>
      <c r="AU677" s="263">
        <f>IFERROR(Table_NFI[[#This Row],[Kitchen Set]]/VLOOKUP(Table_NFI[[#This Row],[Camp Name]],CL,4,0),"")</f>
        <v>0</v>
      </c>
      <c r="AV677" s="390" t="s">
        <v>1087</v>
      </c>
      <c r="AW677" s="392"/>
      <c r="AX677" s="399"/>
      <c r="AY677" s="399"/>
      <c r="AZ677" s="399"/>
      <c r="BA677" s="399"/>
      <c r="BB677" s="399"/>
      <c r="BC677" s="399"/>
      <c r="BD677" s="399"/>
      <c r="BE677" s="399"/>
      <c r="BF677" s="399"/>
      <c r="BG677" s="399"/>
      <c r="BH677" s="399"/>
      <c r="BI677" s="399"/>
      <c r="BJ677" s="399"/>
      <c r="BK677" s="399"/>
      <c r="BL677" s="399"/>
      <c r="BM677" s="399"/>
      <c r="BN677" s="399"/>
      <c r="BO677" s="399"/>
      <c r="BP677" s="399"/>
      <c r="BQ677" s="399"/>
      <c r="BR677" s="399"/>
      <c r="BS677" s="399"/>
      <c r="BT677" s="399"/>
      <c r="BU677" s="399"/>
      <c r="BV677" s="399"/>
      <c r="BW677" s="399"/>
      <c r="BX677" s="399"/>
      <c r="BY677" s="399"/>
      <c r="BZ677" s="399"/>
      <c r="CA677" s="399"/>
      <c r="CB677" s="399"/>
      <c r="CC677" s="399"/>
      <c r="CD677" s="399"/>
      <c r="CE677" s="399"/>
      <c r="CF677" s="399"/>
      <c r="CG677" s="399"/>
      <c r="CH677" s="399"/>
      <c r="CI677" s="399"/>
      <c r="CJ677" s="399"/>
      <c r="CK677" s="399"/>
      <c r="CL677" s="399"/>
      <c r="CM677" s="399"/>
      <c r="CN677" s="399"/>
      <c r="CO677" s="399"/>
      <c r="CP677" s="399"/>
      <c r="CQ677" s="399"/>
      <c r="CR677" s="399"/>
      <c r="CS677" s="399"/>
      <c r="CT677" s="399"/>
      <c r="CU677" s="399"/>
      <c r="CV677" s="399"/>
      <c r="CW677" s="399"/>
      <c r="CX677" s="399"/>
      <c r="CY677" s="399"/>
      <c r="CZ677" s="399"/>
      <c r="DA677" s="399"/>
      <c r="DB677" s="399"/>
      <c r="DC677" s="399"/>
      <c r="DD677" s="399"/>
      <c r="DE677" s="399"/>
      <c r="DF677" s="399"/>
      <c r="DG677" s="399"/>
      <c r="DH677" s="399"/>
      <c r="DI677" s="399"/>
      <c r="DJ677" s="399"/>
      <c r="DK677" s="399"/>
      <c r="DL677" s="399"/>
      <c r="DM677" s="399"/>
      <c r="DN677" s="399"/>
      <c r="DO677" s="399"/>
      <c r="DP677" s="399"/>
      <c r="DQ677" s="399"/>
    </row>
    <row r="678" spans="1:121" s="760" customFormat="1" ht="14.45" customHeight="1" x14ac:dyDescent="0.25">
      <c r="A678" s="266">
        <f t="shared" si="10"/>
        <v>42.133333333333333</v>
      </c>
      <c r="B678" s="389">
        <v>41592</v>
      </c>
      <c r="C678" s="390" t="s">
        <v>904</v>
      </c>
      <c r="D678" s="390" t="s">
        <v>904</v>
      </c>
      <c r="E678" s="390" t="s">
        <v>380</v>
      </c>
      <c r="F678" s="390" t="s">
        <v>151</v>
      </c>
      <c r="G678" s="390" t="s">
        <v>515</v>
      </c>
      <c r="H678" s="261"/>
      <c r="I678" s="261"/>
      <c r="J678" s="261"/>
      <c r="K678" s="261"/>
      <c r="L678" s="261"/>
      <c r="M678" s="261"/>
      <c r="N678" s="261"/>
      <c r="O678" s="261"/>
      <c r="P678" s="261"/>
      <c r="Q678" s="261"/>
      <c r="R678" s="261">
        <v>120</v>
      </c>
      <c r="S678" s="261">
        <v>207</v>
      </c>
      <c r="T678" s="261">
        <v>654</v>
      </c>
      <c r="U678" s="261">
        <v>327</v>
      </c>
      <c r="V678" s="762"/>
      <c r="W678" s="261"/>
      <c r="X678" s="261"/>
      <c r="Y678" s="264">
        <f>IF(NFI_Expiration=1,IF($A678&lt;VLOOKUP(H$5,NFI,5,0),1,0)*Table_NFI[[#This Row],[Hygiene Kit]],Table_NFI[Hygiene Kit])</f>
        <v>0</v>
      </c>
      <c r="Z678" s="264">
        <f>IF(NFI_Expiration=1,IF($A678&lt;VLOOKUP(I$5,NFI,5,0),1,0)*Table_NFI[[#This Row],[NFI Core Kit]],Table_NFI[NFI Core Kit])</f>
        <v>0</v>
      </c>
      <c r="AA678" s="264">
        <f>IF(NFI_Expiration=1,IF($A678&lt;VLOOKUP(J$5,NFI,5,0),1,0)*Table_NFI[[#This Row],[Sanitary Kit]],Table_NFI[Sanitary Kit])</f>
        <v>0</v>
      </c>
      <c r="AB678" s="264">
        <f>IF(NFI_Expiration=1,IF($A678&lt;VLOOKUP(K$5,NFI,5,0),1,0)*Table_NFI[[#This Row],[Mosquito net]],Table_NFI[Mosquito net])</f>
        <v>0</v>
      </c>
      <c r="AC678" s="264">
        <f>IF(NFI_Expiration=1,IF($A678&lt;VLOOKUP(L$5,NFI,5,0),1,0)*Table_NFI[[#This Row],[Tarpaulin]],Table_NFI[[#This Row],[Tarpaulin]])</f>
        <v>0</v>
      </c>
      <c r="AD678" s="264">
        <f>IF(NFI_Expiration=1,IF($A678&lt;VLOOKUP(M$5,NFI,5,0),1,0)*Table_NFI[[#This Row],[Blanket]],Table_NFI[[#This Row],[Blanket]])</f>
        <v>0</v>
      </c>
      <c r="AE678" s="264">
        <f>IF(NFI_Expiration=1,IF($A678&lt;VLOOKUP(N$5,NFI,5,0),1,0)*Table_NFI[[#This Row],[Kitchen Set]],Table_NFI[Kitchen Set])</f>
        <v>0</v>
      </c>
      <c r="AF678" s="264">
        <f>IF(NFI_Expiration=1,IF($A678&lt;VLOOKUP(O$5,NFI,5,0),1,0)*Table_NFI[[#This Row],[Clothes Kit]],Table_NFI[Clothes Kit])</f>
        <v>0</v>
      </c>
      <c r="AG678" s="264">
        <f>IF(NFI_Expiration=1,IF($A678&lt;VLOOKUP(P$5,NFI,5,0),1,0)*Table_NFI[[#This Row],[Plastic Bucket]],Table_NFI[Plastic Bucket])</f>
        <v>0</v>
      </c>
      <c r="AH678" s="264">
        <f>IF(NFI_Expiration=1,IF($A678&lt;VLOOKUP(Q$5,NFI,5,0),1,0)*Table_NFI[[#This Row],[Plastic Mat]],Table_NFI[Plastic Mat])*IF(Table_NFI[[#This Row],[Distribution Date]]&gt;"2014-04-01",1,2.5)</f>
        <v>0</v>
      </c>
      <c r="AI678" s="264">
        <f>IF(NFI_Expiration=1,IF($A678&lt;VLOOKUP(R$5,NFI,5,0),1,0)*Table_NFI[[#This Row],[Winter Clothes Adult]],Table_NFI[Winter Clothes Adult])</f>
        <v>0</v>
      </c>
      <c r="AJ678" s="264">
        <f>IF(NFI_Expiration=1,IF($A678&lt;VLOOKUP(S$5,NFI,5,0),1,0)*Table_NFI[[#This Row],[Winter Clothes Children]],Table_NFI[Winter Clothes Children])</f>
        <v>0</v>
      </c>
      <c r="AK678" s="264">
        <f>IF(NFI_Expiration=1,IF($A678&lt;VLOOKUP(T$5,NFI,5,0),1,0)*Table_NFI[[#This Row],[Winter Items Other]],Table_NFI[Winter Items Other])</f>
        <v>0</v>
      </c>
      <c r="AL678" s="264">
        <f>IF(NFI_Expiration=1,IF($A678&lt;VLOOKUP(M$5,NFI,5,0),1,0)*Table_NFI[[#This Row],[Winter Blanket]],Table_NFI[[#This Row],[Winter Blanket]])</f>
        <v>0</v>
      </c>
      <c r="AM678" s="264">
        <f>IF(Table_NFI[[#This Row],[Winter Clothes Adult]]+Table_NFI[[#This Row],[Winter Clothes Children]]+Table_NFI[[#This Row],[Winter Items Other]]+Table_NFI[[#This Row],[Winter Blanket]]&gt;0,1,0)</f>
        <v>1</v>
      </c>
      <c r="AN678" s="296">
        <f>IF(NFI_Expiration=1,IF($A678&lt;VLOOKUP(V$5,NFI,5,0),1,0)*Table_NFI[[#This Row],[Jerry Can]],Table_NFI[Jerry Can])</f>
        <v>0</v>
      </c>
      <c r="AO678" s="296">
        <f>IF(NFI_Expiration=1,IF($A678&lt;VLOOKUP(V$5,NFI,5,0),1,0)*Table_NFI[[#This Row],[Shelter Tool kit]],Table_NFI[Shelter Tool kit])</f>
        <v>0</v>
      </c>
      <c r="AP678" s="296">
        <f>IF(NFI_Expiration=1,IF($A678&lt;VLOOKUP(V$5,NFI,5,0),1,0)*Table_NFI[[#This Row],[Tent]],Table_NFI[Tent])</f>
        <v>0</v>
      </c>
      <c r="AQ678" s="396" t="str">
        <f>IFERROR(VLOOKUP(Table_NFI[[#This Row],[Camp Name]],CL,2,0),"")</f>
        <v>MMR001CMP202</v>
      </c>
      <c r="AR678" s="702">
        <f ca="1">IF(Table_NFI[[#This Row],[Pcode]]="","",IF(OFFSET(CampList[Opening Date],MATCH(Table_NFI[[#This Row],[Pcode]],CampList[CP_Pcode],0)-1,0,1,1)&gt;=NFI_Monitor_Date,1,0))</f>
        <v>0</v>
      </c>
      <c r="AS678" s="396" t="str">
        <f>IFERROR(VLOOKUP(Table_NFI[[#This Row],[Camp Name]],CL,3,0),"")</f>
        <v>Closed</v>
      </c>
      <c r="AT678" s="264" t="str">
        <f ca="1">IF(Table_NFI[[#This Row],[Pcode]]="","",OFFSET(CampList[Priority],MATCH(Table_NFI[[#This Row],[Pcode]],CampList[CP_Pcode],0)-1,0,1,1))</f>
        <v>P4</v>
      </c>
      <c r="AU678" s="263">
        <f>IFERROR(Table_NFI[[#This Row],[Kitchen Set]]/VLOOKUP(Table_NFI[[#This Row],[Camp Name]],CL,4,0),"")</f>
        <v>0</v>
      </c>
      <c r="AV678" s="390"/>
      <c r="AW678" s="392"/>
      <c r="AX678" s="399"/>
      <c r="AY678" s="399"/>
      <c r="AZ678" s="399"/>
      <c r="BA678" s="399"/>
      <c r="BB678" s="399"/>
      <c r="BC678" s="399"/>
      <c r="BD678" s="399"/>
      <c r="BE678" s="399"/>
      <c r="BF678" s="399"/>
      <c r="BG678" s="399"/>
      <c r="BH678" s="399"/>
      <c r="BI678" s="399"/>
      <c r="BJ678" s="399"/>
      <c r="BK678" s="399"/>
      <c r="BL678" s="399"/>
      <c r="BM678" s="399"/>
      <c r="BN678" s="399"/>
      <c r="BO678" s="399"/>
      <c r="BP678" s="399"/>
      <c r="BQ678" s="399"/>
      <c r="BR678" s="399"/>
      <c r="BS678" s="399"/>
      <c r="BT678" s="399"/>
      <c r="BU678" s="399"/>
      <c r="BV678" s="399"/>
      <c r="BW678" s="399"/>
      <c r="BX678" s="399"/>
      <c r="BY678" s="399"/>
      <c r="BZ678" s="399"/>
      <c r="CA678" s="399"/>
      <c r="CB678" s="399"/>
      <c r="CC678" s="399"/>
      <c r="CD678" s="399"/>
      <c r="CE678" s="399"/>
      <c r="CF678" s="399"/>
      <c r="CG678" s="399"/>
      <c r="CH678" s="399"/>
      <c r="CI678" s="399"/>
      <c r="CJ678" s="399"/>
      <c r="CK678" s="399"/>
      <c r="CL678" s="399"/>
      <c r="CM678" s="399"/>
      <c r="CN678" s="399"/>
      <c r="CO678" s="399"/>
      <c r="CP678" s="399"/>
      <c r="CQ678" s="399"/>
      <c r="CR678" s="399"/>
      <c r="CS678" s="399"/>
      <c r="CT678" s="399"/>
      <c r="CU678" s="399"/>
      <c r="CV678" s="399"/>
      <c r="CW678" s="399"/>
      <c r="CX678" s="399"/>
      <c r="CY678" s="399"/>
      <c r="CZ678" s="399"/>
      <c r="DA678" s="399"/>
      <c r="DB678" s="399"/>
      <c r="DC678" s="399"/>
      <c r="DD678" s="399"/>
      <c r="DE678" s="399"/>
      <c r="DF678" s="399"/>
      <c r="DG678" s="399"/>
      <c r="DH678" s="399"/>
      <c r="DI678" s="399"/>
      <c r="DJ678" s="399"/>
      <c r="DK678" s="399"/>
      <c r="DL678" s="399"/>
      <c r="DM678" s="399"/>
      <c r="DN678" s="399"/>
      <c r="DO678" s="399"/>
      <c r="DP678" s="399"/>
      <c r="DQ678" s="399"/>
    </row>
    <row r="679" spans="1:121" s="760" customFormat="1" ht="14.45" customHeight="1" x14ac:dyDescent="0.25">
      <c r="A679" s="266">
        <f t="shared" si="10"/>
        <v>42.166666666666664</v>
      </c>
      <c r="B679" s="389">
        <v>41591</v>
      </c>
      <c r="C679" s="390" t="s">
        <v>904</v>
      </c>
      <c r="D679" s="390" t="s">
        <v>904</v>
      </c>
      <c r="E679" s="390" t="s">
        <v>380</v>
      </c>
      <c r="F679" s="390" t="s">
        <v>151</v>
      </c>
      <c r="G679" s="390" t="s">
        <v>160</v>
      </c>
      <c r="H679" s="261"/>
      <c r="I679" s="261"/>
      <c r="J679" s="261"/>
      <c r="K679" s="261"/>
      <c r="L679" s="261"/>
      <c r="M679" s="261"/>
      <c r="N679" s="261"/>
      <c r="O679" s="261"/>
      <c r="P679" s="261"/>
      <c r="Q679" s="261"/>
      <c r="R679" s="261"/>
      <c r="S679" s="261">
        <v>160</v>
      </c>
      <c r="T679" s="261">
        <v>320</v>
      </c>
      <c r="U679" s="261">
        <v>160</v>
      </c>
      <c r="V679" s="762"/>
      <c r="W679" s="261"/>
      <c r="X679" s="261"/>
      <c r="Y679" s="264">
        <f>IF(NFI_Expiration=1,IF($A679&lt;VLOOKUP(H$5,NFI,5,0),1,0)*Table_NFI[[#This Row],[Hygiene Kit]],Table_NFI[Hygiene Kit])</f>
        <v>0</v>
      </c>
      <c r="Z679" s="264">
        <f>IF(NFI_Expiration=1,IF($A679&lt;VLOOKUP(I$5,NFI,5,0),1,0)*Table_NFI[[#This Row],[NFI Core Kit]],Table_NFI[NFI Core Kit])</f>
        <v>0</v>
      </c>
      <c r="AA679" s="264">
        <f>IF(NFI_Expiration=1,IF($A679&lt;VLOOKUP(J$5,NFI,5,0),1,0)*Table_NFI[[#This Row],[Sanitary Kit]],Table_NFI[Sanitary Kit])</f>
        <v>0</v>
      </c>
      <c r="AB679" s="264">
        <f>IF(NFI_Expiration=1,IF($A679&lt;VLOOKUP(K$5,NFI,5,0),1,0)*Table_NFI[[#This Row],[Mosquito net]],Table_NFI[Mosquito net])</f>
        <v>0</v>
      </c>
      <c r="AC679" s="264">
        <f>IF(NFI_Expiration=1,IF($A679&lt;VLOOKUP(L$5,NFI,5,0),1,0)*Table_NFI[[#This Row],[Tarpaulin]],Table_NFI[[#This Row],[Tarpaulin]])</f>
        <v>0</v>
      </c>
      <c r="AD679" s="264">
        <f>IF(NFI_Expiration=1,IF($A679&lt;VLOOKUP(M$5,NFI,5,0),1,0)*Table_NFI[[#This Row],[Blanket]],Table_NFI[[#This Row],[Blanket]])</f>
        <v>0</v>
      </c>
      <c r="AE679" s="264">
        <f>IF(NFI_Expiration=1,IF($A679&lt;VLOOKUP(N$5,NFI,5,0),1,0)*Table_NFI[[#This Row],[Kitchen Set]],Table_NFI[Kitchen Set])</f>
        <v>0</v>
      </c>
      <c r="AF679" s="264">
        <f>IF(NFI_Expiration=1,IF($A679&lt;VLOOKUP(O$5,NFI,5,0),1,0)*Table_NFI[[#This Row],[Clothes Kit]],Table_NFI[Clothes Kit])</f>
        <v>0</v>
      </c>
      <c r="AG679" s="264">
        <f>IF(NFI_Expiration=1,IF($A679&lt;VLOOKUP(P$5,NFI,5,0),1,0)*Table_NFI[[#This Row],[Plastic Bucket]],Table_NFI[Plastic Bucket])</f>
        <v>0</v>
      </c>
      <c r="AH679" s="264">
        <f>IF(NFI_Expiration=1,IF($A679&lt;VLOOKUP(Q$5,NFI,5,0),1,0)*Table_NFI[[#This Row],[Plastic Mat]],Table_NFI[Plastic Mat])*IF(Table_NFI[[#This Row],[Distribution Date]]&gt;"2014-04-01",1,2.5)</f>
        <v>0</v>
      </c>
      <c r="AI679" s="264">
        <f>IF(NFI_Expiration=1,IF($A679&lt;VLOOKUP(R$5,NFI,5,0),1,0)*Table_NFI[[#This Row],[Winter Clothes Adult]],Table_NFI[Winter Clothes Adult])</f>
        <v>0</v>
      </c>
      <c r="AJ679" s="264">
        <f>IF(NFI_Expiration=1,IF($A679&lt;VLOOKUP(S$5,NFI,5,0),1,0)*Table_NFI[[#This Row],[Winter Clothes Children]],Table_NFI[Winter Clothes Children])</f>
        <v>0</v>
      </c>
      <c r="AK679" s="264">
        <f>IF(NFI_Expiration=1,IF($A679&lt;VLOOKUP(T$5,NFI,5,0),1,0)*Table_NFI[[#This Row],[Winter Items Other]],Table_NFI[Winter Items Other])</f>
        <v>0</v>
      </c>
      <c r="AL679" s="264">
        <f>IF(NFI_Expiration=1,IF($A679&lt;VLOOKUP(M$5,NFI,5,0),1,0)*Table_NFI[[#This Row],[Winter Blanket]],Table_NFI[[#This Row],[Winter Blanket]])</f>
        <v>0</v>
      </c>
      <c r="AM679" s="264">
        <f>IF(Table_NFI[[#This Row],[Winter Clothes Adult]]+Table_NFI[[#This Row],[Winter Clothes Children]]+Table_NFI[[#This Row],[Winter Items Other]]+Table_NFI[[#This Row],[Winter Blanket]]&gt;0,1,0)</f>
        <v>1</v>
      </c>
      <c r="AN679" s="296">
        <f>IF(NFI_Expiration=1,IF($A679&lt;VLOOKUP(V$5,NFI,5,0),1,0)*Table_NFI[[#This Row],[Jerry Can]],Table_NFI[Jerry Can])</f>
        <v>0</v>
      </c>
      <c r="AO679" s="296">
        <f>IF(NFI_Expiration=1,IF($A679&lt;VLOOKUP(V$5,NFI,5,0),1,0)*Table_NFI[[#This Row],[Shelter Tool kit]],Table_NFI[Shelter Tool kit])</f>
        <v>0</v>
      </c>
      <c r="AP679" s="296">
        <f>IF(NFI_Expiration=1,IF($A679&lt;VLOOKUP(V$5,NFI,5,0),1,0)*Table_NFI[[#This Row],[Tent]],Table_NFI[Tent])</f>
        <v>0</v>
      </c>
      <c r="AQ679" s="396" t="str">
        <f>IFERROR(VLOOKUP(Table_NFI[[#This Row],[Camp Name]],CL,2,0),"")</f>
        <v>MMR001CMP133</v>
      </c>
      <c r="AR679" s="702">
        <f ca="1">IF(Table_NFI[[#This Row],[Pcode]]="","",IF(OFFSET(CampList[Opening Date],MATCH(Table_NFI[[#This Row],[Pcode]],CampList[CP_Pcode],0)-1,0,1,1)&gt;=NFI_Monitor_Date,1,0))</f>
        <v>0</v>
      </c>
      <c r="AS679" s="396" t="str">
        <f>IFERROR(VLOOKUP(Table_NFI[[#This Row],[Camp Name]],CL,3,0),"")</f>
        <v>Open</v>
      </c>
      <c r="AT679" s="264" t="str">
        <f ca="1">IF(Table_NFI[[#This Row],[Pcode]]="","",OFFSET(CampList[Priority],MATCH(Table_NFI[[#This Row],[Pcode]],CampList[CP_Pcode],0)-1,0,1,1))</f>
        <v>P4</v>
      </c>
      <c r="AU679" s="263">
        <f>IFERROR(Table_NFI[[#This Row],[Kitchen Set]]/VLOOKUP(Table_NFI[[#This Row],[Camp Name]],CL,4,0),"")</f>
        <v>0</v>
      </c>
      <c r="AV679" s="390"/>
      <c r="AW679" s="392"/>
      <c r="AX679" s="399"/>
      <c r="AY679" s="399"/>
      <c r="AZ679" s="399"/>
      <c r="BA679" s="399"/>
      <c r="BB679" s="399"/>
      <c r="BC679" s="399"/>
      <c r="BD679" s="399"/>
      <c r="BE679" s="399"/>
      <c r="BF679" s="399"/>
      <c r="BG679" s="399"/>
      <c r="BH679" s="399"/>
      <c r="BI679" s="399"/>
      <c r="BJ679" s="399"/>
      <c r="BK679" s="399"/>
      <c r="BL679" s="399"/>
      <c r="BM679" s="399"/>
      <c r="BN679" s="399"/>
      <c r="BO679" s="399"/>
      <c r="BP679" s="399"/>
      <c r="BQ679" s="399"/>
      <c r="BR679" s="399"/>
      <c r="BS679" s="399"/>
      <c r="BT679" s="399"/>
      <c r="BU679" s="399"/>
      <c r="BV679" s="399"/>
      <c r="BW679" s="399"/>
      <c r="BX679" s="399"/>
      <c r="BY679" s="399"/>
      <c r="BZ679" s="399"/>
      <c r="CA679" s="399"/>
      <c r="CB679" s="399"/>
      <c r="CC679" s="399"/>
      <c r="CD679" s="399"/>
      <c r="CE679" s="399"/>
      <c r="CF679" s="399"/>
      <c r="CG679" s="399"/>
      <c r="CH679" s="399"/>
      <c r="CI679" s="399"/>
      <c r="CJ679" s="399"/>
      <c r="CK679" s="399"/>
      <c r="CL679" s="399"/>
      <c r="CM679" s="399"/>
      <c r="CN679" s="399"/>
      <c r="CO679" s="399"/>
      <c r="CP679" s="399"/>
      <c r="CQ679" s="399"/>
      <c r="CR679" s="399"/>
      <c r="CS679" s="399"/>
      <c r="CT679" s="399"/>
      <c r="CU679" s="399"/>
      <c r="CV679" s="399"/>
      <c r="CW679" s="399"/>
      <c r="CX679" s="399"/>
      <c r="CY679" s="399"/>
      <c r="CZ679" s="399"/>
      <c r="DA679" s="399"/>
      <c r="DB679" s="399"/>
      <c r="DC679" s="399"/>
      <c r="DD679" s="399"/>
      <c r="DE679" s="399"/>
      <c r="DF679" s="399"/>
      <c r="DG679" s="399"/>
      <c r="DH679" s="399"/>
      <c r="DI679" s="399"/>
      <c r="DJ679" s="399"/>
      <c r="DK679" s="399"/>
      <c r="DL679" s="399"/>
      <c r="DM679" s="399"/>
      <c r="DN679" s="399"/>
      <c r="DO679" s="399"/>
      <c r="DP679" s="399"/>
      <c r="DQ679" s="399"/>
    </row>
    <row r="680" spans="1:121" s="760" customFormat="1" ht="14.45" customHeight="1" x14ac:dyDescent="0.25">
      <c r="A680" s="266">
        <f t="shared" si="10"/>
        <v>42.166666666666664</v>
      </c>
      <c r="B680" s="389">
        <v>41591</v>
      </c>
      <c r="C680" s="390" t="s">
        <v>904</v>
      </c>
      <c r="D680" s="390" t="s">
        <v>1001</v>
      </c>
      <c r="E680" s="390" t="s">
        <v>380</v>
      </c>
      <c r="F680" s="390" t="s">
        <v>185</v>
      </c>
      <c r="G680" s="390" t="s">
        <v>219</v>
      </c>
      <c r="H680" s="261"/>
      <c r="I680" s="261"/>
      <c r="J680" s="261"/>
      <c r="K680" s="261"/>
      <c r="L680" s="261"/>
      <c r="M680" s="261"/>
      <c r="N680" s="261"/>
      <c r="O680" s="261"/>
      <c r="P680" s="261"/>
      <c r="Q680" s="261"/>
      <c r="R680" s="261">
        <v>514</v>
      </c>
      <c r="S680" s="261">
        <v>1016</v>
      </c>
      <c r="T680" s="261">
        <v>3060</v>
      </c>
      <c r="U680" s="261">
        <v>1530</v>
      </c>
      <c r="V680" s="762"/>
      <c r="W680" s="261"/>
      <c r="X680" s="261"/>
      <c r="Y680" s="264">
        <f>IF(NFI_Expiration=1,IF($A680&lt;VLOOKUP(H$5,NFI,5,0),1,0)*Table_NFI[[#This Row],[Hygiene Kit]],Table_NFI[Hygiene Kit])</f>
        <v>0</v>
      </c>
      <c r="Z680" s="264">
        <f>IF(NFI_Expiration=1,IF($A680&lt;VLOOKUP(I$5,NFI,5,0),1,0)*Table_NFI[[#This Row],[NFI Core Kit]],Table_NFI[NFI Core Kit])</f>
        <v>0</v>
      </c>
      <c r="AA680" s="264">
        <f>IF(NFI_Expiration=1,IF($A680&lt;VLOOKUP(J$5,NFI,5,0),1,0)*Table_NFI[[#This Row],[Sanitary Kit]],Table_NFI[Sanitary Kit])</f>
        <v>0</v>
      </c>
      <c r="AB680" s="264">
        <f>IF(NFI_Expiration=1,IF($A680&lt;VLOOKUP(K$5,NFI,5,0),1,0)*Table_NFI[[#This Row],[Mosquito net]],Table_NFI[Mosquito net])</f>
        <v>0</v>
      </c>
      <c r="AC680" s="264">
        <f>IF(NFI_Expiration=1,IF($A680&lt;VLOOKUP(L$5,NFI,5,0),1,0)*Table_NFI[[#This Row],[Tarpaulin]],Table_NFI[[#This Row],[Tarpaulin]])</f>
        <v>0</v>
      </c>
      <c r="AD680" s="264">
        <f>IF(NFI_Expiration=1,IF($A680&lt;VLOOKUP(M$5,NFI,5,0),1,0)*Table_NFI[[#This Row],[Blanket]],Table_NFI[[#This Row],[Blanket]])</f>
        <v>0</v>
      </c>
      <c r="AE680" s="264">
        <f>IF(NFI_Expiration=1,IF($A680&lt;VLOOKUP(N$5,NFI,5,0),1,0)*Table_NFI[[#This Row],[Kitchen Set]],Table_NFI[Kitchen Set])</f>
        <v>0</v>
      </c>
      <c r="AF680" s="264">
        <f>IF(NFI_Expiration=1,IF($A680&lt;VLOOKUP(O$5,NFI,5,0),1,0)*Table_NFI[[#This Row],[Clothes Kit]],Table_NFI[Clothes Kit])</f>
        <v>0</v>
      </c>
      <c r="AG680" s="264">
        <f>IF(NFI_Expiration=1,IF($A680&lt;VLOOKUP(P$5,NFI,5,0),1,0)*Table_NFI[[#This Row],[Plastic Bucket]],Table_NFI[Plastic Bucket])</f>
        <v>0</v>
      </c>
      <c r="AH680" s="264">
        <f>IF(NFI_Expiration=1,IF($A680&lt;VLOOKUP(Q$5,NFI,5,0),1,0)*Table_NFI[[#This Row],[Plastic Mat]],Table_NFI[Plastic Mat])*IF(Table_NFI[[#This Row],[Distribution Date]]&gt;"2014-04-01",1,2.5)</f>
        <v>0</v>
      </c>
      <c r="AI680" s="264">
        <f>IF(NFI_Expiration=1,IF($A680&lt;VLOOKUP(R$5,NFI,5,0),1,0)*Table_NFI[[#This Row],[Winter Clothes Adult]],Table_NFI[Winter Clothes Adult])</f>
        <v>0</v>
      </c>
      <c r="AJ680" s="264">
        <f>IF(NFI_Expiration=1,IF($A680&lt;VLOOKUP(S$5,NFI,5,0),1,0)*Table_NFI[[#This Row],[Winter Clothes Children]],Table_NFI[Winter Clothes Children])</f>
        <v>0</v>
      </c>
      <c r="AK680" s="264">
        <f>IF(NFI_Expiration=1,IF($A680&lt;VLOOKUP(T$5,NFI,5,0),1,0)*Table_NFI[[#This Row],[Winter Items Other]],Table_NFI[Winter Items Other])</f>
        <v>0</v>
      </c>
      <c r="AL680" s="264">
        <f>IF(NFI_Expiration=1,IF($A680&lt;VLOOKUP(M$5,NFI,5,0),1,0)*Table_NFI[[#This Row],[Winter Blanket]],Table_NFI[[#This Row],[Winter Blanket]])</f>
        <v>0</v>
      </c>
      <c r="AM680" s="264">
        <f>IF(Table_NFI[[#This Row],[Winter Clothes Adult]]+Table_NFI[[#This Row],[Winter Clothes Children]]+Table_NFI[[#This Row],[Winter Items Other]]+Table_NFI[[#This Row],[Winter Blanket]]&gt;0,1,0)</f>
        <v>1</v>
      </c>
      <c r="AN680" s="296">
        <f>IF(NFI_Expiration=1,IF($A680&lt;VLOOKUP(V$5,NFI,5,0),1,0)*Table_NFI[[#This Row],[Jerry Can]],Table_NFI[Jerry Can])</f>
        <v>0</v>
      </c>
      <c r="AO680" s="296">
        <f>IF(NFI_Expiration=1,IF($A680&lt;VLOOKUP(V$5,NFI,5,0),1,0)*Table_NFI[[#This Row],[Shelter Tool kit]],Table_NFI[Shelter Tool kit])</f>
        <v>0</v>
      </c>
      <c r="AP680" s="296">
        <f>IF(NFI_Expiration=1,IF($A680&lt;VLOOKUP(V$5,NFI,5,0),1,0)*Table_NFI[[#This Row],[Tent]],Table_NFI[Tent])</f>
        <v>0</v>
      </c>
      <c r="AQ680" s="396" t="str">
        <f>IFERROR(VLOOKUP(Table_NFI[[#This Row],[Camp Name]],CL,2,0),"")</f>
        <v>MMR001CMP126</v>
      </c>
      <c r="AR680" s="702">
        <f ca="1">IF(Table_NFI[[#This Row],[Pcode]]="","",IF(OFFSET(CampList[Opening Date],MATCH(Table_NFI[[#This Row],[Pcode]],CampList[CP_Pcode],0)-1,0,1,1)&gt;=NFI_Monitor_Date,1,0))</f>
        <v>0</v>
      </c>
      <c r="AS680" s="396" t="str">
        <f>IFERROR(VLOOKUP(Table_NFI[[#This Row],[Camp Name]],CL,3,0),"")</f>
        <v>Open</v>
      </c>
      <c r="AT680" s="264" t="str">
        <f ca="1">IF(Table_NFI[[#This Row],[Pcode]]="","",OFFSET(CampList[Priority],MATCH(Table_NFI[[#This Row],[Pcode]],CampList[CP_Pcode],0)-1,0,1,1))</f>
        <v>P2</v>
      </c>
      <c r="AU680" s="263">
        <f>IFERROR(Table_NFI[[#This Row],[Kitchen Set]]/VLOOKUP(Table_NFI[[#This Row],[Camp Name]],CL,4,0),"")</f>
        <v>0</v>
      </c>
      <c r="AV680" s="390"/>
      <c r="AW680" s="392"/>
      <c r="AX680" s="399"/>
      <c r="AY680" s="399"/>
      <c r="AZ680" s="399"/>
      <c r="BA680" s="399"/>
      <c r="BB680" s="399"/>
      <c r="BC680" s="399"/>
      <c r="BD680" s="399"/>
      <c r="BE680" s="399"/>
      <c r="BF680" s="399"/>
      <c r="BG680" s="399"/>
      <c r="BH680" s="399"/>
      <c r="BI680" s="399"/>
      <c r="BJ680" s="399"/>
      <c r="BK680" s="399"/>
      <c r="BL680" s="399"/>
      <c r="BM680" s="399"/>
      <c r="BN680" s="399"/>
      <c r="BO680" s="399"/>
      <c r="BP680" s="399"/>
      <c r="BQ680" s="399"/>
      <c r="BR680" s="399"/>
      <c r="BS680" s="399"/>
      <c r="BT680" s="399"/>
      <c r="BU680" s="399"/>
      <c r="BV680" s="399"/>
      <c r="BW680" s="399"/>
      <c r="BX680" s="399"/>
      <c r="BY680" s="399"/>
      <c r="BZ680" s="399"/>
      <c r="CA680" s="399"/>
      <c r="CB680" s="399"/>
      <c r="CC680" s="399"/>
      <c r="CD680" s="399"/>
      <c r="CE680" s="399"/>
      <c r="CF680" s="399"/>
      <c r="CG680" s="399"/>
      <c r="CH680" s="399"/>
      <c r="CI680" s="399"/>
      <c r="CJ680" s="399"/>
      <c r="CK680" s="399"/>
      <c r="CL680" s="399"/>
      <c r="CM680" s="399"/>
      <c r="CN680" s="399"/>
      <c r="CO680" s="399"/>
      <c r="CP680" s="399"/>
      <c r="CQ680" s="399"/>
      <c r="CR680" s="399"/>
      <c r="CS680" s="399"/>
      <c r="CT680" s="399"/>
      <c r="CU680" s="399"/>
      <c r="CV680" s="399"/>
      <c r="CW680" s="399"/>
      <c r="CX680" s="399"/>
      <c r="CY680" s="399"/>
      <c r="CZ680" s="399"/>
      <c r="DA680" s="399"/>
      <c r="DB680" s="399"/>
      <c r="DC680" s="399"/>
      <c r="DD680" s="399"/>
      <c r="DE680" s="399"/>
      <c r="DF680" s="399"/>
      <c r="DG680" s="399"/>
      <c r="DH680" s="399"/>
      <c r="DI680" s="399"/>
      <c r="DJ680" s="399"/>
      <c r="DK680" s="399"/>
      <c r="DL680" s="399"/>
      <c r="DM680" s="399"/>
      <c r="DN680" s="399"/>
      <c r="DO680" s="399"/>
      <c r="DP680" s="399"/>
      <c r="DQ680" s="399"/>
    </row>
    <row r="681" spans="1:121" s="760" customFormat="1" ht="14.45" customHeight="1" x14ac:dyDescent="0.25">
      <c r="A681" s="266">
        <f t="shared" si="10"/>
        <v>42.233333333333334</v>
      </c>
      <c r="B681" s="389">
        <v>41589</v>
      </c>
      <c r="C681" s="390" t="s">
        <v>451</v>
      </c>
      <c r="D681" s="390" t="s">
        <v>572</v>
      </c>
      <c r="E681" s="390" t="s">
        <v>380</v>
      </c>
      <c r="F681" s="262" t="s">
        <v>185</v>
      </c>
      <c r="G681" s="262" t="s">
        <v>215</v>
      </c>
      <c r="H681" s="261"/>
      <c r="I681" s="261"/>
      <c r="J681" s="261">
        <v>36</v>
      </c>
      <c r="K681" s="261">
        <v>200</v>
      </c>
      <c r="L681" s="261">
        <v>100</v>
      </c>
      <c r="M681" s="261"/>
      <c r="N681" s="261">
        <v>100</v>
      </c>
      <c r="O681" s="261">
        <v>100</v>
      </c>
      <c r="P681" s="261"/>
      <c r="Q681" s="261"/>
      <c r="R681" s="261"/>
      <c r="S681" s="261"/>
      <c r="T681" s="261"/>
      <c r="U681" s="261"/>
      <c r="V681" s="762"/>
      <c r="W681" s="261"/>
      <c r="X681" s="261"/>
      <c r="Y681" s="264">
        <f>IF(NFI_Expiration=1,IF($A681&lt;VLOOKUP(H$5,NFI,5,0),1,0)*Table_NFI[[#This Row],[Hygiene Kit]],Table_NFI[Hygiene Kit])</f>
        <v>0</v>
      </c>
      <c r="Z681" s="264">
        <f>IF(NFI_Expiration=1,IF($A681&lt;VLOOKUP(I$5,NFI,5,0),1,0)*Table_NFI[[#This Row],[NFI Core Kit]],Table_NFI[NFI Core Kit])</f>
        <v>0</v>
      </c>
      <c r="AA681" s="264">
        <f>IF(NFI_Expiration=1,IF($A681&lt;VLOOKUP(J$5,NFI,5,0),1,0)*Table_NFI[[#This Row],[Sanitary Kit]],Table_NFI[Sanitary Kit])</f>
        <v>0</v>
      </c>
      <c r="AB681" s="264">
        <f>IF(NFI_Expiration=1,IF($A681&lt;VLOOKUP(K$5,NFI,5,0),1,0)*Table_NFI[[#This Row],[Mosquito net]],Table_NFI[Mosquito net])</f>
        <v>0</v>
      </c>
      <c r="AC681" s="264">
        <f>IF(NFI_Expiration=1,IF($A681&lt;VLOOKUP(L$5,NFI,5,0),1,0)*Table_NFI[[#This Row],[Tarpaulin]],Table_NFI[[#This Row],[Tarpaulin]])</f>
        <v>0</v>
      </c>
      <c r="AD681" s="264">
        <f>IF(NFI_Expiration=1,IF($A681&lt;VLOOKUP(M$5,NFI,5,0),1,0)*Table_NFI[[#This Row],[Blanket]],Table_NFI[[#This Row],[Blanket]])</f>
        <v>0</v>
      </c>
      <c r="AE681" s="264">
        <f>IF(NFI_Expiration=1,IF($A681&lt;VLOOKUP(N$5,NFI,5,0),1,0)*Table_NFI[[#This Row],[Kitchen Set]],Table_NFI[Kitchen Set])</f>
        <v>0</v>
      </c>
      <c r="AF681" s="264">
        <f>IF(NFI_Expiration=1,IF($A681&lt;VLOOKUP(O$5,NFI,5,0),1,0)*Table_NFI[[#This Row],[Clothes Kit]],Table_NFI[Clothes Kit])</f>
        <v>0</v>
      </c>
      <c r="AG681" s="264">
        <f>IF(NFI_Expiration=1,IF($A681&lt;VLOOKUP(P$5,NFI,5,0),1,0)*Table_NFI[[#This Row],[Plastic Bucket]],Table_NFI[Plastic Bucket])</f>
        <v>0</v>
      </c>
      <c r="AH681" s="264">
        <f>IF(NFI_Expiration=1,IF($A681&lt;VLOOKUP(Q$5,NFI,5,0),1,0)*Table_NFI[[#This Row],[Plastic Mat]],Table_NFI[Plastic Mat])*IF(Table_NFI[[#This Row],[Distribution Date]]&gt;"2014-04-01",1,2.5)</f>
        <v>0</v>
      </c>
      <c r="AI681" s="264">
        <f>IF(NFI_Expiration=1,IF($A681&lt;VLOOKUP(R$5,NFI,5,0),1,0)*Table_NFI[[#This Row],[Winter Clothes Adult]],Table_NFI[Winter Clothes Adult])</f>
        <v>0</v>
      </c>
      <c r="AJ681" s="264">
        <f>IF(NFI_Expiration=1,IF($A681&lt;VLOOKUP(S$5,NFI,5,0),1,0)*Table_NFI[[#This Row],[Winter Clothes Children]],Table_NFI[Winter Clothes Children])</f>
        <v>0</v>
      </c>
      <c r="AK681" s="264">
        <f>IF(NFI_Expiration=1,IF($A681&lt;VLOOKUP(T$5,NFI,5,0),1,0)*Table_NFI[[#This Row],[Winter Items Other]],Table_NFI[Winter Items Other])</f>
        <v>0</v>
      </c>
      <c r="AL681" s="264">
        <f>IF(NFI_Expiration=1,IF($A681&lt;VLOOKUP(M$5,NFI,5,0),1,0)*Table_NFI[[#This Row],[Winter Blanket]],Table_NFI[[#This Row],[Winter Blanket]])</f>
        <v>0</v>
      </c>
      <c r="AM681" s="264">
        <f>IF(Table_NFI[[#This Row],[Winter Clothes Adult]]+Table_NFI[[#This Row],[Winter Clothes Children]]+Table_NFI[[#This Row],[Winter Items Other]]+Table_NFI[[#This Row],[Winter Blanket]]&gt;0,1,0)</f>
        <v>0</v>
      </c>
      <c r="AN681" s="296">
        <f>IF(NFI_Expiration=1,IF($A681&lt;VLOOKUP(V$5,NFI,5,0),1,0)*Table_NFI[[#This Row],[Jerry Can]],Table_NFI[Jerry Can])</f>
        <v>0</v>
      </c>
      <c r="AO681" s="296">
        <f>IF(NFI_Expiration=1,IF($A681&lt;VLOOKUP(V$5,NFI,5,0),1,0)*Table_NFI[[#This Row],[Shelter Tool kit]],Table_NFI[Shelter Tool kit])</f>
        <v>0</v>
      </c>
      <c r="AP681" s="296">
        <f>IF(NFI_Expiration=1,IF($A681&lt;VLOOKUP(V$5,NFI,5,0),1,0)*Table_NFI[[#This Row],[Tent]],Table_NFI[Tent])</f>
        <v>0</v>
      </c>
      <c r="AQ681" s="396" t="str">
        <f>IFERROR(VLOOKUP(Table_NFI[[#This Row],[Camp Name]],CL,2,0),"")</f>
        <v>MMR001CMP131</v>
      </c>
      <c r="AR681" s="702">
        <f ca="1">IF(Table_NFI[[#This Row],[Pcode]]="","",IF(OFFSET(CampList[Opening Date],MATCH(Table_NFI[[#This Row],[Pcode]],CampList[CP_Pcode],0)-1,0,1,1)&gt;=NFI_Monitor_Date,1,0))</f>
        <v>0</v>
      </c>
      <c r="AS681" s="396" t="str">
        <f>IFERROR(VLOOKUP(Table_NFI[[#This Row],[Camp Name]],CL,3,0),"")</f>
        <v>Open</v>
      </c>
      <c r="AT681" s="264" t="str">
        <f ca="1">IF(Table_NFI[[#This Row],[Pcode]]="","",OFFSET(CampList[Priority],MATCH(Table_NFI[[#This Row],[Pcode]],CampList[CP_Pcode],0)-1,0,1,1))</f>
        <v>P1</v>
      </c>
      <c r="AU681" s="263">
        <f>IFERROR(Table_NFI[[#This Row],[Kitchen Set]]/VLOOKUP(Table_NFI[[#This Row],[Camp Name]],CL,4,0),"")</f>
        <v>2.4390243902439024E-3</v>
      </c>
      <c r="AV681" s="390" t="s">
        <v>1087</v>
      </c>
      <c r="AW681" s="392"/>
      <c r="AX681" s="399"/>
      <c r="AY681" s="399"/>
      <c r="AZ681" s="399"/>
      <c r="BA681" s="399"/>
      <c r="BB681" s="399"/>
      <c r="BC681" s="399"/>
      <c r="BD681" s="399"/>
      <c r="BE681" s="399"/>
      <c r="BF681" s="399"/>
      <c r="BG681" s="399"/>
      <c r="BH681" s="399"/>
      <c r="BI681" s="399"/>
      <c r="BJ681" s="399"/>
      <c r="BK681" s="399"/>
      <c r="BL681" s="399"/>
      <c r="BM681" s="399"/>
      <c r="BN681" s="399"/>
      <c r="BO681" s="399"/>
      <c r="BP681" s="399"/>
      <c r="BQ681" s="399"/>
      <c r="BR681" s="399"/>
      <c r="BS681" s="399"/>
      <c r="BT681" s="399"/>
      <c r="BU681" s="399"/>
      <c r="BV681" s="399"/>
      <c r="BW681" s="399"/>
      <c r="BX681" s="399"/>
      <c r="BY681" s="399"/>
      <c r="BZ681" s="399"/>
      <c r="CA681" s="399"/>
      <c r="CB681" s="399"/>
      <c r="CC681" s="399"/>
      <c r="CD681" s="399"/>
      <c r="CE681" s="399"/>
      <c r="CF681" s="399"/>
      <c r="CG681" s="399"/>
      <c r="CH681" s="399"/>
      <c r="CI681" s="399"/>
      <c r="CJ681" s="399"/>
      <c r="CK681" s="399"/>
      <c r="CL681" s="399"/>
      <c r="CM681" s="399"/>
      <c r="CN681" s="399"/>
      <c r="CO681" s="399"/>
      <c r="CP681" s="399"/>
      <c r="CQ681" s="399"/>
      <c r="CR681" s="399"/>
      <c r="CS681" s="399"/>
      <c r="CT681" s="399"/>
      <c r="CU681" s="399"/>
      <c r="CV681" s="399"/>
      <c r="CW681" s="399"/>
      <c r="CX681" s="399"/>
      <c r="CY681" s="399"/>
      <c r="CZ681" s="399"/>
      <c r="DA681" s="399"/>
      <c r="DB681" s="399"/>
      <c r="DC681" s="399"/>
      <c r="DD681" s="399"/>
      <c r="DE681" s="399"/>
      <c r="DF681" s="399"/>
      <c r="DG681" s="399"/>
      <c r="DH681" s="399"/>
      <c r="DI681" s="399"/>
      <c r="DJ681" s="399"/>
      <c r="DK681" s="399"/>
      <c r="DL681" s="399"/>
      <c r="DM681" s="399"/>
      <c r="DN681" s="399"/>
      <c r="DO681" s="399"/>
      <c r="DP681" s="399"/>
      <c r="DQ681" s="399"/>
    </row>
    <row r="682" spans="1:121" s="760" customFormat="1" ht="14.45" customHeight="1" x14ac:dyDescent="0.25">
      <c r="A682" s="266">
        <f t="shared" si="10"/>
        <v>42.366666666666667</v>
      </c>
      <c r="B682" s="389">
        <v>41585</v>
      </c>
      <c r="C682" s="390" t="s">
        <v>904</v>
      </c>
      <c r="D682" s="390" t="s">
        <v>904</v>
      </c>
      <c r="E682" s="390" t="s">
        <v>380</v>
      </c>
      <c r="F682" s="390" t="s">
        <v>5</v>
      </c>
      <c r="G682" s="390" t="s">
        <v>366</v>
      </c>
      <c r="H682" s="261"/>
      <c r="I682" s="261"/>
      <c r="J682" s="261"/>
      <c r="K682" s="261"/>
      <c r="L682" s="261"/>
      <c r="M682" s="261"/>
      <c r="N682" s="261"/>
      <c r="O682" s="261"/>
      <c r="P682" s="261"/>
      <c r="Q682" s="261"/>
      <c r="R682" s="261">
        <v>23</v>
      </c>
      <c r="S682" s="261">
        <v>41</v>
      </c>
      <c r="T682" s="261">
        <v>128</v>
      </c>
      <c r="U682" s="261">
        <v>64</v>
      </c>
      <c r="V682" s="762"/>
      <c r="W682" s="261"/>
      <c r="X682" s="261"/>
      <c r="Y682" s="264">
        <f>IF(NFI_Expiration=1,IF($A682&lt;VLOOKUP(H$5,NFI,5,0),1,0)*Table_NFI[[#This Row],[Hygiene Kit]],Table_NFI[Hygiene Kit])</f>
        <v>0</v>
      </c>
      <c r="Z682" s="264">
        <f>IF(NFI_Expiration=1,IF($A682&lt;VLOOKUP(I$5,NFI,5,0),1,0)*Table_NFI[[#This Row],[NFI Core Kit]],Table_NFI[NFI Core Kit])</f>
        <v>0</v>
      </c>
      <c r="AA682" s="264">
        <f>IF(NFI_Expiration=1,IF($A682&lt;VLOOKUP(J$5,NFI,5,0),1,0)*Table_NFI[[#This Row],[Sanitary Kit]],Table_NFI[Sanitary Kit])</f>
        <v>0</v>
      </c>
      <c r="AB682" s="264">
        <f>IF(NFI_Expiration=1,IF($A682&lt;VLOOKUP(K$5,NFI,5,0),1,0)*Table_NFI[[#This Row],[Mosquito net]],Table_NFI[Mosquito net])</f>
        <v>0</v>
      </c>
      <c r="AC682" s="264">
        <f>IF(NFI_Expiration=1,IF($A682&lt;VLOOKUP(L$5,NFI,5,0),1,0)*Table_NFI[[#This Row],[Tarpaulin]],Table_NFI[[#This Row],[Tarpaulin]])</f>
        <v>0</v>
      </c>
      <c r="AD682" s="264">
        <f>IF(NFI_Expiration=1,IF($A682&lt;VLOOKUP(M$5,NFI,5,0),1,0)*Table_NFI[[#This Row],[Blanket]],Table_NFI[[#This Row],[Blanket]])</f>
        <v>0</v>
      </c>
      <c r="AE682" s="264">
        <f>IF(NFI_Expiration=1,IF($A682&lt;VLOOKUP(N$5,NFI,5,0),1,0)*Table_NFI[[#This Row],[Kitchen Set]],Table_NFI[Kitchen Set])</f>
        <v>0</v>
      </c>
      <c r="AF682" s="264">
        <f>IF(NFI_Expiration=1,IF($A682&lt;VLOOKUP(O$5,NFI,5,0),1,0)*Table_NFI[[#This Row],[Clothes Kit]],Table_NFI[Clothes Kit])</f>
        <v>0</v>
      </c>
      <c r="AG682" s="264">
        <f>IF(NFI_Expiration=1,IF($A682&lt;VLOOKUP(P$5,NFI,5,0),1,0)*Table_NFI[[#This Row],[Plastic Bucket]],Table_NFI[Plastic Bucket])</f>
        <v>0</v>
      </c>
      <c r="AH682" s="264">
        <f>IF(NFI_Expiration=1,IF($A682&lt;VLOOKUP(Q$5,NFI,5,0),1,0)*Table_NFI[[#This Row],[Plastic Mat]],Table_NFI[Plastic Mat])*IF(Table_NFI[[#This Row],[Distribution Date]]&gt;"2014-04-01",1,2.5)</f>
        <v>0</v>
      </c>
      <c r="AI682" s="264">
        <f>IF(NFI_Expiration=1,IF($A682&lt;VLOOKUP(R$5,NFI,5,0),1,0)*Table_NFI[[#This Row],[Winter Clothes Adult]],Table_NFI[Winter Clothes Adult])</f>
        <v>0</v>
      </c>
      <c r="AJ682" s="264">
        <f>IF(NFI_Expiration=1,IF($A682&lt;VLOOKUP(S$5,NFI,5,0),1,0)*Table_NFI[[#This Row],[Winter Clothes Children]],Table_NFI[Winter Clothes Children])</f>
        <v>0</v>
      </c>
      <c r="AK682" s="264">
        <f>IF(NFI_Expiration=1,IF($A682&lt;VLOOKUP(T$5,NFI,5,0),1,0)*Table_NFI[[#This Row],[Winter Items Other]],Table_NFI[Winter Items Other])</f>
        <v>0</v>
      </c>
      <c r="AL682" s="264">
        <f>IF(NFI_Expiration=1,IF($A682&lt;VLOOKUP(M$5,NFI,5,0),1,0)*Table_NFI[[#This Row],[Winter Blanket]],Table_NFI[[#This Row],[Winter Blanket]])</f>
        <v>0</v>
      </c>
      <c r="AM682" s="264">
        <f>IF(Table_NFI[[#This Row],[Winter Clothes Adult]]+Table_NFI[[#This Row],[Winter Clothes Children]]+Table_NFI[[#This Row],[Winter Items Other]]+Table_NFI[[#This Row],[Winter Blanket]]&gt;0,1,0)</f>
        <v>1</v>
      </c>
      <c r="AN682" s="296">
        <f>IF(NFI_Expiration=1,IF($A682&lt;VLOOKUP(V$5,NFI,5,0),1,0)*Table_NFI[[#This Row],[Jerry Can]],Table_NFI[Jerry Can])</f>
        <v>0</v>
      </c>
      <c r="AO682" s="296">
        <f>IF(NFI_Expiration=1,IF($A682&lt;VLOOKUP(V$5,NFI,5,0),1,0)*Table_NFI[[#This Row],[Shelter Tool kit]],Table_NFI[Shelter Tool kit])</f>
        <v>0</v>
      </c>
      <c r="AP682" s="296">
        <f>IF(NFI_Expiration=1,IF($A682&lt;VLOOKUP(V$5,NFI,5,0),1,0)*Table_NFI[[#This Row],[Tent]],Table_NFI[Tent])</f>
        <v>0</v>
      </c>
      <c r="AQ682" s="396" t="str">
        <f>IFERROR(VLOOKUP(Table_NFI[[#This Row],[Camp Name]],CL,2,0),"")</f>
        <v>MMR001CMP193</v>
      </c>
      <c r="AR682" s="702">
        <f ca="1">IF(Table_NFI[[#This Row],[Pcode]]="","",IF(OFFSET(CampList[Opening Date],MATCH(Table_NFI[[#This Row],[Pcode]],CampList[CP_Pcode],0)-1,0,1,1)&gt;=NFI_Monitor_Date,1,0))</f>
        <v>0</v>
      </c>
      <c r="AS682" s="396" t="str">
        <f>IFERROR(VLOOKUP(Table_NFI[[#This Row],[Camp Name]],CL,3,0),"")</f>
        <v>Open</v>
      </c>
      <c r="AT682" s="264" t="str">
        <f ca="1">IF(Table_NFI[[#This Row],[Pcode]]="","",OFFSET(CampList[Priority],MATCH(Table_NFI[[#This Row],[Pcode]],CampList[CP_Pcode],0)-1,0,1,1))</f>
        <v>P4</v>
      </c>
      <c r="AU682" s="263">
        <f>IFERROR(Table_NFI[[#This Row],[Kitchen Set]]/VLOOKUP(Table_NFI[[#This Row],[Camp Name]],CL,4,0),"")</f>
        <v>0</v>
      </c>
      <c r="AV682" s="390"/>
      <c r="AW682" s="392"/>
      <c r="AX682" s="399"/>
      <c r="AY682" s="399"/>
      <c r="AZ682" s="399"/>
      <c r="BA682" s="399"/>
      <c r="BB682" s="399"/>
      <c r="BC682" s="399"/>
      <c r="BD682" s="399"/>
      <c r="BE682" s="399"/>
      <c r="BF682" s="399"/>
      <c r="BG682" s="399"/>
      <c r="BH682" s="399"/>
      <c r="BI682" s="399"/>
      <c r="BJ682" s="399"/>
      <c r="BK682" s="399"/>
      <c r="BL682" s="399"/>
      <c r="BM682" s="399"/>
      <c r="BN682" s="399"/>
      <c r="BO682" s="399"/>
      <c r="BP682" s="399"/>
      <c r="BQ682" s="399"/>
      <c r="BR682" s="399"/>
      <c r="BS682" s="399"/>
      <c r="BT682" s="399"/>
      <c r="BU682" s="399"/>
      <c r="BV682" s="399"/>
      <c r="BW682" s="399"/>
      <c r="BX682" s="399"/>
      <c r="BY682" s="399"/>
      <c r="BZ682" s="399"/>
      <c r="CA682" s="399"/>
      <c r="CB682" s="399"/>
      <c r="CC682" s="399"/>
      <c r="CD682" s="399"/>
      <c r="CE682" s="399"/>
      <c r="CF682" s="399"/>
      <c r="CG682" s="399"/>
      <c r="CH682" s="399"/>
      <c r="CI682" s="399"/>
      <c r="CJ682" s="399"/>
      <c r="CK682" s="399"/>
      <c r="CL682" s="399"/>
      <c r="CM682" s="399"/>
      <c r="CN682" s="399"/>
      <c r="CO682" s="399"/>
      <c r="CP682" s="399"/>
      <c r="CQ682" s="399"/>
      <c r="CR682" s="399"/>
      <c r="CS682" s="399"/>
      <c r="CT682" s="399"/>
      <c r="CU682" s="399"/>
      <c r="CV682" s="399"/>
      <c r="CW682" s="399"/>
      <c r="CX682" s="399"/>
      <c r="CY682" s="399"/>
      <c r="CZ682" s="399"/>
      <c r="DA682" s="399"/>
      <c r="DB682" s="399"/>
      <c r="DC682" s="399"/>
      <c r="DD682" s="399"/>
      <c r="DE682" s="399"/>
      <c r="DF682" s="399"/>
      <c r="DG682" s="399"/>
      <c r="DH682" s="399"/>
      <c r="DI682" s="399"/>
      <c r="DJ682" s="399"/>
      <c r="DK682" s="399"/>
      <c r="DL682" s="399"/>
      <c r="DM682" s="399"/>
      <c r="DN682" s="399"/>
      <c r="DO682" s="399"/>
      <c r="DP682" s="399"/>
      <c r="DQ682" s="399"/>
    </row>
    <row r="683" spans="1:121" s="760" customFormat="1" ht="14.45" customHeight="1" x14ac:dyDescent="0.25">
      <c r="A683" s="266">
        <f t="shared" si="10"/>
        <v>42.366666666666667</v>
      </c>
      <c r="B683" s="389">
        <v>41585</v>
      </c>
      <c r="C683" s="390" t="s">
        <v>451</v>
      </c>
      <c r="D683" s="390" t="s">
        <v>451</v>
      </c>
      <c r="E683" s="390" t="s">
        <v>380</v>
      </c>
      <c r="F683" s="262" t="s">
        <v>5</v>
      </c>
      <c r="G683" s="262" t="s">
        <v>366</v>
      </c>
      <c r="H683" s="261"/>
      <c r="I683" s="261"/>
      <c r="J683" s="261">
        <v>58</v>
      </c>
      <c r="K683" s="261">
        <v>46</v>
      </c>
      <c r="L683" s="261">
        <v>29</v>
      </c>
      <c r="M683" s="261">
        <v>46</v>
      </c>
      <c r="N683" s="261">
        <v>29</v>
      </c>
      <c r="O683" s="261">
        <v>29</v>
      </c>
      <c r="P683" s="261"/>
      <c r="Q683" s="261"/>
      <c r="R683" s="261"/>
      <c r="S683" s="261"/>
      <c r="T683" s="261"/>
      <c r="U683" s="261"/>
      <c r="V683" s="762"/>
      <c r="W683" s="261"/>
      <c r="X683" s="261"/>
      <c r="Y683" s="264">
        <f>IF(NFI_Expiration=1,IF($A683&lt;VLOOKUP(H$5,NFI,5,0),1,0)*Table_NFI[[#This Row],[Hygiene Kit]],Table_NFI[Hygiene Kit])</f>
        <v>0</v>
      </c>
      <c r="Z683" s="264">
        <f>IF(NFI_Expiration=1,IF($A683&lt;VLOOKUP(I$5,NFI,5,0),1,0)*Table_NFI[[#This Row],[NFI Core Kit]],Table_NFI[NFI Core Kit])</f>
        <v>0</v>
      </c>
      <c r="AA683" s="264">
        <f>IF(NFI_Expiration=1,IF($A683&lt;VLOOKUP(J$5,NFI,5,0),1,0)*Table_NFI[[#This Row],[Sanitary Kit]],Table_NFI[Sanitary Kit])</f>
        <v>0</v>
      </c>
      <c r="AB683" s="264">
        <f>IF(NFI_Expiration=1,IF($A683&lt;VLOOKUP(K$5,NFI,5,0),1,0)*Table_NFI[[#This Row],[Mosquito net]],Table_NFI[Mosquito net])</f>
        <v>0</v>
      </c>
      <c r="AC683" s="264">
        <f>IF(NFI_Expiration=1,IF($A683&lt;VLOOKUP(L$5,NFI,5,0),1,0)*Table_NFI[[#This Row],[Tarpaulin]],Table_NFI[[#This Row],[Tarpaulin]])</f>
        <v>0</v>
      </c>
      <c r="AD683" s="264">
        <f>IF(NFI_Expiration=1,IF($A683&lt;VLOOKUP(M$5,NFI,5,0),1,0)*Table_NFI[[#This Row],[Blanket]],Table_NFI[[#This Row],[Blanket]])</f>
        <v>0</v>
      </c>
      <c r="AE683" s="264">
        <f>IF(NFI_Expiration=1,IF($A683&lt;VLOOKUP(N$5,NFI,5,0),1,0)*Table_NFI[[#This Row],[Kitchen Set]],Table_NFI[Kitchen Set])</f>
        <v>0</v>
      </c>
      <c r="AF683" s="264">
        <f>IF(NFI_Expiration=1,IF($A683&lt;VLOOKUP(O$5,NFI,5,0),1,0)*Table_NFI[[#This Row],[Clothes Kit]],Table_NFI[Clothes Kit])</f>
        <v>0</v>
      </c>
      <c r="AG683" s="264">
        <f>IF(NFI_Expiration=1,IF($A683&lt;VLOOKUP(P$5,NFI,5,0),1,0)*Table_NFI[[#This Row],[Plastic Bucket]],Table_NFI[Plastic Bucket])</f>
        <v>0</v>
      </c>
      <c r="AH683" s="264">
        <f>IF(NFI_Expiration=1,IF($A683&lt;VLOOKUP(Q$5,NFI,5,0),1,0)*Table_NFI[[#This Row],[Plastic Mat]],Table_NFI[Plastic Mat])*IF(Table_NFI[[#This Row],[Distribution Date]]&gt;"2014-04-01",1,2.5)</f>
        <v>0</v>
      </c>
      <c r="AI683" s="264">
        <f>IF(NFI_Expiration=1,IF($A683&lt;VLOOKUP(R$5,NFI,5,0),1,0)*Table_NFI[[#This Row],[Winter Clothes Adult]],Table_NFI[Winter Clothes Adult])</f>
        <v>0</v>
      </c>
      <c r="AJ683" s="264">
        <f>IF(NFI_Expiration=1,IF($A683&lt;VLOOKUP(S$5,NFI,5,0),1,0)*Table_NFI[[#This Row],[Winter Clothes Children]],Table_NFI[Winter Clothes Children])</f>
        <v>0</v>
      </c>
      <c r="AK683" s="264">
        <f>IF(NFI_Expiration=1,IF($A683&lt;VLOOKUP(T$5,NFI,5,0),1,0)*Table_NFI[[#This Row],[Winter Items Other]],Table_NFI[Winter Items Other])</f>
        <v>0</v>
      </c>
      <c r="AL683" s="264">
        <f>IF(NFI_Expiration=1,IF($A683&lt;VLOOKUP(M$5,NFI,5,0),1,0)*Table_NFI[[#This Row],[Winter Blanket]],Table_NFI[[#This Row],[Winter Blanket]])</f>
        <v>0</v>
      </c>
      <c r="AM683" s="264">
        <f>IF(Table_NFI[[#This Row],[Winter Clothes Adult]]+Table_NFI[[#This Row],[Winter Clothes Children]]+Table_NFI[[#This Row],[Winter Items Other]]+Table_NFI[[#This Row],[Winter Blanket]]&gt;0,1,0)</f>
        <v>0</v>
      </c>
      <c r="AN683" s="296">
        <f>IF(NFI_Expiration=1,IF($A683&lt;VLOOKUP(V$5,NFI,5,0),1,0)*Table_NFI[[#This Row],[Jerry Can]],Table_NFI[Jerry Can])</f>
        <v>0</v>
      </c>
      <c r="AO683" s="296">
        <f>IF(NFI_Expiration=1,IF($A683&lt;VLOOKUP(V$5,NFI,5,0),1,0)*Table_NFI[[#This Row],[Shelter Tool kit]],Table_NFI[Shelter Tool kit])</f>
        <v>0</v>
      </c>
      <c r="AP683" s="296">
        <f>IF(NFI_Expiration=1,IF($A683&lt;VLOOKUP(V$5,NFI,5,0),1,0)*Table_NFI[[#This Row],[Tent]],Table_NFI[Tent])</f>
        <v>0</v>
      </c>
      <c r="AQ683" s="396" t="str">
        <f>IFERROR(VLOOKUP(Table_NFI[[#This Row],[Camp Name]],CL,2,0),"")</f>
        <v>MMR001CMP193</v>
      </c>
      <c r="AR683" s="702">
        <f ca="1">IF(Table_NFI[[#This Row],[Pcode]]="","",IF(OFFSET(CampList[Opening Date],MATCH(Table_NFI[[#This Row],[Pcode]],CampList[CP_Pcode],0)-1,0,1,1)&gt;=NFI_Monitor_Date,1,0))</f>
        <v>0</v>
      </c>
      <c r="AS683" s="396" t="str">
        <f>IFERROR(VLOOKUP(Table_NFI[[#This Row],[Camp Name]],CL,3,0),"")</f>
        <v>Open</v>
      </c>
      <c r="AT683" s="264" t="str">
        <f ca="1">IF(Table_NFI[[#This Row],[Pcode]]="","",OFFSET(CampList[Priority],MATCH(Table_NFI[[#This Row],[Pcode]],CampList[CP_Pcode],0)-1,0,1,1))</f>
        <v>P4</v>
      </c>
      <c r="AU683" s="263">
        <f>IFERROR(Table_NFI[[#This Row],[Kitchen Set]]/VLOOKUP(Table_NFI[[#This Row],[Camp Name]],CL,4,0),"")</f>
        <v>7.0260448213204122E-4</v>
      </c>
      <c r="AV683" s="390" t="s">
        <v>1087</v>
      </c>
      <c r="AW683" s="392"/>
      <c r="AX683" s="399"/>
      <c r="AY683" s="399"/>
      <c r="AZ683" s="399"/>
      <c r="BA683" s="399"/>
      <c r="BB683" s="399"/>
      <c r="BC683" s="399"/>
      <c r="BD683" s="399"/>
      <c r="BE683" s="399"/>
      <c r="BF683" s="399"/>
      <c r="BG683" s="399"/>
      <c r="BH683" s="399"/>
      <c r="BI683" s="399"/>
      <c r="BJ683" s="399"/>
      <c r="BK683" s="399"/>
      <c r="BL683" s="399"/>
      <c r="BM683" s="399"/>
      <c r="BN683" s="399"/>
      <c r="BO683" s="399"/>
      <c r="BP683" s="399"/>
      <c r="BQ683" s="399"/>
      <c r="BR683" s="399"/>
      <c r="BS683" s="399"/>
      <c r="BT683" s="399"/>
      <c r="BU683" s="399"/>
      <c r="BV683" s="399"/>
      <c r="BW683" s="399"/>
      <c r="BX683" s="399"/>
      <c r="BY683" s="399"/>
      <c r="BZ683" s="399"/>
      <c r="CA683" s="399"/>
      <c r="CB683" s="399"/>
      <c r="CC683" s="399"/>
      <c r="CD683" s="399"/>
      <c r="CE683" s="399"/>
      <c r="CF683" s="399"/>
      <c r="CG683" s="399"/>
      <c r="CH683" s="399"/>
      <c r="CI683" s="399"/>
      <c r="CJ683" s="399"/>
      <c r="CK683" s="399"/>
      <c r="CL683" s="399"/>
      <c r="CM683" s="399"/>
      <c r="CN683" s="399"/>
      <c r="CO683" s="399"/>
      <c r="CP683" s="399"/>
      <c r="CQ683" s="399"/>
      <c r="CR683" s="399"/>
      <c r="CS683" s="399"/>
      <c r="CT683" s="399"/>
      <c r="CU683" s="399"/>
      <c r="CV683" s="399"/>
      <c r="CW683" s="399"/>
      <c r="CX683" s="399"/>
      <c r="CY683" s="399"/>
      <c r="CZ683" s="399"/>
      <c r="DA683" s="399"/>
      <c r="DB683" s="399"/>
      <c r="DC683" s="399"/>
      <c r="DD683" s="399"/>
      <c r="DE683" s="399"/>
      <c r="DF683" s="399"/>
      <c r="DG683" s="399"/>
      <c r="DH683" s="399"/>
      <c r="DI683" s="399"/>
      <c r="DJ683" s="399"/>
      <c r="DK683" s="399"/>
      <c r="DL683" s="399"/>
      <c r="DM683" s="399"/>
      <c r="DN683" s="399"/>
      <c r="DO683" s="399"/>
      <c r="DP683" s="399"/>
      <c r="DQ683" s="399"/>
    </row>
    <row r="684" spans="1:121" s="760" customFormat="1" ht="14.45" customHeight="1" x14ac:dyDescent="0.25">
      <c r="A684" s="266">
        <f t="shared" si="10"/>
        <v>42.366666666666667</v>
      </c>
      <c r="B684" s="389">
        <v>41585</v>
      </c>
      <c r="C684" s="390" t="s">
        <v>904</v>
      </c>
      <c r="D684" s="390" t="s">
        <v>904</v>
      </c>
      <c r="E684" s="390" t="s">
        <v>380</v>
      </c>
      <c r="F684" s="390" t="s">
        <v>5</v>
      </c>
      <c r="G684" s="390" t="s">
        <v>24</v>
      </c>
      <c r="H684" s="261"/>
      <c r="I684" s="261"/>
      <c r="J684" s="261"/>
      <c r="K684" s="261"/>
      <c r="L684" s="261"/>
      <c r="M684" s="261"/>
      <c r="N684" s="261"/>
      <c r="O684" s="261"/>
      <c r="P684" s="261"/>
      <c r="Q684" s="261"/>
      <c r="R684" s="261">
        <v>64</v>
      </c>
      <c r="S684" s="261">
        <v>118</v>
      </c>
      <c r="T684" s="261">
        <v>364</v>
      </c>
      <c r="U684" s="261">
        <v>182</v>
      </c>
      <c r="V684" s="762"/>
      <c r="W684" s="261"/>
      <c r="X684" s="261"/>
      <c r="Y684" s="264">
        <f>IF(NFI_Expiration=1,IF($A684&lt;VLOOKUP(H$5,NFI,5,0),1,0)*Table_NFI[[#This Row],[Hygiene Kit]],Table_NFI[Hygiene Kit])</f>
        <v>0</v>
      </c>
      <c r="Z684" s="264">
        <f>IF(NFI_Expiration=1,IF($A684&lt;VLOOKUP(I$5,NFI,5,0),1,0)*Table_NFI[[#This Row],[NFI Core Kit]],Table_NFI[NFI Core Kit])</f>
        <v>0</v>
      </c>
      <c r="AA684" s="264">
        <f>IF(NFI_Expiration=1,IF($A684&lt;VLOOKUP(J$5,NFI,5,0),1,0)*Table_NFI[[#This Row],[Sanitary Kit]],Table_NFI[Sanitary Kit])</f>
        <v>0</v>
      </c>
      <c r="AB684" s="264">
        <f>IF(NFI_Expiration=1,IF($A684&lt;VLOOKUP(K$5,NFI,5,0),1,0)*Table_NFI[[#This Row],[Mosquito net]],Table_NFI[Mosquito net])</f>
        <v>0</v>
      </c>
      <c r="AC684" s="264">
        <f>IF(NFI_Expiration=1,IF($A684&lt;VLOOKUP(L$5,NFI,5,0),1,0)*Table_NFI[[#This Row],[Tarpaulin]],Table_NFI[[#This Row],[Tarpaulin]])</f>
        <v>0</v>
      </c>
      <c r="AD684" s="264">
        <f>IF(NFI_Expiration=1,IF($A684&lt;VLOOKUP(M$5,NFI,5,0),1,0)*Table_NFI[[#This Row],[Blanket]],Table_NFI[[#This Row],[Blanket]])</f>
        <v>0</v>
      </c>
      <c r="AE684" s="264">
        <f>IF(NFI_Expiration=1,IF($A684&lt;VLOOKUP(N$5,NFI,5,0),1,0)*Table_NFI[[#This Row],[Kitchen Set]],Table_NFI[Kitchen Set])</f>
        <v>0</v>
      </c>
      <c r="AF684" s="264">
        <f>IF(NFI_Expiration=1,IF($A684&lt;VLOOKUP(O$5,NFI,5,0),1,0)*Table_NFI[[#This Row],[Clothes Kit]],Table_NFI[Clothes Kit])</f>
        <v>0</v>
      </c>
      <c r="AG684" s="264">
        <f>IF(NFI_Expiration=1,IF($A684&lt;VLOOKUP(P$5,NFI,5,0),1,0)*Table_NFI[[#This Row],[Plastic Bucket]],Table_NFI[Plastic Bucket])</f>
        <v>0</v>
      </c>
      <c r="AH684" s="264">
        <f>IF(NFI_Expiration=1,IF($A684&lt;VLOOKUP(Q$5,NFI,5,0),1,0)*Table_NFI[[#This Row],[Plastic Mat]],Table_NFI[Plastic Mat])*IF(Table_NFI[[#This Row],[Distribution Date]]&gt;"2014-04-01",1,2.5)</f>
        <v>0</v>
      </c>
      <c r="AI684" s="264">
        <f>IF(NFI_Expiration=1,IF($A684&lt;VLOOKUP(R$5,NFI,5,0),1,0)*Table_NFI[[#This Row],[Winter Clothes Adult]],Table_NFI[Winter Clothes Adult])</f>
        <v>0</v>
      </c>
      <c r="AJ684" s="264">
        <f>IF(NFI_Expiration=1,IF($A684&lt;VLOOKUP(S$5,NFI,5,0),1,0)*Table_NFI[[#This Row],[Winter Clothes Children]],Table_NFI[Winter Clothes Children])</f>
        <v>0</v>
      </c>
      <c r="AK684" s="264">
        <f>IF(NFI_Expiration=1,IF($A684&lt;VLOOKUP(T$5,NFI,5,0),1,0)*Table_NFI[[#This Row],[Winter Items Other]],Table_NFI[Winter Items Other])</f>
        <v>0</v>
      </c>
      <c r="AL684" s="264">
        <f>IF(NFI_Expiration=1,IF($A684&lt;VLOOKUP(M$5,NFI,5,0),1,0)*Table_NFI[[#This Row],[Winter Blanket]],Table_NFI[[#This Row],[Winter Blanket]])</f>
        <v>0</v>
      </c>
      <c r="AM684" s="264">
        <f>IF(Table_NFI[[#This Row],[Winter Clothes Adult]]+Table_NFI[[#This Row],[Winter Clothes Children]]+Table_NFI[[#This Row],[Winter Items Other]]+Table_NFI[[#This Row],[Winter Blanket]]&gt;0,1,0)</f>
        <v>1</v>
      </c>
      <c r="AN684" s="296">
        <f>IF(NFI_Expiration=1,IF($A684&lt;VLOOKUP(V$5,NFI,5,0),1,0)*Table_NFI[[#This Row],[Jerry Can]],Table_NFI[Jerry Can])</f>
        <v>0</v>
      </c>
      <c r="AO684" s="296">
        <f>IF(NFI_Expiration=1,IF($A684&lt;VLOOKUP(V$5,NFI,5,0),1,0)*Table_NFI[[#This Row],[Shelter Tool kit]],Table_NFI[Shelter Tool kit])</f>
        <v>0</v>
      </c>
      <c r="AP684" s="296">
        <f>IF(NFI_Expiration=1,IF($A684&lt;VLOOKUP(V$5,NFI,5,0),1,0)*Table_NFI[[#This Row],[Tent]],Table_NFI[Tent])</f>
        <v>0</v>
      </c>
      <c r="AQ684" s="396" t="str">
        <f>IFERROR(VLOOKUP(Table_NFI[[#This Row],[Camp Name]],CL,2,0),"")</f>
        <v>MMR001CMP055</v>
      </c>
      <c r="AR684" s="702">
        <f ca="1">IF(Table_NFI[[#This Row],[Pcode]]="","",IF(OFFSET(CampList[Opening Date],MATCH(Table_NFI[[#This Row],[Pcode]],CampList[CP_Pcode],0)-1,0,1,1)&gt;=NFI_Monitor_Date,1,0))</f>
        <v>0</v>
      </c>
      <c r="AS684" s="396" t="str">
        <f>IFERROR(VLOOKUP(Table_NFI[[#This Row],[Camp Name]],CL,3,0),"")</f>
        <v>Open</v>
      </c>
      <c r="AT684" s="264" t="str">
        <f ca="1">IF(Table_NFI[[#This Row],[Pcode]]="","",OFFSET(CampList[Priority],MATCH(Table_NFI[[#This Row],[Pcode]],CampList[CP_Pcode],0)-1,0,1,1))</f>
        <v>P4</v>
      </c>
      <c r="AU684" s="263">
        <f>IFERROR(Table_NFI[[#This Row],[Kitchen Set]]/VLOOKUP(Table_NFI[[#This Row],[Camp Name]],CL,4,0),"")</f>
        <v>0</v>
      </c>
      <c r="AV684" s="390"/>
      <c r="AW684" s="392"/>
      <c r="AX684" s="399"/>
      <c r="AY684" s="399"/>
      <c r="AZ684" s="399"/>
      <c r="BA684" s="399"/>
      <c r="BB684" s="399"/>
      <c r="BC684" s="399"/>
      <c r="BD684" s="399"/>
      <c r="BE684" s="399"/>
      <c r="BF684" s="399"/>
      <c r="BG684" s="399"/>
      <c r="BH684" s="399"/>
      <c r="BI684" s="399"/>
      <c r="BJ684" s="399"/>
      <c r="BK684" s="399"/>
      <c r="BL684" s="399"/>
      <c r="BM684" s="399"/>
      <c r="BN684" s="399"/>
      <c r="BO684" s="399"/>
      <c r="BP684" s="399"/>
      <c r="BQ684" s="399"/>
      <c r="BR684" s="399"/>
      <c r="BS684" s="399"/>
      <c r="BT684" s="399"/>
      <c r="BU684" s="399"/>
      <c r="BV684" s="399"/>
      <c r="BW684" s="399"/>
      <c r="BX684" s="399"/>
      <c r="BY684" s="399"/>
      <c r="BZ684" s="399"/>
      <c r="CA684" s="399"/>
      <c r="CB684" s="399"/>
      <c r="CC684" s="399"/>
      <c r="CD684" s="399"/>
      <c r="CE684" s="399"/>
      <c r="CF684" s="399"/>
      <c r="CG684" s="399"/>
      <c r="CH684" s="399"/>
      <c r="CI684" s="399"/>
      <c r="CJ684" s="399"/>
      <c r="CK684" s="399"/>
      <c r="CL684" s="399"/>
      <c r="CM684" s="399"/>
      <c r="CN684" s="399"/>
      <c r="CO684" s="399"/>
      <c r="CP684" s="399"/>
      <c r="CQ684" s="399"/>
      <c r="CR684" s="399"/>
      <c r="CS684" s="399"/>
      <c r="CT684" s="399"/>
      <c r="CU684" s="399"/>
      <c r="CV684" s="399"/>
      <c r="CW684" s="399"/>
      <c r="CX684" s="399"/>
      <c r="CY684" s="399"/>
      <c r="CZ684" s="399"/>
      <c r="DA684" s="399"/>
      <c r="DB684" s="399"/>
      <c r="DC684" s="399"/>
      <c r="DD684" s="399"/>
      <c r="DE684" s="399"/>
      <c r="DF684" s="399"/>
      <c r="DG684" s="399"/>
      <c r="DH684" s="399"/>
      <c r="DI684" s="399"/>
      <c r="DJ684" s="399"/>
      <c r="DK684" s="399"/>
      <c r="DL684" s="399"/>
      <c r="DM684" s="399"/>
      <c r="DN684" s="399"/>
      <c r="DO684" s="399"/>
      <c r="DP684" s="399"/>
      <c r="DQ684" s="399"/>
    </row>
    <row r="685" spans="1:121" s="760" customFormat="1" ht="14.45" customHeight="1" x14ac:dyDescent="0.25">
      <c r="A685" s="266">
        <f t="shared" si="10"/>
        <v>42.366666666666667</v>
      </c>
      <c r="B685" s="389">
        <v>41585</v>
      </c>
      <c r="C685" s="390" t="s">
        <v>904</v>
      </c>
      <c r="D685" s="390" t="s">
        <v>904</v>
      </c>
      <c r="E685" s="390" t="s">
        <v>380</v>
      </c>
      <c r="F685" s="390" t="s">
        <v>5</v>
      </c>
      <c r="G685" s="390" t="s">
        <v>511</v>
      </c>
      <c r="H685" s="261"/>
      <c r="I685" s="261"/>
      <c r="J685" s="261"/>
      <c r="K685" s="261"/>
      <c r="L685" s="261"/>
      <c r="M685" s="261"/>
      <c r="N685" s="261"/>
      <c r="O685" s="261"/>
      <c r="P685" s="261"/>
      <c r="Q685" s="261"/>
      <c r="R685" s="261">
        <v>25</v>
      </c>
      <c r="S685" s="261">
        <v>73</v>
      </c>
      <c r="T685" s="261">
        <v>196</v>
      </c>
      <c r="U685" s="261">
        <v>98</v>
      </c>
      <c r="V685" s="762"/>
      <c r="W685" s="261"/>
      <c r="X685" s="261"/>
      <c r="Y685" s="264">
        <f>IF(NFI_Expiration=1,IF($A685&lt;VLOOKUP(H$5,NFI,5,0),1,0)*Table_NFI[[#This Row],[Hygiene Kit]],Table_NFI[Hygiene Kit])</f>
        <v>0</v>
      </c>
      <c r="Z685" s="264">
        <f>IF(NFI_Expiration=1,IF($A685&lt;VLOOKUP(I$5,NFI,5,0),1,0)*Table_NFI[[#This Row],[NFI Core Kit]],Table_NFI[NFI Core Kit])</f>
        <v>0</v>
      </c>
      <c r="AA685" s="264">
        <f>IF(NFI_Expiration=1,IF($A685&lt;VLOOKUP(J$5,NFI,5,0),1,0)*Table_NFI[[#This Row],[Sanitary Kit]],Table_NFI[Sanitary Kit])</f>
        <v>0</v>
      </c>
      <c r="AB685" s="264">
        <f>IF(NFI_Expiration=1,IF($A685&lt;VLOOKUP(K$5,NFI,5,0),1,0)*Table_NFI[[#This Row],[Mosquito net]],Table_NFI[Mosquito net])</f>
        <v>0</v>
      </c>
      <c r="AC685" s="264">
        <f>IF(NFI_Expiration=1,IF($A685&lt;VLOOKUP(L$5,NFI,5,0),1,0)*Table_NFI[[#This Row],[Tarpaulin]],Table_NFI[[#This Row],[Tarpaulin]])</f>
        <v>0</v>
      </c>
      <c r="AD685" s="264">
        <f>IF(NFI_Expiration=1,IF($A685&lt;VLOOKUP(M$5,NFI,5,0),1,0)*Table_NFI[[#This Row],[Blanket]],Table_NFI[[#This Row],[Blanket]])</f>
        <v>0</v>
      </c>
      <c r="AE685" s="264">
        <f>IF(NFI_Expiration=1,IF($A685&lt;VLOOKUP(N$5,NFI,5,0),1,0)*Table_NFI[[#This Row],[Kitchen Set]],Table_NFI[Kitchen Set])</f>
        <v>0</v>
      </c>
      <c r="AF685" s="264">
        <f>IF(NFI_Expiration=1,IF($A685&lt;VLOOKUP(O$5,NFI,5,0),1,0)*Table_NFI[[#This Row],[Clothes Kit]],Table_NFI[Clothes Kit])</f>
        <v>0</v>
      </c>
      <c r="AG685" s="264">
        <f>IF(NFI_Expiration=1,IF($A685&lt;VLOOKUP(P$5,NFI,5,0),1,0)*Table_NFI[[#This Row],[Plastic Bucket]],Table_NFI[Plastic Bucket])</f>
        <v>0</v>
      </c>
      <c r="AH685" s="264">
        <f>IF(NFI_Expiration=1,IF($A685&lt;VLOOKUP(Q$5,NFI,5,0),1,0)*Table_NFI[[#This Row],[Plastic Mat]],Table_NFI[Plastic Mat])*IF(Table_NFI[[#This Row],[Distribution Date]]&gt;"2014-04-01",1,2.5)</f>
        <v>0</v>
      </c>
      <c r="AI685" s="264">
        <f>IF(NFI_Expiration=1,IF($A685&lt;VLOOKUP(R$5,NFI,5,0),1,0)*Table_NFI[[#This Row],[Winter Clothes Adult]],Table_NFI[Winter Clothes Adult])</f>
        <v>0</v>
      </c>
      <c r="AJ685" s="264">
        <f>IF(NFI_Expiration=1,IF($A685&lt;VLOOKUP(S$5,NFI,5,0),1,0)*Table_NFI[[#This Row],[Winter Clothes Children]],Table_NFI[Winter Clothes Children])</f>
        <v>0</v>
      </c>
      <c r="AK685" s="264">
        <f>IF(NFI_Expiration=1,IF($A685&lt;VLOOKUP(T$5,NFI,5,0),1,0)*Table_NFI[[#This Row],[Winter Items Other]],Table_NFI[Winter Items Other])</f>
        <v>0</v>
      </c>
      <c r="AL685" s="264">
        <f>IF(NFI_Expiration=1,IF($A685&lt;VLOOKUP(M$5,NFI,5,0),1,0)*Table_NFI[[#This Row],[Winter Blanket]],Table_NFI[[#This Row],[Winter Blanket]])</f>
        <v>0</v>
      </c>
      <c r="AM685" s="264">
        <f>IF(Table_NFI[[#This Row],[Winter Clothes Adult]]+Table_NFI[[#This Row],[Winter Clothes Children]]+Table_NFI[[#This Row],[Winter Items Other]]+Table_NFI[[#This Row],[Winter Blanket]]&gt;0,1,0)</f>
        <v>1</v>
      </c>
      <c r="AN685" s="296">
        <f>IF(NFI_Expiration=1,IF($A685&lt;VLOOKUP(V$5,NFI,5,0),1,0)*Table_NFI[[#This Row],[Jerry Can]],Table_NFI[Jerry Can])</f>
        <v>0</v>
      </c>
      <c r="AO685" s="296">
        <f>IF(NFI_Expiration=1,IF($A685&lt;VLOOKUP(V$5,NFI,5,0),1,0)*Table_NFI[[#This Row],[Shelter Tool kit]],Table_NFI[Shelter Tool kit])</f>
        <v>0</v>
      </c>
      <c r="AP685" s="296">
        <f>IF(NFI_Expiration=1,IF($A685&lt;VLOOKUP(V$5,NFI,5,0),1,0)*Table_NFI[[#This Row],[Tent]],Table_NFI[Tent])</f>
        <v>0</v>
      </c>
      <c r="AQ685" s="396" t="str">
        <f>IFERROR(VLOOKUP(Table_NFI[[#This Row],[Camp Name]],CL,2,0),"")</f>
        <v>MMR001CMP194</v>
      </c>
      <c r="AR685" s="702">
        <f ca="1">IF(Table_NFI[[#This Row],[Pcode]]="","",IF(OFFSET(CampList[Opening Date],MATCH(Table_NFI[[#This Row],[Pcode]],CampList[CP_Pcode],0)-1,0,1,1)&gt;=NFI_Monitor_Date,1,0))</f>
        <v>0</v>
      </c>
      <c r="AS685" s="396" t="s">
        <v>842</v>
      </c>
      <c r="AT685" s="264" t="str">
        <f ca="1">IF(Table_NFI[[#This Row],[Pcode]]="","",OFFSET(CampList[Priority],MATCH(Table_NFI[[#This Row],[Pcode]],CampList[CP_Pcode],0)-1,0,1,1))</f>
        <v>P4</v>
      </c>
      <c r="AU685" s="263">
        <f>IFERROR(Table_NFI[[#This Row],[Kitchen Set]]/VLOOKUP(Table_NFI[[#This Row],[Camp Name]],CL,4,0),"")</f>
        <v>0</v>
      </c>
      <c r="AV685" s="390"/>
      <c r="AW685" s="392"/>
      <c r="AX685" s="399"/>
      <c r="AY685" s="399"/>
      <c r="AZ685" s="399"/>
      <c r="BA685" s="399"/>
      <c r="BB685" s="399"/>
      <c r="BC685" s="399"/>
      <c r="BD685" s="399"/>
      <c r="BE685" s="399"/>
      <c r="BF685" s="399"/>
      <c r="BG685" s="399"/>
      <c r="BH685" s="399"/>
      <c r="BI685" s="399"/>
      <c r="BJ685" s="399"/>
      <c r="BK685" s="399"/>
      <c r="BL685" s="399"/>
      <c r="BM685" s="399"/>
      <c r="BN685" s="399"/>
      <c r="BO685" s="399"/>
      <c r="BP685" s="399"/>
      <c r="BQ685" s="399"/>
      <c r="BR685" s="399"/>
      <c r="BS685" s="399"/>
      <c r="BT685" s="399"/>
      <c r="BU685" s="399"/>
      <c r="BV685" s="399"/>
      <c r="BW685" s="399"/>
      <c r="BX685" s="399"/>
      <c r="BY685" s="399"/>
      <c r="BZ685" s="399"/>
      <c r="CA685" s="399"/>
      <c r="CB685" s="399"/>
      <c r="CC685" s="399"/>
      <c r="CD685" s="399"/>
      <c r="CE685" s="399"/>
      <c r="CF685" s="399"/>
      <c r="CG685" s="399"/>
      <c r="CH685" s="399"/>
      <c r="CI685" s="399"/>
      <c r="CJ685" s="399"/>
      <c r="CK685" s="399"/>
      <c r="CL685" s="399"/>
      <c r="CM685" s="399"/>
      <c r="CN685" s="399"/>
      <c r="CO685" s="399"/>
      <c r="CP685" s="399"/>
      <c r="CQ685" s="399"/>
      <c r="CR685" s="399"/>
      <c r="CS685" s="399"/>
      <c r="CT685" s="399"/>
      <c r="CU685" s="399"/>
      <c r="CV685" s="399"/>
      <c r="CW685" s="399"/>
      <c r="CX685" s="399"/>
      <c r="CY685" s="399"/>
      <c r="CZ685" s="399"/>
      <c r="DA685" s="399"/>
      <c r="DB685" s="399"/>
      <c r="DC685" s="399"/>
      <c r="DD685" s="399"/>
      <c r="DE685" s="399"/>
      <c r="DF685" s="399"/>
      <c r="DG685" s="399"/>
      <c r="DH685" s="399"/>
      <c r="DI685" s="399"/>
      <c r="DJ685" s="399"/>
      <c r="DK685" s="399"/>
      <c r="DL685" s="399"/>
      <c r="DM685" s="399"/>
      <c r="DN685" s="399"/>
      <c r="DO685" s="399"/>
      <c r="DP685" s="399"/>
      <c r="DQ685" s="399"/>
    </row>
    <row r="686" spans="1:121" s="760" customFormat="1" ht="14.45" customHeight="1" x14ac:dyDescent="0.25">
      <c r="A686" s="266">
        <f t="shared" si="10"/>
        <v>42.366666666666667</v>
      </c>
      <c r="B686" s="389">
        <v>41585</v>
      </c>
      <c r="C686" s="390" t="s">
        <v>451</v>
      </c>
      <c r="D686" s="390" t="s">
        <v>451</v>
      </c>
      <c r="E686" s="390" t="s">
        <v>380</v>
      </c>
      <c r="F686" s="262" t="s">
        <v>526</v>
      </c>
      <c r="G686" s="262" t="s">
        <v>58</v>
      </c>
      <c r="H686" s="261"/>
      <c r="I686" s="261"/>
      <c r="J686" s="261">
        <v>13</v>
      </c>
      <c r="K686" s="261">
        <v>32</v>
      </c>
      <c r="L686" s="261">
        <v>15</v>
      </c>
      <c r="M686" s="261">
        <v>32</v>
      </c>
      <c r="N686" s="261">
        <v>15</v>
      </c>
      <c r="O686" s="261"/>
      <c r="P686" s="261">
        <v>15</v>
      </c>
      <c r="Q686" s="261">
        <v>32</v>
      </c>
      <c r="R686" s="261"/>
      <c r="S686" s="261"/>
      <c r="T686" s="261"/>
      <c r="U686" s="261"/>
      <c r="V686" s="762"/>
      <c r="W686" s="261"/>
      <c r="X686" s="261"/>
      <c r="Y686" s="264">
        <f>IF(NFI_Expiration=1,IF($A686&lt;VLOOKUP(H$5,NFI,5,0),1,0)*Table_NFI[[#This Row],[Hygiene Kit]],Table_NFI[Hygiene Kit])</f>
        <v>0</v>
      </c>
      <c r="Z686" s="264">
        <f>IF(NFI_Expiration=1,IF($A686&lt;VLOOKUP(I$5,NFI,5,0),1,0)*Table_NFI[[#This Row],[NFI Core Kit]],Table_NFI[NFI Core Kit])</f>
        <v>0</v>
      </c>
      <c r="AA686" s="264">
        <f>IF(NFI_Expiration=1,IF($A686&lt;VLOOKUP(J$5,NFI,5,0),1,0)*Table_NFI[[#This Row],[Sanitary Kit]],Table_NFI[Sanitary Kit])</f>
        <v>0</v>
      </c>
      <c r="AB686" s="264">
        <f>IF(NFI_Expiration=1,IF($A686&lt;VLOOKUP(K$5,NFI,5,0),1,0)*Table_NFI[[#This Row],[Mosquito net]],Table_NFI[Mosquito net])</f>
        <v>0</v>
      </c>
      <c r="AC686" s="264">
        <f>IF(NFI_Expiration=1,IF($A686&lt;VLOOKUP(L$5,NFI,5,0),1,0)*Table_NFI[[#This Row],[Tarpaulin]],Table_NFI[[#This Row],[Tarpaulin]])</f>
        <v>0</v>
      </c>
      <c r="AD686" s="264">
        <f>IF(NFI_Expiration=1,IF($A686&lt;VLOOKUP(M$5,NFI,5,0),1,0)*Table_NFI[[#This Row],[Blanket]],Table_NFI[[#This Row],[Blanket]])</f>
        <v>0</v>
      </c>
      <c r="AE686" s="264">
        <f>IF(NFI_Expiration=1,IF($A686&lt;VLOOKUP(N$5,NFI,5,0),1,0)*Table_NFI[[#This Row],[Kitchen Set]],Table_NFI[Kitchen Set])</f>
        <v>0</v>
      </c>
      <c r="AF686" s="264">
        <f>IF(NFI_Expiration=1,IF($A686&lt;VLOOKUP(O$5,NFI,5,0),1,0)*Table_NFI[[#This Row],[Clothes Kit]],Table_NFI[Clothes Kit])</f>
        <v>0</v>
      </c>
      <c r="AG686" s="264">
        <f>IF(NFI_Expiration=1,IF($A686&lt;VLOOKUP(P$5,NFI,5,0),1,0)*Table_NFI[[#This Row],[Plastic Bucket]],Table_NFI[Plastic Bucket])</f>
        <v>0</v>
      </c>
      <c r="AH686" s="264">
        <f>IF(NFI_Expiration=1,IF($A686&lt;VLOOKUP(Q$5,NFI,5,0),1,0)*Table_NFI[[#This Row],[Plastic Mat]],Table_NFI[Plastic Mat])*IF(Table_NFI[[#This Row],[Distribution Date]]&gt;"2014-04-01",1,2.5)</f>
        <v>0</v>
      </c>
      <c r="AI686" s="264">
        <f>IF(NFI_Expiration=1,IF($A686&lt;VLOOKUP(R$5,NFI,5,0),1,0)*Table_NFI[[#This Row],[Winter Clothes Adult]],Table_NFI[Winter Clothes Adult])</f>
        <v>0</v>
      </c>
      <c r="AJ686" s="264">
        <f>IF(NFI_Expiration=1,IF($A686&lt;VLOOKUP(S$5,NFI,5,0),1,0)*Table_NFI[[#This Row],[Winter Clothes Children]],Table_NFI[Winter Clothes Children])</f>
        <v>0</v>
      </c>
      <c r="AK686" s="264">
        <f>IF(NFI_Expiration=1,IF($A686&lt;VLOOKUP(T$5,NFI,5,0),1,0)*Table_NFI[[#This Row],[Winter Items Other]],Table_NFI[Winter Items Other])</f>
        <v>0</v>
      </c>
      <c r="AL686" s="264">
        <f>IF(NFI_Expiration=1,IF($A686&lt;VLOOKUP(M$5,NFI,5,0),1,0)*Table_NFI[[#This Row],[Winter Blanket]],Table_NFI[[#This Row],[Winter Blanket]])</f>
        <v>0</v>
      </c>
      <c r="AM686" s="264">
        <f>IF(Table_NFI[[#This Row],[Winter Clothes Adult]]+Table_NFI[[#This Row],[Winter Clothes Children]]+Table_NFI[[#This Row],[Winter Items Other]]+Table_NFI[[#This Row],[Winter Blanket]]&gt;0,1,0)</f>
        <v>0</v>
      </c>
      <c r="AN686" s="296">
        <f>IF(NFI_Expiration=1,IF($A686&lt;VLOOKUP(V$5,NFI,5,0),1,0)*Table_NFI[[#This Row],[Jerry Can]],Table_NFI[Jerry Can])</f>
        <v>0</v>
      </c>
      <c r="AO686" s="296">
        <f>IF(NFI_Expiration=1,IF($A686&lt;VLOOKUP(V$5,NFI,5,0),1,0)*Table_NFI[[#This Row],[Shelter Tool kit]],Table_NFI[Shelter Tool kit])</f>
        <v>0</v>
      </c>
      <c r="AP686" s="296">
        <f>IF(NFI_Expiration=1,IF($A686&lt;VLOOKUP(V$5,NFI,5,0),1,0)*Table_NFI[[#This Row],[Tent]],Table_NFI[Tent])</f>
        <v>0</v>
      </c>
      <c r="AQ686" s="396" t="str">
        <f>IFERROR(VLOOKUP(Table_NFI[[#This Row],[Camp Name]],CL,2,0),"")</f>
        <v>MMR001CMP188</v>
      </c>
      <c r="AR686" s="702">
        <f ca="1">IF(Table_NFI[[#This Row],[Pcode]]="","",IF(OFFSET(CampList[Opening Date],MATCH(Table_NFI[[#This Row],[Pcode]],CampList[CP_Pcode],0)-1,0,1,1)&gt;=NFI_Monitor_Date,1,0))</f>
        <v>0</v>
      </c>
      <c r="AS686" s="396" t="str">
        <f>IFERROR(VLOOKUP(Table_NFI[[#This Row],[Camp Name]],CL,3,0),"")</f>
        <v>Closed</v>
      </c>
      <c r="AT686" s="264" t="str">
        <f ca="1">IF(Table_NFI[[#This Row],[Pcode]]="","",OFFSET(CampList[Priority],MATCH(Table_NFI[[#This Row],[Pcode]],CampList[CP_Pcode],0)-1,0,1,1))</f>
        <v>P4</v>
      </c>
      <c r="AU686" s="263" t="str">
        <f>IFERROR(Table_NFI[[#This Row],[Kitchen Set]]/VLOOKUP(Table_NFI[[#This Row],[Camp Name]],CL,4,0),"")</f>
        <v/>
      </c>
      <c r="AV686" s="390" t="s">
        <v>1087</v>
      </c>
      <c r="AW686" s="392"/>
      <c r="AX686" s="399"/>
      <c r="AY686" s="399"/>
      <c r="AZ686" s="399"/>
      <c r="BA686" s="399"/>
      <c r="BB686" s="399"/>
      <c r="BC686" s="399"/>
      <c r="BD686" s="399"/>
      <c r="BE686" s="399"/>
      <c r="BF686" s="399"/>
      <c r="BG686" s="399"/>
      <c r="BH686" s="399"/>
      <c r="BI686" s="399"/>
      <c r="BJ686" s="399"/>
      <c r="BK686" s="399"/>
      <c r="BL686" s="399"/>
      <c r="BM686" s="399"/>
      <c r="BN686" s="399"/>
      <c r="BO686" s="399"/>
      <c r="BP686" s="399"/>
      <c r="BQ686" s="399"/>
      <c r="BR686" s="399"/>
      <c r="BS686" s="399"/>
      <c r="BT686" s="399"/>
      <c r="BU686" s="399"/>
      <c r="BV686" s="399"/>
      <c r="BW686" s="399"/>
      <c r="BX686" s="399"/>
      <c r="BY686" s="399"/>
      <c r="BZ686" s="399"/>
      <c r="CA686" s="399"/>
      <c r="CB686" s="399"/>
      <c r="CC686" s="399"/>
      <c r="CD686" s="399"/>
      <c r="CE686" s="399"/>
      <c r="CF686" s="399"/>
      <c r="CG686" s="399"/>
      <c r="CH686" s="399"/>
      <c r="CI686" s="399"/>
      <c r="CJ686" s="399"/>
      <c r="CK686" s="399"/>
      <c r="CL686" s="399"/>
      <c r="CM686" s="399"/>
      <c r="CN686" s="399"/>
      <c r="CO686" s="399"/>
      <c r="CP686" s="399"/>
      <c r="CQ686" s="399"/>
      <c r="CR686" s="399"/>
      <c r="CS686" s="399"/>
      <c r="CT686" s="399"/>
      <c r="CU686" s="399"/>
      <c r="CV686" s="399"/>
      <c r="CW686" s="399"/>
      <c r="CX686" s="399"/>
      <c r="CY686" s="399"/>
      <c r="CZ686" s="399"/>
      <c r="DA686" s="399"/>
      <c r="DB686" s="399"/>
      <c r="DC686" s="399"/>
      <c r="DD686" s="399"/>
      <c r="DE686" s="399"/>
      <c r="DF686" s="399"/>
      <c r="DG686" s="399"/>
      <c r="DH686" s="399"/>
      <c r="DI686" s="399"/>
      <c r="DJ686" s="399"/>
      <c r="DK686" s="399"/>
      <c r="DL686" s="399"/>
      <c r="DM686" s="399"/>
      <c r="DN686" s="399"/>
      <c r="DO686" s="399"/>
      <c r="DP686" s="399"/>
      <c r="DQ686" s="399"/>
    </row>
    <row r="687" spans="1:121" s="760" customFormat="1" ht="14.45" customHeight="1" x14ac:dyDescent="0.25">
      <c r="A687" s="266">
        <f t="shared" si="10"/>
        <v>42.43333333333333</v>
      </c>
      <c r="B687" s="389">
        <v>41583</v>
      </c>
      <c r="C687" s="390" t="s">
        <v>451</v>
      </c>
      <c r="D687" s="390" t="s">
        <v>451</v>
      </c>
      <c r="E687" s="390" t="s">
        <v>380</v>
      </c>
      <c r="F687" s="262" t="s">
        <v>151</v>
      </c>
      <c r="G687" s="262" t="s">
        <v>152</v>
      </c>
      <c r="H687" s="261"/>
      <c r="I687" s="261"/>
      <c r="J687" s="261">
        <v>60</v>
      </c>
      <c r="K687" s="261">
        <v>54</v>
      </c>
      <c r="L687" s="261">
        <v>30</v>
      </c>
      <c r="M687" s="261">
        <v>54</v>
      </c>
      <c r="N687" s="261">
        <v>30</v>
      </c>
      <c r="O687" s="261">
        <v>30</v>
      </c>
      <c r="P687" s="261"/>
      <c r="Q687" s="261"/>
      <c r="R687" s="261"/>
      <c r="S687" s="261"/>
      <c r="T687" s="261"/>
      <c r="U687" s="261"/>
      <c r="V687" s="762"/>
      <c r="W687" s="261"/>
      <c r="X687" s="261"/>
      <c r="Y687" s="264">
        <f>IF(NFI_Expiration=1,IF($A687&lt;VLOOKUP(H$5,NFI,5,0),1,0)*Table_NFI[[#This Row],[Hygiene Kit]],Table_NFI[Hygiene Kit])</f>
        <v>0</v>
      </c>
      <c r="Z687" s="264">
        <f>IF(NFI_Expiration=1,IF($A687&lt;VLOOKUP(I$5,NFI,5,0),1,0)*Table_NFI[[#This Row],[NFI Core Kit]],Table_NFI[NFI Core Kit])</f>
        <v>0</v>
      </c>
      <c r="AA687" s="264">
        <f>IF(NFI_Expiration=1,IF($A687&lt;VLOOKUP(J$5,NFI,5,0),1,0)*Table_NFI[[#This Row],[Sanitary Kit]],Table_NFI[Sanitary Kit])</f>
        <v>0</v>
      </c>
      <c r="AB687" s="264">
        <f>IF(NFI_Expiration=1,IF($A687&lt;VLOOKUP(K$5,NFI,5,0),1,0)*Table_NFI[[#This Row],[Mosquito net]],Table_NFI[Mosquito net])</f>
        <v>0</v>
      </c>
      <c r="AC687" s="264">
        <f>IF(NFI_Expiration=1,IF($A687&lt;VLOOKUP(L$5,NFI,5,0),1,0)*Table_NFI[[#This Row],[Tarpaulin]],Table_NFI[[#This Row],[Tarpaulin]])</f>
        <v>0</v>
      </c>
      <c r="AD687" s="264">
        <f>IF(NFI_Expiration=1,IF($A687&lt;VLOOKUP(M$5,NFI,5,0),1,0)*Table_NFI[[#This Row],[Blanket]],Table_NFI[[#This Row],[Blanket]])</f>
        <v>0</v>
      </c>
      <c r="AE687" s="264">
        <f>IF(NFI_Expiration=1,IF($A687&lt;VLOOKUP(N$5,NFI,5,0),1,0)*Table_NFI[[#This Row],[Kitchen Set]],Table_NFI[Kitchen Set])</f>
        <v>0</v>
      </c>
      <c r="AF687" s="264">
        <f>IF(NFI_Expiration=1,IF($A687&lt;VLOOKUP(O$5,NFI,5,0),1,0)*Table_NFI[[#This Row],[Clothes Kit]],Table_NFI[Clothes Kit])</f>
        <v>0</v>
      </c>
      <c r="AG687" s="264">
        <f>IF(NFI_Expiration=1,IF($A687&lt;VLOOKUP(P$5,NFI,5,0),1,0)*Table_NFI[[#This Row],[Plastic Bucket]],Table_NFI[Plastic Bucket])</f>
        <v>0</v>
      </c>
      <c r="AH687" s="264">
        <f>IF(NFI_Expiration=1,IF($A687&lt;VLOOKUP(Q$5,NFI,5,0),1,0)*Table_NFI[[#This Row],[Plastic Mat]],Table_NFI[Plastic Mat])*IF(Table_NFI[[#This Row],[Distribution Date]]&gt;"2014-04-01",1,2.5)</f>
        <v>0</v>
      </c>
      <c r="AI687" s="264">
        <f>IF(NFI_Expiration=1,IF($A687&lt;VLOOKUP(R$5,NFI,5,0),1,0)*Table_NFI[[#This Row],[Winter Clothes Adult]],Table_NFI[Winter Clothes Adult])</f>
        <v>0</v>
      </c>
      <c r="AJ687" s="264">
        <f>IF(NFI_Expiration=1,IF($A687&lt;VLOOKUP(S$5,NFI,5,0),1,0)*Table_NFI[[#This Row],[Winter Clothes Children]],Table_NFI[Winter Clothes Children])</f>
        <v>0</v>
      </c>
      <c r="AK687" s="264">
        <f>IF(NFI_Expiration=1,IF($A687&lt;VLOOKUP(T$5,NFI,5,0),1,0)*Table_NFI[[#This Row],[Winter Items Other]],Table_NFI[Winter Items Other])</f>
        <v>0</v>
      </c>
      <c r="AL687" s="264">
        <f>IF(NFI_Expiration=1,IF($A687&lt;VLOOKUP(M$5,NFI,5,0),1,0)*Table_NFI[[#This Row],[Winter Blanket]],Table_NFI[[#This Row],[Winter Blanket]])</f>
        <v>0</v>
      </c>
      <c r="AM687" s="264">
        <f>IF(Table_NFI[[#This Row],[Winter Clothes Adult]]+Table_NFI[[#This Row],[Winter Clothes Children]]+Table_NFI[[#This Row],[Winter Items Other]]+Table_NFI[[#This Row],[Winter Blanket]]&gt;0,1,0)</f>
        <v>0</v>
      </c>
      <c r="AN687" s="296">
        <f>IF(NFI_Expiration=1,IF($A687&lt;VLOOKUP(V$5,NFI,5,0),1,0)*Table_NFI[[#This Row],[Jerry Can]],Table_NFI[Jerry Can])</f>
        <v>0</v>
      </c>
      <c r="AO687" s="296">
        <f>IF(NFI_Expiration=1,IF($A687&lt;VLOOKUP(V$5,NFI,5,0),1,0)*Table_NFI[[#This Row],[Shelter Tool kit]],Table_NFI[Shelter Tool kit])</f>
        <v>0</v>
      </c>
      <c r="AP687" s="296">
        <f>IF(NFI_Expiration=1,IF($A687&lt;VLOOKUP(V$5,NFI,5,0),1,0)*Table_NFI[[#This Row],[Tent]],Table_NFI[Tent])</f>
        <v>0</v>
      </c>
      <c r="AQ687" s="396" t="str">
        <f>IFERROR(VLOOKUP(Table_NFI[[#This Row],[Camp Name]],CL,2,0),"")</f>
        <v>MMR001CMP066</v>
      </c>
      <c r="AR687" s="702">
        <f ca="1">IF(Table_NFI[[#This Row],[Pcode]]="","",IF(OFFSET(CampList[Opening Date],MATCH(Table_NFI[[#This Row],[Pcode]],CampList[CP_Pcode],0)-1,0,1,1)&gt;=NFI_Monitor_Date,1,0))</f>
        <v>0</v>
      </c>
      <c r="AS687" s="396" t="str">
        <f>IFERROR(VLOOKUP(Table_NFI[[#This Row],[Camp Name]],CL,3,0),"")</f>
        <v>Open</v>
      </c>
      <c r="AT687" s="264" t="str">
        <f ca="1">IF(Table_NFI[[#This Row],[Pcode]]="","",OFFSET(CampList[Priority],MATCH(Table_NFI[[#This Row],[Pcode]],CampList[CP_Pcode],0)-1,0,1,1))</f>
        <v>P4</v>
      </c>
      <c r="AU687" s="263">
        <f>IFERROR(Table_NFI[[#This Row],[Kitchen Set]]/VLOOKUP(Table_NFI[[#This Row],[Camp Name]],CL,4,0),"")</f>
        <v>7.215180740277544E-4</v>
      </c>
      <c r="AV687" s="390" t="s">
        <v>1087</v>
      </c>
      <c r="AW687" s="392"/>
      <c r="AX687" s="399"/>
      <c r="AY687" s="399"/>
      <c r="AZ687" s="399"/>
      <c r="BA687" s="399"/>
      <c r="BB687" s="399"/>
      <c r="BC687" s="399"/>
      <c r="BD687" s="399"/>
      <c r="BE687" s="399"/>
      <c r="BF687" s="399"/>
      <c r="BG687" s="399"/>
      <c r="BH687" s="399"/>
      <c r="BI687" s="399"/>
      <c r="BJ687" s="399"/>
      <c r="BK687" s="399"/>
      <c r="BL687" s="399"/>
      <c r="BM687" s="399"/>
      <c r="BN687" s="399"/>
      <c r="BO687" s="399"/>
      <c r="BP687" s="399"/>
      <c r="BQ687" s="399"/>
      <c r="BR687" s="399"/>
      <c r="BS687" s="399"/>
      <c r="BT687" s="399"/>
      <c r="BU687" s="399"/>
      <c r="BV687" s="399"/>
      <c r="BW687" s="399"/>
      <c r="BX687" s="399"/>
      <c r="BY687" s="399"/>
      <c r="BZ687" s="399"/>
      <c r="CA687" s="399"/>
      <c r="CB687" s="399"/>
      <c r="CC687" s="399"/>
      <c r="CD687" s="399"/>
      <c r="CE687" s="399"/>
      <c r="CF687" s="399"/>
      <c r="CG687" s="399"/>
      <c r="CH687" s="399"/>
      <c r="CI687" s="399"/>
      <c r="CJ687" s="399"/>
      <c r="CK687" s="399"/>
      <c r="CL687" s="399"/>
      <c r="CM687" s="399"/>
      <c r="CN687" s="399"/>
      <c r="CO687" s="399"/>
      <c r="CP687" s="399"/>
      <c r="CQ687" s="399"/>
      <c r="CR687" s="399"/>
      <c r="CS687" s="399"/>
      <c r="CT687" s="399"/>
      <c r="CU687" s="399"/>
      <c r="CV687" s="399"/>
      <c r="CW687" s="399"/>
      <c r="CX687" s="399"/>
      <c r="CY687" s="399"/>
      <c r="CZ687" s="399"/>
      <c r="DA687" s="399"/>
      <c r="DB687" s="399"/>
      <c r="DC687" s="399"/>
      <c r="DD687" s="399"/>
      <c r="DE687" s="399"/>
      <c r="DF687" s="399"/>
      <c r="DG687" s="399"/>
      <c r="DH687" s="399"/>
      <c r="DI687" s="399"/>
      <c r="DJ687" s="399"/>
      <c r="DK687" s="399"/>
      <c r="DL687" s="399"/>
      <c r="DM687" s="399"/>
      <c r="DN687" s="399"/>
      <c r="DO687" s="399"/>
      <c r="DP687" s="399"/>
      <c r="DQ687" s="399"/>
    </row>
    <row r="688" spans="1:121" ht="14.45" customHeight="1" x14ac:dyDescent="0.25">
      <c r="A688" s="266">
        <f t="shared" si="10"/>
        <v>42.5</v>
      </c>
      <c r="B688" s="389">
        <v>41581</v>
      </c>
      <c r="C688" s="390" t="s">
        <v>899</v>
      </c>
      <c r="D688" s="390" t="s">
        <v>899</v>
      </c>
      <c r="E688" s="390" t="s">
        <v>380</v>
      </c>
      <c r="F688" s="262" t="s">
        <v>5</v>
      </c>
      <c r="G688" s="262" t="s">
        <v>6</v>
      </c>
      <c r="H688" s="261"/>
      <c r="I688" s="261"/>
      <c r="J688" s="261">
        <v>21</v>
      </c>
      <c r="K688" s="261"/>
      <c r="L688" s="261"/>
      <c r="M688" s="261"/>
      <c r="N688" s="261">
        <v>21</v>
      </c>
      <c r="O688" s="261"/>
      <c r="P688" s="261"/>
      <c r="Q688" s="261"/>
      <c r="R688" s="261"/>
      <c r="S688" s="261"/>
      <c r="T688" s="261"/>
      <c r="U688" s="261"/>
      <c r="V688" s="762"/>
      <c r="W688" s="261"/>
      <c r="X688" s="261"/>
      <c r="Y688" s="264">
        <f>IF(NFI_Expiration=1,IF($A688&lt;VLOOKUP(H$5,NFI,5,0),1,0)*Table_NFI[[#This Row],[Hygiene Kit]],Table_NFI[Hygiene Kit])</f>
        <v>0</v>
      </c>
      <c r="Z688" s="264">
        <f>IF(NFI_Expiration=1,IF($A688&lt;VLOOKUP(I$5,NFI,5,0),1,0)*Table_NFI[[#This Row],[NFI Core Kit]],Table_NFI[NFI Core Kit])</f>
        <v>0</v>
      </c>
      <c r="AA688" s="264">
        <f>IF(NFI_Expiration=1,IF($A688&lt;VLOOKUP(J$5,NFI,5,0),1,0)*Table_NFI[[#This Row],[Sanitary Kit]],Table_NFI[Sanitary Kit])</f>
        <v>0</v>
      </c>
      <c r="AB688" s="264">
        <f>IF(NFI_Expiration=1,IF($A688&lt;VLOOKUP(K$5,NFI,5,0),1,0)*Table_NFI[[#This Row],[Mosquito net]],Table_NFI[Mosquito net])</f>
        <v>0</v>
      </c>
      <c r="AC688" s="264">
        <f>IF(NFI_Expiration=1,IF($A688&lt;VLOOKUP(L$5,NFI,5,0),1,0)*Table_NFI[[#This Row],[Tarpaulin]],Table_NFI[[#This Row],[Tarpaulin]])</f>
        <v>0</v>
      </c>
      <c r="AD688" s="264">
        <f>IF(NFI_Expiration=1,IF($A688&lt;VLOOKUP(M$5,NFI,5,0),1,0)*Table_NFI[[#This Row],[Blanket]],Table_NFI[[#This Row],[Blanket]])</f>
        <v>0</v>
      </c>
      <c r="AE688" s="264">
        <f>IF(NFI_Expiration=1,IF($A688&lt;VLOOKUP(N$5,NFI,5,0),1,0)*Table_NFI[[#This Row],[Kitchen Set]],Table_NFI[Kitchen Set])</f>
        <v>0</v>
      </c>
      <c r="AF688" s="264">
        <f>IF(NFI_Expiration=1,IF($A688&lt;VLOOKUP(O$5,NFI,5,0),1,0)*Table_NFI[[#This Row],[Clothes Kit]],Table_NFI[Clothes Kit])</f>
        <v>0</v>
      </c>
      <c r="AG688" s="264">
        <f>IF(NFI_Expiration=1,IF($A688&lt;VLOOKUP(P$5,NFI,5,0),1,0)*Table_NFI[[#This Row],[Plastic Bucket]],Table_NFI[Plastic Bucket])</f>
        <v>0</v>
      </c>
      <c r="AH688" s="264">
        <f>IF(NFI_Expiration=1,IF($A688&lt;VLOOKUP(Q$5,NFI,5,0),1,0)*Table_NFI[[#This Row],[Plastic Mat]],Table_NFI[Plastic Mat])*IF(Table_NFI[[#This Row],[Distribution Date]]&gt;"2014-04-01",1,2.5)</f>
        <v>0</v>
      </c>
      <c r="AI688" s="264">
        <f>IF(NFI_Expiration=1,IF($A688&lt;VLOOKUP(R$5,NFI,5,0),1,0)*Table_NFI[[#This Row],[Winter Clothes Adult]],Table_NFI[Winter Clothes Adult])</f>
        <v>0</v>
      </c>
      <c r="AJ688" s="264">
        <f>IF(NFI_Expiration=1,IF($A688&lt;VLOOKUP(S$5,NFI,5,0),1,0)*Table_NFI[[#This Row],[Winter Clothes Children]],Table_NFI[Winter Clothes Children])</f>
        <v>0</v>
      </c>
      <c r="AK688" s="264">
        <f>IF(NFI_Expiration=1,IF($A688&lt;VLOOKUP(T$5,NFI,5,0),1,0)*Table_NFI[[#This Row],[Winter Items Other]],Table_NFI[Winter Items Other])</f>
        <v>0</v>
      </c>
      <c r="AL688" s="264">
        <f>IF(NFI_Expiration=1,IF($A688&lt;VLOOKUP(M$5,NFI,5,0),1,0)*Table_NFI[[#This Row],[Winter Blanket]],Table_NFI[[#This Row],[Winter Blanket]])</f>
        <v>0</v>
      </c>
      <c r="AM688" s="264">
        <f>IF(Table_NFI[[#This Row],[Winter Clothes Adult]]+Table_NFI[[#This Row],[Winter Clothes Children]]+Table_NFI[[#This Row],[Winter Items Other]]+Table_NFI[[#This Row],[Winter Blanket]]&gt;0,1,0)</f>
        <v>0</v>
      </c>
      <c r="AN688" s="296">
        <f>IF(NFI_Expiration=1,IF($A688&lt;VLOOKUP(V$5,NFI,5,0),1,0)*Table_NFI[[#This Row],[Jerry Can]],Table_NFI[Jerry Can])</f>
        <v>0</v>
      </c>
      <c r="AO688" s="296">
        <f>IF(NFI_Expiration=1,IF($A688&lt;VLOOKUP(V$5,NFI,5,0),1,0)*Table_NFI[[#This Row],[Shelter Tool kit]],Table_NFI[Shelter Tool kit])</f>
        <v>0</v>
      </c>
      <c r="AP688" s="296">
        <f>IF(NFI_Expiration=1,IF($A688&lt;VLOOKUP(V$5,NFI,5,0),1,0)*Table_NFI[[#This Row],[Tent]],Table_NFI[Tent])</f>
        <v>0</v>
      </c>
      <c r="AQ688" s="396" t="str">
        <f>IFERROR(VLOOKUP(Table_NFI[[#This Row],[Camp Name]],CL,2,0),"")</f>
        <v>MMR001CMP050</v>
      </c>
      <c r="AR688" s="702">
        <f ca="1">IF(Table_NFI[[#This Row],[Pcode]]="","",IF(OFFSET(CampList[Opening Date],MATCH(Table_NFI[[#This Row],[Pcode]],CampList[CP_Pcode],0)-1,0,1,1)&gt;=NFI_Monitor_Date,1,0))</f>
        <v>0</v>
      </c>
      <c r="AS688" s="396" t="str">
        <f>IFERROR(VLOOKUP(Table_NFI[[#This Row],[Camp Name]],CL,3,0),"")</f>
        <v>Open</v>
      </c>
      <c r="AT688" s="264" t="str">
        <f ca="1">IF(Table_NFI[[#This Row],[Pcode]]="","",OFFSET(CampList[Priority],MATCH(Table_NFI[[#This Row],[Pcode]],CampList[CP_Pcode],0)-1,0,1,1))</f>
        <v>P4</v>
      </c>
      <c r="AU688" s="263">
        <f>IFERROR(Table_NFI[[#This Row],[Kitchen Set]]/VLOOKUP(Table_NFI[[#This Row],[Camp Name]],CL,4,0),"")</f>
        <v>5.1410105757931847E-4</v>
      </c>
      <c r="AV688" s="390" t="s">
        <v>1087</v>
      </c>
      <c r="AW688" s="392"/>
    </row>
    <row r="689" spans="1:121" s="760" customFormat="1" ht="14.45" customHeight="1" x14ac:dyDescent="0.25">
      <c r="A689" s="266">
        <f t="shared" si="10"/>
        <v>42.5</v>
      </c>
      <c r="B689" s="389">
        <v>41581</v>
      </c>
      <c r="C689" s="390" t="s">
        <v>451</v>
      </c>
      <c r="D689" s="390" t="s">
        <v>572</v>
      </c>
      <c r="E689" s="390" t="s">
        <v>380</v>
      </c>
      <c r="F689" s="262" t="s">
        <v>151</v>
      </c>
      <c r="G689" s="262" t="s">
        <v>188</v>
      </c>
      <c r="H689" s="261"/>
      <c r="I689" s="261"/>
      <c r="J689" s="261">
        <v>130</v>
      </c>
      <c r="K689" s="261">
        <v>130</v>
      </c>
      <c r="L689" s="261">
        <v>65</v>
      </c>
      <c r="M689" s="261">
        <v>65</v>
      </c>
      <c r="N689" s="261">
        <v>65</v>
      </c>
      <c r="O689" s="261">
        <v>65</v>
      </c>
      <c r="P689" s="261"/>
      <c r="Q689" s="261"/>
      <c r="R689" s="261"/>
      <c r="S689" s="261"/>
      <c r="T689" s="261"/>
      <c r="U689" s="261"/>
      <c r="V689" s="762"/>
      <c r="W689" s="261"/>
      <c r="X689" s="261"/>
      <c r="Y689" s="264">
        <f>IF(NFI_Expiration=1,IF($A689&lt;VLOOKUP(H$5,NFI,5,0),1,0)*Table_NFI[[#This Row],[Hygiene Kit]],Table_NFI[Hygiene Kit])</f>
        <v>0</v>
      </c>
      <c r="Z689" s="264">
        <f>IF(NFI_Expiration=1,IF($A689&lt;VLOOKUP(I$5,NFI,5,0),1,0)*Table_NFI[[#This Row],[NFI Core Kit]],Table_NFI[NFI Core Kit])</f>
        <v>0</v>
      </c>
      <c r="AA689" s="264">
        <f>IF(NFI_Expiration=1,IF($A689&lt;VLOOKUP(J$5,NFI,5,0),1,0)*Table_NFI[[#This Row],[Sanitary Kit]],Table_NFI[Sanitary Kit])</f>
        <v>0</v>
      </c>
      <c r="AB689" s="264">
        <f>IF(NFI_Expiration=1,IF($A689&lt;VLOOKUP(K$5,NFI,5,0),1,0)*Table_NFI[[#This Row],[Mosquito net]],Table_NFI[Mosquito net])</f>
        <v>0</v>
      </c>
      <c r="AC689" s="264">
        <f>IF(NFI_Expiration=1,IF($A689&lt;VLOOKUP(L$5,NFI,5,0),1,0)*Table_NFI[[#This Row],[Tarpaulin]],Table_NFI[[#This Row],[Tarpaulin]])</f>
        <v>0</v>
      </c>
      <c r="AD689" s="264">
        <f>IF(NFI_Expiration=1,IF($A689&lt;VLOOKUP(M$5,NFI,5,0),1,0)*Table_NFI[[#This Row],[Blanket]],Table_NFI[[#This Row],[Blanket]])</f>
        <v>0</v>
      </c>
      <c r="AE689" s="264">
        <f>IF(NFI_Expiration=1,IF($A689&lt;VLOOKUP(N$5,NFI,5,0),1,0)*Table_NFI[[#This Row],[Kitchen Set]],Table_NFI[Kitchen Set])</f>
        <v>0</v>
      </c>
      <c r="AF689" s="264">
        <f>IF(NFI_Expiration=1,IF($A689&lt;VLOOKUP(O$5,NFI,5,0),1,0)*Table_NFI[[#This Row],[Clothes Kit]],Table_NFI[Clothes Kit])</f>
        <v>0</v>
      </c>
      <c r="AG689" s="264">
        <f>IF(NFI_Expiration=1,IF($A689&lt;VLOOKUP(P$5,NFI,5,0),1,0)*Table_NFI[[#This Row],[Plastic Bucket]],Table_NFI[Plastic Bucket])</f>
        <v>0</v>
      </c>
      <c r="AH689" s="264">
        <f>IF(NFI_Expiration=1,IF($A689&lt;VLOOKUP(Q$5,NFI,5,0),1,0)*Table_NFI[[#This Row],[Plastic Mat]],Table_NFI[Plastic Mat])*IF(Table_NFI[[#This Row],[Distribution Date]]&gt;"2014-04-01",1,2.5)</f>
        <v>0</v>
      </c>
      <c r="AI689" s="264">
        <f>IF(NFI_Expiration=1,IF($A689&lt;VLOOKUP(R$5,NFI,5,0),1,0)*Table_NFI[[#This Row],[Winter Clothes Adult]],Table_NFI[Winter Clothes Adult])</f>
        <v>0</v>
      </c>
      <c r="AJ689" s="264">
        <f>IF(NFI_Expiration=1,IF($A689&lt;VLOOKUP(S$5,NFI,5,0),1,0)*Table_NFI[[#This Row],[Winter Clothes Children]],Table_NFI[Winter Clothes Children])</f>
        <v>0</v>
      </c>
      <c r="AK689" s="264">
        <f>IF(NFI_Expiration=1,IF($A689&lt;VLOOKUP(T$5,NFI,5,0),1,0)*Table_NFI[[#This Row],[Winter Items Other]],Table_NFI[Winter Items Other])</f>
        <v>0</v>
      </c>
      <c r="AL689" s="264">
        <f>IF(NFI_Expiration=1,IF($A689&lt;VLOOKUP(M$5,NFI,5,0),1,0)*Table_NFI[[#This Row],[Winter Blanket]],Table_NFI[[#This Row],[Winter Blanket]])</f>
        <v>0</v>
      </c>
      <c r="AM689" s="264">
        <f>IF(Table_NFI[[#This Row],[Winter Clothes Adult]]+Table_NFI[[#This Row],[Winter Clothes Children]]+Table_NFI[[#This Row],[Winter Items Other]]+Table_NFI[[#This Row],[Winter Blanket]]&gt;0,1,0)</f>
        <v>0</v>
      </c>
      <c r="AN689" s="296">
        <f>IF(NFI_Expiration=1,IF($A689&lt;VLOOKUP(V$5,NFI,5,0),1,0)*Table_NFI[[#This Row],[Jerry Can]],Table_NFI[Jerry Can])</f>
        <v>0</v>
      </c>
      <c r="AO689" s="296">
        <f>IF(NFI_Expiration=1,IF($A689&lt;VLOOKUP(V$5,NFI,5,0),1,0)*Table_NFI[[#This Row],[Shelter Tool kit]],Table_NFI[Shelter Tool kit])</f>
        <v>0</v>
      </c>
      <c r="AP689" s="296">
        <f>IF(NFI_Expiration=1,IF($A689&lt;VLOOKUP(V$5,NFI,5,0),1,0)*Table_NFI[[#This Row],[Tent]],Table_NFI[Tent])</f>
        <v>0</v>
      </c>
      <c r="AQ689" s="396" t="str">
        <f>IFERROR(VLOOKUP(Table_NFI[[#This Row],[Camp Name]],CL,2,0),"")</f>
        <v>MMR001CMP129</v>
      </c>
      <c r="AR689" s="702">
        <f ca="1">IF(Table_NFI[[#This Row],[Pcode]]="","",IF(OFFSET(CampList[Opening Date],MATCH(Table_NFI[[#This Row],[Pcode]],CampList[CP_Pcode],0)-1,0,1,1)&gt;=NFI_Monitor_Date,1,0))</f>
        <v>0</v>
      </c>
      <c r="AS689" s="396" t="str">
        <f>IFERROR(VLOOKUP(Table_NFI[[#This Row],[Camp Name]],CL,3,0),"")</f>
        <v>Open</v>
      </c>
      <c r="AT689" s="264" t="str">
        <f ca="1">IF(Table_NFI[[#This Row],[Pcode]]="","",OFFSET(CampList[Priority],MATCH(Table_NFI[[#This Row],[Pcode]],CampList[CP_Pcode],0)-1,0,1,1))</f>
        <v>P2</v>
      </c>
      <c r="AU689" s="263">
        <f>IFERROR(Table_NFI[[#This Row],[Kitchen Set]]/VLOOKUP(Table_NFI[[#This Row],[Camp Name]],CL,4,0),"")</f>
        <v>1.5924737241835509E-3</v>
      </c>
      <c r="AV689" s="390" t="s">
        <v>1087</v>
      </c>
      <c r="AW689" s="392"/>
      <c r="AX689" s="399"/>
      <c r="AY689" s="399"/>
      <c r="AZ689" s="399"/>
      <c r="BA689" s="399"/>
      <c r="BB689" s="399"/>
      <c r="BC689" s="399"/>
      <c r="BD689" s="399"/>
      <c r="BE689" s="399"/>
      <c r="BF689" s="399"/>
      <c r="BG689" s="399"/>
      <c r="BH689" s="399"/>
      <c r="BI689" s="399"/>
      <c r="BJ689" s="399"/>
      <c r="BK689" s="399"/>
      <c r="BL689" s="399"/>
      <c r="BM689" s="399"/>
      <c r="BN689" s="399"/>
      <c r="BO689" s="399"/>
      <c r="BP689" s="399"/>
      <c r="BQ689" s="399"/>
      <c r="BR689" s="399"/>
      <c r="BS689" s="399"/>
      <c r="BT689" s="399"/>
      <c r="BU689" s="399"/>
      <c r="BV689" s="399"/>
      <c r="BW689" s="399"/>
      <c r="BX689" s="399"/>
      <c r="BY689" s="399"/>
      <c r="BZ689" s="399"/>
      <c r="CA689" s="399"/>
      <c r="CB689" s="399"/>
      <c r="CC689" s="399"/>
      <c r="CD689" s="399"/>
      <c r="CE689" s="399"/>
      <c r="CF689" s="399"/>
      <c r="CG689" s="399"/>
      <c r="CH689" s="399"/>
      <c r="CI689" s="399"/>
      <c r="CJ689" s="399"/>
      <c r="CK689" s="399"/>
      <c r="CL689" s="399"/>
      <c r="CM689" s="399"/>
      <c r="CN689" s="399"/>
      <c r="CO689" s="399"/>
      <c r="CP689" s="399"/>
      <c r="CQ689" s="399"/>
      <c r="CR689" s="399"/>
      <c r="CS689" s="399"/>
      <c r="CT689" s="399"/>
      <c r="CU689" s="399"/>
      <c r="CV689" s="399"/>
      <c r="CW689" s="399"/>
      <c r="CX689" s="399"/>
      <c r="CY689" s="399"/>
      <c r="CZ689" s="399"/>
      <c r="DA689" s="399"/>
      <c r="DB689" s="399"/>
      <c r="DC689" s="399"/>
      <c r="DD689" s="399"/>
      <c r="DE689" s="399"/>
      <c r="DF689" s="399"/>
      <c r="DG689" s="399"/>
      <c r="DH689" s="399"/>
      <c r="DI689" s="399"/>
      <c r="DJ689" s="399"/>
      <c r="DK689" s="399"/>
      <c r="DL689" s="399"/>
      <c r="DM689" s="399"/>
      <c r="DN689" s="399"/>
      <c r="DO689" s="399"/>
      <c r="DP689" s="399"/>
      <c r="DQ689" s="399"/>
    </row>
    <row r="690" spans="1:121" s="760" customFormat="1" ht="14.45" customHeight="1" x14ac:dyDescent="0.25">
      <c r="A690" s="266">
        <f t="shared" si="10"/>
        <v>42.5</v>
      </c>
      <c r="B690" s="389">
        <v>41581</v>
      </c>
      <c r="C690" s="390" t="s">
        <v>899</v>
      </c>
      <c r="D690" s="391" t="s">
        <v>899</v>
      </c>
      <c r="E690" s="390" t="s">
        <v>380</v>
      </c>
      <c r="F690" s="262" t="s">
        <v>5</v>
      </c>
      <c r="G690" s="262" t="s">
        <v>14</v>
      </c>
      <c r="H690" s="261"/>
      <c r="I690" s="261"/>
      <c r="J690" s="261">
        <v>41</v>
      </c>
      <c r="K690" s="261"/>
      <c r="L690" s="261"/>
      <c r="M690" s="261"/>
      <c r="N690" s="261">
        <v>41</v>
      </c>
      <c r="O690" s="261"/>
      <c r="P690" s="261"/>
      <c r="Q690" s="261"/>
      <c r="R690" s="261"/>
      <c r="S690" s="261"/>
      <c r="T690" s="261"/>
      <c r="U690" s="261"/>
      <c r="V690" s="762"/>
      <c r="W690" s="261"/>
      <c r="X690" s="261"/>
      <c r="Y690" s="264">
        <f>IF(NFI_Expiration=1,IF($A690&lt;VLOOKUP(H$5,NFI,5,0),1,0)*Table_NFI[[#This Row],[Hygiene Kit]],Table_NFI[Hygiene Kit])</f>
        <v>0</v>
      </c>
      <c r="Z690" s="264">
        <f>IF(NFI_Expiration=1,IF($A690&lt;VLOOKUP(I$5,NFI,5,0),1,0)*Table_NFI[[#This Row],[NFI Core Kit]],Table_NFI[NFI Core Kit])</f>
        <v>0</v>
      </c>
      <c r="AA690" s="264">
        <f>IF(NFI_Expiration=1,IF($A690&lt;VLOOKUP(J$5,NFI,5,0),1,0)*Table_NFI[[#This Row],[Sanitary Kit]],Table_NFI[Sanitary Kit])</f>
        <v>0</v>
      </c>
      <c r="AB690" s="264">
        <f>IF(NFI_Expiration=1,IF($A690&lt;VLOOKUP(K$5,NFI,5,0),1,0)*Table_NFI[[#This Row],[Mosquito net]],Table_NFI[Mosquito net])</f>
        <v>0</v>
      </c>
      <c r="AC690" s="264">
        <f>IF(NFI_Expiration=1,IF($A690&lt;VLOOKUP(L$5,NFI,5,0),1,0)*Table_NFI[[#This Row],[Tarpaulin]],Table_NFI[[#This Row],[Tarpaulin]])</f>
        <v>0</v>
      </c>
      <c r="AD690" s="264">
        <f>IF(NFI_Expiration=1,IF($A690&lt;VLOOKUP(M$5,NFI,5,0),1,0)*Table_NFI[[#This Row],[Blanket]],Table_NFI[[#This Row],[Blanket]])</f>
        <v>0</v>
      </c>
      <c r="AE690" s="264">
        <f>IF(NFI_Expiration=1,IF($A690&lt;VLOOKUP(N$5,NFI,5,0),1,0)*Table_NFI[[#This Row],[Kitchen Set]],Table_NFI[Kitchen Set])</f>
        <v>0</v>
      </c>
      <c r="AF690" s="264">
        <f>IF(NFI_Expiration=1,IF($A690&lt;VLOOKUP(O$5,NFI,5,0),1,0)*Table_NFI[[#This Row],[Clothes Kit]],Table_NFI[Clothes Kit])</f>
        <v>0</v>
      </c>
      <c r="AG690" s="264">
        <f>IF(NFI_Expiration=1,IF($A690&lt;VLOOKUP(P$5,NFI,5,0),1,0)*Table_NFI[[#This Row],[Plastic Bucket]],Table_NFI[Plastic Bucket])</f>
        <v>0</v>
      </c>
      <c r="AH690" s="264">
        <f>IF(NFI_Expiration=1,IF($A690&lt;VLOOKUP(Q$5,NFI,5,0),1,0)*Table_NFI[[#This Row],[Plastic Mat]],Table_NFI[Plastic Mat])*IF(Table_NFI[[#This Row],[Distribution Date]]&gt;"2014-04-01",1,2.5)</f>
        <v>0</v>
      </c>
      <c r="AI690" s="264">
        <f>IF(NFI_Expiration=1,IF($A690&lt;VLOOKUP(R$5,NFI,5,0),1,0)*Table_NFI[[#This Row],[Winter Clothes Adult]],Table_NFI[Winter Clothes Adult])</f>
        <v>0</v>
      </c>
      <c r="AJ690" s="264">
        <f>IF(NFI_Expiration=1,IF($A690&lt;VLOOKUP(S$5,NFI,5,0),1,0)*Table_NFI[[#This Row],[Winter Clothes Children]],Table_NFI[Winter Clothes Children])</f>
        <v>0</v>
      </c>
      <c r="AK690" s="264">
        <f>IF(NFI_Expiration=1,IF($A690&lt;VLOOKUP(T$5,NFI,5,0),1,0)*Table_NFI[[#This Row],[Winter Items Other]],Table_NFI[Winter Items Other])</f>
        <v>0</v>
      </c>
      <c r="AL690" s="264">
        <f>IF(NFI_Expiration=1,IF($A690&lt;VLOOKUP(M$5,NFI,5,0),1,0)*Table_NFI[[#This Row],[Winter Blanket]],Table_NFI[[#This Row],[Winter Blanket]])</f>
        <v>0</v>
      </c>
      <c r="AM690" s="264">
        <f>IF(Table_NFI[[#This Row],[Winter Clothes Adult]]+Table_NFI[[#This Row],[Winter Clothes Children]]+Table_NFI[[#This Row],[Winter Items Other]]+Table_NFI[[#This Row],[Winter Blanket]]&gt;0,1,0)</f>
        <v>0</v>
      </c>
      <c r="AN690" s="296">
        <f>IF(NFI_Expiration=1,IF($A690&lt;VLOOKUP(V$5,NFI,5,0),1,0)*Table_NFI[[#This Row],[Jerry Can]],Table_NFI[Jerry Can])</f>
        <v>0</v>
      </c>
      <c r="AO690" s="296">
        <f>IF(NFI_Expiration=1,IF($A690&lt;VLOOKUP(V$5,NFI,5,0),1,0)*Table_NFI[[#This Row],[Shelter Tool kit]],Table_NFI[Shelter Tool kit])</f>
        <v>0</v>
      </c>
      <c r="AP690" s="296">
        <f>IF(NFI_Expiration=1,IF($A690&lt;VLOOKUP(V$5,NFI,5,0),1,0)*Table_NFI[[#This Row],[Tent]],Table_NFI[Tent])</f>
        <v>0</v>
      </c>
      <c r="AQ690" s="396" t="str">
        <f>IFERROR(VLOOKUP(Table_NFI[[#This Row],[Camp Name]],CL,2,0),"")</f>
        <v>MMR001CMP052</v>
      </c>
      <c r="AR690" s="702">
        <f ca="1">IF(Table_NFI[[#This Row],[Pcode]]="","",IF(OFFSET(CampList[Opening Date],MATCH(Table_NFI[[#This Row],[Pcode]],CampList[CP_Pcode],0)-1,0,1,1)&gt;=NFI_Monitor_Date,1,0))</f>
        <v>0</v>
      </c>
      <c r="AS690" s="396" t="str">
        <f>IFERROR(VLOOKUP(Table_NFI[[#This Row],[Camp Name]],CL,3,0),"")</f>
        <v>Open</v>
      </c>
      <c r="AT690" s="264" t="str">
        <f ca="1">IF(Table_NFI[[#This Row],[Pcode]]="","",OFFSET(CampList[Priority],MATCH(Table_NFI[[#This Row],[Pcode]],CampList[CP_Pcode],0)-1,0,1,1))</f>
        <v>P4</v>
      </c>
      <c r="AU690" s="263">
        <f>IFERROR(Table_NFI[[#This Row],[Kitchen Set]]/VLOOKUP(Table_NFI[[#This Row],[Camp Name]],CL,4,0),"")</f>
        <v>1.0029844904349528E-3</v>
      </c>
      <c r="AV690" s="390" t="s">
        <v>1087</v>
      </c>
      <c r="AW690" s="392"/>
      <c r="AX690" s="399"/>
      <c r="AY690" s="399"/>
      <c r="AZ690" s="399"/>
      <c r="BA690" s="399"/>
      <c r="BB690" s="399"/>
      <c r="BC690" s="399"/>
      <c r="BD690" s="399"/>
      <c r="BE690" s="399"/>
      <c r="BF690" s="399"/>
      <c r="BG690" s="399"/>
      <c r="BH690" s="399"/>
      <c r="BI690" s="399"/>
      <c r="BJ690" s="399"/>
      <c r="BK690" s="399"/>
      <c r="BL690" s="399"/>
      <c r="BM690" s="399"/>
      <c r="BN690" s="399"/>
      <c r="BO690" s="399"/>
      <c r="BP690" s="399"/>
      <c r="BQ690" s="399"/>
      <c r="BR690" s="399"/>
      <c r="BS690" s="399"/>
      <c r="BT690" s="399"/>
      <c r="BU690" s="399"/>
      <c r="BV690" s="399"/>
      <c r="BW690" s="399"/>
      <c r="BX690" s="399"/>
      <c r="BY690" s="399"/>
      <c r="BZ690" s="399"/>
      <c r="CA690" s="399"/>
      <c r="CB690" s="399"/>
      <c r="CC690" s="399"/>
      <c r="CD690" s="399"/>
      <c r="CE690" s="399"/>
      <c r="CF690" s="399"/>
      <c r="CG690" s="399"/>
      <c r="CH690" s="399"/>
      <c r="CI690" s="399"/>
      <c r="CJ690" s="399"/>
      <c r="CK690" s="399"/>
      <c r="CL690" s="399"/>
      <c r="CM690" s="399"/>
      <c r="CN690" s="399"/>
      <c r="CO690" s="399"/>
      <c r="CP690" s="399"/>
      <c r="CQ690" s="399"/>
      <c r="CR690" s="399"/>
      <c r="CS690" s="399"/>
      <c r="CT690" s="399"/>
      <c r="CU690" s="399"/>
      <c r="CV690" s="399"/>
      <c r="CW690" s="399"/>
      <c r="CX690" s="399"/>
      <c r="CY690" s="399"/>
      <c r="CZ690" s="399"/>
      <c r="DA690" s="399"/>
      <c r="DB690" s="399"/>
      <c r="DC690" s="399"/>
      <c r="DD690" s="399"/>
      <c r="DE690" s="399"/>
      <c r="DF690" s="399"/>
      <c r="DG690" s="399"/>
      <c r="DH690" s="399"/>
      <c r="DI690" s="399"/>
      <c r="DJ690" s="399"/>
      <c r="DK690" s="399"/>
      <c r="DL690" s="399"/>
      <c r="DM690" s="399"/>
      <c r="DN690" s="399"/>
      <c r="DO690" s="399"/>
      <c r="DP690" s="399"/>
      <c r="DQ690" s="399"/>
    </row>
    <row r="691" spans="1:121" s="760" customFormat="1" ht="14.45" customHeight="1" x14ac:dyDescent="0.25">
      <c r="A691" s="266">
        <f t="shared" si="10"/>
        <v>42.5</v>
      </c>
      <c r="B691" s="389">
        <v>41581</v>
      </c>
      <c r="C691" s="390" t="s">
        <v>451</v>
      </c>
      <c r="D691" s="390" t="s">
        <v>572</v>
      </c>
      <c r="E691" s="390" t="s">
        <v>380</v>
      </c>
      <c r="F691" s="262" t="s">
        <v>151</v>
      </c>
      <c r="G691" s="262" t="s">
        <v>198</v>
      </c>
      <c r="H691" s="261"/>
      <c r="I691" s="261"/>
      <c r="J691" s="261">
        <v>592</v>
      </c>
      <c r="K691" s="261">
        <v>592</v>
      </c>
      <c r="L691" s="261">
        <v>296</v>
      </c>
      <c r="M691" s="261">
        <v>296</v>
      </c>
      <c r="N691" s="261">
        <v>296</v>
      </c>
      <c r="O691" s="261">
        <v>296</v>
      </c>
      <c r="P691" s="261"/>
      <c r="Q691" s="261"/>
      <c r="R691" s="261"/>
      <c r="S691" s="261"/>
      <c r="T691" s="261"/>
      <c r="U691" s="261"/>
      <c r="V691" s="762"/>
      <c r="W691" s="261"/>
      <c r="X691" s="261"/>
      <c r="Y691" s="264">
        <f>IF(NFI_Expiration=1,IF($A691&lt;VLOOKUP(H$5,NFI,5,0),1,0)*Table_NFI[[#This Row],[Hygiene Kit]],Table_NFI[Hygiene Kit])</f>
        <v>0</v>
      </c>
      <c r="Z691" s="264">
        <f>IF(NFI_Expiration=1,IF($A691&lt;VLOOKUP(I$5,NFI,5,0),1,0)*Table_NFI[[#This Row],[NFI Core Kit]],Table_NFI[NFI Core Kit])</f>
        <v>0</v>
      </c>
      <c r="AA691" s="264">
        <f>IF(NFI_Expiration=1,IF($A691&lt;VLOOKUP(J$5,NFI,5,0),1,0)*Table_NFI[[#This Row],[Sanitary Kit]],Table_NFI[Sanitary Kit])</f>
        <v>0</v>
      </c>
      <c r="AB691" s="264">
        <f>IF(NFI_Expiration=1,IF($A691&lt;VLOOKUP(K$5,NFI,5,0),1,0)*Table_NFI[[#This Row],[Mosquito net]],Table_NFI[Mosquito net])</f>
        <v>0</v>
      </c>
      <c r="AC691" s="264">
        <f>IF(NFI_Expiration=1,IF($A691&lt;VLOOKUP(L$5,NFI,5,0),1,0)*Table_NFI[[#This Row],[Tarpaulin]],Table_NFI[[#This Row],[Tarpaulin]])</f>
        <v>0</v>
      </c>
      <c r="AD691" s="264">
        <f>IF(NFI_Expiration=1,IF($A691&lt;VLOOKUP(M$5,NFI,5,0),1,0)*Table_NFI[[#This Row],[Blanket]],Table_NFI[[#This Row],[Blanket]])</f>
        <v>0</v>
      </c>
      <c r="AE691" s="264">
        <f>IF(NFI_Expiration=1,IF($A691&lt;VLOOKUP(N$5,NFI,5,0),1,0)*Table_NFI[[#This Row],[Kitchen Set]],Table_NFI[Kitchen Set])</f>
        <v>0</v>
      </c>
      <c r="AF691" s="264">
        <f>IF(NFI_Expiration=1,IF($A691&lt;VLOOKUP(O$5,NFI,5,0),1,0)*Table_NFI[[#This Row],[Clothes Kit]],Table_NFI[Clothes Kit])</f>
        <v>0</v>
      </c>
      <c r="AG691" s="264">
        <f>IF(NFI_Expiration=1,IF($A691&lt;VLOOKUP(P$5,NFI,5,0),1,0)*Table_NFI[[#This Row],[Plastic Bucket]],Table_NFI[Plastic Bucket])</f>
        <v>0</v>
      </c>
      <c r="AH691" s="264">
        <f>IF(NFI_Expiration=1,IF($A691&lt;VLOOKUP(Q$5,NFI,5,0),1,0)*Table_NFI[[#This Row],[Plastic Mat]],Table_NFI[Plastic Mat])*IF(Table_NFI[[#This Row],[Distribution Date]]&gt;"2014-04-01",1,2.5)</f>
        <v>0</v>
      </c>
      <c r="AI691" s="264">
        <f>IF(NFI_Expiration=1,IF($A691&lt;VLOOKUP(R$5,NFI,5,0),1,0)*Table_NFI[[#This Row],[Winter Clothes Adult]],Table_NFI[Winter Clothes Adult])</f>
        <v>0</v>
      </c>
      <c r="AJ691" s="264">
        <f>IF(NFI_Expiration=1,IF($A691&lt;VLOOKUP(S$5,NFI,5,0),1,0)*Table_NFI[[#This Row],[Winter Clothes Children]],Table_NFI[Winter Clothes Children])</f>
        <v>0</v>
      </c>
      <c r="AK691" s="264">
        <f>IF(NFI_Expiration=1,IF($A691&lt;VLOOKUP(T$5,NFI,5,0),1,0)*Table_NFI[[#This Row],[Winter Items Other]],Table_NFI[Winter Items Other])</f>
        <v>0</v>
      </c>
      <c r="AL691" s="264">
        <f>IF(NFI_Expiration=1,IF($A691&lt;VLOOKUP(M$5,NFI,5,0),1,0)*Table_NFI[[#This Row],[Winter Blanket]],Table_NFI[[#This Row],[Winter Blanket]])</f>
        <v>0</v>
      </c>
      <c r="AM691" s="264">
        <f>IF(Table_NFI[[#This Row],[Winter Clothes Adult]]+Table_NFI[[#This Row],[Winter Clothes Children]]+Table_NFI[[#This Row],[Winter Items Other]]+Table_NFI[[#This Row],[Winter Blanket]]&gt;0,1,0)</f>
        <v>0</v>
      </c>
      <c r="AN691" s="296">
        <f>IF(NFI_Expiration=1,IF($A691&lt;VLOOKUP(V$5,NFI,5,0),1,0)*Table_NFI[[#This Row],[Jerry Can]],Table_NFI[Jerry Can])</f>
        <v>0</v>
      </c>
      <c r="AO691" s="296">
        <f>IF(NFI_Expiration=1,IF($A691&lt;VLOOKUP(V$5,NFI,5,0),1,0)*Table_NFI[[#This Row],[Shelter Tool kit]],Table_NFI[Shelter Tool kit])</f>
        <v>0</v>
      </c>
      <c r="AP691" s="296">
        <f>IF(NFI_Expiration=1,IF($A691&lt;VLOOKUP(V$5,NFI,5,0),1,0)*Table_NFI[[#This Row],[Tent]],Table_NFI[Tent])</f>
        <v>0</v>
      </c>
      <c r="AQ691" s="396" t="str">
        <f>IFERROR(VLOOKUP(Table_NFI[[#This Row],[Camp Name]],CL,2,0),"")</f>
        <v>MMR001CMP128</v>
      </c>
      <c r="AR691" s="702">
        <f ca="1">IF(Table_NFI[[#This Row],[Pcode]]="","",IF(OFFSET(CampList[Opening Date],MATCH(Table_NFI[[#This Row],[Pcode]],CampList[CP_Pcode],0)-1,0,1,1)&gt;=NFI_Monitor_Date,1,0))</f>
        <v>0</v>
      </c>
      <c r="AS691" s="396" t="str">
        <f>IFERROR(VLOOKUP(Table_NFI[[#This Row],[Camp Name]],CL,3,0),"")</f>
        <v>Open</v>
      </c>
      <c r="AT691" s="264" t="str">
        <f ca="1">IF(Table_NFI[[#This Row],[Pcode]]="","",OFFSET(CampList[Priority],MATCH(Table_NFI[[#This Row],[Pcode]],CampList[CP_Pcode],0)-1,0,1,1))</f>
        <v>P2</v>
      </c>
      <c r="AU691" s="263">
        <f>IFERROR(Table_NFI[[#This Row],[Kitchen Set]]/VLOOKUP(Table_NFI[[#This Row],[Camp Name]],CL,4,0),"")</f>
        <v>7.2518803439743243E-3</v>
      </c>
      <c r="AV691" s="390" t="s">
        <v>1087</v>
      </c>
      <c r="AW691" s="392"/>
      <c r="AX691" s="399"/>
      <c r="AY691" s="399"/>
      <c r="AZ691" s="399"/>
      <c r="BA691" s="399"/>
      <c r="BB691" s="399"/>
      <c r="BC691" s="399"/>
      <c r="BD691" s="399"/>
      <c r="BE691" s="399"/>
      <c r="BF691" s="399"/>
      <c r="BG691" s="399"/>
      <c r="BH691" s="399"/>
      <c r="BI691" s="399"/>
      <c r="BJ691" s="399"/>
      <c r="BK691" s="399"/>
      <c r="BL691" s="399"/>
      <c r="BM691" s="399"/>
      <c r="BN691" s="399"/>
      <c r="BO691" s="399"/>
      <c r="BP691" s="399"/>
      <c r="BQ691" s="399"/>
      <c r="BR691" s="399"/>
      <c r="BS691" s="399"/>
      <c r="BT691" s="399"/>
      <c r="BU691" s="399"/>
      <c r="BV691" s="399"/>
      <c r="BW691" s="399"/>
      <c r="BX691" s="399"/>
      <c r="BY691" s="399"/>
      <c r="BZ691" s="399"/>
      <c r="CA691" s="399"/>
      <c r="CB691" s="399"/>
      <c r="CC691" s="399"/>
      <c r="CD691" s="399"/>
      <c r="CE691" s="399"/>
      <c r="CF691" s="399"/>
      <c r="CG691" s="399"/>
      <c r="CH691" s="399"/>
      <c r="CI691" s="399"/>
      <c r="CJ691" s="399"/>
      <c r="CK691" s="399"/>
      <c r="CL691" s="399"/>
      <c r="CM691" s="399"/>
      <c r="CN691" s="399"/>
      <c r="CO691" s="399"/>
      <c r="CP691" s="399"/>
      <c r="CQ691" s="399"/>
      <c r="CR691" s="399"/>
      <c r="CS691" s="399"/>
      <c r="CT691" s="399"/>
      <c r="CU691" s="399"/>
      <c r="CV691" s="399"/>
      <c r="CW691" s="399"/>
      <c r="CX691" s="399"/>
      <c r="CY691" s="399"/>
      <c r="CZ691" s="399"/>
      <c r="DA691" s="399"/>
      <c r="DB691" s="399"/>
      <c r="DC691" s="399"/>
      <c r="DD691" s="399"/>
      <c r="DE691" s="399"/>
      <c r="DF691" s="399"/>
      <c r="DG691" s="399"/>
      <c r="DH691" s="399"/>
      <c r="DI691" s="399"/>
      <c r="DJ691" s="399"/>
      <c r="DK691" s="399"/>
      <c r="DL691" s="399"/>
      <c r="DM691" s="399"/>
      <c r="DN691" s="399"/>
      <c r="DO691" s="399"/>
      <c r="DP691" s="399"/>
      <c r="DQ691" s="399"/>
    </row>
    <row r="692" spans="1:121" s="760" customFormat="1" ht="15" customHeight="1" x14ac:dyDescent="0.25">
      <c r="A692" s="266">
        <f t="shared" si="10"/>
        <v>42.5</v>
      </c>
      <c r="B692" s="389">
        <v>41581</v>
      </c>
      <c r="C692" s="390" t="s">
        <v>451</v>
      </c>
      <c r="D692" s="390" t="s">
        <v>572</v>
      </c>
      <c r="E692" s="390" t="s">
        <v>380</v>
      </c>
      <c r="F692" s="262" t="s">
        <v>185</v>
      </c>
      <c r="G692" s="262" t="s">
        <v>190</v>
      </c>
      <c r="H692" s="261"/>
      <c r="I692" s="261"/>
      <c r="J692" s="261">
        <v>24</v>
      </c>
      <c r="K692" s="261">
        <v>24</v>
      </c>
      <c r="L692" s="261">
        <v>12</v>
      </c>
      <c r="M692" s="261">
        <v>12</v>
      </c>
      <c r="N692" s="261">
        <v>12</v>
      </c>
      <c r="O692" s="261">
        <v>12</v>
      </c>
      <c r="P692" s="261"/>
      <c r="Q692" s="261"/>
      <c r="R692" s="261"/>
      <c r="S692" s="261"/>
      <c r="T692" s="261"/>
      <c r="U692" s="261"/>
      <c r="V692" s="762"/>
      <c r="W692" s="261"/>
      <c r="X692" s="261"/>
      <c r="Y692" s="264">
        <f>IF(NFI_Expiration=1,IF($A692&lt;VLOOKUP(H$5,NFI,5,0),1,0)*Table_NFI[[#This Row],[Hygiene Kit]],Table_NFI[Hygiene Kit])</f>
        <v>0</v>
      </c>
      <c r="Z692" s="264">
        <f>IF(NFI_Expiration=1,IF($A692&lt;VLOOKUP(I$5,NFI,5,0),1,0)*Table_NFI[[#This Row],[NFI Core Kit]],Table_NFI[NFI Core Kit])</f>
        <v>0</v>
      </c>
      <c r="AA692" s="264">
        <f>IF(NFI_Expiration=1,IF($A692&lt;VLOOKUP(J$5,NFI,5,0),1,0)*Table_NFI[[#This Row],[Sanitary Kit]],Table_NFI[Sanitary Kit])</f>
        <v>0</v>
      </c>
      <c r="AB692" s="264">
        <f>IF(NFI_Expiration=1,IF($A692&lt;VLOOKUP(K$5,NFI,5,0),1,0)*Table_NFI[[#This Row],[Mosquito net]],Table_NFI[Mosquito net])</f>
        <v>0</v>
      </c>
      <c r="AC692" s="264">
        <f>IF(NFI_Expiration=1,IF($A692&lt;VLOOKUP(L$5,NFI,5,0),1,0)*Table_NFI[[#This Row],[Tarpaulin]],Table_NFI[[#This Row],[Tarpaulin]])</f>
        <v>0</v>
      </c>
      <c r="AD692" s="264">
        <f>IF(NFI_Expiration=1,IF($A692&lt;VLOOKUP(M$5,NFI,5,0),1,0)*Table_NFI[[#This Row],[Blanket]],Table_NFI[[#This Row],[Blanket]])</f>
        <v>0</v>
      </c>
      <c r="AE692" s="264">
        <f>IF(NFI_Expiration=1,IF($A692&lt;VLOOKUP(N$5,NFI,5,0),1,0)*Table_NFI[[#This Row],[Kitchen Set]],Table_NFI[Kitchen Set])</f>
        <v>0</v>
      </c>
      <c r="AF692" s="264">
        <f>IF(NFI_Expiration=1,IF($A692&lt;VLOOKUP(O$5,NFI,5,0),1,0)*Table_NFI[[#This Row],[Clothes Kit]],Table_NFI[Clothes Kit])</f>
        <v>0</v>
      </c>
      <c r="AG692" s="264">
        <f>IF(NFI_Expiration=1,IF($A692&lt;VLOOKUP(P$5,NFI,5,0),1,0)*Table_NFI[[#This Row],[Plastic Bucket]],Table_NFI[Plastic Bucket])</f>
        <v>0</v>
      </c>
      <c r="AH692" s="264">
        <f>IF(NFI_Expiration=1,IF($A692&lt;VLOOKUP(Q$5,NFI,5,0),1,0)*Table_NFI[[#This Row],[Plastic Mat]],Table_NFI[Plastic Mat])*IF(Table_NFI[[#This Row],[Distribution Date]]&gt;"2014-04-01",1,2.5)</f>
        <v>0</v>
      </c>
      <c r="AI692" s="264">
        <f>IF(NFI_Expiration=1,IF($A692&lt;VLOOKUP(R$5,NFI,5,0),1,0)*Table_NFI[[#This Row],[Winter Clothes Adult]],Table_NFI[Winter Clothes Adult])</f>
        <v>0</v>
      </c>
      <c r="AJ692" s="264">
        <f>IF(NFI_Expiration=1,IF($A692&lt;VLOOKUP(S$5,NFI,5,0),1,0)*Table_NFI[[#This Row],[Winter Clothes Children]],Table_NFI[Winter Clothes Children])</f>
        <v>0</v>
      </c>
      <c r="AK692" s="264">
        <f>IF(NFI_Expiration=1,IF($A692&lt;VLOOKUP(T$5,NFI,5,0),1,0)*Table_NFI[[#This Row],[Winter Items Other]],Table_NFI[Winter Items Other])</f>
        <v>0</v>
      </c>
      <c r="AL692" s="264">
        <f>IF(NFI_Expiration=1,IF($A692&lt;VLOOKUP(M$5,NFI,5,0),1,0)*Table_NFI[[#This Row],[Winter Blanket]],Table_NFI[[#This Row],[Winter Blanket]])</f>
        <v>0</v>
      </c>
      <c r="AM692" s="264">
        <f>IF(Table_NFI[[#This Row],[Winter Clothes Adult]]+Table_NFI[[#This Row],[Winter Clothes Children]]+Table_NFI[[#This Row],[Winter Items Other]]+Table_NFI[[#This Row],[Winter Blanket]]&gt;0,1,0)</f>
        <v>0</v>
      </c>
      <c r="AN692" s="296">
        <f>IF(NFI_Expiration=1,IF($A692&lt;VLOOKUP(V$5,NFI,5,0),1,0)*Table_NFI[[#This Row],[Jerry Can]],Table_NFI[Jerry Can])</f>
        <v>0</v>
      </c>
      <c r="AO692" s="296">
        <f>IF(NFI_Expiration=1,IF($A692&lt;VLOOKUP(V$5,NFI,5,0),1,0)*Table_NFI[[#This Row],[Shelter Tool kit]],Table_NFI[Shelter Tool kit])</f>
        <v>0</v>
      </c>
      <c r="AP692" s="296">
        <f>IF(NFI_Expiration=1,IF($A692&lt;VLOOKUP(V$5,NFI,5,0),1,0)*Table_NFI[[#This Row],[Tent]],Table_NFI[Tent])</f>
        <v>0</v>
      </c>
      <c r="AQ692" s="396" t="str">
        <f>IFERROR(VLOOKUP(Table_NFI[[#This Row],[Camp Name]],CL,2,0),"")</f>
        <v>MMR001CMP070</v>
      </c>
      <c r="AR692" s="702">
        <f ca="1">IF(Table_NFI[[#This Row],[Pcode]]="","",IF(OFFSET(CampList[Opening Date],MATCH(Table_NFI[[#This Row],[Pcode]],CampList[CP_Pcode],0)-1,0,1,1)&gt;=NFI_Monitor_Date,1,0))</f>
        <v>0</v>
      </c>
      <c r="AS692" s="396" t="str">
        <f>IFERROR(VLOOKUP(Table_NFI[[#This Row],[Camp Name]],CL,3,0),"")</f>
        <v>Open</v>
      </c>
      <c r="AT692" s="264" t="str">
        <f ca="1">IF(Table_NFI[[#This Row],[Pcode]]="","",OFFSET(CampList[Priority],MATCH(Table_NFI[[#This Row],[Pcode]],CampList[CP_Pcode],0)-1,0,1,1))</f>
        <v>P3</v>
      </c>
      <c r="AU692" s="263">
        <f>IFERROR(Table_NFI[[#This Row],[Kitchen Set]]/VLOOKUP(Table_NFI[[#This Row],[Camp Name]],CL,4,0),"")</f>
        <v>2.9268292682926828E-4</v>
      </c>
      <c r="AV692" s="390" t="s">
        <v>1087</v>
      </c>
      <c r="AW692" s="392"/>
      <c r="AX692" s="399"/>
      <c r="AY692" s="399"/>
      <c r="AZ692" s="399"/>
      <c r="BA692" s="399"/>
      <c r="BB692" s="399"/>
      <c r="BC692" s="399"/>
      <c r="BD692" s="399"/>
      <c r="BE692" s="399"/>
      <c r="BF692" s="399"/>
      <c r="BG692" s="399"/>
      <c r="BH692" s="399"/>
      <c r="BI692" s="399"/>
      <c r="BJ692" s="399"/>
      <c r="BK692" s="399"/>
      <c r="BL692" s="399"/>
      <c r="BM692" s="399"/>
      <c r="BN692" s="399"/>
      <c r="BO692" s="399"/>
      <c r="BP692" s="399"/>
      <c r="BQ692" s="399"/>
      <c r="BR692" s="399"/>
      <c r="BS692" s="399"/>
      <c r="BT692" s="399"/>
      <c r="BU692" s="399"/>
      <c r="BV692" s="399"/>
      <c r="BW692" s="399"/>
      <c r="BX692" s="399"/>
      <c r="BY692" s="399"/>
      <c r="BZ692" s="399"/>
      <c r="CA692" s="399"/>
      <c r="CB692" s="399"/>
      <c r="CC692" s="399"/>
      <c r="CD692" s="399"/>
      <c r="CE692" s="399"/>
      <c r="CF692" s="399"/>
      <c r="CG692" s="399"/>
      <c r="CH692" s="399"/>
      <c r="CI692" s="399"/>
      <c r="CJ692" s="399"/>
      <c r="CK692" s="399"/>
      <c r="CL692" s="399"/>
      <c r="CM692" s="399"/>
      <c r="CN692" s="399"/>
      <c r="CO692" s="399"/>
      <c r="CP692" s="399"/>
      <c r="CQ692" s="399"/>
      <c r="CR692" s="399"/>
      <c r="CS692" s="399"/>
      <c r="CT692" s="399"/>
      <c r="CU692" s="399"/>
      <c r="CV692" s="399"/>
      <c r="CW692" s="399"/>
      <c r="CX692" s="399"/>
      <c r="CY692" s="399"/>
      <c r="CZ692" s="399"/>
      <c r="DA692" s="399"/>
      <c r="DB692" s="399"/>
      <c r="DC692" s="399"/>
      <c r="DD692" s="399"/>
      <c r="DE692" s="399"/>
      <c r="DF692" s="399"/>
      <c r="DG692" s="399"/>
      <c r="DH692" s="399"/>
      <c r="DI692" s="399"/>
      <c r="DJ692" s="399"/>
      <c r="DK692" s="399"/>
      <c r="DL692" s="399"/>
      <c r="DM692" s="399"/>
      <c r="DN692" s="399"/>
      <c r="DO692" s="399"/>
      <c r="DP692" s="399"/>
      <c r="DQ692" s="399"/>
    </row>
    <row r="693" spans="1:121" ht="15" customHeight="1" x14ac:dyDescent="0.25">
      <c r="A693" s="266">
        <f t="shared" si="10"/>
        <v>42.5</v>
      </c>
      <c r="B693" s="389">
        <v>41581</v>
      </c>
      <c r="C693" s="390" t="s">
        <v>899</v>
      </c>
      <c r="D693" s="391" t="s">
        <v>899</v>
      </c>
      <c r="E693" s="390" t="s">
        <v>380</v>
      </c>
      <c r="F693" s="262" t="s">
        <v>151</v>
      </c>
      <c r="G693" s="262" t="s">
        <v>152</v>
      </c>
      <c r="H693" s="261"/>
      <c r="I693" s="261"/>
      <c r="J693" s="261">
        <v>29</v>
      </c>
      <c r="K693" s="261"/>
      <c r="L693" s="261"/>
      <c r="M693" s="261"/>
      <c r="N693" s="261">
        <v>29</v>
      </c>
      <c r="O693" s="261"/>
      <c r="P693" s="261"/>
      <c r="Q693" s="261"/>
      <c r="R693" s="261"/>
      <c r="S693" s="261"/>
      <c r="T693" s="261"/>
      <c r="U693" s="261"/>
      <c r="V693" s="762"/>
      <c r="W693" s="261"/>
      <c r="X693" s="261"/>
      <c r="Y693" s="264">
        <f>IF(NFI_Expiration=1,IF($A693&lt;VLOOKUP(H$5,NFI,5,0),1,0)*Table_NFI[[#This Row],[Hygiene Kit]],Table_NFI[Hygiene Kit])</f>
        <v>0</v>
      </c>
      <c r="Z693" s="264">
        <f>IF(NFI_Expiration=1,IF($A693&lt;VLOOKUP(I$5,NFI,5,0),1,0)*Table_NFI[[#This Row],[NFI Core Kit]],Table_NFI[NFI Core Kit])</f>
        <v>0</v>
      </c>
      <c r="AA693" s="264">
        <f>IF(NFI_Expiration=1,IF($A693&lt;VLOOKUP(J$5,NFI,5,0),1,0)*Table_NFI[[#This Row],[Sanitary Kit]],Table_NFI[Sanitary Kit])</f>
        <v>0</v>
      </c>
      <c r="AB693" s="264">
        <f>IF(NFI_Expiration=1,IF($A693&lt;VLOOKUP(K$5,NFI,5,0),1,0)*Table_NFI[[#This Row],[Mosquito net]],Table_NFI[Mosquito net])</f>
        <v>0</v>
      </c>
      <c r="AC693" s="264">
        <f>IF(NFI_Expiration=1,IF($A693&lt;VLOOKUP(L$5,NFI,5,0),1,0)*Table_NFI[[#This Row],[Tarpaulin]],Table_NFI[[#This Row],[Tarpaulin]])</f>
        <v>0</v>
      </c>
      <c r="AD693" s="264">
        <f>IF(NFI_Expiration=1,IF($A693&lt;VLOOKUP(M$5,NFI,5,0),1,0)*Table_NFI[[#This Row],[Blanket]],Table_NFI[[#This Row],[Blanket]])</f>
        <v>0</v>
      </c>
      <c r="AE693" s="264">
        <f>IF(NFI_Expiration=1,IF($A693&lt;VLOOKUP(N$5,NFI,5,0),1,0)*Table_NFI[[#This Row],[Kitchen Set]],Table_NFI[Kitchen Set])</f>
        <v>0</v>
      </c>
      <c r="AF693" s="264">
        <f>IF(NFI_Expiration=1,IF($A693&lt;VLOOKUP(O$5,NFI,5,0),1,0)*Table_NFI[[#This Row],[Clothes Kit]],Table_NFI[Clothes Kit])</f>
        <v>0</v>
      </c>
      <c r="AG693" s="264">
        <f>IF(NFI_Expiration=1,IF($A693&lt;VLOOKUP(P$5,NFI,5,0),1,0)*Table_NFI[[#This Row],[Plastic Bucket]],Table_NFI[Plastic Bucket])</f>
        <v>0</v>
      </c>
      <c r="AH693" s="264">
        <f>IF(NFI_Expiration=1,IF($A693&lt;VLOOKUP(Q$5,NFI,5,0),1,0)*Table_NFI[[#This Row],[Plastic Mat]],Table_NFI[Plastic Mat])*IF(Table_NFI[[#This Row],[Distribution Date]]&gt;"2014-04-01",1,2.5)</f>
        <v>0</v>
      </c>
      <c r="AI693" s="264">
        <f>IF(NFI_Expiration=1,IF($A693&lt;VLOOKUP(R$5,NFI,5,0),1,0)*Table_NFI[[#This Row],[Winter Clothes Adult]],Table_NFI[Winter Clothes Adult])</f>
        <v>0</v>
      </c>
      <c r="AJ693" s="264">
        <f>IF(NFI_Expiration=1,IF($A693&lt;VLOOKUP(S$5,NFI,5,0),1,0)*Table_NFI[[#This Row],[Winter Clothes Children]],Table_NFI[Winter Clothes Children])</f>
        <v>0</v>
      </c>
      <c r="AK693" s="264">
        <f>IF(NFI_Expiration=1,IF($A693&lt;VLOOKUP(T$5,NFI,5,0),1,0)*Table_NFI[[#This Row],[Winter Items Other]],Table_NFI[Winter Items Other])</f>
        <v>0</v>
      </c>
      <c r="AL693" s="264">
        <f>IF(NFI_Expiration=1,IF($A693&lt;VLOOKUP(M$5,NFI,5,0),1,0)*Table_NFI[[#This Row],[Winter Blanket]],Table_NFI[[#This Row],[Winter Blanket]])</f>
        <v>0</v>
      </c>
      <c r="AM693" s="264">
        <f>IF(Table_NFI[[#This Row],[Winter Clothes Adult]]+Table_NFI[[#This Row],[Winter Clothes Children]]+Table_NFI[[#This Row],[Winter Items Other]]+Table_NFI[[#This Row],[Winter Blanket]]&gt;0,1,0)</f>
        <v>0</v>
      </c>
      <c r="AN693" s="296">
        <f>IF(NFI_Expiration=1,IF($A693&lt;VLOOKUP(V$5,NFI,5,0),1,0)*Table_NFI[[#This Row],[Jerry Can]],Table_NFI[Jerry Can])</f>
        <v>0</v>
      </c>
      <c r="AO693" s="296">
        <f>IF(NFI_Expiration=1,IF($A693&lt;VLOOKUP(V$5,NFI,5,0),1,0)*Table_NFI[[#This Row],[Shelter Tool kit]],Table_NFI[Shelter Tool kit])</f>
        <v>0</v>
      </c>
      <c r="AP693" s="296">
        <f>IF(NFI_Expiration=1,IF($A693&lt;VLOOKUP(V$5,NFI,5,0),1,0)*Table_NFI[[#This Row],[Tent]],Table_NFI[Tent])</f>
        <v>0</v>
      </c>
      <c r="AQ693" s="396" t="str">
        <f>IFERROR(VLOOKUP(Table_NFI[[#This Row],[Camp Name]],CL,2,0),"")</f>
        <v>MMR001CMP066</v>
      </c>
      <c r="AR693" s="702">
        <f ca="1">IF(Table_NFI[[#This Row],[Pcode]]="","",IF(OFFSET(CampList[Opening Date],MATCH(Table_NFI[[#This Row],[Pcode]],CampList[CP_Pcode],0)-1,0,1,1)&gt;=NFI_Monitor_Date,1,0))</f>
        <v>0</v>
      </c>
      <c r="AS693" s="396" t="str">
        <f>IFERROR(VLOOKUP(Table_NFI[[#This Row],[Camp Name]],CL,3,0),"")</f>
        <v>Open</v>
      </c>
      <c r="AT693" s="264" t="str">
        <f ca="1">IF(Table_NFI[[#This Row],[Pcode]]="","",OFFSET(CampList[Priority],MATCH(Table_NFI[[#This Row],[Pcode]],CampList[CP_Pcode],0)-1,0,1,1))</f>
        <v>P4</v>
      </c>
      <c r="AU693" s="263">
        <f>IFERROR(Table_NFI[[#This Row],[Kitchen Set]]/VLOOKUP(Table_NFI[[#This Row],[Camp Name]],CL,4,0),"")</f>
        <v>6.9746747156016256E-4</v>
      </c>
      <c r="AV693" s="390" t="s">
        <v>1087</v>
      </c>
      <c r="AW693" s="392"/>
    </row>
    <row r="694" spans="1:121" ht="14.45" customHeight="1" x14ac:dyDescent="0.25">
      <c r="A694" s="266">
        <f t="shared" si="10"/>
        <v>42.5</v>
      </c>
      <c r="B694" s="389">
        <v>41581</v>
      </c>
      <c r="C694" s="390" t="s">
        <v>899</v>
      </c>
      <c r="D694" s="391" t="s">
        <v>899</v>
      </c>
      <c r="E694" s="390" t="s">
        <v>380</v>
      </c>
      <c r="F694" s="262" t="s">
        <v>5</v>
      </c>
      <c r="G694" s="262" t="s">
        <v>366</v>
      </c>
      <c r="H694" s="261"/>
      <c r="I694" s="261"/>
      <c r="J694" s="261">
        <v>49</v>
      </c>
      <c r="K694" s="261"/>
      <c r="L694" s="261"/>
      <c r="M694" s="261"/>
      <c r="N694" s="261">
        <v>49</v>
      </c>
      <c r="O694" s="261"/>
      <c r="P694" s="261"/>
      <c r="Q694" s="261"/>
      <c r="R694" s="261"/>
      <c r="S694" s="261"/>
      <c r="T694" s="261"/>
      <c r="U694" s="261"/>
      <c r="V694" s="762"/>
      <c r="W694" s="261"/>
      <c r="X694" s="261"/>
      <c r="Y694" s="264">
        <f>IF(NFI_Expiration=1,IF($A694&lt;VLOOKUP(H$5,NFI,5,0),1,0)*Table_NFI[[#This Row],[Hygiene Kit]],Table_NFI[Hygiene Kit])</f>
        <v>0</v>
      </c>
      <c r="Z694" s="264">
        <f>IF(NFI_Expiration=1,IF($A694&lt;VLOOKUP(I$5,NFI,5,0),1,0)*Table_NFI[[#This Row],[NFI Core Kit]],Table_NFI[NFI Core Kit])</f>
        <v>0</v>
      </c>
      <c r="AA694" s="264">
        <f>IF(NFI_Expiration=1,IF($A694&lt;VLOOKUP(J$5,NFI,5,0),1,0)*Table_NFI[[#This Row],[Sanitary Kit]],Table_NFI[Sanitary Kit])</f>
        <v>0</v>
      </c>
      <c r="AB694" s="264">
        <f>IF(NFI_Expiration=1,IF($A694&lt;VLOOKUP(K$5,NFI,5,0),1,0)*Table_NFI[[#This Row],[Mosquito net]],Table_NFI[Mosquito net])</f>
        <v>0</v>
      </c>
      <c r="AC694" s="264">
        <f>IF(NFI_Expiration=1,IF($A694&lt;VLOOKUP(L$5,NFI,5,0),1,0)*Table_NFI[[#This Row],[Tarpaulin]],Table_NFI[[#This Row],[Tarpaulin]])</f>
        <v>0</v>
      </c>
      <c r="AD694" s="264">
        <f>IF(NFI_Expiration=1,IF($A694&lt;VLOOKUP(M$5,NFI,5,0),1,0)*Table_NFI[[#This Row],[Blanket]],Table_NFI[[#This Row],[Blanket]])</f>
        <v>0</v>
      </c>
      <c r="AE694" s="264">
        <f>IF(NFI_Expiration=1,IF($A694&lt;VLOOKUP(N$5,NFI,5,0),1,0)*Table_NFI[[#This Row],[Kitchen Set]],Table_NFI[Kitchen Set])</f>
        <v>0</v>
      </c>
      <c r="AF694" s="264">
        <f>IF(NFI_Expiration=1,IF($A694&lt;VLOOKUP(O$5,NFI,5,0),1,0)*Table_NFI[[#This Row],[Clothes Kit]],Table_NFI[Clothes Kit])</f>
        <v>0</v>
      </c>
      <c r="AG694" s="264">
        <f>IF(NFI_Expiration=1,IF($A694&lt;VLOOKUP(P$5,NFI,5,0),1,0)*Table_NFI[[#This Row],[Plastic Bucket]],Table_NFI[Plastic Bucket])</f>
        <v>0</v>
      </c>
      <c r="AH694" s="264">
        <f>IF(NFI_Expiration=1,IF($A694&lt;VLOOKUP(Q$5,NFI,5,0),1,0)*Table_NFI[[#This Row],[Plastic Mat]],Table_NFI[Plastic Mat])*IF(Table_NFI[[#This Row],[Distribution Date]]&gt;"2014-04-01",1,2.5)</f>
        <v>0</v>
      </c>
      <c r="AI694" s="264">
        <f>IF(NFI_Expiration=1,IF($A694&lt;VLOOKUP(R$5,NFI,5,0),1,0)*Table_NFI[[#This Row],[Winter Clothes Adult]],Table_NFI[Winter Clothes Adult])</f>
        <v>0</v>
      </c>
      <c r="AJ694" s="264">
        <f>IF(NFI_Expiration=1,IF($A694&lt;VLOOKUP(S$5,NFI,5,0),1,0)*Table_NFI[[#This Row],[Winter Clothes Children]],Table_NFI[Winter Clothes Children])</f>
        <v>0</v>
      </c>
      <c r="AK694" s="264">
        <f>IF(NFI_Expiration=1,IF($A694&lt;VLOOKUP(T$5,NFI,5,0),1,0)*Table_NFI[[#This Row],[Winter Items Other]],Table_NFI[Winter Items Other])</f>
        <v>0</v>
      </c>
      <c r="AL694" s="264">
        <f>IF(NFI_Expiration=1,IF($A694&lt;VLOOKUP(M$5,NFI,5,0),1,0)*Table_NFI[[#This Row],[Winter Blanket]],Table_NFI[[#This Row],[Winter Blanket]])</f>
        <v>0</v>
      </c>
      <c r="AM694" s="264">
        <f>IF(Table_NFI[[#This Row],[Winter Clothes Adult]]+Table_NFI[[#This Row],[Winter Clothes Children]]+Table_NFI[[#This Row],[Winter Items Other]]+Table_NFI[[#This Row],[Winter Blanket]]&gt;0,1,0)</f>
        <v>0</v>
      </c>
      <c r="AN694" s="296">
        <f>IF(NFI_Expiration=1,IF($A694&lt;VLOOKUP(V$5,NFI,5,0),1,0)*Table_NFI[[#This Row],[Jerry Can]],Table_NFI[Jerry Can])</f>
        <v>0</v>
      </c>
      <c r="AO694" s="296">
        <f>IF(NFI_Expiration=1,IF($A694&lt;VLOOKUP(V$5,NFI,5,0),1,0)*Table_NFI[[#This Row],[Shelter Tool kit]],Table_NFI[Shelter Tool kit])</f>
        <v>0</v>
      </c>
      <c r="AP694" s="296">
        <f>IF(NFI_Expiration=1,IF($A694&lt;VLOOKUP(V$5,NFI,5,0),1,0)*Table_NFI[[#This Row],[Tent]],Table_NFI[Tent])</f>
        <v>0</v>
      </c>
      <c r="AQ694" s="396" t="str">
        <f>IFERROR(VLOOKUP(Table_NFI[[#This Row],[Camp Name]],CL,2,0),"")</f>
        <v>MMR001CMP193</v>
      </c>
      <c r="AR694" s="702">
        <f ca="1">IF(Table_NFI[[#This Row],[Pcode]]="","",IF(OFFSET(CampList[Opening Date],MATCH(Table_NFI[[#This Row],[Pcode]],CampList[CP_Pcode],0)-1,0,1,1)&gt;=NFI_Monitor_Date,1,0))</f>
        <v>0</v>
      </c>
      <c r="AS694" s="396" t="str">
        <f>IFERROR(VLOOKUP(Table_NFI[[#This Row],[Camp Name]],CL,3,0),"")</f>
        <v>Open</v>
      </c>
      <c r="AT694" s="264" t="str">
        <f ca="1">IF(Table_NFI[[#This Row],[Pcode]]="","",OFFSET(CampList[Priority],MATCH(Table_NFI[[#This Row],[Pcode]],CampList[CP_Pcode],0)-1,0,1,1))</f>
        <v>P4</v>
      </c>
      <c r="AU694" s="263">
        <f>IFERROR(Table_NFI[[#This Row],[Kitchen Set]]/VLOOKUP(Table_NFI[[#This Row],[Camp Name]],CL,4,0),"")</f>
        <v>1.1871592973955178E-3</v>
      </c>
      <c r="AV694" s="390" t="s">
        <v>1087</v>
      </c>
      <c r="AW694" s="392"/>
    </row>
    <row r="695" spans="1:121" s="760" customFormat="1" ht="14.45" customHeight="1" x14ac:dyDescent="0.25">
      <c r="A695" s="266">
        <f t="shared" si="10"/>
        <v>42.56666666666667</v>
      </c>
      <c r="B695" s="389">
        <v>41579</v>
      </c>
      <c r="C695" s="390" t="s">
        <v>451</v>
      </c>
      <c r="D695" s="390" t="s">
        <v>451</v>
      </c>
      <c r="E695" s="390" t="s">
        <v>380</v>
      </c>
      <c r="F695" s="262" t="s">
        <v>5</v>
      </c>
      <c r="G695" s="262" t="s">
        <v>511</v>
      </c>
      <c r="H695" s="261"/>
      <c r="I695" s="261"/>
      <c r="J695" s="261">
        <v>8</v>
      </c>
      <c r="K695" s="261">
        <v>6</v>
      </c>
      <c r="L695" s="261">
        <v>4</v>
      </c>
      <c r="M695" s="261">
        <v>6</v>
      </c>
      <c r="N695" s="261">
        <v>4</v>
      </c>
      <c r="O695" s="261">
        <v>4</v>
      </c>
      <c r="P695" s="261"/>
      <c r="Q695" s="261"/>
      <c r="R695" s="261"/>
      <c r="S695" s="261"/>
      <c r="T695" s="261"/>
      <c r="U695" s="261"/>
      <c r="V695" s="762"/>
      <c r="W695" s="261"/>
      <c r="X695" s="261"/>
      <c r="Y695" s="264">
        <f>IF(NFI_Expiration=1,IF($A695&lt;VLOOKUP(H$5,NFI,5,0),1,0)*Table_NFI[[#This Row],[Hygiene Kit]],Table_NFI[Hygiene Kit])</f>
        <v>0</v>
      </c>
      <c r="Z695" s="264">
        <f>IF(NFI_Expiration=1,IF($A695&lt;VLOOKUP(I$5,NFI,5,0),1,0)*Table_NFI[[#This Row],[NFI Core Kit]],Table_NFI[NFI Core Kit])</f>
        <v>0</v>
      </c>
      <c r="AA695" s="264">
        <f>IF(NFI_Expiration=1,IF($A695&lt;VLOOKUP(J$5,NFI,5,0),1,0)*Table_NFI[[#This Row],[Sanitary Kit]],Table_NFI[Sanitary Kit])</f>
        <v>0</v>
      </c>
      <c r="AB695" s="264">
        <f>IF(NFI_Expiration=1,IF($A695&lt;VLOOKUP(K$5,NFI,5,0),1,0)*Table_NFI[[#This Row],[Mosquito net]],Table_NFI[Mosquito net])</f>
        <v>0</v>
      </c>
      <c r="AC695" s="264">
        <f>IF(NFI_Expiration=1,IF($A695&lt;VLOOKUP(L$5,NFI,5,0),1,0)*Table_NFI[[#This Row],[Tarpaulin]],Table_NFI[[#This Row],[Tarpaulin]])</f>
        <v>0</v>
      </c>
      <c r="AD695" s="264">
        <f>IF(NFI_Expiration=1,IF($A695&lt;VLOOKUP(M$5,NFI,5,0),1,0)*Table_NFI[[#This Row],[Blanket]],Table_NFI[[#This Row],[Blanket]])</f>
        <v>0</v>
      </c>
      <c r="AE695" s="264">
        <f>IF(NFI_Expiration=1,IF($A695&lt;VLOOKUP(N$5,NFI,5,0),1,0)*Table_NFI[[#This Row],[Kitchen Set]],Table_NFI[Kitchen Set])</f>
        <v>0</v>
      </c>
      <c r="AF695" s="264">
        <f>IF(NFI_Expiration=1,IF($A695&lt;VLOOKUP(O$5,NFI,5,0),1,0)*Table_NFI[[#This Row],[Clothes Kit]],Table_NFI[Clothes Kit])</f>
        <v>0</v>
      </c>
      <c r="AG695" s="264">
        <f>IF(NFI_Expiration=1,IF($A695&lt;VLOOKUP(P$5,NFI,5,0),1,0)*Table_NFI[[#This Row],[Plastic Bucket]],Table_NFI[Plastic Bucket])</f>
        <v>0</v>
      </c>
      <c r="AH695" s="264">
        <f>IF(NFI_Expiration=1,IF($A695&lt;VLOOKUP(Q$5,NFI,5,0),1,0)*Table_NFI[[#This Row],[Plastic Mat]],Table_NFI[Plastic Mat])*IF(Table_NFI[[#This Row],[Distribution Date]]&gt;"2014-04-01",1,2.5)</f>
        <v>0</v>
      </c>
      <c r="AI695" s="264">
        <f>IF(NFI_Expiration=1,IF($A695&lt;VLOOKUP(R$5,NFI,5,0),1,0)*Table_NFI[[#This Row],[Winter Clothes Adult]],Table_NFI[Winter Clothes Adult])</f>
        <v>0</v>
      </c>
      <c r="AJ695" s="264">
        <f>IF(NFI_Expiration=1,IF($A695&lt;VLOOKUP(S$5,NFI,5,0),1,0)*Table_NFI[[#This Row],[Winter Clothes Children]],Table_NFI[Winter Clothes Children])</f>
        <v>0</v>
      </c>
      <c r="AK695" s="264">
        <f>IF(NFI_Expiration=1,IF($A695&lt;VLOOKUP(T$5,NFI,5,0),1,0)*Table_NFI[[#This Row],[Winter Items Other]],Table_NFI[Winter Items Other])</f>
        <v>0</v>
      </c>
      <c r="AL695" s="264">
        <f>IF(NFI_Expiration=1,IF($A695&lt;VLOOKUP(M$5,NFI,5,0),1,0)*Table_NFI[[#This Row],[Winter Blanket]],Table_NFI[[#This Row],[Winter Blanket]])</f>
        <v>0</v>
      </c>
      <c r="AM695" s="264">
        <f>IF(Table_NFI[[#This Row],[Winter Clothes Adult]]+Table_NFI[[#This Row],[Winter Clothes Children]]+Table_NFI[[#This Row],[Winter Items Other]]+Table_NFI[[#This Row],[Winter Blanket]]&gt;0,1,0)</f>
        <v>0</v>
      </c>
      <c r="AN695" s="296">
        <f>IF(NFI_Expiration=1,IF($A695&lt;VLOOKUP(V$5,NFI,5,0),1,0)*Table_NFI[[#This Row],[Jerry Can]],Table_NFI[Jerry Can])</f>
        <v>0</v>
      </c>
      <c r="AO695" s="296">
        <f>IF(NFI_Expiration=1,IF($A695&lt;VLOOKUP(V$5,NFI,5,0),1,0)*Table_NFI[[#This Row],[Shelter Tool kit]],Table_NFI[Shelter Tool kit])</f>
        <v>0</v>
      </c>
      <c r="AP695" s="296">
        <f>IF(NFI_Expiration=1,IF($A695&lt;VLOOKUP(V$5,NFI,5,0),1,0)*Table_NFI[[#This Row],[Tent]],Table_NFI[Tent])</f>
        <v>0</v>
      </c>
      <c r="AQ695" s="396" t="str">
        <f>IFERROR(VLOOKUP(Table_NFI[[#This Row],[Camp Name]],CL,2,0),"")</f>
        <v>MMR001CMP194</v>
      </c>
      <c r="AR695" s="702">
        <f ca="1">IF(Table_NFI[[#This Row],[Pcode]]="","",IF(OFFSET(CampList[Opening Date],MATCH(Table_NFI[[#This Row],[Pcode]],CampList[CP_Pcode],0)-1,0,1,1)&gt;=NFI_Monitor_Date,1,0))</f>
        <v>0</v>
      </c>
      <c r="AS695" s="396" t="str">
        <f>IFERROR(VLOOKUP(Table_NFI[[#This Row],[Camp Name]],CL,3,0),"")</f>
        <v>Open</v>
      </c>
      <c r="AT695" s="264" t="str">
        <f ca="1">IF(Table_NFI[[#This Row],[Pcode]]="","",OFFSET(CampList[Priority],MATCH(Table_NFI[[#This Row],[Pcode]],CampList[CP_Pcode],0)-1,0,1,1))</f>
        <v>P4</v>
      </c>
      <c r="AU695" s="263">
        <f>IFERROR(Table_NFI[[#This Row],[Kitchen Set]]/VLOOKUP(Table_NFI[[#This Row],[Camp Name]],CL,4,0),"")</f>
        <v>9.8070463628116802E-5</v>
      </c>
      <c r="AV695" s="390" t="s">
        <v>1087</v>
      </c>
      <c r="AW695" s="392"/>
      <c r="AX695" s="399"/>
      <c r="AY695" s="399"/>
      <c r="AZ695" s="399"/>
      <c r="BA695" s="399"/>
      <c r="BB695" s="399"/>
      <c r="BC695" s="399"/>
      <c r="BD695" s="399"/>
      <c r="BE695" s="399"/>
      <c r="BF695" s="399"/>
      <c r="BG695" s="399"/>
      <c r="BH695" s="399"/>
      <c r="BI695" s="399"/>
      <c r="BJ695" s="399"/>
      <c r="BK695" s="399"/>
      <c r="BL695" s="399"/>
      <c r="BM695" s="399"/>
      <c r="BN695" s="399"/>
      <c r="BO695" s="399"/>
      <c r="BP695" s="399"/>
      <c r="BQ695" s="399"/>
      <c r="BR695" s="399"/>
      <c r="BS695" s="399"/>
      <c r="BT695" s="399"/>
      <c r="BU695" s="399"/>
      <c r="BV695" s="399"/>
      <c r="BW695" s="399"/>
      <c r="BX695" s="399"/>
      <c r="BY695" s="399"/>
      <c r="BZ695" s="399"/>
      <c r="CA695" s="399"/>
      <c r="CB695" s="399"/>
      <c r="CC695" s="399"/>
      <c r="CD695" s="399"/>
      <c r="CE695" s="399"/>
      <c r="CF695" s="399"/>
      <c r="CG695" s="399"/>
      <c r="CH695" s="399"/>
      <c r="CI695" s="399"/>
      <c r="CJ695" s="399"/>
      <c r="CK695" s="399"/>
      <c r="CL695" s="399"/>
      <c r="CM695" s="399"/>
      <c r="CN695" s="399"/>
      <c r="CO695" s="399"/>
      <c r="CP695" s="399"/>
      <c r="CQ695" s="399"/>
      <c r="CR695" s="399"/>
      <c r="CS695" s="399"/>
      <c r="CT695" s="399"/>
      <c r="CU695" s="399"/>
      <c r="CV695" s="399"/>
      <c r="CW695" s="399"/>
      <c r="CX695" s="399"/>
      <c r="CY695" s="399"/>
      <c r="CZ695" s="399"/>
      <c r="DA695" s="399"/>
      <c r="DB695" s="399"/>
      <c r="DC695" s="399"/>
      <c r="DD695" s="399"/>
      <c r="DE695" s="399"/>
      <c r="DF695" s="399"/>
      <c r="DG695" s="399"/>
      <c r="DH695" s="399"/>
      <c r="DI695" s="399"/>
      <c r="DJ695" s="399"/>
      <c r="DK695" s="399"/>
      <c r="DL695" s="399"/>
      <c r="DM695" s="399"/>
      <c r="DN695" s="399"/>
      <c r="DO695" s="399"/>
      <c r="DP695" s="399"/>
      <c r="DQ695" s="399"/>
    </row>
    <row r="696" spans="1:121" s="760" customFormat="1" ht="14.45" customHeight="1" x14ac:dyDescent="0.25">
      <c r="A696" s="266">
        <f t="shared" si="10"/>
        <v>42.56666666666667</v>
      </c>
      <c r="B696" s="389">
        <v>41579</v>
      </c>
      <c r="C696" s="390" t="s">
        <v>451</v>
      </c>
      <c r="D696" s="390" t="s">
        <v>451</v>
      </c>
      <c r="E696" s="390" t="s">
        <v>380</v>
      </c>
      <c r="F696" s="262" t="s">
        <v>5</v>
      </c>
      <c r="G696" s="262" t="s">
        <v>14</v>
      </c>
      <c r="H696" s="261"/>
      <c r="I696" s="261"/>
      <c r="J696" s="261">
        <v>12</v>
      </c>
      <c r="K696" s="261">
        <v>9</v>
      </c>
      <c r="L696" s="261">
        <v>6</v>
      </c>
      <c r="M696" s="261">
        <v>9</v>
      </c>
      <c r="N696" s="261">
        <v>6</v>
      </c>
      <c r="O696" s="261">
        <v>6</v>
      </c>
      <c r="P696" s="261">
        <v>6</v>
      </c>
      <c r="Q696" s="261"/>
      <c r="R696" s="261"/>
      <c r="S696" s="261"/>
      <c r="T696" s="261"/>
      <c r="U696" s="261"/>
      <c r="V696" s="762"/>
      <c r="W696" s="261"/>
      <c r="X696" s="261"/>
      <c r="Y696" s="264">
        <f>IF(NFI_Expiration=1,IF($A696&lt;VLOOKUP(H$5,NFI,5,0),1,0)*Table_NFI[[#This Row],[Hygiene Kit]],Table_NFI[Hygiene Kit])</f>
        <v>0</v>
      </c>
      <c r="Z696" s="264">
        <f>IF(NFI_Expiration=1,IF($A696&lt;VLOOKUP(I$5,NFI,5,0),1,0)*Table_NFI[[#This Row],[NFI Core Kit]],Table_NFI[NFI Core Kit])</f>
        <v>0</v>
      </c>
      <c r="AA696" s="264">
        <f>IF(NFI_Expiration=1,IF($A696&lt;VLOOKUP(J$5,NFI,5,0),1,0)*Table_NFI[[#This Row],[Sanitary Kit]],Table_NFI[Sanitary Kit])</f>
        <v>0</v>
      </c>
      <c r="AB696" s="264">
        <f>IF(NFI_Expiration=1,IF($A696&lt;VLOOKUP(K$5,NFI,5,0),1,0)*Table_NFI[[#This Row],[Mosquito net]],Table_NFI[Mosquito net])</f>
        <v>0</v>
      </c>
      <c r="AC696" s="264">
        <f>IF(NFI_Expiration=1,IF($A696&lt;VLOOKUP(L$5,NFI,5,0),1,0)*Table_NFI[[#This Row],[Tarpaulin]],Table_NFI[[#This Row],[Tarpaulin]])</f>
        <v>0</v>
      </c>
      <c r="AD696" s="264">
        <f>IF(NFI_Expiration=1,IF($A696&lt;VLOOKUP(M$5,NFI,5,0),1,0)*Table_NFI[[#This Row],[Blanket]],Table_NFI[[#This Row],[Blanket]])</f>
        <v>0</v>
      </c>
      <c r="AE696" s="264">
        <f>IF(NFI_Expiration=1,IF($A696&lt;VLOOKUP(N$5,NFI,5,0),1,0)*Table_NFI[[#This Row],[Kitchen Set]],Table_NFI[Kitchen Set])</f>
        <v>0</v>
      </c>
      <c r="AF696" s="264">
        <f>IF(NFI_Expiration=1,IF($A696&lt;VLOOKUP(O$5,NFI,5,0),1,0)*Table_NFI[[#This Row],[Clothes Kit]],Table_NFI[Clothes Kit])</f>
        <v>0</v>
      </c>
      <c r="AG696" s="264">
        <f>IF(NFI_Expiration=1,IF($A696&lt;VLOOKUP(P$5,NFI,5,0),1,0)*Table_NFI[[#This Row],[Plastic Bucket]],Table_NFI[Plastic Bucket])</f>
        <v>0</v>
      </c>
      <c r="AH696" s="264">
        <f>IF(NFI_Expiration=1,IF($A696&lt;VLOOKUP(Q$5,NFI,5,0),1,0)*Table_NFI[[#This Row],[Plastic Mat]],Table_NFI[Plastic Mat])*IF(Table_NFI[[#This Row],[Distribution Date]]&gt;"2014-04-01",1,2.5)</f>
        <v>0</v>
      </c>
      <c r="AI696" s="264">
        <f>IF(NFI_Expiration=1,IF($A696&lt;VLOOKUP(R$5,NFI,5,0),1,0)*Table_NFI[[#This Row],[Winter Clothes Adult]],Table_NFI[Winter Clothes Adult])</f>
        <v>0</v>
      </c>
      <c r="AJ696" s="264">
        <f>IF(NFI_Expiration=1,IF($A696&lt;VLOOKUP(S$5,NFI,5,0),1,0)*Table_NFI[[#This Row],[Winter Clothes Children]],Table_NFI[Winter Clothes Children])</f>
        <v>0</v>
      </c>
      <c r="AK696" s="264">
        <f>IF(NFI_Expiration=1,IF($A696&lt;VLOOKUP(T$5,NFI,5,0),1,0)*Table_NFI[[#This Row],[Winter Items Other]],Table_NFI[Winter Items Other])</f>
        <v>0</v>
      </c>
      <c r="AL696" s="264">
        <f>IF(NFI_Expiration=1,IF($A696&lt;VLOOKUP(M$5,NFI,5,0),1,0)*Table_NFI[[#This Row],[Winter Blanket]],Table_NFI[[#This Row],[Winter Blanket]])</f>
        <v>0</v>
      </c>
      <c r="AM696" s="264">
        <f>IF(Table_NFI[[#This Row],[Winter Clothes Adult]]+Table_NFI[[#This Row],[Winter Clothes Children]]+Table_NFI[[#This Row],[Winter Items Other]]+Table_NFI[[#This Row],[Winter Blanket]]&gt;0,1,0)</f>
        <v>0</v>
      </c>
      <c r="AN696" s="296">
        <f>IF(NFI_Expiration=1,IF($A696&lt;VLOOKUP(V$5,NFI,5,0),1,0)*Table_NFI[[#This Row],[Jerry Can]],Table_NFI[Jerry Can])</f>
        <v>0</v>
      </c>
      <c r="AO696" s="296">
        <f>IF(NFI_Expiration=1,IF($A696&lt;VLOOKUP(V$5,NFI,5,0),1,0)*Table_NFI[[#This Row],[Shelter Tool kit]],Table_NFI[Shelter Tool kit])</f>
        <v>0</v>
      </c>
      <c r="AP696" s="296">
        <f>IF(NFI_Expiration=1,IF($A696&lt;VLOOKUP(V$5,NFI,5,0),1,0)*Table_NFI[[#This Row],[Tent]],Table_NFI[Tent])</f>
        <v>0</v>
      </c>
      <c r="AQ696" s="396" t="str">
        <f>IFERROR(VLOOKUP(Table_NFI[[#This Row],[Camp Name]],CL,2,0),"")</f>
        <v>MMR001CMP052</v>
      </c>
      <c r="AR696" s="702">
        <f ca="1">IF(Table_NFI[[#This Row],[Pcode]]="","",IF(OFFSET(CampList[Opening Date],MATCH(Table_NFI[[#This Row],[Pcode]],CampList[CP_Pcode],0)-1,0,1,1)&gt;=NFI_Monitor_Date,1,0))</f>
        <v>0</v>
      </c>
      <c r="AS696" s="396" t="str">
        <f>IFERROR(VLOOKUP(Table_NFI[[#This Row],[Camp Name]],CL,3,0),"")</f>
        <v>Open</v>
      </c>
      <c r="AT696" s="264" t="str">
        <f ca="1">IF(Table_NFI[[#This Row],[Pcode]]="","",OFFSET(CampList[Priority],MATCH(Table_NFI[[#This Row],[Pcode]],CampList[CP_Pcode],0)-1,0,1,1))</f>
        <v>P4</v>
      </c>
      <c r="AU696" s="263">
        <f>IFERROR(Table_NFI[[#This Row],[Kitchen Set]]/VLOOKUP(Table_NFI[[#This Row],[Camp Name]],CL,4,0),"")</f>
        <v>1.4677821811243211E-4</v>
      </c>
      <c r="AV696" s="390" t="s">
        <v>1087</v>
      </c>
      <c r="AW696" s="392"/>
      <c r="AX696" s="399"/>
      <c r="AY696" s="399"/>
      <c r="AZ696" s="399"/>
      <c r="BA696" s="399"/>
      <c r="BB696" s="399"/>
      <c r="BC696" s="399"/>
      <c r="BD696" s="399"/>
      <c r="BE696" s="399"/>
      <c r="BF696" s="399"/>
      <c r="BG696" s="399"/>
      <c r="BH696" s="399"/>
      <c r="BI696" s="399"/>
      <c r="BJ696" s="399"/>
      <c r="BK696" s="399"/>
      <c r="BL696" s="399"/>
      <c r="BM696" s="399"/>
      <c r="BN696" s="399"/>
      <c r="BO696" s="399"/>
      <c r="BP696" s="399"/>
      <c r="BQ696" s="399"/>
      <c r="BR696" s="399"/>
      <c r="BS696" s="399"/>
      <c r="BT696" s="399"/>
      <c r="BU696" s="399"/>
      <c r="BV696" s="399"/>
      <c r="BW696" s="399"/>
      <c r="BX696" s="399"/>
      <c r="BY696" s="399"/>
      <c r="BZ696" s="399"/>
      <c r="CA696" s="399"/>
      <c r="CB696" s="399"/>
      <c r="CC696" s="399"/>
      <c r="CD696" s="399"/>
      <c r="CE696" s="399"/>
      <c r="CF696" s="399"/>
      <c r="CG696" s="399"/>
      <c r="CH696" s="399"/>
      <c r="CI696" s="399"/>
      <c r="CJ696" s="399"/>
      <c r="CK696" s="399"/>
      <c r="CL696" s="399"/>
      <c r="CM696" s="399"/>
      <c r="CN696" s="399"/>
      <c r="CO696" s="399"/>
      <c r="CP696" s="399"/>
      <c r="CQ696" s="399"/>
      <c r="CR696" s="399"/>
      <c r="CS696" s="399"/>
      <c r="CT696" s="399"/>
      <c r="CU696" s="399"/>
      <c r="CV696" s="399"/>
      <c r="CW696" s="399"/>
      <c r="CX696" s="399"/>
      <c r="CY696" s="399"/>
      <c r="CZ696" s="399"/>
      <c r="DA696" s="399"/>
      <c r="DB696" s="399"/>
      <c r="DC696" s="399"/>
      <c r="DD696" s="399"/>
      <c r="DE696" s="399"/>
      <c r="DF696" s="399"/>
      <c r="DG696" s="399"/>
      <c r="DH696" s="399"/>
      <c r="DI696" s="399"/>
      <c r="DJ696" s="399"/>
      <c r="DK696" s="399"/>
      <c r="DL696" s="399"/>
      <c r="DM696" s="399"/>
      <c r="DN696" s="399"/>
      <c r="DO696" s="399"/>
      <c r="DP696" s="399"/>
      <c r="DQ696" s="399"/>
    </row>
    <row r="697" spans="1:121" s="760" customFormat="1" ht="14.45" customHeight="1" x14ac:dyDescent="0.25">
      <c r="A697" s="266">
        <f t="shared" si="10"/>
        <v>42.56666666666667</v>
      </c>
      <c r="B697" s="389">
        <v>41579</v>
      </c>
      <c r="C697" s="390" t="s">
        <v>451</v>
      </c>
      <c r="D697" s="390" t="s">
        <v>451</v>
      </c>
      <c r="E697" s="390" t="s">
        <v>380</v>
      </c>
      <c r="F697" s="262" t="s">
        <v>5</v>
      </c>
      <c r="G697" s="262" t="s">
        <v>22</v>
      </c>
      <c r="H697" s="261"/>
      <c r="I697" s="261"/>
      <c r="J697" s="261">
        <v>40</v>
      </c>
      <c r="K697" s="261">
        <v>48</v>
      </c>
      <c r="L697" s="261">
        <v>20</v>
      </c>
      <c r="M697" s="261">
        <v>48</v>
      </c>
      <c r="N697" s="261">
        <v>20</v>
      </c>
      <c r="O697" s="261">
        <v>20</v>
      </c>
      <c r="P697" s="261">
        <v>500</v>
      </c>
      <c r="Q697" s="261">
        <v>500</v>
      </c>
      <c r="R697" s="261"/>
      <c r="S697" s="261"/>
      <c r="T697" s="261"/>
      <c r="U697" s="261"/>
      <c r="V697" s="762"/>
      <c r="W697" s="261"/>
      <c r="X697" s="261"/>
      <c r="Y697" s="264">
        <f>IF(NFI_Expiration=1,IF($A697&lt;VLOOKUP(H$5,NFI,5,0),1,0)*Table_NFI[[#This Row],[Hygiene Kit]],Table_NFI[Hygiene Kit])</f>
        <v>0</v>
      </c>
      <c r="Z697" s="264">
        <f>IF(NFI_Expiration=1,IF($A697&lt;VLOOKUP(I$5,NFI,5,0),1,0)*Table_NFI[[#This Row],[NFI Core Kit]],Table_NFI[NFI Core Kit])</f>
        <v>0</v>
      </c>
      <c r="AA697" s="264">
        <f>IF(NFI_Expiration=1,IF($A697&lt;VLOOKUP(J$5,NFI,5,0),1,0)*Table_NFI[[#This Row],[Sanitary Kit]],Table_NFI[Sanitary Kit])</f>
        <v>0</v>
      </c>
      <c r="AB697" s="264">
        <f>IF(NFI_Expiration=1,IF($A697&lt;VLOOKUP(K$5,NFI,5,0),1,0)*Table_NFI[[#This Row],[Mosquito net]],Table_NFI[Mosquito net])</f>
        <v>0</v>
      </c>
      <c r="AC697" s="264">
        <f>IF(NFI_Expiration=1,IF($A697&lt;VLOOKUP(L$5,NFI,5,0),1,0)*Table_NFI[[#This Row],[Tarpaulin]],Table_NFI[[#This Row],[Tarpaulin]])</f>
        <v>0</v>
      </c>
      <c r="AD697" s="264">
        <f>IF(NFI_Expiration=1,IF($A697&lt;VLOOKUP(M$5,NFI,5,0),1,0)*Table_NFI[[#This Row],[Blanket]],Table_NFI[[#This Row],[Blanket]])</f>
        <v>0</v>
      </c>
      <c r="AE697" s="264">
        <f>IF(NFI_Expiration=1,IF($A697&lt;VLOOKUP(N$5,NFI,5,0),1,0)*Table_NFI[[#This Row],[Kitchen Set]],Table_NFI[Kitchen Set])</f>
        <v>0</v>
      </c>
      <c r="AF697" s="264">
        <f>IF(NFI_Expiration=1,IF($A697&lt;VLOOKUP(O$5,NFI,5,0),1,0)*Table_NFI[[#This Row],[Clothes Kit]],Table_NFI[Clothes Kit])</f>
        <v>0</v>
      </c>
      <c r="AG697" s="264">
        <f>IF(NFI_Expiration=1,IF($A697&lt;VLOOKUP(P$5,NFI,5,0),1,0)*Table_NFI[[#This Row],[Plastic Bucket]],Table_NFI[Plastic Bucket])</f>
        <v>0</v>
      </c>
      <c r="AH697" s="264">
        <f>IF(NFI_Expiration=1,IF($A697&lt;VLOOKUP(Q$5,NFI,5,0),1,0)*Table_NFI[[#This Row],[Plastic Mat]],Table_NFI[Plastic Mat])*IF(Table_NFI[[#This Row],[Distribution Date]]&gt;"2014-04-01",1,2.5)</f>
        <v>0</v>
      </c>
      <c r="AI697" s="264">
        <f>IF(NFI_Expiration=1,IF($A697&lt;VLOOKUP(R$5,NFI,5,0),1,0)*Table_NFI[[#This Row],[Winter Clothes Adult]],Table_NFI[Winter Clothes Adult])</f>
        <v>0</v>
      </c>
      <c r="AJ697" s="264">
        <f>IF(NFI_Expiration=1,IF($A697&lt;VLOOKUP(S$5,NFI,5,0),1,0)*Table_NFI[[#This Row],[Winter Clothes Children]],Table_NFI[Winter Clothes Children])</f>
        <v>0</v>
      </c>
      <c r="AK697" s="264">
        <f>IF(NFI_Expiration=1,IF($A697&lt;VLOOKUP(T$5,NFI,5,0),1,0)*Table_NFI[[#This Row],[Winter Items Other]],Table_NFI[Winter Items Other])</f>
        <v>0</v>
      </c>
      <c r="AL697" s="264">
        <f>IF(NFI_Expiration=1,IF($A697&lt;VLOOKUP(M$5,NFI,5,0),1,0)*Table_NFI[[#This Row],[Winter Blanket]],Table_NFI[[#This Row],[Winter Blanket]])</f>
        <v>0</v>
      </c>
      <c r="AM697" s="264">
        <f>IF(Table_NFI[[#This Row],[Winter Clothes Adult]]+Table_NFI[[#This Row],[Winter Clothes Children]]+Table_NFI[[#This Row],[Winter Items Other]]+Table_NFI[[#This Row],[Winter Blanket]]&gt;0,1,0)</f>
        <v>0</v>
      </c>
      <c r="AN697" s="296">
        <f>IF(NFI_Expiration=1,IF($A697&lt;VLOOKUP(V$5,NFI,5,0),1,0)*Table_NFI[[#This Row],[Jerry Can]],Table_NFI[Jerry Can])</f>
        <v>0</v>
      </c>
      <c r="AO697" s="296">
        <f>IF(NFI_Expiration=1,IF($A697&lt;VLOOKUP(V$5,NFI,5,0),1,0)*Table_NFI[[#This Row],[Shelter Tool kit]],Table_NFI[Shelter Tool kit])</f>
        <v>0</v>
      </c>
      <c r="AP697" s="296">
        <f>IF(NFI_Expiration=1,IF($A697&lt;VLOOKUP(V$5,NFI,5,0),1,0)*Table_NFI[[#This Row],[Tent]],Table_NFI[Tent])</f>
        <v>0</v>
      </c>
      <c r="AQ697" s="396" t="str">
        <f>IFERROR(VLOOKUP(Table_NFI[[#This Row],[Camp Name]],CL,2,0),"")</f>
        <v>MMR001CMP047</v>
      </c>
      <c r="AR697" s="702">
        <f ca="1">IF(Table_NFI[[#This Row],[Pcode]]="","",IF(OFFSET(CampList[Opening Date],MATCH(Table_NFI[[#This Row],[Pcode]],CampList[CP_Pcode],0)-1,0,1,1)&gt;=NFI_Monitor_Date,1,0))</f>
        <v>0</v>
      </c>
      <c r="AS697" s="396" t="str">
        <f>IFERROR(VLOOKUP(Table_NFI[[#This Row],[Camp Name]],CL,3,0),"")</f>
        <v>Open</v>
      </c>
      <c r="AT697" s="264" t="str">
        <f ca="1">IF(Table_NFI[[#This Row],[Pcode]]="","",OFFSET(CampList[Priority],MATCH(Table_NFI[[#This Row],[Pcode]],CampList[CP_Pcode],0)-1,0,1,1))</f>
        <v>P4</v>
      </c>
      <c r="AU697" s="263">
        <f>IFERROR(Table_NFI[[#This Row],[Kitchen Set]]/VLOOKUP(Table_NFI[[#This Row],[Camp Name]],CL,4,0),"")</f>
        <v>4.9109883364027013E-4</v>
      </c>
      <c r="AV697" s="390" t="s">
        <v>1087</v>
      </c>
      <c r="AW697" s="392"/>
      <c r="AX697" s="399"/>
      <c r="AY697" s="399"/>
      <c r="AZ697" s="399"/>
      <c r="BA697" s="399"/>
      <c r="BB697" s="399"/>
      <c r="BC697" s="399"/>
      <c r="BD697" s="399"/>
      <c r="BE697" s="399"/>
      <c r="BF697" s="399"/>
      <c r="BG697" s="399"/>
      <c r="BH697" s="399"/>
      <c r="BI697" s="399"/>
      <c r="BJ697" s="399"/>
      <c r="BK697" s="399"/>
      <c r="BL697" s="399"/>
      <c r="BM697" s="399"/>
      <c r="BN697" s="399"/>
      <c r="BO697" s="399"/>
      <c r="BP697" s="399"/>
      <c r="BQ697" s="399"/>
      <c r="BR697" s="399"/>
      <c r="BS697" s="399"/>
      <c r="BT697" s="399"/>
      <c r="BU697" s="399"/>
      <c r="BV697" s="399"/>
      <c r="BW697" s="399"/>
      <c r="BX697" s="399"/>
      <c r="BY697" s="399"/>
      <c r="BZ697" s="399"/>
      <c r="CA697" s="399"/>
      <c r="CB697" s="399"/>
      <c r="CC697" s="399"/>
      <c r="CD697" s="399"/>
      <c r="CE697" s="399"/>
      <c r="CF697" s="399"/>
      <c r="CG697" s="399"/>
      <c r="CH697" s="399"/>
      <c r="CI697" s="399"/>
      <c r="CJ697" s="399"/>
      <c r="CK697" s="399"/>
      <c r="CL697" s="399"/>
      <c r="CM697" s="399"/>
      <c r="CN697" s="399"/>
      <c r="CO697" s="399"/>
      <c r="CP697" s="399"/>
      <c r="CQ697" s="399"/>
      <c r="CR697" s="399"/>
      <c r="CS697" s="399"/>
      <c r="CT697" s="399"/>
      <c r="CU697" s="399"/>
      <c r="CV697" s="399"/>
      <c r="CW697" s="399"/>
      <c r="CX697" s="399"/>
      <c r="CY697" s="399"/>
      <c r="CZ697" s="399"/>
      <c r="DA697" s="399"/>
      <c r="DB697" s="399"/>
      <c r="DC697" s="399"/>
      <c r="DD697" s="399"/>
      <c r="DE697" s="399"/>
      <c r="DF697" s="399"/>
      <c r="DG697" s="399"/>
      <c r="DH697" s="399"/>
      <c r="DI697" s="399"/>
      <c r="DJ697" s="399"/>
      <c r="DK697" s="399"/>
      <c r="DL697" s="399"/>
      <c r="DM697" s="399"/>
      <c r="DN697" s="399"/>
      <c r="DO697" s="399"/>
      <c r="DP697" s="399"/>
      <c r="DQ697" s="399"/>
    </row>
    <row r="698" spans="1:121" s="760" customFormat="1" ht="14.45" customHeight="1" x14ac:dyDescent="0.25">
      <c r="A698" s="266">
        <f t="shared" si="10"/>
        <v>42.633333333333333</v>
      </c>
      <c r="B698" s="389">
        <v>41577</v>
      </c>
      <c r="C698" s="390" t="s">
        <v>451</v>
      </c>
      <c r="D698" s="390" t="s">
        <v>451</v>
      </c>
      <c r="E698" s="390" t="s">
        <v>380</v>
      </c>
      <c r="F698" s="262" t="s">
        <v>5</v>
      </c>
      <c r="G698" s="262" t="s">
        <v>6</v>
      </c>
      <c r="H698" s="261"/>
      <c r="I698" s="261"/>
      <c r="J698" s="261">
        <v>22</v>
      </c>
      <c r="K698" s="261">
        <v>40</v>
      </c>
      <c r="L698" s="261">
        <v>21</v>
      </c>
      <c r="M698" s="261">
        <v>40</v>
      </c>
      <c r="N698" s="261">
        <v>21</v>
      </c>
      <c r="O698" s="261">
        <v>21</v>
      </c>
      <c r="P698" s="261">
        <v>21</v>
      </c>
      <c r="Q698" s="261">
        <v>21</v>
      </c>
      <c r="R698" s="261"/>
      <c r="S698" s="261"/>
      <c r="T698" s="261"/>
      <c r="U698" s="261"/>
      <c r="V698" s="762"/>
      <c r="W698" s="261"/>
      <c r="X698" s="261"/>
      <c r="Y698" s="264">
        <f>IF(NFI_Expiration=1,IF($A698&lt;VLOOKUP(H$5,NFI,5,0),1,0)*Table_NFI[[#This Row],[Hygiene Kit]],Table_NFI[Hygiene Kit])</f>
        <v>0</v>
      </c>
      <c r="Z698" s="264">
        <f>IF(NFI_Expiration=1,IF($A698&lt;VLOOKUP(I$5,NFI,5,0),1,0)*Table_NFI[[#This Row],[NFI Core Kit]],Table_NFI[NFI Core Kit])</f>
        <v>0</v>
      </c>
      <c r="AA698" s="264">
        <f>IF(NFI_Expiration=1,IF($A698&lt;VLOOKUP(J$5,NFI,5,0),1,0)*Table_NFI[[#This Row],[Sanitary Kit]],Table_NFI[Sanitary Kit])</f>
        <v>0</v>
      </c>
      <c r="AB698" s="264">
        <f>IF(NFI_Expiration=1,IF($A698&lt;VLOOKUP(K$5,NFI,5,0),1,0)*Table_NFI[[#This Row],[Mosquito net]],Table_NFI[Mosquito net])</f>
        <v>0</v>
      </c>
      <c r="AC698" s="264">
        <f>IF(NFI_Expiration=1,IF($A698&lt;VLOOKUP(L$5,NFI,5,0),1,0)*Table_NFI[[#This Row],[Tarpaulin]],Table_NFI[[#This Row],[Tarpaulin]])</f>
        <v>0</v>
      </c>
      <c r="AD698" s="264">
        <f>IF(NFI_Expiration=1,IF($A698&lt;VLOOKUP(M$5,NFI,5,0),1,0)*Table_NFI[[#This Row],[Blanket]],Table_NFI[[#This Row],[Blanket]])</f>
        <v>0</v>
      </c>
      <c r="AE698" s="264">
        <f>IF(NFI_Expiration=1,IF($A698&lt;VLOOKUP(N$5,NFI,5,0),1,0)*Table_NFI[[#This Row],[Kitchen Set]],Table_NFI[Kitchen Set])</f>
        <v>0</v>
      </c>
      <c r="AF698" s="264">
        <f>IF(NFI_Expiration=1,IF($A698&lt;VLOOKUP(O$5,NFI,5,0),1,0)*Table_NFI[[#This Row],[Clothes Kit]],Table_NFI[Clothes Kit])</f>
        <v>0</v>
      </c>
      <c r="AG698" s="264">
        <f>IF(NFI_Expiration=1,IF($A698&lt;VLOOKUP(P$5,NFI,5,0),1,0)*Table_NFI[[#This Row],[Plastic Bucket]],Table_NFI[Plastic Bucket])</f>
        <v>0</v>
      </c>
      <c r="AH698" s="264">
        <f>IF(NFI_Expiration=1,IF($A698&lt;VLOOKUP(Q$5,NFI,5,0),1,0)*Table_NFI[[#This Row],[Plastic Mat]],Table_NFI[Plastic Mat])*IF(Table_NFI[[#This Row],[Distribution Date]]&gt;"2014-04-01",1,2.5)</f>
        <v>0</v>
      </c>
      <c r="AI698" s="264">
        <f>IF(NFI_Expiration=1,IF($A698&lt;VLOOKUP(R$5,NFI,5,0),1,0)*Table_NFI[[#This Row],[Winter Clothes Adult]],Table_NFI[Winter Clothes Adult])</f>
        <v>0</v>
      </c>
      <c r="AJ698" s="264">
        <f>IF(NFI_Expiration=1,IF($A698&lt;VLOOKUP(S$5,NFI,5,0),1,0)*Table_NFI[[#This Row],[Winter Clothes Children]],Table_NFI[Winter Clothes Children])</f>
        <v>0</v>
      </c>
      <c r="AK698" s="264">
        <f>IF(NFI_Expiration=1,IF($A698&lt;VLOOKUP(T$5,NFI,5,0),1,0)*Table_NFI[[#This Row],[Winter Items Other]],Table_NFI[Winter Items Other])</f>
        <v>0</v>
      </c>
      <c r="AL698" s="264">
        <f>IF(NFI_Expiration=1,IF($A698&lt;VLOOKUP(M$5,NFI,5,0),1,0)*Table_NFI[[#This Row],[Winter Blanket]],Table_NFI[[#This Row],[Winter Blanket]])</f>
        <v>0</v>
      </c>
      <c r="AM698" s="264">
        <f>IF(Table_NFI[[#This Row],[Winter Clothes Adult]]+Table_NFI[[#This Row],[Winter Clothes Children]]+Table_NFI[[#This Row],[Winter Items Other]]+Table_NFI[[#This Row],[Winter Blanket]]&gt;0,1,0)</f>
        <v>0</v>
      </c>
      <c r="AN698" s="296">
        <f>IF(NFI_Expiration=1,IF($A698&lt;VLOOKUP(V$5,NFI,5,0),1,0)*Table_NFI[[#This Row],[Jerry Can]],Table_NFI[Jerry Can])</f>
        <v>0</v>
      </c>
      <c r="AO698" s="296">
        <f>IF(NFI_Expiration=1,IF($A698&lt;VLOOKUP(V$5,NFI,5,0),1,0)*Table_NFI[[#This Row],[Shelter Tool kit]],Table_NFI[Shelter Tool kit])</f>
        <v>0</v>
      </c>
      <c r="AP698" s="296">
        <f>IF(NFI_Expiration=1,IF($A698&lt;VLOOKUP(V$5,NFI,5,0),1,0)*Table_NFI[[#This Row],[Tent]],Table_NFI[Tent])</f>
        <v>0</v>
      </c>
      <c r="AQ698" s="396" t="str">
        <f>IFERROR(VLOOKUP(Table_NFI[[#This Row],[Camp Name]],CL,2,0),"")</f>
        <v>MMR001CMP050</v>
      </c>
      <c r="AR698" s="702">
        <f ca="1">IF(Table_NFI[[#This Row],[Pcode]]="","",IF(OFFSET(CampList[Opening Date],MATCH(Table_NFI[[#This Row],[Pcode]],CampList[CP_Pcode],0)-1,0,1,1)&gt;=NFI_Monitor_Date,1,0))</f>
        <v>0</v>
      </c>
      <c r="AS698" s="396" t="str">
        <f>IFERROR(VLOOKUP(Table_NFI[[#This Row],[Camp Name]],CL,3,0),"")</f>
        <v>Open</v>
      </c>
      <c r="AT698" s="264" t="str">
        <f ca="1">IF(Table_NFI[[#This Row],[Pcode]]="","",OFFSET(CampList[Priority],MATCH(Table_NFI[[#This Row],[Pcode]],CampList[CP_Pcode],0)-1,0,1,1))</f>
        <v>P4</v>
      </c>
      <c r="AU698" s="263">
        <f>IFERROR(Table_NFI[[#This Row],[Kitchen Set]]/VLOOKUP(Table_NFI[[#This Row],[Camp Name]],CL,4,0),"")</f>
        <v>5.1410105757931847E-4</v>
      </c>
      <c r="AV698" s="390" t="s">
        <v>1087</v>
      </c>
      <c r="AW698" s="392"/>
      <c r="AX698" s="399"/>
      <c r="AY698" s="399"/>
      <c r="AZ698" s="399"/>
      <c r="BA698" s="399"/>
      <c r="BB698" s="399"/>
      <c r="BC698" s="399"/>
      <c r="BD698" s="399"/>
      <c r="BE698" s="399"/>
      <c r="BF698" s="399"/>
      <c r="BG698" s="399"/>
      <c r="BH698" s="399"/>
      <c r="BI698" s="399"/>
      <c r="BJ698" s="399"/>
      <c r="BK698" s="399"/>
      <c r="BL698" s="399"/>
      <c r="BM698" s="399"/>
      <c r="BN698" s="399"/>
      <c r="BO698" s="399"/>
      <c r="BP698" s="399"/>
      <c r="BQ698" s="399"/>
      <c r="BR698" s="399"/>
      <c r="BS698" s="399"/>
      <c r="BT698" s="399"/>
      <c r="BU698" s="399"/>
      <c r="BV698" s="399"/>
      <c r="BW698" s="399"/>
      <c r="BX698" s="399"/>
      <c r="BY698" s="399"/>
      <c r="BZ698" s="399"/>
      <c r="CA698" s="399"/>
      <c r="CB698" s="399"/>
      <c r="CC698" s="399"/>
      <c r="CD698" s="399"/>
      <c r="CE698" s="399"/>
      <c r="CF698" s="399"/>
      <c r="CG698" s="399"/>
      <c r="CH698" s="399"/>
      <c r="CI698" s="399"/>
      <c r="CJ698" s="399"/>
      <c r="CK698" s="399"/>
      <c r="CL698" s="399"/>
      <c r="CM698" s="399"/>
      <c r="CN698" s="399"/>
      <c r="CO698" s="399"/>
      <c r="CP698" s="399"/>
      <c r="CQ698" s="399"/>
      <c r="CR698" s="399"/>
      <c r="CS698" s="399"/>
      <c r="CT698" s="399"/>
      <c r="CU698" s="399"/>
      <c r="CV698" s="399"/>
      <c r="CW698" s="399"/>
      <c r="CX698" s="399"/>
      <c r="CY698" s="399"/>
      <c r="CZ698" s="399"/>
      <c r="DA698" s="399"/>
      <c r="DB698" s="399"/>
      <c r="DC698" s="399"/>
      <c r="DD698" s="399"/>
      <c r="DE698" s="399"/>
      <c r="DF698" s="399"/>
      <c r="DG698" s="399"/>
      <c r="DH698" s="399"/>
      <c r="DI698" s="399"/>
      <c r="DJ698" s="399"/>
      <c r="DK698" s="399"/>
      <c r="DL698" s="399"/>
      <c r="DM698" s="399"/>
      <c r="DN698" s="399"/>
      <c r="DO698" s="399"/>
      <c r="DP698" s="399"/>
      <c r="DQ698" s="399"/>
    </row>
    <row r="699" spans="1:121" s="760" customFormat="1" ht="14.45" customHeight="1" x14ac:dyDescent="0.25">
      <c r="A699" s="266">
        <f t="shared" si="10"/>
        <v>42.633333333333333</v>
      </c>
      <c r="B699" s="389">
        <v>41577</v>
      </c>
      <c r="C699" s="390" t="s">
        <v>451</v>
      </c>
      <c r="D699" s="390" t="s">
        <v>451</v>
      </c>
      <c r="E699" s="390" t="s">
        <v>380</v>
      </c>
      <c r="F699" s="262" t="s">
        <v>5</v>
      </c>
      <c r="G699" s="262" t="s">
        <v>14</v>
      </c>
      <c r="H699" s="261"/>
      <c r="I699" s="261"/>
      <c r="J699" s="261">
        <v>72</v>
      </c>
      <c r="K699" s="261">
        <v>61</v>
      </c>
      <c r="L699" s="261">
        <v>36</v>
      </c>
      <c r="M699" s="261">
        <v>61</v>
      </c>
      <c r="N699" s="261">
        <v>36</v>
      </c>
      <c r="O699" s="261">
        <v>36</v>
      </c>
      <c r="P699" s="261">
        <v>36</v>
      </c>
      <c r="Q699" s="261">
        <v>36</v>
      </c>
      <c r="R699" s="261"/>
      <c r="S699" s="261"/>
      <c r="T699" s="261"/>
      <c r="U699" s="261"/>
      <c r="V699" s="762"/>
      <c r="W699" s="261"/>
      <c r="X699" s="261"/>
      <c r="Y699" s="264">
        <f>IF(NFI_Expiration=1,IF($A699&lt;VLOOKUP(H$5,NFI,5,0),1,0)*Table_NFI[[#This Row],[Hygiene Kit]],Table_NFI[Hygiene Kit])</f>
        <v>0</v>
      </c>
      <c r="Z699" s="264">
        <f>IF(NFI_Expiration=1,IF($A699&lt;VLOOKUP(I$5,NFI,5,0),1,0)*Table_NFI[[#This Row],[NFI Core Kit]],Table_NFI[NFI Core Kit])</f>
        <v>0</v>
      </c>
      <c r="AA699" s="264">
        <f>IF(NFI_Expiration=1,IF($A699&lt;VLOOKUP(J$5,NFI,5,0),1,0)*Table_NFI[[#This Row],[Sanitary Kit]],Table_NFI[Sanitary Kit])</f>
        <v>0</v>
      </c>
      <c r="AB699" s="264">
        <f>IF(NFI_Expiration=1,IF($A699&lt;VLOOKUP(K$5,NFI,5,0),1,0)*Table_NFI[[#This Row],[Mosquito net]],Table_NFI[Mosquito net])</f>
        <v>0</v>
      </c>
      <c r="AC699" s="264">
        <f>IF(NFI_Expiration=1,IF($A699&lt;VLOOKUP(L$5,NFI,5,0),1,0)*Table_NFI[[#This Row],[Tarpaulin]],Table_NFI[[#This Row],[Tarpaulin]])</f>
        <v>0</v>
      </c>
      <c r="AD699" s="264">
        <f>IF(NFI_Expiration=1,IF($A699&lt;VLOOKUP(M$5,NFI,5,0),1,0)*Table_NFI[[#This Row],[Blanket]],Table_NFI[[#This Row],[Blanket]])</f>
        <v>0</v>
      </c>
      <c r="AE699" s="264">
        <f>IF(NFI_Expiration=1,IF($A699&lt;VLOOKUP(N$5,NFI,5,0),1,0)*Table_NFI[[#This Row],[Kitchen Set]],Table_NFI[Kitchen Set])</f>
        <v>0</v>
      </c>
      <c r="AF699" s="264">
        <f>IF(NFI_Expiration=1,IF($A699&lt;VLOOKUP(O$5,NFI,5,0),1,0)*Table_NFI[[#This Row],[Clothes Kit]],Table_NFI[Clothes Kit])</f>
        <v>0</v>
      </c>
      <c r="AG699" s="264">
        <f>IF(NFI_Expiration=1,IF($A699&lt;VLOOKUP(P$5,NFI,5,0),1,0)*Table_NFI[[#This Row],[Plastic Bucket]],Table_NFI[Plastic Bucket])</f>
        <v>0</v>
      </c>
      <c r="AH699" s="264">
        <f>IF(NFI_Expiration=1,IF($A699&lt;VLOOKUP(Q$5,NFI,5,0),1,0)*Table_NFI[[#This Row],[Plastic Mat]],Table_NFI[Plastic Mat])*IF(Table_NFI[[#This Row],[Distribution Date]]&gt;"2014-04-01",1,2.5)</f>
        <v>0</v>
      </c>
      <c r="AI699" s="264">
        <f>IF(NFI_Expiration=1,IF($A699&lt;VLOOKUP(R$5,NFI,5,0),1,0)*Table_NFI[[#This Row],[Winter Clothes Adult]],Table_NFI[Winter Clothes Adult])</f>
        <v>0</v>
      </c>
      <c r="AJ699" s="264">
        <f>IF(NFI_Expiration=1,IF($A699&lt;VLOOKUP(S$5,NFI,5,0),1,0)*Table_NFI[[#This Row],[Winter Clothes Children]],Table_NFI[Winter Clothes Children])</f>
        <v>0</v>
      </c>
      <c r="AK699" s="264">
        <f>IF(NFI_Expiration=1,IF($A699&lt;VLOOKUP(T$5,NFI,5,0),1,0)*Table_NFI[[#This Row],[Winter Items Other]],Table_NFI[Winter Items Other])</f>
        <v>0</v>
      </c>
      <c r="AL699" s="264">
        <f>IF(NFI_Expiration=1,IF($A699&lt;VLOOKUP(M$5,NFI,5,0),1,0)*Table_NFI[[#This Row],[Winter Blanket]],Table_NFI[[#This Row],[Winter Blanket]])</f>
        <v>0</v>
      </c>
      <c r="AM699" s="264">
        <f>IF(Table_NFI[[#This Row],[Winter Clothes Adult]]+Table_NFI[[#This Row],[Winter Clothes Children]]+Table_NFI[[#This Row],[Winter Items Other]]+Table_NFI[[#This Row],[Winter Blanket]]&gt;0,1,0)</f>
        <v>0</v>
      </c>
      <c r="AN699" s="296">
        <f>IF(NFI_Expiration=1,IF($A699&lt;VLOOKUP(V$5,NFI,5,0),1,0)*Table_NFI[[#This Row],[Jerry Can]],Table_NFI[Jerry Can])</f>
        <v>0</v>
      </c>
      <c r="AO699" s="296">
        <f>IF(NFI_Expiration=1,IF($A699&lt;VLOOKUP(V$5,NFI,5,0),1,0)*Table_NFI[[#This Row],[Shelter Tool kit]],Table_NFI[Shelter Tool kit])</f>
        <v>0</v>
      </c>
      <c r="AP699" s="296">
        <f>IF(NFI_Expiration=1,IF($A699&lt;VLOOKUP(V$5,NFI,5,0),1,0)*Table_NFI[[#This Row],[Tent]],Table_NFI[Tent])</f>
        <v>0</v>
      </c>
      <c r="AQ699" s="396" t="str">
        <f>IFERROR(VLOOKUP(Table_NFI[[#This Row],[Camp Name]],CL,2,0),"")</f>
        <v>MMR001CMP052</v>
      </c>
      <c r="AR699" s="702">
        <f ca="1">IF(Table_NFI[[#This Row],[Pcode]]="","",IF(OFFSET(CampList[Opening Date],MATCH(Table_NFI[[#This Row],[Pcode]],CampList[CP_Pcode],0)-1,0,1,1)&gt;=NFI_Monitor_Date,1,0))</f>
        <v>0</v>
      </c>
      <c r="AS699" s="396" t="str">
        <f>IFERROR(VLOOKUP(Table_NFI[[#This Row],[Camp Name]],CL,3,0),"")</f>
        <v>Open</v>
      </c>
      <c r="AT699" s="264" t="str">
        <f ca="1">IF(Table_NFI[[#This Row],[Pcode]]="","",OFFSET(CampList[Priority],MATCH(Table_NFI[[#This Row],[Pcode]],CampList[CP_Pcode],0)-1,0,1,1))</f>
        <v>P4</v>
      </c>
      <c r="AU699" s="263">
        <f>IFERROR(Table_NFI[[#This Row],[Kitchen Set]]/VLOOKUP(Table_NFI[[#This Row],[Camp Name]],CL,4,0),"")</f>
        <v>8.8066930867459266E-4</v>
      </c>
      <c r="AV699" s="390" t="s">
        <v>1087</v>
      </c>
      <c r="AW699" s="392"/>
      <c r="AX699" s="399"/>
      <c r="AY699" s="399"/>
      <c r="AZ699" s="399"/>
      <c r="BA699" s="399"/>
      <c r="BB699" s="399"/>
      <c r="BC699" s="399"/>
      <c r="BD699" s="399"/>
      <c r="BE699" s="399"/>
      <c r="BF699" s="399"/>
      <c r="BG699" s="399"/>
      <c r="BH699" s="399"/>
      <c r="BI699" s="399"/>
      <c r="BJ699" s="399"/>
      <c r="BK699" s="399"/>
      <c r="BL699" s="399"/>
      <c r="BM699" s="399"/>
      <c r="BN699" s="399"/>
      <c r="BO699" s="399"/>
      <c r="BP699" s="399"/>
      <c r="BQ699" s="399"/>
      <c r="BR699" s="399"/>
      <c r="BS699" s="399"/>
      <c r="BT699" s="399"/>
      <c r="BU699" s="399"/>
      <c r="BV699" s="399"/>
      <c r="BW699" s="399"/>
      <c r="BX699" s="399"/>
      <c r="BY699" s="399"/>
      <c r="BZ699" s="399"/>
      <c r="CA699" s="399"/>
      <c r="CB699" s="399"/>
      <c r="CC699" s="399"/>
      <c r="CD699" s="399"/>
      <c r="CE699" s="399"/>
      <c r="CF699" s="399"/>
      <c r="CG699" s="399"/>
      <c r="CH699" s="399"/>
      <c r="CI699" s="399"/>
      <c r="CJ699" s="399"/>
      <c r="CK699" s="399"/>
      <c r="CL699" s="399"/>
      <c r="CM699" s="399"/>
      <c r="CN699" s="399"/>
      <c r="CO699" s="399"/>
      <c r="CP699" s="399"/>
      <c r="CQ699" s="399"/>
      <c r="CR699" s="399"/>
      <c r="CS699" s="399"/>
      <c r="CT699" s="399"/>
      <c r="CU699" s="399"/>
      <c r="CV699" s="399"/>
      <c r="CW699" s="399"/>
      <c r="CX699" s="399"/>
      <c r="CY699" s="399"/>
      <c r="CZ699" s="399"/>
      <c r="DA699" s="399"/>
      <c r="DB699" s="399"/>
      <c r="DC699" s="399"/>
      <c r="DD699" s="399"/>
      <c r="DE699" s="399"/>
      <c r="DF699" s="399"/>
      <c r="DG699" s="399"/>
      <c r="DH699" s="399"/>
      <c r="DI699" s="399"/>
      <c r="DJ699" s="399"/>
      <c r="DK699" s="399"/>
      <c r="DL699" s="399"/>
      <c r="DM699" s="399"/>
      <c r="DN699" s="399"/>
      <c r="DO699" s="399"/>
      <c r="DP699" s="399"/>
      <c r="DQ699" s="399"/>
    </row>
    <row r="700" spans="1:121" s="760" customFormat="1" ht="14.45" customHeight="1" x14ac:dyDescent="0.25">
      <c r="A700" s="266">
        <f t="shared" si="10"/>
        <v>42.633333333333333</v>
      </c>
      <c r="B700" s="389">
        <v>41577</v>
      </c>
      <c r="C700" s="390" t="s">
        <v>451</v>
      </c>
      <c r="D700" s="390" t="s">
        <v>451</v>
      </c>
      <c r="E700" s="390" t="s">
        <v>380</v>
      </c>
      <c r="F700" s="262" t="s">
        <v>5</v>
      </c>
      <c r="G700" s="262" t="s">
        <v>366</v>
      </c>
      <c r="H700" s="261"/>
      <c r="I700" s="261"/>
      <c r="J700" s="261">
        <v>81</v>
      </c>
      <c r="K700" s="261">
        <v>94</v>
      </c>
      <c r="L700" s="261">
        <v>50</v>
      </c>
      <c r="M700" s="261">
        <v>94</v>
      </c>
      <c r="N700" s="261">
        <v>50</v>
      </c>
      <c r="O700" s="261">
        <v>50</v>
      </c>
      <c r="P700" s="261">
        <v>50</v>
      </c>
      <c r="Q700" s="261">
        <v>50</v>
      </c>
      <c r="R700" s="261"/>
      <c r="S700" s="261"/>
      <c r="T700" s="261"/>
      <c r="U700" s="261"/>
      <c r="V700" s="762"/>
      <c r="W700" s="261"/>
      <c r="X700" s="261"/>
      <c r="Y700" s="264">
        <f>IF(NFI_Expiration=1,IF($A700&lt;VLOOKUP(H$5,NFI,5,0),1,0)*Table_NFI[[#This Row],[Hygiene Kit]],Table_NFI[Hygiene Kit])</f>
        <v>0</v>
      </c>
      <c r="Z700" s="264">
        <f>IF(NFI_Expiration=1,IF($A700&lt;VLOOKUP(I$5,NFI,5,0),1,0)*Table_NFI[[#This Row],[NFI Core Kit]],Table_NFI[NFI Core Kit])</f>
        <v>0</v>
      </c>
      <c r="AA700" s="264">
        <f>IF(NFI_Expiration=1,IF($A700&lt;VLOOKUP(J$5,NFI,5,0),1,0)*Table_NFI[[#This Row],[Sanitary Kit]],Table_NFI[Sanitary Kit])</f>
        <v>0</v>
      </c>
      <c r="AB700" s="264">
        <f>IF(NFI_Expiration=1,IF($A700&lt;VLOOKUP(K$5,NFI,5,0),1,0)*Table_NFI[[#This Row],[Mosquito net]],Table_NFI[Mosquito net])</f>
        <v>0</v>
      </c>
      <c r="AC700" s="264">
        <f>IF(NFI_Expiration=1,IF($A700&lt;VLOOKUP(L$5,NFI,5,0),1,0)*Table_NFI[[#This Row],[Tarpaulin]],Table_NFI[[#This Row],[Tarpaulin]])</f>
        <v>0</v>
      </c>
      <c r="AD700" s="264">
        <f>IF(NFI_Expiration=1,IF($A700&lt;VLOOKUP(M$5,NFI,5,0),1,0)*Table_NFI[[#This Row],[Blanket]],Table_NFI[[#This Row],[Blanket]])</f>
        <v>0</v>
      </c>
      <c r="AE700" s="264">
        <f>IF(NFI_Expiration=1,IF($A700&lt;VLOOKUP(N$5,NFI,5,0),1,0)*Table_NFI[[#This Row],[Kitchen Set]],Table_NFI[Kitchen Set])</f>
        <v>0</v>
      </c>
      <c r="AF700" s="264">
        <f>IF(NFI_Expiration=1,IF($A700&lt;VLOOKUP(O$5,NFI,5,0),1,0)*Table_NFI[[#This Row],[Clothes Kit]],Table_NFI[Clothes Kit])</f>
        <v>0</v>
      </c>
      <c r="AG700" s="264">
        <f>IF(NFI_Expiration=1,IF($A700&lt;VLOOKUP(P$5,NFI,5,0),1,0)*Table_NFI[[#This Row],[Plastic Bucket]],Table_NFI[Plastic Bucket])</f>
        <v>0</v>
      </c>
      <c r="AH700" s="264">
        <f>IF(NFI_Expiration=1,IF($A700&lt;VLOOKUP(Q$5,NFI,5,0),1,0)*Table_NFI[[#This Row],[Plastic Mat]],Table_NFI[Plastic Mat])*IF(Table_NFI[[#This Row],[Distribution Date]]&gt;"2014-04-01",1,2.5)</f>
        <v>0</v>
      </c>
      <c r="AI700" s="264">
        <f>IF(NFI_Expiration=1,IF($A700&lt;VLOOKUP(R$5,NFI,5,0),1,0)*Table_NFI[[#This Row],[Winter Clothes Adult]],Table_NFI[Winter Clothes Adult])</f>
        <v>0</v>
      </c>
      <c r="AJ700" s="264">
        <f>IF(NFI_Expiration=1,IF($A700&lt;VLOOKUP(S$5,NFI,5,0),1,0)*Table_NFI[[#This Row],[Winter Clothes Children]],Table_NFI[Winter Clothes Children])</f>
        <v>0</v>
      </c>
      <c r="AK700" s="264">
        <f>IF(NFI_Expiration=1,IF($A700&lt;VLOOKUP(T$5,NFI,5,0),1,0)*Table_NFI[[#This Row],[Winter Items Other]],Table_NFI[Winter Items Other])</f>
        <v>0</v>
      </c>
      <c r="AL700" s="264">
        <f>IF(NFI_Expiration=1,IF($A700&lt;VLOOKUP(M$5,NFI,5,0),1,0)*Table_NFI[[#This Row],[Winter Blanket]],Table_NFI[[#This Row],[Winter Blanket]])</f>
        <v>0</v>
      </c>
      <c r="AM700" s="264">
        <f>IF(Table_NFI[[#This Row],[Winter Clothes Adult]]+Table_NFI[[#This Row],[Winter Clothes Children]]+Table_NFI[[#This Row],[Winter Items Other]]+Table_NFI[[#This Row],[Winter Blanket]]&gt;0,1,0)</f>
        <v>0</v>
      </c>
      <c r="AN700" s="296">
        <f>IF(NFI_Expiration=1,IF($A700&lt;VLOOKUP(V$5,NFI,5,0),1,0)*Table_NFI[[#This Row],[Jerry Can]],Table_NFI[Jerry Can])</f>
        <v>0</v>
      </c>
      <c r="AO700" s="296">
        <f>IF(NFI_Expiration=1,IF($A700&lt;VLOOKUP(V$5,NFI,5,0),1,0)*Table_NFI[[#This Row],[Shelter Tool kit]],Table_NFI[Shelter Tool kit])</f>
        <v>0</v>
      </c>
      <c r="AP700" s="296">
        <f>IF(NFI_Expiration=1,IF($A700&lt;VLOOKUP(V$5,NFI,5,0),1,0)*Table_NFI[[#This Row],[Tent]],Table_NFI[Tent])</f>
        <v>0</v>
      </c>
      <c r="AQ700" s="396" t="str">
        <f>IFERROR(VLOOKUP(Table_NFI[[#This Row],[Camp Name]],CL,2,0),"")</f>
        <v>MMR001CMP193</v>
      </c>
      <c r="AR700" s="702">
        <f ca="1">IF(Table_NFI[[#This Row],[Pcode]]="","",IF(OFFSET(CampList[Opening Date],MATCH(Table_NFI[[#This Row],[Pcode]],CampList[CP_Pcode],0)-1,0,1,1)&gt;=NFI_Monitor_Date,1,0))</f>
        <v>0</v>
      </c>
      <c r="AS700" s="396" t="str">
        <f>IFERROR(VLOOKUP(Table_NFI[[#This Row],[Camp Name]],CL,3,0),"")</f>
        <v>Open</v>
      </c>
      <c r="AT700" s="264" t="str">
        <f ca="1">IF(Table_NFI[[#This Row],[Pcode]]="","",OFFSET(CampList[Priority],MATCH(Table_NFI[[#This Row],[Pcode]],CampList[CP_Pcode],0)-1,0,1,1))</f>
        <v>P4</v>
      </c>
      <c r="AU700" s="263">
        <f>IFERROR(Table_NFI[[#This Row],[Kitchen Set]]/VLOOKUP(Table_NFI[[#This Row],[Camp Name]],CL,4,0),"")</f>
        <v>1.2113870381586917E-3</v>
      </c>
      <c r="AV700" s="390" t="s">
        <v>1087</v>
      </c>
      <c r="AW700" s="392"/>
      <c r="AX700" s="399"/>
      <c r="AY700" s="399"/>
      <c r="AZ700" s="399"/>
      <c r="BA700" s="399"/>
      <c r="BB700" s="399"/>
      <c r="BC700" s="399"/>
      <c r="BD700" s="399"/>
      <c r="BE700" s="399"/>
      <c r="BF700" s="399"/>
      <c r="BG700" s="399"/>
      <c r="BH700" s="399"/>
      <c r="BI700" s="399"/>
      <c r="BJ700" s="399"/>
      <c r="BK700" s="399"/>
      <c r="BL700" s="399"/>
      <c r="BM700" s="399"/>
      <c r="BN700" s="399"/>
      <c r="BO700" s="399"/>
      <c r="BP700" s="399"/>
      <c r="BQ700" s="399"/>
      <c r="BR700" s="399"/>
      <c r="BS700" s="399"/>
      <c r="BT700" s="399"/>
      <c r="BU700" s="399"/>
      <c r="BV700" s="399"/>
      <c r="BW700" s="399"/>
      <c r="BX700" s="399"/>
      <c r="BY700" s="399"/>
      <c r="BZ700" s="399"/>
      <c r="CA700" s="399"/>
      <c r="CB700" s="399"/>
      <c r="CC700" s="399"/>
      <c r="CD700" s="399"/>
      <c r="CE700" s="399"/>
      <c r="CF700" s="399"/>
      <c r="CG700" s="399"/>
      <c r="CH700" s="399"/>
      <c r="CI700" s="399"/>
      <c r="CJ700" s="399"/>
      <c r="CK700" s="399"/>
      <c r="CL700" s="399"/>
      <c r="CM700" s="399"/>
      <c r="CN700" s="399"/>
      <c r="CO700" s="399"/>
      <c r="CP700" s="399"/>
      <c r="CQ700" s="399"/>
      <c r="CR700" s="399"/>
      <c r="CS700" s="399"/>
      <c r="CT700" s="399"/>
      <c r="CU700" s="399"/>
      <c r="CV700" s="399"/>
      <c r="CW700" s="399"/>
      <c r="CX700" s="399"/>
      <c r="CY700" s="399"/>
      <c r="CZ700" s="399"/>
      <c r="DA700" s="399"/>
      <c r="DB700" s="399"/>
      <c r="DC700" s="399"/>
      <c r="DD700" s="399"/>
      <c r="DE700" s="399"/>
      <c r="DF700" s="399"/>
      <c r="DG700" s="399"/>
      <c r="DH700" s="399"/>
      <c r="DI700" s="399"/>
      <c r="DJ700" s="399"/>
      <c r="DK700" s="399"/>
      <c r="DL700" s="399"/>
      <c r="DM700" s="399"/>
      <c r="DN700" s="399"/>
      <c r="DO700" s="399"/>
      <c r="DP700" s="399"/>
      <c r="DQ700" s="399"/>
    </row>
    <row r="701" spans="1:121" s="760" customFormat="1" ht="14.45" customHeight="1" x14ac:dyDescent="0.25">
      <c r="A701" s="266">
        <f t="shared" si="10"/>
        <v>43.766666666666666</v>
      </c>
      <c r="B701" s="389">
        <v>41543</v>
      </c>
      <c r="C701" s="390" t="s">
        <v>451</v>
      </c>
      <c r="D701" s="390" t="s">
        <v>451</v>
      </c>
      <c r="E701" s="390" t="s">
        <v>380</v>
      </c>
      <c r="F701" s="262" t="s">
        <v>185</v>
      </c>
      <c r="G701" s="262" t="s">
        <v>194</v>
      </c>
      <c r="H701" s="261"/>
      <c r="I701" s="261"/>
      <c r="J701" s="261">
        <v>882</v>
      </c>
      <c r="K701" s="261">
        <v>882</v>
      </c>
      <c r="L701" s="261">
        <v>441</v>
      </c>
      <c r="M701" s="261">
        <v>882</v>
      </c>
      <c r="N701" s="261">
        <v>441</v>
      </c>
      <c r="O701" s="261"/>
      <c r="P701" s="261">
        <v>441</v>
      </c>
      <c r="Q701" s="261">
        <v>882</v>
      </c>
      <c r="R701" s="261"/>
      <c r="S701" s="261"/>
      <c r="T701" s="261"/>
      <c r="U701" s="261"/>
      <c r="V701" s="762"/>
      <c r="W701" s="762"/>
      <c r="X701" s="762"/>
      <c r="Y701" s="264">
        <f>IF(NFI_Expiration=1,IF($A701&lt;VLOOKUP(H$5,NFI,5,0),1,0)*Table_NFI[[#This Row],[Hygiene Kit]],Table_NFI[Hygiene Kit])</f>
        <v>0</v>
      </c>
      <c r="Z701" s="264">
        <f>IF(NFI_Expiration=1,IF($A701&lt;VLOOKUP(I$5,NFI,5,0),1,0)*Table_NFI[[#This Row],[NFI Core Kit]],Table_NFI[NFI Core Kit])</f>
        <v>0</v>
      </c>
      <c r="AA701" s="264">
        <f>IF(NFI_Expiration=1,IF($A701&lt;VLOOKUP(J$5,NFI,5,0),1,0)*Table_NFI[[#This Row],[Sanitary Kit]],Table_NFI[Sanitary Kit])</f>
        <v>0</v>
      </c>
      <c r="AB701" s="264">
        <f>IF(NFI_Expiration=1,IF($A701&lt;VLOOKUP(K$5,NFI,5,0),1,0)*Table_NFI[[#This Row],[Mosquito net]],Table_NFI[Mosquito net])</f>
        <v>0</v>
      </c>
      <c r="AC701" s="264">
        <f>IF(NFI_Expiration=1,IF($A701&lt;VLOOKUP(L$5,NFI,5,0),1,0)*Table_NFI[[#This Row],[Tarpaulin]],Table_NFI[[#This Row],[Tarpaulin]])</f>
        <v>0</v>
      </c>
      <c r="AD701" s="264">
        <f>IF(NFI_Expiration=1,IF($A701&lt;VLOOKUP(M$5,NFI,5,0),1,0)*Table_NFI[[#This Row],[Blanket]],Table_NFI[[#This Row],[Blanket]])</f>
        <v>0</v>
      </c>
      <c r="AE701" s="264">
        <f>IF(NFI_Expiration=1,IF($A701&lt;VLOOKUP(N$5,NFI,5,0),1,0)*Table_NFI[[#This Row],[Kitchen Set]],Table_NFI[Kitchen Set])</f>
        <v>0</v>
      </c>
      <c r="AF701" s="264">
        <f>IF(NFI_Expiration=1,IF($A701&lt;VLOOKUP(O$5,NFI,5,0),1,0)*Table_NFI[[#This Row],[Clothes Kit]],Table_NFI[Clothes Kit])</f>
        <v>0</v>
      </c>
      <c r="AG701" s="264">
        <f>IF(NFI_Expiration=1,IF($A701&lt;VLOOKUP(P$5,NFI,5,0),1,0)*Table_NFI[[#This Row],[Plastic Bucket]],Table_NFI[Plastic Bucket])</f>
        <v>0</v>
      </c>
      <c r="AH701" s="264">
        <f>IF(NFI_Expiration=1,IF($A701&lt;VLOOKUP(Q$5,NFI,5,0),1,0)*Table_NFI[[#This Row],[Plastic Mat]],Table_NFI[Plastic Mat])*IF(Table_NFI[[#This Row],[Distribution Date]]&gt;"2014-04-01",1,2.5)</f>
        <v>0</v>
      </c>
      <c r="AI701" s="264">
        <f>IF(NFI_Expiration=1,IF($A701&lt;VLOOKUP(R$5,NFI,5,0),1,0)*Table_NFI[[#This Row],[Winter Clothes Adult]],Table_NFI[Winter Clothes Adult])</f>
        <v>0</v>
      </c>
      <c r="AJ701" s="264">
        <f>IF(NFI_Expiration=1,IF($A701&lt;VLOOKUP(S$5,NFI,5,0),1,0)*Table_NFI[[#This Row],[Winter Clothes Children]],Table_NFI[Winter Clothes Children])</f>
        <v>0</v>
      </c>
      <c r="AK701" s="264">
        <f>IF(NFI_Expiration=1,IF($A701&lt;VLOOKUP(T$5,NFI,5,0),1,0)*Table_NFI[[#This Row],[Winter Items Other]],Table_NFI[Winter Items Other])</f>
        <v>0</v>
      </c>
      <c r="AL701" s="264">
        <f>IF(NFI_Expiration=1,IF($A701&lt;VLOOKUP(M$5,NFI,5,0),1,0)*Table_NFI[[#This Row],[Winter Blanket]],Table_NFI[[#This Row],[Winter Blanket]])</f>
        <v>0</v>
      </c>
      <c r="AM701" s="264">
        <f>IF(Table_NFI[[#This Row],[Winter Clothes Adult]]+Table_NFI[[#This Row],[Winter Clothes Children]]+Table_NFI[[#This Row],[Winter Items Other]]+Table_NFI[[#This Row],[Winter Blanket]]&gt;0,1,0)</f>
        <v>0</v>
      </c>
      <c r="AN701" s="296">
        <f>IF(NFI_Expiration=1,IF($A701&lt;VLOOKUP(V$5,NFI,5,0),1,0)*Table_NFI[[#This Row],[Jerry Can]],Table_NFI[Jerry Can])</f>
        <v>0</v>
      </c>
      <c r="AO701" s="296">
        <f>IF(NFI_Expiration=1,IF($A701&lt;VLOOKUP(V$5,NFI,5,0),1,0)*Table_NFI[[#This Row],[Shelter Tool kit]],Table_NFI[Shelter Tool kit])</f>
        <v>0</v>
      </c>
      <c r="AP701" s="296">
        <f>IF(NFI_Expiration=1,IF($A701&lt;VLOOKUP(V$5,NFI,5,0),1,0)*Table_NFI[[#This Row],[Tent]],Table_NFI[Tent])</f>
        <v>0</v>
      </c>
      <c r="AQ701" s="396" t="str">
        <f>IFERROR(VLOOKUP(Table_NFI[[#This Row],[Camp Name]],CL,2,0),"")</f>
        <v>MMR001CMP122</v>
      </c>
      <c r="AR701" s="702">
        <f ca="1">IF(Table_NFI[[#This Row],[Pcode]]="","",IF(OFFSET(CampList[Opening Date],MATCH(Table_NFI[[#This Row],[Pcode]],CampList[CP_Pcode],0)-1,0,1,1)&gt;=NFI_Monitor_Date,1,0))</f>
        <v>0</v>
      </c>
      <c r="AS701" s="396" t="str">
        <f>IFERROR(VLOOKUP(Table_NFI[[#This Row],[Camp Name]],CL,3,0),"")</f>
        <v>Open</v>
      </c>
      <c r="AT701" s="264" t="str">
        <f ca="1">IF(Table_NFI[[#This Row],[Pcode]]="","",OFFSET(CampList[Priority],MATCH(Table_NFI[[#This Row],[Pcode]],CampList[CP_Pcode],0)-1,0,1,1))</f>
        <v>P2</v>
      </c>
      <c r="AU701" s="263">
        <f>IFERROR(Table_NFI[[#This Row],[Kitchen Set]]/VLOOKUP(Table_NFI[[#This Row],[Camp Name]],CL,4,0),"")</f>
        <v>1.0836712126796905E-2</v>
      </c>
      <c r="AV701" s="390" t="s">
        <v>1087</v>
      </c>
      <c r="AW701" s="392"/>
      <c r="AX701" s="399"/>
      <c r="AY701" s="399"/>
      <c r="AZ701" s="399"/>
      <c r="BA701" s="399"/>
      <c r="BB701" s="399"/>
      <c r="BC701" s="399"/>
      <c r="BD701" s="399"/>
      <c r="BE701" s="399"/>
      <c r="BF701" s="399"/>
      <c r="BG701" s="399"/>
      <c r="BH701" s="399"/>
      <c r="BI701" s="399"/>
      <c r="BJ701" s="399"/>
      <c r="BK701" s="399"/>
      <c r="BL701" s="399"/>
      <c r="BM701" s="399"/>
      <c r="BN701" s="399"/>
      <c r="BO701" s="399"/>
      <c r="BP701" s="399"/>
      <c r="BQ701" s="399"/>
      <c r="BR701" s="399"/>
      <c r="BS701" s="399"/>
      <c r="BT701" s="399"/>
      <c r="BU701" s="399"/>
      <c r="BV701" s="399"/>
      <c r="BW701" s="399"/>
      <c r="BX701" s="399"/>
      <c r="BY701" s="399"/>
      <c r="BZ701" s="399"/>
      <c r="CA701" s="399"/>
      <c r="CB701" s="399"/>
      <c r="CC701" s="399"/>
      <c r="CD701" s="399"/>
      <c r="CE701" s="399"/>
      <c r="CF701" s="399"/>
      <c r="CG701" s="399"/>
      <c r="CH701" s="399"/>
      <c r="CI701" s="399"/>
      <c r="CJ701" s="399"/>
      <c r="CK701" s="399"/>
      <c r="CL701" s="399"/>
      <c r="CM701" s="399"/>
      <c r="CN701" s="399"/>
      <c r="CO701" s="399"/>
      <c r="CP701" s="399"/>
      <c r="CQ701" s="399"/>
      <c r="CR701" s="399"/>
      <c r="CS701" s="399"/>
      <c r="CT701" s="399"/>
      <c r="CU701" s="399"/>
      <c r="CV701" s="399"/>
      <c r="CW701" s="399"/>
      <c r="CX701" s="399"/>
      <c r="CY701" s="399"/>
      <c r="CZ701" s="399"/>
      <c r="DA701" s="399"/>
      <c r="DB701" s="399"/>
      <c r="DC701" s="399"/>
      <c r="DD701" s="399"/>
      <c r="DE701" s="399"/>
      <c r="DF701" s="399"/>
      <c r="DG701" s="399"/>
      <c r="DH701" s="399"/>
      <c r="DI701" s="399"/>
      <c r="DJ701" s="399"/>
      <c r="DK701" s="399"/>
      <c r="DL701" s="399"/>
      <c r="DM701" s="399"/>
      <c r="DN701" s="399"/>
      <c r="DO701" s="399"/>
      <c r="DP701" s="399"/>
      <c r="DQ701" s="399"/>
    </row>
    <row r="702" spans="1:121" s="760" customFormat="1" ht="14.45" customHeight="1" x14ac:dyDescent="0.25">
      <c r="A702" s="266">
        <f t="shared" si="10"/>
        <v>43.766666666666666</v>
      </c>
      <c r="B702" s="389">
        <v>41543</v>
      </c>
      <c r="C702" s="390" t="s">
        <v>451</v>
      </c>
      <c r="D702" s="390" t="s">
        <v>451</v>
      </c>
      <c r="E702" s="390" t="s">
        <v>380</v>
      </c>
      <c r="F702" s="390" t="s">
        <v>185</v>
      </c>
      <c r="G702" s="262" t="s">
        <v>196</v>
      </c>
      <c r="H702" s="261"/>
      <c r="I702" s="261"/>
      <c r="J702" s="261">
        <v>1628</v>
      </c>
      <c r="K702" s="261">
        <v>3256</v>
      </c>
      <c r="L702" s="261">
        <v>1628</v>
      </c>
      <c r="M702" s="261">
        <v>3256</v>
      </c>
      <c r="N702" s="261">
        <v>1628</v>
      </c>
      <c r="O702" s="261"/>
      <c r="P702" s="261">
        <v>1628</v>
      </c>
      <c r="Q702" s="261">
        <v>3256</v>
      </c>
      <c r="R702" s="261"/>
      <c r="S702" s="261"/>
      <c r="T702" s="261"/>
      <c r="U702" s="261"/>
      <c r="V702" s="762"/>
      <c r="W702" s="261"/>
      <c r="X702" s="261"/>
      <c r="Y702" s="264">
        <f>IF(NFI_Expiration=1,IF($A702&lt;VLOOKUP(H$5,NFI,5,0),1,0)*Table_NFI[[#This Row],[Hygiene Kit]],Table_NFI[Hygiene Kit])</f>
        <v>0</v>
      </c>
      <c r="Z702" s="264">
        <f>IF(NFI_Expiration=1,IF($A702&lt;VLOOKUP(I$5,NFI,5,0),1,0)*Table_NFI[[#This Row],[NFI Core Kit]],Table_NFI[NFI Core Kit])</f>
        <v>0</v>
      </c>
      <c r="AA702" s="264">
        <f>IF(NFI_Expiration=1,IF($A702&lt;VLOOKUP(J$5,NFI,5,0),1,0)*Table_NFI[[#This Row],[Sanitary Kit]],Table_NFI[Sanitary Kit])</f>
        <v>0</v>
      </c>
      <c r="AB702" s="264">
        <f>IF(NFI_Expiration=1,IF($A702&lt;VLOOKUP(K$5,NFI,5,0),1,0)*Table_NFI[[#This Row],[Mosquito net]],Table_NFI[Mosquito net])</f>
        <v>0</v>
      </c>
      <c r="AC702" s="264">
        <f>IF(NFI_Expiration=1,IF($A702&lt;VLOOKUP(L$5,NFI,5,0),1,0)*Table_NFI[[#This Row],[Tarpaulin]],Table_NFI[[#This Row],[Tarpaulin]])</f>
        <v>0</v>
      </c>
      <c r="AD702" s="264">
        <f>IF(NFI_Expiration=1,IF($A702&lt;VLOOKUP(M$5,NFI,5,0),1,0)*Table_NFI[[#This Row],[Blanket]],Table_NFI[[#This Row],[Blanket]])</f>
        <v>0</v>
      </c>
      <c r="AE702" s="264">
        <f>IF(NFI_Expiration=1,IF($A702&lt;VLOOKUP(N$5,NFI,5,0),1,0)*Table_NFI[[#This Row],[Kitchen Set]],Table_NFI[Kitchen Set])</f>
        <v>0</v>
      </c>
      <c r="AF702" s="264">
        <f>IF(NFI_Expiration=1,IF($A702&lt;VLOOKUP(O$5,NFI,5,0),1,0)*Table_NFI[[#This Row],[Clothes Kit]],Table_NFI[Clothes Kit])</f>
        <v>0</v>
      </c>
      <c r="AG702" s="264">
        <f>IF(NFI_Expiration=1,IF($A702&lt;VLOOKUP(P$5,NFI,5,0),1,0)*Table_NFI[[#This Row],[Plastic Bucket]],Table_NFI[Plastic Bucket])</f>
        <v>0</v>
      </c>
      <c r="AH702" s="264">
        <f>IF(NFI_Expiration=1,IF($A702&lt;VLOOKUP(Q$5,NFI,5,0),1,0)*Table_NFI[[#This Row],[Plastic Mat]],Table_NFI[Plastic Mat])*IF(Table_NFI[[#This Row],[Distribution Date]]&gt;"2014-04-01",1,2.5)</f>
        <v>0</v>
      </c>
      <c r="AI702" s="264">
        <f>IF(NFI_Expiration=1,IF($A702&lt;VLOOKUP(R$5,NFI,5,0),1,0)*Table_NFI[[#This Row],[Winter Clothes Adult]],Table_NFI[Winter Clothes Adult])</f>
        <v>0</v>
      </c>
      <c r="AJ702" s="264">
        <f>IF(NFI_Expiration=1,IF($A702&lt;VLOOKUP(S$5,NFI,5,0),1,0)*Table_NFI[[#This Row],[Winter Clothes Children]],Table_NFI[Winter Clothes Children])</f>
        <v>0</v>
      </c>
      <c r="AK702" s="264">
        <f>IF(NFI_Expiration=1,IF($A702&lt;VLOOKUP(T$5,NFI,5,0),1,0)*Table_NFI[[#This Row],[Winter Items Other]],Table_NFI[Winter Items Other])</f>
        <v>0</v>
      </c>
      <c r="AL702" s="264">
        <f>IF(NFI_Expiration=1,IF($A702&lt;VLOOKUP(M$5,NFI,5,0),1,0)*Table_NFI[[#This Row],[Winter Blanket]],Table_NFI[[#This Row],[Winter Blanket]])</f>
        <v>0</v>
      </c>
      <c r="AM702" s="264">
        <f>IF(Table_NFI[[#This Row],[Winter Clothes Adult]]+Table_NFI[[#This Row],[Winter Clothes Children]]+Table_NFI[[#This Row],[Winter Items Other]]+Table_NFI[[#This Row],[Winter Blanket]]&gt;0,1,0)</f>
        <v>0</v>
      </c>
      <c r="AN702" s="296">
        <f>IF(NFI_Expiration=1,IF($A702&lt;VLOOKUP(V$5,NFI,5,0),1,0)*Table_NFI[[#This Row],[Jerry Can]],Table_NFI[Jerry Can])</f>
        <v>0</v>
      </c>
      <c r="AO702" s="296">
        <f>IF(NFI_Expiration=1,IF($A702&lt;VLOOKUP(V$5,NFI,5,0),1,0)*Table_NFI[[#This Row],[Shelter Tool kit]],Table_NFI[Shelter Tool kit])</f>
        <v>0</v>
      </c>
      <c r="AP702" s="296">
        <f>IF(NFI_Expiration=1,IF($A702&lt;VLOOKUP(V$5,NFI,5,0),1,0)*Table_NFI[[#This Row],[Tent]],Table_NFI[Tent])</f>
        <v>0</v>
      </c>
      <c r="AQ702" s="396" t="str">
        <f>IFERROR(VLOOKUP(Table_NFI[[#This Row],[Camp Name]],CL,2,0),"")</f>
        <v>MMR001CMP121</v>
      </c>
      <c r="AR702" s="702">
        <f ca="1">IF(Table_NFI[[#This Row],[Pcode]]="","",IF(OFFSET(CampList[Opening Date],MATCH(Table_NFI[[#This Row],[Pcode]],CampList[CP_Pcode],0)-1,0,1,1)&gt;=NFI_Monitor_Date,1,0))</f>
        <v>0</v>
      </c>
      <c r="AS702" s="396" t="str">
        <f>IFERROR(VLOOKUP(Table_NFI[[#This Row],[Camp Name]],CL,3,0),"")</f>
        <v>Open</v>
      </c>
      <c r="AT702" s="264" t="str">
        <f ca="1">IF(Table_NFI[[#This Row],[Pcode]]="","",OFFSET(CampList[Priority],MATCH(Table_NFI[[#This Row],[Pcode]],CampList[CP_Pcode],0)-1,0,1,1))</f>
        <v>P2</v>
      </c>
      <c r="AU702" s="263">
        <f>IFERROR(Table_NFI[[#This Row],[Kitchen Set]]/VLOOKUP(Table_NFI[[#This Row],[Camp Name]],CL,4,0),"")</f>
        <v>3.9648328097221207E-2</v>
      </c>
      <c r="AV702" s="390" t="s">
        <v>1087</v>
      </c>
      <c r="AW702" s="392"/>
      <c r="AX702" s="399"/>
      <c r="AY702" s="399"/>
      <c r="AZ702" s="399"/>
      <c r="BA702" s="399"/>
      <c r="BB702" s="399"/>
      <c r="BC702" s="399"/>
      <c r="BD702" s="399"/>
      <c r="BE702" s="399"/>
      <c r="BF702" s="399"/>
      <c r="BG702" s="399"/>
      <c r="BH702" s="399"/>
      <c r="BI702" s="399"/>
      <c r="BJ702" s="399"/>
      <c r="BK702" s="399"/>
      <c r="BL702" s="399"/>
      <c r="BM702" s="399"/>
      <c r="BN702" s="399"/>
      <c r="BO702" s="399"/>
      <c r="BP702" s="399"/>
      <c r="BQ702" s="399"/>
      <c r="BR702" s="399"/>
      <c r="BS702" s="399"/>
      <c r="BT702" s="399"/>
      <c r="BU702" s="399"/>
      <c r="BV702" s="399"/>
      <c r="BW702" s="399"/>
      <c r="BX702" s="399"/>
      <c r="BY702" s="399"/>
      <c r="BZ702" s="399"/>
      <c r="CA702" s="399"/>
      <c r="CB702" s="399"/>
      <c r="CC702" s="399"/>
      <c r="CD702" s="399"/>
      <c r="CE702" s="399"/>
      <c r="CF702" s="399"/>
      <c r="CG702" s="399"/>
      <c r="CH702" s="399"/>
      <c r="CI702" s="399"/>
      <c r="CJ702" s="399"/>
      <c r="CK702" s="399"/>
      <c r="CL702" s="399"/>
      <c r="CM702" s="399"/>
      <c r="CN702" s="399"/>
      <c r="CO702" s="399"/>
      <c r="CP702" s="399"/>
      <c r="CQ702" s="399"/>
      <c r="CR702" s="399"/>
      <c r="CS702" s="399"/>
      <c r="CT702" s="399"/>
      <c r="CU702" s="399"/>
      <c r="CV702" s="399"/>
      <c r="CW702" s="399"/>
      <c r="CX702" s="399"/>
      <c r="CY702" s="399"/>
      <c r="CZ702" s="399"/>
      <c r="DA702" s="399"/>
      <c r="DB702" s="399"/>
      <c r="DC702" s="399"/>
      <c r="DD702" s="399"/>
      <c r="DE702" s="399"/>
      <c r="DF702" s="399"/>
      <c r="DG702" s="399"/>
      <c r="DH702" s="399"/>
      <c r="DI702" s="399"/>
      <c r="DJ702" s="399"/>
      <c r="DK702" s="399"/>
      <c r="DL702" s="399"/>
      <c r="DM702" s="399"/>
      <c r="DN702" s="399"/>
      <c r="DO702" s="399"/>
      <c r="DP702" s="399"/>
      <c r="DQ702" s="399"/>
    </row>
    <row r="703" spans="1:121" ht="15" customHeight="1" x14ac:dyDescent="0.25">
      <c r="A703" s="266">
        <f t="shared" si="10"/>
        <v>43.766666666666666</v>
      </c>
      <c r="B703" s="389">
        <v>41543</v>
      </c>
      <c r="C703" s="390" t="s">
        <v>451</v>
      </c>
      <c r="D703" s="390" t="s">
        <v>451</v>
      </c>
      <c r="E703" s="390" t="s">
        <v>380</v>
      </c>
      <c r="F703" s="262" t="s">
        <v>310</v>
      </c>
      <c r="G703" s="262" t="s">
        <v>1236</v>
      </c>
      <c r="H703" s="261"/>
      <c r="I703" s="261"/>
      <c r="J703" s="261">
        <v>437</v>
      </c>
      <c r="K703" s="261">
        <v>874</v>
      </c>
      <c r="L703" s="261">
        <v>437</v>
      </c>
      <c r="M703" s="261">
        <v>874</v>
      </c>
      <c r="N703" s="261">
        <v>437</v>
      </c>
      <c r="O703" s="261">
        <v>54</v>
      </c>
      <c r="P703" s="261">
        <v>383</v>
      </c>
      <c r="Q703" s="261">
        <v>766</v>
      </c>
      <c r="R703" s="261"/>
      <c r="S703" s="261"/>
      <c r="T703" s="261"/>
      <c r="U703" s="261"/>
      <c r="V703" s="762"/>
      <c r="W703" s="762"/>
      <c r="X703" s="762"/>
      <c r="Y703" s="264">
        <f>IF(NFI_Expiration=1,IF($A703&lt;VLOOKUP(H$5,NFI,5,0),1,0)*Table_NFI[[#This Row],[Hygiene Kit]],Table_NFI[Hygiene Kit])</f>
        <v>0</v>
      </c>
      <c r="Z703" s="264">
        <f>IF(NFI_Expiration=1,IF($A703&lt;VLOOKUP(I$5,NFI,5,0),1,0)*Table_NFI[[#This Row],[NFI Core Kit]],Table_NFI[NFI Core Kit])</f>
        <v>0</v>
      </c>
      <c r="AA703" s="264">
        <f>IF(NFI_Expiration=1,IF($A703&lt;VLOOKUP(J$5,NFI,5,0),1,0)*Table_NFI[[#This Row],[Sanitary Kit]],Table_NFI[Sanitary Kit])</f>
        <v>0</v>
      </c>
      <c r="AB703" s="264">
        <f>IF(NFI_Expiration=1,IF($A703&lt;VLOOKUP(K$5,NFI,5,0),1,0)*Table_NFI[[#This Row],[Mosquito net]],Table_NFI[Mosquito net])</f>
        <v>0</v>
      </c>
      <c r="AC703" s="264">
        <f>IF(NFI_Expiration=1,IF($A703&lt;VLOOKUP(L$5,NFI,5,0),1,0)*Table_NFI[[#This Row],[Tarpaulin]],Table_NFI[[#This Row],[Tarpaulin]])</f>
        <v>0</v>
      </c>
      <c r="AD703" s="264">
        <f>IF(NFI_Expiration=1,IF($A703&lt;VLOOKUP(M$5,NFI,5,0),1,0)*Table_NFI[[#This Row],[Blanket]],Table_NFI[[#This Row],[Blanket]])</f>
        <v>0</v>
      </c>
      <c r="AE703" s="264">
        <f>IF(NFI_Expiration=1,IF($A703&lt;VLOOKUP(N$5,NFI,5,0),1,0)*Table_NFI[[#This Row],[Kitchen Set]],Table_NFI[Kitchen Set])</f>
        <v>0</v>
      </c>
      <c r="AF703" s="264">
        <f>IF(NFI_Expiration=1,IF($A703&lt;VLOOKUP(O$5,NFI,5,0),1,0)*Table_NFI[[#This Row],[Clothes Kit]],Table_NFI[Clothes Kit])</f>
        <v>0</v>
      </c>
      <c r="AG703" s="264">
        <f>IF(NFI_Expiration=1,IF($A703&lt;VLOOKUP(P$5,NFI,5,0),1,0)*Table_NFI[[#This Row],[Plastic Bucket]],Table_NFI[Plastic Bucket])</f>
        <v>0</v>
      </c>
      <c r="AH703" s="264">
        <f>IF(NFI_Expiration=1,IF($A703&lt;VLOOKUP(Q$5,NFI,5,0),1,0)*Table_NFI[[#This Row],[Plastic Mat]],Table_NFI[Plastic Mat])*IF(Table_NFI[[#This Row],[Distribution Date]]&gt;"2014-04-01",1,2.5)</f>
        <v>0</v>
      </c>
      <c r="AI703" s="264">
        <f>IF(NFI_Expiration=1,IF($A703&lt;VLOOKUP(R$5,NFI,5,0),1,0)*Table_NFI[[#This Row],[Winter Clothes Adult]],Table_NFI[Winter Clothes Adult])</f>
        <v>0</v>
      </c>
      <c r="AJ703" s="264">
        <f>IF(NFI_Expiration=1,IF($A703&lt;VLOOKUP(S$5,NFI,5,0),1,0)*Table_NFI[[#This Row],[Winter Clothes Children]],Table_NFI[Winter Clothes Children])</f>
        <v>0</v>
      </c>
      <c r="AK703" s="264">
        <f>IF(NFI_Expiration=1,IF($A703&lt;VLOOKUP(T$5,NFI,5,0),1,0)*Table_NFI[[#This Row],[Winter Items Other]],Table_NFI[Winter Items Other])</f>
        <v>0</v>
      </c>
      <c r="AL703" s="264">
        <f>IF(NFI_Expiration=1,IF($A703&lt;VLOOKUP(M$5,NFI,5,0),1,0)*Table_NFI[[#This Row],[Winter Blanket]],Table_NFI[[#This Row],[Winter Blanket]])</f>
        <v>0</v>
      </c>
      <c r="AM703" s="264">
        <f>IF(Table_NFI[[#This Row],[Winter Clothes Adult]]+Table_NFI[[#This Row],[Winter Clothes Children]]+Table_NFI[[#This Row],[Winter Items Other]]+Table_NFI[[#This Row],[Winter Blanket]]&gt;0,1,0)</f>
        <v>0</v>
      </c>
      <c r="AN703" s="296">
        <f>IF(NFI_Expiration=1,IF($A703&lt;VLOOKUP(V$5,NFI,5,0),1,0)*Table_NFI[[#This Row],[Jerry Can]],Table_NFI[Jerry Can])</f>
        <v>0</v>
      </c>
      <c r="AO703" s="296">
        <f>IF(NFI_Expiration=1,IF($A703&lt;VLOOKUP(V$5,NFI,5,0),1,0)*Table_NFI[[#This Row],[Shelter Tool kit]],Table_NFI[Shelter Tool kit])</f>
        <v>0</v>
      </c>
      <c r="AP703" s="296">
        <f>IF(NFI_Expiration=1,IF($A703&lt;VLOOKUP(V$5,NFI,5,0),1,0)*Table_NFI[[#This Row],[Tent]],Table_NFI[Tent])</f>
        <v>0</v>
      </c>
      <c r="AQ703" s="396" t="str">
        <f>IFERROR(VLOOKUP(Table_NFI[[#This Row],[Camp Name]],CL,2,0),"")</f>
        <v>MMR001CMP117</v>
      </c>
      <c r="AR703" s="702">
        <f ca="1">IF(Table_NFI[[#This Row],[Pcode]]="","",IF(OFFSET(CampList[Opening Date],MATCH(Table_NFI[[#This Row],[Pcode]],CampList[CP_Pcode],0)-1,0,1,1)&gt;=NFI_Monitor_Date,1,0))</f>
        <v>0</v>
      </c>
      <c r="AS703" s="396" t="str">
        <f>IFERROR(VLOOKUP(Table_NFI[[#This Row],[Camp Name]],CL,3,0),"")</f>
        <v>Closed</v>
      </c>
      <c r="AT703" s="264" t="str">
        <f ca="1">IF(Table_NFI[[#This Row],[Pcode]]="","",OFFSET(CampList[Priority],MATCH(Table_NFI[[#This Row],[Pcode]],CampList[CP_Pcode],0)-1,0,1,1))</f>
        <v>P2</v>
      </c>
      <c r="AU703" s="263">
        <f>IFERROR(Table_NFI[[#This Row],[Kitchen Set]]/VLOOKUP(Table_NFI[[#This Row],[Camp Name]],CL,4,0),"")</f>
        <v>1.0738419953311217E-2</v>
      </c>
      <c r="AV703" s="390" t="s">
        <v>1087</v>
      </c>
      <c r="AW703" s="392"/>
    </row>
    <row r="704" spans="1:121" s="760" customFormat="1" ht="15" customHeight="1" x14ac:dyDescent="0.25">
      <c r="A704" s="266">
        <f t="shared" si="10"/>
        <v>44.033333333333331</v>
      </c>
      <c r="B704" s="389">
        <v>41535</v>
      </c>
      <c r="C704" s="390" t="s">
        <v>451</v>
      </c>
      <c r="D704" s="390" t="s">
        <v>451</v>
      </c>
      <c r="E704" s="390" t="s">
        <v>380</v>
      </c>
      <c r="F704" s="262" t="s">
        <v>310</v>
      </c>
      <c r="G704" s="262" t="s">
        <v>353</v>
      </c>
      <c r="H704" s="261"/>
      <c r="I704" s="261"/>
      <c r="J704" s="261">
        <v>1520</v>
      </c>
      <c r="K704" s="261">
        <v>1520</v>
      </c>
      <c r="L704" s="261">
        <v>760</v>
      </c>
      <c r="M704" s="261">
        <v>1520</v>
      </c>
      <c r="N704" s="261">
        <v>760</v>
      </c>
      <c r="O704" s="261">
        <v>760</v>
      </c>
      <c r="P704" s="261"/>
      <c r="Q704" s="261"/>
      <c r="R704" s="261"/>
      <c r="S704" s="261"/>
      <c r="T704" s="261"/>
      <c r="U704" s="261"/>
      <c r="V704" s="762"/>
      <c r="W704" s="762"/>
      <c r="X704" s="762"/>
      <c r="Y704" s="264">
        <f>IF(NFI_Expiration=1,IF($A704&lt;VLOOKUP(H$5,NFI,5,0),1,0)*Table_NFI[[#This Row],[Hygiene Kit]],Table_NFI[Hygiene Kit])</f>
        <v>0</v>
      </c>
      <c r="Z704" s="264">
        <f>IF(NFI_Expiration=1,IF($A704&lt;VLOOKUP(I$5,NFI,5,0),1,0)*Table_NFI[[#This Row],[NFI Core Kit]],Table_NFI[NFI Core Kit])</f>
        <v>0</v>
      </c>
      <c r="AA704" s="264">
        <f>IF(NFI_Expiration=1,IF($A704&lt;VLOOKUP(J$5,NFI,5,0),1,0)*Table_NFI[[#This Row],[Sanitary Kit]],Table_NFI[Sanitary Kit])</f>
        <v>0</v>
      </c>
      <c r="AB704" s="264">
        <f>IF(NFI_Expiration=1,IF($A704&lt;VLOOKUP(K$5,NFI,5,0),1,0)*Table_NFI[[#This Row],[Mosquito net]],Table_NFI[Mosquito net])</f>
        <v>0</v>
      </c>
      <c r="AC704" s="264">
        <f>IF(NFI_Expiration=1,IF($A704&lt;VLOOKUP(L$5,NFI,5,0),1,0)*Table_NFI[[#This Row],[Tarpaulin]],Table_NFI[[#This Row],[Tarpaulin]])</f>
        <v>0</v>
      </c>
      <c r="AD704" s="264">
        <f>IF(NFI_Expiration=1,IF($A704&lt;VLOOKUP(M$5,NFI,5,0),1,0)*Table_NFI[[#This Row],[Blanket]],Table_NFI[[#This Row],[Blanket]])</f>
        <v>0</v>
      </c>
      <c r="AE704" s="264">
        <f>IF(NFI_Expiration=1,IF($A704&lt;VLOOKUP(N$5,NFI,5,0),1,0)*Table_NFI[[#This Row],[Kitchen Set]],Table_NFI[Kitchen Set])</f>
        <v>0</v>
      </c>
      <c r="AF704" s="264">
        <f>IF(NFI_Expiration=1,IF($A704&lt;VLOOKUP(O$5,NFI,5,0),1,0)*Table_NFI[[#This Row],[Clothes Kit]],Table_NFI[Clothes Kit])</f>
        <v>0</v>
      </c>
      <c r="AG704" s="264">
        <f>IF(NFI_Expiration=1,IF($A704&lt;VLOOKUP(P$5,NFI,5,0),1,0)*Table_NFI[[#This Row],[Plastic Bucket]],Table_NFI[Plastic Bucket])</f>
        <v>0</v>
      </c>
      <c r="AH704" s="264">
        <f>IF(NFI_Expiration=1,IF($A704&lt;VLOOKUP(Q$5,NFI,5,0),1,0)*Table_NFI[[#This Row],[Plastic Mat]],Table_NFI[Plastic Mat])*IF(Table_NFI[[#This Row],[Distribution Date]]&gt;"2014-04-01",1,2.5)</f>
        <v>0</v>
      </c>
      <c r="AI704" s="264">
        <f>IF(NFI_Expiration=1,IF($A704&lt;VLOOKUP(R$5,NFI,5,0),1,0)*Table_NFI[[#This Row],[Winter Clothes Adult]],Table_NFI[Winter Clothes Adult])</f>
        <v>0</v>
      </c>
      <c r="AJ704" s="264">
        <f>IF(NFI_Expiration=1,IF($A704&lt;VLOOKUP(S$5,NFI,5,0),1,0)*Table_NFI[[#This Row],[Winter Clothes Children]],Table_NFI[Winter Clothes Children])</f>
        <v>0</v>
      </c>
      <c r="AK704" s="264">
        <f>IF(NFI_Expiration=1,IF($A704&lt;VLOOKUP(T$5,NFI,5,0),1,0)*Table_NFI[[#This Row],[Winter Items Other]],Table_NFI[Winter Items Other])</f>
        <v>0</v>
      </c>
      <c r="AL704" s="264">
        <f>IF(NFI_Expiration=1,IF($A704&lt;VLOOKUP(M$5,NFI,5,0),1,0)*Table_NFI[[#This Row],[Winter Blanket]],Table_NFI[[#This Row],[Winter Blanket]])</f>
        <v>0</v>
      </c>
      <c r="AM704" s="264">
        <f>IF(Table_NFI[[#This Row],[Winter Clothes Adult]]+Table_NFI[[#This Row],[Winter Clothes Children]]+Table_NFI[[#This Row],[Winter Items Other]]+Table_NFI[[#This Row],[Winter Blanket]]&gt;0,1,0)</f>
        <v>0</v>
      </c>
      <c r="AN704" s="296">
        <f>IF(NFI_Expiration=1,IF($A704&lt;VLOOKUP(V$5,NFI,5,0),1,0)*Table_NFI[[#This Row],[Jerry Can]],Table_NFI[Jerry Can])</f>
        <v>0</v>
      </c>
      <c r="AO704" s="296">
        <f>IF(NFI_Expiration=1,IF($A704&lt;VLOOKUP(V$5,NFI,5,0),1,0)*Table_NFI[[#This Row],[Shelter Tool kit]],Table_NFI[Shelter Tool kit])</f>
        <v>0</v>
      </c>
      <c r="AP704" s="296">
        <f>IF(NFI_Expiration=1,IF($A704&lt;VLOOKUP(V$5,NFI,5,0),1,0)*Table_NFI[[#This Row],[Tent]],Table_NFI[Tent])</f>
        <v>0</v>
      </c>
      <c r="AQ704" s="396" t="str">
        <f>IFERROR(VLOOKUP(Table_NFI[[#This Row],[Camp Name]],CL,2,0),"")</f>
        <v>MMR001CMP116</v>
      </c>
      <c r="AR704" s="702">
        <f ca="1">IF(Table_NFI[[#This Row],[Pcode]]="","",IF(OFFSET(CampList[Opening Date],MATCH(Table_NFI[[#This Row],[Pcode]],CampList[CP_Pcode],0)-1,0,1,1)&gt;=NFI_Monitor_Date,1,0))</f>
        <v>0</v>
      </c>
      <c r="AS704" s="396" t="str">
        <f>IFERROR(VLOOKUP(Table_NFI[[#This Row],[Camp Name]],CL,3,0),"")</f>
        <v>Open</v>
      </c>
      <c r="AT704" s="264" t="str">
        <f ca="1">IF(Table_NFI[[#This Row],[Pcode]]="","",OFFSET(CampList[Priority],MATCH(Table_NFI[[#This Row],[Pcode]],CampList[CP_Pcode],0)-1,0,1,1))</f>
        <v>P4</v>
      </c>
      <c r="AU704" s="263">
        <f>IFERROR(Table_NFI[[#This Row],[Kitchen Set]]/VLOOKUP(Table_NFI[[#This Row],[Camp Name]],CL,4,0),"")</f>
        <v>1.8675512962280379E-2</v>
      </c>
      <c r="AV704" s="390" t="s">
        <v>1087</v>
      </c>
      <c r="AW704" s="392"/>
      <c r="AX704" s="399"/>
      <c r="AY704" s="399"/>
      <c r="AZ704" s="399"/>
      <c r="BA704" s="399"/>
      <c r="BB704" s="399"/>
      <c r="BC704" s="399"/>
      <c r="BD704" s="399"/>
      <c r="BE704" s="399"/>
      <c r="BF704" s="399"/>
      <c r="BG704" s="399"/>
      <c r="BH704" s="399"/>
      <c r="BI704" s="399"/>
      <c r="BJ704" s="399"/>
      <c r="BK704" s="399"/>
      <c r="BL704" s="399"/>
      <c r="BM704" s="399"/>
      <c r="BN704" s="399"/>
      <c r="BO704" s="399"/>
      <c r="BP704" s="399"/>
      <c r="BQ704" s="399"/>
      <c r="BR704" s="399"/>
      <c r="BS704" s="399"/>
      <c r="BT704" s="399"/>
      <c r="BU704" s="399"/>
      <c r="BV704" s="399"/>
      <c r="BW704" s="399"/>
      <c r="BX704" s="399"/>
      <c r="BY704" s="399"/>
      <c r="BZ704" s="399"/>
      <c r="CA704" s="399"/>
      <c r="CB704" s="399"/>
      <c r="CC704" s="399"/>
      <c r="CD704" s="399"/>
      <c r="CE704" s="399"/>
      <c r="CF704" s="399"/>
      <c r="CG704" s="399"/>
      <c r="CH704" s="399"/>
      <c r="CI704" s="399"/>
      <c r="CJ704" s="399"/>
      <c r="CK704" s="399"/>
      <c r="CL704" s="399"/>
      <c r="CM704" s="399"/>
      <c r="CN704" s="399"/>
      <c r="CO704" s="399"/>
      <c r="CP704" s="399"/>
      <c r="CQ704" s="399"/>
      <c r="CR704" s="399"/>
      <c r="CS704" s="399"/>
      <c r="CT704" s="399"/>
      <c r="CU704" s="399"/>
      <c r="CV704" s="399"/>
      <c r="CW704" s="399"/>
      <c r="CX704" s="399"/>
      <c r="CY704" s="399"/>
      <c r="CZ704" s="399"/>
      <c r="DA704" s="399"/>
      <c r="DB704" s="399"/>
      <c r="DC704" s="399"/>
      <c r="DD704" s="399"/>
      <c r="DE704" s="399"/>
      <c r="DF704" s="399"/>
      <c r="DG704" s="399"/>
      <c r="DH704" s="399"/>
      <c r="DI704" s="399"/>
      <c r="DJ704" s="399"/>
      <c r="DK704" s="399"/>
      <c r="DL704" s="399"/>
      <c r="DM704" s="399"/>
      <c r="DN704" s="399"/>
      <c r="DO704" s="399"/>
      <c r="DP704" s="399"/>
      <c r="DQ704" s="399"/>
    </row>
    <row r="705" spans="1:121" s="760" customFormat="1" ht="15" customHeight="1" x14ac:dyDescent="0.25">
      <c r="A705" s="266">
        <f t="shared" si="10"/>
        <v>44.233333333333334</v>
      </c>
      <c r="B705" s="389">
        <v>41529</v>
      </c>
      <c r="C705" s="390" t="s">
        <v>451</v>
      </c>
      <c r="D705" s="390" t="s">
        <v>451</v>
      </c>
      <c r="E705" s="390" t="s">
        <v>380</v>
      </c>
      <c r="F705" s="262" t="s">
        <v>185</v>
      </c>
      <c r="G705" s="262" t="s">
        <v>215</v>
      </c>
      <c r="H705" s="261"/>
      <c r="I705" s="261"/>
      <c r="J705" s="261">
        <v>640</v>
      </c>
      <c r="K705" s="261">
        <v>640</v>
      </c>
      <c r="L705" s="261">
        <v>320</v>
      </c>
      <c r="M705" s="261">
        <v>320</v>
      </c>
      <c r="N705" s="261">
        <v>320</v>
      </c>
      <c r="O705" s="261">
        <v>320</v>
      </c>
      <c r="P705" s="261">
        <v>640</v>
      </c>
      <c r="Q705" s="261">
        <v>320</v>
      </c>
      <c r="R705" s="261"/>
      <c r="S705" s="261"/>
      <c r="T705" s="261"/>
      <c r="U705" s="261"/>
      <c r="V705" s="762"/>
      <c r="W705" s="762"/>
      <c r="X705" s="762"/>
      <c r="Y705" s="264">
        <f>IF(NFI_Expiration=1,IF($A705&lt;VLOOKUP(H$5,NFI,5,0),1,0)*Table_NFI[[#This Row],[Hygiene Kit]],Table_NFI[Hygiene Kit])</f>
        <v>0</v>
      </c>
      <c r="Z705" s="264">
        <f>IF(NFI_Expiration=1,IF($A705&lt;VLOOKUP(I$5,NFI,5,0),1,0)*Table_NFI[[#This Row],[NFI Core Kit]],Table_NFI[NFI Core Kit])</f>
        <v>0</v>
      </c>
      <c r="AA705" s="264">
        <f>IF(NFI_Expiration=1,IF($A705&lt;VLOOKUP(J$5,NFI,5,0),1,0)*Table_NFI[[#This Row],[Sanitary Kit]],Table_NFI[Sanitary Kit])</f>
        <v>0</v>
      </c>
      <c r="AB705" s="264">
        <f>IF(NFI_Expiration=1,IF($A705&lt;VLOOKUP(K$5,NFI,5,0),1,0)*Table_NFI[[#This Row],[Mosquito net]],Table_NFI[Mosquito net])</f>
        <v>0</v>
      </c>
      <c r="AC705" s="264">
        <f>IF(NFI_Expiration=1,IF($A705&lt;VLOOKUP(L$5,NFI,5,0),1,0)*Table_NFI[[#This Row],[Tarpaulin]],Table_NFI[[#This Row],[Tarpaulin]])</f>
        <v>0</v>
      </c>
      <c r="AD705" s="264">
        <f>IF(NFI_Expiration=1,IF($A705&lt;VLOOKUP(M$5,NFI,5,0),1,0)*Table_NFI[[#This Row],[Blanket]],Table_NFI[[#This Row],[Blanket]])</f>
        <v>0</v>
      </c>
      <c r="AE705" s="264">
        <f>IF(NFI_Expiration=1,IF($A705&lt;VLOOKUP(N$5,NFI,5,0),1,0)*Table_NFI[[#This Row],[Kitchen Set]],Table_NFI[Kitchen Set])</f>
        <v>0</v>
      </c>
      <c r="AF705" s="264">
        <f>IF(NFI_Expiration=1,IF($A705&lt;VLOOKUP(O$5,NFI,5,0),1,0)*Table_NFI[[#This Row],[Clothes Kit]],Table_NFI[Clothes Kit])</f>
        <v>0</v>
      </c>
      <c r="AG705" s="264">
        <f>IF(NFI_Expiration=1,IF($A705&lt;VLOOKUP(P$5,NFI,5,0),1,0)*Table_NFI[[#This Row],[Plastic Bucket]],Table_NFI[Plastic Bucket])</f>
        <v>0</v>
      </c>
      <c r="AH705" s="264">
        <f>IF(NFI_Expiration=1,IF($A705&lt;VLOOKUP(Q$5,NFI,5,0),1,0)*Table_NFI[[#This Row],[Plastic Mat]],Table_NFI[Plastic Mat])*IF(Table_NFI[[#This Row],[Distribution Date]]&gt;"2014-04-01",1,2.5)</f>
        <v>0</v>
      </c>
      <c r="AI705" s="264">
        <f>IF(NFI_Expiration=1,IF($A705&lt;VLOOKUP(R$5,NFI,5,0),1,0)*Table_NFI[[#This Row],[Winter Clothes Adult]],Table_NFI[Winter Clothes Adult])</f>
        <v>0</v>
      </c>
      <c r="AJ705" s="264">
        <f>IF(NFI_Expiration=1,IF($A705&lt;VLOOKUP(S$5,NFI,5,0),1,0)*Table_NFI[[#This Row],[Winter Clothes Children]],Table_NFI[Winter Clothes Children])</f>
        <v>0</v>
      </c>
      <c r="AK705" s="264">
        <f>IF(NFI_Expiration=1,IF($A705&lt;VLOOKUP(T$5,NFI,5,0),1,0)*Table_NFI[[#This Row],[Winter Items Other]],Table_NFI[Winter Items Other])</f>
        <v>0</v>
      </c>
      <c r="AL705" s="264">
        <f>IF(NFI_Expiration=1,IF($A705&lt;VLOOKUP(M$5,NFI,5,0),1,0)*Table_NFI[[#This Row],[Winter Blanket]],Table_NFI[[#This Row],[Winter Blanket]])</f>
        <v>0</v>
      </c>
      <c r="AM705" s="264">
        <f>IF(Table_NFI[[#This Row],[Winter Clothes Adult]]+Table_NFI[[#This Row],[Winter Clothes Children]]+Table_NFI[[#This Row],[Winter Items Other]]+Table_NFI[[#This Row],[Winter Blanket]]&gt;0,1,0)</f>
        <v>0</v>
      </c>
      <c r="AN705" s="296">
        <f>IF(NFI_Expiration=1,IF($A705&lt;VLOOKUP(V$5,NFI,5,0),1,0)*Table_NFI[[#This Row],[Jerry Can]],Table_NFI[Jerry Can])</f>
        <v>0</v>
      </c>
      <c r="AO705" s="296">
        <f>IF(NFI_Expiration=1,IF($A705&lt;VLOOKUP(V$5,NFI,5,0),1,0)*Table_NFI[[#This Row],[Shelter Tool kit]],Table_NFI[Shelter Tool kit])</f>
        <v>0</v>
      </c>
      <c r="AP705" s="296">
        <f>IF(NFI_Expiration=1,IF($A705&lt;VLOOKUP(V$5,NFI,5,0),1,0)*Table_NFI[[#This Row],[Tent]],Table_NFI[Tent])</f>
        <v>0</v>
      </c>
      <c r="AQ705" s="396" t="str">
        <f>IFERROR(VLOOKUP(Table_NFI[[#This Row],[Camp Name]],CL,2,0),"")</f>
        <v>MMR001CMP131</v>
      </c>
      <c r="AR705" s="702">
        <f ca="1">IF(Table_NFI[[#This Row],[Pcode]]="","",IF(OFFSET(CampList[Opening Date],MATCH(Table_NFI[[#This Row],[Pcode]],CampList[CP_Pcode],0)-1,0,1,1)&gt;=NFI_Monitor_Date,1,0))</f>
        <v>0</v>
      </c>
      <c r="AS705" s="396" t="str">
        <f>IFERROR(VLOOKUP(Table_NFI[[#This Row],[Camp Name]],CL,3,0),"")</f>
        <v>Open</v>
      </c>
      <c r="AT705" s="264" t="str">
        <f ca="1">IF(Table_NFI[[#This Row],[Pcode]]="","",OFFSET(CampList[Priority],MATCH(Table_NFI[[#This Row],[Pcode]],CampList[CP_Pcode],0)-1,0,1,1))</f>
        <v>P1</v>
      </c>
      <c r="AU705" s="263">
        <f>IFERROR(Table_NFI[[#This Row],[Kitchen Set]]/VLOOKUP(Table_NFI[[#This Row],[Camp Name]],CL,4,0),"")</f>
        <v>7.8048780487804878E-3</v>
      </c>
      <c r="AV705" s="390" t="s">
        <v>1087</v>
      </c>
      <c r="AW705" s="392"/>
      <c r="AX705" s="399"/>
      <c r="AY705" s="399"/>
      <c r="AZ705" s="399"/>
      <c r="BA705" s="399"/>
      <c r="BB705" s="399"/>
      <c r="BC705" s="399"/>
      <c r="BD705" s="399"/>
      <c r="BE705" s="399"/>
      <c r="BF705" s="399"/>
      <c r="BG705" s="399"/>
      <c r="BH705" s="399"/>
      <c r="BI705" s="399"/>
      <c r="BJ705" s="399"/>
      <c r="BK705" s="399"/>
      <c r="BL705" s="399"/>
      <c r="BM705" s="399"/>
      <c r="BN705" s="399"/>
      <c r="BO705" s="399"/>
      <c r="BP705" s="399"/>
      <c r="BQ705" s="399"/>
      <c r="BR705" s="399"/>
      <c r="BS705" s="399"/>
      <c r="BT705" s="399"/>
      <c r="BU705" s="399"/>
      <c r="BV705" s="399"/>
      <c r="BW705" s="399"/>
      <c r="BX705" s="399"/>
      <c r="BY705" s="399"/>
      <c r="BZ705" s="399"/>
      <c r="CA705" s="399"/>
      <c r="CB705" s="399"/>
      <c r="CC705" s="399"/>
      <c r="CD705" s="399"/>
      <c r="CE705" s="399"/>
      <c r="CF705" s="399"/>
      <c r="CG705" s="399"/>
      <c r="CH705" s="399"/>
      <c r="CI705" s="399"/>
      <c r="CJ705" s="399"/>
      <c r="CK705" s="399"/>
      <c r="CL705" s="399"/>
      <c r="CM705" s="399"/>
      <c r="CN705" s="399"/>
      <c r="CO705" s="399"/>
      <c r="CP705" s="399"/>
      <c r="CQ705" s="399"/>
      <c r="CR705" s="399"/>
      <c r="CS705" s="399"/>
      <c r="CT705" s="399"/>
      <c r="CU705" s="399"/>
      <c r="CV705" s="399"/>
      <c r="CW705" s="399"/>
      <c r="CX705" s="399"/>
      <c r="CY705" s="399"/>
      <c r="CZ705" s="399"/>
      <c r="DA705" s="399"/>
      <c r="DB705" s="399"/>
      <c r="DC705" s="399"/>
      <c r="DD705" s="399"/>
      <c r="DE705" s="399"/>
      <c r="DF705" s="399"/>
      <c r="DG705" s="399"/>
      <c r="DH705" s="399"/>
      <c r="DI705" s="399"/>
      <c r="DJ705" s="399"/>
      <c r="DK705" s="399"/>
      <c r="DL705" s="399"/>
      <c r="DM705" s="399"/>
      <c r="DN705" s="399"/>
      <c r="DO705" s="399"/>
      <c r="DP705" s="399"/>
      <c r="DQ705" s="399"/>
    </row>
    <row r="706" spans="1:121" s="760" customFormat="1" ht="15" customHeight="1" x14ac:dyDescent="0.25">
      <c r="A706" s="266">
        <f t="shared" si="10"/>
        <v>45.233333333333334</v>
      </c>
      <c r="B706" s="389">
        <v>41499</v>
      </c>
      <c r="C706" s="390" t="s">
        <v>451</v>
      </c>
      <c r="D706" s="390" t="s">
        <v>505</v>
      </c>
      <c r="E706" s="390" t="s">
        <v>552</v>
      </c>
      <c r="F706" s="390" t="s">
        <v>166</v>
      </c>
      <c r="G706" s="262" t="s">
        <v>12</v>
      </c>
      <c r="H706" s="261"/>
      <c r="I706" s="261"/>
      <c r="J706" s="261">
        <v>49</v>
      </c>
      <c r="K706" s="261">
        <v>90</v>
      </c>
      <c r="L706" s="261">
        <v>30</v>
      </c>
      <c r="M706" s="261">
        <v>90</v>
      </c>
      <c r="N706" s="261">
        <v>30</v>
      </c>
      <c r="O706" s="261">
        <v>30</v>
      </c>
      <c r="P706" s="261">
        <v>30</v>
      </c>
      <c r="Q706" s="261">
        <v>30</v>
      </c>
      <c r="R706" s="261"/>
      <c r="S706" s="261"/>
      <c r="T706" s="261"/>
      <c r="U706" s="261"/>
      <c r="V706" s="762"/>
      <c r="W706" s="762"/>
      <c r="X706" s="762"/>
      <c r="Y706" s="264">
        <f>IF(NFI_Expiration=1,IF($A706&lt;VLOOKUP(H$5,NFI,5,0),1,0)*Table_NFI[[#This Row],[Hygiene Kit]],Table_NFI[Hygiene Kit])</f>
        <v>0</v>
      </c>
      <c r="Z706" s="264">
        <f>IF(NFI_Expiration=1,IF($A706&lt;VLOOKUP(I$5,NFI,5,0),1,0)*Table_NFI[[#This Row],[NFI Core Kit]],Table_NFI[NFI Core Kit])</f>
        <v>0</v>
      </c>
      <c r="AA706" s="264">
        <f>IF(NFI_Expiration=1,IF($A706&lt;VLOOKUP(J$5,NFI,5,0),1,0)*Table_NFI[[#This Row],[Sanitary Kit]],Table_NFI[Sanitary Kit])</f>
        <v>0</v>
      </c>
      <c r="AB706" s="264">
        <f>IF(NFI_Expiration=1,IF($A706&lt;VLOOKUP(K$5,NFI,5,0),1,0)*Table_NFI[[#This Row],[Mosquito net]],Table_NFI[Mosquito net])</f>
        <v>0</v>
      </c>
      <c r="AC706" s="264">
        <f>IF(NFI_Expiration=1,IF($A706&lt;VLOOKUP(L$5,NFI,5,0),1,0)*Table_NFI[[#This Row],[Tarpaulin]],Table_NFI[[#This Row],[Tarpaulin]])</f>
        <v>0</v>
      </c>
      <c r="AD706" s="264">
        <f>IF(NFI_Expiration=1,IF($A706&lt;VLOOKUP(M$5,NFI,5,0),1,0)*Table_NFI[[#This Row],[Blanket]],Table_NFI[[#This Row],[Blanket]])</f>
        <v>0</v>
      </c>
      <c r="AE706" s="264">
        <f>IF(NFI_Expiration=1,IF($A706&lt;VLOOKUP(N$5,NFI,5,0),1,0)*Table_NFI[[#This Row],[Kitchen Set]],Table_NFI[Kitchen Set])</f>
        <v>0</v>
      </c>
      <c r="AF706" s="264">
        <f>IF(NFI_Expiration=1,IF($A706&lt;VLOOKUP(O$5,NFI,5,0),1,0)*Table_NFI[[#This Row],[Clothes Kit]],Table_NFI[Clothes Kit])</f>
        <v>0</v>
      </c>
      <c r="AG706" s="264">
        <f>IF(NFI_Expiration=1,IF($A706&lt;VLOOKUP(P$5,NFI,5,0),1,0)*Table_NFI[[#This Row],[Plastic Bucket]],Table_NFI[Plastic Bucket])</f>
        <v>0</v>
      </c>
      <c r="AH706" s="264">
        <f>IF(NFI_Expiration=1,IF($A706&lt;VLOOKUP(Q$5,NFI,5,0),1,0)*Table_NFI[[#This Row],[Plastic Mat]],Table_NFI[Plastic Mat])*IF(Table_NFI[[#This Row],[Distribution Date]]&gt;"2014-04-01",1,2.5)</f>
        <v>0</v>
      </c>
      <c r="AI706" s="264">
        <f>IF(NFI_Expiration=1,IF($A706&lt;VLOOKUP(R$5,NFI,5,0),1,0)*Table_NFI[[#This Row],[Winter Clothes Adult]],Table_NFI[Winter Clothes Adult])</f>
        <v>0</v>
      </c>
      <c r="AJ706" s="264">
        <f>IF(NFI_Expiration=1,IF($A706&lt;VLOOKUP(S$5,NFI,5,0),1,0)*Table_NFI[[#This Row],[Winter Clothes Children]],Table_NFI[Winter Clothes Children])</f>
        <v>0</v>
      </c>
      <c r="AK706" s="264">
        <f>IF(NFI_Expiration=1,IF($A706&lt;VLOOKUP(T$5,NFI,5,0),1,0)*Table_NFI[[#This Row],[Winter Items Other]],Table_NFI[Winter Items Other])</f>
        <v>0</v>
      </c>
      <c r="AL706" s="264">
        <f>IF(NFI_Expiration=1,IF($A706&lt;VLOOKUP(M$5,NFI,5,0),1,0)*Table_NFI[[#This Row],[Winter Blanket]],Table_NFI[[#This Row],[Winter Blanket]])</f>
        <v>0</v>
      </c>
      <c r="AM706" s="264">
        <f>IF(Table_NFI[[#This Row],[Winter Clothes Adult]]+Table_NFI[[#This Row],[Winter Clothes Children]]+Table_NFI[[#This Row],[Winter Items Other]]+Table_NFI[[#This Row],[Winter Blanket]]&gt;0,1,0)</f>
        <v>0</v>
      </c>
      <c r="AN706" s="296">
        <f>IF(NFI_Expiration=1,IF($A706&lt;VLOOKUP(V$5,NFI,5,0),1,0)*Table_NFI[[#This Row],[Jerry Can]],Table_NFI[Jerry Can])</f>
        <v>0</v>
      </c>
      <c r="AO706" s="296">
        <f>IF(NFI_Expiration=1,IF($A706&lt;VLOOKUP(V$5,NFI,5,0),1,0)*Table_NFI[[#This Row],[Shelter Tool kit]],Table_NFI[Shelter Tool kit])</f>
        <v>0</v>
      </c>
      <c r="AP706" s="296">
        <f>IF(NFI_Expiration=1,IF($A706&lt;VLOOKUP(V$5,NFI,5,0),1,0)*Table_NFI[[#This Row],[Tent]],Table_NFI[Tent])</f>
        <v>0</v>
      </c>
      <c r="AQ706" s="396" t="str">
        <f>IFERROR(VLOOKUP(Table_NFI[[#This Row],[Camp Name]],CL,2,0),"")</f>
        <v>MMR001CMP163</v>
      </c>
      <c r="AR706" s="702">
        <f ca="1">IF(Table_NFI[[#This Row],[Pcode]]="","",IF(OFFSET(CampList[Opening Date],MATCH(Table_NFI[[#This Row],[Pcode]],CampList[CP_Pcode],0)-1,0,1,1)&gt;=NFI_Monitor_Date,1,0))</f>
        <v>0</v>
      </c>
      <c r="AS706" s="396" t="str">
        <f>IFERROR(VLOOKUP(Table_NFI[[#This Row],[Camp Name]],CL,3,0),"")</f>
        <v>Open</v>
      </c>
      <c r="AT706" s="264" t="str">
        <f ca="1">IF(Table_NFI[[#This Row],[Pcode]]="","",OFFSET(CampList[Priority],MATCH(Table_NFI[[#This Row],[Pcode]],CampList[CP_Pcode],0)-1,0,1,1))</f>
        <v>P4</v>
      </c>
      <c r="AU706" s="263" t="str">
        <f>IFERROR(Table_NFI[[#This Row],[Kitchen Set]]/VLOOKUP(Table_NFI[[#This Row],[Camp Name]],CL,4,0),"")</f>
        <v/>
      </c>
      <c r="AV706" s="390" t="s">
        <v>1087</v>
      </c>
      <c r="AW706" s="392"/>
      <c r="AX706" s="399"/>
      <c r="AY706" s="399"/>
      <c r="AZ706" s="399"/>
      <c r="BA706" s="399"/>
      <c r="BB706" s="399"/>
      <c r="BC706" s="399"/>
      <c r="BD706" s="399"/>
      <c r="BE706" s="399"/>
      <c r="BF706" s="399"/>
      <c r="BG706" s="399"/>
      <c r="BH706" s="399"/>
      <c r="BI706" s="399"/>
      <c r="BJ706" s="399"/>
      <c r="BK706" s="399"/>
      <c r="BL706" s="399"/>
      <c r="BM706" s="399"/>
      <c r="BN706" s="399"/>
      <c r="BO706" s="399"/>
      <c r="BP706" s="399"/>
      <c r="BQ706" s="399"/>
      <c r="BR706" s="399"/>
      <c r="BS706" s="399"/>
      <c r="BT706" s="399"/>
      <c r="BU706" s="399"/>
      <c r="BV706" s="399"/>
      <c r="BW706" s="399"/>
      <c r="BX706" s="399"/>
      <c r="BY706" s="399"/>
      <c r="BZ706" s="399"/>
      <c r="CA706" s="399"/>
      <c r="CB706" s="399"/>
      <c r="CC706" s="399"/>
      <c r="CD706" s="399"/>
      <c r="CE706" s="399"/>
      <c r="CF706" s="399"/>
      <c r="CG706" s="399"/>
      <c r="CH706" s="399"/>
      <c r="CI706" s="399"/>
      <c r="CJ706" s="399"/>
      <c r="CK706" s="399"/>
      <c r="CL706" s="399"/>
      <c r="CM706" s="399"/>
      <c r="CN706" s="399"/>
      <c r="CO706" s="399"/>
      <c r="CP706" s="399"/>
      <c r="CQ706" s="399"/>
      <c r="CR706" s="399"/>
      <c r="CS706" s="399"/>
      <c r="CT706" s="399"/>
      <c r="CU706" s="399"/>
      <c r="CV706" s="399"/>
      <c r="CW706" s="399"/>
      <c r="CX706" s="399"/>
      <c r="CY706" s="399"/>
      <c r="CZ706" s="399"/>
      <c r="DA706" s="399"/>
      <c r="DB706" s="399"/>
      <c r="DC706" s="399"/>
      <c r="DD706" s="399"/>
      <c r="DE706" s="399"/>
      <c r="DF706" s="399"/>
      <c r="DG706" s="399"/>
      <c r="DH706" s="399"/>
      <c r="DI706" s="399"/>
      <c r="DJ706" s="399"/>
      <c r="DK706" s="399"/>
      <c r="DL706" s="399"/>
      <c r="DM706" s="399"/>
      <c r="DN706" s="399"/>
      <c r="DO706" s="399"/>
      <c r="DP706" s="399"/>
      <c r="DQ706" s="399"/>
    </row>
    <row r="707" spans="1:121" s="760" customFormat="1" ht="15" customHeight="1" x14ac:dyDescent="0.25">
      <c r="A707" s="266">
        <f t="shared" si="10"/>
        <v>45.233333333333334</v>
      </c>
      <c r="B707" s="389">
        <v>41499</v>
      </c>
      <c r="C707" s="390" t="s">
        <v>451</v>
      </c>
      <c r="D707" s="390" t="s">
        <v>459</v>
      </c>
      <c r="E707" s="390" t="s">
        <v>552</v>
      </c>
      <c r="F707" s="390" t="s">
        <v>146</v>
      </c>
      <c r="G707" s="262" t="s">
        <v>372</v>
      </c>
      <c r="H707" s="261"/>
      <c r="I707" s="261"/>
      <c r="J707" s="261">
        <v>70</v>
      </c>
      <c r="K707" s="261">
        <v>120</v>
      </c>
      <c r="L707" s="261">
        <v>48</v>
      </c>
      <c r="M707" s="261">
        <v>120</v>
      </c>
      <c r="N707" s="261">
        <v>48</v>
      </c>
      <c r="O707" s="261">
        <v>48</v>
      </c>
      <c r="P707" s="261">
        <v>48</v>
      </c>
      <c r="Q707" s="261">
        <v>48</v>
      </c>
      <c r="R707" s="261"/>
      <c r="S707" s="261"/>
      <c r="T707" s="261"/>
      <c r="U707" s="261"/>
      <c r="V707" s="762"/>
      <c r="W707" s="762"/>
      <c r="X707" s="762"/>
      <c r="Y707" s="264">
        <f>IF(NFI_Expiration=1,IF($A707&lt;VLOOKUP(H$5,NFI,5,0),1,0)*Table_NFI[[#This Row],[Hygiene Kit]],Table_NFI[Hygiene Kit])</f>
        <v>0</v>
      </c>
      <c r="Z707" s="264">
        <f>IF(NFI_Expiration=1,IF($A707&lt;VLOOKUP(I$5,NFI,5,0),1,0)*Table_NFI[[#This Row],[NFI Core Kit]],Table_NFI[NFI Core Kit])</f>
        <v>0</v>
      </c>
      <c r="AA707" s="264">
        <f>IF(NFI_Expiration=1,IF($A707&lt;VLOOKUP(J$5,NFI,5,0),1,0)*Table_NFI[[#This Row],[Sanitary Kit]],Table_NFI[Sanitary Kit])</f>
        <v>0</v>
      </c>
      <c r="AB707" s="264">
        <f>IF(NFI_Expiration=1,IF($A707&lt;VLOOKUP(K$5,NFI,5,0),1,0)*Table_NFI[[#This Row],[Mosquito net]],Table_NFI[Mosquito net])</f>
        <v>0</v>
      </c>
      <c r="AC707" s="264">
        <f>IF(NFI_Expiration=1,IF($A707&lt;VLOOKUP(L$5,NFI,5,0),1,0)*Table_NFI[[#This Row],[Tarpaulin]],Table_NFI[[#This Row],[Tarpaulin]])</f>
        <v>0</v>
      </c>
      <c r="AD707" s="264">
        <f>IF(NFI_Expiration=1,IF($A707&lt;VLOOKUP(M$5,NFI,5,0),1,0)*Table_NFI[[#This Row],[Blanket]],Table_NFI[[#This Row],[Blanket]])</f>
        <v>0</v>
      </c>
      <c r="AE707" s="264">
        <f>IF(NFI_Expiration=1,IF($A707&lt;VLOOKUP(N$5,NFI,5,0),1,0)*Table_NFI[[#This Row],[Kitchen Set]],Table_NFI[Kitchen Set])</f>
        <v>0</v>
      </c>
      <c r="AF707" s="264">
        <f>IF(NFI_Expiration=1,IF($A707&lt;VLOOKUP(O$5,NFI,5,0),1,0)*Table_NFI[[#This Row],[Clothes Kit]],Table_NFI[Clothes Kit])</f>
        <v>0</v>
      </c>
      <c r="AG707" s="264">
        <f>IF(NFI_Expiration=1,IF($A707&lt;VLOOKUP(P$5,NFI,5,0),1,0)*Table_NFI[[#This Row],[Plastic Bucket]],Table_NFI[Plastic Bucket])</f>
        <v>0</v>
      </c>
      <c r="AH707" s="264">
        <f>IF(NFI_Expiration=1,IF($A707&lt;VLOOKUP(Q$5,NFI,5,0),1,0)*Table_NFI[[#This Row],[Plastic Mat]],Table_NFI[Plastic Mat])*IF(Table_NFI[[#This Row],[Distribution Date]]&gt;"2014-04-01",1,2.5)</f>
        <v>0</v>
      </c>
      <c r="AI707" s="264">
        <f>IF(NFI_Expiration=1,IF($A707&lt;VLOOKUP(R$5,NFI,5,0),1,0)*Table_NFI[[#This Row],[Winter Clothes Adult]],Table_NFI[Winter Clothes Adult])</f>
        <v>0</v>
      </c>
      <c r="AJ707" s="264">
        <f>IF(NFI_Expiration=1,IF($A707&lt;VLOOKUP(S$5,NFI,5,0),1,0)*Table_NFI[[#This Row],[Winter Clothes Children]],Table_NFI[Winter Clothes Children])</f>
        <v>0</v>
      </c>
      <c r="AK707" s="264">
        <f>IF(NFI_Expiration=1,IF($A707&lt;VLOOKUP(T$5,NFI,5,0),1,0)*Table_NFI[[#This Row],[Winter Items Other]],Table_NFI[Winter Items Other])</f>
        <v>0</v>
      </c>
      <c r="AL707" s="264">
        <f>IF(NFI_Expiration=1,IF($A707&lt;VLOOKUP(M$5,NFI,5,0),1,0)*Table_NFI[[#This Row],[Winter Blanket]],Table_NFI[[#This Row],[Winter Blanket]])</f>
        <v>0</v>
      </c>
      <c r="AM707" s="264">
        <f>IF(Table_NFI[[#This Row],[Winter Clothes Adult]]+Table_NFI[[#This Row],[Winter Clothes Children]]+Table_NFI[[#This Row],[Winter Items Other]]+Table_NFI[[#This Row],[Winter Blanket]]&gt;0,1,0)</f>
        <v>0</v>
      </c>
      <c r="AN707" s="296">
        <f>IF(NFI_Expiration=1,IF($A707&lt;VLOOKUP(V$5,NFI,5,0),1,0)*Table_NFI[[#This Row],[Jerry Can]],Table_NFI[Jerry Can])</f>
        <v>0</v>
      </c>
      <c r="AO707" s="296">
        <f>IF(NFI_Expiration=1,IF($A707&lt;VLOOKUP(V$5,NFI,5,0),1,0)*Table_NFI[[#This Row],[Shelter Tool kit]],Table_NFI[Shelter Tool kit])</f>
        <v>0</v>
      </c>
      <c r="AP707" s="296">
        <f>IF(NFI_Expiration=1,IF($A707&lt;VLOOKUP(V$5,NFI,5,0),1,0)*Table_NFI[[#This Row],[Tent]],Table_NFI[Tent])</f>
        <v>0</v>
      </c>
      <c r="AQ707" s="396" t="str">
        <f>IFERROR(VLOOKUP(Table_NFI[[#This Row],[Camp Name]],CL,2,0),"")</f>
        <v>MMR015CMP015</v>
      </c>
      <c r="AR707" s="702">
        <f ca="1">IF(Table_NFI[[#This Row],[Pcode]]="","",IF(OFFSET(CampList[Opening Date],MATCH(Table_NFI[[#This Row],[Pcode]],CampList[CP_Pcode],0)-1,0,1,1)&gt;=NFI_Monitor_Date,1,0))</f>
        <v>0</v>
      </c>
      <c r="AS707" s="396" t="str">
        <f>IFERROR(VLOOKUP(Table_NFI[[#This Row],[Camp Name]],CL,3,0),"")</f>
        <v>Closed</v>
      </c>
      <c r="AT707" s="264" t="str">
        <f ca="1">IF(Table_NFI[[#This Row],[Pcode]]="","",OFFSET(CampList[Priority],MATCH(Table_NFI[[#This Row],[Pcode]],CampList[CP_Pcode],0)-1,0,1,1))</f>
        <v>P3</v>
      </c>
      <c r="AU707" s="263">
        <f>IFERROR(Table_NFI[[#This Row],[Kitchen Set]]/VLOOKUP(Table_NFI[[#This Row],[Camp Name]],CL,4,0),"")</f>
        <v>1.162931556632344E-3</v>
      </c>
      <c r="AV707" s="390" t="s">
        <v>1087</v>
      </c>
      <c r="AW707" s="392"/>
      <c r="AX707" s="399"/>
      <c r="AY707" s="399"/>
      <c r="AZ707" s="399"/>
      <c r="BA707" s="399"/>
      <c r="BB707" s="399"/>
      <c r="BC707" s="399"/>
      <c r="BD707" s="399"/>
      <c r="BE707" s="399"/>
      <c r="BF707" s="399"/>
      <c r="BG707" s="399"/>
      <c r="BH707" s="399"/>
      <c r="BI707" s="399"/>
      <c r="BJ707" s="399"/>
      <c r="BK707" s="399"/>
      <c r="BL707" s="399"/>
      <c r="BM707" s="399"/>
      <c r="BN707" s="399"/>
      <c r="BO707" s="399"/>
      <c r="BP707" s="399"/>
      <c r="BQ707" s="399"/>
      <c r="BR707" s="399"/>
      <c r="BS707" s="399"/>
      <c r="BT707" s="399"/>
      <c r="BU707" s="399"/>
      <c r="BV707" s="399"/>
      <c r="BW707" s="399"/>
      <c r="BX707" s="399"/>
      <c r="BY707" s="399"/>
      <c r="BZ707" s="399"/>
      <c r="CA707" s="399"/>
      <c r="CB707" s="399"/>
      <c r="CC707" s="399"/>
      <c r="CD707" s="399"/>
      <c r="CE707" s="399"/>
      <c r="CF707" s="399"/>
      <c r="CG707" s="399"/>
      <c r="CH707" s="399"/>
      <c r="CI707" s="399"/>
      <c r="CJ707" s="399"/>
      <c r="CK707" s="399"/>
      <c r="CL707" s="399"/>
      <c r="CM707" s="399"/>
      <c r="CN707" s="399"/>
      <c r="CO707" s="399"/>
      <c r="CP707" s="399"/>
      <c r="CQ707" s="399"/>
      <c r="CR707" s="399"/>
      <c r="CS707" s="399"/>
      <c r="CT707" s="399"/>
      <c r="CU707" s="399"/>
      <c r="CV707" s="399"/>
      <c r="CW707" s="399"/>
      <c r="CX707" s="399"/>
      <c r="CY707" s="399"/>
      <c r="CZ707" s="399"/>
      <c r="DA707" s="399"/>
      <c r="DB707" s="399"/>
      <c r="DC707" s="399"/>
      <c r="DD707" s="399"/>
      <c r="DE707" s="399"/>
      <c r="DF707" s="399"/>
      <c r="DG707" s="399"/>
      <c r="DH707" s="399"/>
      <c r="DI707" s="399"/>
      <c r="DJ707" s="399"/>
      <c r="DK707" s="399"/>
      <c r="DL707" s="399"/>
      <c r="DM707" s="399"/>
      <c r="DN707" s="399"/>
      <c r="DO707" s="399"/>
      <c r="DP707" s="399"/>
      <c r="DQ707" s="399"/>
    </row>
    <row r="708" spans="1:121" s="760" customFormat="1" ht="15" customHeight="1" x14ac:dyDescent="0.25">
      <c r="A708" s="266">
        <f t="shared" si="10"/>
        <v>45.233333333333334</v>
      </c>
      <c r="B708" s="389">
        <v>41499</v>
      </c>
      <c r="C708" s="390" t="s">
        <v>451</v>
      </c>
      <c r="D708" s="391" t="s">
        <v>505</v>
      </c>
      <c r="E708" s="390" t="s">
        <v>552</v>
      </c>
      <c r="F708" s="262" t="s">
        <v>146</v>
      </c>
      <c r="G708" s="262" t="s">
        <v>370</v>
      </c>
      <c r="H708" s="261"/>
      <c r="I708" s="261"/>
      <c r="J708" s="261">
        <v>47</v>
      </c>
      <c r="K708" s="261">
        <v>103</v>
      </c>
      <c r="L708" s="261">
        <v>41</v>
      </c>
      <c r="M708" s="261">
        <v>103</v>
      </c>
      <c r="N708" s="261">
        <v>41</v>
      </c>
      <c r="O708" s="261">
        <v>41</v>
      </c>
      <c r="P708" s="261">
        <v>41</v>
      </c>
      <c r="Q708" s="261">
        <v>41</v>
      </c>
      <c r="R708" s="261"/>
      <c r="S708" s="261"/>
      <c r="T708" s="261"/>
      <c r="U708" s="261"/>
      <c r="V708" s="762"/>
      <c r="W708" s="261"/>
      <c r="X708" s="261"/>
      <c r="Y708" s="264">
        <f>IF(NFI_Expiration=1,IF($A708&lt;VLOOKUP(H$5,NFI,5,0),1,0)*Table_NFI[[#This Row],[Hygiene Kit]],Table_NFI[Hygiene Kit])</f>
        <v>0</v>
      </c>
      <c r="Z708" s="264">
        <f>IF(NFI_Expiration=1,IF($A708&lt;VLOOKUP(I$5,NFI,5,0),1,0)*Table_NFI[[#This Row],[NFI Core Kit]],Table_NFI[NFI Core Kit])</f>
        <v>0</v>
      </c>
      <c r="AA708" s="264">
        <f>IF(NFI_Expiration=1,IF($A708&lt;VLOOKUP(J$5,NFI,5,0),1,0)*Table_NFI[[#This Row],[Sanitary Kit]],Table_NFI[Sanitary Kit])</f>
        <v>0</v>
      </c>
      <c r="AB708" s="264">
        <f>IF(NFI_Expiration=1,IF($A708&lt;VLOOKUP(K$5,NFI,5,0),1,0)*Table_NFI[[#This Row],[Mosquito net]],Table_NFI[Mosquito net])</f>
        <v>0</v>
      </c>
      <c r="AC708" s="264">
        <f>IF(NFI_Expiration=1,IF($A708&lt;VLOOKUP(L$5,NFI,5,0),1,0)*Table_NFI[[#This Row],[Tarpaulin]],Table_NFI[[#This Row],[Tarpaulin]])</f>
        <v>0</v>
      </c>
      <c r="AD708" s="264">
        <f>IF(NFI_Expiration=1,IF($A708&lt;VLOOKUP(M$5,NFI,5,0),1,0)*Table_NFI[[#This Row],[Blanket]],Table_NFI[[#This Row],[Blanket]])</f>
        <v>0</v>
      </c>
      <c r="AE708" s="264">
        <f>IF(NFI_Expiration=1,IF($A708&lt;VLOOKUP(N$5,NFI,5,0),1,0)*Table_NFI[[#This Row],[Kitchen Set]],Table_NFI[Kitchen Set])</f>
        <v>0</v>
      </c>
      <c r="AF708" s="264">
        <f>IF(NFI_Expiration=1,IF($A708&lt;VLOOKUP(O$5,NFI,5,0),1,0)*Table_NFI[[#This Row],[Clothes Kit]],Table_NFI[Clothes Kit])</f>
        <v>0</v>
      </c>
      <c r="AG708" s="264">
        <f>IF(NFI_Expiration=1,IF($A708&lt;VLOOKUP(P$5,NFI,5,0),1,0)*Table_NFI[[#This Row],[Plastic Bucket]],Table_NFI[Plastic Bucket])</f>
        <v>0</v>
      </c>
      <c r="AH708" s="264">
        <f>IF(NFI_Expiration=1,IF($A708&lt;VLOOKUP(Q$5,NFI,5,0),1,0)*Table_NFI[[#This Row],[Plastic Mat]],Table_NFI[Plastic Mat])*IF(Table_NFI[[#This Row],[Distribution Date]]&gt;"2014-04-01",1,2.5)</f>
        <v>0</v>
      </c>
      <c r="AI708" s="264">
        <f>IF(NFI_Expiration=1,IF($A708&lt;VLOOKUP(R$5,NFI,5,0),1,0)*Table_NFI[[#This Row],[Winter Clothes Adult]],Table_NFI[Winter Clothes Adult])</f>
        <v>0</v>
      </c>
      <c r="AJ708" s="264">
        <f>IF(NFI_Expiration=1,IF($A708&lt;VLOOKUP(S$5,NFI,5,0),1,0)*Table_NFI[[#This Row],[Winter Clothes Children]],Table_NFI[Winter Clothes Children])</f>
        <v>0</v>
      </c>
      <c r="AK708" s="264">
        <f>IF(NFI_Expiration=1,IF($A708&lt;VLOOKUP(T$5,NFI,5,0),1,0)*Table_NFI[[#This Row],[Winter Items Other]],Table_NFI[Winter Items Other])</f>
        <v>0</v>
      </c>
      <c r="AL708" s="264">
        <f>IF(NFI_Expiration=1,IF($A708&lt;VLOOKUP(M$5,NFI,5,0),1,0)*Table_NFI[[#This Row],[Winter Blanket]],Table_NFI[[#This Row],[Winter Blanket]])</f>
        <v>0</v>
      </c>
      <c r="AM708" s="264">
        <f>IF(Table_NFI[[#This Row],[Winter Clothes Adult]]+Table_NFI[[#This Row],[Winter Clothes Children]]+Table_NFI[[#This Row],[Winter Items Other]]+Table_NFI[[#This Row],[Winter Blanket]]&gt;0,1,0)</f>
        <v>0</v>
      </c>
      <c r="AN708" s="296">
        <f>IF(NFI_Expiration=1,IF($A708&lt;VLOOKUP(V$5,NFI,5,0),1,0)*Table_NFI[[#This Row],[Jerry Can]],Table_NFI[Jerry Can])</f>
        <v>0</v>
      </c>
      <c r="AO708" s="296">
        <f>IF(NFI_Expiration=1,IF($A708&lt;VLOOKUP(V$5,NFI,5,0),1,0)*Table_NFI[[#This Row],[Shelter Tool kit]],Table_NFI[Shelter Tool kit])</f>
        <v>0</v>
      </c>
      <c r="AP708" s="296">
        <f>IF(NFI_Expiration=1,IF($A708&lt;VLOOKUP(V$5,NFI,5,0),1,0)*Table_NFI[[#This Row],[Tent]],Table_NFI[Tent])</f>
        <v>0</v>
      </c>
      <c r="AQ708" s="396" t="str">
        <f>IFERROR(VLOOKUP(Table_NFI[[#This Row],[Camp Name]],CL,2,0),"")</f>
        <v>MMR015CMP017</v>
      </c>
      <c r="AR708" s="702">
        <f ca="1">IF(Table_NFI[[#This Row],[Pcode]]="","",IF(OFFSET(CampList[Opening Date],MATCH(Table_NFI[[#This Row],[Pcode]],CampList[CP_Pcode],0)-1,0,1,1)&gt;=NFI_Monitor_Date,1,0))</f>
        <v>0</v>
      </c>
      <c r="AS708" s="396" t="str">
        <f>IFERROR(VLOOKUP(Table_NFI[[#This Row],[Camp Name]],CL,3,0),"")</f>
        <v>Open</v>
      </c>
      <c r="AT708" s="264" t="str">
        <f ca="1">IF(Table_NFI[[#This Row],[Pcode]]="","",OFFSET(CampList[Priority],MATCH(Table_NFI[[#This Row],[Pcode]],CampList[CP_Pcode],0)-1,0,1,1))</f>
        <v>P3</v>
      </c>
      <c r="AU708" s="263">
        <f>IFERROR(Table_NFI[[#This Row],[Kitchen Set]]/VLOOKUP(Table_NFI[[#This Row],[Camp Name]],CL,4,0),"")</f>
        <v>9.9408398797400837E-4</v>
      </c>
      <c r="AV708" s="390" t="s">
        <v>1087</v>
      </c>
      <c r="AW708" s="392"/>
      <c r="AX708" s="399"/>
      <c r="AY708" s="399"/>
      <c r="AZ708" s="399"/>
      <c r="BA708" s="399"/>
      <c r="BB708" s="399"/>
      <c r="BC708" s="399"/>
      <c r="BD708" s="399"/>
      <c r="BE708" s="399"/>
      <c r="BF708" s="399"/>
      <c r="BG708" s="399"/>
      <c r="BH708" s="399"/>
      <c r="BI708" s="399"/>
      <c r="BJ708" s="399"/>
      <c r="BK708" s="399"/>
      <c r="BL708" s="399"/>
      <c r="BM708" s="399"/>
      <c r="BN708" s="399"/>
      <c r="BO708" s="399"/>
      <c r="BP708" s="399"/>
      <c r="BQ708" s="399"/>
      <c r="BR708" s="399"/>
      <c r="BS708" s="399"/>
      <c r="BT708" s="399"/>
      <c r="BU708" s="399"/>
      <c r="BV708" s="399"/>
      <c r="BW708" s="399"/>
      <c r="BX708" s="399"/>
      <c r="BY708" s="399"/>
      <c r="BZ708" s="399"/>
      <c r="CA708" s="399"/>
      <c r="CB708" s="399"/>
      <c r="CC708" s="399"/>
      <c r="CD708" s="399"/>
      <c r="CE708" s="399"/>
      <c r="CF708" s="399"/>
      <c r="CG708" s="399"/>
      <c r="CH708" s="399"/>
      <c r="CI708" s="399"/>
      <c r="CJ708" s="399"/>
      <c r="CK708" s="399"/>
      <c r="CL708" s="399"/>
      <c r="CM708" s="399"/>
      <c r="CN708" s="399"/>
      <c r="CO708" s="399"/>
      <c r="CP708" s="399"/>
      <c r="CQ708" s="399"/>
      <c r="CR708" s="399"/>
      <c r="CS708" s="399"/>
      <c r="CT708" s="399"/>
      <c r="CU708" s="399"/>
      <c r="CV708" s="399"/>
      <c r="CW708" s="399"/>
      <c r="CX708" s="399"/>
      <c r="CY708" s="399"/>
      <c r="CZ708" s="399"/>
      <c r="DA708" s="399"/>
      <c r="DB708" s="399"/>
      <c r="DC708" s="399"/>
      <c r="DD708" s="399"/>
      <c r="DE708" s="399"/>
      <c r="DF708" s="399"/>
      <c r="DG708" s="399"/>
      <c r="DH708" s="399"/>
      <c r="DI708" s="399"/>
      <c r="DJ708" s="399"/>
      <c r="DK708" s="399"/>
      <c r="DL708" s="399"/>
      <c r="DM708" s="399"/>
      <c r="DN708" s="399"/>
      <c r="DO708" s="399"/>
      <c r="DP708" s="399"/>
      <c r="DQ708" s="399"/>
    </row>
    <row r="709" spans="1:121" s="760" customFormat="1" ht="15" customHeight="1" x14ac:dyDescent="0.25">
      <c r="A709" s="266">
        <f t="shared" si="10"/>
        <v>45.233333333333334</v>
      </c>
      <c r="B709" s="389">
        <v>41499</v>
      </c>
      <c r="C709" s="390" t="s">
        <v>451</v>
      </c>
      <c r="D709" s="391" t="s">
        <v>459</v>
      </c>
      <c r="E709" s="390" t="s">
        <v>552</v>
      </c>
      <c r="F709" s="262" t="s">
        <v>166</v>
      </c>
      <c r="G709" s="262" t="s">
        <v>167</v>
      </c>
      <c r="H709" s="261"/>
      <c r="I709" s="261"/>
      <c r="J709" s="261">
        <v>36</v>
      </c>
      <c r="K709" s="261">
        <v>84</v>
      </c>
      <c r="L709" s="261">
        <v>42</v>
      </c>
      <c r="M709" s="261">
        <v>84</v>
      </c>
      <c r="N709" s="261">
        <v>42</v>
      </c>
      <c r="O709" s="261">
        <v>42</v>
      </c>
      <c r="P709" s="261">
        <v>42</v>
      </c>
      <c r="Q709" s="261">
        <v>42</v>
      </c>
      <c r="R709" s="261"/>
      <c r="S709" s="261"/>
      <c r="T709" s="261"/>
      <c r="U709" s="261"/>
      <c r="V709" s="762"/>
      <c r="W709" s="762"/>
      <c r="X709" s="762"/>
      <c r="Y709" s="264">
        <f>IF(NFI_Expiration=1,IF($A709&lt;VLOOKUP(H$5,NFI,5,0),1,0)*Table_NFI[[#This Row],[Hygiene Kit]],Table_NFI[Hygiene Kit])</f>
        <v>0</v>
      </c>
      <c r="Z709" s="264">
        <f>IF(NFI_Expiration=1,IF($A709&lt;VLOOKUP(I$5,NFI,5,0),1,0)*Table_NFI[[#This Row],[NFI Core Kit]],Table_NFI[NFI Core Kit])</f>
        <v>0</v>
      </c>
      <c r="AA709" s="264">
        <f>IF(NFI_Expiration=1,IF($A709&lt;VLOOKUP(J$5,NFI,5,0),1,0)*Table_NFI[[#This Row],[Sanitary Kit]],Table_NFI[Sanitary Kit])</f>
        <v>0</v>
      </c>
      <c r="AB709" s="264">
        <f>IF(NFI_Expiration=1,IF($A709&lt;VLOOKUP(K$5,NFI,5,0),1,0)*Table_NFI[[#This Row],[Mosquito net]],Table_NFI[Mosquito net])</f>
        <v>0</v>
      </c>
      <c r="AC709" s="264">
        <f>IF(NFI_Expiration=1,IF($A709&lt;VLOOKUP(L$5,NFI,5,0),1,0)*Table_NFI[[#This Row],[Tarpaulin]],Table_NFI[[#This Row],[Tarpaulin]])</f>
        <v>0</v>
      </c>
      <c r="AD709" s="264">
        <f>IF(NFI_Expiration=1,IF($A709&lt;VLOOKUP(M$5,NFI,5,0),1,0)*Table_NFI[[#This Row],[Blanket]],Table_NFI[[#This Row],[Blanket]])</f>
        <v>0</v>
      </c>
      <c r="AE709" s="264">
        <f>IF(NFI_Expiration=1,IF($A709&lt;VLOOKUP(N$5,NFI,5,0),1,0)*Table_NFI[[#This Row],[Kitchen Set]],Table_NFI[Kitchen Set])</f>
        <v>0</v>
      </c>
      <c r="AF709" s="264">
        <f>IF(NFI_Expiration=1,IF($A709&lt;VLOOKUP(O$5,NFI,5,0),1,0)*Table_NFI[[#This Row],[Clothes Kit]],Table_NFI[Clothes Kit])</f>
        <v>0</v>
      </c>
      <c r="AG709" s="264">
        <f>IF(NFI_Expiration=1,IF($A709&lt;VLOOKUP(P$5,NFI,5,0),1,0)*Table_NFI[[#This Row],[Plastic Bucket]],Table_NFI[Plastic Bucket])</f>
        <v>0</v>
      </c>
      <c r="AH709" s="264">
        <f>IF(NFI_Expiration=1,IF($A709&lt;VLOOKUP(Q$5,NFI,5,0),1,0)*Table_NFI[[#This Row],[Plastic Mat]],Table_NFI[Plastic Mat])*IF(Table_NFI[[#This Row],[Distribution Date]]&gt;"2014-04-01",1,2.5)</f>
        <v>0</v>
      </c>
      <c r="AI709" s="264">
        <f>IF(NFI_Expiration=1,IF($A709&lt;VLOOKUP(R$5,NFI,5,0),1,0)*Table_NFI[[#This Row],[Winter Clothes Adult]],Table_NFI[Winter Clothes Adult])</f>
        <v>0</v>
      </c>
      <c r="AJ709" s="264">
        <f>IF(NFI_Expiration=1,IF($A709&lt;VLOOKUP(S$5,NFI,5,0),1,0)*Table_NFI[[#This Row],[Winter Clothes Children]],Table_NFI[Winter Clothes Children])</f>
        <v>0</v>
      </c>
      <c r="AK709" s="264">
        <f>IF(NFI_Expiration=1,IF($A709&lt;VLOOKUP(T$5,NFI,5,0),1,0)*Table_NFI[[#This Row],[Winter Items Other]],Table_NFI[Winter Items Other])</f>
        <v>0</v>
      </c>
      <c r="AL709" s="264">
        <f>IF(NFI_Expiration=1,IF($A709&lt;VLOOKUP(M$5,NFI,5,0),1,0)*Table_NFI[[#This Row],[Winter Blanket]],Table_NFI[[#This Row],[Winter Blanket]])</f>
        <v>0</v>
      </c>
      <c r="AM709" s="264">
        <f>IF(Table_NFI[[#This Row],[Winter Clothes Adult]]+Table_NFI[[#This Row],[Winter Clothes Children]]+Table_NFI[[#This Row],[Winter Items Other]]+Table_NFI[[#This Row],[Winter Blanket]]&gt;0,1,0)</f>
        <v>0</v>
      </c>
      <c r="AN709" s="296">
        <f>IF(NFI_Expiration=1,IF($A709&lt;VLOOKUP(V$5,NFI,5,0),1,0)*Table_NFI[[#This Row],[Jerry Can]],Table_NFI[Jerry Can])</f>
        <v>0</v>
      </c>
      <c r="AO709" s="296">
        <f>IF(NFI_Expiration=1,IF($A709&lt;VLOOKUP(V$5,NFI,5,0),1,0)*Table_NFI[[#This Row],[Shelter Tool kit]],Table_NFI[Shelter Tool kit])</f>
        <v>0</v>
      </c>
      <c r="AP709" s="296">
        <f>IF(NFI_Expiration=1,IF($A709&lt;VLOOKUP(V$5,NFI,5,0),1,0)*Table_NFI[[#This Row],[Tent]],Table_NFI[Tent])</f>
        <v>0</v>
      </c>
      <c r="AQ709" s="396" t="str">
        <f>IFERROR(VLOOKUP(Table_NFI[[#This Row],[Camp Name]],CL,2,0),"")</f>
        <v>MMR015CMP009</v>
      </c>
      <c r="AR709" s="702">
        <f ca="1">IF(Table_NFI[[#This Row],[Pcode]]="","",IF(OFFSET(CampList[Opening Date],MATCH(Table_NFI[[#This Row],[Pcode]],CampList[CP_Pcode],0)-1,0,1,1)&gt;=NFI_Monitor_Date,1,0))</f>
        <v>0</v>
      </c>
      <c r="AS709" s="396" t="str">
        <f>IFERROR(VLOOKUP(Table_NFI[[#This Row],[Camp Name]],CL,3,0),"")</f>
        <v>Open</v>
      </c>
      <c r="AT709" s="264" t="str">
        <f ca="1">IF(Table_NFI[[#This Row],[Pcode]]="","",OFFSET(CampList[Priority],MATCH(Table_NFI[[#This Row],[Pcode]],CampList[CP_Pcode],0)-1,0,1,1))</f>
        <v>P2</v>
      </c>
      <c r="AU709" s="263">
        <f>IFERROR(Table_NFI[[#This Row],[Kitchen Set]]/VLOOKUP(Table_NFI[[#This Row],[Camp Name]],CL,4,0),"")</f>
        <v>1.0243902439024391E-3</v>
      </c>
      <c r="AV709" s="390" t="s">
        <v>1087</v>
      </c>
      <c r="AW709" s="392"/>
      <c r="AX709" s="399"/>
      <c r="AY709" s="399"/>
      <c r="AZ709" s="399"/>
      <c r="BA709" s="399"/>
      <c r="BB709" s="399"/>
      <c r="BC709" s="399"/>
      <c r="BD709" s="399"/>
      <c r="BE709" s="399"/>
      <c r="BF709" s="399"/>
      <c r="BG709" s="399"/>
      <c r="BH709" s="399"/>
      <c r="BI709" s="399"/>
      <c r="BJ709" s="399"/>
      <c r="BK709" s="399"/>
      <c r="BL709" s="399"/>
      <c r="BM709" s="399"/>
      <c r="BN709" s="399"/>
      <c r="BO709" s="399"/>
      <c r="BP709" s="399"/>
      <c r="BQ709" s="399"/>
      <c r="BR709" s="399"/>
      <c r="BS709" s="399"/>
      <c r="BT709" s="399"/>
      <c r="BU709" s="399"/>
      <c r="BV709" s="399"/>
      <c r="BW709" s="399"/>
      <c r="BX709" s="399"/>
      <c r="BY709" s="399"/>
      <c r="BZ709" s="399"/>
      <c r="CA709" s="399"/>
      <c r="CB709" s="399"/>
      <c r="CC709" s="399"/>
      <c r="CD709" s="399"/>
      <c r="CE709" s="399"/>
      <c r="CF709" s="399"/>
      <c r="CG709" s="399"/>
      <c r="CH709" s="399"/>
      <c r="CI709" s="399"/>
      <c r="CJ709" s="399"/>
      <c r="CK709" s="399"/>
      <c r="CL709" s="399"/>
      <c r="CM709" s="399"/>
      <c r="CN709" s="399"/>
      <c r="CO709" s="399"/>
      <c r="CP709" s="399"/>
      <c r="CQ709" s="399"/>
      <c r="CR709" s="399"/>
      <c r="CS709" s="399"/>
      <c r="CT709" s="399"/>
      <c r="CU709" s="399"/>
      <c r="CV709" s="399"/>
      <c r="CW709" s="399"/>
      <c r="CX709" s="399"/>
      <c r="CY709" s="399"/>
      <c r="CZ709" s="399"/>
      <c r="DA709" s="399"/>
      <c r="DB709" s="399"/>
      <c r="DC709" s="399"/>
      <c r="DD709" s="399"/>
      <c r="DE709" s="399"/>
      <c r="DF709" s="399"/>
      <c r="DG709" s="399"/>
      <c r="DH709" s="399"/>
      <c r="DI709" s="399"/>
      <c r="DJ709" s="399"/>
      <c r="DK709" s="399"/>
      <c r="DL709" s="399"/>
      <c r="DM709" s="399"/>
      <c r="DN709" s="399"/>
      <c r="DO709" s="399"/>
      <c r="DP709" s="399"/>
      <c r="DQ709" s="399"/>
    </row>
    <row r="710" spans="1:121" s="760" customFormat="1" ht="15" customHeight="1" x14ac:dyDescent="0.25">
      <c r="A710" s="266">
        <f t="shared" ref="A710:A773" si="11">IF(ISBLANK(B710),"",(Report_Date-B710)/30)</f>
        <v>45.233333333333334</v>
      </c>
      <c r="B710" s="389">
        <v>41499</v>
      </c>
      <c r="C710" s="390" t="s">
        <v>451</v>
      </c>
      <c r="D710" s="391" t="s">
        <v>459</v>
      </c>
      <c r="E710" s="390" t="s">
        <v>552</v>
      </c>
      <c r="F710" s="262" t="s">
        <v>146</v>
      </c>
      <c r="G710" s="262" t="s">
        <v>368</v>
      </c>
      <c r="H710" s="261"/>
      <c r="I710" s="261"/>
      <c r="J710" s="261">
        <v>113</v>
      </c>
      <c r="K710" s="261">
        <v>160</v>
      </c>
      <c r="L710" s="261">
        <v>32</v>
      </c>
      <c r="M710" s="261">
        <v>160</v>
      </c>
      <c r="N710" s="261">
        <v>32</v>
      </c>
      <c r="O710" s="261">
        <v>32</v>
      </c>
      <c r="P710" s="261">
        <v>32</v>
      </c>
      <c r="Q710" s="261">
        <v>32</v>
      </c>
      <c r="R710" s="261"/>
      <c r="S710" s="261"/>
      <c r="T710" s="261"/>
      <c r="U710" s="261"/>
      <c r="V710" s="765"/>
      <c r="W710" s="762"/>
      <c r="X710" s="762"/>
      <c r="Y710" s="264">
        <f>IF(NFI_Expiration=1,IF($A710&lt;VLOOKUP(H$5,NFI,5,0),1,0)*Table_NFI[[#This Row],[Hygiene Kit]],Table_NFI[Hygiene Kit])</f>
        <v>0</v>
      </c>
      <c r="Z710" s="264">
        <f>IF(NFI_Expiration=1,IF($A710&lt;VLOOKUP(I$5,NFI,5,0),1,0)*Table_NFI[[#This Row],[NFI Core Kit]],Table_NFI[NFI Core Kit])</f>
        <v>0</v>
      </c>
      <c r="AA710" s="264">
        <f>IF(NFI_Expiration=1,IF($A710&lt;VLOOKUP(J$5,NFI,5,0),1,0)*Table_NFI[[#This Row],[Sanitary Kit]],Table_NFI[Sanitary Kit])</f>
        <v>0</v>
      </c>
      <c r="AB710" s="264">
        <f>IF(NFI_Expiration=1,IF($A710&lt;VLOOKUP(K$5,NFI,5,0),1,0)*Table_NFI[[#This Row],[Mosquito net]],Table_NFI[Mosquito net])</f>
        <v>0</v>
      </c>
      <c r="AC710" s="264">
        <f>IF(NFI_Expiration=1,IF($A710&lt;VLOOKUP(L$5,NFI,5,0),1,0)*Table_NFI[[#This Row],[Tarpaulin]],Table_NFI[[#This Row],[Tarpaulin]])</f>
        <v>0</v>
      </c>
      <c r="AD710" s="264">
        <f>IF(NFI_Expiration=1,IF($A710&lt;VLOOKUP(M$5,NFI,5,0),1,0)*Table_NFI[[#This Row],[Blanket]],Table_NFI[[#This Row],[Blanket]])</f>
        <v>0</v>
      </c>
      <c r="AE710" s="264">
        <f>IF(NFI_Expiration=1,IF($A710&lt;VLOOKUP(N$5,NFI,5,0),1,0)*Table_NFI[[#This Row],[Kitchen Set]],Table_NFI[Kitchen Set])</f>
        <v>0</v>
      </c>
      <c r="AF710" s="264">
        <f>IF(NFI_Expiration=1,IF($A710&lt;VLOOKUP(O$5,NFI,5,0),1,0)*Table_NFI[[#This Row],[Clothes Kit]],Table_NFI[Clothes Kit])</f>
        <v>0</v>
      </c>
      <c r="AG710" s="264">
        <f>IF(NFI_Expiration=1,IF($A710&lt;VLOOKUP(P$5,NFI,5,0),1,0)*Table_NFI[[#This Row],[Plastic Bucket]],Table_NFI[Plastic Bucket])</f>
        <v>0</v>
      </c>
      <c r="AH710" s="264">
        <f>IF(NFI_Expiration=1,IF($A710&lt;VLOOKUP(Q$5,NFI,5,0),1,0)*Table_NFI[[#This Row],[Plastic Mat]],Table_NFI[Plastic Mat])*IF(Table_NFI[[#This Row],[Distribution Date]]&gt;"2014-04-01",1,2.5)</f>
        <v>0</v>
      </c>
      <c r="AI710" s="264">
        <f>IF(NFI_Expiration=1,IF($A710&lt;VLOOKUP(R$5,NFI,5,0),1,0)*Table_NFI[[#This Row],[Winter Clothes Adult]],Table_NFI[Winter Clothes Adult])</f>
        <v>0</v>
      </c>
      <c r="AJ710" s="264">
        <f>IF(NFI_Expiration=1,IF($A710&lt;VLOOKUP(S$5,NFI,5,0),1,0)*Table_NFI[[#This Row],[Winter Clothes Children]],Table_NFI[Winter Clothes Children])</f>
        <v>0</v>
      </c>
      <c r="AK710" s="264">
        <f>IF(NFI_Expiration=1,IF($A710&lt;VLOOKUP(T$5,NFI,5,0),1,0)*Table_NFI[[#This Row],[Winter Items Other]],Table_NFI[Winter Items Other])</f>
        <v>0</v>
      </c>
      <c r="AL710" s="264">
        <f>IF(NFI_Expiration=1,IF($A710&lt;VLOOKUP(M$5,NFI,5,0),1,0)*Table_NFI[[#This Row],[Winter Blanket]],Table_NFI[[#This Row],[Winter Blanket]])</f>
        <v>0</v>
      </c>
      <c r="AM710" s="264">
        <f>IF(Table_NFI[[#This Row],[Winter Clothes Adult]]+Table_NFI[[#This Row],[Winter Clothes Children]]+Table_NFI[[#This Row],[Winter Items Other]]+Table_NFI[[#This Row],[Winter Blanket]]&gt;0,1,0)</f>
        <v>0</v>
      </c>
      <c r="AN710" s="296">
        <f>IF(NFI_Expiration=1,IF($A710&lt;VLOOKUP(V$5,NFI,5,0),1,0)*Table_NFI[[#This Row],[Jerry Can]],Table_NFI[Jerry Can])</f>
        <v>0</v>
      </c>
      <c r="AO710" s="296">
        <f>IF(NFI_Expiration=1,IF($A710&lt;VLOOKUP(V$5,NFI,5,0),1,0)*Table_NFI[[#This Row],[Shelter Tool kit]],Table_NFI[Shelter Tool kit])</f>
        <v>0</v>
      </c>
      <c r="AP710" s="296">
        <f>IF(NFI_Expiration=1,IF($A710&lt;VLOOKUP(V$5,NFI,5,0),1,0)*Table_NFI[[#This Row],[Tent]],Table_NFI[Tent])</f>
        <v>0</v>
      </c>
      <c r="AQ710" s="396" t="str">
        <f>IFERROR(VLOOKUP(Table_NFI[[#This Row],[Camp Name]],CL,2,0),"")</f>
        <v>MMR015CMP018</v>
      </c>
      <c r="AR710" s="702">
        <f ca="1">IF(Table_NFI[[#This Row],[Pcode]]="","",IF(OFFSET(CampList[Opening Date],MATCH(Table_NFI[[#This Row],[Pcode]],CampList[CP_Pcode],0)-1,0,1,1)&gt;=NFI_Monitor_Date,1,0))</f>
        <v>0</v>
      </c>
      <c r="AS710" s="396" t="str">
        <f>IFERROR(VLOOKUP(Table_NFI[[#This Row],[Camp Name]],CL,3,0),"")</f>
        <v>Open</v>
      </c>
      <c r="AT710" s="264" t="str">
        <f ca="1">IF(Table_NFI[[#This Row],[Pcode]]="","",OFFSET(CampList[Priority],MATCH(Table_NFI[[#This Row],[Pcode]],CampList[CP_Pcode],0)-1,0,1,1))</f>
        <v>P3</v>
      </c>
      <c r="AU710" s="263">
        <f>IFERROR(Table_NFI[[#This Row],[Kitchen Set]]/VLOOKUP(Table_NFI[[#This Row],[Camp Name]],CL,4,0),"")</f>
        <v>7.7528770442156269E-4</v>
      </c>
      <c r="AV710" s="390" t="s">
        <v>1087</v>
      </c>
      <c r="AW710" s="392"/>
      <c r="AX710" s="399"/>
      <c r="AY710" s="399"/>
      <c r="AZ710" s="399"/>
      <c r="BA710" s="399"/>
      <c r="BB710" s="399"/>
      <c r="BC710" s="399"/>
      <c r="BD710" s="399"/>
      <c r="BE710" s="399"/>
      <c r="BF710" s="399"/>
      <c r="BG710" s="399"/>
      <c r="BH710" s="399"/>
      <c r="BI710" s="399"/>
      <c r="BJ710" s="399"/>
      <c r="BK710" s="399"/>
      <c r="BL710" s="399"/>
      <c r="BM710" s="399"/>
      <c r="BN710" s="399"/>
      <c r="BO710" s="399"/>
      <c r="BP710" s="399"/>
      <c r="BQ710" s="399"/>
      <c r="BR710" s="399"/>
      <c r="BS710" s="399"/>
      <c r="BT710" s="399"/>
      <c r="BU710" s="399"/>
      <c r="BV710" s="399"/>
      <c r="BW710" s="399"/>
      <c r="BX710" s="399"/>
      <c r="BY710" s="399"/>
      <c r="BZ710" s="399"/>
      <c r="CA710" s="399"/>
      <c r="CB710" s="399"/>
      <c r="CC710" s="399"/>
      <c r="CD710" s="399"/>
      <c r="CE710" s="399"/>
      <c r="CF710" s="399"/>
      <c r="CG710" s="399"/>
      <c r="CH710" s="399"/>
      <c r="CI710" s="399"/>
      <c r="CJ710" s="399"/>
      <c r="CK710" s="399"/>
      <c r="CL710" s="399"/>
      <c r="CM710" s="399"/>
      <c r="CN710" s="399"/>
      <c r="CO710" s="399"/>
      <c r="CP710" s="399"/>
      <c r="CQ710" s="399"/>
      <c r="CR710" s="399"/>
      <c r="CS710" s="399"/>
      <c r="CT710" s="399"/>
      <c r="CU710" s="399"/>
      <c r="CV710" s="399"/>
      <c r="CW710" s="399"/>
      <c r="CX710" s="399"/>
      <c r="CY710" s="399"/>
      <c r="CZ710" s="399"/>
      <c r="DA710" s="399"/>
      <c r="DB710" s="399"/>
      <c r="DC710" s="399"/>
      <c r="DD710" s="399"/>
      <c r="DE710" s="399"/>
      <c r="DF710" s="399"/>
      <c r="DG710" s="399"/>
      <c r="DH710" s="399"/>
      <c r="DI710" s="399"/>
      <c r="DJ710" s="399"/>
      <c r="DK710" s="399"/>
      <c r="DL710" s="399"/>
      <c r="DM710" s="399"/>
      <c r="DN710" s="399"/>
      <c r="DO710" s="399"/>
      <c r="DP710" s="399"/>
      <c r="DQ710" s="399"/>
    </row>
    <row r="711" spans="1:121" s="760" customFormat="1" ht="15" customHeight="1" x14ac:dyDescent="0.25">
      <c r="A711" s="266">
        <f t="shared" si="11"/>
        <v>45.233333333333334</v>
      </c>
      <c r="B711" s="389">
        <v>41499</v>
      </c>
      <c r="C711" s="390" t="s">
        <v>451</v>
      </c>
      <c r="D711" s="391" t="s">
        <v>505</v>
      </c>
      <c r="E711" s="390" t="s">
        <v>552</v>
      </c>
      <c r="F711" s="262" t="s">
        <v>146</v>
      </c>
      <c r="G711" s="262" t="s">
        <v>371</v>
      </c>
      <c r="H711" s="261"/>
      <c r="I711" s="261"/>
      <c r="J711" s="261">
        <v>30</v>
      </c>
      <c r="K711" s="261">
        <v>56</v>
      </c>
      <c r="L711" s="261">
        <v>23</v>
      </c>
      <c r="M711" s="261">
        <v>56</v>
      </c>
      <c r="N711" s="261">
        <v>23</v>
      </c>
      <c r="O711" s="261">
        <v>23</v>
      </c>
      <c r="P711" s="261">
        <v>23</v>
      </c>
      <c r="Q711" s="261">
        <v>23</v>
      </c>
      <c r="R711" s="261"/>
      <c r="S711" s="261"/>
      <c r="T711" s="261"/>
      <c r="U711" s="261"/>
      <c r="V711" s="762"/>
      <c r="W711" s="762"/>
      <c r="X711" s="762"/>
      <c r="Y711" s="264">
        <f>IF(NFI_Expiration=1,IF($A711&lt;VLOOKUP(H$5,NFI,5,0),1,0)*Table_NFI[[#This Row],[Hygiene Kit]],Table_NFI[Hygiene Kit])</f>
        <v>0</v>
      </c>
      <c r="Z711" s="264">
        <f>IF(NFI_Expiration=1,IF($A711&lt;VLOOKUP(I$5,NFI,5,0),1,0)*Table_NFI[[#This Row],[NFI Core Kit]],Table_NFI[NFI Core Kit])</f>
        <v>0</v>
      </c>
      <c r="AA711" s="264">
        <f>IF(NFI_Expiration=1,IF($A711&lt;VLOOKUP(J$5,NFI,5,0),1,0)*Table_NFI[[#This Row],[Sanitary Kit]],Table_NFI[Sanitary Kit])</f>
        <v>0</v>
      </c>
      <c r="AB711" s="264">
        <f>IF(NFI_Expiration=1,IF($A711&lt;VLOOKUP(K$5,NFI,5,0),1,0)*Table_NFI[[#This Row],[Mosquito net]],Table_NFI[Mosquito net])</f>
        <v>0</v>
      </c>
      <c r="AC711" s="264">
        <f>IF(NFI_Expiration=1,IF($A711&lt;VLOOKUP(L$5,NFI,5,0),1,0)*Table_NFI[[#This Row],[Tarpaulin]],Table_NFI[[#This Row],[Tarpaulin]])</f>
        <v>0</v>
      </c>
      <c r="AD711" s="264">
        <f>IF(NFI_Expiration=1,IF($A711&lt;VLOOKUP(M$5,NFI,5,0),1,0)*Table_NFI[[#This Row],[Blanket]],Table_NFI[[#This Row],[Blanket]])</f>
        <v>0</v>
      </c>
      <c r="AE711" s="264">
        <f>IF(NFI_Expiration=1,IF($A711&lt;VLOOKUP(N$5,NFI,5,0),1,0)*Table_NFI[[#This Row],[Kitchen Set]],Table_NFI[Kitchen Set])</f>
        <v>0</v>
      </c>
      <c r="AF711" s="264">
        <f>IF(NFI_Expiration=1,IF($A711&lt;VLOOKUP(O$5,NFI,5,0),1,0)*Table_NFI[[#This Row],[Clothes Kit]],Table_NFI[Clothes Kit])</f>
        <v>0</v>
      </c>
      <c r="AG711" s="264">
        <f>IF(NFI_Expiration=1,IF($A711&lt;VLOOKUP(P$5,NFI,5,0),1,0)*Table_NFI[[#This Row],[Plastic Bucket]],Table_NFI[Plastic Bucket])</f>
        <v>0</v>
      </c>
      <c r="AH711" s="264">
        <f>IF(NFI_Expiration=1,IF($A711&lt;VLOOKUP(Q$5,NFI,5,0),1,0)*Table_NFI[[#This Row],[Plastic Mat]],Table_NFI[Plastic Mat])*IF(Table_NFI[[#This Row],[Distribution Date]]&gt;"2014-04-01",1,2.5)</f>
        <v>0</v>
      </c>
      <c r="AI711" s="264">
        <f>IF(NFI_Expiration=1,IF($A711&lt;VLOOKUP(R$5,NFI,5,0),1,0)*Table_NFI[[#This Row],[Winter Clothes Adult]],Table_NFI[Winter Clothes Adult])</f>
        <v>0</v>
      </c>
      <c r="AJ711" s="264">
        <f>IF(NFI_Expiration=1,IF($A711&lt;VLOOKUP(S$5,NFI,5,0),1,0)*Table_NFI[[#This Row],[Winter Clothes Children]],Table_NFI[Winter Clothes Children])</f>
        <v>0</v>
      </c>
      <c r="AK711" s="264">
        <f>IF(NFI_Expiration=1,IF($A711&lt;VLOOKUP(T$5,NFI,5,0),1,0)*Table_NFI[[#This Row],[Winter Items Other]],Table_NFI[Winter Items Other])</f>
        <v>0</v>
      </c>
      <c r="AL711" s="264">
        <f>IF(NFI_Expiration=1,IF($A711&lt;VLOOKUP(M$5,NFI,5,0),1,0)*Table_NFI[[#This Row],[Winter Blanket]],Table_NFI[[#This Row],[Winter Blanket]])</f>
        <v>0</v>
      </c>
      <c r="AM711" s="264">
        <f>IF(Table_NFI[[#This Row],[Winter Clothes Adult]]+Table_NFI[[#This Row],[Winter Clothes Children]]+Table_NFI[[#This Row],[Winter Items Other]]+Table_NFI[[#This Row],[Winter Blanket]]&gt;0,1,0)</f>
        <v>0</v>
      </c>
      <c r="AN711" s="296">
        <f>IF(NFI_Expiration=1,IF($A711&lt;VLOOKUP(V$5,NFI,5,0),1,0)*Table_NFI[[#This Row],[Jerry Can]],Table_NFI[Jerry Can])</f>
        <v>0</v>
      </c>
      <c r="AO711" s="296">
        <f>IF(NFI_Expiration=1,IF($A711&lt;VLOOKUP(V$5,NFI,5,0),1,0)*Table_NFI[[#This Row],[Shelter Tool kit]],Table_NFI[Shelter Tool kit])</f>
        <v>0</v>
      </c>
      <c r="AP711" s="296">
        <f>IF(NFI_Expiration=1,IF($A711&lt;VLOOKUP(V$5,NFI,5,0),1,0)*Table_NFI[[#This Row],[Tent]],Table_NFI[Tent])</f>
        <v>0</v>
      </c>
      <c r="AQ711" s="396" t="str">
        <f>IFERROR(VLOOKUP(Table_NFI[[#This Row],[Camp Name]],CL,2,0),"")</f>
        <v>MMR015CMP006</v>
      </c>
      <c r="AR711" s="702">
        <f ca="1">IF(Table_NFI[[#This Row],[Pcode]]="","",IF(OFFSET(CampList[Opening Date],MATCH(Table_NFI[[#This Row],[Pcode]],CampList[CP_Pcode],0)-1,0,1,1)&gt;=NFI_Monitor_Date,1,0))</f>
        <v>0</v>
      </c>
      <c r="AS711" s="396" t="str">
        <f>IFERROR(VLOOKUP(Table_NFI[[#This Row],[Camp Name]],CL,3,0),"")</f>
        <v>Open</v>
      </c>
      <c r="AT711" s="264" t="str">
        <f ca="1">IF(Table_NFI[[#This Row],[Pcode]]="","",OFFSET(CampList[Priority],MATCH(Table_NFI[[#This Row],[Pcode]],CampList[CP_Pcode],0)-1,0,1,1))</f>
        <v>P1</v>
      </c>
      <c r="AU711" s="263">
        <f>IFERROR(Table_NFI[[#This Row],[Kitchen Set]]/VLOOKUP(Table_NFI[[#This Row],[Camp Name]],CL,4,0),"")</f>
        <v>5.6390516586167158E-4</v>
      </c>
      <c r="AV711" s="390" t="s">
        <v>1087</v>
      </c>
      <c r="AW711" s="392"/>
      <c r="AX711" s="399"/>
      <c r="AY711" s="399"/>
      <c r="AZ711" s="399"/>
      <c r="BA711" s="399"/>
      <c r="BB711" s="399"/>
      <c r="BC711" s="399"/>
      <c r="BD711" s="399"/>
      <c r="BE711" s="399"/>
      <c r="BF711" s="399"/>
      <c r="BG711" s="399"/>
      <c r="BH711" s="399"/>
      <c r="BI711" s="399"/>
      <c r="BJ711" s="399"/>
      <c r="BK711" s="399"/>
      <c r="BL711" s="399"/>
      <c r="BM711" s="399"/>
      <c r="BN711" s="399"/>
      <c r="BO711" s="399"/>
      <c r="BP711" s="399"/>
      <c r="BQ711" s="399"/>
      <c r="BR711" s="399"/>
      <c r="BS711" s="399"/>
      <c r="BT711" s="399"/>
      <c r="BU711" s="399"/>
      <c r="BV711" s="399"/>
      <c r="BW711" s="399"/>
      <c r="BX711" s="399"/>
      <c r="BY711" s="399"/>
      <c r="BZ711" s="399"/>
      <c r="CA711" s="399"/>
      <c r="CB711" s="399"/>
      <c r="CC711" s="399"/>
      <c r="CD711" s="399"/>
      <c r="CE711" s="399"/>
      <c r="CF711" s="399"/>
      <c r="CG711" s="399"/>
      <c r="CH711" s="399"/>
      <c r="CI711" s="399"/>
      <c r="CJ711" s="399"/>
      <c r="CK711" s="399"/>
      <c r="CL711" s="399"/>
      <c r="CM711" s="399"/>
      <c r="CN711" s="399"/>
      <c r="CO711" s="399"/>
      <c r="CP711" s="399"/>
      <c r="CQ711" s="399"/>
      <c r="CR711" s="399"/>
      <c r="CS711" s="399"/>
      <c r="CT711" s="399"/>
      <c r="CU711" s="399"/>
      <c r="CV711" s="399"/>
      <c r="CW711" s="399"/>
      <c r="CX711" s="399"/>
      <c r="CY711" s="399"/>
      <c r="CZ711" s="399"/>
      <c r="DA711" s="399"/>
      <c r="DB711" s="399"/>
      <c r="DC711" s="399"/>
      <c r="DD711" s="399"/>
      <c r="DE711" s="399"/>
      <c r="DF711" s="399"/>
      <c r="DG711" s="399"/>
      <c r="DH711" s="399"/>
      <c r="DI711" s="399"/>
      <c r="DJ711" s="399"/>
      <c r="DK711" s="399"/>
      <c r="DL711" s="399"/>
      <c r="DM711" s="399"/>
      <c r="DN711" s="399"/>
      <c r="DO711" s="399"/>
      <c r="DP711" s="399"/>
      <c r="DQ711" s="399"/>
    </row>
    <row r="712" spans="1:121" s="760" customFormat="1" ht="15" customHeight="1" x14ac:dyDescent="0.25">
      <c r="A712" s="266">
        <f t="shared" si="11"/>
        <v>45.233333333333334</v>
      </c>
      <c r="B712" s="389">
        <v>41499</v>
      </c>
      <c r="C712" s="390" t="s">
        <v>451</v>
      </c>
      <c r="D712" s="390" t="s">
        <v>459</v>
      </c>
      <c r="E712" s="390" t="s">
        <v>552</v>
      </c>
      <c r="F712" s="390" t="s">
        <v>289</v>
      </c>
      <c r="G712" s="262" t="s">
        <v>292</v>
      </c>
      <c r="H712" s="261"/>
      <c r="I712" s="261"/>
      <c r="J712" s="261">
        <v>125</v>
      </c>
      <c r="K712" s="261">
        <v>233</v>
      </c>
      <c r="L712" s="261">
        <v>93</v>
      </c>
      <c r="M712" s="261">
        <v>233</v>
      </c>
      <c r="N712" s="261">
        <v>93</v>
      </c>
      <c r="O712" s="261">
        <v>93</v>
      </c>
      <c r="P712" s="261">
        <v>93</v>
      </c>
      <c r="Q712" s="261">
        <v>93</v>
      </c>
      <c r="R712" s="261"/>
      <c r="S712" s="261"/>
      <c r="T712" s="261"/>
      <c r="U712" s="261"/>
      <c r="V712" s="762"/>
      <c r="W712" s="762"/>
      <c r="X712" s="762"/>
      <c r="Y712" s="264">
        <f>IF(NFI_Expiration=1,IF($A712&lt;VLOOKUP(H$5,NFI,5,0),1,0)*Table_NFI[[#This Row],[Hygiene Kit]],Table_NFI[Hygiene Kit])</f>
        <v>0</v>
      </c>
      <c r="Z712" s="264">
        <f>IF(NFI_Expiration=1,IF($A712&lt;VLOOKUP(I$5,NFI,5,0),1,0)*Table_NFI[[#This Row],[NFI Core Kit]],Table_NFI[NFI Core Kit])</f>
        <v>0</v>
      </c>
      <c r="AA712" s="264">
        <f>IF(NFI_Expiration=1,IF($A712&lt;VLOOKUP(J$5,NFI,5,0),1,0)*Table_NFI[[#This Row],[Sanitary Kit]],Table_NFI[Sanitary Kit])</f>
        <v>0</v>
      </c>
      <c r="AB712" s="264">
        <f>IF(NFI_Expiration=1,IF($A712&lt;VLOOKUP(K$5,NFI,5,0),1,0)*Table_NFI[[#This Row],[Mosquito net]],Table_NFI[Mosquito net])</f>
        <v>0</v>
      </c>
      <c r="AC712" s="264">
        <f>IF(NFI_Expiration=1,IF($A712&lt;VLOOKUP(L$5,NFI,5,0),1,0)*Table_NFI[[#This Row],[Tarpaulin]],Table_NFI[[#This Row],[Tarpaulin]])</f>
        <v>0</v>
      </c>
      <c r="AD712" s="264">
        <f>IF(NFI_Expiration=1,IF($A712&lt;VLOOKUP(M$5,NFI,5,0),1,0)*Table_NFI[[#This Row],[Blanket]],Table_NFI[[#This Row],[Blanket]])</f>
        <v>0</v>
      </c>
      <c r="AE712" s="264">
        <f>IF(NFI_Expiration=1,IF($A712&lt;VLOOKUP(N$5,NFI,5,0),1,0)*Table_NFI[[#This Row],[Kitchen Set]],Table_NFI[Kitchen Set])</f>
        <v>0</v>
      </c>
      <c r="AF712" s="264">
        <f>IF(NFI_Expiration=1,IF($A712&lt;VLOOKUP(O$5,NFI,5,0),1,0)*Table_NFI[[#This Row],[Clothes Kit]],Table_NFI[Clothes Kit])</f>
        <v>0</v>
      </c>
      <c r="AG712" s="264">
        <f>IF(NFI_Expiration=1,IF($A712&lt;VLOOKUP(P$5,NFI,5,0),1,0)*Table_NFI[[#This Row],[Plastic Bucket]],Table_NFI[Plastic Bucket])</f>
        <v>0</v>
      </c>
      <c r="AH712" s="264">
        <f>IF(NFI_Expiration=1,IF($A712&lt;VLOOKUP(Q$5,NFI,5,0),1,0)*Table_NFI[[#This Row],[Plastic Mat]],Table_NFI[Plastic Mat])*IF(Table_NFI[[#This Row],[Distribution Date]]&gt;"2014-04-01",1,2.5)</f>
        <v>0</v>
      </c>
      <c r="AI712" s="264">
        <f>IF(NFI_Expiration=1,IF($A712&lt;VLOOKUP(R$5,NFI,5,0),1,0)*Table_NFI[[#This Row],[Winter Clothes Adult]],Table_NFI[Winter Clothes Adult])</f>
        <v>0</v>
      </c>
      <c r="AJ712" s="264">
        <f>IF(NFI_Expiration=1,IF($A712&lt;VLOOKUP(S$5,NFI,5,0),1,0)*Table_NFI[[#This Row],[Winter Clothes Children]],Table_NFI[Winter Clothes Children])</f>
        <v>0</v>
      </c>
      <c r="AK712" s="264">
        <f>IF(NFI_Expiration=1,IF($A712&lt;VLOOKUP(T$5,NFI,5,0),1,0)*Table_NFI[[#This Row],[Winter Items Other]],Table_NFI[Winter Items Other])</f>
        <v>0</v>
      </c>
      <c r="AL712" s="264">
        <f>IF(NFI_Expiration=1,IF($A712&lt;VLOOKUP(M$5,NFI,5,0),1,0)*Table_NFI[[#This Row],[Winter Blanket]],Table_NFI[[#This Row],[Winter Blanket]])</f>
        <v>0</v>
      </c>
      <c r="AM712" s="264">
        <f>IF(Table_NFI[[#This Row],[Winter Clothes Adult]]+Table_NFI[[#This Row],[Winter Clothes Children]]+Table_NFI[[#This Row],[Winter Items Other]]+Table_NFI[[#This Row],[Winter Blanket]]&gt;0,1,0)</f>
        <v>0</v>
      </c>
      <c r="AN712" s="296">
        <f>IF(NFI_Expiration=1,IF($A712&lt;VLOOKUP(V$5,NFI,5,0),1,0)*Table_NFI[[#This Row],[Jerry Can]],Table_NFI[Jerry Can])</f>
        <v>0</v>
      </c>
      <c r="AO712" s="296">
        <f>IF(NFI_Expiration=1,IF($A712&lt;VLOOKUP(V$5,NFI,5,0),1,0)*Table_NFI[[#This Row],[Shelter Tool kit]],Table_NFI[Shelter Tool kit])</f>
        <v>0</v>
      </c>
      <c r="AP712" s="296">
        <f>IF(NFI_Expiration=1,IF($A712&lt;VLOOKUP(V$5,NFI,5,0),1,0)*Table_NFI[[#This Row],[Tent]],Table_NFI[Tent])</f>
        <v>0</v>
      </c>
      <c r="AQ712" s="396" t="str">
        <f>IFERROR(VLOOKUP(Table_NFI[[#This Row],[Camp Name]],CL,2,0),"")</f>
        <v>MMR015CMP004</v>
      </c>
      <c r="AR712" s="702">
        <f ca="1">IF(Table_NFI[[#This Row],[Pcode]]="","",IF(OFFSET(CampList[Opening Date],MATCH(Table_NFI[[#This Row],[Pcode]],CampList[CP_Pcode],0)-1,0,1,1)&gt;=NFI_Monitor_Date,1,0))</f>
        <v>0</v>
      </c>
      <c r="AS712" s="396" t="str">
        <f>IFERROR(VLOOKUP(Table_NFI[[#This Row],[Camp Name]],CL,3,0),"")</f>
        <v>Open</v>
      </c>
      <c r="AT712" s="264" t="str">
        <f ca="1">IF(Table_NFI[[#This Row],[Pcode]]="","",OFFSET(CampList[Priority],MATCH(Table_NFI[[#This Row],[Pcode]],CampList[CP_Pcode],0)-1,0,1,1))</f>
        <v>P3</v>
      </c>
      <c r="AU712" s="263">
        <f>IFERROR(Table_NFI[[#This Row],[Kitchen Set]]/VLOOKUP(Table_NFI[[#This Row],[Camp Name]],CL,4,0),"")</f>
        <v>2.2350933692230047E-3</v>
      </c>
      <c r="AV712" s="390" t="s">
        <v>1087</v>
      </c>
      <c r="AW712" s="392"/>
      <c r="AX712" s="399"/>
      <c r="AY712" s="399"/>
      <c r="AZ712" s="399"/>
      <c r="BA712" s="399"/>
      <c r="BB712" s="399"/>
      <c r="BC712" s="399"/>
      <c r="BD712" s="399"/>
      <c r="BE712" s="399"/>
      <c r="BF712" s="399"/>
      <c r="BG712" s="399"/>
      <c r="BH712" s="399"/>
      <c r="BI712" s="399"/>
      <c r="BJ712" s="399"/>
      <c r="BK712" s="399"/>
      <c r="BL712" s="399"/>
      <c r="BM712" s="399"/>
      <c r="BN712" s="399"/>
      <c r="BO712" s="399"/>
      <c r="BP712" s="399"/>
      <c r="BQ712" s="399"/>
      <c r="BR712" s="399"/>
      <c r="BS712" s="399"/>
      <c r="BT712" s="399"/>
      <c r="BU712" s="399"/>
      <c r="BV712" s="399"/>
      <c r="BW712" s="399"/>
      <c r="BX712" s="399"/>
      <c r="BY712" s="399"/>
      <c r="BZ712" s="399"/>
      <c r="CA712" s="399"/>
      <c r="CB712" s="399"/>
      <c r="CC712" s="399"/>
      <c r="CD712" s="399"/>
      <c r="CE712" s="399"/>
      <c r="CF712" s="399"/>
      <c r="CG712" s="399"/>
      <c r="CH712" s="399"/>
      <c r="CI712" s="399"/>
      <c r="CJ712" s="399"/>
      <c r="CK712" s="399"/>
      <c r="CL712" s="399"/>
      <c r="CM712" s="399"/>
      <c r="CN712" s="399"/>
      <c r="CO712" s="399"/>
      <c r="CP712" s="399"/>
      <c r="CQ712" s="399"/>
      <c r="CR712" s="399"/>
      <c r="CS712" s="399"/>
      <c r="CT712" s="399"/>
      <c r="CU712" s="399"/>
      <c r="CV712" s="399"/>
      <c r="CW712" s="399"/>
      <c r="CX712" s="399"/>
      <c r="CY712" s="399"/>
      <c r="CZ712" s="399"/>
      <c r="DA712" s="399"/>
      <c r="DB712" s="399"/>
      <c r="DC712" s="399"/>
      <c r="DD712" s="399"/>
      <c r="DE712" s="399"/>
      <c r="DF712" s="399"/>
      <c r="DG712" s="399"/>
      <c r="DH712" s="399"/>
      <c r="DI712" s="399"/>
      <c r="DJ712" s="399"/>
      <c r="DK712" s="399"/>
      <c r="DL712" s="399"/>
      <c r="DM712" s="399"/>
      <c r="DN712" s="399"/>
      <c r="DO712" s="399"/>
      <c r="DP712" s="399"/>
      <c r="DQ712" s="399"/>
    </row>
    <row r="713" spans="1:121" s="760" customFormat="1" ht="15" customHeight="1" x14ac:dyDescent="0.25">
      <c r="A713" s="266">
        <f t="shared" si="11"/>
        <v>45.233333333333334</v>
      </c>
      <c r="B713" s="389">
        <v>41499</v>
      </c>
      <c r="C713" s="390" t="s">
        <v>451</v>
      </c>
      <c r="D713" s="390" t="s">
        <v>505</v>
      </c>
      <c r="E713" s="390" t="s">
        <v>552</v>
      </c>
      <c r="F713" s="390" t="s">
        <v>289</v>
      </c>
      <c r="G713" s="262" t="s">
        <v>290</v>
      </c>
      <c r="H713" s="261"/>
      <c r="I713" s="261"/>
      <c r="J713" s="261">
        <v>100</v>
      </c>
      <c r="K713" s="261">
        <v>188</v>
      </c>
      <c r="L713" s="261">
        <v>75</v>
      </c>
      <c r="M713" s="261">
        <v>188</v>
      </c>
      <c r="N713" s="261">
        <v>75</v>
      </c>
      <c r="O713" s="261">
        <v>75</v>
      </c>
      <c r="P713" s="261">
        <v>75</v>
      </c>
      <c r="Q713" s="261">
        <v>75</v>
      </c>
      <c r="R713" s="261"/>
      <c r="S713" s="261"/>
      <c r="T713" s="261"/>
      <c r="U713" s="261"/>
      <c r="V713" s="762"/>
      <c r="W713" s="261"/>
      <c r="X713" s="261"/>
      <c r="Y713" s="264">
        <f>IF(NFI_Expiration=1,IF($A713&lt;VLOOKUP(H$5,NFI,5,0),1,0)*Table_NFI[[#This Row],[Hygiene Kit]],Table_NFI[Hygiene Kit])</f>
        <v>0</v>
      </c>
      <c r="Z713" s="264">
        <f>IF(NFI_Expiration=1,IF($A713&lt;VLOOKUP(I$5,NFI,5,0),1,0)*Table_NFI[[#This Row],[NFI Core Kit]],Table_NFI[NFI Core Kit])</f>
        <v>0</v>
      </c>
      <c r="AA713" s="264">
        <f>IF(NFI_Expiration=1,IF($A713&lt;VLOOKUP(J$5,NFI,5,0),1,0)*Table_NFI[[#This Row],[Sanitary Kit]],Table_NFI[Sanitary Kit])</f>
        <v>0</v>
      </c>
      <c r="AB713" s="264">
        <f>IF(NFI_Expiration=1,IF($A713&lt;VLOOKUP(K$5,NFI,5,0),1,0)*Table_NFI[[#This Row],[Mosquito net]],Table_NFI[Mosquito net])</f>
        <v>0</v>
      </c>
      <c r="AC713" s="264">
        <f>IF(NFI_Expiration=1,IF($A713&lt;VLOOKUP(L$5,NFI,5,0),1,0)*Table_NFI[[#This Row],[Tarpaulin]],Table_NFI[[#This Row],[Tarpaulin]])</f>
        <v>0</v>
      </c>
      <c r="AD713" s="264">
        <f>IF(NFI_Expiration=1,IF($A713&lt;VLOOKUP(M$5,NFI,5,0),1,0)*Table_NFI[[#This Row],[Blanket]],Table_NFI[[#This Row],[Blanket]])</f>
        <v>0</v>
      </c>
      <c r="AE713" s="264">
        <f>IF(NFI_Expiration=1,IF($A713&lt;VLOOKUP(N$5,NFI,5,0),1,0)*Table_NFI[[#This Row],[Kitchen Set]],Table_NFI[Kitchen Set])</f>
        <v>0</v>
      </c>
      <c r="AF713" s="264">
        <f>IF(NFI_Expiration=1,IF($A713&lt;VLOOKUP(O$5,NFI,5,0),1,0)*Table_NFI[[#This Row],[Clothes Kit]],Table_NFI[Clothes Kit])</f>
        <v>0</v>
      </c>
      <c r="AG713" s="264">
        <f>IF(NFI_Expiration=1,IF($A713&lt;VLOOKUP(P$5,NFI,5,0),1,0)*Table_NFI[[#This Row],[Plastic Bucket]],Table_NFI[Plastic Bucket])</f>
        <v>0</v>
      </c>
      <c r="AH713" s="264">
        <f>IF(NFI_Expiration=1,IF($A713&lt;VLOOKUP(Q$5,NFI,5,0),1,0)*Table_NFI[[#This Row],[Plastic Mat]],Table_NFI[Plastic Mat])*IF(Table_NFI[[#This Row],[Distribution Date]]&gt;"2014-04-01",1,2.5)</f>
        <v>0</v>
      </c>
      <c r="AI713" s="264">
        <f>IF(NFI_Expiration=1,IF($A713&lt;VLOOKUP(R$5,NFI,5,0),1,0)*Table_NFI[[#This Row],[Winter Clothes Adult]],Table_NFI[Winter Clothes Adult])</f>
        <v>0</v>
      </c>
      <c r="AJ713" s="264">
        <f>IF(NFI_Expiration=1,IF($A713&lt;VLOOKUP(S$5,NFI,5,0),1,0)*Table_NFI[[#This Row],[Winter Clothes Children]],Table_NFI[Winter Clothes Children])</f>
        <v>0</v>
      </c>
      <c r="AK713" s="264">
        <f>IF(NFI_Expiration=1,IF($A713&lt;VLOOKUP(T$5,NFI,5,0),1,0)*Table_NFI[[#This Row],[Winter Items Other]],Table_NFI[Winter Items Other])</f>
        <v>0</v>
      </c>
      <c r="AL713" s="264">
        <f>IF(NFI_Expiration=1,IF($A713&lt;VLOOKUP(M$5,NFI,5,0),1,0)*Table_NFI[[#This Row],[Winter Blanket]],Table_NFI[[#This Row],[Winter Blanket]])</f>
        <v>0</v>
      </c>
      <c r="AM713" s="264">
        <f>IF(Table_NFI[[#This Row],[Winter Clothes Adult]]+Table_NFI[[#This Row],[Winter Clothes Children]]+Table_NFI[[#This Row],[Winter Items Other]]+Table_NFI[[#This Row],[Winter Blanket]]&gt;0,1,0)</f>
        <v>0</v>
      </c>
      <c r="AN713" s="296">
        <f>IF(NFI_Expiration=1,IF($A713&lt;VLOOKUP(V$5,NFI,5,0),1,0)*Table_NFI[[#This Row],[Jerry Can]],Table_NFI[Jerry Can])</f>
        <v>0</v>
      </c>
      <c r="AO713" s="296">
        <f>IF(NFI_Expiration=1,IF($A713&lt;VLOOKUP(V$5,NFI,5,0),1,0)*Table_NFI[[#This Row],[Shelter Tool kit]],Table_NFI[Shelter Tool kit])</f>
        <v>0</v>
      </c>
      <c r="AP713" s="296">
        <f>IF(NFI_Expiration=1,IF($A713&lt;VLOOKUP(V$5,NFI,5,0),1,0)*Table_NFI[[#This Row],[Tent]],Table_NFI[Tent])</f>
        <v>0</v>
      </c>
      <c r="AQ713" s="396" t="str">
        <f>IFERROR(VLOOKUP(Table_NFI[[#This Row],[Camp Name]],CL,2,0),"")</f>
        <v>MMR015CMP001</v>
      </c>
      <c r="AR713" s="702">
        <f ca="1">IF(Table_NFI[[#This Row],[Pcode]]="","",IF(OFFSET(CampList[Opening Date],MATCH(Table_NFI[[#This Row],[Pcode]],CampList[CP_Pcode],0)-1,0,1,1)&gt;=NFI_Monitor_Date,1,0))</f>
        <v>0</v>
      </c>
      <c r="AS713" s="396" t="str">
        <f>IFERROR(VLOOKUP(Table_NFI[[#This Row],[Camp Name]],CL,3,0),"")</f>
        <v>Open</v>
      </c>
      <c r="AT713" s="264" t="str">
        <f ca="1">IF(Table_NFI[[#This Row],[Pcode]]="","",OFFSET(CampList[Priority],MATCH(Table_NFI[[#This Row],[Pcode]],CampList[CP_Pcode],0)-1,0,1,1))</f>
        <v>P3</v>
      </c>
      <c r="AU713" s="263">
        <f>IFERROR(Table_NFI[[#This Row],[Kitchen Set]]/VLOOKUP(Table_NFI[[#This Row],[Camp Name]],CL,4,0),"")</f>
        <v>1.8347277264054015E-3</v>
      </c>
      <c r="AV713" s="390" t="s">
        <v>1087</v>
      </c>
      <c r="AW713" s="392"/>
      <c r="AX713" s="399"/>
      <c r="AY713" s="399"/>
      <c r="AZ713" s="399"/>
      <c r="BA713" s="399"/>
      <c r="BB713" s="399"/>
      <c r="BC713" s="399"/>
      <c r="BD713" s="399"/>
      <c r="BE713" s="399"/>
      <c r="BF713" s="399"/>
      <c r="BG713" s="399"/>
      <c r="BH713" s="399"/>
      <c r="BI713" s="399"/>
      <c r="BJ713" s="399"/>
      <c r="BK713" s="399"/>
      <c r="BL713" s="399"/>
      <c r="BM713" s="399"/>
      <c r="BN713" s="399"/>
      <c r="BO713" s="399"/>
      <c r="BP713" s="399"/>
      <c r="BQ713" s="399"/>
      <c r="BR713" s="399"/>
      <c r="BS713" s="399"/>
      <c r="BT713" s="399"/>
      <c r="BU713" s="399"/>
      <c r="BV713" s="399"/>
      <c r="BW713" s="399"/>
      <c r="BX713" s="399"/>
      <c r="BY713" s="399"/>
      <c r="BZ713" s="399"/>
      <c r="CA713" s="399"/>
      <c r="CB713" s="399"/>
      <c r="CC713" s="399"/>
      <c r="CD713" s="399"/>
      <c r="CE713" s="399"/>
      <c r="CF713" s="399"/>
      <c r="CG713" s="399"/>
      <c r="CH713" s="399"/>
      <c r="CI713" s="399"/>
      <c r="CJ713" s="399"/>
      <c r="CK713" s="399"/>
      <c r="CL713" s="399"/>
      <c r="CM713" s="399"/>
      <c r="CN713" s="399"/>
      <c r="CO713" s="399"/>
      <c r="CP713" s="399"/>
      <c r="CQ713" s="399"/>
      <c r="CR713" s="399"/>
      <c r="CS713" s="399"/>
      <c r="CT713" s="399"/>
      <c r="CU713" s="399"/>
      <c r="CV713" s="399"/>
      <c r="CW713" s="399"/>
      <c r="CX713" s="399"/>
      <c r="CY713" s="399"/>
      <c r="CZ713" s="399"/>
      <c r="DA713" s="399"/>
      <c r="DB713" s="399"/>
      <c r="DC713" s="399"/>
      <c r="DD713" s="399"/>
      <c r="DE713" s="399"/>
      <c r="DF713" s="399"/>
      <c r="DG713" s="399"/>
      <c r="DH713" s="399"/>
      <c r="DI713" s="399"/>
      <c r="DJ713" s="399"/>
      <c r="DK713" s="399"/>
      <c r="DL713" s="399"/>
      <c r="DM713" s="399"/>
      <c r="DN713" s="399"/>
      <c r="DO713" s="399"/>
      <c r="DP713" s="399"/>
      <c r="DQ713" s="399"/>
    </row>
    <row r="714" spans="1:121" s="760" customFormat="1" ht="15" customHeight="1" x14ac:dyDescent="0.25">
      <c r="A714" s="266">
        <f t="shared" si="11"/>
        <v>45.233333333333334</v>
      </c>
      <c r="B714" s="389">
        <v>41499</v>
      </c>
      <c r="C714" s="390" t="s">
        <v>451</v>
      </c>
      <c r="D714" s="390" t="s">
        <v>505</v>
      </c>
      <c r="E714" s="390" t="s">
        <v>552</v>
      </c>
      <c r="F714" s="262" t="s">
        <v>289</v>
      </c>
      <c r="G714" s="262" t="s">
        <v>374</v>
      </c>
      <c r="H714" s="261"/>
      <c r="I714" s="261"/>
      <c r="J714" s="261">
        <v>36</v>
      </c>
      <c r="K714" s="261">
        <v>72</v>
      </c>
      <c r="L714" s="261">
        <v>33</v>
      </c>
      <c r="M714" s="261">
        <v>72</v>
      </c>
      <c r="N714" s="261">
        <v>33</v>
      </c>
      <c r="O714" s="261">
        <v>33</v>
      </c>
      <c r="P714" s="261">
        <v>33</v>
      </c>
      <c r="Q714" s="261">
        <v>33</v>
      </c>
      <c r="R714" s="261"/>
      <c r="S714" s="261"/>
      <c r="T714" s="261"/>
      <c r="U714" s="261"/>
      <c r="V714" s="762"/>
      <c r="W714" s="261"/>
      <c r="X714" s="261"/>
      <c r="Y714" s="264">
        <f>IF(NFI_Expiration=1,IF($A714&lt;VLOOKUP(H$5,NFI,5,0),1,0)*Table_NFI[[#This Row],[Hygiene Kit]],Table_NFI[Hygiene Kit])</f>
        <v>0</v>
      </c>
      <c r="Z714" s="264">
        <f>IF(NFI_Expiration=1,IF($A714&lt;VLOOKUP(I$5,NFI,5,0),1,0)*Table_NFI[[#This Row],[NFI Core Kit]],Table_NFI[NFI Core Kit])</f>
        <v>0</v>
      </c>
      <c r="AA714" s="264">
        <f>IF(NFI_Expiration=1,IF($A714&lt;VLOOKUP(J$5,NFI,5,0),1,0)*Table_NFI[[#This Row],[Sanitary Kit]],Table_NFI[Sanitary Kit])</f>
        <v>0</v>
      </c>
      <c r="AB714" s="264">
        <f>IF(NFI_Expiration=1,IF($A714&lt;VLOOKUP(K$5,NFI,5,0),1,0)*Table_NFI[[#This Row],[Mosquito net]],Table_NFI[Mosquito net])</f>
        <v>0</v>
      </c>
      <c r="AC714" s="264">
        <f>IF(NFI_Expiration=1,IF($A714&lt;VLOOKUP(L$5,NFI,5,0),1,0)*Table_NFI[[#This Row],[Tarpaulin]],Table_NFI[[#This Row],[Tarpaulin]])</f>
        <v>0</v>
      </c>
      <c r="AD714" s="264">
        <f>IF(NFI_Expiration=1,IF($A714&lt;VLOOKUP(M$5,NFI,5,0),1,0)*Table_NFI[[#This Row],[Blanket]],Table_NFI[[#This Row],[Blanket]])</f>
        <v>0</v>
      </c>
      <c r="AE714" s="264">
        <f>IF(NFI_Expiration=1,IF($A714&lt;VLOOKUP(N$5,NFI,5,0),1,0)*Table_NFI[[#This Row],[Kitchen Set]],Table_NFI[Kitchen Set])</f>
        <v>0</v>
      </c>
      <c r="AF714" s="264">
        <f>IF(NFI_Expiration=1,IF($A714&lt;VLOOKUP(O$5,NFI,5,0),1,0)*Table_NFI[[#This Row],[Clothes Kit]],Table_NFI[Clothes Kit])</f>
        <v>0</v>
      </c>
      <c r="AG714" s="264">
        <f>IF(NFI_Expiration=1,IF($A714&lt;VLOOKUP(P$5,NFI,5,0),1,0)*Table_NFI[[#This Row],[Plastic Bucket]],Table_NFI[Plastic Bucket])</f>
        <v>0</v>
      </c>
      <c r="AH714" s="264">
        <f>IF(NFI_Expiration=1,IF($A714&lt;VLOOKUP(Q$5,NFI,5,0),1,0)*Table_NFI[[#This Row],[Plastic Mat]],Table_NFI[Plastic Mat])*IF(Table_NFI[[#This Row],[Distribution Date]]&gt;"2014-04-01",1,2.5)</f>
        <v>0</v>
      </c>
      <c r="AI714" s="264">
        <f>IF(NFI_Expiration=1,IF($A714&lt;VLOOKUP(R$5,NFI,5,0),1,0)*Table_NFI[[#This Row],[Winter Clothes Adult]],Table_NFI[Winter Clothes Adult])</f>
        <v>0</v>
      </c>
      <c r="AJ714" s="264">
        <f>IF(NFI_Expiration=1,IF($A714&lt;VLOOKUP(S$5,NFI,5,0),1,0)*Table_NFI[[#This Row],[Winter Clothes Children]],Table_NFI[Winter Clothes Children])</f>
        <v>0</v>
      </c>
      <c r="AK714" s="264">
        <f>IF(NFI_Expiration=1,IF($A714&lt;VLOOKUP(T$5,NFI,5,0),1,0)*Table_NFI[[#This Row],[Winter Items Other]],Table_NFI[Winter Items Other])</f>
        <v>0</v>
      </c>
      <c r="AL714" s="264">
        <f>IF(NFI_Expiration=1,IF($A714&lt;VLOOKUP(M$5,NFI,5,0),1,0)*Table_NFI[[#This Row],[Winter Blanket]],Table_NFI[[#This Row],[Winter Blanket]])</f>
        <v>0</v>
      </c>
      <c r="AM714" s="264">
        <f>IF(Table_NFI[[#This Row],[Winter Clothes Adult]]+Table_NFI[[#This Row],[Winter Clothes Children]]+Table_NFI[[#This Row],[Winter Items Other]]+Table_NFI[[#This Row],[Winter Blanket]]&gt;0,1,0)</f>
        <v>0</v>
      </c>
      <c r="AN714" s="296">
        <f>IF(NFI_Expiration=1,IF($A714&lt;VLOOKUP(V$5,NFI,5,0),1,0)*Table_NFI[[#This Row],[Jerry Can]],Table_NFI[Jerry Can])</f>
        <v>0</v>
      </c>
      <c r="AO714" s="296">
        <f>IF(NFI_Expiration=1,IF($A714&lt;VLOOKUP(V$5,NFI,5,0),1,0)*Table_NFI[[#This Row],[Shelter Tool kit]],Table_NFI[Shelter Tool kit])</f>
        <v>0</v>
      </c>
      <c r="AP714" s="296">
        <f>IF(NFI_Expiration=1,IF($A714&lt;VLOOKUP(V$5,NFI,5,0),1,0)*Table_NFI[[#This Row],[Tent]],Table_NFI[Tent])</f>
        <v>0</v>
      </c>
      <c r="AQ714" s="396" t="str">
        <f>IFERROR(VLOOKUP(Table_NFI[[#This Row],[Camp Name]],CL,2,0),"")</f>
        <v>MMR015CMP003</v>
      </c>
      <c r="AR714" s="702">
        <f ca="1">IF(Table_NFI[[#This Row],[Pcode]]="","",IF(OFFSET(CampList[Opening Date],MATCH(Table_NFI[[#This Row],[Pcode]],CampList[CP_Pcode],0)-1,0,1,1)&gt;=NFI_Monitor_Date,1,0))</f>
        <v>0</v>
      </c>
      <c r="AS714" s="396" t="str">
        <f>IFERROR(VLOOKUP(Table_NFI[[#This Row],[Camp Name]],CL,3,0),"")</f>
        <v>Open</v>
      </c>
      <c r="AT714" s="264" t="str">
        <f ca="1">IF(Table_NFI[[#This Row],[Pcode]]="","",OFFSET(CampList[Priority],MATCH(Table_NFI[[#This Row],[Pcode]],CampList[CP_Pcode],0)-1,0,1,1))</f>
        <v>P3</v>
      </c>
      <c r="AU714" s="263">
        <f>IFERROR(Table_NFI[[#This Row],[Kitchen Set]]/VLOOKUP(Table_NFI[[#This Row],[Camp Name]],CL,4,0),"")</f>
        <v>8.0728019961837658E-4</v>
      </c>
      <c r="AV714" s="390" t="s">
        <v>1087</v>
      </c>
      <c r="AW714" s="392"/>
      <c r="AX714" s="399"/>
      <c r="AY714" s="399"/>
      <c r="AZ714" s="399"/>
      <c r="BA714" s="399"/>
      <c r="BB714" s="399"/>
      <c r="BC714" s="399"/>
      <c r="BD714" s="399"/>
      <c r="BE714" s="399"/>
      <c r="BF714" s="399"/>
      <c r="BG714" s="399"/>
      <c r="BH714" s="399"/>
      <c r="BI714" s="399"/>
      <c r="BJ714" s="399"/>
      <c r="BK714" s="399"/>
      <c r="BL714" s="399"/>
      <c r="BM714" s="399"/>
      <c r="BN714" s="399"/>
      <c r="BO714" s="399"/>
      <c r="BP714" s="399"/>
      <c r="BQ714" s="399"/>
      <c r="BR714" s="399"/>
      <c r="BS714" s="399"/>
      <c r="BT714" s="399"/>
      <c r="BU714" s="399"/>
      <c r="BV714" s="399"/>
      <c r="BW714" s="399"/>
      <c r="BX714" s="399"/>
      <c r="BY714" s="399"/>
      <c r="BZ714" s="399"/>
      <c r="CA714" s="399"/>
      <c r="CB714" s="399"/>
      <c r="CC714" s="399"/>
      <c r="CD714" s="399"/>
      <c r="CE714" s="399"/>
      <c r="CF714" s="399"/>
      <c r="CG714" s="399"/>
      <c r="CH714" s="399"/>
      <c r="CI714" s="399"/>
      <c r="CJ714" s="399"/>
      <c r="CK714" s="399"/>
      <c r="CL714" s="399"/>
      <c r="CM714" s="399"/>
      <c r="CN714" s="399"/>
      <c r="CO714" s="399"/>
      <c r="CP714" s="399"/>
      <c r="CQ714" s="399"/>
      <c r="CR714" s="399"/>
      <c r="CS714" s="399"/>
      <c r="CT714" s="399"/>
      <c r="CU714" s="399"/>
      <c r="CV714" s="399"/>
      <c r="CW714" s="399"/>
      <c r="CX714" s="399"/>
      <c r="CY714" s="399"/>
      <c r="CZ714" s="399"/>
      <c r="DA714" s="399"/>
      <c r="DB714" s="399"/>
      <c r="DC714" s="399"/>
      <c r="DD714" s="399"/>
      <c r="DE714" s="399"/>
      <c r="DF714" s="399"/>
      <c r="DG714" s="399"/>
      <c r="DH714" s="399"/>
      <c r="DI714" s="399"/>
      <c r="DJ714" s="399"/>
      <c r="DK714" s="399"/>
      <c r="DL714" s="399"/>
      <c r="DM714" s="399"/>
      <c r="DN714" s="399"/>
      <c r="DO714" s="399"/>
      <c r="DP714" s="399"/>
      <c r="DQ714" s="399"/>
    </row>
    <row r="715" spans="1:121" s="760" customFormat="1" ht="14.45" customHeight="1" x14ac:dyDescent="0.25">
      <c r="A715" s="266">
        <f t="shared" si="11"/>
        <v>45.233333333333334</v>
      </c>
      <c r="B715" s="389">
        <v>41499</v>
      </c>
      <c r="C715" s="390" t="s">
        <v>451</v>
      </c>
      <c r="D715" s="390" t="s">
        <v>505</v>
      </c>
      <c r="E715" s="390" t="s">
        <v>552</v>
      </c>
      <c r="F715" s="262" t="s">
        <v>298</v>
      </c>
      <c r="G715" s="262" t="s">
        <v>592</v>
      </c>
      <c r="H715" s="261"/>
      <c r="I715" s="261"/>
      <c r="J715" s="261">
        <v>130</v>
      </c>
      <c r="K715" s="261">
        <v>288</v>
      </c>
      <c r="L715" s="261">
        <v>115</v>
      </c>
      <c r="M715" s="261">
        <v>288</v>
      </c>
      <c r="N715" s="261">
        <v>115</v>
      </c>
      <c r="O715" s="261">
        <v>115</v>
      </c>
      <c r="P715" s="261">
        <v>115</v>
      </c>
      <c r="Q715" s="261">
        <v>115</v>
      </c>
      <c r="R715" s="261"/>
      <c r="S715" s="261"/>
      <c r="T715" s="261"/>
      <c r="U715" s="261"/>
      <c r="V715" s="762"/>
      <c r="W715" s="261"/>
      <c r="X715" s="261"/>
      <c r="Y715" s="264">
        <f>IF(NFI_Expiration=1,IF($A715&lt;VLOOKUP(H$5,NFI,5,0),1,0)*Table_NFI[[#This Row],[Hygiene Kit]],Table_NFI[Hygiene Kit])</f>
        <v>0</v>
      </c>
      <c r="Z715" s="264">
        <f>IF(NFI_Expiration=1,IF($A715&lt;VLOOKUP(I$5,NFI,5,0),1,0)*Table_NFI[[#This Row],[NFI Core Kit]],Table_NFI[NFI Core Kit])</f>
        <v>0</v>
      </c>
      <c r="AA715" s="264">
        <f>IF(NFI_Expiration=1,IF($A715&lt;VLOOKUP(J$5,NFI,5,0),1,0)*Table_NFI[[#This Row],[Sanitary Kit]],Table_NFI[Sanitary Kit])</f>
        <v>0</v>
      </c>
      <c r="AB715" s="264">
        <f>IF(NFI_Expiration=1,IF($A715&lt;VLOOKUP(K$5,NFI,5,0),1,0)*Table_NFI[[#This Row],[Mosquito net]],Table_NFI[Mosquito net])</f>
        <v>0</v>
      </c>
      <c r="AC715" s="264">
        <f>IF(NFI_Expiration=1,IF($A715&lt;VLOOKUP(L$5,NFI,5,0),1,0)*Table_NFI[[#This Row],[Tarpaulin]],Table_NFI[[#This Row],[Tarpaulin]])</f>
        <v>0</v>
      </c>
      <c r="AD715" s="264">
        <f>IF(NFI_Expiration=1,IF($A715&lt;VLOOKUP(M$5,NFI,5,0),1,0)*Table_NFI[[#This Row],[Blanket]],Table_NFI[[#This Row],[Blanket]])</f>
        <v>0</v>
      </c>
      <c r="AE715" s="264">
        <f>IF(NFI_Expiration=1,IF($A715&lt;VLOOKUP(N$5,NFI,5,0),1,0)*Table_NFI[[#This Row],[Kitchen Set]],Table_NFI[Kitchen Set])</f>
        <v>0</v>
      </c>
      <c r="AF715" s="264">
        <f>IF(NFI_Expiration=1,IF($A715&lt;VLOOKUP(O$5,NFI,5,0),1,0)*Table_NFI[[#This Row],[Clothes Kit]],Table_NFI[Clothes Kit])</f>
        <v>0</v>
      </c>
      <c r="AG715" s="264">
        <f>IF(NFI_Expiration=1,IF($A715&lt;VLOOKUP(P$5,NFI,5,0),1,0)*Table_NFI[[#This Row],[Plastic Bucket]],Table_NFI[Plastic Bucket])</f>
        <v>0</v>
      </c>
      <c r="AH715" s="264">
        <f>IF(NFI_Expiration=1,IF($A715&lt;VLOOKUP(Q$5,NFI,5,0),1,0)*Table_NFI[[#This Row],[Plastic Mat]],Table_NFI[Plastic Mat])*IF(Table_NFI[[#This Row],[Distribution Date]]&gt;"2014-04-01",1,2.5)</f>
        <v>0</v>
      </c>
      <c r="AI715" s="264">
        <f>IF(NFI_Expiration=1,IF($A715&lt;VLOOKUP(R$5,NFI,5,0),1,0)*Table_NFI[[#This Row],[Winter Clothes Adult]],Table_NFI[Winter Clothes Adult])</f>
        <v>0</v>
      </c>
      <c r="AJ715" s="264">
        <f>IF(NFI_Expiration=1,IF($A715&lt;VLOOKUP(S$5,NFI,5,0),1,0)*Table_NFI[[#This Row],[Winter Clothes Children]],Table_NFI[Winter Clothes Children])</f>
        <v>0</v>
      </c>
      <c r="AK715" s="264">
        <f>IF(NFI_Expiration=1,IF($A715&lt;VLOOKUP(T$5,NFI,5,0),1,0)*Table_NFI[[#This Row],[Winter Items Other]],Table_NFI[Winter Items Other])</f>
        <v>0</v>
      </c>
      <c r="AL715" s="264">
        <f>IF(NFI_Expiration=1,IF($A715&lt;VLOOKUP(M$5,NFI,5,0),1,0)*Table_NFI[[#This Row],[Winter Blanket]],Table_NFI[[#This Row],[Winter Blanket]])</f>
        <v>0</v>
      </c>
      <c r="AM715" s="264">
        <f>IF(Table_NFI[[#This Row],[Winter Clothes Adult]]+Table_NFI[[#This Row],[Winter Clothes Children]]+Table_NFI[[#This Row],[Winter Items Other]]+Table_NFI[[#This Row],[Winter Blanket]]&gt;0,1,0)</f>
        <v>0</v>
      </c>
      <c r="AN715" s="296">
        <f>IF(NFI_Expiration=1,IF($A715&lt;VLOOKUP(V$5,NFI,5,0),1,0)*Table_NFI[[#This Row],[Jerry Can]],Table_NFI[Jerry Can])</f>
        <v>0</v>
      </c>
      <c r="AO715" s="296">
        <f>IF(NFI_Expiration=1,IF($A715&lt;VLOOKUP(V$5,NFI,5,0),1,0)*Table_NFI[[#This Row],[Shelter Tool kit]],Table_NFI[Shelter Tool kit])</f>
        <v>0</v>
      </c>
      <c r="AP715" s="296">
        <f>IF(NFI_Expiration=1,IF($A715&lt;VLOOKUP(V$5,NFI,5,0),1,0)*Table_NFI[[#This Row],[Tent]],Table_NFI[Tent])</f>
        <v>0</v>
      </c>
      <c r="AQ715" s="396" t="str">
        <f>IFERROR(VLOOKUP(Table_NFI[[#This Row],[Camp Name]],CL,2,0),"")</f>
        <v>MMR015CMP210</v>
      </c>
      <c r="AR715" s="702">
        <f ca="1">IF(Table_NFI[[#This Row],[Pcode]]="","",IF(OFFSET(CampList[Opening Date],MATCH(Table_NFI[[#This Row],[Pcode]],CampList[CP_Pcode],0)-1,0,1,1)&gt;=NFI_Monitor_Date,1,0))</f>
        <v>0</v>
      </c>
      <c r="AS715" s="396" t="str">
        <f>IFERROR(VLOOKUP(Table_NFI[[#This Row],[Camp Name]],CL,3,0),"")</f>
        <v>Open</v>
      </c>
      <c r="AT715" s="264" t="str">
        <f ca="1">IF(Table_NFI[[#This Row],[Pcode]]="","",OFFSET(CampList[Priority],MATCH(Table_NFI[[#This Row],[Pcode]],CampList[CP_Pcode],0)-1,0,1,1))</f>
        <v>P3</v>
      </c>
      <c r="AU715" s="263" t="str">
        <f>IFERROR(Table_NFI[[#This Row],[Kitchen Set]]/VLOOKUP(Table_NFI[[#This Row],[Camp Name]],CL,4,0),"")</f>
        <v/>
      </c>
      <c r="AV715" s="390" t="s">
        <v>1087</v>
      </c>
      <c r="AW715" s="392"/>
      <c r="AX715" s="399"/>
      <c r="AY715" s="399"/>
      <c r="AZ715" s="399"/>
      <c r="BA715" s="399"/>
      <c r="BB715" s="399"/>
      <c r="BC715" s="399"/>
      <c r="BD715" s="399"/>
      <c r="BE715" s="399"/>
      <c r="BF715" s="399"/>
      <c r="BG715" s="399"/>
      <c r="BH715" s="399"/>
      <c r="BI715" s="399"/>
      <c r="BJ715" s="399"/>
      <c r="BK715" s="399"/>
      <c r="BL715" s="399"/>
      <c r="BM715" s="399"/>
      <c r="BN715" s="399"/>
      <c r="BO715" s="399"/>
      <c r="BP715" s="399"/>
      <c r="BQ715" s="399"/>
      <c r="BR715" s="399"/>
      <c r="BS715" s="399"/>
      <c r="BT715" s="399"/>
      <c r="BU715" s="399"/>
      <c r="BV715" s="399"/>
      <c r="BW715" s="399"/>
      <c r="BX715" s="399"/>
      <c r="BY715" s="399"/>
      <c r="BZ715" s="399"/>
      <c r="CA715" s="399"/>
      <c r="CB715" s="399"/>
      <c r="CC715" s="399"/>
      <c r="CD715" s="399"/>
      <c r="CE715" s="399"/>
      <c r="CF715" s="399"/>
      <c r="CG715" s="399"/>
      <c r="CH715" s="399"/>
      <c r="CI715" s="399"/>
      <c r="CJ715" s="399"/>
      <c r="CK715" s="399"/>
      <c r="CL715" s="399"/>
      <c r="CM715" s="399"/>
      <c r="CN715" s="399"/>
      <c r="CO715" s="399"/>
      <c r="CP715" s="399"/>
      <c r="CQ715" s="399"/>
      <c r="CR715" s="399"/>
      <c r="CS715" s="399"/>
      <c r="CT715" s="399"/>
      <c r="CU715" s="399"/>
      <c r="CV715" s="399"/>
      <c r="CW715" s="399"/>
      <c r="CX715" s="399"/>
      <c r="CY715" s="399"/>
      <c r="CZ715" s="399"/>
      <c r="DA715" s="399"/>
      <c r="DB715" s="399"/>
      <c r="DC715" s="399"/>
      <c r="DD715" s="399"/>
      <c r="DE715" s="399"/>
      <c r="DF715" s="399"/>
      <c r="DG715" s="399"/>
      <c r="DH715" s="399"/>
      <c r="DI715" s="399"/>
      <c r="DJ715" s="399"/>
      <c r="DK715" s="399"/>
      <c r="DL715" s="399"/>
      <c r="DM715" s="399"/>
      <c r="DN715" s="399"/>
      <c r="DO715" s="399"/>
      <c r="DP715" s="399"/>
      <c r="DQ715" s="399"/>
    </row>
    <row r="716" spans="1:121" s="760" customFormat="1" ht="14.45" customHeight="1" x14ac:dyDescent="0.25">
      <c r="A716" s="266">
        <f t="shared" si="11"/>
        <v>45.233333333333334</v>
      </c>
      <c r="B716" s="389">
        <v>41499</v>
      </c>
      <c r="C716" s="390" t="s">
        <v>451</v>
      </c>
      <c r="D716" s="390" t="s">
        <v>459</v>
      </c>
      <c r="E716" s="390" t="s">
        <v>552</v>
      </c>
      <c r="F716" s="262" t="s">
        <v>778</v>
      </c>
      <c r="G716" s="262" t="s">
        <v>593</v>
      </c>
      <c r="H716" s="261"/>
      <c r="I716" s="261"/>
      <c r="J716" s="261">
        <v>27</v>
      </c>
      <c r="K716" s="261">
        <v>43</v>
      </c>
      <c r="L716" s="261">
        <v>17</v>
      </c>
      <c r="M716" s="261">
        <v>43</v>
      </c>
      <c r="N716" s="261">
        <v>17</v>
      </c>
      <c r="O716" s="261">
        <v>17</v>
      </c>
      <c r="P716" s="261">
        <v>17</v>
      </c>
      <c r="Q716" s="261">
        <v>17</v>
      </c>
      <c r="R716" s="261"/>
      <c r="S716" s="261"/>
      <c r="T716" s="261"/>
      <c r="U716" s="261"/>
      <c r="V716" s="762"/>
      <c r="W716" s="261"/>
      <c r="X716" s="261"/>
      <c r="Y716" s="264">
        <f>IF(NFI_Expiration=1,IF($A716&lt;VLOOKUP(H$5,NFI,5,0),1,0)*Table_NFI[[#This Row],[Hygiene Kit]],Table_NFI[Hygiene Kit])</f>
        <v>0</v>
      </c>
      <c r="Z716" s="264">
        <f>IF(NFI_Expiration=1,IF($A716&lt;VLOOKUP(I$5,NFI,5,0),1,0)*Table_NFI[[#This Row],[NFI Core Kit]],Table_NFI[NFI Core Kit])</f>
        <v>0</v>
      </c>
      <c r="AA716" s="264">
        <f>IF(NFI_Expiration=1,IF($A716&lt;VLOOKUP(J$5,NFI,5,0),1,0)*Table_NFI[[#This Row],[Sanitary Kit]],Table_NFI[Sanitary Kit])</f>
        <v>0</v>
      </c>
      <c r="AB716" s="264">
        <f>IF(NFI_Expiration=1,IF($A716&lt;VLOOKUP(K$5,NFI,5,0),1,0)*Table_NFI[[#This Row],[Mosquito net]],Table_NFI[Mosquito net])</f>
        <v>0</v>
      </c>
      <c r="AC716" s="264">
        <f>IF(NFI_Expiration=1,IF($A716&lt;VLOOKUP(L$5,NFI,5,0),1,0)*Table_NFI[[#This Row],[Tarpaulin]],Table_NFI[[#This Row],[Tarpaulin]])</f>
        <v>0</v>
      </c>
      <c r="AD716" s="264">
        <f>IF(NFI_Expiration=1,IF($A716&lt;VLOOKUP(M$5,NFI,5,0),1,0)*Table_NFI[[#This Row],[Blanket]],Table_NFI[[#This Row],[Blanket]])</f>
        <v>0</v>
      </c>
      <c r="AE716" s="264">
        <f>IF(NFI_Expiration=1,IF($A716&lt;VLOOKUP(N$5,NFI,5,0),1,0)*Table_NFI[[#This Row],[Kitchen Set]],Table_NFI[Kitchen Set])</f>
        <v>0</v>
      </c>
      <c r="AF716" s="264">
        <f>IF(NFI_Expiration=1,IF($A716&lt;VLOOKUP(O$5,NFI,5,0),1,0)*Table_NFI[[#This Row],[Clothes Kit]],Table_NFI[Clothes Kit])</f>
        <v>0</v>
      </c>
      <c r="AG716" s="264">
        <f>IF(NFI_Expiration=1,IF($A716&lt;VLOOKUP(P$5,NFI,5,0),1,0)*Table_NFI[[#This Row],[Plastic Bucket]],Table_NFI[Plastic Bucket])</f>
        <v>0</v>
      </c>
      <c r="AH716" s="264">
        <f>IF(NFI_Expiration=1,IF($A716&lt;VLOOKUP(Q$5,NFI,5,0),1,0)*Table_NFI[[#This Row],[Plastic Mat]],Table_NFI[Plastic Mat])*IF(Table_NFI[[#This Row],[Distribution Date]]&gt;"2014-04-01",1,2.5)</f>
        <v>0</v>
      </c>
      <c r="AI716" s="264">
        <f>IF(NFI_Expiration=1,IF($A716&lt;VLOOKUP(R$5,NFI,5,0),1,0)*Table_NFI[[#This Row],[Winter Clothes Adult]],Table_NFI[Winter Clothes Adult])</f>
        <v>0</v>
      </c>
      <c r="AJ716" s="264">
        <f>IF(NFI_Expiration=1,IF($A716&lt;VLOOKUP(S$5,NFI,5,0),1,0)*Table_NFI[[#This Row],[Winter Clothes Children]],Table_NFI[Winter Clothes Children])</f>
        <v>0</v>
      </c>
      <c r="AK716" s="264">
        <f>IF(NFI_Expiration=1,IF($A716&lt;VLOOKUP(T$5,NFI,5,0),1,0)*Table_NFI[[#This Row],[Winter Items Other]],Table_NFI[Winter Items Other])</f>
        <v>0</v>
      </c>
      <c r="AL716" s="264">
        <f>IF(NFI_Expiration=1,IF($A716&lt;VLOOKUP(M$5,NFI,5,0),1,0)*Table_NFI[[#This Row],[Winter Blanket]],Table_NFI[[#This Row],[Winter Blanket]])</f>
        <v>0</v>
      </c>
      <c r="AM716" s="264">
        <f>IF(Table_NFI[[#This Row],[Winter Clothes Adult]]+Table_NFI[[#This Row],[Winter Clothes Children]]+Table_NFI[[#This Row],[Winter Items Other]]+Table_NFI[[#This Row],[Winter Blanket]]&gt;0,1,0)</f>
        <v>0</v>
      </c>
      <c r="AN716" s="296">
        <f>IF(NFI_Expiration=1,IF($A716&lt;VLOOKUP(V$5,NFI,5,0),1,0)*Table_NFI[[#This Row],[Jerry Can]],Table_NFI[Jerry Can])</f>
        <v>0</v>
      </c>
      <c r="AO716" s="296">
        <f>IF(NFI_Expiration=1,IF($A716&lt;VLOOKUP(V$5,NFI,5,0),1,0)*Table_NFI[[#This Row],[Shelter Tool kit]],Table_NFI[Shelter Tool kit])</f>
        <v>0</v>
      </c>
      <c r="AP716" s="296">
        <f>IF(NFI_Expiration=1,IF($A716&lt;VLOOKUP(V$5,NFI,5,0),1,0)*Table_NFI[[#This Row],[Tent]],Table_NFI[Tent])</f>
        <v>0</v>
      </c>
      <c r="AQ716" s="396" t="str">
        <f>IFERROR(VLOOKUP(Table_NFI[[#This Row],[Camp Name]],CL,2,0),"")</f>
        <v>MMR015CMP207</v>
      </c>
      <c r="AR716" s="702">
        <f ca="1">IF(Table_NFI[[#This Row],[Pcode]]="","",IF(OFFSET(CampList[Opening Date],MATCH(Table_NFI[[#This Row],[Pcode]],CampList[CP_Pcode],0)-1,0,1,1)&gt;=NFI_Monitor_Date,1,0))</f>
        <v>0</v>
      </c>
      <c r="AS716" s="396" t="str">
        <f>IFERROR(VLOOKUP(Table_NFI[[#This Row],[Camp Name]],CL,3,0),"")</f>
        <v>Open</v>
      </c>
      <c r="AT716" s="264" t="str">
        <f ca="1">IF(Table_NFI[[#This Row],[Pcode]]="","",OFFSET(CampList[Priority],MATCH(Table_NFI[[#This Row],[Pcode]],CampList[CP_Pcode],0)-1,0,1,1))</f>
        <v>P4</v>
      </c>
      <c r="AU716" s="263">
        <f>IFERROR(Table_NFI[[#This Row],[Kitchen Set]]/VLOOKUP(Table_NFI[[#This Row],[Camp Name]],CL,4,0),"")</f>
        <v>4.1097546234739513E-4</v>
      </c>
      <c r="AV716" s="390" t="s">
        <v>1087</v>
      </c>
      <c r="AW716" s="392"/>
      <c r="AX716" s="399"/>
      <c r="AY716" s="399"/>
      <c r="AZ716" s="399"/>
      <c r="BA716" s="399"/>
      <c r="BB716" s="399"/>
      <c r="BC716" s="399"/>
      <c r="BD716" s="399"/>
      <c r="BE716" s="399"/>
      <c r="BF716" s="399"/>
      <c r="BG716" s="399"/>
      <c r="BH716" s="399"/>
      <c r="BI716" s="399"/>
      <c r="BJ716" s="399"/>
      <c r="BK716" s="399"/>
      <c r="BL716" s="399"/>
      <c r="BM716" s="399"/>
      <c r="BN716" s="399"/>
      <c r="BO716" s="399"/>
      <c r="BP716" s="399"/>
      <c r="BQ716" s="399"/>
      <c r="BR716" s="399"/>
      <c r="BS716" s="399"/>
      <c r="BT716" s="399"/>
      <c r="BU716" s="399"/>
      <c r="BV716" s="399"/>
      <c r="BW716" s="399"/>
      <c r="BX716" s="399"/>
      <c r="BY716" s="399"/>
      <c r="BZ716" s="399"/>
      <c r="CA716" s="399"/>
      <c r="CB716" s="399"/>
      <c r="CC716" s="399"/>
      <c r="CD716" s="399"/>
      <c r="CE716" s="399"/>
      <c r="CF716" s="399"/>
      <c r="CG716" s="399"/>
      <c r="CH716" s="399"/>
      <c r="CI716" s="399"/>
      <c r="CJ716" s="399"/>
      <c r="CK716" s="399"/>
      <c r="CL716" s="399"/>
      <c r="CM716" s="399"/>
      <c r="CN716" s="399"/>
      <c r="CO716" s="399"/>
      <c r="CP716" s="399"/>
      <c r="CQ716" s="399"/>
      <c r="CR716" s="399"/>
      <c r="CS716" s="399"/>
      <c r="CT716" s="399"/>
      <c r="CU716" s="399"/>
      <c r="CV716" s="399"/>
      <c r="CW716" s="399"/>
      <c r="CX716" s="399"/>
      <c r="CY716" s="399"/>
      <c r="CZ716" s="399"/>
      <c r="DA716" s="399"/>
      <c r="DB716" s="399"/>
      <c r="DC716" s="399"/>
      <c r="DD716" s="399"/>
      <c r="DE716" s="399"/>
      <c r="DF716" s="399"/>
      <c r="DG716" s="399"/>
      <c r="DH716" s="399"/>
      <c r="DI716" s="399"/>
      <c r="DJ716" s="399"/>
      <c r="DK716" s="399"/>
      <c r="DL716" s="399"/>
      <c r="DM716" s="399"/>
      <c r="DN716" s="399"/>
      <c r="DO716" s="399"/>
      <c r="DP716" s="399"/>
      <c r="DQ716" s="399"/>
    </row>
    <row r="717" spans="1:121" s="760" customFormat="1" ht="14.45" customHeight="1" x14ac:dyDescent="0.25">
      <c r="A717" s="266">
        <f t="shared" si="11"/>
        <v>45.233333333333334</v>
      </c>
      <c r="B717" s="389">
        <v>41499</v>
      </c>
      <c r="C717" s="390" t="s">
        <v>451</v>
      </c>
      <c r="D717" s="391" t="s">
        <v>505</v>
      </c>
      <c r="E717" s="390" t="s">
        <v>552</v>
      </c>
      <c r="F717" s="262" t="s">
        <v>146</v>
      </c>
      <c r="G717" s="262" t="s">
        <v>367</v>
      </c>
      <c r="H717" s="261"/>
      <c r="I717" s="261"/>
      <c r="J717" s="261">
        <v>70</v>
      </c>
      <c r="K717" s="261">
        <v>130</v>
      </c>
      <c r="L717" s="261">
        <v>52</v>
      </c>
      <c r="M717" s="261">
        <v>130</v>
      </c>
      <c r="N717" s="261">
        <v>52</v>
      </c>
      <c r="O717" s="261">
        <v>52</v>
      </c>
      <c r="P717" s="261">
        <v>52</v>
      </c>
      <c r="Q717" s="261">
        <v>52</v>
      </c>
      <c r="R717" s="261"/>
      <c r="S717" s="261"/>
      <c r="T717" s="261"/>
      <c r="U717" s="261"/>
      <c r="V717" s="762"/>
      <c r="W717" s="261"/>
      <c r="X717" s="261"/>
      <c r="Y717" s="264">
        <f>IF(NFI_Expiration=1,IF($A717&lt;VLOOKUP(H$5,NFI,5,0),1,0)*Table_NFI[[#This Row],[Hygiene Kit]],Table_NFI[Hygiene Kit])</f>
        <v>0</v>
      </c>
      <c r="Z717" s="264">
        <f>IF(NFI_Expiration=1,IF($A717&lt;VLOOKUP(I$5,NFI,5,0),1,0)*Table_NFI[[#This Row],[NFI Core Kit]],Table_NFI[NFI Core Kit])</f>
        <v>0</v>
      </c>
      <c r="AA717" s="264">
        <f>IF(NFI_Expiration=1,IF($A717&lt;VLOOKUP(J$5,NFI,5,0),1,0)*Table_NFI[[#This Row],[Sanitary Kit]],Table_NFI[Sanitary Kit])</f>
        <v>0</v>
      </c>
      <c r="AB717" s="264">
        <f>IF(NFI_Expiration=1,IF($A717&lt;VLOOKUP(K$5,NFI,5,0),1,0)*Table_NFI[[#This Row],[Mosquito net]],Table_NFI[Mosquito net])</f>
        <v>0</v>
      </c>
      <c r="AC717" s="264">
        <f>IF(NFI_Expiration=1,IF($A717&lt;VLOOKUP(L$5,NFI,5,0),1,0)*Table_NFI[[#This Row],[Tarpaulin]],Table_NFI[[#This Row],[Tarpaulin]])</f>
        <v>0</v>
      </c>
      <c r="AD717" s="264">
        <f>IF(NFI_Expiration=1,IF($A717&lt;VLOOKUP(M$5,NFI,5,0),1,0)*Table_NFI[[#This Row],[Blanket]],Table_NFI[[#This Row],[Blanket]])</f>
        <v>0</v>
      </c>
      <c r="AE717" s="264">
        <f>IF(NFI_Expiration=1,IF($A717&lt;VLOOKUP(N$5,NFI,5,0),1,0)*Table_NFI[[#This Row],[Kitchen Set]],Table_NFI[Kitchen Set])</f>
        <v>0</v>
      </c>
      <c r="AF717" s="264">
        <f>IF(NFI_Expiration=1,IF($A717&lt;VLOOKUP(O$5,NFI,5,0),1,0)*Table_NFI[[#This Row],[Clothes Kit]],Table_NFI[Clothes Kit])</f>
        <v>0</v>
      </c>
      <c r="AG717" s="264">
        <f>IF(NFI_Expiration=1,IF($A717&lt;VLOOKUP(P$5,NFI,5,0),1,0)*Table_NFI[[#This Row],[Plastic Bucket]],Table_NFI[Plastic Bucket])</f>
        <v>0</v>
      </c>
      <c r="AH717" s="264">
        <f>IF(NFI_Expiration=1,IF($A717&lt;VLOOKUP(Q$5,NFI,5,0),1,0)*Table_NFI[[#This Row],[Plastic Mat]],Table_NFI[Plastic Mat])*IF(Table_NFI[[#This Row],[Distribution Date]]&gt;"2014-04-01",1,2.5)</f>
        <v>0</v>
      </c>
      <c r="AI717" s="264">
        <f>IF(NFI_Expiration=1,IF($A717&lt;VLOOKUP(R$5,NFI,5,0),1,0)*Table_NFI[[#This Row],[Winter Clothes Adult]],Table_NFI[Winter Clothes Adult])</f>
        <v>0</v>
      </c>
      <c r="AJ717" s="264">
        <f>IF(NFI_Expiration=1,IF($A717&lt;VLOOKUP(S$5,NFI,5,0),1,0)*Table_NFI[[#This Row],[Winter Clothes Children]],Table_NFI[Winter Clothes Children])</f>
        <v>0</v>
      </c>
      <c r="AK717" s="264">
        <f>IF(NFI_Expiration=1,IF($A717&lt;VLOOKUP(T$5,NFI,5,0),1,0)*Table_NFI[[#This Row],[Winter Items Other]],Table_NFI[Winter Items Other])</f>
        <v>0</v>
      </c>
      <c r="AL717" s="264">
        <f>IF(NFI_Expiration=1,IF($A717&lt;VLOOKUP(M$5,NFI,5,0),1,0)*Table_NFI[[#This Row],[Winter Blanket]],Table_NFI[[#This Row],[Winter Blanket]])</f>
        <v>0</v>
      </c>
      <c r="AM717" s="264">
        <f>IF(Table_NFI[[#This Row],[Winter Clothes Adult]]+Table_NFI[[#This Row],[Winter Clothes Children]]+Table_NFI[[#This Row],[Winter Items Other]]+Table_NFI[[#This Row],[Winter Blanket]]&gt;0,1,0)</f>
        <v>0</v>
      </c>
      <c r="AN717" s="296">
        <f>IF(NFI_Expiration=1,IF($A717&lt;VLOOKUP(V$5,NFI,5,0),1,0)*Table_NFI[[#This Row],[Jerry Can]],Table_NFI[Jerry Can])</f>
        <v>0</v>
      </c>
      <c r="AO717" s="296">
        <f>IF(NFI_Expiration=1,IF($A717&lt;VLOOKUP(V$5,NFI,5,0),1,0)*Table_NFI[[#This Row],[Shelter Tool kit]],Table_NFI[Shelter Tool kit])</f>
        <v>0</v>
      </c>
      <c r="AP717" s="296">
        <f>IF(NFI_Expiration=1,IF($A717&lt;VLOOKUP(V$5,NFI,5,0),1,0)*Table_NFI[[#This Row],[Tent]],Table_NFI[Tent])</f>
        <v>0</v>
      </c>
      <c r="AQ717" s="396" t="str">
        <f>IFERROR(VLOOKUP(Table_NFI[[#This Row],[Camp Name]],CL,2,0),"")</f>
        <v>MMR015CMP019</v>
      </c>
      <c r="AR717" s="702">
        <f ca="1">IF(Table_NFI[[#This Row],[Pcode]]="","",IF(OFFSET(CampList[Opening Date],MATCH(Table_NFI[[#This Row],[Pcode]],CampList[CP_Pcode],0)-1,0,1,1)&gt;=NFI_Monitor_Date,1,0))</f>
        <v>0</v>
      </c>
      <c r="AS717" s="396" t="str">
        <f>IFERROR(VLOOKUP(Table_NFI[[#This Row],[Camp Name]],CL,3,0),"")</f>
        <v>Closed</v>
      </c>
      <c r="AT717" s="264" t="str">
        <f ca="1">IF(Table_NFI[[#This Row],[Pcode]]="","",OFFSET(CampList[Priority],MATCH(Table_NFI[[#This Row],[Pcode]],CampList[CP_Pcode],0)-1,0,1,1))</f>
        <v/>
      </c>
      <c r="AU717" s="263">
        <f>IFERROR(Table_NFI[[#This Row],[Kitchen Set]]/VLOOKUP(Table_NFI[[#This Row],[Camp Name]],CL,4,0),"")</f>
        <v>1.2749160271655184E-3</v>
      </c>
      <c r="AV717" s="390" t="s">
        <v>1087</v>
      </c>
      <c r="AW717" s="392"/>
      <c r="AX717" s="399"/>
      <c r="AY717" s="399"/>
      <c r="AZ717" s="399"/>
      <c r="BA717" s="399"/>
      <c r="BB717" s="399"/>
      <c r="BC717" s="399"/>
      <c r="BD717" s="399"/>
      <c r="BE717" s="399"/>
      <c r="BF717" s="399"/>
      <c r="BG717" s="399"/>
      <c r="BH717" s="399"/>
      <c r="BI717" s="399"/>
      <c r="BJ717" s="399"/>
      <c r="BK717" s="399"/>
      <c r="BL717" s="399"/>
      <c r="BM717" s="399"/>
      <c r="BN717" s="399"/>
      <c r="BO717" s="399"/>
      <c r="BP717" s="399"/>
      <c r="BQ717" s="399"/>
      <c r="BR717" s="399"/>
      <c r="BS717" s="399"/>
      <c r="BT717" s="399"/>
      <c r="BU717" s="399"/>
      <c r="BV717" s="399"/>
      <c r="BW717" s="399"/>
      <c r="BX717" s="399"/>
      <c r="BY717" s="399"/>
      <c r="BZ717" s="399"/>
      <c r="CA717" s="399"/>
      <c r="CB717" s="399"/>
      <c r="CC717" s="399"/>
      <c r="CD717" s="399"/>
      <c r="CE717" s="399"/>
      <c r="CF717" s="399"/>
      <c r="CG717" s="399"/>
      <c r="CH717" s="399"/>
      <c r="CI717" s="399"/>
      <c r="CJ717" s="399"/>
      <c r="CK717" s="399"/>
      <c r="CL717" s="399"/>
      <c r="CM717" s="399"/>
      <c r="CN717" s="399"/>
      <c r="CO717" s="399"/>
      <c r="CP717" s="399"/>
      <c r="CQ717" s="399"/>
      <c r="CR717" s="399"/>
      <c r="CS717" s="399"/>
      <c r="CT717" s="399"/>
      <c r="CU717" s="399"/>
      <c r="CV717" s="399"/>
      <c r="CW717" s="399"/>
      <c r="CX717" s="399"/>
      <c r="CY717" s="399"/>
      <c r="CZ717" s="399"/>
      <c r="DA717" s="399"/>
      <c r="DB717" s="399"/>
      <c r="DC717" s="399"/>
      <c r="DD717" s="399"/>
      <c r="DE717" s="399"/>
      <c r="DF717" s="399"/>
      <c r="DG717" s="399"/>
      <c r="DH717" s="399"/>
      <c r="DI717" s="399"/>
      <c r="DJ717" s="399"/>
      <c r="DK717" s="399"/>
      <c r="DL717" s="399"/>
      <c r="DM717" s="399"/>
      <c r="DN717" s="399"/>
      <c r="DO717" s="399"/>
      <c r="DP717" s="399"/>
      <c r="DQ717" s="399"/>
    </row>
    <row r="718" spans="1:121" s="760" customFormat="1" ht="14.45" customHeight="1" x14ac:dyDescent="0.25">
      <c r="A718" s="266">
        <f t="shared" si="11"/>
        <v>45.233333333333334</v>
      </c>
      <c r="B718" s="389">
        <v>41499</v>
      </c>
      <c r="C718" s="390" t="s">
        <v>451</v>
      </c>
      <c r="D718" s="390" t="s">
        <v>459</v>
      </c>
      <c r="E718" s="390" t="s">
        <v>552</v>
      </c>
      <c r="F718" s="390" t="s">
        <v>778</v>
      </c>
      <c r="G718" s="262" t="s">
        <v>913</v>
      </c>
      <c r="H718" s="261"/>
      <c r="I718" s="261"/>
      <c r="J718" s="261">
        <v>67</v>
      </c>
      <c r="K718" s="261">
        <v>90</v>
      </c>
      <c r="L718" s="261">
        <v>30</v>
      </c>
      <c r="M718" s="261">
        <v>90</v>
      </c>
      <c r="N718" s="261">
        <v>30</v>
      </c>
      <c r="O718" s="261">
        <v>30</v>
      </c>
      <c r="P718" s="261">
        <v>30</v>
      </c>
      <c r="Q718" s="261">
        <v>30</v>
      </c>
      <c r="R718" s="261"/>
      <c r="S718" s="261"/>
      <c r="T718" s="261"/>
      <c r="U718" s="261"/>
      <c r="V718" s="762"/>
      <c r="W718" s="261"/>
      <c r="X718" s="261"/>
      <c r="Y718" s="264">
        <f>IF(NFI_Expiration=1,IF($A718&lt;VLOOKUP(H$5,NFI,5,0),1,0)*Table_NFI[[#This Row],[Hygiene Kit]],Table_NFI[Hygiene Kit])</f>
        <v>0</v>
      </c>
      <c r="Z718" s="264">
        <f>IF(NFI_Expiration=1,IF($A718&lt;VLOOKUP(I$5,NFI,5,0),1,0)*Table_NFI[[#This Row],[NFI Core Kit]],Table_NFI[NFI Core Kit])</f>
        <v>0</v>
      </c>
      <c r="AA718" s="264">
        <f>IF(NFI_Expiration=1,IF($A718&lt;VLOOKUP(J$5,NFI,5,0),1,0)*Table_NFI[[#This Row],[Sanitary Kit]],Table_NFI[Sanitary Kit])</f>
        <v>0</v>
      </c>
      <c r="AB718" s="264">
        <f>IF(NFI_Expiration=1,IF($A718&lt;VLOOKUP(K$5,NFI,5,0),1,0)*Table_NFI[[#This Row],[Mosquito net]],Table_NFI[Mosquito net])</f>
        <v>0</v>
      </c>
      <c r="AC718" s="264">
        <f>IF(NFI_Expiration=1,IF($A718&lt;VLOOKUP(L$5,NFI,5,0),1,0)*Table_NFI[[#This Row],[Tarpaulin]],Table_NFI[[#This Row],[Tarpaulin]])</f>
        <v>0</v>
      </c>
      <c r="AD718" s="264">
        <f>IF(NFI_Expiration=1,IF($A718&lt;VLOOKUP(M$5,NFI,5,0),1,0)*Table_NFI[[#This Row],[Blanket]],Table_NFI[[#This Row],[Blanket]])</f>
        <v>0</v>
      </c>
      <c r="AE718" s="264">
        <f>IF(NFI_Expiration=1,IF($A718&lt;VLOOKUP(N$5,NFI,5,0),1,0)*Table_NFI[[#This Row],[Kitchen Set]],Table_NFI[Kitchen Set])</f>
        <v>0</v>
      </c>
      <c r="AF718" s="264">
        <f>IF(NFI_Expiration=1,IF($A718&lt;VLOOKUP(O$5,NFI,5,0),1,0)*Table_NFI[[#This Row],[Clothes Kit]],Table_NFI[Clothes Kit])</f>
        <v>0</v>
      </c>
      <c r="AG718" s="264">
        <f>IF(NFI_Expiration=1,IF($A718&lt;VLOOKUP(P$5,NFI,5,0),1,0)*Table_NFI[[#This Row],[Plastic Bucket]],Table_NFI[Plastic Bucket])</f>
        <v>0</v>
      </c>
      <c r="AH718" s="264">
        <f>IF(NFI_Expiration=1,IF($A718&lt;VLOOKUP(Q$5,NFI,5,0),1,0)*Table_NFI[[#This Row],[Plastic Mat]],Table_NFI[Plastic Mat])*IF(Table_NFI[[#This Row],[Distribution Date]]&gt;"2014-04-01",1,2.5)</f>
        <v>0</v>
      </c>
      <c r="AI718" s="264">
        <f>IF(NFI_Expiration=1,IF($A718&lt;VLOOKUP(R$5,NFI,5,0),1,0)*Table_NFI[[#This Row],[Winter Clothes Adult]],Table_NFI[Winter Clothes Adult])</f>
        <v>0</v>
      </c>
      <c r="AJ718" s="264">
        <f>IF(NFI_Expiration=1,IF($A718&lt;VLOOKUP(S$5,NFI,5,0),1,0)*Table_NFI[[#This Row],[Winter Clothes Children]],Table_NFI[Winter Clothes Children])</f>
        <v>0</v>
      </c>
      <c r="AK718" s="264">
        <f>IF(NFI_Expiration=1,IF($A718&lt;VLOOKUP(T$5,NFI,5,0),1,0)*Table_NFI[[#This Row],[Winter Items Other]],Table_NFI[Winter Items Other])</f>
        <v>0</v>
      </c>
      <c r="AL718" s="264">
        <f>IF(NFI_Expiration=1,IF($A718&lt;VLOOKUP(M$5,NFI,5,0),1,0)*Table_NFI[[#This Row],[Winter Blanket]],Table_NFI[[#This Row],[Winter Blanket]])</f>
        <v>0</v>
      </c>
      <c r="AM718" s="264">
        <f>IF(Table_NFI[[#This Row],[Winter Clothes Adult]]+Table_NFI[[#This Row],[Winter Clothes Children]]+Table_NFI[[#This Row],[Winter Items Other]]+Table_NFI[[#This Row],[Winter Blanket]]&gt;0,1,0)</f>
        <v>0</v>
      </c>
      <c r="AN718" s="296">
        <f>IF(NFI_Expiration=1,IF($A718&lt;VLOOKUP(V$5,NFI,5,0),1,0)*Table_NFI[[#This Row],[Jerry Can]],Table_NFI[Jerry Can])</f>
        <v>0</v>
      </c>
      <c r="AO718" s="296">
        <f>IF(NFI_Expiration=1,IF($A718&lt;VLOOKUP(V$5,NFI,5,0),1,0)*Table_NFI[[#This Row],[Shelter Tool kit]],Table_NFI[Shelter Tool kit])</f>
        <v>0</v>
      </c>
      <c r="AP718" s="296">
        <f>IF(NFI_Expiration=1,IF($A718&lt;VLOOKUP(V$5,NFI,5,0),1,0)*Table_NFI[[#This Row],[Tent]],Table_NFI[Tent])</f>
        <v>0</v>
      </c>
      <c r="AQ718" s="396" t="str">
        <f>IFERROR(VLOOKUP(Table_NFI[[#This Row],[Camp Name]],CL,2,0),"")</f>
        <v/>
      </c>
      <c r="AR718" s="702" t="str">
        <f ca="1">IF(Table_NFI[[#This Row],[Pcode]]="","",IF(OFFSET(CampList[Opening Date],MATCH(Table_NFI[[#This Row],[Pcode]],CampList[CP_Pcode],0)-1,0,1,1)&gt;=NFI_Monitor_Date,1,0))</f>
        <v/>
      </c>
      <c r="AS718" s="396" t="str">
        <f>IFERROR(VLOOKUP(Table_NFI[[#This Row],[Camp Name]],CL,3,0),"")</f>
        <v/>
      </c>
      <c r="AT718" s="264" t="str">
        <f ca="1">IF(Table_NFI[[#This Row],[Pcode]]="","",OFFSET(CampList[Priority],MATCH(Table_NFI[[#This Row],[Pcode]],CampList[CP_Pcode],0)-1,0,1,1))</f>
        <v/>
      </c>
      <c r="AU718" s="263" t="str">
        <f>IFERROR(Table_NFI[[#This Row],[Kitchen Set]]/VLOOKUP(Table_NFI[[#This Row],[Camp Name]],CL,4,0),"")</f>
        <v/>
      </c>
      <c r="AV718" s="390" t="s">
        <v>1087</v>
      </c>
      <c r="AW718" s="392"/>
      <c r="AX718" s="399"/>
      <c r="AY718" s="399"/>
      <c r="AZ718" s="399"/>
      <c r="BA718" s="399"/>
      <c r="BB718" s="399"/>
      <c r="BC718" s="399"/>
      <c r="BD718" s="399"/>
      <c r="BE718" s="399"/>
      <c r="BF718" s="399"/>
      <c r="BG718" s="399"/>
      <c r="BH718" s="399"/>
      <c r="BI718" s="399"/>
      <c r="BJ718" s="399"/>
      <c r="BK718" s="399"/>
      <c r="BL718" s="399"/>
      <c r="BM718" s="399"/>
      <c r="BN718" s="399"/>
      <c r="BO718" s="399"/>
      <c r="BP718" s="399"/>
      <c r="BQ718" s="399"/>
      <c r="BR718" s="399"/>
      <c r="BS718" s="399"/>
      <c r="BT718" s="399"/>
      <c r="BU718" s="399"/>
      <c r="BV718" s="399"/>
      <c r="BW718" s="399"/>
      <c r="BX718" s="399"/>
      <c r="BY718" s="399"/>
      <c r="BZ718" s="399"/>
      <c r="CA718" s="399"/>
      <c r="CB718" s="399"/>
      <c r="CC718" s="399"/>
      <c r="CD718" s="399"/>
      <c r="CE718" s="399"/>
      <c r="CF718" s="399"/>
      <c r="CG718" s="399"/>
      <c r="CH718" s="399"/>
      <c r="CI718" s="399"/>
      <c r="CJ718" s="399"/>
      <c r="CK718" s="399"/>
      <c r="CL718" s="399"/>
      <c r="CM718" s="399"/>
      <c r="CN718" s="399"/>
      <c r="CO718" s="399"/>
      <c r="CP718" s="399"/>
      <c r="CQ718" s="399"/>
      <c r="CR718" s="399"/>
      <c r="CS718" s="399"/>
      <c r="CT718" s="399"/>
      <c r="CU718" s="399"/>
      <c r="CV718" s="399"/>
      <c r="CW718" s="399"/>
      <c r="CX718" s="399"/>
      <c r="CY718" s="399"/>
      <c r="CZ718" s="399"/>
      <c r="DA718" s="399"/>
      <c r="DB718" s="399"/>
      <c r="DC718" s="399"/>
      <c r="DD718" s="399"/>
      <c r="DE718" s="399"/>
      <c r="DF718" s="399"/>
      <c r="DG718" s="399"/>
      <c r="DH718" s="399"/>
      <c r="DI718" s="399"/>
      <c r="DJ718" s="399"/>
      <c r="DK718" s="399"/>
      <c r="DL718" s="399"/>
      <c r="DM718" s="399"/>
      <c r="DN718" s="399"/>
      <c r="DO718" s="399"/>
      <c r="DP718" s="399"/>
      <c r="DQ718" s="399"/>
    </row>
    <row r="719" spans="1:121" s="760" customFormat="1" ht="14.45" customHeight="1" x14ac:dyDescent="0.25">
      <c r="A719" s="266">
        <f t="shared" si="11"/>
        <v>45.233333333333334</v>
      </c>
      <c r="B719" s="389">
        <v>41499</v>
      </c>
      <c r="C719" s="390" t="s">
        <v>451</v>
      </c>
      <c r="D719" s="390" t="s">
        <v>505</v>
      </c>
      <c r="E719" s="390" t="s">
        <v>552</v>
      </c>
      <c r="F719" s="262" t="s">
        <v>289</v>
      </c>
      <c r="G719" s="262" t="s">
        <v>375</v>
      </c>
      <c r="H719" s="261"/>
      <c r="I719" s="261"/>
      <c r="J719" s="261">
        <v>40</v>
      </c>
      <c r="K719" s="261">
        <v>83</v>
      </c>
      <c r="L719" s="261">
        <v>33</v>
      </c>
      <c r="M719" s="261">
        <v>83</v>
      </c>
      <c r="N719" s="261">
        <v>33</v>
      </c>
      <c r="O719" s="261">
        <v>33</v>
      </c>
      <c r="P719" s="261">
        <v>33</v>
      </c>
      <c r="Q719" s="261">
        <v>33</v>
      </c>
      <c r="R719" s="261"/>
      <c r="S719" s="261"/>
      <c r="T719" s="261"/>
      <c r="U719" s="261"/>
      <c r="V719" s="762"/>
      <c r="W719" s="261"/>
      <c r="X719" s="261"/>
      <c r="Y719" s="264">
        <f>IF(NFI_Expiration=1,IF($A719&lt;VLOOKUP(H$5,NFI,5,0),1,0)*Table_NFI[[#This Row],[Hygiene Kit]],Table_NFI[Hygiene Kit])</f>
        <v>0</v>
      </c>
      <c r="Z719" s="264">
        <f>IF(NFI_Expiration=1,IF($A719&lt;VLOOKUP(I$5,NFI,5,0),1,0)*Table_NFI[[#This Row],[NFI Core Kit]],Table_NFI[NFI Core Kit])</f>
        <v>0</v>
      </c>
      <c r="AA719" s="264">
        <f>IF(NFI_Expiration=1,IF($A719&lt;VLOOKUP(J$5,NFI,5,0),1,0)*Table_NFI[[#This Row],[Sanitary Kit]],Table_NFI[Sanitary Kit])</f>
        <v>0</v>
      </c>
      <c r="AB719" s="264">
        <f>IF(NFI_Expiration=1,IF($A719&lt;VLOOKUP(K$5,NFI,5,0),1,0)*Table_NFI[[#This Row],[Mosquito net]],Table_NFI[Mosquito net])</f>
        <v>0</v>
      </c>
      <c r="AC719" s="264">
        <f>IF(NFI_Expiration=1,IF($A719&lt;VLOOKUP(L$5,NFI,5,0),1,0)*Table_NFI[[#This Row],[Tarpaulin]],Table_NFI[[#This Row],[Tarpaulin]])</f>
        <v>0</v>
      </c>
      <c r="AD719" s="264">
        <f>IF(NFI_Expiration=1,IF($A719&lt;VLOOKUP(M$5,NFI,5,0),1,0)*Table_NFI[[#This Row],[Blanket]],Table_NFI[[#This Row],[Blanket]])</f>
        <v>0</v>
      </c>
      <c r="AE719" s="264">
        <f>IF(NFI_Expiration=1,IF($A719&lt;VLOOKUP(N$5,NFI,5,0),1,0)*Table_NFI[[#This Row],[Kitchen Set]],Table_NFI[Kitchen Set])</f>
        <v>0</v>
      </c>
      <c r="AF719" s="264">
        <f>IF(NFI_Expiration=1,IF($A719&lt;VLOOKUP(O$5,NFI,5,0),1,0)*Table_NFI[[#This Row],[Clothes Kit]],Table_NFI[Clothes Kit])</f>
        <v>0</v>
      </c>
      <c r="AG719" s="264">
        <f>IF(NFI_Expiration=1,IF($A719&lt;VLOOKUP(P$5,NFI,5,0),1,0)*Table_NFI[[#This Row],[Plastic Bucket]],Table_NFI[Plastic Bucket])</f>
        <v>0</v>
      </c>
      <c r="AH719" s="264">
        <f>IF(NFI_Expiration=1,IF($A719&lt;VLOOKUP(Q$5,NFI,5,0),1,0)*Table_NFI[[#This Row],[Plastic Mat]],Table_NFI[Plastic Mat])*IF(Table_NFI[[#This Row],[Distribution Date]]&gt;"2014-04-01",1,2.5)</f>
        <v>0</v>
      </c>
      <c r="AI719" s="264">
        <f>IF(NFI_Expiration=1,IF($A719&lt;VLOOKUP(R$5,NFI,5,0),1,0)*Table_NFI[[#This Row],[Winter Clothes Adult]],Table_NFI[Winter Clothes Adult])</f>
        <v>0</v>
      </c>
      <c r="AJ719" s="264">
        <f>IF(NFI_Expiration=1,IF($A719&lt;VLOOKUP(S$5,NFI,5,0),1,0)*Table_NFI[[#This Row],[Winter Clothes Children]],Table_NFI[Winter Clothes Children])</f>
        <v>0</v>
      </c>
      <c r="AK719" s="264">
        <f>IF(NFI_Expiration=1,IF($A719&lt;VLOOKUP(T$5,NFI,5,0),1,0)*Table_NFI[[#This Row],[Winter Items Other]],Table_NFI[Winter Items Other])</f>
        <v>0</v>
      </c>
      <c r="AL719" s="264">
        <f>IF(NFI_Expiration=1,IF($A719&lt;VLOOKUP(M$5,NFI,5,0),1,0)*Table_NFI[[#This Row],[Winter Blanket]],Table_NFI[[#This Row],[Winter Blanket]])</f>
        <v>0</v>
      </c>
      <c r="AM719" s="264">
        <f>IF(Table_NFI[[#This Row],[Winter Clothes Adult]]+Table_NFI[[#This Row],[Winter Clothes Children]]+Table_NFI[[#This Row],[Winter Items Other]]+Table_NFI[[#This Row],[Winter Blanket]]&gt;0,1,0)</f>
        <v>0</v>
      </c>
      <c r="AN719" s="296">
        <f>IF(NFI_Expiration=1,IF($A719&lt;VLOOKUP(V$5,NFI,5,0),1,0)*Table_NFI[[#This Row],[Jerry Can]],Table_NFI[Jerry Can])</f>
        <v>0</v>
      </c>
      <c r="AO719" s="296">
        <f>IF(NFI_Expiration=1,IF($A719&lt;VLOOKUP(V$5,NFI,5,0),1,0)*Table_NFI[[#This Row],[Shelter Tool kit]],Table_NFI[Shelter Tool kit])</f>
        <v>0</v>
      </c>
      <c r="AP719" s="296">
        <f>IF(NFI_Expiration=1,IF($A719&lt;VLOOKUP(V$5,NFI,5,0),1,0)*Table_NFI[[#This Row],[Tent]],Table_NFI[Tent])</f>
        <v>0</v>
      </c>
      <c r="AQ719" s="396" t="str">
        <f>IFERROR(VLOOKUP(Table_NFI[[#This Row],[Camp Name]],CL,2,0),"")</f>
        <v>MMR015CMP024</v>
      </c>
      <c r="AR719" s="702">
        <f ca="1">IF(Table_NFI[[#This Row],[Pcode]]="","",IF(OFFSET(CampList[Opening Date],MATCH(Table_NFI[[#This Row],[Pcode]],CampList[CP_Pcode],0)-1,0,1,1)&gt;=NFI_Monitor_Date,1,0))</f>
        <v>0</v>
      </c>
      <c r="AS719" s="396" t="str">
        <f>IFERROR(VLOOKUP(Table_NFI[[#This Row],[Camp Name]],CL,3,0),"")</f>
        <v>Closed</v>
      </c>
      <c r="AT719" s="264" t="str">
        <f ca="1">IF(Table_NFI[[#This Row],[Pcode]]="","",OFFSET(CampList[Priority],MATCH(Table_NFI[[#This Row],[Pcode]],CampList[CP_Pcode],0)-1,0,1,1))</f>
        <v/>
      </c>
      <c r="AU719" s="263" t="str">
        <f>IFERROR(Table_NFI[[#This Row],[Kitchen Set]]/VLOOKUP(Table_NFI[[#This Row],[Camp Name]],CL,4,0),"")</f>
        <v/>
      </c>
      <c r="AV719" s="390" t="s">
        <v>1087</v>
      </c>
      <c r="AW719" s="392"/>
      <c r="AX719" s="399"/>
      <c r="AY719" s="399"/>
      <c r="AZ719" s="399"/>
      <c r="BA719" s="399"/>
      <c r="BB719" s="399"/>
      <c r="BC719" s="399"/>
      <c r="BD719" s="399"/>
      <c r="BE719" s="399"/>
      <c r="BF719" s="399"/>
      <c r="BG719" s="399"/>
      <c r="BH719" s="399"/>
      <c r="BI719" s="399"/>
      <c r="BJ719" s="399"/>
      <c r="BK719" s="399"/>
      <c r="BL719" s="399"/>
      <c r="BM719" s="399"/>
      <c r="BN719" s="399"/>
      <c r="BO719" s="399"/>
      <c r="BP719" s="399"/>
      <c r="BQ719" s="399"/>
      <c r="BR719" s="399"/>
      <c r="BS719" s="399"/>
      <c r="BT719" s="399"/>
      <c r="BU719" s="399"/>
      <c r="BV719" s="399"/>
      <c r="BW719" s="399"/>
      <c r="BX719" s="399"/>
      <c r="BY719" s="399"/>
      <c r="BZ719" s="399"/>
      <c r="CA719" s="399"/>
      <c r="CB719" s="399"/>
      <c r="CC719" s="399"/>
      <c r="CD719" s="399"/>
      <c r="CE719" s="399"/>
      <c r="CF719" s="399"/>
      <c r="CG719" s="399"/>
      <c r="CH719" s="399"/>
      <c r="CI719" s="399"/>
      <c r="CJ719" s="399"/>
      <c r="CK719" s="399"/>
      <c r="CL719" s="399"/>
      <c r="CM719" s="399"/>
      <c r="CN719" s="399"/>
      <c r="CO719" s="399"/>
      <c r="CP719" s="399"/>
      <c r="CQ719" s="399"/>
      <c r="CR719" s="399"/>
      <c r="CS719" s="399"/>
      <c r="CT719" s="399"/>
      <c r="CU719" s="399"/>
      <c r="CV719" s="399"/>
      <c r="CW719" s="399"/>
      <c r="CX719" s="399"/>
      <c r="CY719" s="399"/>
      <c r="CZ719" s="399"/>
      <c r="DA719" s="399"/>
      <c r="DB719" s="399"/>
      <c r="DC719" s="399"/>
      <c r="DD719" s="399"/>
      <c r="DE719" s="399"/>
      <c r="DF719" s="399"/>
      <c r="DG719" s="399"/>
      <c r="DH719" s="399"/>
      <c r="DI719" s="399"/>
      <c r="DJ719" s="399"/>
      <c r="DK719" s="399"/>
      <c r="DL719" s="399"/>
      <c r="DM719" s="399"/>
      <c r="DN719" s="399"/>
      <c r="DO719" s="399"/>
      <c r="DP719" s="399"/>
      <c r="DQ719" s="399"/>
    </row>
    <row r="720" spans="1:121" s="760" customFormat="1" ht="15" customHeight="1" x14ac:dyDescent="0.25">
      <c r="A720" s="266">
        <f t="shared" si="11"/>
        <v>45.43333333333333</v>
      </c>
      <c r="B720" s="389">
        <v>41493</v>
      </c>
      <c r="C720" s="390" t="s">
        <v>451</v>
      </c>
      <c r="D720" s="390" t="s">
        <v>451</v>
      </c>
      <c r="E720" s="390" t="s">
        <v>380</v>
      </c>
      <c r="F720" s="262" t="s">
        <v>310</v>
      </c>
      <c r="G720" s="262" t="s">
        <v>320</v>
      </c>
      <c r="H720" s="261"/>
      <c r="I720" s="261"/>
      <c r="J720" s="261">
        <v>15</v>
      </c>
      <c r="K720" s="261">
        <v>57</v>
      </c>
      <c r="L720" s="261">
        <v>24</v>
      </c>
      <c r="M720" s="261">
        <v>57</v>
      </c>
      <c r="N720" s="261">
        <v>24</v>
      </c>
      <c r="O720" s="261">
        <v>24</v>
      </c>
      <c r="P720" s="261">
        <v>24</v>
      </c>
      <c r="Q720" s="261">
        <v>24</v>
      </c>
      <c r="R720" s="261"/>
      <c r="S720" s="261"/>
      <c r="T720" s="261"/>
      <c r="U720" s="261"/>
      <c r="V720" s="762"/>
      <c r="W720" s="762"/>
      <c r="X720" s="762"/>
      <c r="Y720" s="264">
        <f>IF(NFI_Expiration=1,IF($A720&lt;VLOOKUP(H$5,NFI,5,0),1,0)*Table_NFI[[#This Row],[Hygiene Kit]],Table_NFI[Hygiene Kit])</f>
        <v>0</v>
      </c>
      <c r="Z720" s="264">
        <f>IF(NFI_Expiration=1,IF($A720&lt;VLOOKUP(I$5,NFI,5,0),1,0)*Table_NFI[[#This Row],[NFI Core Kit]],Table_NFI[NFI Core Kit])</f>
        <v>0</v>
      </c>
      <c r="AA720" s="264">
        <f>IF(NFI_Expiration=1,IF($A720&lt;VLOOKUP(J$5,NFI,5,0),1,0)*Table_NFI[[#This Row],[Sanitary Kit]],Table_NFI[Sanitary Kit])</f>
        <v>0</v>
      </c>
      <c r="AB720" s="264">
        <f>IF(NFI_Expiration=1,IF($A720&lt;VLOOKUP(K$5,NFI,5,0),1,0)*Table_NFI[[#This Row],[Mosquito net]],Table_NFI[Mosquito net])</f>
        <v>0</v>
      </c>
      <c r="AC720" s="264">
        <f>IF(NFI_Expiration=1,IF($A720&lt;VLOOKUP(L$5,NFI,5,0),1,0)*Table_NFI[[#This Row],[Tarpaulin]],Table_NFI[[#This Row],[Tarpaulin]])</f>
        <v>0</v>
      </c>
      <c r="AD720" s="264">
        <f>IF(NFI_Expiration=1,IF($A720&lt;VLOOKUP(M$5,NFI,5,0),1,0)*Table_NFI[[#This Row],[Blanket]],Table_NFI[[#This Row],[Blanket]])</f>
        <v>0</v>
      </c>
      <c r="AE720" s="264">
        <f>IF(NFI_Expiration=1,IF($A720&lt;VLOOKUP(N$5,NFI,5,0),1,0)*Table_NFI[[#This Row],[Kitchen Set]],Table_NFI[Kitchen Set])</f>
        <v>0</v>
      </c>
      <c r="AF720" s="264">
        <f>IF(NFI_Expiration=1,IF($A720&lt;VLOOKUP(O$5,NFI,5,0),1,0)*Table_NFI[[#This Row],[Clothes Kit]],Table_NFI[Clothes Kit])</f>
        <v>0</v>
      </c>
      <c r="AG720" s="264">
        <f>IF(NFI_Expiration=1,IF($A720&lt;VLOOKUP(P$5,NFI,5,0),1,0)*Table_NFI[[#This Row],[Plastic Bucket]],Table_NFI[Plastic Bucket])</f>
        <v>0</v>
      </c>
      <c r="AH720" s="264">
        <f>IF(NFI_Expiration=1,IF($A720&lt;VLOOKUP(Q$5,NFI,5,0),1,0)*Table_NFI[[#This Row],[Plastic Mat]],Table_NFI[Plastic Mat])*IF(Table_NFI[[#This Row],[Distribution Date]]&gt;"2014-04-01",1,2.5)</f>
        <v>0</v>
      </c>
      <c r="AI720" s="264">
        <f>IF(NFI_Expiration=1,IF($A720&lt;VLOOKUP(R$5,NFI,5,0),1,0)*Table_NFI[[#This Row],[Winter Clothes Adult]],Table_NFI[Winter Clothes Adult])</f>
        <v>0</v>
      </c>
      <c r="AJ720" s="264">
        <f>IF(NFI_Expiration=1,IF($A720&lt;VLOOKUP(S$5,NFI,5,0),1,0)*Table_NFI[[#This Row],[Winter Clothes Children]],Table_NFI[Winter Clothes Children])</f>
        <v>0</v>
      </c>
      <c r="AK720" s="264">
        <f>IF(NFI_Expiration=1,IF($A720&lt;VLOOKUP(T$5,NFI,5,0),1,0)*Table_NFI[[#This Row],[Winter Items Other]],Table_NFI[Winter Items Other])</f>
        <v>0</v>
      </c>
      <c r="AL720" s="264">
        <f>IF(NFI_Expiration=1,IF($A720&lt;VLOOKUP(M$5,NFI,5,0),1,0)*Table_NFI[[#This Row],[Winter Blanket]],Table_NFI[[#This Row],[Winter Blanket]])</f>
        <v>0</v>
      </c>
      <c r="AM720" s="264">
        <f>IF(Table_NFI[[#This Row],[Winter Clothes Adult]]+Table_NFI[[#This Row],[Winter Clothes Children]]+Table_NFI[[#This Row],[Winter Items Other]]+Table_NFI[[#This Row],[Winter Blanket]]&gt;0,1,0)</f>
        <v>0</v>
      </c>
      <c r="AN720" s="296">
        <f>IF(NFI_Expiration=1,IF($A720&lt;VLOOKUP(V$5,NFI,5,0),1,0)*Table_NFI[[#This Row],[Jerry Can]],Table_NFI[Jerry Can])</f>
        <v>0</v>
      </c>
      <c r="AO720" s="296">
        <f>IF(NFI_Expiration=1,IF($A720&lt;VLOOKUP(V$5,NFI,5,0),1,0)*Table_NFI[[#This Row],[Shelter Tool kit]],Table_NFI[Shelter Tool kit])</f>
        <v>0</v>
      </c>
      <c r="AP720" s="296">
        <f>IF(NFI_Expiration=1,IF($A720&lt;VLOOKUP(V$5,NFI,5,0),1,0)*Table_NFI[[#This Row],[Tent]],Table_NFI[Tent])</f>
        <v>0</v>
      </c>
      <c r="AQ720" s="396" t="str">
        <f>IFERROR(VLOOKUP(Table_NFI[[#This Row],[Camp Name]],CL,2,0),"")</f>
        <v>MMR001CMP027</v>
      </c>
      <c r="AR720" s="702">
        <f ca="1">IF(Table_NFI[[#This Row],[Pcode]]="","",IF(OFFSET(CampList[Opening Date],MATCH(Table_NFI[[#This Row],[Pcode]],CampList[CP_Pcode],0)-1,0,1,1)&gt;=NFI_Monitor_Date,1,0))</f>
        <v>0</v>
      </c>
      <c r="AS720" s="396" t="str">
        <f>IFERROR(VLOOKUP(Table_NFI[[#This Row],[Camp Name]],CL,3,0),"")</f>
        <v>Open</v>
      </c>
      <c r="AT720" s="264" t="str">
        <f ca="1">IF(Table_NFI[[#This Row],[Pcode]]="","",OFFSET(CampList[Priority],MATCH(Table_NFI[[#This Row],[Pcode]],CampList[CP_Pcode],0)-1,0,1,1))</f>
        <v>P4</v>
      </c>
      <c r="AU720" s="263">
        <f>IFERROR(Table_NFI[[#This Row],[Kitchen Set]]/VLOOKUP(Table_NFI[[#This Row],[Camp Name]],CL,4,0),"")</f>
        <v>5.849378503534E-4</v>
      </c>
      <c r="AV720" s="390" t="s">
        <v>1087</v>
      </c>
      <c r="AW720" s="392"/>
      <c r="AX720" s="399"/>
      <c r="AY720" s="399"/>
      <c r="AZ720" s="399"/>
      <c r="BA720" s="399"/>
      <c r="BB720" s="399"/>
      <c r="BC720" s="399"/>
      <c r="BD720" s="399"/>
      <c r="BE720" s="399"/>
      <c r="BF720" s="399"/>
      <c r="BG720" s="399"/>
      <c r="BH720" s="399"/>
      <c r="BI720" s="399"/>
      <c r="BJ720" s="399"/>
      <c r="BK720" s="399"/>
      <c r="BL720" s="399"/>
      <c r="BM720" s="399"/>
      <c r="BN720" s="399"/>
      <c r="BO720" s="399"/>
      <c r="BP720" s="399"/>
      <c r="BQ720" s="399"/>
      <c r="BR720" s="399"/>
      <c r="BS720" s="399"/>
      <c r="BT720" s="399"/>
      <c r="BU720" s="399"/>
      <c r="BV720" s="399"/>
      <c r="BW720" s="399"/>
      <c r="BX720" s="399"/>
      <c r="BY720" s="399"/>
      <c r="BZ720" s="399"/>
      <c r="CA720" s="399"/>
      <c r="CB720" s="399"/>
      <c r="CC720" s="399"/>
      <c r="CD720" s="399"/>
      <c r="CE720" s="399"/>
      <c r="CF720" s="399"/>
      <c r="CG720" s="399"/>
      <c r="CH720" s="399"/>
      <c r="CI720" s="399"/>
      <c r="CJ720" s="399"/>
      <c r="CK720" s="399"/>
      <c r="CL720" s="399"/>
      <c r="CM720" s="399"/>
      <c r="CN720" s="399"/>
      <c r="CO720" s="399"/>
      <c r="CP720" s="399"/>
      <c r="CQ720" s="399"/>
      <c r="CR720" s="399"/>
      <c r="CS720" s="399"/>
      <c r="CT720" s="399"/>
      <c r="CU720" s="399"/>
      <c r="CV720" s="399"/>
      <c r="CW720" s="399"/>
      <c r="CX720" s="399"/>
      <c r="CY720" s="399"/>
      <c r="CZ720" s="399"/>
      <c r="DA720" s="399"/>
      <c r="DB720" s="399"/>
      <c r="DC720" s="399"/>
      <c r="DD720" s="399"/>
      <c r="DE720" s="399"/>
      <c r="DF720" s="399"/>
      <c r="DG720" s="399"/>
      <c r="DH720" s="399"/>
      <c r="DI720" s="399"/>
      <c r="DJ720" s="399"/>
      <c r="DK720" s="399"/>
      <c r="DL720" s="399"/>
      <c r="DM720" s="399"/>
      <c r="DN720" s="399"/>
      <c r="DO720" s="399"/>
      <c r="DP720" s="399"/>
      <c r="DQ720" s="399"/>
    </row>
    <row r="721" spans="1:121" s="760" customFormat="1" ht="15" customHeight="1" x14ac:dyDescent="0.25">
      <c r="A721" s="266">
        <f t="shared" si="11"/>
        <v>45.43333333333333</v>
      </c>
      <c r="B721" s="389">
        <v>41493</v>
      </c>
      <c r="C721" s="390" t="s">
        <v>451</v>
      </c>
      <c r="D721" s="391" t="s">
        <v>451</v>
      </c>
      <c r="E721" s="390" t="s">
        <v>380</v>
      </c>
      <c r="F721" s="262" t="s">
        <v>310</v>
      </c>
      <c r="G721" s="262" t="s">
        <v>328</v>
      </c>
      <c r="H721" s="261"/>
      <c r="I721" s="261"/>
      <c r="J721" s="261">
        <v>20</v>
      </c>
      <c r="K721" s="261">
        <v>40</v>
      </c>
      <c r="L721" s="261">
        <v>17</v>
      </c>
      <c r="M721" s="261">
        <v>40</v>
      </c>
      <c r="N721" s="261">
        <v>17</v>
      </c>
      <c r="O721" s="261">
        <v>17</v>
      </c>
      <c r="P721" s="261">
        <v>17</v>
      </c>
      <c r="Q721" s="261">
        <v>17</v>
      </c>
      <c r="R721" s="261"/>
      <c r="S721" s="261"/>
      <c r="T721" s="261"/>
      <c r="U721" s="261"/>
      <c r="V721" s="762"/>
      <c r="W721" s="762"/>
      <c r="X721" s="762"/>
      <c r="Y721" s="264">
        <f>IF(NFI_Expiration=1,IF($A721&lt;VLOOKUP(H$5,NFI,5,0),1,0)*Table_NFI[[#This Row],[Hygiene Kit]],Table_NFI[Hygiene Kit])</f>
        <v>0</v>
      </c>
      <c r="Z721" s="264">
        <f>IF(NFI_Expiration=1,IF($A721&lt;VLOOKUP(I$5,NFI,5,0),1,0)*Table_NFI[[#This Row],[NFI Core Kit]],Table_NFI[NFI Core Kit])</f>
        <v>0</v>
      </c>
      <c r="AA721" s="264">
        <f>IF(NFI_Expiration=1,IF($A721&lt;VLOOKUP(J$5,NFI,5,0),1,0)*Table_NFI[[#This Row],[Sanitary Kit]],Table_NFI[Sanitary Kit])</f>
        <v>0</v>
      </c>
      <c r="AB721" s="264">
        <f>IF(NFI_Expiration=1,IF($A721&lt;VLOOKUP(K$5,NFI,5,0),1,0)*Table_NFI[[#This Row],[Mosquito net]],Table_NFI[Mosquito net])</f>
        <v>0</v>
      </c>
      <c r="AC721" s="264">
        <f>IF(NFI_Expiration=1,IF($A721&lt;VLOOKUP(L$5,NFI,5,0),1,0)*Table_NFI[[#This Row],[Tarpaulin]],Table_NFI[[#This Row],[Tarpaulin]])</f>
        <v>0</v>
      </c>
      <c r="AD721" s="264">
        <f>IF(NFI_Expiration=1,IF($A721&lt;VLOOKUP(M$5,NFI,5,0),1,0)*Table_NFI[[#This Row],[Blanket]],Table_NFI[[#This Row],[Blanket]])</f>
        <v>0</v>
      </c>
      <c r="AE721" s="264">
        <f>IF(NFI_Expiration=1,IF($A721&lt;VLOOKUP(N$5,NFI,5,0),1,0)*Table_NFI[[#This Row],[Kitchen Set]],Table_NFI[Kitchen Set])</f>
        <v>0</v>
      </c>
      <c r="AF721" s="264">
        <f>IF(NFI_Expiration=1,IF($A721&lt;VLOOKUP(O$5,NFI,5,0),1,0)*Table_NFI[[#This Row],[Clothes Kit]],Table_NFI[Clothes Kit])</f>
        <v>0</v>
      </c>
      <c r="AG721" s="264">
        <f>IF(NFI_Expiration=1,IF($A721&lt;VLOOKUP(P$5,NFI,5,0),1,0)*Table_NFI[[#This Row],[Plastic Bucket]],Table_NFI[Plastic Bucket])</f>
        <v>0</v>
      </c>
      <c r="AH721" s="264">
        <f>IF(NFI_Expiration=1,IF($A721&lt;VLOOKUP(Q$5,NFI,5,0),1,0)*Table_NFI[[#This Row],[Plastic Mat]],Table_NFI[Plastic Mat])*IF(Table_NFI[[#This Row],[Distribution Date]]&gt;"2014-04-01",1,2.5)</f>
        <v>0</v>
      </c>
      <c r="AI721" s="264">
        <f>IF(NFI_Expiration=1,IF($A721&lt;VLOOKUP(R$5,NFI,5,0),1,0)*Table_NFI[[#This Row],[Winter Clothes Adult]],Table_NFI[Winter Clothes Adult])</f>
        <v>0</v>
      </c>
      <c r="AJ721" s="264">
        <f>IF(NFI_Expiration=1,IF($A721&lt;VLOOKUP(S$5,NFI,5,0),1,0)*Table_NFI[[#This Row],[Winter Clothes Children]],Table_NFI[Winter Clothes Children])</f>
        <v>0</v>
      </c>
      <c r="AK721" s="264">
        <f>IF(NFI_Expiration=1,IF($A721&lt;VLOOKUP(T$5,NFI,5,0),1,0)*Table_NFI[[#This Row],[Winter Items Other]],Table_NFI[Winter Items Other])</f>
        <v>0</v>
      </c>
      <c r="AL721" s="264">
        <f>IF(NFI_Expiration=1,IF($A721&lt;VLOOKUP(M$5,NFI,5,0),1,0)*Table_NFI[[#This Row],[Winter Blanket]],Table_NFI[[#This Row],[Winter Blanket]])</f>
        <v>0</v>
      </c>
      <c r="AM721" s="264">
        <f>IF(Table_NFI[[#This Row],[Winter Clothes Adult]]+Table_NFI[[#This Row],[Winter Clothes Children]]+Table_NFI[[#This Row],[Winter Items Other]]+Table_NFI[[#This Row],[Winter Blanket]]&gt;0,1,0)</f>
        <v>0</v>
      </c>
      <c r="AN721" s="296">
        <f>IF(NFI_Expiration=1,IF($A721&lt;VLOOKUP(V$5,NFI,5,0),1,0)*Table_NFI[[#This Row],[Jerry Can]],Table_NFI[Jerry Can])</f>
        <v>0</v>
      </c>
      <c r="AO721" s="296">
        <f>IF(NFI_Expiration=1,IF($A721&lt;VLOOKUP(V$5,NFI,5,0),1,0)*Table_NFI[[#This Row],[Shelter Tool kit]],Table_NFI[Shelter Tool kit])</f>
        <v>0</v>
      </c>
      <c r="AP721" s="296">
        <f>IF(NFI_Expiration=1,IF($A721&lt;VLOOKUP(V$5,NFI,5,0),1,0)*Table_NFI[[#This Row],[Tent]],Table_NFI[Tent])</f>
        <v>0</v>
      </c>
      <c r="AQ721" s="396" t="str">
        <f>IFERROR(VLOOKUP(Table_NFI[[#This Row],[Camp Name]],CL,2,0),"")</f>
        <v>MMR001CMP031</v>
      </c>
      <c r="AR721" s="702">
        <f ca="1">IF(Table_NFI[[#This Row],[Pcode]]="","",IF(OFFSET(CampList[Opening Date],MATCH(Table_NFI[[#This Row],[Pcode]],CampList[CP_Pcode],0)-1,0,1,1)&gt;=NFI_Monitor_Date,1,0))</f>
        <v>0</v>
      </c>
      <c r="AS721" s="396" t="str">
        <f>IFERROR(VLOOKUP(Table_NFI[[#This Row],[Camp Name]],CL,3,0),"")</f>
        <v>Open</v>
      </c>
      <c r="AT721" s="264" t="str">
        <f ca="1">IF(Table_NFI[[#This Row],[Pcode]]="","",OFFSET(CampList[Priority],MATCH(Table_NFI[[#This Row],[Pcode]],CampList[CP_Pcode],0)-1,0,1,1))</f>
        <v>P4</v>
      </c>
      <c r="AU721" s="263">
        <f>IFERROR(Table_NFI[[#This Row],[Kitchen Set]]/VLOOKUP(Table_NFI[[#This Row],[Camp Name]],CL,4,0),"")</f>
        <v>4.1007333076032419E-4</v>
      </c>
      <c r="AV721" s="390" t="s">
        <v>1087</v>
      </c>
      <c r="AW721" s="392"/>
      <c r="AX721" s="399"/>
      <c r="AY721" s="399"/>
      <c r="AZ721" s="399"/>
      <c r="BA721" s="399"/>
      <c r="BB721" s="399"/>
      <c r="BC721" s="399"/>
      <c r="BD721" s="399"/>
      <c r="BE721" s="399"/>
      <c r="BF721" s="399"/>
      <c r="BG721" s="399"/>
      <c r="BH721" s="399"/>
      <c r="BI721" s="399"/>
      <c r="BJ721" s="399"/>
      <c r="BK721" s="399"/>
      <c r="BL721" s="399"/>
      <c r="BM721" s="399"/>
      <c r="BN721" s="399"/>
      <c r="BO721" s="399"/>
      <c r="BP721" s="399"/>
      <c r="BQ721" s="399"/>
      <c r="BR721" s="399"/>
      <c r="BS721" s="399"/>
      <c r="BT721" s="399"/>
      <c r="BU721" s="399"/>
      <c r="BV721" s="399"/>
      <c r="BW721" s="399"/>
      <c r="BX721" s="399"/>
      <c r="BY721" s="399"/>
      <c r="BZ721" s="399"/>
      <c r="CA721" s="399"/>
      <c r="CB721" s="399"/>
      <c r="CC721" s="399"/>
      <c r="CD721" s="399"/>
      <c r="CE721" s="399"/>
      <c r="CF721" s="399"/>
      <c r="CG721" s="399"/>
      <c r="CH721" s="399"/>
      <c r="CI721" s="399"/>
      <c r="CJ721" s="399"/>
      <c r="CK721" s="399"/>
      <c r="CL721" s="399"/>
      <c r="CM721" s="399"/>
      <c r="CN721" s="399"/>
      <c r="CO721" s="399"/>
      <c r="CP721" s="399"/>
      <c r="CQ721" s="399"/>
      <c r="CR721" s="399"/>
      <c r="CS721" s="399"/>
      <c r="CT721" s="399"/>
      <c r="CU721" s="399"/>
      <c r="CV721" s="399"/>
      <c r="CW721" s="399"/>
      <c r="CX721" s="399"/>
      <c r="CY721" s="399"/>
      <c r="CZ721" s="399"/>
      <c r="DA721" s="399"/>
      <c r="DB721" s="399"/>
      <c r="DC721" s="399"/>
      <c r="DD721" s="399"/>
      <c r="DE721" s="399"/>
      <c r="DF721" s="399"/>
      <c r="DG721" s="399"/>
      <c r="DH721" s="399"/>
      <c r="DI721" s="399"/>
      <c r="DJ721" s="399"/>
      <c r="DK721" s="399"/>
      <c r="DL721" s="399"/>
      <c r="DM721" s="399"/>
      <c r="DN721" s="399"/>
      <c r="DO721" s="399"/>
      <c r="DP721" s="399"/>
      <c r="DQ721" s="399"/>
    </row>
    <row r="722" spans="1:121" s="760" customFormat="1" ht="15" customHeight="1" x14ac:dyDescent="0.25">
      <c r="A722" s="266">
        <f t="shared" si="11"/>
        <v>45.43333333333333</v>
      </c>
      <c r="B722" s="389">
        <v>41493</v>
      </c>
      <c r="C722" s="390" t="s">
        <v>451</v>
      </c>
      <c r="D722" s="391" t="s">
        <v>451</v>
      </c>
      <c r="E722" s="390" t="s">
        <v>380</v>
      </c>
      <c r="F722" s="262" t="s">
        <v>237</v>
      </c>
      <c r="G722" s="262" t="s">
        <v>259</v>
      </c>
      <c r="H722" s="261"/>
      <c r="I722" s="261"/>
      <c r="J722" s="261">
        <v>15</v>
      </c>
      <c r="K722" s="261">
        <v>25</v>
      </c>
      <c r="L722" s="261">
        <v>11</v>
      </c>
      <c r="M722" s="261">
        <v>25</v>
      </c>
      <c r="N722" s="261">
        <v>11</v>
      </c>
      <c r="O722" s="261">
        <v>11</v>
      </c>
      <c r="P722" s="261">
        <v>11</v>
      </c>
      <c r="Q722" s="261">
        <v>11</v>
      </c>
      <c r="R722" s="261"/>
      <c r="S722" s="261"/>
      <c r="T722" s="261"/>
      <c r="U722" s="261"/>
      <c r="V722" s="762"/>
      <c r="W722" s="762"/>
      <c r="X722" s="762"/>
      <c r="Y722" s="264">
        <f>IF(NFI_Expiration=1,IF($A722&lt;VLOOKUP(H$5,NFI,5,0),1,0)*Table_NFI[[#This Row],[Hygiene Kit]],Table_NFI[Hygiene Kit])</f>
        <v>0</v>
      </c>
      <c r="Z722" s="264">
        <f>IF(NFI_Expiration=1,IF($A722&lt;VLOOKUP(I$5,NFI,5,0),1,0)*Table_NFI[[#This Row],[NFI Core Kit]],Table_NFI[NFI Core Kit])</f>
        <v>0</v>
      </c>
      <c r="AA722" s="264">
        <f>IF(NFI_Expiration=1,IF($A722&lt;VLOOKUP(J$5,NFI,5,0),1,0)*Table_NFI[[#This Row],[Sanitary Kit]],Table_NFI[Sanitary Kit])</f>
        <v>0</v>
      </c>
      <c r="AB722" s="264">
        <f>IF(NFI_Expiration=1,IF($A722&lt;VLOOKUP(K$5,NFI,5,0),1,0)*Table_NFI[[#This Row],[Mosquito net]],Table_NFI[Mosquito net])</f>
        <v>0</v>
      </c>
      <c r="AC722" s="264">
        <f>IF(NFI_Expiration=1,IF($A722&lt;VLOOKUP(L$5,NFI,5,0),1,0)*Table_NFI[[#This Row],[Tarpaulin]],Table_NFI[[#This Row],[Tarpaulin]])</f>
        <v>0</v>
      </c>
      <c r="AD722" s="264">
        <f>IF(NFI_Expiration=1,IF($A722&lt;VLOOKUP(M$5,NFI,5,0),1,0)*Table_NFI[[#This Row],[Blanket]],Table_NFI[[#This Row],[Blanket]])</f>
        <v>0</v>
      </c>
      <c r="AE722" s="264">
        <f>IF(NFI_Expiration=1,IF($A722&lt;VLOOKUP(N$5,NFI,5,0),1,0)*Table_NFI[[#This Row],[Kitchen Set]],Table_NFI[Kitchen Set])</f>
        <v>0</v>
      </c>
      <c r="AF722" s="264">
        <f>IF(NFI_Expiration=1,IF($A722&lt;VLOOKUP(O$5,NFI,5,0),1,0)*Table_NFI[[#This Row],[Clothes Kit]],Table_NFI[Clothes Kit])</f>
        <v>0</v>
      </c>
      <c r="AG722" s="264">
        <f>IF(NFI_Expiration=1,IF($A722&lt;VLOOKUP(P$5,NFI,5,0),1,0)*Table_NFI[[#This Row],[Plastic Bucket]],Table_NFI[Plastic Bucket])</f>
        <v>0</v>
      </c>
      <c r="AH722" s="264">
        <f>IF(NFI_Expiration=1,IF($A722&lt;VLOOKUP(Q$5,NFI,5,0),1,0)*Table_NFI[[#This Row],[Plastic Mat]],Table_NFI[Plastic Mat])*IF(Table_NFI[[#This Row],[Distribution Date]]&gt;"2014-04-01",1,2.5)</f>
        <v>0</v>
      </c>
      <c r="AI722" s="264">
        <f>IF(NFI_Expiration=1,IF($A722&lt;VLOOKUP(R$5,NFI,5,0),1,0)*Table_NFI[[#This Row],[Winter Clothes Adult]],Table_NFI[Winter Clothes Adult])</f>
        <v>0</v>
      </c>
      <c r="AJ722" s="264">
        <f>IF(NFI_Expiration=1,IF($A722&lt;VLOOKUP(S$5,NFI,5,0),1,0)*Table_NFI[[#This Row],[Winter Clothes Children]],Table_NFI[Winter Clothes Children])</f>
        <v>0</v>
      </c>
      <c r="AK722" s="264">
        <f>IF(NFI_Expiration=1,IF($A722&lt;VLOOKUP(T$5,NFI,5,0),1,0)*Table_NFI[[#This Row],[Winter Items Other]],Table_NFI[Winter Items Other])</f>
        <v>0</v>
      </c>
      <c r="AL722" s="264">
        <f>IF(NFI_Expiration=1,IF($A722&lt;VLOOKUP(M$5,NFI,5,0),1,0)*Table_NFI[[#This Row],[Winter Blanket]],Table_NFI[[#This Row],[Winter Blanket]])</f>
        <v>0</v>
      </c>
      <c r="AM722" s="264">
        <f>IF(Table_NFI[[#This Row],[Winter Clothes Adult]]+Table_NFI[[#This Row],[Winter Clothes Children]]+Table_NFI[[#This Row],[Winter Items Other]]+Table_NFI[[#This Row],[Winter Blanket]]&gt;0,1,0)</f>
        <v>0</v>
      </c>
      <c r="AN722" s="296">
        <f>IF(NFI_Expiration=1,IF($A722&lt;VLOOKUP(V$5,NFI,5,0),1,0)*Table_NFI[[#This Row],[Jerry Can]],Table_NFI[Jerry Can])</f>
        <v>0</v>
      </c>
      <c r="AO722" s="296">
        <f>IF(NFI_Expiration=1,IF($A722&lt;VLOOKUP(V$5,NFI,5,0),1,0)*Table_NFI[[#This Row],[Shelter Tool kit]],Table_NFI[Shelter Tool kit])</f>
        <v>0</v>
      </c>
      <c r="AP722" s="296">
        <f>IF(NFI_Expiration=1,IF($A722&lt;VLOOKUP(V$5,NFI,5,0),1,0)*Table_NFI[[#This Row],[Tent]],Table_NFI[Tent])</f>
        <v>0</v>
      </c>
      <c r="AQ722" s="396" t="str">
        <f>IFERROR(VLOOKUP(Table_NFI[[#This Row],[Camp Name]],CL,2,0),"")</f>
        <v>MMR001CMP016</v>
      </c>
      <c r="AR722" s="702">
        <f ca="1">IF(Table_NFI[[#This Row],[Pcode]]="","",IF(OFFSET(CampList[Opening Date],MATCH(Table_NFI[[#This Row],[Pcode]],CampList[CP_Pcode],0)-1,0,1,1)&gt;=NFI_Monitor_Date,1,0))</f>
        <v>0</v>
      </c>
      <c r="AS722" s="396" t="str">
        <f>IFERROR(VLOOKUP(Table_NFI[[#This Row],[Camp Name]],CL,3,0),"")</f>
        <v>Open</v>
      </c>
      <c r="AT722" s="264" t="str">
        <f ca="1">IF(Table_NFI[[#This Row],[Pcode]]="","",OFFSET(CampList[Priority],MATCH(Table_NFI[[#This Row],[Pcode]],CampList[CP_Pcode],0)-1,0,1,1))</f>
        <v>P4</v>
      </c>
      <c r="AU722" s="263">
        <f>IFERROR(Table_NFI[[#This Row],[Kitchen Set]]/VLOOKUP(Table_NFI[[#This Row],[Camp Name]],CL,4,0),"")</f>
        <v>2.6989891058985181E-4</v>
      </c>
      <c r="AV722" s="390" t="s">
        <v>1087</v>
      </c>
      <c r="AW722" s="392"/>
      <c r="AX722" s="399"/>
      <c r="AY722" s="399"/>
      <c r="AZ722" s="399"/>
      <c r="BA722" s="399"/>
      <c r="BB722" s="399"/>
      <c r="BC722" s="399"/>
      <c r="BD722" s="399"/>
      <c r="BE722" s="399"/>
      <c r="BF722" s="399"/>
      <c r="BG722" s="399"/>
      <c r="BH722" s="399"/>
      <c r="BI722" s="399"/>
      <c r="BJ722" s="399"/>
      <c r="BK722" s="399"/>
      <c r="BL722" s="399"/>
      <c r="BM722" s="399"/>
      <c r="BN722" s="399"/>
      <c r="BO722" s="399"/>
      <c r="BP722" s="399"/>
      <c r="BQ722" s="399"/>
      <c r="BR722" s="399"/>
      <c r="BS722" s="399"/>
      <c r="BT722" s="399"/>
      <c r="BU722" s="399"/>
      <c r="BV722" s="399"/>
      <c r="BW722" s="399"/>
      <c r="BX722" s="399"/>
      <c r="BY722" s="399"/>
      <c r="BZ722" s="399"/>
      <c r="CA722" s="399"/>
      <c r="CB722" s="399"/>
      <c r="CC722" s="399"/>
      <c r="CD722" s="399"/>
      <c r="CE722" s="399"/>
      <c r="CF722" s="399"/>
      <c r="CG722" s="399"/>
      <c r="CH722" s="399"/>
      <c r="CI722" s="399"/>
      <c r="CJ722" s="399"/>
      <c r="CK722" s="399"/>
      <c r="CL722" s="399"/>
      <c r="CM722" s="399"/>
      <c r="CN722" s="399"/>
      <c r="CO722" s="399"/>
      <c r="CP722" s="399"/>
      <c r="CQ722" s="399"/>
      <c r="CR722" s="399"/>
      <c r="CS722" s="399"/>
      <c r="CT722" s="399"/>
      <c r="CU722" s="399"/>
      <c r="CV722" s="399"/>
      <c r="CW722" s="399"/>
      <c r="CX722" s="399"/>
      <c r="CY722" s="399"/>
      <c r="CZ722" s="399"/>
      <c r="DA722" s="399"/>
      <c r="DB722" s="399"/>
      <c r="DC722" s="399"/>
      <c r="DD722" s="399"/>
      <c r="DE722" s="399"/>
      <c r="DF722" s="399"/>
      <c r="DG722" s="399"/>
      <c r="DH722" s="399"/>
      <c r="DI722" s="399"/>
      <c r="DJ722" s="399"/>
      <c r="DK722" s="399"/>
      <c r="DL722" s="399"/>
      <c r="DM722" s="399"/>
      <c r="DN722" s="399"/>
      <c r="DO722" s="399"/>
      <c r="DP722" s="399"/>
      <c r="DQ722" s="399"/>
    </row>
    <row r="723" spans="1:121" s="760" customFormat="1" ht="15" customHeight="1" x14ac:dyDescent="0.25">
      <c r="A723" s="266">
        <f t="shared" si="11"/>
        <v>45.9</v>
      </c>
      <c r="B723" s="389">
        <v>41479</v>
      </c>
      <c r="C723" s="390" t="s">
        <v>451</v>
      </c>
      <c r="D723" s="390" t="s">
        <v>459</v>
      </c>
      <c r="E723" s="390" t="s">
        <v>380</v>
      </c>
      <c r="F723" s="262" t="s">
        <v>237</v>
      </c>
      <c r="G723" s="262" t="s">
        <v>240</v>
      </c>
      <c r="H723" s="261"/>
      <c r="I723" s="261"/>
      <c r="J723" s="261">
        <v>66</v>
      </c>
      <c r="K723" s="261">
        <v>98</v>
      </c>
      <c r="L723" s="261">
        <v>45</v>
      </c>
      <c r="M723" s="261">
        <v>98</v>
      </c>
      <c r="N723" s="261">
        <v>45</v>
      </c>
      <c r="O723" s="261">
        <v>45</v>
      </c>
      <c r="P723" s="261">
        <v>45</v>
      </c>
      <c r="Q723" s="261">
        <v>45</v>
      </c>
      <c r="R723" s="261"/>
      <c r="S723" s="261"/>
      <c r="T723" s="261"/>
      <c r="U723" s="261"/>
      <c r="V723" s="762"/>
      <c r="W723" s="762"/>
      <c r="X723" s="762"/>
      <c r="Y723" s="264">
        <f>IF(NFI_Expiration=1,IF($A723&lt;VLOOKUP(H$5,NFI,5,0),1,0)*Table_NFI[[#This Row],[Hygiene Kit]],Table_NFI[Hygiene Kit])</f>
        <v>0</v>
      </c>
      <c r="Z723" s="264">
        <f>IF(NFI_Expiration=1,IF($A723&lt;VLOOKUP(I$5,NFI,5,0),1,0)*Table_NFI[[#This Row],[NFI Core Kit]],Table_NFI[NFI Core Kit])</f>
        <v>0</v>
      </c>
      <c r="AA723" s="264">
        <f>IF(NFI_Expiration=1,IF($A723&lt;VLOOKUP(J$5,NFI,5,0),1,0)*Table_NFI[[#This Row],[Sanitary Kit]],Table_NFI[Sanitary Kit])</f>
        <v>0</v>
      </c>
      <c r="AB723" s="264">
        <f>IF(NFI_Expiration=1,IF($A723&lt;VLOOKUP(K$5,NFI,5,0),1,0)*Table_NFI[[#This Row],[Mosquito net]],Table_NFI[Mosquito net])</f>
        <v>0</v>
      </c>
      <c r="AC723" s="264">
        <f>IF(NFI_Expiration=1,IF($A723&lt;VLOOKUP(L$5,NFI,5,0),1,0)*Table_NFI[[#This Row],[Tarpaulin]],Table_NFI[[#This Row],[Tarpaulin]])</f>
        <v>0</v>
      </c>
      <c r="AD723" s="264">
        <f>IF(NFI_Expiration=1,IF($A723&lt;VLOOKUP(M$5,NFI,5,0),1,0)*Table_NFI[[#This Row],[Blanket]],Table_NFI[[#This Row],[Blanket]])</f>
        <v>0</v>
      </c>
      <c r="AE723" s="264">
        <f>IF(NFI_Expiration=1,IF($A723&lt;VLOOKUP(N$5,NFI,5,0),1,0)*Table_NFI[[#This Row],[Kitchen Set]],Table_NFI[Kitchen Set])</f>
        <v>0</v>
      </c>
      <c r="AF723" s="264">
        <f>IF(NFI_Expiration=1,IF($A723&lt;VLOOKUP(O$5,NFI,5,0),1,0)*Table_NFI[[#This Row],[Clothes Kit]],Table_NFI[Clothes Kit])</f>
        <v>0</v>
      </c>
      <c r="AG723" s="264">
        <f>IF(NFI_Expiration=1,IF($A723&lt;VLOOKUP(P$5,NFI,5,0),1,0)*Table_NFI[[#This Row],[Plastic Bucket]],Table_NFI[Plastic Bucket])</f>
        <v>0</v>
      </c>
      <c r="AH723" s="264">
        <f>IF(NFI_Expiration=1,IF($A723&lt;VLOOKUP(Q$5,NFI,5,0),1,0)*Table_NFI[[#This Row],[Plastic Mat]],Table_NFI[Plastic Mat])*IF(Table_NFI[[#This Row],[Distribution Date]]&gt;"2014-04-01",1,2.5)</f>
        <v>0</v>
      </c>
      <c r="AI723" s="264">
        <f>IF(NFI_Expiration=1,IF($A723&lt;VLOOKUP(R$5,NFI,5,0),1,0)*Table_NFI[[#This Row],[Winter Clothes Adult]],Table_NFI[Winter Clothes Adult])</f>
        <v>0</v>
      </c>
      <c r="AJ723" s="264">
        <f>IF(NFI_Expiration=1,IF($A723&lt;VLOOKUP(S$5,NFI,5,0),1,0)*Table_NFI[[#This Row],[Winter Clothes Children]],Table_NFI[Winter Clothes Children])</f>
        <v>0</v>
      </c>
      <c r="AK723" s="264">
        <f>IF(NFI_Expiration=1,IF($A723&lt;VLOOKUP(T$5,NFI,5,0),1,0)*Table_NFI[[#This Row],[Winter Items Other]],Table_NFI[Winter Items Other])</f>
        <v>0</v>
      </c>
      <c r="AL723" s="264">
        <f>IF(NFI_Expiration=1,IF($A723&lt;VLOOKUP(M$5,NFI,5,0),1,0)*Table_NFI[[#This Row],[Winter Blanket]],Table_NFI[[#This Row],[Winter Blanket]])</f>
        <v>0</v>
      </c>
      <c r="AM723" s="264">
        <f>IF(Table_NFI[[#This Row],[Winter Clothes Adult]]+Table_NFI[[#This Row],[Winter Clothes Children]]+Table_NFI[[#This Row],[Winter Items Other]]+Table_NFI[[#This Row],[Winter Blanket]]&gt;0,1,0)</f>
        <v>0</v>
      </c>
      <c r="AN723" s="296">
        <f>IF(NFI_Expiration=1,IF($A723&lt;VLOOKUP(V$5,NFI,5,0),1,0)*Table_NFI[[#This Row],[Jerry Can]],Table_NFI[Jerry Can])</f>
        <v>0</v>
      </c>
      <c r="AO723" s="296">
        <f>IF(NFI_Expiration=1,IF($A723&lt;VLOOKUP(V$5,NFI,5,0),1,0)*Table_NFI[[#This Row],[Shelter Tool kit]],Table_NFI[Shelter Tool kit])</f>
        <v>0</v>
      </c>
      <c r="AP723" s="296">
        <f>IF(NFI_Expiration=1,IF($A723&lt;VLOOKUP(V$5,NFI,5,0),1,0)*Table_NFI[[#This Row],[Tent]],Table_NFI[Tent])</f>
        <v>0</v>
      </c>
      <c r="AQ723" s="396" t="str">
        <f>IFERROR(VLOOKUP(Table_NFI[[#This Row],[Camp Name]],CL,2,0),"")</f>
        <v>MMR001CMP015</v>
      </c>
      <c r="AR723" s="702">
        <f ca="1">IF(Table_NFI[[#This Row],[Pcode]]="","",IF(OFFSET(CampList[Opening Date],MATCH(Table_NFI[[#This Row],[Pcode]],CampList[CP_Pcode],0)-1,0,1,1)&gt;=NFI_Monitor_Date,1,0))</f>
        <v>0</v>
      </c>
      <c r="AS723" s="396" t="str">
        <f>IFERROR(VLOOKUP(Table_NFI[[#This Row],[Camp Name]],CL,3,0),"")</f>
        <v>Open</v>
      </c>
      <c r="AT723" s="264" t="str">
        <f ca="1">IF(Table_NFI[[#This Row],[Pcode]]="","",OFFSET(CampList[Priority],MATCH(Table_NFI[[#This Row],[Pcode]],CampList[CP_Pcode],0)-1,0,1,1))</f>
        <v>P4</v>
      </c>
      <c r="AU723" s="263">
        <f>IFERROR(Table_NFI[[#This Row],[Kitchen Set]]/VLOOKUP(Table_NFI[[#This Row],[Camp Name]],CL,4,0),"")</f>
        <v>1.1082924907026574E-3</v>
      </c>
      <c r="AV723" s="390" t="s">
        <v>1087</v>
      </c>
      <c r="AW723" s="392"/>
      <c r="AX723" s="399"/>
      <c r="AY723" s="399"/>
      <c r="AZ723" s="399"/>
      <c r="BA723" s="399"/>
      <c r="BB723" s="399"/>
      <c r="BC723" s="399"/>
      <c r="BD723" s="399"/>
      <c r="BE723" s="399"/>
      <c r="BF723" s="399"/>
      <c r="BG723" s="399"/>
      <c r="BH723" s="399"/>
      <c r="BI723" s="399"/>
      <c r="BJ723" s="399"/>
      <c r="BK723" s="399"/>
      <c r="BL723" s="399"/>
      <c r="BM723" s="399"/>
      <c r="BN723" s="399"/>
      <c r="BO723" s="399"/>
      <c r="BP723" s="399"/>
      <c r="BQ723" s="399"/>
      <c r="BR723" s="399"/>
      <c r="BS723" s="399"/>
      <c r="BT723" s="399"/>
      <c r="BU723" s="399"/>
      <c r="BV723" s="399"/>
      <c r="BW723" s="399"/>
      <c r="BX723" s="399"/>
      <c r="BY723" s="399"/>
      <c r="BZ723" s="399"/>
      <c r="CA723" s="399"/>
      <c r="CB723" s="399"/>
      <c r="CC723" s="399"/>
      <c r="CD723" s="399"/>
      <c r="CE723" s="399"/>
      <c r="CF723" s="399"/>
      <c r="CG723" s="399"/>
      <c r="CH723" s="399"/>
      <c r="CI723" s="399"/>
      <c r="CJ723" s="399"/>
      <c r="CK723" s="399"/>
      <c r="CL723" s="399"/>
      <c r="CM723" s="399"/>
      <c r="CN723" s="399"/>
      <c r="CO723" s="399"/>
      <c r="CP723" s="399"/>
      <c r="CQ723" s="399"/>
      <c r="CR723" s="399"/>
      <c r="CS723" s="399"/>
      <c r="CT723" s="399"/>
      <c r="CU723" s="399"/>
      <c r="CV723" s="399"/>
      <c r="CW723" s="399"/>
      <c r="CX723" s="399"/>
      <c r="CY723" s="399"/>
      <c r="CZ723" s="399"/>
      <c r="DA723" s="399"/>
      <c r="DB723" s="399"/>
      <c r="DC723" s="399"/>
      <c r="DD723" s="399"/>
      <c r="DE723" s="399"/>
      <c r="DF723" s="399"/>
      <c r="DG723" s="399"/>
      <c r="DH723" s="399"/>
      <c r="DI723" s="399"/>
      <c r="DJ723" s="399"/>
      <c r="DK723" s="399"/>
      <c r="DL723" s="399"/>
      <c r="DM723" s="399"/>
      <c r="DN723" s="399"/>
      <c r="DO723" s="399"/>
      <c r="DP723" s="399"/>
      <c r="DQ723" s="399"/>
    </row>
    <row r="724" spans="1:121" s="760" customFormat="1" ht="15" customHeight="1" x14ac:dyDescent="0.25">
      <c r="A724" s="266">
        <f t="shared" si="11"/>
        <v>45.9</v>
      </c>
      <c r="B724" s="389">
        <v>41479</v>
      </c>
      <c r="C724" s="390" t="s">
        <v>451</v>
      </c>
      <c r="D724" s="391" t="s">
        <v>459</v>
      </c>
      <c r="E724" s="390" t="s">
        <v>380</v>
      </c>
      <c r="F724" s="262" t="s">
        <v>237</v>
      </c>
      <c r="G724" s="262" t="s">
        <v>285</v>
      </c>
      <c r="H724" s="261"/>
      <c r="I724" s="261"/>
      <c r="J724" s="261">
        <v>100</v>
      </c>
      <c r="K724" s="261">
        <v>158</v>
      </c>
      <c r="L724" s="261">
        <v>65</v>
      </c>
      <c r="M724" s="261">
        <v>158</v>
      </c>
      <c r="N724" s="261">
        <v>65</v>
      </c>
      <c r="O724" s="261">
        <v>65</v>
      </c>
      <c r="P724" s="261">
        <v>65</v>
      </c>
      <c r="Q724" s="261">
        <v>65</v>
      </c>
      <c r="R724" s="261"/>
      <c r="S724" s="261"/>
      <c r="T724" s="261"/>
      <c r="U724" s="261"/>
      <c r="V724" s="762"/>
      <c r="W724" s="762"/>
      <c r="X724" s="762"/>
      <c r="Y724" s="264">
        <f>IF(NFI_Expiration=1,IF($A724&lt;VLOOKUP(H$5,NFI,5,0),1,0)*Table_NFI[[#This Row],[Hygiene Kit]],Table_NFI[Hygiene Kit])</f>
        <v>0</v>
      </c>
      <c r="Z724" s="264">
        <f>IF(NFI_Expiration=1,IF($A724&lt;VLOOKUP(I$5,NFI,5,0),1,0)*Table_NFI[[#This Row],[NFI Core Kit]],Table_NFI[NFI Core Kit])</f>
        <v>0</v>
      </c>
      <c r="AA724" s="264">
        <f>IF(NFI_Expiration=1,IF($A724&lt;VLOOKUP(J$5,NFI,5,0),1,0)*Table_NFI[[#This Row],[Sanitary Kit]],Table_NFI[Sanitary Kit])</f>
        <v>0</v>
      </c>
      <c r="AB724" s="264">
        <f>IF(NFI_Expiration=1,IF($A724&lt;VLOOKUP(K$5,NFI,5,0),1,0)*Table_NFI[[#This Row],[Mosquito net]],Table_NFI[Mosquito net])</f>
        <v>0</v>
      </c>
      <c r="AC724" s="264">
        <f>IF(NFI_Expiration=1,IF($A724&lt;VLOOKUP(L$5,NFI,5,0),1,0)*Table_NFI[[#This Row],[Tarpaulin]],Table_NFI[[#This Row],[Tarpaulin]])</f>
        <v>0</v>
      </c>
      <c r="AD724" s="264">
        <f>IF(NFI_Expiration=1,IF($A724&lt;VLOOKUP(M$5,NFI,5,0),1,0)*Table_NFI[[#This Row],[Blanket]],Table_NFI[[#This Row],[Blanket]])</f>
        <v>0</v>
      </c>
      <c r="AE724" s="264">
        <f>IF(NFI_Expiration=1,IF($A724&lt;VLOOKUP(N$5,NFI,5,0),1,0)*Table_NFI[[#This Row],[Kitchen Set]],Table_NFI[Kitchen Set])</f>
        <v>0</v>
      </c>
      <c r="AF724" s="264">
        <f>IF(NFI_Expiration=1,IF($A724&lt;VLOOKUP(O$5,NFI,5,0),1,0)*Table_NFI[[#This Row],[Clothes Kit]],Table_NFI[Clothes Kit])</f>
        <v>0</v>
      </c>
      <c r="AG724" s="264">
        <f>IF(NFI_Expiration=1,IF($A724&lt;VLOOKUP(P$5,NFI,5,0),1,0)*Table_NFI[[#This Row],[Plastic Bucket]],Table_NFI[Plastic Bucket])</f>
        <v>0</v>
      </c>
      <c r="AH724" s="264">
        <f>IF(NFI_Expiration=1,IF($A724&lt;VLOOKUP(Q$5,NFI,5,0),1,0)*Table_NFI[[#This Row],[Plastic Mat]],Table_NFI[Plastic Mat])*IF(Table_NFI[[#This Row],[Distribution Date]]&gt;"2014-04-01",1,2.5)</f>
        <v>0</v>
      </c>
      <c r="AI724" s="264">
        <f>IF(NFI_Expiration=1,IF($A724&lt;VLOOKUP(R$5,NFI,5,0),1,0)*Table_NFI[[#This Row],[Winter Clothes Adult]],Table_NFI[Winter Clothes Adult])</f>
        <v>0</v>
      </c>
      <c r="AJ724" s="264">
        <f>IF(NFI_Expiration=1,IF($A724&lt;VLOOKUP(S$5,NFI,5,0),1,0)*Table_NFI[[#This Row],[Winter Clothes Children]],Table_NFI[Winter Clothes Children])</f>
        <v>0</v>
      </c>
      <c r="AK724" s="264">
        <f>IF(NFI_Expiration=1,IF($A724&lt;VLOOKUP(T$5,NFI,5,0),1,0)*Table_NFI[[#This Row],[Winter Items Other]],Table_NFI[Winter Items Other])</f>
        <v>0</v>
      </c>
      <c r="AL724" s="264">
        <f>IF(NFI_Expiration=1,IF($A724&lt;VLOOKUP(M$5,NFI,5,0),1,0)*Table_NFI[[#This Row],[Winter Blanket]],Table_NFI[[#This Row],[Winter Blanket]])</f>
        <v>0</v>
      </c>
      <c r="AM724" s="264">
        <f>IF(Table_NFI[[#This Row],[Winter Clothes Adult]]+Table_NFI[[#This Row],[Winter Clothes Children]]+Table_NFI[[#This Row],[Winter Items Other]]+Table_NFI[[#This Row],[Winter Blanket]]&gt;0,1,0)</f>
        <v>0</v>
      </c>
      <c r="AN724" s="296">
        <f>IF(NFI_Expiration=1,IF($A724&lt;VLOOKUP(V$5,NFI,5,0),1,0)*Table_NFI[[#This Row],[Jerry Can]],Table_NFI[Jerry Can])</f>
        <v>0</v>
      </c>
      <c r="AO724" s="296">
        <f>IF(NFI_Expiration=1,IF($A724&lt;VLOOKUP(V$5,NFI,5,0),1,0)*Table_NFI[[#This Row],[Shelter Tool kit]],Table_NFI[Shelter Tool kit])</f>
        <v>0</v>
      </c>
      <c r="AP724" s="296">
        <f>IF(NFI_Expiration=1,IF($A724&lt;VLOOKUP(V$5,NFI,5,0),1,0)*Table_NFI[[#This Row],[Tent]],Table_NFI[Tent])</f>
        <v>0</v>
      </c>
      <c r="AQ724" s="396" t="str">
        <f>IFERROR(VLOOKUP(Table_NFI[[#This Row],[Camp Name]],CL,2,0),"")</f>
        <v>MMR001CMP014</v>
      </c>
      <c r="AR724" s="702">
        <f ca="1">IF(Table_NFI[[#This Row],[Pcode]]="","",IF(OFFSET(CampList[Opening Date],MATCH(Table_NFI[[#This Row],[Pcode]],CampList[CP_Pcode],0)-1,0,1,1)&gt;=NFI_Monitor_Date,1,0))</f>
        <v>0</v>
      </c>
      <c r="AS724" s="396" t="str">
        <f>IFERROR(VLOOKUP(Table_NFI[[#This Row],[Camp Name]],CL,3,0),"")</f>
        <v>Open</v>
      </c>
      <c r="AT724" s="264" t="str">
        <f ca="1">IF(Table_NFI[[#This Row],[Pcode]]="","",OFFSET(CampList[Priority],MATCH(Table_NFI[[#This Row],[Pcode]],CampList[CP_Pcode],0)-1,0,1,1))</f>
        <v>P4</v>
      </c>
      <c r="AU724" s="263">
        <f>IFERROR(Table_NFI[[#This Row],[Kitchen Set]]/VLOOKUP(Table_NFI[[#This Row],[Camp Name]],CL,4,0),"")</f>
        <v>1.5972478191424008E-3</v>
      </c>
      <c r="AV724" s="390" t="s">
        <v>1087</v>
      </c>
      <c r="AW724" s="392"/>
      <c r="AX724" s="399"/>
      <c r="AY724" s="399"/>
      <c r="AZ724" s="399"/>
      <c r="BA724" s="399"/>
      <c r="BB724" s="399"/>
      <c r="BC724" s="399"/>
      <c r="BD724" s="399"/>
      <c r="BE724" s="399"/>
      <c r="BF724" s="399"/>
      <c r="BG724" s="399"/>
      <c r="BH724" s="399"/>
      <c r="BI724" s="399"/>
      <c r="BJ724" s="399"/>
      <c r="BK724" s="399"/>
      <c r="BL724" s="399"/>
      <c r="BM724" s="399"/>
      <c r="BN724" s="399"/>
      <c r="BO724" s="399"/>
      <c r="BP724" s="399"/>
      <c r="BQ724" s="399"/>
      <c r="BR724" s="399"/>
      <c r="BS724" s="399"/>
      <c r="BT724" s="399"/>
      <c r="BU724" s="399"/>
      <c r="BV724" s="399"/>
      <c r="BW724" s="399"/>
      <c r="BX724" s="399"/>
      <c r="BY724" s="399"/>
      <c r="BZ724" s="399"/>
      <c r="CA724" s="399"/>
      <c r="CB724" s="399"/>
      <c r="CC724" s="399"/>
      <c r="CD724" s="399"/>
      <c r="CE724" s="399"/>
      <c r="CF724" s="399"/>
      <c r="CG724" s="399"/>
      <c r="CH724" s="399"/>
      <c r="CI724" s="399"/>
      <c r="CJ724" s="399"/>
      <c r="CK724" s="399"/>
      <c r="CL724" s="399"/>
      <c r="CM724" s="399"/>
      <c r="CN724" s="399"/>
      <c r="CO724" s="399"/>
      <c r="CP724" s="399"/>
      <c r="CQ724" s="399"/>
      <c r="CR724" s="399"/>
      <c r="CS724" s="399"/>
      <c r="CT724" s="399"/>
      <c r="CU724" s="399"/>
      <c r="CV724" s="399"/>
      <c r="CW724" s="399"/>
      <c r="CX724" s="399"/>
      <c r="CY724" s="399"/>
      <c r="CZ724" s="399"/>
      <c r="DA724" s="399"/>
      <c r="DB724" s="399"/>
      <c r="DC724" s="399"/>
      <c r="DD724" s="399"/>
      <c r="DE724" s="399"/>
      <c r="DF724" s="399"/>
      <c r="DG724" s="399"/>
      <c r="DH724" s="399"/>
      <c r="DI724" s="399"/>
      <c r="DJ724" s="399"/>
      <c r="DK724" s="399"/>
      <c r="DL724" s="399"/>
      <c r="DM724" s="399"/>
      <c r="DN724" s="399"/>
      <c r="DO724" s="399"/>
      <c r="DP724" s="399"/>
      <c r="DQ724" s="399"/>
    </row>
    <row r="725" spans="1:121" s="760" customFormat="1" ht="15" customHeight="1" x14ac:dyDescent="0.25">
      <c r="A725" s="266">
        <f t="shared" si="11"/>
        <v>45.9</v>
      </c>
      <c r="B725" s="389">
        <v>41479</v>
      </c>
      <c r="C725" s="390" t="s">
        <v>451</v>
      </c>
      <c r="D725" s="391" t="s">
        <v>504</v>
      </c>
      <c r="E725" s="390" t="s">
        <v>380</v>
      </c>
      <c r="F725" s="262" t="s">
        <v>310</v>
      </c>
      <c r="G725" s="262" t="s">
        <v>328</v>
      </c>
      <c r="H725" s="261"/>
      <c r="I725" s="261"/>
      <c r="J725" s="261">
        <v>10</v>
      </c>
      <c r="K725" s="261">
        <v>14</v>
      </c>
      <c r="L725" s="261">
        <v>7</v>
      </c>
      <c r="M725" s="261">
        <v>14</v>
      </c>
      <c r="N725" s="261">
        <v>7</v>
      </c>
      <c r="O725" s="261">
        <v>7</v>
      </c>
      <c r="P725" s="261">
        <v>7</v>
      </c>
      <c r="Q725" s="261">
        <v>7</v>
      </c>
      <c r="R725" s="261"/>
      <c r="S725" s="261"/>
      <c r="T725" s="261"/>
      <c r="U725" s="261"/>
      <c r="V725" s="762"/>
      <c r="W725" s="762"/>
      <c r="X725" s="762"/>
      <c r="Y725" s="264">
        <f>IF(NFI_Expiration=1,IF($A725&lt;VLOOKUP(H$5,NFI,5,0),1,0)*Table_NFI[[#This Row],[Hygiene Kit]],Table_NFI[Hygiene Kit])</f>
        <v>0</v>
      </c>
      <c r="Z725" s="264">
        <f>IF(NFI_Expiration=1,IF($A725&lt;VLOOKUP(I$5,NFI,5,0),1,0)*Table_NFI[[#This Row],[NFI Core Kit]],Table_NFI[NFI Core Kit])</f>
        <v>0</v>
      </c>
      <c r="AA725" s="264">
        <f>IF(NFI_Expiration=1,IF($A725&lt;VLOOKUP(J$5,NFI,5,0),1,0)*Table_NFI[[#This Row],[Sanitary Kit]],Table_NFI[Sanitary Kit])</f>
        <v>0</v>
      </c>
      <c r="AB725" s="264">
        <f>IF(NFI_Expiration=1,IF($A725&lt;VLOOKUP(K$5,NFI,5,0),1,0)*Table_NFI[[#This Row],[Mosquito net]],Table_NFI[Mosquito net])</f>
        <v>0</v>
      </c>
      <c r="AC725" s="264">
        <f>IF(NFI_Expiration=1,IF($A725&lt;VLOOKUP(L$5,NFI,5,0),1,0)*Table_NFI[[#This Row],[Tarpaulin]],Table_NFI[[#This Row],[Tarpaulin]])</f>
        <v>0</v>
      </c>
      <c r="AD725" s="264">
        <f>IF(NFI_Expiration=1,IF($A725&lt;VLOOKUP(M$5,NFI,5,0),1,0)*Table_NFI[[#This Row],[Blanket]],Table_NFI[[#This Row],[Blanket]])</f>
        <v>0</v>
      </c>
      <c r="AE725" s="264">
        <f>IF(NFI_Expiration=1,IF($A725&lt;VLOOKUP(N$5,NFI,5,0),1,0)*Table_NFI[[#This Row],[Kitchen Set]],Table_NFI[Kitchen Set])</f>
        <v>0</v>
      </c>
      <c r="AF725" s="264">
        <f>IF(NFI_Expiration=1,IF($A725&lt;VLOOKUP(O$5,NFI,5,0),1,0)*Table_NFI[[#This Row],[Clothes Kit]],Table_NFI[Clothes Kit])</f>
        <v>0</v>
      </c>
      <c r="AG725" s="264">
        <f>IF(NFI_Expiration=1,IF($A725&lt;VLOOKUP(P$5,NFI,5,0),1,0)*Table_NFI[[#This Row],[Plastic Bucket]],Table_NFI[Plastic Bucket])</f>
        <v>0</v>
      </c>
      <c r="AH725" s="264">
        <f>IF(NFI_Expiration=1,IF($A725&lt;VLOOKUP(Q$5,NFI,5,0),1,0)*Table_NFI[[#This Row],[Plastic Mat]],Table_NFI[Plastic Mat])*IF(Table_NFI[[#This Row],[Distribution Date]]&gt;"2014-04-01",1,2.5)</f>
        <v>0</v>
      </c>
      <c r="AI725" s="264">
        <f>IF(NFI_Expiration=1,IF($A725&lt;VLOOKUP(R$5,NFI,5,0),1,0)*Table_NFI[[#This Row],[Winter Clothes Adult]],Table_NFI[Winter Clothes Adult])</f>
        <v>0</v>
      </c>
      <c r="AJ725" s="264">
        <f>IF(NFI_Expiration=1,IF($A725&lt;VLOOKUP(S$5,NFI,5,0),1,0)*Table_NFI[[#This Row],[Winter Clothes Children]],Table_NFI[Winter Clothes Children])</f>
        <v>0</v>
      </c>
      <c r="AK725" s="264">
        <f>IF(NFI_Expiration=1,IF($A725&lt;VLOOKUP(T$5,NFI,5,0),1,0)*Table_NFI[[#This Row],[Winter Items Other]],Table_NFI[Winter Items Other])</f>
        <v>0</v>
      </c>
      <c r="AL725" s="264">
        <f>IF(NFI_Expiration=1,IF($A725&lt;VLOOKUP(M$5,NFI,5,0),1,0)*Table_NFI[[#This Row],[Winter Blanket]],Table_NFI[[#This Row],[Winter Blanket]])</f>
        <v>0</v>
      </c>
      <c r="AM725" s="264">
        <f>IF(Table_NFI[[#This Row],[Winter Clothes Adult]]+Table_NFI[[#This Row],[Winter Clothes Children]]+Table_NFI[[#This Row],[Winter Items Other]]+Table_NFI[[#This Row],[Winter Blanket]]&gt;0,1,0)</f>
        <v>0</v>
      </c>
      <c r="AN725" s="296">
        <f>IF(NFI_Expiration=1,IF($A725&lt;VLOOKUP(V$5,NFI,5,0),1,0)*Table_NFI[[#This Row],[Jerry Can]],Table_NFI[Jerry Can])</f>
        <v>0</v>
      </c>
      <c r="AO725" s="296">
        <f>IF(NFI_Expiration=1,IF($A725&lt;VLOOKUP(V$5,NFI,5,0),1,0)*Table_NFI[[#This Row],[Shelter Tool kit]],Table_NFI[Shelter Tool kit])</f>
        <v>0</v>
      </c>
      <c r="AP725" s="296">
        <f>IF(NFI_Expiration=1,IF($A725&lt;VLOOKUP(V$5,NFI,5,0),1,0)*Table_NFI[[#This Row],[Tent]],Table_NFI[Tent])</f>
        <v>0</v>
      </c>
      <c r="AQ725" s="396" t="str">
        <f>IFERROR(VLOOKUP(Table_NFI[[#This Row],[Camp Name]],CL,2,0),"")</f>
        <v>MMR001CMP031</v>
      </c>
      <c r="AR725" s="702">
        <f ca="1">IF(Table_NFI[[#This Row],[Pcode]]="","",IF(OFFSET(CampList[Opening Date],MATCH(Table_NFI[[#This Row],[Pcode]],CampList[CP_Pcode],0)-1,0,1,1)&gt;=NFI_Monitor_Date,1,0))</f>
        <v>0</v>
      </c>
      <c r="AS725" s="396" t="str">
        <f>IFERROR(VLOOKUP(Table_NFI[[#This Row],[Camp Name]],CL,3,0),"")</f>
        <v>Open</v>
      </c>
      <c r="AT725" s="264" t="str">
        <f ca="1">IF(Table_NFI[[#This Row],[Pcode]]="","",OFFSET(CampList[Priority],MATCH(Table_NFI[[#This Row],[Pcode]],CampList[CP_Pcode],0)-1,0,1,1))</f>
        <v>P4</v>
      </c>
      <c r="AU725" s="263">
        <f>IFERROR(Table_NFI[[#This Row],[Kitchen Set]]/VLOOKUP(Table_NFI[[#This Row],[Camp Name]],CL,4,0),"")</f>
        <v>1.6885372443072174E-4</v>
      </c>
      <c r="AV725" s="390" t="s">
        <v>1087</v>
      </c>
      <c r="AW725" s="392"/>
      <c r="AX725" s="399"/>
      <c r="AY725" s="399"/>
      <c r="AZ725" s="399"/>
      <c r="BA725" s="399"/>
      <c r="BB725" s="399"/>
      <c r="BC725" s="399"/>
      <c r="BD725" s="399"/>
      <c r="BE725" s="399"/>
      <c r="BF725" s="399"/>
      <c r="BG725" s="399"/>
      <c r="BH725" s="399"/>
      <c r="BI725" s="399"/>
      <c r="BJ725" s="399"/>
      <c r="BK725" s="399"/>
      <c r="BL725" s="399"/>
      <c r="BM725" s="399"/>
      <c r="BN725" s="399"/>
      <c r="BO725" s="399"/>
      <c r="BP725" s="399"/>
      <c r="BQ725" s="399"/>
      <c r="BR725" s="399"/>
      <c r="BS725" s="399"/>
      <c r="BT725" s="399"/>
      <c r="BU725" s="399"/>
      <c r="BV725" s="399"/>
      <c r="BW725" s="399"/>
      <c r="BX725" s="399"/>
      <c r="BY725" s="399"/>
      <c r="BZ725" s="399"/>
      <c r="CA725" s="399"/>
      <c r="CB725" s="399"/>
      <c r="CC725" s="399"/>
      <c r="CD725" s="399"/>
      <c r="CE725" s="399"/>
      <c r="CF725" s="399"/>
      <c r="CG725" s="399"/>
      <c r="CH725" s="399"/>
      <c r="CI725" s="399"/>
      <c r="CJ725" s="399"/>
      <c r="CK725" s="399"/>
      <c r="CL725" s="399"/>
      <c r="CM725" s="399"/>
      <c r="CN725" s="399"/>
      <c r="CO725" s="399"/>
      <c r="CP725" s="399"/>
      <c r="CQ725" s="399"/>
      <c r="CR725" s="399"/>
      <c r="CS725" s="399"/>
      <c r="CT725" s="399"/>
      <c r="CU725" s="399"/>
      <c r="CV725" s="399"/>
      <c r="CW725" s="399"/>
      <c r="CX725" s="399"/>
      <c r="CY725" s="399"/>
      <c r="CZ725" s="399"/>
      <c r="DA725" s="399"/>
      <c r="DB725" s="399"/>
      <c r="DC725" s="399"/>
      <c r="DD725" s="399"/>
      <c r="DE725" s="399"/>
      <c r="DF725" s="399"/>
      <c r="DG725" s="399"/>
      <c r="DH725" s="399"/>
      <c r="DI725" s="399"/>
      <c r="DJ725" s="399"/>
      <c r="DK725" s="399"/>
      <c r="DL725" s="399"/>
      <c r="DM725" s="399"/>
      <c r="DN725" s="399"/>
      <c r="DO725" s="399"/>
      <c r="DP725" s="399"/>
      <c r="DQ725" s="399"/>
    </row>
    <row r="726" spans="1:121" s="760" customFormat="1" ht="15" customHeight="1" x14ac:dyDescent="0.25">
      <c r="A726" s="266">
        <f t="shared" si="11"/>
        <v>45.9</v>
      </c>
      <c r="B726" s="389">
        <v>41479</v>
      </c>
      <c r="C726" s="390" t="s">
        <v>451</v>
      </c>
      <c r="D726" s="390" t="s">
        <v>505</v>
      </c>
      <c r="E726" s="390" t="s">
        <v>380</v>
      </c>
      <c r="F726" s="390" t="s">
        <v>310</v>
      </c>
      <c r="G726" s="262" t="s">
        <v>330</v>
      </c>
      <c r="H726" s="261"/>
      <c r="I726" s="261"/>
      <c r="J726" s="261">
        <v>40</v>
      </c>
      <c r="K726" s="261">
        <v>49</v>
      </c>
      <c r="L726" s="261">
        <v>23</v>
      </c>
      <c r="M726" s="261">
        <v>49</v>
      </c>
      <c r="N726" s="261">
        <v>23</v>
      </c>
      <c r="O726" s="261">
        <v>23</v>
      </c>
      <c r="P726" s="261">
        <v>23</v>
      </c>
      <c r="Q726" s="261">
        <v>23</v>
      </c>
      <c r="R726" s="261"/>
      <c r="S726" s="261"/>
      <c r="T726" s="261"/>
      <c r="U726" s="261"/>
      <c r="V726" s="762"/>
      <c r="W726" s="261"/>
      <c r="X726" s="261"/>
      <c r="Y726" s="264">
        <f>IF(NFI_Expiration=1,IF($A726&lt;VLOOKUP(H$5,NFI,5,0),1,0)*Table_NFI[[#This Row],[Hygiene Kit]],Table_NFI[Hygiene Kit])</f>
        <v>0</v>
      </c>
      <c r="Z726" s="264">
        <f>IF(NFI_Expiration=1,IF($A726&lt;VLOOKUP(I$5,NFI,5,0),1,0)*Table_NFI[[#This Row],[NFI Core Kit]],Table_NFI[NFI Core Kit])</f>
        <v>0</v>
      </c>
      <c r="AA726" s="264">
        <f>IF(NFI_Expiration=1,IF($A726&lt;VLOOKUP(J$5,NFI,5,0),1,0)*Table_NFI[[#This Row],[Sanitary Kit]],Table_NFI[Sanitary Kit])</f>
        <v>0</v>
      </c>
      <c r="AB726" s="264">
        <f>IF(NFI_Expiration=1,IF($A726&lt;VLOOKUP(K$5,NFI,5,0),1,0)*Table_NFI[[#This Row],[Mosquito net]],Table_NFI[Mosquito net])</f>
        <v>0</v>
      </c>
      <c r="AC726" s="264">
        <f>IF(NFI_Expiration=1,IF($A726&lt;VLOOKUP(L$5,NFI,5,0),1,0)*Table_NFI[[#This Row],[Tarpaulin]],Table_NFI[[#This Row],[Tarpaulin]])</f>
        <v>0</v>
      </c>
      <c r="AD726" s="264">
        <f>IF(NFI_Expiration=1,IF($A726&lt;VLOOKUP(M$5,NFI,5,0),1,0)*Table_NFI[[#This Row],[Blanket]],Table_NFI[[#This Row],[Blanket]])</f>
        <v>0</v>
      </c>
      <c r="AE726" s="264">
        <f>IF(NFI_Expiration=1,IF($A726&lt;VLOOKUP(N$5,NFI,5,0),1,0)*Table_NFI[[#This Row],[Kitchen Set]],Table_NFI[Kitchen Set])</f>
        <v>0</v>
      </c>
      <c r="AF726" s="264">
        <f>IF(NFI_Expiration=1,IF($A726&lt;VLOOKUP(O$5,NFI,5,0),1,0)*Table_NFI[[#This Row],[Clothes Kit]],Table_NFI[Clothes Kit])</f>
        <v>0</v>
      </c>
      <c r="AG726" s="264">
        <f>IF(NFI_Expiration=1,IF($A726&lt;VLOOKUP(P$5,NFI,5,0),1,0)*Table_NFI[[#This Row],[Plastic Bucket]],Table_NFI[Plastic Bucket])</f>
        <v>0</v>
      </c>
      <c r="AH726" s="264">
        <f>IF(NFI_Expiration=1,IF($A726&lt;VLOOKUP(Q$5,NFI,5,0),1,0)*Table_NFI[[#This Row],[Plastic Mat]],Table_NFI[Plastic Mat])*IF(Table_NFI[[#This Row],[Distribution Date]]&gt;"2014-04-01",1,2.5)</f>
        <v>0</v>
      </c>
      <c r="AI726" s="264">
        <f>IF(NFI_Expiration=1,IF($A726&lt;VLOOKUP(R$5,NFI,5,0),1,0)*Table_NFI[[#This Row],[Winter Clothes Adult]],Table_NFI[Winter Clothes Adult])</f>
        <v>0</v>
      </c>
      <c r="AJ726" s="264">
        <f>IF(NFI_Expiration=1,IF($A726&lt;VLOOKUP(S$5,NFI,5,0),1,0)*Table_NFI[[#This Row],[Winter Clothes Children]],Table_NFI[Winter Clothes Children])</f>
        <v>0</v>
      </c>
      <c r="AK726" s="264">
        <f>IF(NFI_Expiration=1,IF($A726&lt;VLOOKUP(T$5,NFI,5,0),1,0)*Table_NFI[[#This Row],[Winter Items Other]],Table_NFI[Winter Items Other])</f>
        <v>0</v>
      </c>
      <c r="AL726" s="264">
        <f>IF(NFI_Expiration=1,IF($A726&lt;VLOOKUP(M$5,NFI,5,0),1,0)*Table_NFI[[#This Row],[Winter Blanket]],Table_NFI[[#This Row],[Winter Blanket]])</f>
        <v>0</v>
      </c>
      <c r="AM726" s="264">
        <f>IF(Table_NFI[[#This Row],[Winter Clothes Adult]]+Table_NFI[[#This Row],[Winter Clothes Children]]+Table_NFI[[#This Row],[Winter Items Other]]+Table_NFI[[#This Row],[Winter Blanket]]&gt;0,1,0)</f>
        <v>0</v>
      </c>
      <c r="AN726" s="296">
        <f>IF(NFI_Expiration=1,IF($A726&lt;VLOOKUP(V$5,NFI,5,0),1,0)*Table_NFI[[#This Row],[Jerry Can]],Table_NFI[Jerry Can])</f>
        <v>0</v>
      </c>
      <c r="AO726" s="296">
        <f>IF(NFI_Expiration=1,IF($A726&lt;VLOOKUP(V$5,NFI,5,0),1,0)*Table_NFI[[#This Row],[Shelter Tool kit]],Table_NFI[Shelter Tool kit])</f>
        <v>0</v>
      </c>
      <c r="AP726" s="296">
        <f>IF(NFI_Expiration=1,IF($A726&lt;VLOOKUP(V$5,NFI,5,0),1,0)*Table_NFI[[#This Row],[Tent]],Table_NFI[Tent])</f>
        <v>0</v>
      </c>
      <c r="AQ726" s="396" t="str">
        <f>IFERROR(VLOOKUP(Table_NFI[[#This Row],[Camp Name]],CL,2,0),"")</f>
        <v>MMR001CMP029</v>
      </c>
      <c r="AR726" s="702">
        <f ca="1">IF(Table_NFI[[#This Row],[Pcode]]="","",IF(OFFSET(CampList[Opening Date],MATCH(Table_NFI[[#This Row],[Pcode]],CampList[CP_Pcode],0)-1,0,1,1)&gt;=NFI_Monitor_Date,1,0))</f>
        <v>0</v>
      </c>
      <c r="AS726" s="396" t="str">
        <f>IFERROR(VLOOKUP(Table_NFI[[#This Row],[Camp Name]],CL,3,0),"")</f>
        <v>Open</v>
      </c>
      <c r="AT726" s="264" t="str">
        <f ca="1">IF(Table_NFI[[#This Row],[Pcode]]="","",OFFSET(CampList[Priority],MATCH(Table_NFI[[#This Row],[Pcode]],CampList[CP_Pcode],0)-1,0,1,1))</f>
        <v>P4</v>
      </c>
      <c r="AU726" s="263">
        <f>IFERROR(Table_NFI[[#This Row],[Kitchen Set]]/VLOOKUP(Table_NFI[[#This Row],[Camp Name]],CL,4,0),"")</f>
        <v>5.5520687490947715E-4</v>
      </c>
      <c r="AV726" s="390" t="s">
        <v>1087</v>
      </c>
      <c r="AW726" s="392"/>
      <c r="AX726" s="399"/>
      <c r="AY726" s="399"/>
      <c r="AZ726" s="399"/>
      <c r="BA726" s="399"/>
      <c r="BB726" s="399"/>
      <c r="BC726" s="399"/>
      <c r="BD726" s="399"/>
      <c r="BE726" s="399"/>
      <c r="BF726" s="399"/>
      <c r="BG726" s="399"/>
      <c r="BH726" s="399"/>
      <c r="BI726" s="399"/>
      <c r="BJ726" s="399"/>
      <c r="BK726" s="399"/>
      <c r="BL726" s="399"/>
      <c r="BM726" s="399"/>
      <c r="BN726" s="399"/>
      <c r="BO726" s="399"/>
      <c r="BP726" s="399"/>
      <c r="BQ726" s="399"/>
      <c r="BR726" s="399"/>
      <c r="BS726" s="399"/>
      <c r="BT726" s="399"/>
      <c r="BU726" s="399"/>
      <c r="BV726" s="399"/>
      <c r="BW726" s="399"/>
      <c r="BX726" s="399"/>
      <c r="BY726" s="399"/>
      <c r="BZ726" s="399"/>
      <c r="CA726" s="399"/>
      <c r="CB726" s="399"/>
      <c r="CC726" s="399"/>
      <c r="CD726" s="399"/>
      <c r="CE726" s="399"/>
      <c r="CF726" s="399"/>
      <c r="CG726" s="399"/>
      <c r="CH726" s="399"/>
      <c r="CI726" s="399"/>
      <c r="CJ726" s="399"/>
      <c r="CK726" s="399"/>
      <c r="CL726" s="399"/>
      <c r="CM726" s="399"/>
      <c r="CN726" s="399"/>
      <c r="CO726" s="399"/>
      <c r="CP726" s="399"/>
      <c r="CQ726" s="399"/>
      <c r="CR726" s="399"/>
      <c r="CS726" s="399"/>
      <c r="CT726" s="399"/>
      <c r="CU726" s="399"/>
      <c r="CV726" s="399"/>
      <c r="CW726" s="399"/>
      <c r="CX726" s="399"/>
      <c r="CY726" s="399"/>
      <c r="CZ726" s="399"/>
      <c r="DA726" s="399"/>
      <c r="DB726" s="399"/>
      <c r="DC726" s="399"/>
      <c r="DD726" s="399"/>
      <c r="DE726" s="399"/>
      <c r="DF726" s="399"/>
      <c r="DG726" s="399"/>
      <c r="DH726" s="399"/>
      <c r="DI726" s="399"/>
      <c r="DJ726" s="399"/>
      <c r="DK726" s="399"/>
      <c r="DL726" s="399"/>
      <c r="DM726" s="399"/>
      <c r="DN726" s="399"/>
      <c r="DO726" s="399"/>
      <c r="DP726" s="399"/>
      <c r="DQ726" s="399"/>
    </row>
    <row r="727" spans="1:121" s="760" customFormat="1" ht="14.45" customHeight="1" x14ac:dyDescent="0.25">
      <c r="A727" s="266">
        <f t="shared" si="11"/>
        <v>45.9</v>
      </c>
      <c r="B727" s="389">
        <v>41479</v>
      </c>
      <c r="C727" s="390" t="s">
        <v>451</v>
      </c>
      <c r="D727" s="390" t="s">
        <v>505</v>
      </c>
      <c r="E727" s="390" t="s">
        <v>380</v>
      </c>
      <c r="F727" s="262" t="s">
        <v>237</v>
      </c>
      <c r="G727" s="262" t="s">
        <v>271</v>
      </c>
      <c r="H727" s="261"/>
      <c r="I727" s="261"/>
      <c r="J727" s="261">
        <v>21</v>
      </c>
      <c r="K727" s="261">
        <v>30</v>
      </c>
      <c r="L727" s="261">
        <v>15</v>
      </c>
      <c r="M727" s="261">
        <v>30</v>
      </c>
      <c r="N727" s="261">
        <v>15</v>
      </c>
      <c r="O727" s="261">
        <v>15</v>
      </c>
      <c r="P727" s="261">
        <v>15</v>
      </c>
      <c r="Q727" s="261">
        <v>15</v>
      </c>
      <c r="R727" s="261"/>
      <c r="S727" s="261"/>
      <c r="T727" s="261"/>
      <c r="U727" s="261"/>
      <c r="V727" s="762"/>
      <c r="W727" s="261"/>
      <c r="X727" s="261"/>
      <c r="Y727" s="264">
        <f>IF(NFI_Expiration=1,IF($A727&lt;VLOOKUP(H$5,NFI,5,0),1,0)*Table_NFI[[#This Row],[Hygiene Kit]],Table_NFI[Hygiene Kit])</f>
        <v>0</v>
      </c>
      <c r="Z727" s="264">
        <f>IF(NFI_Expiration=1,IF($A727&lt;VLOOKUP(I$5,NFI,5,0),1,0)*Table_NFI[[#This Row],[NFI Core Kit]],Table_NFI[NFI Core Kit])</f>
        <v>0</v>
      </c>
      <c r="AA727" s="264">
        <f>IF(NFI_Expiration=1,IF($A727&lt;VLOOKUP(J$5,NFI,5,0),1,0)*Table_NFI[[#This Row],[Sanitary Kit]],Table_NFI[Sanitary Kit])</f>
        <v>0</v>
      </c>
      <c r="AB727" s="264">
        <f>IF(NFI_Expiration=1,IF($A727&lt;VLOOKUP(K$5,NFI,5,0),1,0)*Table_NFI[[#This Row],[Mosquito net]],Table_NFI[Mosquito net])</f>
        <v>0</v>
      </c>
      <c r="AC727" s="264">
        <f>IF(NFI_Expiration=1,IF($A727&lt;VLOOKUP(L$5,NFI,5,0),1,0)*Table_NFI[[#This Row],[Tarpaulin]],Table_NFI[[#This Row],[Tarpaulin]])</f>
        <v>0</v>
      </c>
      <c r="AD727" s="264">
        <f>IF(NFI_Expiration=1,IF($A727&lt;VLOOKUP(M$5,NFI,5,0),1,0)*Table_NFI[[#This Row],[Blanket]],Table_NFI[[#This Row],[Blanket]])</f>
        <v>0</v>
      </c>
      <c r="AE727" s="264">
        <f>IF(NFI_Expiration=1,IF($A727&lt;VLOOKUP(N$5,NFI,5,0),1,0)*Table_NFI[[#This Row],[Kitchen Set]],Table_NFI[Kitchen Set])</f>
        <v>0</v>
      </c>
      <c r="AF727" s="264">
        <f>IF(NFI_Expiration=1,IF($A727&lt;VLOOKUP(O$5,NFI,5,0),1,0)*Table_NFI[[#This Row],[Clothes Kit]],Table_NFI[Clothes Kit])</f>
        <v>0</v>
      </c>
      <c r="AG727" s="264">
        <f>IF(NFI_Expiration=1,IF($A727&lt;VLOOKUP(P$5,NFI,5,0),1,0)*Table_NFI[[#This Row],[Plastic Bucket]],Table_NFI[Plastic Bucket])</f>
        <v>0</v>
      </c>
      <c r="AH727" s="264">
        <f>IF(NFI_Expiration=1,IF($A727&lt;VLOOKUP(Q$5,NFI,5,0),1,0)*Table_NFI[[#This Row],[Plastic Mat]],Table_NFI[Plastic Mat])*IF(Table_NFI[[#This Row],[Distribution Date]]&gt;"2014-04-01",1,2.5)</f>
        <v>0</v>
      </c>
      <c r="AI727" s="264">
        <f>IF(NFI_Expiration=1,IF($A727&lt;VLOOKUP(R$5,NFI,5,0),1,0)*Table_NFI[[#This Row],[Winter Clothes Adult]],Table_NFI[Winter Clothes Adult])</f>
        <v>0</v>
      </c>
      <c r="AJ727" s="264">
        <f>IF(NFI_Expiration=1,IF($A727&lt;VLOOKUP(S$5,NFI,5,0),1,0)*Table_NFI[[#This Row],[Winter Clothes Children]],Table_NFI[Winter Clothes Children])</f>
        <v>0</v>
      </c>
      <c r="AK727" s="264">
        <f>IF(NFI_Expiration=1,IF($A727&lt;VLOOKUP(T$5,NFI,5,0),1,0)*Table_NFI[[#This Row],[Winter Items Other]],Table_NFI[Winter Items Other])</f>
        <v>0</v>
      </c>
      <c r="AL727" s="264">
        <f>IF(NFI_Expiration=1,IF($A727&lt;VLOOKUP(M$5,NFI,5,0),1,0)*Table_NFI[[#This Row],[Winter Blanket]],Table_NFI[[#This Row],[Winter Blanket]])</f>
        <v>0</v>
      </c>
      <c r="AM727" s="264">
        <f>IF(Table_NFI[[#This Row],[Winter Clothes Adult]]+Table_NFI[[#This Row],[Winter Clothes Children]]+Table_NFI[[#This Row],[Winter Items Other]]+Table_NFI[[#This Row],[Winter Blanket]]&gt;0,1,0)</f>
        <v>0</v>
      </c>
      <c r="AN727" s="296">
        <f>IF(NFI_Expiration=1,IF($A727&lt;VLOOKUP(V$5,NFI,5,0),1,0)*Table_NFI[[#This Row],[Jerry Can]],Table_NFI[Jerry Can])</f>
        <v>0</v>
      </c>
      <c r="AO727" s="296">
        <f>IF(NFI_Expiration=1,IF($A727&lt;VLOOKUP(V$5,NFI,5,0),1,0)*Table_NFI[[#This Row],[Shelter Tool kit]],Table_NFI[Shelter Tool kit])</f>
        <v>0</v>
      </c>
      <c r="AP727" s="296">
        <f>IF(NFI_Expiration=1,IF($A727&lt;VLOOKUP(V$5,NFI,5,0),1,0)*Table_NFI[[#This Row],[Tent]],Table_NFI[Tent])</f>
        <v>0</v>
      </c>
      <c r="AQ727" s="396" t="str">
        <f>IFERROR(VLOOKUP(Table_NFI[[#This Row],[Camp Name]],CL,2,0),"")</f>
        <v>MMR001CMP024</v>
      </c>
      <c r="AR727" s="702">
        <f ca="1">IF(Table_NFI[[#This Row],[Pcode]]="","",IF(OFFSET(CampList[Opening Date],MATCH(Table_NFI[[#This Row],[Pcode]],CampList[CP_Pcode],0)-1,0,1,1)&gt;=NFI_Monitor_Date,1,0))</f>
        <v>0</v>
      </c>
      <c r="AS727" s="396" t="str">
        <f>IFERROR(VLOOKUP(Table_NFI[[#This Row],[Camp Name]],CL,3,0),"")</f>
        <v>Open</v>
      </c>
      <c r="AT727" s="264" t="str">
        <f ca="1">IF(Table_NFI[[#This Row],[Pcode]]="","",OFFSET(CampList[Priority],MATCH(Table_NFI[[#This Row],[Pcode]],CampList[CP_Pcode],0)-1,0,1,1))</f>
        <v>P4</v>
      </c>
      <c r="AU727" s="263">
        <f>IFERROR(Table_NFI[[#This Row],[Kitchen Set]]/VLOOKUP(Table_NFI[[#This Row],[Camp Name]],CL,4,0),"")</f>
        <v>3.6666748148329219E-4</v>
      </c>
      <c r="AV727" s="390" t="s">
        <v>1087</v>
      </c>
      <c r="AW727" s="392"/>
      <c r="AX727" s="399"/>
      <c r="AY727" s="399"/>
      <c r="AZ727" s="399"/>
      <c r="BA727" s="399"/>
      <c r="BB727" s="399"/>
      <c r="BC727" s="399"/>
      <c r="BD727" s="399"/>
      <c r="BE727" s="399"/>
      <c r="BF727" s="399"/>
      <c r="BG727" s="399"/>
      <c r="BH727" s="399"/>
      <c r="BI727" s="399"/>
      <c r="BJ727" s="399"/>
      <c r="BK727" s="399"/>
      <c r="BL727" s="399"/>
      <c r="BM727" s="399"/>
      <c r="BN727" s="399"/>
      <c r="BO727" s="399"/>
      <c r="BP727" s="399"/>
      <c r="BQ727" s="399"/>
      <c r="BR727" s="399"/>
      <c r="BS727" s="399"/>
      <c r="BT727" s="399"/>
      <c r="BU727" s="399"/>
      <c r="BV727" s="399"/>
      <c r="BW727" s="399"/>
      <c r="BX727" s="399"/>
      <c r="BY727" s="399"/>
      <c r="BZ727" s="399"/>
      <c r="CA727" s="399"/>
      <c r="CB727" s="399"/>
      <c r="CC727" s="399"/>
      <c r="CD727" s="399"/>
      <c r="CE727" s="399"/>
      <c r="CF727" s="399"/>
      <c r="CG727" s="399"/>
      <c r="CH727" s="399"/>
      <c r="CI727" s="399"/>
      <c r="CJ727" s="399"/>
      <c r="CK727" s="399"/>
      <c r="CL727" s="399"/>
      <c r="CM727" s="399"/>
      <c r="CN727" s="399"/>
      <c r="CO727" s="399"/>
      <c r="CP727" s="399"/>
      <c r="CQ727" s="399"/>
      <c r="CR727" s="399"/>
      <c r="CS727" s="399"/>
      <c r="CT727" s="399"/>
      <c r="CU727" s="399"/>
      <c r="CV727" s="399"/>
      <c r="CW727" s="399"/>
      <c r="CX727" s="399"/>
      <c r="CY727" s="399"/>
      <c r="CZ727" s="399"/>
      <c r="DA727" s="399"/>
      <c r="DB727" s="399"/>
      <c r="DC727" s="399"/>
      <c r="DD727" s="399"/>
      <c r="DE727" s="399"/>
      <c r="DF727" s="399"/>
      <c r="DG727" s="399"/>
      <c r="DH727" s="399"/>
      <c r="DI727" s="399"/>
      <c r="DJ727" s="399"/>
      <c r="DK727" s="399"/>
      <c r="DL727" s="399"/>
      <c r="DM727" s="399"/>
      <c r="DN727" s="399"/>
      <c r="DO727" s="399"/>
      <c r="DP727" s="399"/>
      <c r="DQ727" s="399"/>
    </row>
    <row r="728" spans="1:121" s="760" customFormat="1" ht="14.45" customHeight="1" x14ac:dyDescent="0.25">
      <c r="A728" s="266">
        <f t="shared" si="11"/>
        <v>45.9</v>
      </c>
      <c r="B728" s="389">
        <v>41479</v>
      </c>
      <c r="C728" s="390" t="s">
        <v>451</v>
      </c>
      <c r="D728" s="390" t="s">
        <v>505</v>
      </c>
      <c r="E728" s="390" t="s">
        <v>380</v>
      </c>
      <c r="F728" s="390" t="s">
        <v>526</v>
      </c>
      <c r="G728" s="262" t="s">
        <v>108</v>
      </c>
      <c r="H728" s="261"/>
      <c r="I728" s="261"/>
      <c r="J728" s="261">
        <v>15</v>
      </c>
      <c r="K728" s="261">
        <v>25</v>
      </c>
      <c r="L728" s="261">
        <v>10</v>
      </c>
      <c r="M728" s="261">
        <v>25</v>
      </c>
      <c r="N728" s="261">
        <v>10</v>
      </c>
      <c r="O728" s="261">
        <v>10</v>
      </c>
      <c r="P728" s="261">
        <v>10</v>
      </c>
      <c r="Q728" s="261">
        <v>10</v>
      </c>
      <c r="R728" s="261"/>
      <c r="S728" s="261"/>
      <c r="T728" s="261"/>
      <c r="U728" s="261"/>
      <c r="V728" s="762"/>
      <c r="W728" s="261"/>
      <c r="X728" s="261"/>
      <c r="Y728" s="264">
        <f>IF(NFI_Expiration=1,IF($A728&lt;VLOOKUP(H$5,NFI,5,0),1,0)*Table_NFI[[#This Row],[Hygiene Kit]],Table_NFI[Hygiene Kit])</f>
        <v>0</v>
      </c>
      <c r="Z728" s="264">
        <f>IF(NFI_Expiration=1,IF($A728&lt;VLOOKUP(I$5,NFI,5,0),1,0)*Table_NFI[[#This Row],[NFI Core Kit]],Table_NFI[NFI Core Kit])</f>
        <v>0</v>
      </c>
      <c r="AA728" s="264">
        <f>IF(NFI_Expiration=1,IF($A728&lt;VLOOKUP(J$5,NFI,5,0),1,0)*Table_NFI[[#This Row],[Sanitary Kit]],Table_NFI[Sanitary Kit])</f>
        <v>0</v>
      </c>
      <c r="AB728" s="264">
        <f>IF(NFI_Expiration=1,IF($A728&lt;VLOOKUP(K$5,NFI,5,0),1,0)*Table_NFI[[#This Row],[Mosquito net]],Table_NFI[Mosquito net])</f>
        <v>0</v>
      </c>
      <c r="AC728" s="264">
        <f>IF(NFI_Expiration=1,IF($A728&lt;VLOOKUP(L$5,NFI,5,0),1,0)*Table_NFI[[#This Row],[Tarpaulin]],Table_NFI[[#This Row],[Tarpaulin]])</f>
        <v>0</v>
      </c>
      <c r="AD728" s="264">
        <f>IF(NFI_Expiration=1,IF($A728&lt;VLOOKUP(M$5,NFI,5,0),1,0)*Table_NFI[[#This Row],[Blanket]],Table_NFI[[#This Row],[Blanket]])</f>
        <v>0</v>
      </c>
      <c r="AE728" s="264">
        <f>IF(NFI_Expiration=1,IF($A728&lt;VLOOKUP(N$5,NFI,5,0),1,0)*Table_NFI[[#This Row],[Kitchen Set]],Table_NFI[Kitchen Set])</f>
        <v>0</v>
      </c>
      <c r="AF728" s="264">
        <f>IF(NFI_Expiration=1,IF($A728&lt;VLOOKUP(O$5,NFI,5,0),1,0)*Table_NFI[[#This Row],[Clothes Kit]],Table_NFI[Clothes Kit])</f>
        <v>0</v>
      </c>
      <c r="AG728" s="264">
        <f>IF(NFI_Expiration=1,IF($A728&lt;VLOOKUP(P$5,NFI,5,0),1,0)*Table_NFI[[#This Row],[Plastic Bucket]],Table_NFI[Plastic Bucket])</f>
        <v>0</v>
      </c>
      <c r="AH728" s="264">
        <f>IF(NFI_Expiration=1,IF($A728&lt;VLOOKUP(Q$5,NFI,5,0),1,0)*Table_NFI[[#This Row],[Plastic Mat]],Table_NFI[Plastic Mat])*IF(Table_NFI[[#This Row],[Distribution Date]]&gt;"2014-04-01",1,2.5)</f>
        <v>0</v>
      </c>
      <c r="AI728" s="264">
        <f>IF(NFI_Expiration=1,IF($A728&lt;VLOOKUP(R$5,NFI,5,0),1,0)*Table_NFI[[#This Row],[Winter Clothes Adult]],Table_NFI[Winter Clothes Adult])</f>
        <v>0</v>
      </c>
      <c r="AJ728" s="264">
        <f>IF(NFI_Expiration=1,IF($A728&lt;VLOOKUP(S$5,NFI,5,0),1,0)*Table_NFI[[#This Row],[Winter Clothes Children]],Table_NFI[Winter Clothes Children])</f>
        <v>0</v>
      </c>
      <c r="AK728" s="264">
        <f>IF(NFI_Expiration=1,IF($A728&lt;VLOOKUP(T$5,NFI,5,0),1,0)*Table_NFI[[#This Row],[Winter Items Other]],Table_NFI[Winter Items Other])</f>
        <v>0</v>
      </c>
      <c r="AL728" s="264">
        <f>IF(NFI_Expiration=1,IF($A728&lt;VLOOKUP(M$5,NFI,5,0),1,0)*Table_NFI[[#This Row],[Winter Blanket]],Table_NFI[[#This Row],[Winter Blanket]])</f>
        <v>0</v>
      </c>
      <c r="AM728" s="264">
        <f>IF(Table_NFI[[#This Row],[Winter Clothes Adult]]+Table_NFI[[#This Row],[Winter Clothes Children]]+Table_NFI[[#This Row],[Winter Items Other]]+Table_NFI[[#This Row],[Winter Blanket]]&gt;0,1,0)</f>
        <v>0</v>
      </c>
      <c r="AN728" s="296">
        <f>IF(NFI_Expiration=1,IF($A728&lt;VLOOKUP(V$5,NFI,5,0),1,0)*Table_NFI[[#This Row],[Jerry Can]],Table_NFI[Jerry Can])</f>
        <v>0</v>
      </c>
      <c r="AO728" s="296">
        <f>IF(NFI_Expiration=1,IF($A728&lt;VLOOKUP(V$5,NFI,5,0),1,0)*Table_NFI[[#This Row],[Shelter Tool kit]],Table_NFI[Shelter Tool kit])</f>
        <v>0</v>
      </c>
      <c r="AP728" s="296">
        <f>IF(NFI_Expiration=1,IF($A728&lt;VLOOKUP(V$5,NFI,5,0),1,0)*Table_NFI[[#This Row],[Tent]],Table_NFI[Tent])</f>
        <v>0</v>
      </c>
      <c r="AQ728" s="396" t="str">
        <f>IFERROR(VLOOKUP(Table_NFI[[#This Row],[Camp Name]],CL,2,0),"")</f>
        <v>MMR001CMP103</v>
      </c>
      <c r="AR728" s="702">
        <f ca="1">IF(Table_NFI[[#This Row],[Pcode]]="","",IF(OFFSET(CampList[Opening Date],MATCH(Table_NFI[[#This Row],[Pcode]],CampList[CP_Pcode],0)-1,0,1,1)&gt;=NFI_Monitor_Date,1,0))</f>
        <v>0</v>
      </c>
      <c r="AS728" s="396" t="str">
        <f>IFERROR(VLOOKUP(Table_NFI[[#This Row],[Camp Name]],CL,3,0),"")</f>
        <v>Open</v>
      </c>
      <c r="AT728" s="264" t="str">
        <f ca="1">IF(Table_NFI[[#This Row],[Pcode]]="","",OFFSET(CampList[Priority],MATCH(Table_NFI[[#This Row],[Pcode]],CampList[CP_Pcode],0)-1,0,1,1))</f>
        <v>P4</v>
      </c>
      <c r="AU728" s="263">
        <f>IFERROR(Table_NFI[[#This Row],[Kitchen Set]]/VLOOKUP(Table_NFI[[#This Row],[Camp Name]],CL,4,0),"")</f>
        <v>2.4103936172777015E-4</v>
      </c>
      <c r="AV728" s="390" t="s">
        <v>1087</v>
      </c>
      <c r="AW728" s="392"/>
      <c r="AX728" s="399"/>
      <c r="AY728" s="399"/>
      <c r="AZ728" s="399"/>
      <c r="BA728" s="399"/>
      <c r="BB728" s="399"/>
      <c r="BC728" s="399"/>
      <c r="BD728" s="399"/>
      <c r="BE728" s="399"/>
      <c r="BF728" s="399"/>
      <c r="BG728" s="399"/>
      <c r="BH728" s="399"/>
      <c r="BI728" s="399"/>
      <c r="BJ728" s="399"/>
      <c r="BK728" s="399"/>
      <c r="BL728" s="399"/>
      <c r="BM728" s="399"/>
      <c r="BN728" s="399"/>
      <c r="BO728" s="399"/>
      <c r="BP728" s="399"/>
      <c r="BQ728" s="399"/>
      <c r="BR728" s="399"/>
      <c r="BS728" s="399"/>
      <c r="BT728" s="399"/>
      <c r="BU728" s="399"/>
      <c r="BV728" s="399"/>
      <c r="BW728" s="399"/>
      <c r="BX728" s="399"/>
      <c r="BY728" s="399"/>
      <c r="BZ728" s="399"/>
      <c r="CA728" s="399"/>
      <c r="CB728" s="399"/>
      <c r="CC728" s="399"/>
      <c r="CD728" s="399"/>
      <c r="CE728" s="399"/>
      <c r="CF728" s="399"/>
      <c r="CG728" s="399"/>
      <c r="CH728" s="399"/>
      <c r="CI728" s="399"/>
      <c r="CJ728" s="399"/>
      <c r="CK728" s="399"/>
      <c r="CL728" s="399"/>
      <c r="CM728" s="399"/>
      <c r="CN728" s="399"/>
      <c r="CO728" s="399"/>
      <c r="CP728" s="399"/>
      <c r="CQ728" s="399"/>
      <c r="CR728" s="399"/>
      <c r="CS728" s="399"/>
      <c r="CT728" s="399"/>
      <c r="CU728" s="399"/>
      <c r="CV728" s="399"/>
      <c r="CW728" s="399"/>
      <c r="CX728" s="399"/>
      <c r="CY728" s="399"/>
      <c r="CZ728" s="399"/>
      <c r="DA728" s="399"/>
      <c r="DB728" s="399"/>
      <c r="DC728" s="399"/>
      <c r="DD728" s="399"/>
      <c r="DE728" s="399"/>
      <c r="DF728" s="399"/>
      <c r="DG728" s="399"/>
      <c r="DH728" s="399"/>
      <c r="DI728" s="399"/>
      <c r="DJ728" s="399"/>
      <c r="DK728" s="399"/>
      <c r="DL728" s="399"/>
      <c r="DM728" s="399"/>
      <c r="DN728" s="399"/>
      <c r="DO728" s="399"/>
      <c r="DP728" s="399"/>
      <c r="DQ728" s="399"/>
    </row>
    <row r="729" spans="1:121" s="760" customFormat="1" ht="14.45" customHeight="1" x14ac:dyDescent="0.25">
      <c r="A729" s="266">
        <f t="shared" si="11"/>
        <v>45.9</v>
      </c>
      <c r="B729" s="389">
        <v>41479</v>
      </c>
      <c r="C729" s="390" t="s">
        <v>451</v>
      </c>
      <c r="D729" s="390" t="s">
        <v>505</v>
      </c>
      <c r="E729" s="390" t="s">
        <v>380</v>
      </c>
      <c r="F729" s="390" t="s">
        <v>237</v>
      </c>
      <c r="G729" s="262" t="s">
        <v>273</v>
      </c>
      <c r="H729" s="261"/>
      <c r="I729" s="261"/>
      <c r="J729" s="261">
        <v>31</v>
      </c>
      <c r="K729" s="261">
        <v>41</v>
      </c>
      <c r="L729" s="261">
        <v>17</v>
      </c>
      <c r="M729" s="261">
        <v>41</v>
      </c>
      <c r="N729" s="261">
        <v>17</v>
      </c>
      <c r="O729" s="261">
        <v>17</v>
      </c>
      <c r="P729" s="261">
        <v>17</v>
      </c>
      <c r="Q729" s="261">
        <v>17</v>
      </c>
      <c r="R729" s="261"/>
      <c r="S729" s="261"/>
      <c r="T729" s="261"/>
      <c r="U729" s="261"/>
      <c r="V729" s="762"/>
      <c r="W729" s="261"/>
      <c r="X729" s="261"/>
      <c r="Y729" s="264">
        <f>IF(NFI_Expiration=1,IF($A729&lt;VLOOKUP(H$5,NFI,5,0),1,0)*Table_NFI[[#This Row],[Hygiene Kit]],Table_NFI[Hygiene Kit])</f>
        <v>0</v>
      </c>
      <c r="Z729" s="264">
        <f>IF(NFI_Expiration=1,IF($A729&lt;VLOOKUP(I$5,NFI,5,0),1,0)*Table_NFI[[#This Row],[NFI Core Kit]],Table_NFI[NFI Core Kit])</f>
        <v>0</v>
      </c>
      <c r="AA729" s="264">
        <f>IF(NFI_Expiration=1,IF($A729&lt;VLOOKUP(J$5,NFI,5,0),1,0)*Table_NFI[[#This Row],[Sanitary Kit]],Table_NFI[Sanitary Kit])</f>
        <v>0</v>
      </c>
      <c r="AB729" s="264">
        <f>IF(NFI_Expiration=1,IF($A729&lt;VLOOKUP(K$5,NFI,5,0),1,0)*Table_NFI[[#This Row],[Mosquito net]],Table_NFI[Mosquito net])</f>
        <v>0</v>
      </c>
      <c r="AC729" s="264">
        <f>IF(NFI_Expiration=1,IF($A729&lt;VLOOKUP(L$5,NFI,5,0),1,0)*Table_NFI[[#This Row],[Tarpaulin]],Table_NFI[[#This Row],[Tarpaulin]])</f>
        <v>0</v>
      </c>
      <c r="AD729" s="264">
        <f>IF(NFI_Expiration=1,IF($A729&lt;VLOOKUP(M$5,NFI,5,0),1,0)*Table_NFI[[#This Row],[Blanket]],Table_NFI[[#This Row],[Blanket]])</f>
        <v>0</v>
      </c>
      <c r="AE729" s="264">
        <f>IF(NFI_Expiration=1,IF($A729&lt;VLOOKUP(N$5,NFI,5,0),1,0)*Table_NFI[[#This Row],[Kitchen Set]],Table_NFI[Kitchen Set])</f>
        <v>0</v>
      </c>
      <c r="AF729" s="264">
        <f>IF(NFI_Expiration=1,IF($A729&lt;VLOOKUP(O$5,NFI,5,0),1,0)*Table_NFI[[#This Row],[Clothes Kit]],Table_NFI[Clothes Kit])</f>
        <v>0</v>
      </c>
      <c r="AG729" s="264">
        <f>IF(NFI_Expiration=1,IF($A729&lt;VLOOKUP(P$5,NFI,5,0),1,0)*Table_NFI[[#This Row],[Plastic Bucket]],Table_NFI[Plastic Bucket])</f>
        <v>0</v>
      </c>
      <c r="AH729" s="264">
        <f>IF(NFI_Expiration=1,IF($A729&lt;VLOOKUP(Q$5,NFI,5,0),1,0)*Table_NFI[[#This Row],[Plastic Mat]],Table_NFI[Plastic Mat])*IF(Table_NFI[[#This Row],[Distribution Date]]&gt;"2014-04-01",1,2.5)</f>
        <v>0</v>
      </c>
      <c r="AI729" s="264">
        <f>IF(NFI_Expiration=1,IF($A729&lt;VLOOKUP(R$5,NFI,5,0),1,0)*Table_NFI[[#This Row],[Winter Clothes Adult]],Table_NFI[Winter Clothes Adult])</f>
        <v>0</v>
      </c>
      <c r="AJ729" s="264">
        <f>IF(NFI_Expiration=1,IF($A729&lt;VLOOKUP(S$5,NFI,5,0),1,0)*Table_NFI[[#This Row],[Winter Clothes Children]],Table_NFI[Winter Clothes Children])</f>
        <v>0</v>
      </c>
      <c r="AK729" s="264">
        <f>IF(NFI_Expiration=1,IF($A729&lt;VLOOKUP(T$5,NFI,5,0),1,0)*Table_NFI[[#This Row],[Winter Items Other]],Table_NFI[Winter Items Other])</f>
        <v>0</v>
      </c>
      <c r="AL729" s="264">
        <f>IF(NFI_Expiration=1,IF($A729&lt;VLOOKUP(M$5,NFI,5,0),1,0)*Table_NFI[[#This Row],[Winter Blanket]],Table_NFI[[#This Row],[Winter Blanket]])</f>
        <v>0</v>
      </c>
      <c r="AM729" s="264">
        <f>IF(Table_NFI[[#This Row],[Winter Clothes Adult]]+Table_NFI[[#This Row],[Winter Clothes Children]]+Table_NFI[[#This Row],[Winter Items Other]]+Table_NFI[[#This Row],[Winter Blanket]]&gt;0,1,0)</f>
        <v>0</v>
      </c>
      <c r="AN729" s="296">
        <f>IF(NFI_Expiration=1,IF($A729&lt;VLOOKUP(V$5,NFI,5,0),1,0)*Table_NFI[[#This Row],[Jerry Can]],Table_NFI[Jerry Can])</f>
        <v>0</v>
      </c>
      <c r="AO729" s="296">
        <f>IF(NFI_Expiration=1,IF($A729&lt;VLOOKUP(V$5,NFI,5,0),1,0)*Table_NFI[[#This Row],[Shelter Tool kit]],Table_NFI[Shelter Tool kit])</f>
        <v>0</v>
      </c>
      <c r="AP729" s="296">
        <f>IF(NFI_Expiration=1,IF($A729&lt;VLOOKUP(V$5,NFI,5,0),1,0)*Table_NFI[[#This Row],[Tent]],Table_NFI[Tent])</f>
        <v>0</v>
      </c>
      <c r="AQ729" s="396" t="str">
        <f>IFERROR(VLOOKUP(Table_NFI[[#This Row],[Camp Name]],CL,2,0),"")</f>
        <v>MMR001CMP162</v>
      </c>
      <c r="AR729" s="702">
        <f ca="1">IF(Table_NFI[[#This Row],[Pcode]]="","",IF(OFFSET(CampList[Opening Date],MATCH(Table_NFI[[#This Row],[Pcode]],CampList[CP_Pcode],0)-1,0,1,1)&gt;=NFI_Monitor_Date,1,0))</f>
        <v>0</v>
      </c>
      <c r="AS729" s="396" t="str">
        <f>IFERROR(VLOOKUP(Table_NFI[[#This Row],[Camp Name]],CL,3,0),"")</f>
        <v>Open</v>
      </c>
      <c r="AT729" s="264" t="str">
        <f ca="1">IF(Table_NFI[[#This Row],[Pcode]]="","",OFFSET(CampList[Priority],MATCH(Table_NFI[[#This Row],[Pcode]],CampList[CP_Pcode],0)-1,0,1,1))</f>
        <v>P4</v>
      </c>
      <c r="AU729" s="263">
        <f>IFERROR(Table_NFI[[#This Row],[Kitchen Set]]/VLOOKUP(Table_NFI[[#This Row],[Camp Name]],CL,4,0),"")</f>
        <v>4.1218116574532053E-4</v>
      </c>
      <c r="AV729" s="390" t="s">
        <v>1087</v>
      </c>
      <c r="AW729" s="392"/>
      <c r="AX729" s="399"/>
      <c r="AY729" s="399"/>
      <c r="AZ729" s="399"/>
      <c r="BA729" s="399"/>
      <c r="BB729" s="399"/>
      <c r="BC729" s="399"/>
      <c r="BD729" s="399"/>
      <c r="BE729" s="399"/>
      <c r="BF729" s="399"/>
      <c r="BG729" s="399"/>
      <c r="BH729" s="399"/>
      <c r="BI729" s="399"/>
      <c r="BJ729" s="399"/>
      <c r="BK729" s="399"/>
      <c r="BL729" s="399"/>
      <c r="BM729" s="399"/>
      <c r="BN729" s="399"/>
      <c r="BO729" s="399"/>
      <c r="BP729" s="399"/>
      <c r="BQ729" s="399"/>
      <c r="BR729" s="399"/>
      <c r="BS729" s="399"/>
      <c r="BT729" s="399"/>
      <c r="BU729" s="399"/>
      <c r="BV729" s="399"/>
      <c r="BW729" s="399"/>
      <c r="BX729" s="399"/>
      <c r="BY729" s="399"/>
      <c r="BZ729" s="399"/>
      <c r="CA729" s="399"/>
      <c r="CB729" s="399"/>
      <c r="CC729" s="399"/>
      <c r="CD729" s="399"/>
      <c r="CE729" s="399"/>
      <c r="CF729" s="399"/>
      <c r="CG729" s="399"/>
      <c r="CH729" s="399"/>
      <c r="CI729" s="399"/>
      <c r="CJ729" s="399"/>
      <c r="CK729" s="399"/>
      <c r="CL729" s="399"/>
      <c r="CM729" s="399"/>
      <c r="CN729" s="399"/>
      <c r="CO729" s="399"/>
      <c r="CP729" s="399"/>
      <c r="CQ729" s="399"/>
      <c r="CR729" s="399"/>
      <c r="CS729" s="399"/>
      <c r="CT729" s="399"/>
      <c r="CU729" s="399"/>
      <c r="CV729" s="399"/>
      <c r="CW729" s="399"/>
      <c r="CX729" s="399"/>
      <c r="CY729" s="399"/>
      <c r="CZ729" s="399"/>
      <c r="DA729" s="399"/>
      <c r="DB729" s="399"/>
      <c r="DC729" s="399"/>
      <c r="DD729" s="399"/>
      <c r="DE729" s="399"/>
      <c r="DF729" s="399"/>
      <c r="DG729" s="399"/>
      <c r="DH729" s="399"/>
      <c r="DI729" s="399"/>
      <c r="DJ729" s="399"/>
      <c r="DK729" s="399"/>
      <c r="DL729" s="399"/>
      <c r="DM729" s="399"/>
      <c r="DN729" s="399"/>
      <c r="DO729" s="399"/>
      <c r="DP729" s="399"/>
      <c r="DQ729" s="399"/>
    </row>
    <row r="730" spans="1:121" s="760" customFormat="1" ht="14.45" customHeight="1" x14ac:dyDescent="0.25">
      <c r="A730" s="266">
        <f t="shared" si="11"/>
        <v>45.9</v>
      </c>
      <c r="B730" s="389">
        <v>41479</v>
      </c>
      <c r="C730" s="390" t="s">
        <v>451</v>
      </c>
      <c r="D730" s="390" t="s">
        <v>459</v>
      </c>
      <c r="E730" s="390" t="s">
        <v>380</v>
      </c>
      <c r="F730" s="262" t="s">
        <v>310</v>
      </c>
      <c r="G730" s="262" t="s">
        <v>342</v>
      </c>
      <c r="H730" s="261"/>
      <c r="I730" s="261"/>
      <c r="J730" s="261">
        <v>31</v>
      </c>
      <c r="K730" s="261">
        <v>44</v>
      </c>
      <c r="L730" s="261">
        <v>18</v>
      </c>
      <c r="M730" s="261">
        <v>44</v>
      </c>
      <c r="N730" s="261">
        <v>18</v>
      </c>
      <c r="O730" s="261">
        <v>18</v>
      </c>
      <c r="P730" s="261">
        <v>18</v>
      </c>
      <c r="Q730" s="261">
        <v>18</v>
      </c>
      <c r="R730" s="261"/>
      <c r="S730" s="261"/>
      <c r="T730" s="261"/>
      <c r="U730" s="261"/>
      <c r="V730" s="762"/>
      <c r="W730" s="261"/>
      <c r="X730" s="261"/>
      <c r="Y730" s="264">
        <f>IF(NFI_Expiration=1,IF($A730&lt;VLOOKUP(H$5,NFI,5,0),1,0)*Table_NFI[[#This Row],[Hygiene Kit]],Table_NFI[Hygiene Kit])</f>
        <v>0</v>
      </c>
      <c r="Z730" s="264">
        <f>IF(NFI_Expiration=1,IF($A730&lt;VLOOKUP(I$5,NFI,5,0),1,0)*Table_NFI[[#This Row],[NFI Core Kit]],Table_NFI[NFI Core Kit])</f>
        <v>0</v>
      </c>
      <c r="AA730" s="264">
        <f>IF(NFI_Expiration=1,IF($A730&lt;VLOOKUP(J$5,NFI,5,0),1,0)*Table_NFI[[#This Row],[Sanitary Kit]],Table_NFI[Sanitary Kit])</f>
        <v>0</v>
      </c>
      <c r="AB730" s="264">
        <f>IF(NFI_Expiration=1,IF($A730&lt;VLOOKUP(K$5,NFI,5,0),1,0)*Table_NFI[[#This Row],[Mosquito net]],Table_NFI[Mosquito net])</f>
        <v>0</v>
      </c>
      <c r="AC730" s="264">
        <f>IF(NFI_Expiration=1,IF($A730&lt;VLOOKUP(L$5,NFI,5,0),1,0)*Table_NFI[[#This Row],[Tarpaulin]],Table_NFI[[#This Row],[Tarpaulin]])</f>
        <v>0</v>
      </c>
      <c r="AD730" s="264">
        <f>IF(NFI_Expiration=1,IF($A730&lt;VLOOKUP(M$5,NFI,5,0),1,0)*Table_NFI[[#This Row],[Blanket]],Table_NFI[[#This Row],[Blanket]])</f>
        <v>0</v>
      </c>
      <c r="AE730" s="264">
        <f>IF(NFI_Expiration=1,IF($A730&lt;VLOOKUP(N$5,NFI,5,0),1,0)*Table_NFI[[#This Row],[Kitchen Set]],Table_NFI[Kitchen Set])</f>
        <v>0</v>
      </c>
      <c r="AF730" s="264">
        <f>IF(NFI_Expiration=1,IF($A730&lt;VLOOKUP(O$5,NFI,5,0),1,0)*Table_NFI[[#This Row],[Clothes Kit]],Table_NFI[Clothes Kit])</f>
        <v>0</v>
      </c>
      <c r="AG730" s="264">
        <f>IF(NFI_Expiration=1,IF($A730&lt;VLOOKUP(P$5,NFI,5,0),1,0)*Table_NFI[[#This Row],[Plastic Bucket]],Table_NFI[Plastic Bucket])</f>
        <v>0</v>
      </c>
      <c r="AH730" s="264">
        <f>IF(NFI_Expiration=1,IF($A730&lt;VLOOKUP(Q$5,NFI,5,0),1,0)*Table_NFI[[#This Row],[Plastic Mat]],Table_NFI[Plastic Mat])*IF(Table_NFI[[#This Row],[Distribution Date]]&gt;"2014-04-01",1,2.5)</f>
        <v>0</v>
      </c>
      <c r="AI730" s="264">
        <f>IF(NFI_Expiration=1,IF($A730&lt;VLOOKUP(R$5,NFI,5,0),1,0)*Table_NFI[[#This Row],[Winter Clothes Adult]],Table_NFI[Winter Clothes Adult])</f>
        <v>0</v>
      </c>
      <c r="AJ730" s="264">
        <f>IF(NFI_Expiration=1,IF($A730&lt;VLOOKUP(S$5,NFI,5,0),1,0)*Table_NFI[[#This Row],[Winter Clothes Children]],Table_NFI[Winter Clothes Children])</f>
        <v>0</v>
      </c>
      <c r="AK730" s="264">
        <f>IF(NFI_Expiration=1,IF($A730&lt;VLOOKUP(T$5,NFI,5,0),1,0)*Table_NFI[[#This Row],[Winter Items Other]],Table_NFI[Winter Items Other])</f>
        <v>0</v>
      </c>
      <c r="AL730" s="264">
        <f>IF(NFI_Expiration=1,IF($A730&lt;VLOOKUP(M$5,NFI,5,0),1,0)*Table_NFI[[#This Row],[Winter Blanket]],Table_NFI[[#This Row],[Winter Blanket]])</f>
        <v>0</v>
      </c>
      <c r="AM730" s="264">
        <f>IF(Table_NFI[[#This Row],[Winter Clothes Adult]]+Table_NFI[[#This Row],[Winter Clothes Children]]+Table_NFI[[#This Row],[Winter Items Other]]+Table_NFI[[#This Row],[Winter Blanket]]&gt;0,1,0)</f>
        <v>0</v>
      </c>
      <c r="AN730" s="296">
        <f>IF(NFI_Expiration=1,IF($A730&lt;VLOOKUP(V$5,NFI,5,0),1,0)*Table_NFI[[#This Row],[Jerry Can]],Table_NFI[Jerry Can])</f>
        <v>0</v>
      </c>
      <c r="AO730" s="296">
        <f>IF(NFI_Expiration=1,IF($A730&lt;VLOOKUP(V$5,NFI,5,0),1,0)*Table_NFI[[#This Row],[Shelter Tool kit]],Table_NFI[Shelter Tool kit])</f>
        <v>0</v>
      </c>
      <c r="AP730" s="296">
        <f>IF(NFI_Expiration=1,IF($A730&lt;VLOOKUP(V$5,NFI,5,0),1,0)*Table_NFI[[#This Row],[Tent]],Table_NFI[Tent])</f>
        <v>0</v>
      </c>
      <c r="AQ730" s="396" t="str">
        <f>IFERROR(VLOOKUP(Table_NFI[[#This Row],[Camp Name]],CL,2,0),"")</f>
        <v>MMR001CMP025</v>
      </c>
      <c r="AR730" s="702">
        <f ca="1">IF(Table_NFI[[#This Row],[Pcode]]="","",IF(OFFSET(CampList[Opening Date],MATCH(Table_NFI[[#This Row],[Pcode]],CampList[CP_Pcode],0)-1,0,1,1)&gt;=NFI_Monitor_Date,1,0))</f>
        <v>0</v>
      </c>
      <c r="AS730" s="396" t="str">
        <f>IFERROR(VLOOKUP(Table_NFI[[#This Row],[Camp Name]],CL,3,0),"")</f>
        <v>Open</v>
      </c>
      <c r="AT730" s="264" t="str">
        <f ca="1">IF(Table_NFI[[#This Row],[Pcode]]="","",OFFSET(CampList[Priority],MATCH(Table_NFI[[#This Row],[Pcode]],CampList[CP_Pcode],0)-1,0,1,1))</f>
        <v>P4</v>
      </c>
      <c r="AU730" s="263">
        <f>IFERROR(Table_NFI[[#This Row],[Kitchen Set]]/VLOOKUP(Table_NFI[[#This Row],[Camp Name]],CL,4,0),"")</f>
        <v>4.4231478068558792E-4</v>
      </c>
      <c r="AV730" s="390" t="s">
        <v>1087</v>
      </c>
      <c r="AW730" s="392"/>
      <c r="AX730" s="399"/>
      <c r="AY730" s="399"/>
      <c r="AZ730" s="399"/>
      <c r="BA730" s="399"/>
      <c r="BB730" s="399"/>
      <c r="BC730" s="399"/>
      <c r="BD730" s="399"/>
      <c r="BE730" s="399"/>
      <c r="BF730" s="399"/>
      <c r="BG730" s="399"/>
      <c r="BH730" s="399"/>
      <c r="BI730" s="399"/>
      <c r="BJ730" s="399"/>
      <c r="BK730" s="399"/>
      <c r="BL730" s="399"/>
      <c r="BM730" s="399"/>
      <c r="BN730" s="399"/>
      <c r="BO730" s="399"/>
      <c r="BP730" s="399"/>
      <c r="BQ730" s="399"/>
      <c r="BR730" s="399"/>
      <c r="BS730" s="399"/>
      <c r="BT730" s="399"/>
      <c r="BU730" s="399"/>
      <c r="BV730" s="399"/>
      <c r="BW730" s="399"/>
      <c r="BX730" s="399"/>
      <c r="BY730" s="399"/>
      <c r="BZ730" s="399"/>
      <c r="CA730" s="399"/>
      <c r="CB730" s="399"/>
      <c r="CC730" s="399"/>
      <c r="CD730" s="399"/>
      <c r="CE730" s="399"/>
      <c r="CF730" s="399"/>
      <c r="CG730" s="399"/>
      <c r="CH730" s="399"/>
      <c r="CI730" s="399"/>
      <c r="CJ730" s="399"/>
      <c r="CK730" s="399"/>
      <c r="CL730" s="399"/>
      <c r="CM730" s="399"/>
      <c r="CN730" s="399"/>
      <c r="CO730" s="399"/>
      <c r="CP730" s="399"/>
      <c r="CQ730" s="399"/>
      <c r="CR730" s="399"/>
      <c r="CS730" s="399"/>
      <c r="CT730" s="399"/>
      <c r="CU730" s="399"/>
      <c r="CV730" s="399"/>
      <c r="CW730" s="399"/>
      <c r="CX730" s="399"/>
      <c r="CY730" s="399"/>
      <c r="CZ730" s="399"/>
      <c r="DA730" s="399"/>
      <c r="DB730" s="399"/>
      <c r="DC730" s="399"/>
      <c r="DD730" s="399"/>
      <c r="DE730" s="399"/>
      <c r="DF730" s="399"/>
      <c r="DG730" s="399"/>
      <c r="DH730" s="399"/>
      <c r="DI730" s="399"/>
      <c r="DJ730" s="399"/>
      <c r="DK730" s="399"/>
      <c r="DL730" s="399"/>
      <c r="DM730" s="399"/>
      <c r="DN730" s="399"/>
      <c r="DO730" s="399"/>
      <c r="DP730" s="399"/>
      <c r="DQ730" s="399"/>
    </row>
    <row r="731" spans="1:121" s="760" customFormat="1" ht="14.45" customHeight="1" x14ac:dyDescent="0.25">
      <c r="A731" s="266">
        <f t="shared" si="11"/>
        <v>45.9</v>
      </c>
      <c r="B731" s="389">
        <v>41479</v>
      </c>
      <c r="C731" s="390" t="s">
        <v>451</v>
      </c>
      <c r="D731" s="390" t="s">
        <v>504</v>
      </c>
      <c r="E731" s="390" t="s">
        <v>380</v>
      </c>
      <c r="F731" s="390" t="s">
        <v>310</v>
      </c>
      <c r="G731" s="262" t="s">
        <v>351</v>
      </c>
      <c r="H731" s="261"/>
      <c r="I731" s="261"/>
      <c r="J731" s="261">
        <v>41</v>
      </c>
      <c r="K731" s="261">
        <v>73</v>
      </c>
      <c r="L731" s="261">
        <v>31</v>
      </c>
      <c r="M731" s="261">
        <v>73</v>
      </c>
      <c r="N731" s="261">
        <v>31</v>
      </c>
      <c r="O731" s="261">
        <v>31</v>
      </c>
      <c r="P731" s="261">
        <v>31</v>
      </c>
      <c r="Q731" s="261">
        <v>31</v>
      </c>
      <c r="R731" s="261"/>
      <c r="S731" s="261"/>
      <c r="T731" s="261"/>
      <c r="U731" s="261"/>
      <c r="V731" s="762"/>
      <c r="W731" s="261"/>
      <c r="X731" s="261"/>
      <c r="Y731" s="264">
        <f>IF(NFI_Expiration=1,IF($A731&lt;VLOOKUP(H$5,NFI,5,0),1,0)*Table_NFI[[#This Row],[Hygiene Kit]],Table_NFI[Hygiene Kit])</f>
        <v>0</v>
      </c>
      <c r="Z731" s="264">
        <f>IF(NFI_Expiration=1,IF($A731&lt;VLOOKUP(I$5,NFI,5,0),1,0)*Table_NFI[[#This Row],[NFI Core Kit]],Table_NFI[NFI Core Kit])</f>
        <v>0</v>
      </c>
      <c r="AA731" s="264">
        <f>IF(NFI_Expiration=1,IF($A731&lt;VLOOKUP(J$5,NFI,5,0),1,0)*Table_NFI[[#This Row],[Sanitary Kit]],Table_NFI[Sanitary Kit])</f>
        <v>0</v>
      </c>
      <c r="AB731" s="264">
        <f>IF(NFI_Expiration=1,IF($A731&lt;VLOOKUP(K$5,NFI,5,0),1,0)*Table_NFI[[#This Row],[Mosquito net]],Table_NFI[Mosquito net])</f>
        <v>0</v>
      </c>
      <c r="AC731" s="264">
        <f>IF(NFI_Expiration=1,IF($A731&lt;VLOOKUP(L$5,NFI,5,0),1,0)*Table_NFI[[#This Row],[Tarpaulin]],Table_NFI[[#This Row],[Tarpaulin]])</f>
        <v>0</v>
      </c>
      <c r="AD731" s="264">
        <f>IF(NFI_Expiration=1,IF($A731&lt;VLOOKUP(M$5,NFI,5,0),1,0)*Table_NFI[[#This Row],[Blanket]],Table_NFI[[#This Row],[Blanket]])</f>
        <v>0</v>
      </c>
      <c r="AE731" s="264">
        <f>IF(NFI_Expiration=1,IF($A731&lt;VLOOKUP(N$5,NFI,5,0),1,0)*Table_NFI[[#This Row],[Kitchen Set]],Table_NFI[Kitchen Set])</f>
        <v>0</v>
      </c>
      <c r="AF731" s="264">
        <f>IF(NFI_Expiration=1,IF($A731&lt;VLOOKUP(O$5,NFI,5,0),1,0)*Table_NFI[[#This Row],[Clothes Kit]],Table_NFI[Clothes Kit])</f>
        <v>0</v>
      </c>
      <c r="AG731" s="264">
        <f>IF(NFI_Expiration=1,IF($A731&lt;VLOOKUP(P$5,NFI,5,0),1,0)*Table_NFI[[#This Row],[Plastic Bucket]],Table_NFI[Plastic Bucket])</f>
        <v>0</v>
      </c>
      <c r="AH731" s="264">
        <f>IF(NFI_Expiration=1,IF($A731&lt;VLOOKUP(Q$5,NFI,5,0),1,0)*Table_NFI[[#This Row],[Plastic Mat]],Table_NFI[Plastic Mat])*IF(Table_NFI[[#This Row],[Distribution Date]]&gt;"2014-04-01",1,2.5)</f>
        <v>0</v>
      </c>
      <c r="AI731" s="264">
        <f>IF(NFI_Expiration=1,IF($A731&lt;VLOOKUP(R$5,NFI,5,0),1,0)*Table_NFI[[#This Row],[Winter Clothes Adult]],Table_NFI[Winter Clothes Adult])</f>
        <v>0</v>
      </c>
      <c r="AJ731" s="264">
        <f>IF(NFI_Expiration=1,IF($A731&lt;VLOOKUP(S$5,NFI,5,0),1,0)*Table_NFI[[#This Row],[Winter Clothes Children]],Table_NFI[Winter Clothes Children])</f>
        <v>0</v>
      </c>
      <c r="AK731" s="264">
        <f>IF(NFI_Expiration=1,IF($A731&lt;VLOOKUP(T$5,NFI,5,0),1,0)*Table_NFI[[#This Row],[Winter Items Other]],Table_NFI[Winter Items Other])</f>
        <v>0</v>
      </c>
      <c r="AL731" s="264">
        <f>IF(NFI_Expiration=1,IF($A731&lt;VLOOKUP(M$5,NFI,5,0),1,0)*Table_NFI[[#This Row],[Winter Blanket]],Table_NFI[[#This Row],[Winter Blanket]])</f>
        <v>0</v>
      </c>
      <c r="AM731" s="264">
        <f>IF(Table_NFI[[#This Row],[Winter Clothes Adult]]+Table_NFI[[#This Row],[Winter Clothes Children]]+Table_NFI[[#This Row],[Winter Items Other]]+Table_NFI[[#This Row],[Winter Blanket]]&gt;0,1,0)</f>
        <v>0</v>
      </c>
      <c r="AN731" s="296">
        <f>IF(NFI_Expiration=1,IF($A731&lt;VLOOKUP(V$5,NFI,5,0),1,0)*Table_NFI[[#This Row],[Jerry Can]],Table_NFI[Jerry Can])</f>
        <v>0</v>
      </c>
      <c r="AO731" s="296">
        <f>IF(NFI_Expiration=1,IF($A731&lt;VLOOKUP(V$5,NFI,5,0),1,0)*Table_NFI[[#This Row],[Shelter Tool kit]],Table_NFI[Shelter Tool kit])</f>
        <v>0</v>
      </c>
      <c r="AP731" s="296">
        <f>IF(NFI_Expiration=1,IF($A731&lt;VLOOKUP(V$5,NFI,5,0),1,0)*Table_NFI[[#This Row],[Tent]],Table_NFI[Tent])</f>
        <v>0</v>
      </c>
      <c r="AQ731" s="396" t="str">
        <f>IFERROR(VLOOKUP(Table_NFI[[#This Row],[Camp Name]],CL,2,0),"")</f>
        <v>MMR001CMP026</v>
      </c>
      <c r="AR731" s="702">
        <f ca="1">IF(Table_NFI[[#This Row],[Pcode]]="","",IF(OFFSET(CampList[Opening Date],MATCH(Table_NFI[[#This Row],[Pcode]],CampList[CP_Pcode],0)-1,0,1,1)&gt;=NFI_Monitor_Date,1,0))</f>
        <v>0</v>
      </c>
      <c r="AS731" s="396" t="str">
        <f>IFERROR(VLOOKUP(Table_NFI[[#This Row],[Camp Name]],CL,3,0),"")</f>
        <v>Open</v>
      </c>
      <c r="AT731" s="264" t="str">
        <f ca="1">IF(Table_NFI[[#This Row],[Pcode]]="","",OFFSET(CampList[Priority],MATCH(Table_NFI[[#This Row],[Pcode]],CampList[CP_Pcode],0)-1,0,1,1))</f>
        <v>P4</v>
      </c>
      <c r="AU731" s="263">
        <f>IFERROR(Table_NFI[[#This Row],[Kitchen Set]]/VLOOKUP(Table_NFI[[#This Row],[Camp Name]],CL,4,0),"")</f>
        <v>7.572056668295066E-4</v>
      </c>
      <c r="AV731" s="390" t="s">
        <v>1087</v>
      </c>
      <c r="AW731" s="392"/>
      <c r="AX731" s="399"/>
      <c r="AY731" s="399"/>
      <c r="AZ731" s="399"/>
      <c r="BA731" s="399"/>
      <c r="BB731" s="399"/>
      <c r="BC731" s="399"/>
      <c r="BD731" s="399"/>
      <c r="BE731" s="399"/>
      <c r="BF731" s="399"/>
      <c r="BG731" s="399"/>
      <c r="BH731" s="399"/>
      <c r="BI731" s="399"/>
      <c r="BJ731" s="399"/>
      <c r="BK731" s="399"/>
      <c r="BL731" s="399"/>
      <c r="BM731" s="399"/>
      <c r="BN731" s="399"/>
      <c r="BO731" s="399"/>
      <c r="BP731" s="399"/>
      <c r="BQ731" s="399"/>
      <c r="BR731" s="399"/>
      <c r="BS731" s="399"/>
      <c r="BT731" s="399"/>
      <c r="BU731" s="399"/>
      <c r="BV731" s="399"/>
      <c r="BW731" s="399"/>
      <c r="BX731" s="399"/>
      <c r="BY731" s="399"/>
      <c r="BZ731" s="399"/>
      <c r="CA731" s="399"/>
      <c r="CB731" s="399"/>
      <c r="CC731" s="399"/>
      <c r="CD731" s="399"/>
      <c r="CE731" s="399"/>
      <c r="CF731" s="399"/>
      <c r="CG731" s="399"/>
      <c r="CH731" s="399"/>
      <c r="CI731" s="399"/>
      <c r="CJ731" s="399"/>
      <c r="CK731" s="399"/>
      <c r="CL731" s="399"/>
      <c r="CM731" s="399"/>
      <c r="CN731" s="399"/>
      <c r="CO731" s="399"/>
      <c r="CP731" s="399"/>
      <c r="CQ731" s="399"/>
      <c r="CR731" s="399"/>
      <c r="CS731" s="399"/>
      <c r="CT731" s="399"/>
      <c r="CU731" s="399"/>
      <c r="CV731" s="399"/>
      <c r="CW731" s="399"/>
      <c r="CX731" s="399"/>
      <c r="CY731" s="399"/>
      <c r="CZ731" s="399"/>
      <c r="DA731" s="399"/>
      <c r="DB731" s="399"/>
      <c r="DC731" s="399"/>
      <c r="DD731" s="399"/>
      <c r="DE731" s="399"/>
      <c r="DF731" s="399"/>
      <c r="DG731" s="399"/>
      <c r="DH731" s="399"/>
      <c r="DI731" s="399"/>
      <c r="DJ731" s="399"/>
      <c r="DK731" s="399"/>
      <c r="DL731" s="399"/>
      <c r="DM731" s="399"/>
      <c r="DN731" s="399"/>
      <c r="DO731" s="399"/>
      <c r="DP731" s="399"/>
      <c r="DQ731" s="399"/>
    </row>
    <row r="732" spans="1:121" s="760" customFormat="1" ht="14.45" customHeight="1" x14ac:dyDescent="0.25">
      <c r="A732" s="266">
        <f t="shared" si="11"/>
        <v>45.9</v>
      </c>
      <c r="B732" s="389">
        <v>41479</v>
      </c>
      <c r="C732" s="390" t="s">
        <v>451</v>
      </c>
      <c r="D732" s="391" t="s">
        <v>459</v>
      </c>
      <c r="E732" s="390" t="s">
        <v>380</v>
      </c>
      <c r="F732" s="262" t="s">
        <v>237</v>
      </c>
      <c r="G732" s="262" t="s">
        <v>277</v>
      </c>
      <c r="H732" s="261"/>
      <c r="I732" s="261"/>
      <c r="J732" s="261">
        <v>21</v>
      </c>
      <c r="K732" s="261">
        <v>36</v>
      </c>
      <c r="L732" s="261">
        <v>16</v>
      </c>
      <c r="M732" s="261">
        <v>36</v>
      </c>
      <c r="N732" s="261">
        <v>16</v>
      </c>
      <c r="O732" s="261">
        <v>16</v>
      </c>
      <c r="P732" s="261">
        <v>16</v>
      </c>
      <c r="Q732" s="261">
        <v>16</v>
      </c>
      <c r="R732" s="261"/>
      <c r="S732" s="261"/>
      <c r="T732" s="261"/>
      <c r="U732" s="261"/>
      <c r="V732" s="762"/>
      <c r="W732" s="261"/>
      <c r="X732" s="261"/>
      <c r="Y732" s="264">
        <f>IF(NFI_Expiration=1,IF($A732&lt;VLOOKUP(H$5,NFI,5,0),1,0)*Table_NFI[[#This Row],[Hygiene Kit]],Table_NFI[Hygiene Kit])</f>
        <v>0</v>
      </c>
      <c r="Z732" s="264">
        <f>IF(NFI_Expiration=1,IF($A732&lt;VLOOKUP(I$5,NFI,5,0),1,0)*Table_NFI[[#This Row],[NFI Core Kit]],Table_NFI[NFI Core Kit])</f>
        <v>0</v>
      </c>
      <c r="AA732" s="264">
        <f>IF(NFI_Expiration=1,IF($A732&lt;VLOOKUP(J$5,NFI,5,0),1,0)*Table_NFI[[#This Row],[Sanitary Kit]],Table_NFI[Sanitary Kit])</f>
        <v>0</v>
      </c>
      <c r="AB732" s="264">
        <f>IF(NFI_Expiration=1,IF($A732&lt;VLOOKUP(K$5,NFI,5,0),1,0)*Table_NFI[[#This Row],[Mosquito net]],Table_NFI[Mosquito net])</f>
        <v>0</v>
      </c>
      <c r="AC732" s="264">
        <f>IF(NFI_Expiration=1,IF($A732&lt;VLOOKUP(L$5,NFI,5,0),1,0)*Table_NFI[[#This Row],[Tarpaulin]],Table_NFI[[#This Row],[Tarpaulin]])</f>
        <v>0</v>
      </c>
      <c r="AD732" s="264">
        <f>IF(NFI_Expiration=1,IF($A732&lt;VLOOKUP(M$5,NFI,5,0),1,0)*Table_NFI[[#This Row],[Blanket]],Table_NFI[[#This Row],[Blanket]])</f>
        <v>0</v>
      </c>
      <c r="AE732" s="264">
        <f>IF(NFI_Expiration=1,IF($A732&lt;VLOOKUP(N$5,NFI,5,0),1,0)*Table_NFI[[#This Row],[Kitchen Set]],Table_NFI[Kitchen Set])</f>
        <v>0</v>
      </c>
      <c r="AF732" s="264">
        <f>IF(NFI_Expiration=1,IF($A732&lt;VLOOKUP(O$5,NFI,5,0),1,0)*Table_NFI[[#This Row],[Clothes Kit]],Table_NFI[Clothes Kit])</f>
        <v>0</v>
      </c>
      <c r="AG732" s="264">
        <f>IF(NFI_Expiration=1,IF($A732&lt;VLOOKUP(P$5,NFI,5,0),1,0)*Table_NFI[[#This Row],[Plastic Bucket]],Table_NFI[Plastic Bucket])</f>
        <v>0</v>
      </c>
      <c r="AH732" s="264">
        <f>IF(NFI_Expiration=1,IF($A732&lt;VLOOKUP(Q$5,NFI,5,0),1,0)*Table_NFI[[#This Row],[Plastic Mat]],Table_NFI[Plastic Mat])*IF(Table_NFI[[#This Row],[Distribution Date]]&gt;"2014-04-01",1,2.5)</f>
        <v>0</v>
      </c>
      <c r="AI732" s="264">
        <f>IF(NFI_Expiration=1,IF($A732&lt;VLOOKUP(R$5,NFI,5,0),1,0)*Table_NFI[[#This Row],[Winter Clothes Adult]],Table_NFI[Winter Clothes Adult])</f>
        <v>0</v>
      </c>
      <c r="AJ732" s="264">
        <f>IF(NFI_Expiration=1,IF($A732&lt;VLOOKUP(S$5,NFI,5,0),1,0)*Table_NFI[[#This Row],[Winter Clothes Children]],Table_NFI[Winter Clothes Children])</f>
        <v>0</v>
      </c>
      <c r="AK732" s="264">
        <f>IF(NFI_Expiration=1,IF($A732&lt;VLOOKUP(T$5,NFI,5,0),1,0)*Table_NFI[[#This Row],[Winter Items Other]],Table_NFI[Winter Items Other])</f>
        <v>0</v>
      </c>
      <c r="AL732" s="264">
        <f>IF(NFI_Expiration=1,IF($A732&lt;VLOOKUP(M$5,NFI,5,0),1,0)*Table_NFI[[#This Row],[Winter Blanket]],Table_NFI[[#This Row],[Winter Blanket]])</f>
        <v>0</v>
      </c>
      <c r="AM732" s="264">
        <f>IF(Table_NFI[[#This Row],[Winter Clothes Adult]]+Table_NFI[[#This Row],[Winter Clothes Children]]+Table_NFI[[#This Row],[Winter Items Other]]+Table_NFI[[#This Row],[Winter Blanket]]&gt;0,1,0)</f>
        <v>0</v>
      </c>
      <c r="AN732" s="296">
        <f>IF(NFI_Expiration=1,IF($A732&lt;VLOOKUP(V$5,NFI,5,0),1,0)*Table_NFI[[#This Row],[Jerry Can]],Table_NFI[Jerry Can])</f>
        <v>0</v>
      </c>
      <c r="AO732" s="296">
        <f>IF(NFI_Expiration=1,IF($A732&lt;VLOOKUP(V$5,NFI,5,0),1,0)*Table_NFI[[#This Row],[Shelter Tool kit]],Table_NFI[Shelter Tool kit])</f>
        <v>0</v>
      </c>
      <c r="AP732" s="296">
        <f>IF(NFI_Expiration=1,IF($A732&lt;VLOOKUP(V$5,NFI,5,0),1,0)*Table_NFI[[#This Row],[Tent]],Table_NFI[Tent])</f>
        <v>0</v>
      </c>
      <c r="AQ732" s="396" t="str">
        <f>IFERROR(VLOOKUP(Table_NFI[[#This Row],[Camp Name]],CL,2,0),"")</f>
        <v>MMR001CMP006</v>
      </c>
      <c r="AR732" s="702">
        <f ca="1">IF(Table_NFI[[#This Row],[Pcode]]="","",IF(OFFSET(CampList[Opening Date],MATCH(Table_NFI[[#This Row],[Pcode]],CampList[CP_Pcode],0)-1,0,1,1)&gt;=NFI_Monitor_Date,1,0))</f>
        <v>0</v>
      </c>
      <c r="AS732" s="396" t="str">
        <f>IFERROR(VLOOKUP(Table_NFI[[#This Row],[Camp Name]],CL,3,0),"")</f>
        <v>Open</v>
      </c>
      <c r="AT732" s="264" t="str">
        <f ca="1">IF(Table_NFI[[#This Row],[Pcode]]="","",OFFSET(CampList[Priority],MATCH(Table_NFI[[#This Row],[Pcode]],CampList[CP_Pcode],0)-1,0,1,1))</f>
        <v>P4</v>
      </c>
      <c r="AU732" s="263">
        <f>IFERROR(Table_NFI[[#This Row],[Kitchen Set]]/VLOOKUP(Table_NFI[[#This Row],[Camp Name]],CL,4,0),"")</f>
        <v>3.92580233585239E-4</v>
      </c>
      <c r="AV732" s="390" t="s">
        <v>1087</v>
      </c>
      <c r="AW732" s="392"/>
      <c r="AX732" s="399"/>
      <c r="AY732" s="399"/>
      <c r="AZ732" s="399"/>
      <c r="BA732" s="399"/>
      <c r="BB732" s="399"/>
      <c r="BC732" s="399"/>
      <c r="BD732" s="399"/>
      <c r="BE732" s="399"/>
      <c r="BF732" s="399"/>
      <c r="BG732" s="399"/>
      <c r="BH732" s="399"/>
      <c r="BI732" s="399"/>
      <c r="BJ732" s="399"/>
      <c r="BK732" s="399"/>
      <c r="BL732" s="399"/>
      <c r="BM732" s="399"/>
      <c r="BN732" s="399"/>
      <c r="BO732" s="399"/>
      <c r="BP732" s="399"/>
      <c r="BQ732" s="399"/>
      <c r="BR732" s="399"/>
      <c r="BS732" s="399"/>
      <c r="BT732" s="399"/>
      <c r="BU732" s="399"/>
      <c r="BV732" s="399"/>
      <c r="BW732" s="399"/>
      <c r="BX732" s="399"/>
      <c r="BY732" s="399"/>
      <c r="BZ732" s="399"/>
      <c r="CA732" s="399"/>
      <c r="CB732" s="399"/>
      <c r="CC732" s="399"/>
      <c r="CD732" s="399"/>
      <c r="CE732" s="399"/>
      <c r="CF732" s="399"/>
      <c r="CG732" s="399"/>
      <c r="CH732" s="399"/>
      <c r="CI732" s="399"/>
      <c r="CJ732" s="399"/>
      <c r="CK732" s="399"/>
      <c r="CL732" s="399"/>
      <c r="CM732" s="399"/>
      <c r="CN732" s="399"/>
      <c r="CO732" s="399"/>
      <c r="CP732" s="399"/>
      <c r="CQ732" s="399"/>
      <c r="CR732" s="399"/>
      <c r="CS732" s="399"/>
      <c r="CT732" s="399"/>
      <c r="CU732" s="399"/>
      <c r="CV732" s="399"/>
      <c r="CW732" s="399"/>
      <c r="CX732" s="399"/>
      <c r="CY732" s="399"/>
      <c r="CZ732" s="399"/>
      <c r="DA732" s="399"/>
      <c r="DB732" s="399"/>
      <c r="DC732" s="399"/>
      <c r="DD732" s="399"/>
      <c r="DE732" s="399"/>
      <c r="DF732" s="399"/>
      <c r="DG732" s="399"/>
      <c r="DH732" s="399"/>
      <c r="DI732" s="399"/>
      <c r="DJ732" s="399"/>
      <c r="DK732" s="399"/>
      <c r="DL732" s="399"/>
      <c r="DM732" s="399"/>
      <c r="DN732" s="399"/>
      <c r="DO732" s="399"/>
      <c r="DP732" s="399"/>
      <c r="DQ732" s="399"/>
    </row>
    <row r="733" spans="1:121" s="760" customFormat="1" ht="14.45" customHeight="1" x14ac:dyDescent="0.25">
      <c r="A733" s="266">
        <f t="shared" si="11"/>
        <v>45.9</v>
      </c>
      <c r="B733" s="389">
        <v>41479</v>
      </c>
      <c r="C733" s="390" t="s">
        <v>451</v>
      </c>
      <c r="D733" s="390" t="s">
        <v>459</v>
      </c>
      <c r="E733" s="390" t="s">
        <v>380</v>
      </c>
      <c r="F733" s="390" t="s">
        <v>237</v>
      </c>
      <c r="G733" s="262" t="s">
        <v>1232</v>
      </c>
      <c r="H733" s="261"/>
      <c r="I733" s="261"/>
      <c r="J733" s="261">
        <v>34</v>
      </c>
      <c r="K733" s="261">
        <v>46</v>
      </c>
      <c r="L733" s="261">
        <v>22</v>
      </c>
      <c r="M733" s="261">
        <v>46</v>
      </c>
      <c r="N733" s="261">
        <v>22</v>
      </c>
      <c r="O733" s="261">
        <v>22</v>
      </c>
      <c r="P733" s="261">
        <v>22</v>
      </c>
      <c r="Q733" s="261">
        <v>22</v>
      </c>
      <c r="R733" s="261"/>
      <c r="S733" s="261"/>
      <c r="T733" s="261"/>
      <c r="U733" s="261"/>
      <c r="V733" s="762"/>
      <c r="W733" s="261"/>
      <c r="X733" s="261"/>
      <c r="Y733" s="264">
        <f>IF(NFI_Expiration=1,IF($A733&lt;VLOOKUP(H$5,NFI,5,0),1,0)*Table_NFI[[#This Row],[Hygiene Kit]],Table_NFI[Hygiene Kit])</f>
        <v>0</v>
      </c>
      <c r="Z733" s="264">
        <f>IF(NFI_Expiration=1,IF($A733&lt;VLOOKUP(I$5,NFI,5,0),1,0)*Table_NFI[[#This Row],[NFI Core Kit]],Table_NFI[NFI Core Kit])</f>
        <v>0</v>
      </c>
      <c r="AA733" s="264">
        <f>IF(NFI_Expiration=1,IF($A733&lt;VLOOKUP(J$5,NFI,5,0),1,0)*Table_NFI[[#This Row],[Sanitary Kit]],Table_NFI[Sanitary Kit])</f>
        <v>0</v>
      </c>
      <c r="AB733" s="264">
        <f>IF(NFI_Expiration=1,IF($A733&lt;VLOOKUP(K$5,NFI,5,0),1,0)*Table_NFI[[#This Row],[Mosquito net]],Table_NFI[Mosquito net])</f>
        <v>0</v>
      </c>
      <c r="AC733" s="264">
        <f>IF(NFI_Expiration=1,IF($A733&lt;VLOOKUP(L$5,NFI,5,0),1,0)*Table_NFI[[#This Row],[Tarpaulin]],Table_NFI[[#This Row],[Tarpaulin]])</f>
        <v>0</v>
      </c>
      <c r="AD733" s="264">
        <f>IF(NFI_Expiration=1,IF($A733&lt;VLOOKUP(M$5,NFI,5,0),1,0)*Table_NFI[[#This Row],[Blanket]],Table_NFI[[#This Row],[Blanket]])</f>
        <v>0</v>
      </c>
      <c r="AE733" s="264">
        <f>IF(NFI_Expiration=1,IF($A733&lt;VLOOKUP(N$5,NFI,5,0),1,0)*Table_NFI[[#This Row],[Kitchen Set]],Table_NFI[Kitchen Set])</f>
        <v>0</v>
      </c>
      <c r="AF733" s="264">
        <f>IF(NFI_Expiration=1,IF($A733&lt;VLOOKUP(O$5,NFI,5,0),1,0)*Table_NFI[[#This Row],[Clothes Kit]],Table_NFI[Clothes Kit])</f>
        <v>0</v>
      </c>
      <c r="AG733" s="264">
        <f>IF(NFI_Expiration=1,IF($A733&lt;VLOOKUP(P$5,NFI,5,0),1,0)*Table_NFI[[#This Row],[Plastic Bucket]],Table_NFI[Plastic Bucket])</f>
        <v>0</v>
      </c>
      <c r="AH733" s="264">
        <f>IF(NFI_Expiration=1,IF($A733&lt;VLOOKUP(Q$5,NFI,5,0),1,0)*Table_NFI[[#This Row],[Plastic Mat]],Table_NFI[Plastic Mat])*IF(Table_NFI[[#This Row],[Distribution Date]]&gt;"2014-04-01",1,2.5)</f>
        <v>0</v>
      </c>
      <c r="AI733" s="264">
        <f>IF(NFI_Expiration=1,IF($A733&lt;VLOOKUP(R$5,NFI,5,0),1,0)*Table_NFI[[#This Row],[Winter Clothes Adult]],Table_NFI[Winter Clothes Adult])</f>
        <v>0</v>
      </c>
      <c r="AJ733" s="264">
        <f>IF(NFI_Expiration=1,IF($A733&lt;VLOOKUP(S$5,NFI,5,0),1,0)*Table_NFI[[#This Row],[Winter Clothes Children]],Table_NFI[Winter Clothes Children])</f>
        <v>0</v>
      </c>
      <c r="AK733" s="264">
        <f>IF(NFI_Expiration=1,IF($A733&lt;VLOOKUP(T$5,NFI,5,0),1,0)*Table_NFI[[#This Row],[Winter Items Other]],Table_NFI[Winter Items Other])</f>
        <v>0</v>
      </c>
      <c r="AL733" s="264">
        <f>IF(NFI_Expiration=1,IF($A733&lt;VLOOKUP(M$5,NFI,5,0),1,0)*Table_NFI[[#This Row],[Winter Blanket]],Table_NFI[[#This Row],[Winter Blanket]])</f>
        <v>0</v>
      </c>
      <c r="AM733" s="264">
        <f>IF(Table_NFI[[#This Row],[Winter Clothes Adult]]+Table_NFI[[#This Row],[Winter Clothes Children]]+Table_NFI[[#This Row],[Winter Items Other]]+Table_NFI[[#This Row],[Winter Blanket]]&gt;0,1,0)</f>
        <v>0</v>
      </c>
      <c r="AN733" s="296">
        <f>IF(NFI_Expiration=1,IF($A733&lt;VLOOKUP(V$5,NFI,5,0),1,0)*Table_NFI[[#This Row],[Jerry Can]],Table_NFI[Jerry Can])</f>
        <v>0</v>
      </c>
      <c r="AO733" s="296">
        <f>IF(NFI_Expiration=1,IF($A733&lt;VLOOKUP(V$5,NFI,5,0),1,0)*Table_NFI[[#This Row],[Shelter Tool kit]],Table_NFI[Shelter Tool kit])</f>
        <v>0</v>
      </c>
      <c r="AP733" s="296">
        <f>IF(NFI_Expiration=1,IF($A733&lt;VLOOKUP(V$5,NFI,5,0),1,0)*Table_NFI[[#This Row],[Tent]],Table_NFI[Tent])</f>
        <v>0</v>
      </c>
      <c r="AQ733" s="396" t="str">
        <f>IFERROR(VLOOKUP(Table_NFI[[#This Row],[Camp Name]],CL,2,0),"")</f>
        <v>MMR001CMP023</v>
      </c>
      <c r="AR733" s="702">
        <f ca="1">IF(Table_NFI[[#This Row],[Pcode]]="","",IF(OFFSET(CampList[Opening Date],MATCH(Table_NFI[[#This Row],[Pcode]],CampList[CP_Pcode],0)-1,0,1,1)&gt;=NFI_Monitor_Date,1,0))</f>
        <v>0</v>
      </c>
      <c r="AS733" s="396" t="str">
        <f>IFERROR(VLOOKUP(Table_NFI[[#This Row],[Camp Name]],CL,3,0),"")</f>
        <v>Open</v>
      </c>
      <c r="AT733" s="264" t="str">
        <f ca="1">IF(Table_NFI[[#This Row],[Pcode]]="","",OFFSET(CampList[Priority],MATCH(Table_NFI[[#This Row],[Pcode]],CampList[CP_Pcode],0)-1,0,1,1))</f>
        <v>P4</v>
      </c>
      <c r="AU733" s="263">
        <f>IFERROR(Table_NFI[[#This Row],[Kitchen Set]]/VLOOKUP(Table_NFI[[#This Row],[Camp Name]],CL,4,0),"")</f>
        <v>5.3658536585365858E-4</v>
      </c>
      <c r="AV733" s="390" t="s">
        <v>1087</v>
      </c>
      <c r="AW733" s="392"/>
      <c r="AX733" s="399"/>
      <c r="AY733" s="399"/>
      <c r="AZ733" s="399"/>
      <c r="BA733" s="399"/>
      <c r="BB733" s="399"/>
      <c r="BC733" s="399"/>
      <c r="BD733" s="399"/>
      <c r="BE733" s="399"/>
      <c r="BF733" s="399"/>
      <c r="BG733" s="399"/>
      <c r="BH733" s="399"/>
      <c r="BI733" s="399"/>
      <c r="BJ733" s="399"/>
      <c r="BK733" s="399"/>
      <c r="BL733" s="399"/>
      <c r="BM733" s="399"/>
      <c r="BN733" s="399"/>
      <c r="BO733" s="399"/>
      <c r="BP733" s="399"/>
      <c r="BQ733" s="399"/>
      <c r="BR733" s="399"/>
      <c r="BS733" s="399"/>
      <c r="BT733" s="399"/>
      <c r="BU733" s="399"/>
      <c r="BV733" s="399"/>
      <c r="BW733" s="399"/>
      <c r="BX733" s="399"/>
      <c r="BY733" s="399"/>
      <c r="BZ733" s="399"/>
      <c r="CA733" s="399"/>
      <c r="CB733" s="399"/>
      <c r="CC733" s="399"/>
      <c r="CD733" s="399"/>
      <c r="CE733" s="399"/>
      <c r="CF733" s="399"/>
      <c r="CG733" s="399"/>
      <c r="CH733" s="399"/>
      <c r="CI733" s="399"/>
      <c r="CJ733" s="399"/>
      <c r="CK733" s="399"/>
      <c r="CL733" s="399"/>
      <c r="CM733" s="399"/>
      <c r="CN733" s="399"/>
      <c r="CO733" s="399"/>
      <c r="CP733" s="399"/>
      <c r="CQ733" s="399"/>
      <c r="CR733" s="399"/>
      <c r="CS733" s="399"/>
      <c r="CT733" s="399"/>
      <c r="CU733" s="399"/>
      <c r="CV733" s="399"/>
      <c r="CW733" s="399"/>
      <c r="CX733" s="399"/>
      <c r="CY733" s="399"/>
      <c r="CZ733" s="399"/>
      <c r="DA733" s="399"/>
      <c r="DB733" s="399"/>
      <c r="DC733" s="399"/>
      <c r="DD733" s="399"/>
      <c r="DE733" s="399"/>
      <c r="DF733" s="399"/>
      <c r="DG733" s="399"/>
      <c r="DH733" s="399"/>
      <c r="DI733" s="399"/>
      <c r="DJ733" s="399"/>
      <c r="DK733" s="399"/>
      <c r="DL733" s="399"/>
      <c r="DM733" s="399"/>
      <c r="DN733" s="399"/>
      <c r="DO733" s="399"/>
      <c r="DP733" s="399"/>
      <c r="DQ733" s="399"/>
    </row>
    <row r="734" spans="1:121" s="760" customFormat="1" ht="14.45" customHeight="1" x14ac:dyDescent="0.25">
      <c r="A734" s="266">
        <f t="shared" si="11"/>
        <v>45.9</v>
      </c>
      <c r="B734" s="389">
        <v>41479</v>
      </c>
      <c r="C734" s="390" t="s">
        <v>451</v>
      </c>
      <c r="D734" s="390" t="s">
        <v>504</v>
      </c>
      <c r="E734" s="390" t="s">
        <v>380</v>
      </c>
      <c r="F734" s="262" t="s">
        <v>310</v>
      </c>
      <c r="G734" s="262" t="s">
        <v>316</v>
      </c>
      <c r="H734" s="261"/>
      <c r="I734" s="261"/>
      <c r="J734" s="261">
        <v>22</v>
      </c>
      <c r="K734" s="261">
        <v>32</v>
      </c>
      <c r="L734" s="261">
        <v>15</v>
      </c>
      <c r="M734" s="261">
        <v>32</v>
      </c>
      <c r="N734" s="261">
        <v>15</v>
      </c>
      <c r="O734" s="261">
        <v>15</v>
      </c>
      <c r="P734" s="261">
        <v>15</v>
      </c>
      <c r="Q734" s="261">
        <v>15</v>
      </c>
      <c r="R734" s="261"/>
      <c r="S734" s="261"/>
      <c r="T734" s="261"/>
      <c r="U734" s="261"/>
      <c r="V734" s="762"/>
      <c r="W734" s="261"/>
      <c r="X734" s="261"/>
      <c r="Y734" s="264">
        <f>IF(NFI_Expiration=1,IF($A734&lt;VLOOKUP(H$5,NFI,5,0),1,0)*Table_NFI[[#This Row],[Hygiene Kit]],Table_NFI[Hygiene Kit])</f>
        <v>0</v>
      </c>
      <c r="Z734" s="264">
        <f>IF(NFI_Expiration=1,IF($A734&lt;VLOOKUP(I$5,NFI,5,0),1,0)*Table_NFI[[#This Row],[NFI Core Kit]],Table_NFI[NFI Core Kit])</f>
        <v>0</v>
      </c>
      <c r="AA734" s="264">
        <f>IF(NFI_Expiration=1,IF($A734&lt;VLOOKUP(J$5,NFI,5,0),1,0)*Table_NFI[[#This Row],[Sanitary Kit]],Table_NFI[Sanitary Kit])</f>
        <v>0</v>
      </c>
      <c r="AB734" s="264">
        <f>IF(NFI_Expiration=1,IF($A734&lt;VLOOKUP(K$5,NFI,5,0),1,0)*Table_NFI[[#This Row],[Mosquito net]],Table_NFI[Mosquito net])</f>
        <v>0</v>
      </c>
      <c r="AC734" s="264">
        <f>IF(NFI_Expiration=1,IF($A734&lt;VLOOKUP(L$5,NFI,5,0),1,0)*Table_NFI[[#This Row],[Tarpaulin]],Table_NFI[[#This Row],[Tarpaulin]])</f>
        <v>0</v>
      </c>
      <c r="AD734" s="264">
        <f>IF(NFI_Expiration=1,IF($A734&lt;VLOOKUP(M$5,NFI,5,0),1,0)*Table_NFI[[#This Row],[Blanket]],Table_NFI[[#This Row],[Blanket]])</f>
        <v>0</v>
      </c>
      <c r="AE734" s="264">
        <f>IF(NFI_Expiration=1,IF($A734&lt;VLOOKUP(N$5,NFI,5,0),1,0)*Table_NFI[[#This Row],[Kitchen Set]],Table_NFI[Kitchen Set])</f>
        <v>0</v>
      </c>
      <c r="AF734" s="264">
        <f>IF(NFI_Expiration=1,IF($A734&lt;VLOOKUP(O$5,NFI,5,0),1,0)*Table_NFI[[#This Row],[Clothes Kit]],Table_NFI[Clothes Kit])</f>
        <v>0</v>
      </c>
      <c r="AG734" s="264">
        <f>IF(NFI_Expiration=1,IF($A734&lt;VLOOKUP(P$5,NFI,5,0),1,0)*Table_NFI[[#This Row],[Plastic Bucket]],Table_NFI[Plastic Bucket])</f>
        <v>0</v>
      </c>
      <c r="AH734" s="264">
        <f>IF(NFI_Expiration=1,IF($A734&lt;VLOOKUP(Q$5,NFI,5,0),1,0)*Table_NFI[[#This Row],[Plastic Mat]],Table_NFI[Plastic Mat])*IF(Table_NFI[[#This Row],[Distribution Date]]&gt;"2014-04-01",1,2.5)</f>
        <v>0</v>
      </c>
      <c r="AI734" s="264">
        <f>IF(NFI_Expiration=1,IF($A734&lt;VLOOKUP(R$5,NFI,5,0),1,0)*Table_NFI[[#This Row],[Winter Clothes Adult]],Table_NFI[Winter Clothes Adult])</f>
        <v>0</v>
      </c>
      <c r="AJ734" s="264">
        <f>IF(NFI_Expiration=1,IF($A734&lt;VLOOKUP(S$5,NFI,5,0),1,0)*Table_NFI[[#This Row],[Winter Clothes Children]],Table_NFI[Winter Clothes Children])</f>
        <v>0</v>
      </c>
      <c r="AK734" s="264">
        <f>IF(NFI_Expiration=1,IF($A734&lt;VLOOKUP(T$5,NFI,5,0),1,0)*Table_NFI[[#This Row],[Winter Items Other]],Table_NFI[Winter Items Other])</f>
        <v>0</v>
      </c>
      <c r="AL734" s="264">
        <f>IF(NFI_Expiration=1,IF($A734&lt;VLOOKUP(M$5,NFI,5,0),1,0)*Table_NFI[[#This Row],[Winter Blanket]],Table_NFI[[#This Row],[Winter Blanket]])</f>
        <v>0</v>
      </c>
      <c r="AM734" s="264">
        <f>IF(Table_NFI[[#This Row],[Winter Clothes Adult]]+Table_NFI[[#This Row],[Winter Clothes Children]]+Table_NFI[[#This Row],[Winter Items Other]]+Table_NFI[[#This Row],[Winter Blanket]]&gt;0,1,0)</f>
        <v>0</v>
      </c>
      <c r="AN734" s="296">
        <f>IF(NFI_Expiration=1,IF($A734&lt;VLOOKUP(V$5,NFI,5,0),1,0)*Table_NFI[[#This Row],[Jerry Can]],Table_NFI[Jerry Can])</f>
        <v>0</v>
      </c>
      <c r="AO734" s="296">
        <f>IF(NFI_Expiration=1,IF($A734&lt;VLOOKUP(V$5,NFI,5,0),1,0)*Table_NFI[[#This Row],[Shelter Tool kit]],Table_NFI[Shelter Tool kit])</f>
        <v>0</v>
      </c>
      <c r="AP734" s="296">
        <f>IF(NFI_Expiration=1,IF($A734&lt;VLOOKUP(V$5,NFI,5,0),1,0)*Table_NFI[[#This Row],[Tent]],Table_NFI[Tent])</f>
        <v>0</v>
      </c>
      <c r="AQ734" s="396" t="str">
        <f>IFERROR(VLOOKUP(Table_NFI[[#This Row],[Camp Name]],CL,2,0),"")</f>
        <v>MMR001CMP038</v>
      </c>
      <c r="AR734" s="702">
        <f ca="1">IF(Table_NFI[[#This Row],[Pcode]]="","",IF(OFFSET(CampList[Opening Date],MATCH(Table_NFI[[#This Row],[Pcode]],CampList[CP_Pcode],0)-1,0,1,1)&gt;=NFI_Monitor_Date,1,0))</f>
        <v>0</v>
      </c>
      <c r="AS734" s="396" t="str">
        <f>IFERROR(VLOOKUP(Table_NFI[[#This Row],[Camp Name]],CL,3,0),"")</f>
        <v>Open</v>
      </c>
      <c r="AT734" s="264" t="str">
        <f ca="1">IF(Table_NFI[[#This Row],[Pcode]]="","",OFFSET(CampList[Priority],MATCH(Table_NFI[[#This Row],[Pcode]],CampList[CP_Pcode],0)-1,0,1,1))</f>
        <v>P4</v>
      </c>
      <c r="AU734" s="263">
        <f>IFERROR(Table_NFI[[#This Row],[Kitchen Set]]/VLOOKUP(Table_NFI[[#This Row],[Camp Name]],CL,4,0),"")</f>
        <v>3.6721504112808461E-4</v>
      </c>
      <c r="AV734" s="390" t="s">
        <v>1087</v>
      </c>
      <c r="AW734" s="392"/>
      <c r="AX734" s="399"/>
      <c r="AY734" s="399"/>
      <c r="AZ734" s="399"/>
      <c r="BA734" s="399"/>
      <c r="BB734" s="399"/>
      <c r="BC734" s="399"/>
      <c r="BD734" s="399"/>
      <c r="BE734" s="399"/>
      <c r="BF734" s="399"/>
      <c r="BG734" s="399"/>
      <c r="BH734" s="399"/>
      <c r="BI734" s="399"/>
      <c r="BJ734" s="399"/>
      <c r="BK734" s="399"/>
      <c r="BL734" s="399"/>
      <c r="BM734" s="399"/>
      <c r="BN734" s="399"/>
      <c r="BO734" s="399"/>
      <c r="BP734" s="399"/>
      <c r="BQ734" s="399"/>
      <c r="BR734" s="399"/>
      <c r="BS734" s="399"/>
      <c r="BT734" s="399"/>
      <c r="BU734" s="399"/>
      <c r="BV734" s="399"/>
      <c r="BW734" s="399"/>
      <c r="BX734" s="399"/>
      <c r="BY734" s="399"/>
      <c r="BZ734" s="399"/>
      <c r="CA734" s="399"/>
      <c r="CB734" s="399"/>
      <c r="CC734" s="399"/>
      <c r="CD734" s="399"/>
      <c r="CE734" s="399"/>
      <c r="CF734" s="399"/>
      <c r="CG734" s="399"/>
      <c r="CH734" s="399"/>
      <c r="CI734" s="399"/>
      <c r="CJ734" s="399"/>
      <c r="CK734" s="399"/>
      <c r="CL734" s="399"/>
      <c r="CM734" s="399"/>
      <c r="CN734" s="399"/>
      <c r="CO734" s="399"/>
      <c r="CP734" s="399"/>
      <c r="CQ734" s="399"/>
      <c r="CR734" s="399"/>
      <c r="CS734" s="399"/>
      <c r="CT734" s="399"/>
      <c r="CU734" s="399"/>
      <c r="CV734" s="399"/>
      <c r="CW734" s="399"/>
      <c r="CX734" s="399"/>
      <c r="CY734" s="399"/>
      <c r="CZ734" s="399"/>
      <c r="DA734" s="399"/>
      <c r="DB734" s="399"/>
      <c r="DC734" s="399"/>
      <c r="DD734" s="399"/>
      <c r="DE734" s="399"/>
      <c r="DF734" s="399"/>
      <c r="DG734" s="399"/>
      <c r="DH734" s="399"/>
      <c r="DI734" s="399"/>
      <c r="DJ734" s="399"/>
      <c r="DK734" s="399"/>
      <c r="DL734" s="399"/>
      <c r="DM734" s="399"/>
      <c r="DN734" s="399"/>
      <c r="DO734" s="399"/>
      <c r="DP734" s="399"/>
      <c r="DQ734" s="399"/>
    </row>
    <row r="735" spans="1:121" ht="14.45" customHeight="1" x14ac:dyDescent="0.25">
      <c r="A735" s="266">
        <f t="shared" si="11"/>
        <v>46.166666666666664</v>
      </c>
      <c r="B735" s="389">
        <v>41471</v>
      </c>
      <c r="C735" s="390" t="s">
        <v>451</v>
      </c>
      <c r="D735" s="391" t="s">
        <v>504</v>
      </c>
      <c r="E735" s="390" t="s">
        <v>380</v>
      </c>
      <c r="F735" s="262" t="s">
        <v>237</v>
      </c>
      <c r="G735" s="262" t="s">
        <v>1232</v>
      </c>
      <c r="H735" s="261"/>
      <c r="I735" s="261"/>
      <c r="J735" s="261">
        <v>55</v>
      </c>
      <c r="K735" s="261">
        <v>74</v>
      </c>
      <c r="L735" s="261">
        <v>31</v>
      </c>
      <c r="M735" s="261">
        <v>74</v>
      </c>
      <c r="N735" s="261">
        <v>31</v>
      </c>
      <c r="O735" s="261">
        <v>31</v>
      </c>
      <c r="P735" s="261">
        <v>31</v>
      </c>
      <c r="Q735" s="261">
        <v>31</v>
      </c>
      <c r="R735" s="261"/>
      <c r="S735" s="261"/>
      <c r="T735" s="261"/>
      <c r="U735" s="261"/>
      <c r="V735" s="762"/>
      <c r="W735" s="261"/>
      <c r="X735" s="261"/>
      <c r="Y735" s="264">
        <f>IF(NFI_Expiration=1,IF($A735&lt;VLOOKUP(H$5,NFI,5,0),1,0)*Table_NFI[[#This Row],[Hygiene Kit]],Table_NFI[Hygiene Kit])</f>
        <v>0</v>
      </c>
      <c r="Z735" s="264">
        <f>IF(NFI_Expiration=1,IF($A735&lt;VLOOKUP(I$5,NFI,5,0),1,0)*Table_NFI[[#This Row],[NFI Core Kit]],Table_NFI[NFI Core Kit])</f>
        <v>0</v>
      </c>
      <c r="AA735" s="264">
        <f>IF(NFI_Expiration=1,IF($A735&lt;VLOOKUP(J$5,NFI,5,0),1,0)*Table_NFI[[#This Row],[Sanitary Kit]],Table_NFI[Sanitary Kit])</f>
        <v>0</v>
      </c>
      <c r="AB735" s="264">
        <f>IF(NFI_Expiration=1,IF($A735&lt;VLOOKUP(K$5,NFI,5,0),1,0)*Table_NFI[[#This Row],[Mosquito net]],Table_NFI[Mosquito net])</f>
        <v>0</v>
      </c>
      <c r="AC735" s="264">
        <f>IF(NFI_Expiration=1,IF($A735&lt;VLOOKUP(L$5,NFI,5,0),1,0)*Table_NFI[[#This Row],[Tarpaulin]],Table_NFI[[#This Row],[Tarpaulin]])</f>
        <v>0</v>
      </c>
      <c r="AD735" s="264">
        <f>IF(NFI_Expiration=1,IF($A735&lt;VLOOKUP(M$5,NFI,5,0),1,0)*Table_NFI[[#This Row],[Blanket]],Table_NFI[[#This Row],[Blanket]])</f>
        <v>0</v>
      </c>
      <c r="AE735" s="264">
        <f>IF(NFI_Expiration=1,IF($A735&lt;VLOOKUP(N$5,NFI,5,0),1,0)*Table_NFI[[#This Row],[Kitchen Set]],Table_NFI[Kitchen Set])</f>
        <v>0</v>
      </c>
      <c r="AF735" s="264">
        <f>IF(NFI_Expiration=1,IF($A735&lt;VLOOKUP(O$5,NFI,5,0),1,0)*Table_NFI[[#This Row],[Clothes Kit]],Table_NFI[Clothes Kit])</f>
        <v>0</v>
      </c>
      <c r="AG735" s="264">
        <f>IF(NFI_Expiration=1,IF($A735&lt;VLOOKUP(P$5,NFI,5,0),1,0)*Table_NFI[[#This Row],[Plastic Bucket]],Table_NFI[Plastic Bucket])</f>
        <v>0</v>
      </c>
      <c r="AH735" s="264">
        <f>IF(NFI_Expiration=1,IF($A735&lt;VLOOKUP(Q$5,NFI,5,0),1,0)*Table_NFI[[#This Row],[Plastic Mat]],Table_NFI[Plastic Mat])*IF(Table_NFI[[#This Row],[Distribution Date]]&gt;"2014-04-01",1,2.5)</f>
        <v>0</v>
      </c>
      <c r="AI735" s="264">
        <f>IF(NFI_Expiration=1,IF($A735&lt;VLOOKUP(R$5,NFI,5,0),1,0)*Table_NFI[[#This Row],[Winter Clothes Adult]],Table_NFI[Winter Clothes Adult])</f>
        <v>0</v>
      </c>
      <c r="AJ735" s="264">
        <f>IF(NFI_Expiration=1,IF($A735&lt;VLOOKUP(S$5,NFI,5,0),1,0)*Table_NFI[[#This Row],[Winter Clothes Children]],Table_NFI[Winter Clothes Children])</f>
        <v>0</v>
      </c>
      <c r="AK735" s="264">
        <f>IF(NFI_Expiration=1,IF($A735&lt;VLOOKUP(T$5,NFI,5,0),1,0)*Table_NFI[[#This Row],[Winter Items Other]],Table_NFI[Winter Items Other])</f>
        <v>0</v>
      </c>
      <c r="AL735" s="264">
        <f>IF(NFI_Expiration=1,IF($A735&lt;VLOOKUP(M$5,NFI,5,0),1,0)*Table_NFI[[#This Row],[Winter Blanket]],Table_NFI[[#This Row],[Winter Blanket]])</f>
        <v>0</v>
      </c>
      <c r="AM735" s="264">
        <f>IF(Table_NFI[[#This Row],[Winter Clothes Adult]]+Table_NFI[[#This Row],[Winter Clothes Children]]+Table_NFI[[#This Row],[Winter Items Other]]+Table_NFI[[#This Row],[Winter Blanket]]&gt;0,1,0)</f>
        <v>0</v>
      </c>
      <c r="AN735" s="296">
        <f>IF(NFI_Expiration=1,IF($A735&lt;VLOOKUP(V$5,NFI,5,0),1,0)*Table_NFI[[#This Row],[Jerry Can]],Table_NFI[Jerry Can])</f>
        <v>0</v>
      </c>
      <c r="AO735" s="296">
        <f>IF(NFI_Expiration=1,IF($A735&lt;VLOOKUP(V$5,NFI,5,0),1,0)*Table_NFI[[#This Row],[Shelter Tool kit]],Table_NFI[Shelter Tool kit])</f>
        <v>0</v>
      </c>
      <c r="AP735" s="296">
        <f>IF(NFI_Expiration=1,IF($A735&lt;VLOOKUP(V$5,NFI,5,0),1,0)*Table_NFI[[#This Row],[Tent]],Table_NFI[Tent])</f>
        <v>0</v>
      </c>
      <c r="AQ735" s="396" t="str">
        <f>IFERROR(VLOOKUP(Table_NFI[[#This Row],[Camp Name]],CL,2,0),"")</f>
        <v>MMR001CMP023</v>
      </c>
      <c r="AR735" s="702">
        <f ca="1">IF(Table_NFI[[#This Row],[Pcode]]="","",IF(OFFSET(CampList[Opening Date],MATCH(Table_NFI[[#This Row],[Pcode]],CampList[CP_Pcode],0)-1,0,1,1)&gt;=NFI_Monitor_Date,1,0))</f>
        <v>0</v>
      </c>
      <c r="AS735" s="396" t="str">
        <f>IFERROR(VLOOKUP(Table_NFI[[#This Row],[Camp Name]],CL,3,0),"")</f>
        <v>Open</v>
      </c>
      <c r="AT735" s="264" t="str">
        <f ca="1">IF(Table_NFI[[#This Row],[Pcode]]="","",OFFSET(CampList[Priority],MATCH(Table_NFI[[#This Row],[Pcode]],CampList[CP_Pcode],0)-1,0,1,1))</f>
        <v>P4</v>
      </c>
      <c r="AU735" s="263">
        <f>IFERROR(Table_NFI[[#This Row],[Kitchen Set]]/VLOOKUP(Table_NFI[[#This Row],[Camp Name]],CL,4,0),"")</f>
        <v>7.5609756097560978E-4</v>
      </c>
      <c r="AV735" s="390" t="s">
        <v>1087</v>
      </c>
      <c r="AW735" s="392"/>
    </row>
    <row r="736" spans="1:121" s="760" customFormat="1" ht="14.45" customHeight="1" x14ac:dyDescent="0.25">
      <c r="A736" s="266">
        <f t="shared" si="11"/>
        <v>46.7</v>
      </c>
      <c r="B736" s="389">
        <v>41455</v>
      </c>
      <c r="C736" s="390" t="s">
        <v>451</v>
      </c>
      <c r="D736" s="390"/>
      <c r="E736" s="390" t="s">
        <v>380</v>
      </c>
      <c r="F736" s="390" t="s">
        <v>151</v>
      </c>
      <c r="G736" s="390" t="s">
        <v>884</v>
      </c>
      <c r="H736" s="261"/>
      <c r="I736" s="261"/>
      <c r="J736" s="261"/>
      <c r="K736" s="261"/>
      <c r="L736" s="261"/>
      <c r="M736" s="261">
        <v>9</v>
      </c>
      <c r="N736" s="261"/>
      <c r="O736" s="261"/>
      <c r="P736" s="261">
        <v>19</v>
      </c>
      <c r="Q736" s="261">
        <v>1</v>
      </c>
      <c r="R736" s="261"/>
      <c r="S736" s="261"/>
      <c r="T736" s="261"/>
      <c r="U736" s="261"/>
      <c r="V736" s="762"/>
      <c r="W736" s="261"/>
      <c r="X736" s="261"/>
      <c r="Y736" s="264">
        <f>IF(NFI_Expiration=1,IF($A736&lt;VLOOKUP(H$5,NFI,5,0),1,0)*Table_NFI[[#This Row],[Hygiene Kit]],Table_NFI[Hygiene Kit])</f>
        <v>0</v>
      </c>
      <c r="Z736" s="264">
        <f>IF(NFI_Expiration=1,IF($A736&lt;VLOOKUP(I$5,NFI,5,0),1,0)*Table_NFI[[#This Row],[NFI Core Kit]],Table_NFI[NFI Core Kit])</f>
        <v>0</v>
      </c>
      <c r="AA736" s="264">
        <f>IF(NFI_Expiration=1,IF($A736&lt;VLOOKUP(J$5,NFI,5,0),1,0)*Table_NFI[[#This Row],[Sanitary Kit]],Table_NFI[Sanitary Kit])</f>
        <v>0</v>
      </c>
      <c r="AB736" s="264">
        <f>IF(NFI_Expiration=1,IF($A736&lt;VLOOKUP(K$5,NFI,5,0),1,0)*Table_NFI[[#This Row],[Mosquito net]],Table_NFI[Mosquito net])</f>
        <v>0</v>
      </c>
      <c r="AC736" s="264">
        <f>IF(NFI_Expiration=1,IF($A736&lt;VLOOKUP(L$5,NFI,5,0),1,0)*Table_NFI[[#This Row],[Tarpaulin]],Table_NFI[[#This Row],[Tarpaulin]])</f>
        <v>0</v>
      </c>
      <c r="AD736" s="264">
        <f>IF(NFI_Expiration=1,IF($A736&lt;VLOOKUP(M$5,NFI,5,0),1,0)*Table_NFI[[#This Row],[Blanket]],Table_NFI[[#This Row],[Blanket]])</f>
        <v>0</v>
      </c>
      <c r="AE736" s="264">
        <f>IF(NFI_Expiration=1,IF($A736&lt;VLOOKUP(N$5,NFI,5,0),1,0)*Table_NFI[[#This Row],[Kitchen Set]],Table_NFI[Kitchen Set])</f>
        <v>0</v>
      </c>
      <c r="AF736" s="264">
        <f>IF(NFI_Expiration=1,IF($A736&lt;VLOOKUP(O$5,NFI,5,0),1,0)*Table_NFI[[#This Row],[Clothes Kit]],Table_NFI[Clothes Kit])</f>
        <v>0</v>
      </c>
      <c r="AG736" s="264">
        <f>IF(NFI_Expiration=1,IF($A736&lt;VLOOKUP(P$5,NFI,5,0),1,0)*Table_NFI[[#This Row],[Plastic Bucket]],Table_NFI[Plastic Bucket])</f>
        <v>0</v>
      </c>
      <c r="AH736" s="264">
        <f>IF(NFI_Expiration=1,IF($A736&lt;VLOOKUP(Q$5,NFI,5,0),1,0)*Table_NFI[[#This Row],[Plastic Mat]],Table_NFI[Plastic Mat])*IF(Table_NFI[[#This Row],[Distribution Date]]&gt;"2014-04-01",1,2.5)</f>
        <v>0</v>
      </c>
      <c r="AI736" s="264">
        <f>IF(NFI_Expiration=1,IF($A736&lt;VLOOKUP(R$5,NFI,5,0),1,0)*Table_NFI[[#This Row],[Winter Clothes Adult]],Table_NFI[Winter Clothes Adult])</f>
        <v>0</v>
      </c>
      <c r="AJ736" s="264">
        <f>IF(NFI_Expiration=1,IF($A736&lt;VLOOKUP(S$5,NFI,5,0),1,0)*Table_NFI[[#This Row],[Winter Clothes Children]],Table_NFI[Winter Clothes Children])</f>
        <v>0</v>
      </c>
      <c r="AK736" s="264">
        <f>IF(NFI_Expiration=1,IF($A736&lt;VLOOKUP(T$5,NFI,5,0),1,0)*Table_NFI[[#This Row],[Winter Items Other]],Table_NFI[Winter Items Other])</f>
        <v>0</v>
      </c>
      <c r="AL736" s="264">
        <f>IF(NFI_Expiration=1,IF($A736&lt;VLOOKUP(M$5,NFI,5,0),1,0)*Table_NFI[[#This Row],[Winter Blanket]],Table_NFI[[#This Row],[Winter Blanket]])</f>
        <v>0</v>
      </c>
      <c r="AM736" s="264">
        <f>IF(Table_NFI[[#This Row],[Winter Clothes Adult]]+Table_NFI[[#This Row],[Winter Clothes Children]]+Table_NFI[[#This Row],[Winter Items Other]]+Table_NFI[[#This Row],[Winter Blanket]]&gt;0,1,0)</f>
        <v>0</v>
      </c>
      <c r="AN736" s="296">
        <f>IF(NFI_Expiration=1,IF($A736&lt;VLOOKUP(V$5,NFI,5,0),1,0)*Table_NFI[[#This Row],[Jerry Can]],Table_NFI[Jerry Can])</f>
        <v>0</v>
      </c>
      <c r="AO736" s="296">
        <f>IF(NFI_Expiration=1,IF($A736&lt;VLOOKUP(V$5,NFI,5,0),1,0)*Table_NFI[[#This Row],[Shelter Tool kit]],Table_NFI[Shelter Tool kit])</f>
        <v>0</v>
      </c>
      <c r="AP736" s="296">
        <f>IF(NFI_Expiration=1,IF($A736&lt;VLOOKUP(V$5,NFI,5,0),1,0)*Table_NFI[[#This Row],[Tent]],Table_NFI[Tent])</f>
        <v>0</v>
      </c>
      <c r="AQ736" s="396" t="str">
        <f>IFERROR(VLOOKUP(Table_NFI[[#This Row],[Camp Name]],CL,2,0),"")</f>
        <v>MMR001CMP218</v>
      </c>
      <c r="AR736" s="702">
        <f ca="1">IF(Table_NFI[[#This Row],[Pcode]]="","",IF(OFFSET(CampList[Opening Date],MATCH(Table_NFI[[#This Row],[Pcode]],CampList[CP_Pcode],0)-1,0,1,1)&gt;=NFI_Monitor_Date,1,0))</f>
        <v>0</v>
      </c>
      <c r="AS736" s="396" t="str">
        <f>IFERROR(VLOOKUP(Table_NFI[[#This Row],[Camp Name]],CL,3,0),"")</f>
        <v>Open</v>
      </c>
      <c r="AT736" s="264" t="str">
        <f ca="1">IF(Table_NFI[[#This Row],[Pcode]]="","",OFFSET(CampList[Priority],MATCH(Table_NFI[[#This Row],[Pcode]],CampList[CP_Pcode],0)-1,0,1,1))</f>
        <v>P4</v>
      </c>
      <c r="AU736" s="263">
        <f>IFERROR(Table_NFI[[#This Row],[Kitchen Set]]/VLOOKUP(Table_NFI[[#This Row],[Camp Name]],CL,4,0),"")</f>
        <v>0</v>
      </c>
      <c r="AV736" s="390"/>
      <c r="AW736" s="392"/>
      <c r="AX736" s="399"/>
      <c r="AY736" s="399"/>
      <c r="AZ736" s="399"/>
      <c r="BA736" s="399"/>
      <c r="BB736" s="399"/>
      <c r="BC736" s="399"/>
      <c r="BD736" s="399"/>
      <c r="BE736" s="399"/>
      <c r="BF736" s="399"/>
      <c r="BG736" s="399"/>
      <c r="BH736" s="399"/>
      <c r="BI736" s="399"/>
      <c r="BJ736" s="399"/>
      <c r="BK736" s="399"/>
      <c r="BL736" s="399"/>
      <c r="BM736" s="399"/>
      <c r="BN736" s="399"/>
      <c r="BO736" s="399"/>
      <c r="BP736" s="399"/>
      <c r="BQ736" s="399"/>
      <c r="BR736" s="399"/>
      <c r="BS736" s="399"/>
      <c r="BT736" s="399"/>
      <c r="BU736" s="399"/>
      <c r="BV736" s="399"/>
      <c r="BW736" s="399"/>
      <c r="BX736" s="399"/>
      <c r="BY736" s="399"/>
      <c r="BZ736" s="399"/>
      <c r="CA736" s="399"/>
      <c r="CB736" s="399"/>
      <c r="CC736" s="399"/>
      <c r="CD736" s="399"/>
      <c r="CE736" s="399"/>
      <c r="CF736" s="399"/>
      <c r="CG736" s="399"/>
      <c r="CH736" s="399"/>
      <c r="CI736" s="399"/>
      <c r="CJ736" s="399"/>
      <c r="CK736" s="399"/>
      <c r="CL736" s="399"/>
      <c r="CM736" s="399"/>
      <c r="CN736" s="399"/>
      <c r="CO736" s="399"/>
      <c r="CP736" s="399"/>
      <c r="CQ736" s="399"/>
      <c r="CR736" s="399"/>
      <c r="CS736" s="399"/>
      <c r="CT736" s="399"/>
      <c r="CU736" s="399"/>
      <c r="CV736" s="399"/>
      <c r="CW736" s="399"/>
      <c r="CX736" s="399"/>
      <c r="CY736" s="399"/>
      <c r="CZ736" s="399"/>
      <c r="DA736" s="399"/>
      <c r="DB736" s="399"/>
      <c r="DC736" s="399"/>
      <c r="DD736" s="399"/>
      <c r="DE736" s="399"/>
      <c r="DF736" s="399"/>
      <c r="DG736" s="399"/>
      <c r="DH736" s="399"/>
      <c r="DI736" s="399"/>
      <c r="DJ736" s="399"/>
      <c r="DK736" s="399"/>
      <c r="DL736" s="399"/>
      <c r="DM736" s="399"/>
      <c r="DN736" s="399"/>
      <c r="DO736" s="399"/>
      <c r="DP736" s="399"/>
      <c r="DQ736" s="399"/>
    </row>
    <row r="737" spans="1:121" s="760" customFormat="1" ht="14.45" customHeight="1" x14ac:dyDescent="0.25">
      <c r="A737" s="266">
        <f t="shared" si="11"/>
        <v>46.7</v>
      </c>
      <c r="B737" s="389">
        <v>41455</v>
      </c>
      <c r="C737" s="390" t="s">
        <v>451</v>
      </c>
      <c r="D737" s="390"/>
      <c r="E737" s="390" t="s">
        <v>380</v>
      </c>
      <c r="F737" s="390" t="s">
        <v>151</v>
      </c>
      <c r="G737" s="390" t="s">
        <v>941</v>
      </c>
      <c r="H737" s="261"/>
      <c r="I737" s="261"/>
      <c r="J737" s="261"/>
      <c r="K737" s="261">
        <v>50</v>
      </c>
      <c r="L737" s="261">
        <v>15</v>
      </c>
      <c r="M737" s="261"/>
      <c r="N737" s="261">
        <v>15</v>
      </c>
      <c r="O737" s="261"/>
      <c r="P737" s="261">
        <v>15</v>
      </c>
      <c r="Q737" s="261">
        <v>60</v>
      </c>
      <c r="R737" s="261"/>
      <c r="S737" s="261"/>
      <c r="T737" s="261"/>
      <c r="U737" s="261"/>
      <c r="V737" s="762"/>
      <c r="W737" s="261"/>
      <c r="X737" s="261"/>
      <c r="Y737" s="264">
        <f>IF(NFI_Expiration=1,IF($A737&lt;VLOOKUP(H$5,NFI,5,0),1,0)*Table_NFI[[#This Row],[Hygiene Kit]],Table_NFI[Hygiene Kit])</f>
        <v>0</v>
      </c>
      <c r="Z737" s="264">
        <f>IF(NFI_Expiration=1,IF($A737&lt;VLOOKUP(I$5,NFI,5,0),1,0)*Table_NFI[[#This Row],[NFI Core Kit]],Table_NFI[NFI Core Kit])</f>
        <v>0</v>
      </c>
      <c r="AA737" s="264">
        <f>IF(NFI_Expiration=1,IF($A737&lt;VLOOKUP(J$5,NFI,5,0),1,0)*Table_NFI[[#This Row],[Sanitary Kit]],Table_NFI[Sanitary Kit])</f>
        <v>0</v>
      </c>
      <c r="AB737" s="264">
        <f>IF(NFI_Expiration=1,IF($A737&lt;VLOOKUP(K$5,NFI,5,0),1,0)*Table_NFI[[#This Row],[Mosquito net]],Table_NFI[Mosquito net])</f>
        <v>0</v>
      </c>
      <c r="AC737" s="264">
        <f>IF(NFI_Expiration=1,IF($A737&lt;VLOOKUP(L$5,NFI,5,0),1,0)*Table_NFI[[#This Row],[Tarpaulin]],Table_NFI[[#This Row],[Tarpaulin]])</f>
        <v>0</v>
      </c>
      <c r="AD737" s="264">
        <f>IF(NFI_Expiration=1,IF($A737&lt;VLOOKUP(M$5,NFI,5,0),1,0)*Table_NFI[[#This Row],[Blanket]],Table_NFI[[#This Row],[Blanket]])</f>
        <v>0</v>
      </c>
      <c r="AE737" s="264">
        <f>IF(NFI_Expiration=1,IF($A737&lt;VLOOKUP(N$5,NFI,5,0),1,0)*Table_NFI[[#This Row],[Kitchen Set]],Table_NFI[Kitchen Set])</f>
        <v>0</v>
      </c>
      <c r="AF737" s="264">
        <f>IF(NFI_Expiration=1,IF($A737&lt;VLOOKUP(O$5,NFI,5,0),1,0)*Table_NFI[[#This Row],[Clothes Kit]],Table_NFI[Clothes Kit])</f>
        <v>0</v>
      </c>
      <c r="AG737" s="264">
        <f>IF(NFI_Expiration=1,IF($A737&lt;VLOOKUP(P$5,NFI,5,0),1,0)*Table_NFI[[#This Row],[Plastic Bucket]],Table_NFI[Plastic Bucket])</f>
        <v>0</v>
      </c>
      <c r="AH737" s="264">
        <f>IF(NFI_Expiration=1,IF($A737&lt;VLOOKUP(Q$5,NFI,5,0),1,0)*Table_NFI[[#This Row],[Plastic Mat]],Table_NFI[Plastic Mat])*IF(Table_NFI[[#This Row],[Distribution Date]]&gt;"2014-04-01",1,2.5)</f>
        <v>0</v>
      </c>
      <c r="AI737" s="264">
        <f>IF(NFI_Expiration=1,IF($A737&lt;VLOOKUP(R$5,NFI,5,0),1,0)*Table_NFI[[#This Row],[Winter Clothes Adult]],Table_NFI[Winter Clothes Adult])</f>
        <v>0</v>
      </c>
      <c r="AJ737" s="264">
        <f>IF(NFI_Expiration=1,IF($A737&lt;VLOOKUP(S$5,NFI,5,0),1,0)*Table_NFI[[#This Row],[Winter Clothes Children]],Table_NFI[Winter Clothes Children])</f>
        <v>0</v>
      </c>
      <c r="AK737" s="264">
        <f>IF(NFI_Expiration=1,IF($A737&lt;VLOOKUP(T$5,NFI,5,0),1,0)*Table_NFI[[#This Row],[Winter Items Other]],Table_NFI[Winter Items Other])</f>
        <v>0</v>
      </c>
      <c r="AL737" s="264">
        <f>IF(NFI_Expiration=1,IF($A737&lt;VLOOKUP(M$5,NFI,5,0),1,0)*Table_NFI[[#This Row],[Winter Blanket]],Table_NFI[[#This Row],[Winter Blanket]])</f>
        <v>0</v>
      </c>
      <c r="AM737" s="264">
        <f>IF(Table_NFI[[#This Row],[Winter Clothes Adult]]+Table_NFI[[#This Row],[Winter Clothes Children]]+Table_NFI[[#This Row],[Winter Items Other]]+Table_NFI[[#This Row],[Winter Blanket]]&gt;0,1,0)</f>
        <v>0</v>
      </c>
      <c r="AN737" s="296">
        <f>IF(NFI_Expiration=1,IF($A737&lt;VLOOKUP(V$5,NFI,5,0),1,0)*Table_NFI[[#This Row],[Jerry Can]],Table_NFI[Jerry Can])</f>
        <v>0</v>
      </c>
      <c r="AO737" s="296">
        <f>IF(NFI_Expiration=1,IF($A737&lt;VLOOKUP(V$5,NFI,5,0),1,0)*Table_NFI[[#This Row],[Shelter Tool kit]],Table_NFI[Shelter Tool kit])</f>
        <v>0</v>
      </c>
      <c r="AP737" s="296">
        <f>IF(NFI_Expiration=1,IF($A737&lt;VLOOKUP(V$5,NFI,5,0),1,0)*Table_NFI[[#This Row],[Tent]],Table_NFI[Tent])</f>
        <v>0</v>
      </c>
      <c r="AQ737" s="396" t="str">
        <f>IFERROR(VLOOKUP(Table_NFI[[#This Row],[Camp Name]],CL,2,0),"")</f>
        <v>MMR001CMP223</v>
      </c>
      <c r="AR737" s="702">
        <f ca="1">IF(Table_NFI[[#This Row],[Pcode]]="","",IF(OFFSET(CampList[Opening Date],MATCH(Table_NFI[[#This Row],[Pcode]],CampList[CP_Pcode],0)-1,0,1,1)&gt;=NFI_Monitor_Date,1,0))</f>
        <v>0</v>
      </c>
      <c r="AS737" s="396" t="str">
        <f>IFERROR(VLOOKUP(Table_NFI[[#This Row],[Camp Name]],CL,3,0),"")</f>
        <v>Open</v>
      </c>
      <c r="AT737" s="264" t="str">
        <f ca="1">IF(Table_NFI[[#This Row],[Pcode]]="","",OFFSET(CampList[Priority],MATCH(Table_NFI[[#This Row],[Pcode]],CampList[CP_Pcode],0)-1,0,1,1))</f>
        <v>P4</v>
      </c>
      <c r="AU737" s="263">
        <f>IFERROR(Table_NFI[[#This Row],[Kitchen Set]]/VLOOKUP(Table_NFI[[#This Row],[Camp Name]],CL,4,0),"")</f>
        <v>3.6102820833734477E-4</v>
      </c>
      <c r="AV737" s="390"/>
      <c r="AW737" s="392"/>
      <c r="AX737" s="399"/>
      <c r="AY737" s="399"/>
      <c r="AZ737" s="399"/>
      <c r="BA737" s="399"/>
      <c r="BB737" s="399"/>
      <c r="BC737" s="399"/>
      <c r="BD737" s="399"/>
      <c r="BE737" s="399"/>
      <c r="BF737" s="399"/>
      <c r="BG737" s="399"/>
      <c r="BH737" s="399"/>
      <c r="BI737" s="399"/>
      <c r="BJ737" s="399"/>
      <c r="BK737" s="399"/>
      <c r="BL737" s="399"/>
      <c r="BM737" s="399"/>
      <c r="BN737" s="399"/>
      <c r="BO737" s="399"/>
      <c r="BP737" s="399"/>
      <c r="BQ737" s="399"/>
      <c r="BR737" s="399"/>
      <c r="BS737" s="399"/>
      <c r="BT737" s="399"/>
      <c r="BU737" s="399"/>
      <c r="BV737" s="399"/>
      <c r="BW737" s="399"/>
      <c r="BX737" s="399"/>
      <c r="BY737" s="399"/>
      <c r="BZ737" s="399"/>
      <c r="CA737" s="399"/>
      <c r="CB737" s="399"/>
      <c r="CC737" s="399"/>
      <c r="CD737" s="399"/>
      <c r="CE737" s="399"/>
      <c r="CF737" s="399"/>
      <c r="CG737" s="399"/>
      <c r="CH737" s="399"/>
      <c r="CI737" s="399"/>
      <c r="CJ737" s="399"/>
      <c r="CK737" s="399"/>
      <c r="CL737" s="399"/>
      <c r="CM737" s="399"/>
      <c r="CN737" s="399"/>
      <c r="CO737" s="399"/>
      <c r="CP737" s="399"/>
      <c r="CQ737" s="399"/>
      <c r="CR737" s="399"/>
      <c r="CS737" s="399"/>
      <c r="CT737" s="399"/>
      <c r="CU737" s="399"/>
      <c r="CV737" s="399"/>
      <c r="CW737" s="399"/>
      <c r="CX737" s="399"/>
      <c r="CY737" s="399"/>
      <c r="CZ737" s="399"/>
      <c r="DA737" s="399"/>
      <c r="DB737" s="399"/>
      <c r="DC737" s="399"/>
      <c r="DD737" s="399"/>
      <c r="DE737" s="399"/>
      <c r="DF737" s="399"/>
      <c r="DG737" s="399"/>
      <c r="DH737" s="399"/>
      <c r="DI737" s="399"/>
      <c r="DJ737" s="399"/>
      <c r="DK737" s="399"/>
      <c r="DL737" s="399"/>
      <c r="DM737" s="399"/>
      <c r="DN737" s="399"/>
      <c r="DO737" s="399"/>
      <c r="DP737" s="399"/>
      <c r="DQ737" s="399"/>
    </row>
    <row r="738" spans="1:121" s="760" customFormat="1" ht="14.45" customHeight="1" x14ac:dyDescent="0.25">
      <c r="A738" s="266">
        <f t="shared" si="11"/>
        <v>46.733333333333334</v>
      </c>
      <c r="B738" s="389">
        <v>41454</v>
      </c>
      <c r="C738" s="390" t="s">
        <v>451</v>
      </c>
      <c r="D738" s="390"/>
      <c r="E738" s="390" t="s">
        <v>380</v>
      </c>
      <c r="F738" s="390" t="s">
        <v>151</v>
      </c>
      <c r="G738" s="390" t="s">
        <v>884</v>
      </c>
      <c r="H738" s="261"/>
      <c r="I738" s="261"/>
      <c r="J738" s="261"/>
      <c r="K738" s="261"/>
      <c r="L738" s="261">
        <v>19</v>
      </c>
      <c r="M738" s="261"/>
      <c r="N738" s="261">
        <v>19</v>
      </c>
      <c r="O738" s="261"/>
      <c r="P738" s="261"/>
      <c r="Q738" s="261">
        <v>100</v>
      </c>
      <c r="R738" s="261"/>
      <c r="S738" s="261"/>
      <c r="T738" s="261"/>
      <c r="U738" s="261"/>
      <c r="V738" s="762"/>
      <c r="W738" s="261"/>
      <c r="X738" s="261"/>
      <c r="Y738" s="264">
        <f>IF(NFI_Expiration=1,IF($A738&lt;VLOOKUP(H$5,NFI,5,0),1,0)*Table_NFI[[#This Row],[Hygiene Kit]],Table_NFI[Hygiene Kit])</f>
        <v>0</v>
      </c>
      <c r="Z738" s="264">
        <f>IF(NFI_Expiration=1,IF($A738&lt;VLOOKUP(I$5,NFI,5,0),1,0)*Table_NFI[[#This Row],[NFI Core Kit]],Table_NFI[NFI Core Kit])</f>
        <v>0</v>
      </c>
      <c r="AA738" s="264">
        <f>IF(NFI_Expiration=1,IF($A738&lt;VLOOKUP(J$5,NFI,5,0),1,0)*Table_NFI[[#This Row],[Sanitary Kit]],Table_NFI[Sanitary Kit])</f>
        <v>0</v>
      </c>
      <c r="AB738" s="264">
        <f>IF(NFI_Expiration=1,IF($A738&lt;VLOOKUP(K$5,NFI,5,0),1,0)*Table_NFI[[#This Row],[Mosquito net]],Table_NFI[Mosquito net])</f>
        <v>0</v>
      </c>
      <c r="AC738" s="264">
        <f>IF(NFI_Expiration=1,IF($A738&lt;VLOOKUP(L$5,NFI,5,0),1,0)*Table_NFI[[#This Row],[Tarpaulin]],Table_NFI[[#This Row],[Tarpaulin]])</f>
        <v>0</v>
      </c>
      <c r="AD738" s="264">
        <f>IF(NFI_Expiration=1,IF($A738&lt;VLOOKUP(M$5,NFI,5,0),1,0)*Table_NFI[[#This Row],[Blanket]],Table_NFI[[#This Row],[Blanket]])</f>
        <v>0</v>
      </c>
      <c r="AE738" s="264">
        <f>IF(NFI_Expiration=1,IF($A738&lt;VLOOKUP(N$5,NFI,5,0),1,0)*Table_NFI[[#This Row],[Kitchen Set]],Table_NFI[Kitchen Set])</f>
        <v>0</v>
      </c>
      <c r="AF738" s="264">
        <f>IF(NFI_Expiration=1,IF($A738&lt;VLOOKUP(O$5,NFI,5,0),1,0)*Table_NFI[[#This Row],[Clothes Kit]],Table_NFI[Clothes Kit])</f>
        <v>0</v>
      </c>
      <c r="AG738" s="264">
        <f>IF(NFI_Expiration=1,IF($A738&lt;VLOOKUP(P$5,NFI,5,0),1,0)*Table_NFI[[#This Row],[Plastic Bucket]],Table_NFI[Plastic Bucket])</f>
        <v>0</v>
      </c>
      <c r="AH738" s="264">
        <f>IF(NFI_Expiration=1,IF($A738&lt;VLOOKUP(Q$5,NFI,5,0),1,0)*Table_NFI[[#This Row],[Plastic Mat]],Table_NFI[Plastic Mat])*IF(Table_NFI[[#This Row],[Distribution Date]]&gt;"2014-04-01",1,2.5)</f>
        <v>0</v>
      </c>
      <c r="AI738" s="264">
        <f>IF(NFI_Expiration=1,IF($A738&lt;VLOOKUP(R$5,NFI,5,0),1,0)*Table_NFI[[#This Row],[Winter Clothes Adult]],Table_NFI[Winter Clothes Adult])</f>
        <v>0</v>
      </c>
      <c r="AJ738" s="264">
        <f>IF(NFI_Expiration=1,IF($A738&lt;VLOOKUP(S$5,NFI,5,0),1,0)*Table_NFI[[#This Row],[Winter Clothes Children]],Table_NFI[Winter Clothes Children])</f>
        <v>0</v>
      </c>
      <c r="AK738" s="264">
        <f>IF(NFI_Expiration=1,IF($A738&lt;VLOOKUP(T$5,NFI,5,0),1,0)*Table_NFI[[#This Row],[Winter Items Other]],Table_NFI[Winter Items Other])</f>
        <v>0</v>
      </c>
      <c r="AL738" s="264">
        <f>IF(NFI_Expiration=1,IF($A738&lt;VLOOKUP(M$5,NFI,5,0),1,0)*Table_NFI[[#This Row],[Winter Blanket]],Table_NFI[[#This Row],[Winter Blanket]])</f>
        <v>0</v>
      </c>
      <c r="AM738" s="264">
        <f>IF(Table_NFI[[#This Row],[Winter Clothes Adult]]+Table_NFI[[#This Row],[Winter Clothes Children]]+Table_NFI[[#This Row],[Winter Items Other]]+Table_NFI[[#This Row],[Winter Blanket]]&gt;0,1,0)</f>
        <v>0</v>
      </c>
      <c r="AN738" s="296">
        <f>IF(NFI_Expiration=1,IF($A738&lt;VLOOKUP(V$5,NFI,5,0),1,0)*Table_NFI[[#This Row],[Jerry Can]],Table_NFI[Jerry Can])</f>
        <v>0</v>
      </c>
      <c r="AO738" s="296">
        <f>IF(NFI_Expiration=1,IF($A738&lt;VLOOKUP(V$5,NFI,5,0),1,0)*Table_NFI[[#This Row],[Shelter Tool kit]],Table_NFI[Shelter Tool kit])</f>
        <v>0</v>
      </c>
      <c r="AP738" s="296">
        <f>IF(NFI_Expiration=1,IF($A738&lt;VLOOKUP(V$5,NFI,5,0),1,0)*Table_NFI[[#This Row],[Tent]],Table_NFI[Tent])</f>
        <v>0</v>
      </c>
      <c r="AQ738" s="396" t="str">
        <f>IFERROR(VLOOKUP(Table_NFI[[#This Row],[Camp Name]],CL,2,0),"")</f>
        <v>MMR001CMP218</v>
      </c>
      <c r="AR738" s="702">
        <f ca="1">IF(Table_NFI[[#This Row],[Pcode]]="","",IF(OFFSET(CampList[Opening Date],MATCH(Table_NFI[[#This Row],[Pcode]],CampList[CP_Pcode],0)-1,0,1,1)&gt;=NFI_Monitor_Date,1,0))</f>
        <v>0</v>
      </c>
      <c r="AS738" s="396" t="str">
        <f>IFERROR(VLOOKUP(Table_NFI[[#This Row],[Camp Name]],CL,3,0),"")</f>
        <v>Open</v>
      </c>
      <c r="AT738" s="264" t="str">
        <f ca="1">IF(Table_NFI[[#This Row],[Pcode]]="","",OFFSET(CampList[Priority],MATCH(Table_NFI[[#This Row],[Pcode]],CampList[CP_Pcode],0)-1,0,1,1))</f>
        <v>P4</v>
      </c>
      <c r="AU738" s="263">
        <f>IFERROR(Table_NFI[[#This Row],[Kitchen Set]]/VLOOKUP(Table_NFI[[#This Row],[Camp Name]],CL,4,0),"")</f>
        <v>4.5730239722730338E-4</v>
      </c>
      <c r="AV738" s="390"/>
      <c r="AW738" s="392"/>
      <c r="AX738" s="399"/>
      <c r="AY738" s="399"/>
      <c r="AZ738" s="399"/>
      <c r="BA738" s="399"/>
      <c r="BB738" s="399"/>
      <c r="BC738" s="399"/>
      <c r="BD738" s="399"/>
      <c r="BE738" s="399"/>
      <c r="BF738" s="399"/>
      <c r="BG738" s="399"/>
      <c r="BH738" s="399"/>
      <c r="BI738" s="399"/>
      <c r="BJ738" s="399"/>
      <c r="BK738" s="399"/>
      <c r="BL738" s="399"/>
      <c r="BM738" s="399"/>
      <c r="BN738" s="399"/>
      <c r="BO738" s="399"/>
      <c r="BP738" s="399"/>
      <c r="BQ738" s="399"/>
      <c r="BR738" s="399"/>
      <c r="BS738" s="399"/>
      <c r="BT738" s="399"/>
      <c r="BU738" s="399"/>
      <c r="BV738" s="399"/>
      <c r="BW738" s="399"/>
      <c r="BX738" s="399"/>
      <c r="BY738" s="399"/>
      <c r="BZ738" s="399"/>
      <c r="CA738" s="399"/>
      <c r="CB738" s="399"/>
      <c r="CC738" s="399"/>
      <c r="CD738" s="399"/>
      <c r="CE738" s="399"/>
      <c r="CF738" s="399"/>
      <c r="CG738" s="399"/>
      <c r="CH738" s="399"/>
      <c r="CI738" s="399"/>
      <c r="CJ738" s="399"/>
      <c r="CK738" s="399"/>
      <c r="CL738" s="399"/>
      <c r="CM738" s="399"/>
      <c r="CN738" s="399"/>
      <c r="CO738" s="399"/>
      <c r="CP738" s="399"/>
      <c r="CQ738" s="399"/>
      <c r="CR738" s="399"/>
      <c r="CS738" s="399"/>
      <c r="CT738" s="399"/>
      <c r="CU738" s="399"/>
      <c r="CV738" s="399"/>
      <c r="CW738" s="399"/>
      <c r="CX738" s="399"/>
      <c r="CY738" s="399"/>
      <c r="CZ738" s="399"/>
      <c r="DA738" s="399"/>
      <c r="DB738" s="399"/>
      <c r="DC738" s="399"/>
      <c r="DD738" s="399"/>
      <c r="DE738" s="399"/>
      <c r="DF738" s="399"/>
      <c r="DG738" s="399"/>
      <c r="DH738" s="399"/>
      <c r="DI738" s="399"/>
      <c r="DJ738" s="399"/>
      <c r="DK738" s="399"/>
      <c r="DL738" s="399"/>
      <c r="DM738" s="399"/>
      <c r="DN738" s="399"/>
      <c r="DO738" s="399"/>
      <c r="DP738" s="399"/>
      <c r="DQ738" s="399"/>
    </row>
    <row r="739" spans="1:121" s="760" customFormat="1" ht="14.45" customHeight="1" x14ac:dyDescent="0.25">
      <c r="A739" s="266">
        <f t="shared" si="11"/>
        <v>46.766666666666666</v>
      </c>
      <c r="B739" s="389">
        <v>41453</v>
      </c>
      <c r="C739" s="390" t="s">
        <v>451</v>
      </c>
      <c r="D739" s="390"/>
      <c r="E739" s="390" t="s">
        <v>380</v>
      </c>
      <c r="F739" s="390" t="s">
        <v>151</v>
      </c>
      <c r="G739" s="390" t="s">
        <v>884</v>
      </c>
      <c r="H739" s="261"/>
      <c r="I739" s="261"/>
      <c r="J739" s="261"/>
      <c r="K739" s="261">
        <v>10</v>
      </c>
      <c r="L739" s="261">
        <v>3</v>
      </c>
      <c r="M739" s="261">
        <v>10</v>
      </c>
      <c r="N739" s="261">
        <v>3</v>
      </c>
      <c r="O739" s="261"/>
      <c r="P739" s="261">
        <v>3</v>
      </c>
      <c r="Q739" s="261">
        <v>10</v>
      </c>
      <c r="R739" s="261"/>
      <c r="S739" s="261"/>
      <c r="T739" s="261"/>
      <c r="U739" s="261"/>
      <c r="V739" s="762"/>
      <c r="W739" s="261"/>
      <c r="X739" s="261"/>
      <c r="Y739" s="264">
        <f>IF(NFI_Expiration=1,IF($A739&lt;VLOOKUP(H$5,NFI,5,0),1,0)*Table_NFI[[#This Row],[Hygiene Kit]],Table_NFI[Hygiene Kit])</f>
        <v>0</v>
      </c>
      <c r="Z739" s="264">
        <f>IF(NFI_Expiration=1,IF($A739&lt;VLOOKUP(I$5,NFI,5,0),1,0)*Table_NFI[[#This Row],[NFI Core Kit]],Table_NFI[NFI Core Kit])</f>
        <v>0</v>
      </c>
      <c r="AA739" s="264">
        <f>IF(NFI_Expiration=1,IF($A739&lt;VLOOKUP(J$5,NFI,5,0),1,0)*Table_NFI[[#This Row],[Sanitary Kit]],Table_NFI[Sanitary Kit])</f>
        <v>0</v>
      </c>
      <c r="AB739" s="264">
        <f>IF(NFI_Expiration=1,IF($A739&lt;VLOOKUP(K$5,NFI,5,0),1,0)*Table_NFI[[#This Row],[Mosquito net]],Table_NFI[Mosquito net])</f>
        <v>0</v>
      </c>
      <c r="AC739" s="264">
        <f>IF(NFI_Expiration=1,IF($A739&lt;VLOOKUP(L$5,NFI,5,0),1,0)*Table_NFI[[#This Row],[Tarpaulin]],Table_NFI[[#This Row],[Tarpaulin]])</f>
        <v>0</v>
      </c>
      <c r="AD739" s="264">
        <f>IF(NFI_Expiration=1,IF($A739&lt;VLOOKUP(M$5,NFI,5,0),1,0)*Table_NFI[[#This Row],[Blanket]],Table_NFI[[#This Row],[Blanket]])</f>
        <v>0</v>
      </c>
      <c r="AE739" s="264">
        <f>IF(NFI_Expiration=1,IF($A739&lt;VLOOKUP(N$5,NFI,5,0),1,0)*Table_NFI[[#This Row],[Kitchen Set]],Table_NFI[Kitchen Set])</f>
        <v>0</v>
      </c>
      <c r="AF739" s="264">
        <f>IF(NFI_Expiration=1,IF($A739&lt;VLOOKUP(O$5,NFI,5,0),1,0)*Table_NFI[[#This Row],[Clothes Kit]],Table_NFI[Clothes Kit])</f>
        <v>0</v>
      </c>
      <c r="AG739" s="264">
        <f>IF(NFI_Expiration=1,IF($A739&lt;VLOOKUP(P$5,NFI,5,0),1,0)*Table_NFI[[#This Row],[Plastic Bucket]],Table_NFI[Plastic Bucket])</f>
        <v>0</v>
      </c>
      <c r="AH739" s="264">
        <f>IF(NFI_Expiration=1,IF($A739&lt;VLOOKUP(Q$5,NFI,5,0),1,0)*Table_NFI[[#This Row],[Plastic Mat]],Table_NFI[Plastic Mat])*IF(Table_NFI[[#This Row],[Distribution Date]]&gt;"2014-04-01",1,2.5)</f>
        <v>0</v>
      </c>
      <c r="AI739" s="264">
        <f>IF(NFI_Expiration=1,IF($A739&lt;VLOOKUP(R$5,NFI,5,0),1,0)*Table_NFI[[#This Row],[Winter Clothes Adult]],Table_NFI[Winter Clothes Adult])</f>
        <v>0</v>
      </c>
      <c r="AJ739" s="264">
        <f>IF(NFI_Expiration=1,IF($A739&lt;VLOOKUP(S$5,NFI,5,0),1,0)*Table_NFI[[#This Row],[Winter Clothes Children]],Table_NFI[Winter Clothes Children])</f>
        <v>0</v>
      </c>
      <c r="AK739" s="264">
        <f>IF(NFI_Expiration=1,IF($A739&lt;VLOOKUP(T$5,NFI,5,0),1,0)*Table_NFI[[#This Row],[Winter Items Other]],Table_NFI[Winter Items Other])</f>
        <v>0</v>
      </c>
      <c r="AL739" s="264">
        <f>IF(NFI_Expiration=1,IF($A739&lt;VLOOKUP(M$5,NFI,5,0),1,0)*Table_NFI[[#This Row],[Winter Blanket]],Table_NFI[[#This Row],[Winter Blanket]])</f>
        <v>0</v>
      </c>
      <c r="AM739" s="264">
        <f>IF(Table_NFI[[#This Row],[Winter Clothes Adult]]+Table_NFI[[#This Row],[Winter Clothes Children]]+Table_NFI[[#This Row],[Winter Items Other]]+Table_NFI[[#This Row],[Winter Blanket]]&gt;0,1,0)</f>
        <v>0</v>
      </c>
      <c r="AN739" s="296">
        <f>IF(NFI_Expiration=1,IF($A739&lt;VLOOKUP(V$5,NFI,5,0),1,0)*Table_NFI[[#This Row],[Jerry Can]],Table_NFI[Jerry Can])</f>
        <v>0</v>
      </c>
      <c r="AO739" s="296">
        <f>IF(NFI_Expiration=1,IF($A739&lt;VLOOKUP(V$5,NFI,5,0),1,0)*Table_NFI[[#This Row],[Shelter Tool kit]],Table_NFI[Shelter Tool kit])</f>
        <v>0</v>
      </c>
      <c r="AP739" s="296">
        <f>IF(NFI_Expiration=1,IF($A739&lt;VLOOKUP(V$5,NFI,5,0),1,0)*Table_NFI[[#This Row],[Tent]],Table_NFI[Tent])</f>
        <v>0</v>
      </c>
      <c r="AQ739" s="396" t="str">
        <f>IFERROR(VLOOKUP(Table_NFI[[#This Row],[Camp Name]],CL,2,0),"")</f>
        <v>MMR001CMP218</v>
      </c>
      <c r="AR739" s="702">
        <f ca="1">IF(Table_NFI[[#This Row],[Pcode]]="","",IF(OFFSET(CampList[Opening Date],MATCH(Table_NFI[[#This Row],[Pcode]],CampList[CP_Pcode],0)-1,0,1,1)&gt;=NFI_Monitor_Date,1,0))</f>
        <v>0</v>
      </c>
      <c r="AS739" s="396" t="str">
        <f>IFERROR(VLOOKUP(Table_NFI[[#This Row],[Camp Name]],CL,3,0),"")</f>
        <v>Open</v>
      </c>
      <c r="AT739" s="264" t="str">
        <f ca="1">IF(Table_NFI[[#This Row],[Pcode]]="","",OFFSET(CampList[Priority],MATCH(Table_NFI[[#This Row],[Pcode]],CampList[CP_Pcode],0)-1,0,1,1))</f>
        <v>P4</v>
      </c>
      <c r="AU739" s="263">
        <f>IFERROR(Table_NFI[[#This Row],[Kitchen Set]]/VLOOKUP(Table_NFI[[#This Row],[Camp Name]],CL,4,0),"")</f>
        <v>7.2205641667468946E-5</v>
      </c>
      <c r="AV739" s="390"/>
      <c r="AW739" s="392"/>
      <c r="AX739" s="399"/>
      <c r="AY739" s="399"/>
      <c r="AZ739" s="399"/>
      <c r="BA739" s="399"/>
      <c r="BB739" s="399"/>
      <c r="BC739" s="399"/>
      <c r="BD739" s="399"/>
      <c r="BE739" s="399"/>
      <c r="BF739" s="399"/>
      <c r="BG739" s="399"/>
      <c r="BH739" s="399"/>
      <c r="BI739" s="399"/>
      <c r="BJ739" s="399"/>
      <c r="BK739" s="399"/>
      <c r="BL739" s="399"/>
      <c r="BM739" s="399"/>
      <c r="BN739" s="399"/>
      <c r="BO739" s="399"/>
      <c r="BP739" s="399"/>
      <c r="BQ739" s="399"/>
      <c r="BR739" s="399"/>
      <c r="BS739" s="399"/>
      <c r="BT739" s="399"/>
      <c r="BU739" s="399"/>
      <c r="BV739" s="399"/>
      <c r="BW739" s="399"/>
      <c r="BX739" s="399"/>
      <c r="BY739" s="399"/>
      <c r="BZ739" s="399"/>
      <c r="CA739" s="399"/>
      <c r="CB739" s="399"/>
      <c r="CC739" s="399"/>
      <c r="CD739" s="399"/>
      <c r="CE739" s="399"/>
      <c r="CF739" s="399"/>
      <c r="CG739" s="399"/>
      <c r="CH739" s="399"/>
      <c r="CI739" s="399"/>
      <c r="CJ739" s="399"/>
      <c r="CK739" s="399"/>
      <c r="CL739" s="399"/>
      <c r="CM739" s="399"/>
      <c r="CN739" s="399"/>
      <c r="CO739" s="399"/>
      <c r="CP739" s="399"/>
      <c r="CQ739" s="399"/>
      <c r="CR739" s="399"/>
      <c r="CS739" s="399"/>
      <c r="CT739" s="399"/>
      <c r="CU739" s="399"/>
      <c r="CV739" s="399"/>
      <c r="CW739" s="399"/>
      <c r="CX739" s="399"/>
      <c r="CY739" s="399"/>
      <c r="CZ739" s="399"/>
      <c r="DA739" s="399"/>
      <c r="DB739" s="399"/>
      <c r="DC739" s="399"/>
      <c r="DD739" s="399"/>
      <c r="DE739" s="399"/>
      <c r="DF739" s="399"/>
      <c r="DG739" s="399"/>
      <c r="DH739" s="399"/>
      <c r="DI739" s="399"/>
      <c r="DJ739" s="399"/>
      <c r="DK739" s="399"/>
      <c r="DL739" s="399"/>
      <c r="DM739" s="399"/>
      <c r="DN739" s="399"/>
      <c r="DO739" s="399"/>
      <c r="DP739" s="399"/>
      <c r="DQ739" s="399"/>
    </row>
    <row r="740" spans="1:121" s="760" customFormat="1" ht="14.45" customHeight="1" x14ac:dyDescent="0.25">
      <c r="A740" s="266">
        <f t="shared" si="11"/>
        <v>46.8</v>
      </c>
      <c r="B740" s="389">
        <v>41452</v>
      </c>
      <c r="C740" s="390" t="s">
        <v>451</v>
      </c>
      <c r="D740" s="390"/>
      <c r="E740" s="390" t="s">
        <v>380</v>
      </c>
      <c r="F740" s="390" t="s">
        <v>151</v>
      </c>
      <c r="G740" s="390" t="s">
        <v>884</v>
      </c>
      <c r="H740" s="261"/>
      <c r="I740" s="261"/>
      <c r="J740" s="261"/>
      <c r="K740" s="261">
        <v>54</v>
      </c>
      <c r="L740" s="261">
        <v>18</v>
      </c>
      <c r="M740" s="261">
        <v>45</v>
      </c>
      <c r="N740" s="261">
        <v>18</v>
      </c>
      <c r="O740" s="261"/>
      <c r="P740" s="261">
        <v>18</v>
      </c>
      <c r="Q740" s="261">
        <v>50</v>
      </c>
      <c r="R740" s="261"/>
      <c r="S740" s="261"/>
      <c r="T740" s="261"/>
      <c r="U740" s="261"/>
      <c r="V740" s="762"/>
      <c r="W740" s="261"/>
      <c r="X740" s="261"/>
      <c r="Y740" s="264">
        <f>IF(NFI_Expiration=1,IF($A740&lt;VLOOKUP(H$5,NFI,5,0),1,0)*Table_NFI[[#This Row],[Hygiene Kit]],Table_NFI[Hygiene Kit])</f>
        <v>0</v>
      </c>
      <c r="Z740" s="264">
        <f>IF(NFI_Expiration=1,IF($A740&lt;VLOOKUP(I$5,NFI,5,0),1,0)*Table_NFI[[#This Row],[NFI Core Kit]],Table_NFI[NFI Core Kit])</f>
        <v>0</v>
      </c>
      <c r="AA740" s="264">
        <f>IF(NFI_Expiration=1,IF($A740&lt;VLOOKUP(J$5,NFI,5,0),1,0)*Table_NFI[[#This Row],[Sanitary Kit]],Table_NFI[Sanitary Kit])</f>
        <v>0</v>
      </c>
      <c r="AB740" s="264">
        <f>IF(NFI_Expiration=1,IF($A740&lt;VLOOKUP(K$5,NFI,5,0),1,0)*Table_NFI[[#This Row],[Mosquito net]],Table_NFI[Mosquito net])</f>
        <v>0</v>
      </c>
      <c r="AC740" s="264">
        <f>IF(NFI_Expiration=1,IF($A740&lt;VLOOKUP(L$5,NFI,5,0),1,0)*Table_NFI[[#This Row],[Tarpaulin]],Table_NFI[[#This Row],[Tarpaulin]])</f>
        <v>0</v>
      </c>
      <c r="AD740" s="264">
        <f>IF(NFI_Expiration=1,IF($A740&lt;VLOOKUP(M$5,NFI,5,0),1,0)*Table_NFI[[#This Row],[Blanket]],Table_NFI[[#This Row],[Blanket]])</f>
        <v>0</v>
      </c>
      <c r="AE740" s="264">
        <f>IF(NFI_Expiration=1,IF($A740&lt;VLOOKUP(N$5,NFI,5,0),1,0)*Table_NFI[[#This Row],[Kitchen Set]],Table_NFI[Kitchen Set])</f>
        <v>0</v>
      </c>
      <c r="AF740" s="264">
        <f>IF(NFI_Expiration=1,IF($A740&lt;VLOOKUP(O$5,NFI,5,0),1,0)*Table_NFI[[#This Row],[Clothes Kit]],Table_NFI[Clothes Kit])</f>
        <v>0</v>
      </c>
      <c r="AG740" s="264">
        <f>IF(NFI_Expiration=1,IF($A740&lt;VLOOKUP(P$5,NFI,5,0),1,0)*Table_NFI[[#This Row],[Plastic Bucket]],Table_NFI[Plastic Bucket])</f>
        <v>0</v>
      </c>
      <c r="AH740" s="264">
        <f>IF(NFI_Expiration=1,IF($A740&lt;VLOOKUP(Q$5,NFI,5,0),1,0)*Table_NFI[[#This Row],[Plastic Mat]],Table_NFI[Plastic Mat])*IF(Table_NFI[[#This Row],[Distribution Date]]&gt;"2014-04-01",1,2.5)</f>
        <v>0</v>
      </c>
      <c r="AI740" s="264">
        <f>IF(NFI_Expiration=1,IF($A740&lt;VLOOKUP(R$5,NFI,5,0),1,0)*Table_NFI[[#This Row],[Winter Clothes Adult]],Table_NFI[Winter Clothes Adult])</f>
        <v>0</v>
      </c>
      <c r="AJ740" s="264">
        <f>IF(NFI_Expiration=1,IF($A740&lt;VLOOKUP(S$5,NFI,5,0),1,0)*Table_NFI[[#This Row],[Winter Clothes Children]],Table_NFI[Winter Clothes Children])</f>
        <v>0</v>
      </c>
      <c r="AK740" s="264">
        <f>IF(NFI_Expiration=1,IF($A740&lt;VLOOKUP(T$5,NFI,5,0),1,0)*Table_NFI[[#This Row],[Winter Items Other]],Table_NFI[Winter Items Other])</f>
        <v>0</v>
      </c>
      <c r="AL740" s="264">
        <f>IF(NFI_Expiration=1,IF($A740&lt;VLOOKUP(M$5,NFI,5,0),1,0)*Table_NFI[[#This Row],[Winter Blanket]],Table_NFI[[#This Row],[Winter Blanket]])</f>
        <v>0</v>
      </c>
      <c r="AM740" s="264">
        <f>IF(Table_NFI[[#This Row],[Winter Clothes Adult]]+Table_NFI[[#This Row],[Winter Clothes Children]]+Table_NFI[[#This Row],[Winter Items Other]]+Table_NFI[[#This Row],[Winter Blanket]]&gt;0,1,0)</f>
        <v>0</v>
      </c>
      <c r="AN740" s="296">
        <f>IF(NFI_Expiration=1,IF($A740&lt;VLOOKUP(V$5,NFI,5,0),1,0)*Table_NFI[[#This Row],[Jerry Can]],Table_NFI[Jerry Can])</f>
        <v>0</v>
      </c>
      <c r="AO740" s="296">
        <f>IF(NFI_Expiration=1,IF($A740&lt;VLOOKUP(V$5,NFI,5,0),1,0)*Table_NFI[[#This Row],[Shelter Tool kit]],Table_NFI[Shelter Tool kit])</f>
        <v>0</v>
      </c>
      <c r="AP740" s="296">
        <f>IF(NFI_Expiration=1,IF($A740&lt;VLOOKUP(V$5,NFI,5,0),1,0)*Table_NFI[[#This Row],[Tent]],Table_NFI[Tent])</f>
        <v>0</v>
      </c>
      <c r="AQ740" s="396" t="str">
        <f>IFERROR(VLOOKUP(Table_NFI[[#This Row],[Camp Name]],CL,2,0),"")</f>
        <v>MMR001CMP218</v>
      </c>
      <c r="AR740" s="702">
        <f ca="1">IF(Table_NFI[[#This Row],[Pcode]]="","",IF(OFFSET(CampList[Opening Date],MATCH(Table_NFI[[#This Row],[Pcode]],CampList[CP_Pcode],0)-1,0,1,1)&gt;=NFI_Monitor_Date,1,0))</f>
        <v>0</v>
      </c>
      <c r="AS740" s="396" t="str">
        <f>IFERROR(VLOOKUP(Table_NFI[[#This Row],[Camp Name]],CL,3,0),"")</f>
        <v>Open</v>
      </c>
      <c r="AT740" s="264" t="str">
        <f ca="1">IF(Table_NFI[[#This Row],[Pcode]]="","",OFFSET(CampList[Priority],MATCH(Table_NFI[[#This Row],[Pcode]],CampList[CP_Pcode],0)-1,0,1,1))</f>
        <v>P4</v>
      </c>
      <c r="AU740" s="263">
        <f>IFERROR(Table_NFI[[#This Row],[Kitchen Set]]/VLOOKUP(Table_NFI[[#This Row],[Camp Name]],CL,4,0),"")</f>
        <v>4.332338500048137E-4</v>
      </c>
      <c r="AV740" s="390"/>
      <c r="AW740" s="392"/>
      <c r="AX740" s="399"/>
      <c r="AY740" s="399"/>
      <c r="AZ740" s="399"/>
      <c r="BA740" s="399"/>
      <c r="BB740" s="399"/>
      <c r="BC740" s="399"/>
      <c r="BD740" s="399"/>
      <c r="BE740" s="399"/>
      <c r="BF740" s="399"/>
      <c r="BG740" s="399"/>
      <c r="BH740" s="399"/>
      <c r="BI740" s="399"/>
      <c r="BJ740" s="399"/>
      <c r="BK740" s="399"/>
      <c r="BL740" s="399"/>
      <c r="BM740" s="399"/>
      <c r="BN740" s="399"/>
      <c r="BO740" s="399"/>
      <c r="BP740" s="399"/>
      <c r="BQ740" s="399"/>
      <c r="BR740" s="399"/>
      <c r="BS740" s="399"/>
      <c r="BT740" s="399"/>
      <c r="BU740" s="399"/>
      <c r="BV740" s="399"/>
      <c r="BW740" s="399"/>
      <c r="BX740" s="399"/>
      <c r="BY740" s="399"/>
      <c r="BZ740" s="399"/>
      <c r="CA740" s="399"/>
      <c r="CB740" s="399"/>
      <c r="CC740" s="399"/>
      <c r="CD740" s="399"/>
      <c r="CE740" s="399"/>
      <c r="CF740" s="399"/>
      <c r="CG740" s="399"/>
      <c r="CH740" s="399"/>
      <c r="CI740" s="399"/>
      <c r="CJ740" s="399"/>
      <c r="CK740" s="399"/>
      <c r="CL740" s="399"/>
      <c r="CM740" s="399"/>
      <c r="CN740" s="399"/>
      <c r="CO740" s="399"/>
      <c r="CP740" s="399"/>
      <c r="CQ740" s="399"/>
      <c r="CR740" s="399"/>
      <c r="CS740" s="399"/>
      <c r="CT740" s="399"/>
      <c r="CU740" s="399"/>
      <c r="CV740" s="399"/>
      <c r="CW740" s="399"/>
      <c r="CX740" s="399"/>
      <c r="CY740" s="399"/>
      <c r="CZ740" s="399"/>
      <c r="DA740" s="399"/>
      <c r="DB740" s="399"/>
      <c r="DC740" s="399"/>
      <c r="DD740" s="399"/>
      <c r="DE740" s="399"/>
      <c r="DF740" s="399"/>
      <c r="DG740" s="399"/>
      <c r="DH740" s="399"/>
      <c r="DI740" s="399"/>
      <c r="DJ740" s="399"/>
      <c r="DK740" s="399"/>
      <c r="DL740" s="399"/>
      <c r="DM740" s="399"/>
      <c r="DN740" s="399"/>
      <c r="DO740" s="399"/>
      <c r="DP740" s="399"/>
      <c r="DQ740" s="399"/>
    </row>
    <row r="741" spans="1:121" s="760" customFormat="1" ht="14.45" customHeight="1" x14ac:dyDescent="0.25">
      <c r="A741" s="266">
        <f t="shared" si="11"/>
        <v>47.233333333333334</v>
      </c>
      <c r="B741" s="389">
        <v>41439</v>
      </c>
      <c r="C741" s="390" t="s">
        <v>451</v>
      </c>
      <c r="D741" s="391" t="s">
        <v>451</v>
      </c>
      <c r="E741" s="390" t="s">
        <v>380</v>
      </c>
      <c r="F741" s="262" t="s">
        <v>185</v>
      </c>
      <c r="G741" s="262" t="s">
        <v>219</v>
      </c>
      <c r="H741" s="261"/>
      <c r="I741" s="261"/>
      <c r="J741" s="261">
        <v>42</v>
      </c>
      <c r="K741" s="261">
        <v>42</v>
      </c>
      <c r="L741" s="261">
        <v>21</v>
      </c>
      <c r="M741" s="261">
        <v>42</v>
      </c>
      <c r="N741" s="261">
        <v>21</v>
      </c>
      <c r="O741" s="261">
        <v>21</v>
      </c>
      <c r="P741" s="261">
        <v>21</v>
      </c>
      <c r="Q741" s="261">
        <v>21</v>
      </c>
      <c r="R741" s="261"/>
      <c r="S741" s="261"/>
      <c r="T741" s="261"/>
      <c r="U741" s="261"/>
      <c r="V741" s="762"/>
      <c r="W741" s="261"/>
      <c r="X741" s="261"/>
      <c r="Y741" s="264">
        <f>IF(NFI_Expiration=1,IF($A741&lt;VLOOKUP(H$5,NFI,5,0),1,0)*Table_NFI[[#This Row],[Hygiene Kit]],Table_NFI[Hygiene Kit])</f>
        <v>0</v>
      </c>
      <c r="Z741" s="264">
        <f>IF(NFI_Expiration=1,IF($A741&lt;VLOOKUP(I$5,NFI,5,0),1,0)*Table_NFI[[#This Row],[NFI Core Kit]],Table_NFI[NFI Core Kit])</f>
        <v>0</v>
      </c>
      <c r="AA741" s="264">
        <f>IF(NFI_Expiration=1,IF($A741&lt;VLOOKUP(J$5,NFI,5,0),1,0)*Table_NFI[[#This Row],[Sanitary Kit]],Table_NFI[Sanitary Kit])</f>
        <v>0</v>
      </c>
      <c r="AB741" s="264">
        <f>IF(NFI_Expiration=1,IF($A741&lt;VLOOKUP(K$5,NFI,5,0),1,0)*Table_NFI[[#This Row],[Mosquito net]],Table_NFI[Mosquito net])</f>
        <v>0</v>
      </c>
      <c r="AC741" s="264">
        <f>IF(NFI_Expiration=1,IF($A741&lt;VLOOKUP(L$5,NFI,5,0),1,0)*Table_NFI[[#This Row],[Tarpaulin]],Table_NFI[[#This Row],[Tarpaulin]])</f>
        <v>0</v>
      </c>
      <c r="AD741" s="264">
        <f>IF(NFI_Expiration=1,IF($A741&lt;VLOOKUP(M$5,NFI,5,0),1,0)*Table_NFI[[#This Row],[Blanket]],Table_NFI[[#This Row],[Blanket]])</f>
        <v>0</v>
      </c>
      <c r="AE741" s="264">
        <f>IF(NFI_Expiration=1,IF($A741&lt;VLOOKUP(N$5,NFI,5,0),1,0)*Table_NFI[[#This Row],[Kitchen Set]],Table_NFI[Kitchen Set])</f>
        <v>0</v>
      </c>
      <c r="AF741" s="264">
        <f>IF(NFI_Expiration=1,IF($A741&lt;VLOOKUP(O$5,NFI,5,0),1,0)*Table_NFI[[#This Row],[Clothes Kit]],Table_NFI[Clothes Kit])</f>
        <v>0</v>
      </c>
      <c r="AG741" s="264">
        <f>IF(NFI_Expiration=1,IF($A741&lt;VLOOKUP(P$5,NFI,5,0),1,0)*Table_NFI[[#This Row],[Plastic Bucket]],Table_NFI[Plastic Bucket])</f>
        <v>0</v>
      </c>
      <c r="AH741" s="264">
        <f>IF(NFI_Expiration=1,IF($A741&lt;VLOOKUP(Q$5,NFI,5,0),1,0)*Table_NFI[[#This Row],[Plastic Mat]],Table_NFI[Plastic Mat])*IF(Table_NFI[[#This Row],[Distribution Date]]&gt;"2014-04-01",1,2.5)</f>
        <v>0</v>
      </c>
      <c r="AI741" s="264">
        <f>IF(NFI_Expiration=1,IF($A741&lt;VLOOKUP(R$5,NFI,5,0),1,0)*Table_NFI[[#This Row],[Winter Clothes Adult]],Table_NFI[Winter Clothes Adult])</f>
        <v>0</v>
      </c>
      <c r="AJ741" s="264">
        <f>IF(NFI_Expiration=1,IF($A741&lt;VLOOKUP(S$5,NFI,5,0),1,0)*Table_NFI[[#This Row],[Winter Clothes Children]],Table_NFI[Winter Clothes Children])</f>
        <v>0</v>
      </c>
      <c r="AK741" s="264">
        <f>IF(NFI_Expiration=1,IF($A741&lt;VLOOKUP(T$5,NFI,5,0),1,0)*Table_NFI[[#This Row],[Winter Items Other]],Table_NFI[Winter Items Other])</f>
        <v>0</v>
      </c>
      <c r="AL741" s="264">
        <f>IF(NFI_Expiration=1,IF($A741&lt;VLOOKUP(M$5,NFI,5,0),1,0)*Table_NFI[[#This Row],[Winter Blanket]],Table_NFI[[#This Row],[Winter Blanket]])</f>
        <v>0</v>
      </c>
      <c r="AM741" s="264">
        <f>IF(Table_NFI[[#This Row],[Winter Clothes Adult]]+Table_NFI[[#This Row],[Winter Clothes Children]]+Table_NFI[[#This Row],[Winter Items Other]]+Table_NFI[[#This Row],[Winter Blanket]]&gt;0,1,0)</f>
        <v>0</v>
      </c>
      <c r="AN741" s="296">
        <f>IF(NFI_Expiration=1,IF($A741&lt;VLOOKUP(V$5,NFI,5,0),1,0)*Table_NFI[[#This Row],[Jerry Can]],Table_NFI[Jerry Can])</f>
        <v>0</v>
      </c>
      <c r="AO741" s="296">
        <f>IF(NFI_Expiration=1,IF($A741&lt;VLOOKUP(V$5,NFI,5,0),1,0)*Table_NFI[[#This Row],[Shelter Tool kit]],Table_NFI[Shelter Tool kit])</f>
        <v>0</v>
      </c>
      <c r="AP741" s="296">
        <f>IF(NFI_Expiration=1,IF($A741&lt;VLOOKUP(V$5,NFI,5,0),1,0)*Table_NFI[[#This Row],[Tent]],Table_NFI[Tent])</f>
        <v>0</v>
      </c>
      <c r="AQ741" s="396" t="str">
        <f>IFERROR(VLOOKUP(Table_NFI[[#This Row],[Camp Name]],CL,2,0),"")</f>
        <v>MMR001CMP126</v>
      </c>
      <c r="AR741" s="702">
        <f ca="1">IF(Table_NFI[[#This Row],[Pcode]]="","",IF(OFFSET(CampList[Opening Date],MATCH(Table_NFI[[#This Row],[Pcode]],CampList[CP_Pcode],0)-1,0,1,1)&gt;=NFI_Monitor_Date,1,0))</f>
        <v>0</v>
      </c>
      <c r="AS741" s="396" t="str">
        <f>IFERROR(VLOOKUP(Table_NFI[[#This Row],[Camp Name]],CL,3,0),"")</f>
        <v>Open</v>
      </c>
      <c r="AT741" s="264" t="str">
        <f ca="1">IF(Table_NFI[[#This Row],[Pcode]]="","",OFFSET(CampList[Priority],MATCH(Table_NFI[[#This Row],[Pcode]],CampList[CP_Pcode],0)-1,0,1,1))</f>
        <v>P2</v>
      </c>
      <c r="AU741" s="263">
        <f>IFERROR(Table_NFI[[#This Row],[Kitchen Set]]/VLOOKUP(Table_NFI[[#This Row],[Camp Name]],CL,4,0),"")</f>
        <v>5.1219512195121953E-4</v>
      </c>
      <c r="AV741" s="390" t="s">
        <v>1087</v>
      </c>
      <c r="AW741" s="392"/>
      <c r="AX741" s="399"/>
      <c r="AY741" s="399"/>
      <c r="AZ741" s="399"/>
      <c r="BA741" s="399"/>
      <c r="BB741" s="399"/>
      <c r="BC741" s="399"/>
      <c r="BD741" s="399"/>
      <c r="BE741" s="399"/>
      <c r="BF741" s="399"/>
      <c r="BG741" s="399"/>
      <c r="BH741" s="399"/>
      <c r="BI741" s="399"/>
      <c r="BJ741" s="399"/>
      <c r="BK741" s="399"/>
      <c r="BL741" s="399"/>
      <c r="BM741" s="399"/>
      <c r="BN741" s="399"/>
      <c r="BO741" s="399"/>
      <c r="BP741" s="399"/>
      <c r="BQ741" s="399"/>
      <c r="BR741" s="399"/>
      <c r="BS741" s="399"/>
      <c r="BT741" s="399"/>
      <c r="BU741" s="399"/>
      <c r="BV741" s="399"/>
      <c r="BW741" s="399"/>
      <c r="BX741" s="399"/>
      <c r="BY741" s="399"/>
      <c r="BZ741" s="399"/>
      <c r="CA741" s="399"/>
      <c r="CB741" s="399"/>
      <c r="CC741" s="399"/>
      <c r="CD741" s="399"/>
      <c r="CE741" s="399"/>
      <c r="CF741" s="399"/>
      <c r="CG741" s="399"/>
      <c r="CH741" s="399"/>
      <c r="CI741" s="399"/>
      <c r="CJ741" s="399"/>
      <c r="CK741" s="399"/>
      <c r="CL741" s="399"/>
      <c r="CM741" s="399"/>
      <c r="CN741" s="399"/>
      <c r="CO741" s="399"/>
      <c r="CP741" s="399"/>
      <c r="CQ741" s="399"/>
      <c r="CR741" s="399"/>
      <c r="CS741" s="399"/>
      <c r="CT741" s="399"/>
      <c r="CU741" s="399"/>
      <c r="CV741" s="399"/>
      <c r="CW741" s="399"/>
      <c r="CX741" s="399"/>
      <c r="CY741" s="399"/>
      <c r="CZ741" s="399"/>
      <c r="DA741" s="399"/>
      <c r="DB741" s="399"/>
      <c r="DC741" s="399"/>
      <c r="DD741" s="399"/>
      <c r="DE741" s="399"/>
      <c r="DF741" s="399"/>
      <c r="DG741" s="399"/>
      <c r="DH741" s="399"/>
      <c r="DI741" s="399"/>
      <c r="DJ741" s="399"/>
      <c r="DK741" s="399"/>
      <c r="DL741" s="399"/>
      <c r="DM741" s="399"/>
      <c r="DN741" s="399"/>
      <c r="DO741" s="399"/>
      <c r="DP741" s="399"/>
      <c r="DQ741" s="399"/>
    </row>
    <row r="742" spans="1:121" s="760" customFormat="1" ht="16.149999999999999" customHeight="1" x14ac:dyDescent="0.25">
      <c r="A742" s="266">
        <f t="shared" si="11"/>
        <v>47.266666666666666</v>
      </c>
      <c r="B742" s="389">
        <v>41438</v>
      </c>
      <c r="C742" s="390" t="s">
        <v>451</v>
      </c>
      <c r="D742" s="391" t="s">
        <v>451</v>
      </c>
      <c r="E742" s="390" t="s">
        <v>380</v>
      </c>
      <c r="F742" s="262" t="s">
        <v>185</v>
      </c>
      <c r="G742" s="262" t="s">
        <v>186</v>
      </c>
      <c r="H742" s="261"/>
      <c r="I742" s="261"/>
      <c r="J742" s="261">
        <v>152</v>
      </c>
      <c r="K742" s="261">
        <v>11</v>
      </c>
      <c r="L742" s="261">
        <v>4</v>
      </c>
      <c r="M742" s="261">
        <v>11</v>
      </c>
      <c r="N742" s="261">
        <v>4</v>
      </c>
      <c r="O742" s="261">
        <v>4</v>
      </c>
      <c r="P742" s="261">
        <v>4</v>
      </c>
      <c r="Q742" s="261">
        <v>4</v>
      </c>
      <c r="R742" s="261"/>
      <c r="S742" s="261"/>
      <c r="T742" s="261"/>
      <c r="U742" s="261"/>
      <c r="V742" s="762"/>
      <c r="W742" s="261"/>
      <c r="X742" s="261"/>
      <c r="Y742" s="264">
        <f>IF(NFI_Expiration=1,IF($A742&lt;VLOOKUP(H$5,NFI,5,0),1,0)*Table_NFI[[#This Row],[Hygiene Kit]],Table_NFI[Hygiene Kit])</f>
        <v>0</v>
      </c>
      <c r="Z742" s="264">
        <f>IF(NFI_Expiration=1,IF($A742&lt;VLOOKUP(I$5,NFI,5,0),1,0)*Table_NFI[[#This Row],[NFI Core Kit]],Table_NFI[NFI Core Kit])</f>
        <v>0</v>
      </c>
      <c r="AA742" s="264">
        <f>IF(NFI_Expiration=1,IF($A742&lt;VLOOKUP(J$5,NFI,5,0),1,0)*Table_NFI[[#This Row],[Sanitary Kit]],Table_NFI[Sanitary Kit])</f>
        <v>0</v>
      </c>
      <c r="AB742" s="264">
        <f>IF(NFI_Expiration=1,IF($A742&lt;VLOOKUP(K$5,NFI,5,0),1,0)*Table_NFI[[#This Row],[Mosquito net]],Table_NFI[Mosquito net])</f>
        <v>0</v>
      </c>
      <c r="AC742" s="264">
        <f>IF(NFI_Expiration=1,IF($A742&lt;VLOOKUP(L$5,NFI,5,0),1,0)*Table_NFI[[#This Row],[Tarpaulin]],Table_NFI[[#This Row],[Tarpaulin]])</f>
        <v>0</v>
      </c>
      <c r="AD742" s="264">
        <f>IF(NFI_Expiration=1,IF($A742&lt;VLOOKUP(M$5,NFI,5,0),1,0)*Table_NFI[[#This Row],[Blanket]],Table_NFI[[#This Row],[Blanket]])</f>
        <v>0</v>
      </c>
      <c r="AE742" s="264">
        <f>IF(NFI_Expiration=1,IF($A742&lt;VLOOKUP(N$5,NFI,5,0),1,0)*Table_NFI[[#This Row],[Kitchen Set]],Table_NFI[Kitchen Set])</f>
        <v>0</v>
      </c>
      <c r="AF742" s="264">
        <f>IF(NFI_Expiration=1,IF($A742&lt;VLOOKUP(O$5,NFI,5,0),1,0)*Table_NFI[[#This Row],[Clothes Kit]],Table_NFI[Clothes Kit])</f>
        <v>0</v>
      </c>
      <c r="AG742" s="264">
        <f>IF(NFI_Expiration=1,IF($A742&lt;VLOOKUP(P$5,NFI,5,0),1,0)*Table_NFI[[#This Row],[Plastic Bucket]],Table_NFI[Plastic Bucket])</f>
        <v>0</v>
      </c>
      <c r="AH742" s="264">
        <f>IF(NFI_Expiration=1,IF($A742&lt;VLOOKUP(Q$5,NFI,5,0),1,0)*Table_NFI[[#This Row],[Plastic Mat]],Table_NFI[Plastic Mat])*IF(Table_NFI[[#This Row],[Distribution Date]]&gt;"2014-04-01",1,2.5)</f>
        <v>0</v>
      </c>
      <c r="AI742" s="264">
        <f>IF(NFI_Expiration=1,IF($A742&lt;VLOOKUP(R$5,NFI,5,0),1,0)*Table_NFI[[#This Row],[Winter Clothes Adult]],Table_NFI[Winter Clothes Adult])</f>
        <v>0</v>
      </c>
      <c r="AJ742" s="264">
        <f>IF(NFI_Expiration=1,IF($A742&lt;VLOOKUP(S$5,NFI,5,0),1,0)*Table_NFI[[#This Row],[Winter Clothes Children]],Table_NFI[Winter Clothes Children])</f>
        <v>0</v>
      </c>
      <c r="AK742" s="264">
        <f>IF(NFI_Expiration=1,IF($A742&lt;VLOOKUP(T$5,NFI,5,0),1,0)*Table_NFI[[#This Row],[Winter Items Other]],Table_NFI[Winter Items Other])</f>
        <v>0</v>
      </c>
      <c r="AL742" s="264">
        <f>IF(NFI_Expiration=1,IF($A742&lt;VLOOKUP(M$5,NFI,5,0),1,0)*Table_NFI[[#This Row],[Winter Blanket]],Table_NFI[[#This Row],[Winter Blanket]])</f>
        <v>0</v>
      </c>
      <c r="AM742" s="264">
        <f>IF(Table_NFI[[#This Row],[Winter Clothes Adult]]+Table_NFI[[#This Row],[Winter Clothes Children]]+Table_NFI[[#This Row],[Winter Items Other]]+Table_NFI[[#This Row],[Winter Blanket]]&gt;0,1,0)</f>
        <v>0</v>
      </c>
      <c r="AN742" s="296">
        <f>IF(NFI_Expiration=1,IF($A742&lt;VLOOKUP(V$5,NFI,5,0),1,0)*Table_NFI[[#This Row],[Jerry Can]],Table_NFI[Jerry Can])</f>
        <v>0</v>
      </c>
      <c r="AO742" s="296">
        <f>IF(NFI_Expiration=1,IF($A742&lt;VLOOKUP(V$5,NFI,5,0),1,0)*Table_NFI[[#This Row],[Shelter Tool kit]],Table_NFI[Shelter Tool kit])</f>
        <v>0</v>
      </c>
      <c r="AP742" s="296">
        <f>IF(NFI_Expiration=1,IF($A742&lt;VLOOKUP(V$5,NFI,5,0),1,0)*Table_NFI[[#This Row],[Tent]],Table_NFI[Tent])</f>
        <v>0</v>
      </c>
      <c r="AQ742" s="396" t="str">
        <f>IFERROR(VLOOKUP(Table_NFI[[#This Row],[Camp Name]],CL,2,0),"")</f>
        <v>MMR001CMP071</v>
      </c>
      <c r="AR742" s="702">
        <f ca="1">IF(Table_NFI[[#This Row],[Pcode]]="","",IF(OFFSET(CampList[Opening Date],MATCH(Table_NFI[[#This Row],[Pcode]],CampList[CP_Pcode],0)-1,0,1,1)&gt;=NFI_Monitor_Date,1,0))</f>
        <v>0</v>
      </c>
      <c r="AS742" s="396" t="str">
        <f>IFERROR(VLOOKUP(Table_NFI[[#This Row],[Camp Name]],CL,3,0),"")</f>
        <v>Open</v>
      </c>
      <c r="AT742" s="264" t="str">
        <f ca="1">IF(Table_NFI[[#This Row],[Pcode]]="","",OFFSET(CampList[Priority],MATCH(Table_NFI[[#This Row],[Pcode]],CampList[CP_Pcode],0)-1,0,1,1))</f>
        <v>P3</v>
      </c>
      <c r="AU742" s="263">
        <f>IFERROR(Table_NFI[[#This Row],[Kitchen Set]]/VLOOKUP(Table_NFI[[#This Row],[Camp Name]],CL,4,0),"")</f>
        <v>9.7489641725566662E-5</v>
      </c>
      <c r="AV742" s="390" t="s">
        <v>1087</v>
      </c>
      <c r="AW742" s="392"/>
      <c r="AX742" s="399"/>
      <c r="AY742" s="399"/>
      <c r="AZ742" s="399"/>
      <c r="BA742" s="399"/>
      <c r="BB742" s="399"/>
      <c r="BC742" s="399"/>
      <c r="BD742" s="399"/>
      <c r="BE742" s="399"/>
      <c r="BF742" s="399"/>
      <c r="BG742" s="399"/>
      <c r="BH742" s="399"/>
      <c r="BI742" s="399"/>
      <c r="BJ742" s="399"/>
      <c r="BK742" s="399"/>
      <c r="BL742" s="399"/>
      <c r="BM742" s="399"/>
      <c r="BN742" s="399"/>
      <c r="BO742" s="399"/>
      <c r="BP742" s="399"/>
      <c r="BQ742" s="399"/>
      <c r="BR742" s="399"/>
      <c r="BS742" s="399"/>
      <c r="BT742" s="399"/>
      <c r="BU742" s="399"/>
      <c r="BV742" s="399"/>
      <c r="BW742" s="399"/>
      <c r="BX742" s="399"/>
      <c r="BY742" s="399"/>
      <c r="BZ742" s="399"/>
      <c r="CA742" s="399"/>
      <c r="CB742" s="399"/>
      <c r="CC742" s="399"/>
      <c r="CD742" s="399"/>
      <c r="CE742" s="399"/>
      <c r="CF742" s="399"/>
      <c r="CG742" s="399"/>
      <c r="CH742" s="399"/>
      <c r="CI742" s="399"/>
      <c r="CJ742" s="399"/>
      <c r="CK742" s="399"/>
      <c r="CL742" s="399"/>
      <c r="CM742" s="399"/>
      <c r="CN742" s="399"/>
      <c r="CO742" s="399"/>
      <c r="CP742" s="399"/>
      <c r="CQ742" s="399"/>
      <c r="CR742" s="399"/>
      <c r="CS742" s="399"/>
      <c r="CT742" s="399"/>
      <c r="CU742" s="399"/>
      <c r="CV742" s="399"/>
      <c r="CW742" s="399"/>
      <c r="CX742" s="399"/>
      <c r="CY742" s="399"/>
      <c r="CZ742" s="399"/>
      <c r="DA742" s="399"/>
      <c r="DB742" s="399"/>
      <c r="DC742" s="399"/>
      <c r="DD742" s="399"/>
      <c r="DE742" s="399"/>
      <c r="DF742" s="399"/>
      <c r="DG742" s="399"/>
      <c r="DH742" s="399"/>
      <c r="DI742" s="399"/>
      <c r="DJ742" s="399"/>
      <c r="DK742" s="399"/>
      <c r="DL742" s="399"/>
      <c r="DM742" s="399"/>
      <c r="DN742" s="399"/>
      <c r="DO742" s="399"/>
      <c r="DP742" s="399"/>
      <c r="DQ742" s="399"/>
    </row>
    <row r="743" spans="1:121" s="760" customFormat="1" ht="13.9" customHeight="1" x14ac:dyDescent="0.25">
      <c r="A743" s="266">
        <f t="shared" si="11"/>
        <v>47.266666666666666</v>
      </c>
      <c r="B743" s="389">
        <v>41438</v>
      </c>
      <c r="C743" s="390" t="s">
        <v>451</v>
      </c>
      <c r="D743" s="391" t="s">
        <v>451</v>
      </c>
      <c r="E743" s="390" t="s">
        <v>380</v>
      </c>
      <c r="F743" s="262" t="s">
        <v>185</v>
      </c>
      <c r="G743" s="262" t="s">
        <v>223</v>
      </c>
      <c r="H743" s="261"/>
      <c r="I743" s="261"/>
      <c r="J743" s="261">
        <v>425</v>
      </c>
      <c r="K743" s="261">
        <v>30</v>
      </c>
      <c r="L743" s="261">
        <v>11</v>
      </c>
      <c r="M743" s="261">
        <v>30</v>
      </c>
      <c r="N743" s="261">
        <v>11</v>
      </c>
      <c r="O743" s="261">
        <v>11</v>
      </c>
      <c r="P743" s="261">
        <v>11</v>
      </c>
      <c r="Q743" s="261">
        <v>11</v>
      </c>
      <c r="R743" s="261"/>
      <c r="S743" s="261"/>
      <c r="T743" s="261"/>
      <c r="U743" s="261"/>
      <c r="V743" s="762"/>
      <c r="W743" s="261"/>
      <c r="X743" s="261"/>
      <c r="Y743" s="264">
        <f>IF(NFI_Expiration=1,IF($A743&lt;VLOOKUP(H$5,NFI,5,0),1,0)*Table_NFI[[#This Row],[Hygiene Kit]],Table_NFI[Hygiene Kit])</f>
        <v>0</v>
      </c>
      <c r="Z743" s="264">
        <f>IF(NFI_Expiration=1,IF($A743&lt;VLOOKUP(I$5,NFI,5,0),1,0)*Table_NFI[[#This Row],[NFI Core Kit]],Table_NFI[NFI Core Kit])</f>
        <v>0</v>
      </c>
      <c r="AA743" s="264">
        <f>IF(NFI_Expiration=1,IF($A743&lt;VLOOKUP(J$5,NFI,5,0),1,0)*Table_NFI[[#This Row],[Sanitary Kit]],Table_NFI[Sanitary Kit])</f>
        <v>0</v>
      </c>
      <c r="AB743" s="264">
        <f>IF(NFI_Expiration=1,IF($A743&lt;VLOOKUP(K$5,NFI,5,0),1,0)*Table_NFI[[#This Row],[Mosquito net]],Table_NFI[Mosquito net])</f>
        <v>0</v>
      </c>
      <c r="AC743" s="264">
        <f>IF(NFI_Expiration=1,IF($A743&lt;VLOOKUP(L$5,NFI,5,0),1,0)*Table_NFI[[#This Row],[Tarpaulin]],Table_NFI[[#This Row],[Tarpaulin]])</f>
        <v>0</v>
      </c>
      <c r="AD743" s="264">
        <f>IF(NFI_Expiration=1,IF($A743&lt;VLOOKUP(M$5,NFI,5,0),1,0)*Table_NFI[[#This Row],[Blanket]],Table_NFI[[#This Row],[Blanket]])</f>
        <v>0</v>
      </c>
      <c r="AE743" s="264">
        <f>IF(NFI_Expiration=1,IF($A743&lt;VLOOKUP(N$5,NFI,5,0),1,0)*Table_NFI[[#This Row],[Kitchen Set]],Table_NFI[Kitchen Set])</f>
        <v>0</v>
      </c>
      <c r="AF743" s="264">
        <f>IF(NFI_Expiration=1,IF($A743&lt;VLOOKUP(O$5,NFI,5,0),1,0)*Table_NFI[[#This Row],[Clothes Kit]],Table_NFI[Clothes Kit])</f>
        <v>0</v>
      </c>
      <c r="AG743" s="264">
        <f>IF(NFI_Expiration=1,IF($A743&lt;VLOOKUP(P$5,NFI,5,0),1,0)*Table_NFI[[#This Row],[Plastic Bucket]],Table_NFI[Plastic Bucket])</f>
        <v>0</v>
      </c>
      <c r="AH743" s="264">
        <f>IF(NFI_Expiration=1,IF($A743&lt;VLOOKUP(Q$5,NFI,5,0),1,0)*Table_NFI[[#This Row],[Plastic Mat]],Table_NFI[Plastic Mat])*IF(Table_NFI[[#This Row],[Distribution Date]]&gt;"2014-04-01",1,2.5)</f>
        <v>0</v>
      </c>
      <c r="AI743" s="264">
        <f>IF(NFI_Expiration=1,IF($A743&lt;VLOOKUP(R$5,NFI,5,0),1,0)*Table_NFI[[#This Row],[Winter Clothes Adult]],Table_NFI[Winter Clothes Adult])</f>
        <v>0</v>
      </c>
      <c r="AJ743" s="264">
        <f>IF(NFI_Expiration=1,IF($A743&lt;VLOOKUP(S$5,NFI,5,0),1,0)*Table_NFI[[#This Row],[Winter Clothes Children]],Table_NFI[Winter Clothes Children])</f>
        <v>0</v>
      </c>
      <c r="AK743" s="264">
        <f>IF(NFI_Expiration=1,IF($A743&lt;VLOOKUP(T$5,NFI,5,0),1,0)*Table_NFI[[#This Row],[Winter Items Other]],Table_NFI[Winter Items Other])</f>
        <v>0</v>
      </c>
      <c r="AL743" s="264">
        <f>IF(NFI_Expiration=1,IF($A743&lt;VLOOKUP(M$5,NFI,5,0),1,0)*Table_NFI[[#This Row],[Winter Blanket]],Table_NFI[[#This Row],[Winter Blanket]])</f>
        <v>0</v>
      </c>
      <c r="AM743" s="264">
        <f>IF(Table_NFI[[#This Row],[Winter Clothes Adult]]+Table_NFI[[#This Row],[Winter Clothes Children]]+Table_NFI[[#This Row],[Winter Items Other]]+Table_NFI[[#This Row],[Winter Blanket]]&gt;0,1,0)</f>
        <v>0</v>
      </c>
      <c r="AN743" s="296">
        <f>IF(NFI_Expiration=1,IF($A743&lt;VLOOKUP(V$5,NFI,5,0),1,0)*Table_NFI[[#This Row],[Jerry Can]],Table_NFI[Jerry Can])</f>
        <v>0</v>
      </c>
      <c r="AO743" s="296">
        <f>IF(NFI_Expiration=1,IF($A743&lt;VLOOKUP(V$5,NFI,5,0),1,0)*Table_NFI[[#This Row],[Shelter Tool kit]],Table_NFI[Shelter Tool kit])</f>
        <v>0</v>
      </c>
      <c r="AP743" s="296">
        <f>IF(NFI_Expiration=1,IF($A743&lt;VLOOKUP(V$5,NFI,5,0),1,0)*Table_NFI[[#This Row],[Tent]],Table_NFI[Tent])</f>
        <v>0</v>
      </c>
      <c r="AQ743" s="396" t="str">
        <f>IFERROR(VLOOKUP(Table_NFI[[#This Row],[Camp Name]],CL,2,0),"")</f>
        <v>MMR001CMP069</v>
      </c>
      <c r="AR743" s="702">
        <f ca="1">IF(Table_NFI[[#This Row],[Pcode]]="","",IF(OFFSET(CampList[Opening Date],MATCH(Table_NFI[[#This Row],[Pcode]],CampList[CP_Pcode],0)-1,0,1,1)&gt;=NFI_Monitor_Date,1,0))</f>
        <v>0</v>
      </c>
      <c r="AS743" s="396" t="str">
        <f>IFERROR(VLOOKUP(Table_NFI[[#This Row],[Camp Name]],CL,3,0),"")</f>
        <v>Open</v>
      </c>
      <c r="AT743" s="264" t="str">
        <f ca="1">IF(Table_NFI[[#This Row],[Pcode]]="","",OFFSET(CampList[Priority],MATCH(Table_NFI[[#This Row],[Pcode]],CampList[CP_Pcode],0)-1,0,1,1))</f>
        <v>P3</v>
      </c>
      <c r="AU743" s="263">
        <f>IFERROR(Table_NFI[[#This Row],[Kitchen Set]]/VLOOKUP(Table_NFI[[#This Row],[Camp Name]],CL,4,0),"")</f>
        <v>2.6929103016059538E-4</v>
      </c>
      <c r="AV743" s="390" t="s">
        <v>1087</v>
      </c>
      <c r="AW743" s="392"/>
      <c r="AX743" s="399"/>
      <c r="AY743" s="399"/>
      <c r="AZ743" s="399"/>
      <c r="BA743" s="399"/>
      <c r="BB743" s="399"/>
      <c r="BC743" s="399"/>
      <c r="BD743" s="399"/>
      <c r="BE743" s="399"/>
      <c r="BF743" s="399"/>
      <c r="BG743" s="399"/>
      <c r="BH743" s="399"/>
      <c r="BI743" s="399"/>
      <c r="BJ743" s="399"/>
      <c r="BK743" s="399"/>
      <c r="BL743" s="399"/>
      <c r="BM743" s="399"/>
      <c r="BN743" s="399"/>
      <c r="BO743" s="399"/>
      <c r="BP743" s="399"/>
      <c r="BQ743" s="399"/>
      <c r="BR743" s="399"/>
      <c r="BS743" s="399"/>
      <c r="BT743" s="399"/>
      <c r="BU743" s="399"/>
      <c r="BV743" s="399"/>
      <c r="BW743" s="399"/>
      <c r="BX743" s="399"/>
      <c r="BY743" s="399"/>
      <c r="BZ743" s="399"/>
      <c r="CA743" s="399"/>
      <c r="CB743" s="399"/>
      <c r="CC743" s="399"/>
      <c r="CD743" s="399"/>
      <c r="CE743" s="399"/>
      <c r="CF743" s="399"/>
      <c r="CG743" s="399"/>
      <c r="CH743" s="399"/>
      <c r="CI743" s="399"/>
      <c r="CJ743" s="399"/>
      <c r="CK743" s="399"/>
      <c r="CL743" s="399"/>
      <c r="CM743" s="399"/>
      <c r="CN743" s="399"/>
      <c r="CO743" s="399"/>
      <c r="CP743" s="399"/>
      <c r="CQ743" s="399"/>
      <c r="CR743" s="399"/>
      <c r="CS743" s="399"/>
      <c r="CT743" s="399"/>
      <c r="CU743" s="399"/>
      <c r="CV743" s="399"/>
      <c r="CW743" s="399"/>
      <c r="CX743" s="399"/>
      <c r="CY743" s="399"/>
      <c r="CZ743" s="399"/>
      <c r="DA743" s="399"/>
      <c r="DB743" s="399"/>
      <c r="DC743" s="399"/>
      <c r="DD743" s="399"/>
      <c r="DE743" s="399"/>
      <c r="DF743" s="399"/>
      <c r="DG743" s="399"/>
      <c r="DH743" s="399"/>
      <c r="DI743" s="399"/>
      <c r="DJ743" s="399"/>
      <c r="DK743" s="399"/>
      <c r="DL743" s="399"/>
      <c r="DM743" s="399"/>
      <c r="DN743" s="399"/>
      <c r="DO743" s="399"/>
      <c r="DP743" s="399"/>
      <c r="DQ743" s="399"/>
    </row>
    <row r="744" spans="1:121" s="760" customFormat="1" ht="14.45" customHeight="1" x14ac:dyDescent="0.25">
      <c r="A744" s="266">
        <f t="shared" si="11"/>
        <v>47.266666666666666</v>
      </c>
      <c r="B744" s="389">
        <v>41438</v>
      </c>
      <c r="C744" s="390" t="s">
        <v>451</v>
      </c>
      <c r="D744" s="391" t="s">
        <v>451</v>
      </c>
      <c r="E744" s="390" t="s">
        <v>380</v>
      </c>
      <c r="F744" s="262" t="s">
        <v>185</v>
      </c>
      <c r="G744" s="262" t="s">
        <v>190</v>
      </c>
      <c r="H744" s="261"/>
      <c r="I744" s="261"/>
      <c r="J744" s="261">
        <v>941</v>
      </c>
      <c r="K744" s="261">
        <v>67</v>
      </c>
      <c r="L744" s="261">
        <v>24</v>
      </c>
      <c r="M744" s="261">
        <v>67</v>
      </c>
      <c r="N744" s="261">
        <v>24</v>
      </c>
      <c r="O744" s="261">
        <v>24</v>
      </c>
      <c r="P744" s="261">
        <v>24</v>
      </c>
      <c r="Q744" s="261">
        <v>24</v>
      </c>
      <c r="R744" s="261"/>
      <c r="S744" s="261"/>
      <c r="T744" s="261"/>
      <c r="U744" s="261"/>
      <c r="V744" s="762"/>
      <c r="W744" s="261"/>
      <c r="X744" s="261"/>
      <c r="Y744" s="264">
        <f>IF(NFI_Expiration=1,IF($A744&lt;VLOOKUP(H$5,NFI,5,0),1,0)*Table_NFI[[#This Row],[Hygiene Kit]],Table_NFI[Hygiene Kit])</f>
        <v>0</v>
      </c>
      <c r="Z744" s="264">
        <f>IF(NFI_Expiration=1,IF($A744&lt;VLOOKUP(I$5,NFI,5,0),1,0)*Table_NFI[[#This Row],[NFI Core Kit]],Table_NFI[NFI Core Kit])</f>
        <v>0</v>
      </c>
      <c r="AA744" s="264">
        <f>IF(NFI_Expiration=1,IF($A744&lt;VLOOKUP(J$5,NFI,5,0),1,0)*Table_NFI[[#This Row],[Sanitary Kit]],Table_NFI[Sanitary Kit])</f>
        <v>0</v>
      </c>
      <c r="AB744" s="264">
        <f>IF(NFI_Expiration=1,IF($A744&lt;VLOOKUP(K$5,NFI,5,0),1,0)*Table_NFI[[#This Row],[Mosquito net]],Table_NFI[Mosquito net])</f>
        <v>0</v>
      </c>
      <c r="AC744" s="264">
        <f>IF(NFI_Expiration=1,IF($A744&lt;VLOOKUP(L$5,NFI,5,0),1,0)*Table_NFI[[#This Row],[Tarpaulin]],Table_NFI[[#This Row],[Tarpaulin]])</f>
        <v>0</v>
      </c>
      <c r="AD744" s="264">
        <f>IF(NFI_Expiration=1,IF($A744&lt;VLOOKUP(M$5,NFI,5,0),1,0)*Table_NFI[[#This Row],[Blanket]],Table_NFI[[#This Row],[Blanket]])</f>
        <v>0</v>
      </c>
      <c r="AE744" s="264">
        <f>IF(NFI_Expiration=1,IF($A744&lt;VLOOKUP(N$5,NFI,5,0),1,0)*Table_NFI[[#This Row],[Kitchen Set]],Table_NFI[Kitchen Set])</f>
        <v>0</v>
      </c>
      <c r="AF744" s="264">
        <f>IF(NFI_Expiration=1,IF($A744&lt;VLOOKUP(O$5,NFI,5,0),1,0)*Table_NFI[[#This Row],[Clothes Kit]],Table_NFI[Clothes Kit])</f>
        <v>0</v>
      </c>
      <c r="AG744" s="264">
        <f>IF(NFI_Expiration=1,IF($A744&lt;VLOOKUP(P$5,NFI,5,0),1,0)*Table_NFI[[#This Row],[Plastic Bucket]],Table_NFI[Plastic Bucket])</f>
        <v>0</v>
      </c>
      <c r="AH744" s="264">
        <f>IF(NFI_Expiration=1,IF($A744&lt;VLOOKUP(Q$5,NFI,5,0),1,0)*Table_NFI[[#This Row],[Plastic Mat]],Table_NFI[Plastic Mat])*IF(Table_NFI[[#This Row],[Distribution Date]]&gt;"2014-04-01",1,2.5)</f>
        <v>0</v>
      </c>
      <c r="AI744" s="264">
        <f>IF(NFI_Expiration=1,IF($A744&lt;VLOOKUP(R$5,NFI,5,0),1,0)*Table_NFI[[#This Row],[Winter Clothes Adult]],Table_NFI[Winter Clothes Adult])</f>
        <v>0</v>
      </c>
      <c r="AJ744" s="264">
        <f>IF(NFI_Expiration=1,IF($A744&lt;VLOOKUP(S$5,NFI,5,0),1,0)*Table_NFI[[#This Row],[Winter Clothes Children]],Table_NFI[Winter Clothes Children])</f>
        <v>0</v>
      </c>
      <c r="AK744" s="264">
        <f>IF(NFI_Expiration=1,IF($A744&lt;VLOOKUP(T$5,NFI,5,0),1,0)*Table_NFI[[#This Row],[Winter Items Other]],Table_NFI[Winter Items Other])</f>
        <v>0</v>
      </c>
      <c r="AL744" s="264">
        <f>IF(NFI_Expiration=1,IF($A744&lt;VLOOKUP(M$5,NFI,5,0),1,0)*Table_NFI[[#This Row],[Winter Blanket]],Table_NFI[[#This Row],[Winter Blanket]])</f>
        <v>0</v>
      </c>
      <c r="AM744" s="264">
        <f>IF(Table_NFI[[#This Row],[Winter Clothes Adult]]+Table_NFI[[#This Row],[Winter Clothes Children]]+Table_NFI[[#This Row],[Winter Items Other]]+Table_NFI[[#This Row],[Winter Blanket]]&gt;0,1,0)</f>
        <v>0</v>
      </c>
      <c r="AN744" s="296">
        <f>IF(NFI_Expiration=1,IF($A744&lt;VLOOKUP(V$5,NFI,5,0),1,0)*Table_NFI[[#This Row],[Jerry Can]],Table_NFI[Jerry Can])</f>
        <v>0</v>
      </c>
      <c r="AO744" s="296">
        <f>IF(NFI_Expiration=1,IF($A744&lt;VLOOKUP(V$5,NFI,5,0),1,0)*Table_NFI[[#This Row],[Shelter Tool kit]],Table_NFI[Shelter Tool kit])</f>
        <v>0</v>
      </c>
      <c r="AP744" s="296">
        <f>IF(NFI_Expiration=1,IF($A744&lt;VLOOKUP(V$5,NFI,5,0),1,0)*Table_NFI[[#This Row],[Tent]],Table_NFI[Tent])</f>
        <v>0</v>
      </c>
      <c r="AQ744" s="396" t="str">
        <f>IFERROR(VLOOKUP(Table_NFI[[#This Row],[Camp Name]],CL,2,0),"")</f>
        <v>MMR001CMP070</v>
      </c>
      <c r="AR744" s="702">
        <f ca="1">IF(Table_NFI[[#This Row],[Pcode]]="","",IF(OFFSET(CampList[Opening Date],MATCH(Table_NFI[[#This Row],[Pcode]],CampList[CP_Pcode],0)-1,0,1,1)&gt;=NFI_Monitor_Date,1,0))</f>
        <v>0</v>
      </c>
      <c r="AS744" s="396" t="str">
        <f>IFERROR(VLOOKUP(Table_NFI[[#This Row],[Camp Name]],CL,3,0),"")</f>
        <v>Open</v>
      </c>
      <c r="AT744" s="264" t="str">
        <f ca="1">IF(Table_NFI[[#This Row],[Pcode]]="","",OFFSET(CampList[Priority],MATCH(Table_NFI[[#This Row],[Pcode]],CampList[CP_Pcode],0)-1,0,1,1))</f>
        <v>P3</v>
      </c>
      <c r="AU744" s="263">
        <f>IFERROR(Table_NFI[[#This Row],[Kitchen Set]]/VLOOKUP(Table_NFI[[#This Row],[Camp Name]],CL,4,0),"")</f>
        <v>5.8536585365853656E-4</v>
      </c>
      <c r="AV744" s="390" t="s">
        <v>1087</v>
      </c>
      <c r="AW744" s="392"/>
      <c r="AX744" s="399"/>
      <c r="AY744" s="399"/>
      <c r="AZ744" s="399"/>
      <c r="BA744" s="399"/>
      <c r="BB744" s="399"/>
      <c r="BC744" s="399"/>
      <c r="BD744" s="399"/>
      <c r="BE744" s="399"/>
      <c r="BF744" s="399"/>
      <c r="BG744" s="399"/>
      <c r="BH744" s="399"/>
      <c r="BI744" s="399"/>
      <c r="BJ744" s="399"/>
      <c r="BK744" s="399"/>
      <c r="BL744" s="399"/>
      <c r="BM744" s="399"/>
      <c r="BN744" s="399"/>
      <c r="BO744" s="399"/>
      <c r="BP744" s="399"/>
      <c r="BQ744" s="399"/>
      <c r="BR744" s="399"/>
      <c r="BS744" s="399"/>
      <c r="BT744" s="399"/>
      <c r="BU744" s="399"/>
      <c r="BV744" s="399"/>
      <c r="BW744" s="399"/>
      <c r="BX744" s="399"/>
      <c r="BY744" s="399"/>
      <c r="BZ744" s="399"/>
      <c r="CA744" s="399"/>
      <c r="CB744" s="399"/>
      <c r="CC744" s="399"/>
      <c r="CD744" s="399"/>
      <c r="CE744" s="399"/>
      <c r="CF744" s="399"/>
      <c r="CG744" s="399"/>
      <c r="CH744" s="399"/>
      <c r="CI744" s="399"/>
      <c r="CJ744" s="399"/>
      <c r="CK744" s="399"/>
      <c r="CL744" s="399"/>
      <c r="CM744" s="399"/>
      <c r="CN744" s="399"/>
      <c r="CO744" s="399"/>
      <c r="CP744" s="399"/>
      <c r="CQ744" s="399"/>
      <c r="CR744" s="399"/>
      <c r="CS744" s="399"/>
      <c r="CT744" s="399"/>
      <c r="CU744" s="399"/>
      <c r="CV744" s="399"/>
      <c r="CW744" s="399"/>
      <c r="CX744" s="399"/>
      <c r="CY744" s="399"/>
      <c r="CZ744" s="399"/>
      <c r="DA744" s="399"/>
      <c r="DB744" s="399"/>
      <c r="DC744" s="399"/>
      <c r="DD744" s="399"/>
      <c r="DE744" s="399"/>
      <c r="DF744" s="399"/>
      <c r="DG744" s="399"/>
      <c r="DH744" s="399"/>
      <c r="DI744" s="399"/>
      <c r="DJ744" s="399"/>
      <c r="DK744" s="399"/>
      <c r="DL744" s="399"/>
      <c r="DM744" s="399"/>
      <c r="DN744" s="399"/>
      <c r="DO744" s="399"/>
      <c r="DP744" s="399"/>
      <c r="DQ744" s="399"/>
    </row>
    <row r="745" spans="1:121" s="760" customFormat="1" ht="15" customHeight="1" x14ac:dyDescent="0.25">
      <c r="A745" s="266">
        <f t="shared" si="11"/>
        <v>48</v>
      </c>
      <c r="B745" s="389">
        <v>41416</v>
      </c>
      <c r="C745" s="390" t="s">
        <v>900</v>
      </c>
      <c r="D745" s="391" t="s">
        <v>505</v>
      </c>
      <c r="E745" s="390" t="s">
        <v>380</v>
      </c>
      <c r="F745" s="262" t="s">
        <v>27</v>
      </c>
      <c r="G745" s="262" t="s">
        <v>28</v>
      </c>
      <c r="H745" s="261">
        <v>510</v>
      </c>
      <c r="I745" s="261"/>
      <c r="J745" s="261"/>
      <c r="K745" s="261"/>
      <c r="L745" s="261"/>
      <c r="M745" s="261"/>
      <c r="N745" s="261"/>
      <c r="O745" s="261"/>
      <c r="P745" s="261"/>
      <c r="Q745" s="261"/>
      <c r="R745" s="261"/>
      <c r="S745" s="261"/>
      <c r="T745" s="261"/>
      <c r="U745" s="261"/>
      <c r="V745" s="762"/>
      <c r="W745" s="261"/>
      <c r="X745" s="261"/>
      <c r="Y745" s="264">
        <f>IF(NFI_Expiration=1,IF($A745&lt;VLOOKUP(H$5,NFI,5,0),1,0)*Table_NFI[[#This Row],[Hygiene Kit]],Table_NFI[Hygiene Kit])</f>
        <v>0</v>
      </c>
      <c r="Z745" s="264">
        <f>IF(NFI_Expiration=1,IF($A745&lt;VLOOKUP(I$5,NFI,5,0),1,0)*Table_NFI[[#This Row],[NFI Core Kit]],Table_NFI[NFI Core Kit])</f>
        <v>0</v>
      </c>
      <c r="AA745" s="264">
        <f>IF(NFI_Expiration=1,IF($A745&lt;VLOOKUP(J$5,NFI,5,0),1,0)*Table_NFI[[#This Row],[Sanitary Kit]],Table_NFI[Sanitary Kit])</f>
        <v>0</v>
      </c>
      <c r="AB745" s="264">
        <f>IF(NFI_Expiration=1,IF($A745&lt;VLOOKUP(K$5,NFI,5,0),1,0)*Table_NFI[[#This Row],[Mosquito net]],Table_NFI[Mosquito net])</f>
        <v>0</v>
      </c>
      <c r="AC745" s="264">
        <f>IF(NFI_Expiration=1,IF($A745&lt;VLOOKUP(L$5,NFI,5,0),1,0)*Table_NFI[[#This Row],[Tarpaulin]],Table_NFI[[#This Row],[Tarpaulin]])</f>
        <v>0</v>
      </c>
      <c r="AD745" s="264">
        <f>IF(NFI_Expiration=1,IF($A745&lt;VLOOKUP(M$5,NFI,5,0),1,0)*Table_NFI[[#This Row],[Blanket]],Table_NFI[[#This Row],[Blanket]])</f>
        <v>0</v>
      </c>
      <c r="AE745" s="264">
        <f>IF(NFI_Expiration=1,IF($A745&lt;VLOOKUP(N$5,NFI,5,0),1,0)*Table_NFI[[#This Row],[Kitchen Set]],Table_NFI[Kitchen Set])</f>
        <v>0</v>
      </c>
      <c r="AF745" s="264">
        <f>IF(NFI_Expiration=1,IF($A745&lt;VLOOKUP(O$5,NFI,5,0),1,0)*Table_NFI[[#This Row],[Clothes Kit]],Table_NFI[Clothes Kit])</f>
        <v>0</v>
      </c>
      <c r="AG745" s="264">
        <f>IF(NFI_Expiration=1,IF($A745&lt;VLOOKUP(P$5,NFI,5,0),1,0)*Table_NFI[[#This Row],[Plastic Bucket]],Table_NFI[Plastic Bucket])</f>
        <v>0</v>
      </c>
      <c r="AH745" s="264">
        <f>IF(NFI_Expiration=1,IF($A745&lt;VLOOKUP(Q$5,NFI,5,0),1,0)*Table_NFI[[#This Row],[Plastic Mat]],Table_NFI[Plastic Mat])*IF(Table_NFI[[#This Row],[Distribution Date]]&gt;"2014-04-01",1,2.5)</f>
        <v>0</v>
      </c>
      <c r="AI745" s="264">
        <f>IF(NFI_Expiration=1,IF($A745&lt;VLOOKUP(R$5,NFI,5,0),1,0)*Table_NFI[[#This Row],[Winter Clothes Adult]],Table_NFI[Winter Clothes Adult])</f>
        <v>0</v>
      </c>
      <c r="AJ745" s="264">
        <f>IF(NFI_Expiration=1,IF($A745&lt;VLOOKUP(S$5,NFI,5,0),1,0)*Table_NFI[[#This Row],[Winter Clothes Children]],Table_NFI[Winter Clothes Children])</f>
        <v>0</v>
      </c>
      <c r="AK745" s="264">
        <f>IF(NFI_Expiration=1,IF($A745&lt;VLOOKUP(T$5,NFI,5,0),1,0)*Table_NFI[[#This Row],[Winter Items Other]],Table_NFI[Winter Items Other])</f>
        <v>0</v>
      </c>
      <c r="AL745" s="264">
        <f>IF(NFI_Expiration=1,IF($A745&lt;VLOOKUP(M$5,NFI,5,0),1,0)*Table_NFI[[#This Row],[Winter Blanket]],Table_NFI[[#This Row],[Winter Blanket]])</f>
        <v>0</v>
      </c>
      <c r="AM745" s="264">
        <f>IF(Table_NFI[[#This Row],[Winter Clothes Adult]]+Table_NFI[[#This Row],[Winter Clothes Children]]+Table_NFI[[#This Row],[Winter Items Other]]+Table_NFI[[#This Row],[Winter Blanket]]&gt;0,1,0)</f>
        <v>0</v>
      </c>
      <c r="AN745" s="296">
        <f>IF(NFI_Expiration=1,IF($A745&lt;VLOOKUP(V$5,NFI,5,0),1,0)*Table_NFI[[#This Row],[Jerry Can]],Table_NFI[Jerry Can])</f>
        <v>0</v>
      </c>
      <c r="AO745" s="296">
        <f>IF(NFI_Expiration=1,IF($A745&lt;VLOOKUP(V$5,NFI,5,0),1,0)*Table_NFI[[#This Row],[Shelter Tool kit]],Table_NFI[Shelter Tool kit])</f>
        <v>0</v>
      </c>
      <c r="AP745" s="296">
        <f>IF(NFI_Expiration=1,IF($A745&lt;VLOOKUP(V$5,NFI,5,0),1,0)*Table_NFI[[#This Row],[Tent]],Table_NFI[Tent])</f>
        <v>0</v>
      </c>
      <c r="AQ745" s="396" t="str">
        <f>IFERROR(VLOOKUP(Table_NFI[[#This Row],[Camp Name]],CL,2,0),"")</f>
        <v>MMR001CMP042</v>
      </c>
      <c r="AR745" s="702">
        <f ca="1">IF(Table_NFI[[#This Row],[Pcode]]="","",IF(OFFSET(CampList[Opening Date],MATCH(Table_NFI[[#This Row],[Pcode]],CampList[CP_Pcode],0)-1,0,1,1)&gt;=NFI_Monitor_Date,1,0))</f>
        <v>0</v>
      </c>
      <c r="AS745" s="396" t="str">
        <f>IFERROR(VLOOKUP(Table_NFI[[#This Row],[Camp Name]],CL,3,0),"")</f>
        <v>Open</v>
      </c>
      <c r="AT745" s="264" t="str">
        <f ca="1">IF(Table_NFI[[#This Row],[Pcode]]="","",OFFSET(CampList[Priority],MATCH(Table_NFI[[#This Row],[Pcode]],CampList[CP_Pcode],0)-1,0,1,1))</f>
        <v>P1</v>
      </c>
      <c r="AU745" s="263">
        <f>IFERROR(Table_NFI[[#This Row],[Kitchen Set]]/VLOOKUP(Table_NFI[[#This Row],[Camp Name]],CL,4,0),"")</f>
        <v>0</v>
      </c>
      <c r="AV745" s="390" t="s">
        <v>1087</v>
      </c>
      <c r="AW745" s="392"/>
      <c r="AX745" s="399"/>
      <c r="AY745" s="399"/>
      <c r="AZ745" s="399"/>
      <c r="BA745" s="399"/>
      <c r="BB745" s="399"/>
      <c r="BC745" s="399"/>
      <c r="BD745" s="399"/>
      <c r="BE745" s="399"/>
      <c r="BF745" s="399"/>
      <c r="BG745" s="399"/>
      <c r="BH745" s="399"/>
      <c r="BI745" s="399"/>
      <c r="BJ745" s="399"/>
      <c r="BK745" s="399"/>
      <c r="BL745" s="399"/>
      <c r="BM745" s="399"/>
      <c r="BN745" s="399"/>
      <c r="BO745" s="399"/>
      <c r="BP745" s="399"/>
      <c r="BQ745" s="399"/>
      <c r="BR745" s="399"/>
      <c r="BS745" s="399"/>
      <c r="BT745" s="399"/>
      <c r="BU745" s="399"/>
      <c r="BV745" s="399"/>
      <c r="BW745" s="399"/>
      <c r="BX745" s="399"/>
      <c r="BY745" s="399"/>
      <c r="BZ745" s="399"/>
      <c r="CA745" s="399"/>
      <c r="CB745" s="399"/>
      <c r="CC745" s="399"/>
      <c r="CD745" s="399"/>
      <c r="CE745" s="399"/>
      <c r="CF745" s="399"/>
      <c r="CG745" s="399"/>
      <c r="CH745" s="399"/>
      <c r="CI745" s="399"/>
      <c r="CJ745" s="399"/>
      <c r="CK745" s="399"/>
      <c r="CL745" s="399"/>
      <c r="CM745" s="399"/>
      <c r="CN745" s="399"/>
      <c r="CO745" s="399"/>
      <c r="CP745" s="399"/>
      <c r="CQ745" s="399"/>
      <c r="CR745" s="399"/>
      <c r="CS745" s="399"/>
      <c r="CT745" s="399"/>
      <c r="CU745" s="399"/>
      <c r="CV745" s="399"/>
      <c r="CW745" s="399"/>
      <c r="CX745" s="399"/>
      <c r="CY745" s="399"/>
      <c r="CZ745" s="399"/>
      <c r="DA745" s="399"/>
      <c r="DB745" s="399"/>
      <c r="DC745" s="399"/>
      <c r="DD745" s="399"/>
      <c r="DE745" s="399"/>
      <c r="DF745" s="399"/>
      <c r="DG745" s="399"/>
      <c r="DH745" s="399"/>
      <c r="DI745" s="399"/>
      <c r="DJ745" s="399"/>
      <c r="DK745" s="399"/>
      <c r="DL745" s="399"/>
      <c r="DM745" s="399"/>
      <c r="DN745" s="399"/>
      <c r="DO745" s="399"/>
      <c r="DP745" s="399"/>
      <c r="DQ745" s="399"/>
    </row>
    <row r="746" spans="1:121" s="760" customFormat="1" ht="14.45" customHeight="1" x14ac:dyDescent="0.25">
      <c r="A746" s="266">
        <f t="shared" si="11"/>
        <v>48</v>
      </c>
      <c r="B746" s="389">
        <v>41416</v>
      </c>
      <c r="C746" s="390" t="s">
        <v>451</v>
      </c>
      <c r="D746" s="391" t="s">
        <v>451</v>
      </c>
      <c r="E746" s="390" t="s">
        <v>380</v>
      </c>
      <c r="F746" s="262" t="s">
        <v>27</v>
      </c>
      <c r="G746" s="262" t="s">
        <v>28</v>
      </c>
      <c r="H746" s="261"/>
      <c r="I746" s="261"/>
      <c r="J746" s="261">
        <v>80</v>
      </c>
      <c r="K746" s="261">
        <v>84</v>
      </c>
      <c r="L746" s="261">
        <v>41</v>
      </c>
      <c r="M746" s="261">
        <v>84</v>
      </c>
      <c r="N746" s="261">
        <v>41</v>
      </c>
      <c r="O746" s="261">
        <v>41</v>
      </c>
      <c r="P746" s="261">
        <v>41</v>
      </c>
      <c r="Q746" s="261">
        <v>41</v>
      </c>
      <c r="R746" s="261"/>
      <c r="S746" s="261"/>
      <c r="T746" s="261"/>
      <c r="U746" s="261"/>
      <c r="V746" s="762"/>
      <c r="W746" s="261"/>
      <c r="X746" s="261"/>
      <c r="Y746" s="264">
        <f>IF(NFI_Expiration=1,IF($A746&lt;VLOOKUP(H$5,NFI,5,0),1,0)*Table_NFI[[#This Row],[Hygiene Kit]],Table_NFI[Hygiene Kit])</f>
        <v>0</v>
      </c>
      <c r="Z746" s="264">
        <f>IF(NFI_Expiration=1,IF($A746&lt;VLOOKUP(I$5,NFI,5,0),1,0)*Table_NFI[[#This Row],[NFI Core Kit]],Table_NFI[NFI Core Kit])</f>
        <v>0</v>
      </c>
      <c r="AA746" s="264">
        <f>IF(NFI_Expiration=1,IF($A746&lt;VLOOKUP(J$5,NFI,5,0),1,0)*Table_NFI[[#This Row],[Sanitary Kit]],Table_NFI[Sanitary Kit])</f>
        <v>0</v>
      </c>
      <c r="AB746" s="264">
        <f>IF(NFI_Expiration=1,IF($A746&lt;VLOOKUP(K$5,NFI,5,0),1,0)*Table_NFI[[#This Row],[Mosquito net]],Table_NFI[Mosquito net])</f>
        <v>0</v>
      </c>
      <c r="AC746" s="264">
        <f>IF(NFI_Expiration=1,IF($A746&lt;VLOOKUP(L$5,NFI,5,0),1,0)*Table_NFI[[#This Row],[Tarpaulin]],Table_NFI[[#This Row],[Tarpaulin]])</f>
        <v>0</v>
      </c>
      <c r="AD746" s="264">
        <f>IF(NFI_Expiration=1,IF($A746&lt;VLOOKUP(M$5,NFI,5,0),1,0)*Table_NFI[[#This Row],[Blanket]],Table_NFI[[#This Row],[Blanket]])</f>
        <v>0</v>
      </c>
      <c r="AE746" s="264">
        <f>IF(NFI_Expiration=1,IF($A746&lt;VLOOKUP(N$5,NFI,5,0),1,0)*Table_NFI[[#This Row],[Kitchen Set]],Table_NFI[Kitchen Set])</f>
        <v>0</v>
      </c>
      <c r="AF746" s="264">
        <f>IF(NFI_Expiration=1,IF($A746&lt;VLOOKUP(O$5,NFI,5,0),1,0)*Table_NFI[[#This Row],[Clothes Kit]],Table_NFI[Clothes Kit])</f>
        <v>0</v>
      </c>
      <c r="AG746" s="264">
        <f>IF(NFI_Expiration=1,IF($A746&lt;VLOOKUP(P$5,NFI,5,0),1,0)*Table_NFI[[#This Row],[Plastic Bucket]],Table_NFI[Plastic Bucket])</f>
        <v>0</v>
      </c>
      <c r="AH746" s="264">
        <f>IF(NFI_Expiration=1,IF($A746&lt;VLOOKUP(Q$5,NFI,5,0),1,0)*Table_NFI[[#This Row],[Plastic Mat]],Table_NFI[Plastic Mat])*IF(Table_NFI[[#This Row],[Distribution Date]]&gt;"2014-04-01",1,2.5)</f>
        <v>0</v>
      </c>
      <c r="AI746" s="264">
        <f>IF(NFI_Expiration=1,IF($A746&lt;VLOOKUP(R$5,NFI,5,0),1,0)*Table_NFI[[#This Row],[Winter Clothes Adult]],Table_NFI[Winter Clothes Adult])</f>
        <v>0</v>
      </c>
      <c r="AJ746" s="264">
        <f>IF(NFI_Expiration=1,IF($A746&lt;VLOOKUP(S$5,NFI,5,0),1,0)*Table_NFI[[#This Row],[Winter Clothes Children]],Table_NFI[Winter Clothes Children])</f>
        <v>0</v>
      </c>
      <c r="AK746" s="264">
        <f>IF(NFI_Expiration=1,IF($A746&lt;VLOOKUP(T$5,NFI,5,0),1,0)*Table_NFI[[#This Row],[Winter Items Other]],Table_NFI[Winter Items Other])</f>
        <v>0</v>
      </c>
      <c r="AL746" s="264">
        <f>IF(NFI_Expiration=1,IF($A746&lt;VLOOKUP(M$5,NFI,5,0),1,0)*Table_NFI[[#This Row],[Winter Blanket]],Table_NFI[[#This Row],[Winter Blanket]])</f>
        <v>0</v>
      </c>
      <c r="AM746" s="264">
        <f>IF(Table_NFI[[#This Row],[Winter Clothes Adult]]+Table_NFI[[#This Row],[Winter Clothes Children]]+Table_NFI[[#This Row],[Winter Items Other]]+Table_NFI[[#This Row],[Winter Blanket]]&gt;0,1,0)</f>
        <v>0</v>
      </c>
      <c r="AN746" s="296">
        <f>IF(NFI_Expiration=1,IF($A746&lt;VLOOKUP(V$5,NFI,5,0),1,0)*Table_NFI[[#This Row],[Jerry Can]],Table_NFI[Jerry Can])</f>
        <v>0</v>
      </c>
      <c r="AO746" s="296">
        <f>IF(NFI_Expiration=1,IF($A746&lt;VLOOKUP(V$5,NFI,5,0),1,0)*Table_NFI[[#This Row],[Shelter Tool kit]],Table_NFI[Shelter Tool kit])</f>
        <v>0</v>
      </c>
      <c r="AP746" s="296">
        <f>IF(NFI_Expiration=1,IF($A746&lt;VLOOKUP(V$5,NFI,5,0),1,0)*Table_NFI[[#This Row],[Tent]],Table_NFI[Tent])</f>
        <v>0</v>
      </c>
      <c r="AQ746" s="396" t="str">
        <f>IFERROR(VLOOKUP(Table_NFI[[#This Row],[Camp Name]],CL,2,0),"")</f>
        <v>MMR001CMP042</v>
      </c>
      <c r="AR746" s="702">
        <f ca="1">IF(Table_NFI[[#This Row],[Pcode]]="","",IF(OFFSET(CampList[Opening Date],MATCH(Table_NFI[[#This Row],[Pcode]],CampList[CP_Pcode],0)-1,0,1,1)&gt;=NFI_Monitor_Date,1,0))</f>
        <v>0</v>
      </c>
      <c r="AS746" s="396" t="str">
        <f>IFERROR(VLOOKUP(Table_NFI[[#This Row],[Camp Name]],CL,3,0),"")</f>
        <v>Open</v>
      </c>
      <c r="AT746" s="264" t="str">
        <f ca="1">IF(Table_NFI[[#This Row],[Pcode]]="","",OFFSET(CampList[Priority],MATCH(Table_NFI[[#This Row],[Pcode]],CampList[CP_Pcode],0)-1,0,1,1))</f>
        <v>P1</v>
      </c>
      <c r="AU746" s="263">
        <f>IFERROR(Table_NFI[[#This Row],[Kitchen Set]]/VLOOKUP(Table_NFI[[#This Row],[Camp Name]],CL,4,0),"")</f>
        <v>9.9408398797400837E-4</v>
      </c>
      <c r="AV746" s="390" t="s">
        <v>1087</v>
      </c>
      <c r="AW746" s="392"/>
      <c r="AX746" s="399"/>
      <c r="AY746" s="399"/>
      <c r="AZ746" s="399"/>
      <c r="BA746" s="399"/>
      <c r="BB746" s="399"/>
      <c r="BC746" s="399"/>
      <c r="BD746" s="399"/>
      <c r="BE746" s="399"/>
      <c r="BF746" s="399"/>
      <c r="BG746" s="399"/>
      <c r="BH746" s="399"/>
      <c r="BI746" s="399"/>
      <c r="BJ746" s="399"/>
      <c r="BK746" s="399"/>
      <c r="BL746" s="399"/>
      <c r="BM746" s="399"/>
      <c r="BN746" s="399"/>
      <c r="BO746" s="399"/>
      <c r="BP746" s="399"/>
      <c r="BQ746" s="399"/>
      <c r="BR746" s="399"/>
      <c r="BS746" s="399"/>
      <c r="BT746" s="399"/>
      <c r="BU746" s="399"/>
      <c r="BV746" s="399"/>
      <c r="BW746" s="399"/>
      <c r="BX746" s="399"/>
      <c r="BY746" s="399"/>
      <c r="BZ746" s="399"/>
      <c r="CA746" s="399"/>
      <c r="CB746" s="399"/>
      <c r="CC746" s="399"/>
      <c r="CD746" s="399"/>
      <c r="CE746" s="399"/>
      <c r="CF746" s="399"/>
      <c r="CG746" s="399"/>
      <c r="CH746" s="399"/>
      <c r="CI746" s="399"/>
      <c r="CJ746" s="399"/>
      <c r="CK746" s="399"/>
      <c r="CL746" s="399"/>
      <c r="CM746" s="399"/>
      <c r="CN746" s="399"/>
      <c r="CO746" s="399"/>
      <c r="CP746" s="399"/>
      <c r="CQ746" s="399"/>
      <c r="CR746" s="399"/>
      <c r="CS746" s="399"/>
      <c r="CT746" s="399"/>
      <c r="CU746" s="399"/>
      <c r="CV746" s="399"/>
      <c r="CW746" s="399"/>
      <c r="CX746" s="399"/>
      <c r="CY746" s="399"/>
      <c r="CZ746" s="399"/>
      <c r="DA746" s="399"/>
      <c r="DB746" s="399"/>
      <c r="DC746" s="399"/>
      <c r="DD746" s="399"/>
      <c r="DE746" s="399"/>
      <c r="DF746" s="399"/>
      <c r="DG746" s="399"/>
      <c r="DH746" s="399"/>
      <c r="DI746" s="399"/>
      <c r="DJ746" s="399"/>
      <c r="DK746" s="399"/>
      <c r="DL746" s="399"/>
      <c r="DM746" s="399"/>
      <c r="DN746" s="399"/>
      <c r="DO746" s="399"/>
      <c r="DP746" s="399"/>
      <c r="DQ746" s="399"/>
    </row>
    <row r="747" spans="1:121" s="760" customFormat="1" ht="14.45" customHeight="1" x14ac:dyDescent="0.25">
      <c r="A747" s="266">
        <f t="shared" si="11"/>
        <v>48</v>
      </c>
      <c r="B747" s="389">
        <v>41416</v>
      </c>
      <c r="C747" s="390" t="s">
        <v>900</v>
      </c>
      <c r="D747" s="391" t="s">
        <v>505</v>
      </c>
      <c r="E747" s="390" t="s">
        <v>380</v>
      </c>
      <c r="F747" s="262" t="s">
        <v>27</v>
      </c>
      <c r="G747" s="262" t="s">
        <v>365</v>
      </c>
      <c r="H747" s="261">
        <v>35</v>
      </c>
      <c r="I747" s="261"/>
      <c r="J747" s="261"/>
      <c r="K747" s="261"/>
      <c r="L747" s="261"/>
      <c r="M747" s="261"/>
      <c r="N747" s="261"/>
      <c r="O747" s="261"/>
      <c r="P747" s="261"/>
      <c r="Q747" s="261"/>
      <c r="R747" s="261"/>
      <c r="S747" s="261"/>
      <c r="T747" s="261"/>
      <c r="U747" s="261"/>
      <c r="V747" s="762"/>
      <c r="W747" s="261"/>
      <c r="X747" s="261"/>
      <c r="Y747" s="264">
        <f>IF(NFI_Expiration=1,IF($A747&lt;VLOOKUP(H$5,NFI,5,0),1,0)*Table_NFI[[#This Row],[Hygiene Kit]],Table_NFI[Hygiene Kit])</f>
        <v>0</v>
      </c>
      <c r="Z747" s="264">
        <f>IF(NFI_Expiration=1,IF($A747&lt;VLOOKUP(I$5,NFI,5,0),1,0)*Table_NFI[[#This Row],[NFI Core Kit]],Table_NFI[NFI Core Kit])</f>
        <v>0</v>
      </c>
      <c r="AA747" s="264">
        <f>IF(NFI_Expiration=1,IF($A747&lt;VLOOKUP(J$5,NFI,5,0),1,0)*Table_NFI[[#This Row],[Sanitary Kit]],Table_NFI[Sanitary Kit])</f>
        <v>0</v>
      </c>
      <c r="AB747" s="264">
        <f>IF(NFI_Expiration=1,IF($A747&lt;VLOOKUP(K$5,NFI,5,0),1,0)*Table_NFI[[#This Row],[Mosquito net]],Table_NFI[Mosquito net])</f>
        <v>0</v>
      </c>
      <c r="AC747" s="264">
        <f>IF(NFI_Expiration=1,IF($A747&lt;VLOOKUP(L$5,NFI,5,0),1,0)*Table_NFI[[#This Row],[Tarpaulin]],Table_NFI[[#This Row],[Tarpaulin]])</f>
        <v>0</v>
      </c>
      <c r="AD747" s="264">
        <f>IF(NFI_Expiration=1,IF($A747&lt;VLOOKUP(M$5,NFI,5,0),1,0)*Table_NFI[[#This Row],[Blanket]],Table_NFI[[#This Row],[Blanket]])</f>
        <v>0</v>
      </c>
      <c r="AE747" s="264">
        <f>IF(NFI_Expiration=1,IF($A747&lt;VLOOKUP(N$5,NFI,5,0),1,0)*Table_NFI[[#This Row],[Kitchen Set]],Table_NFI[Kitchen Set])</f>
        <v>0</v>
      </c>
      <c r="AF747" s="264">
        <f>IF(NFI_Expiration=1,IF($A747&lt;VLOOKUP(O$5,NFI,5,0),1,0)*Table_NFI[[#This Row],[Clothes Kit]],Table_NFI[Clothes Kit])</f>
        <v>0</v>
      </c>
      <c r="AG747" s="264">
        <f>IF(NFI_Expiration=1,IF($A747&lt;VLOOKUP(P$5,NFI,5,0),1,0)*Table_NFI[[#This Row],[Plastic Bucket]],Table_NFI[Plastic Bucket])</f>
        <v>0</v>
      </c>
      <c r="AH747" s="264">
        <f>IF(NFI_Expiration=1,IF($A747&lt;VLOOKUP(Q$5,NFI,5,0),1,0)*Table_NFI[[#This Row],[Plastic Mat]],Table_NFI[Plastic Mat])*IF(Table_NFI[[#This Row],[Distribution Date]]&gt;"2014-04-01",1,2.5)</f>
        <v>0</v>
      </c>
      <c r="AI747" s="264">
        <f>IF(NFI_Expiration=1,IF($A747&lt;VLOOKUP(R$5,NFI,5,0),1,0)*Table_NFI[[#This Row],[Winter Clothes Adult]],Table_NFI[Winter Clothes Adult])</f>
        <v>0</v>
      </c>
      <c r="AJ747" s="264">
        <f>IF(NFI_Expiration=1,IF($A747&lt;VLOOKUP(S$5,NFI,5,0),1,0)*Table_NFI[[#This Row],[Winter Clothes Children]],Table_NFI[Winter Clothes Children])</f>
        <v>0</v>
      </c>
      <c r="AK747" s="264">
        <f>IF(NFI_Expiration=1,IF($A747&lt;VLOOKUP(T$5,NFI,5,0),1,0)*Table_NFI[[#This Row],[Winter Items Other]],Table_NFI[Winter Items Other])</f>
        <v>0</v>
      </c>
      <c r="AL747" s="264">
        <f>IF(NFI_Expiration=1,IF($A747&lt;VLOOKUP(M$5,NFI,5,0),1,0)*Table_NFI[[#This Row],[Winter Blanket]],Table_NFI[[#This Row],[Winter Blanket]])</f>
        <v>0</v>
      </c>
      <c r="AM747" s="264">
        <f>IF(Table_NFI[[#This Row],[Winter Clothes Adult]]+Table_NFI[[#This Row],[Winter Clothes Children]]+Table_NFI[[#This Row],[Winter Items Other]]+Table_NFI[[#This Row],[Winter Blanket]]&gt;0,1,0)</f>
        <v>0</v>
      </c>
      <c r="AN747" s="296">
        <f>IF(NFI_Expiration=1,IF($A747&lt;VLOOKUP(V$5,NFI,5,0),1,0)*Table_NFI[[#This Row],[Jerry Can]],Table_NFI[Jerry Can])</f>
        <v>0</v>
      </c>
      <c r="AO747" s="296">
        <f>IF(NFI_Expiration=1,IF($A747&lt;VLOOKUP(V$5,NFI,5,0),1,0)*Table_NFI[[#This Row],[Shelter Tool kit]],Table_NFI[Shelter Tool kit])</f>
        <v>0</v>
      </c>
      <c r="AP747" s="296">
        <f>IF(NFI_Expiration=1,IF($A747&lt;VLOOKUP(V$5,NFI,5,0),1,0)*Table_NFI[[#This Row],[Tent]],Table_NFI[Tent])</f>
        <v>0</v>
      </c>
      <c r="AQ747" s="396" t="str">
        <f>IFERROR(VLOOKUP(Table_NFI[[#This Row],[Camp Name]],CL,2,0),"")</f>
        <v>MMR001CMP195</v>
      </c>
      <c r="AR747" s="702">
        <f ca="1">IF(Table_NFI[[#This Row],[Pcode]]="","",IF(OFFSET(CampList[Opening Date],MATCH(Table_NFI[[#This Row],[Pcode]],CampList[CP_Pcode],0)-1,0,1,1)&gt;=NFI_Monitor_Date,1,0))</f>
        <v>0</v>
      </c>
      <c r="AS747" s="396" t="str">
        <f>IFERROR(VLOOKUP(Table_NFI[[#This Row],[Camp Name]],CL,3,0),"")</f>
        <v>Open</v>
      </c>
      <c r="AT747" s="264" t="str">
        <f ca="1">IF(Table_NFI[[#This Row],[Pcode]]="","",OFFSET(CampList[Priority],MATCH(Table_NFI[[#This Row],[Pcode]],CampList[CP_Pcode],0)-1,0,1,1))</f>
        <v>P1</v>
      </c>
      <c r="AU747" s="263">
        <f>IFERROR(Table_NFI[[#This Row],[Kitchen Set]]/VLOOKUP(Table_NFI[[#This Row],[Camp Name]],CL,4,0),"")</f>
        <v>0</v>
      </c>
      <c r="AV747" s="390" t="s">
        <v>1087</v>
      </c>
      <c r="AW747" s="392"/>
      <c r="AX747" s="399"/>
      <c r="AY747" s="399"/>
      <c r="AZ747" s="399"/>
      <c r="BA747" s="399"/>
      <c r="BB747" s="399"/>
      <c r="BC747" s="399"/>
      <c r="BD747" s="399"/>
      <c r="BE747" s="399"/>
      <c r="BF747" s="399"/>
      <c r="BG747" s="399"/>
      <c r="BH747" s="399"/>
      <c r="BI747" s="399"/>
      <c r="BJ747" s="399"/>
      <c r="BK747" s="399"/>
      <c r="BL747" s="399"/>
      <c r="BM747" s="399"/>
      <c r="BN747" s="399"/>
      <c r="BO747" s="399"/>
      <c r="BP747" s="399"/>
      <c r="BQ747" s="399"/>
      <c r="BR747" s="399"/>
      <c r="BS747" s="399"/>
      <c r="BT747" s="399"/>
      <c r="BU747" s="399"/>
      <c r="BV747" s="399"/>
      <c r="BW747" s="399"/>
      <c r="BX747" s="399"/>
      <c r="BY747" s="399"/>
      <c r="BZ747" s="399"/>
      <c r="CA747" s="399"/>
      <c r="CB747" s="399"/>
      <c r="CC747" s="399"/>
      <c r="CD747" s="399"/>
      <c r="CE747" s="399"/>
      <c r="CF747" s="399"/>
      <c r="CG747" s="399"/>
      <c r="CH747" s="399"/>
      <c r="CI747" s="399"/>
      <c r="CJ747" s="399"/>
      <c r="CK747" s="399"/>
      <c r="CL747" s="399"/>
      <c r="CM747" s="399"/>
      <c r="CN747" s="399"/>
      <c r="CO747" s="399"/>
      <c r="CP747" s="399"/>
      <c r="CQ747" s="399"/>
      <c r="CR747" s="399"/>
      <c r="CS747" s="399"/>
      <c r="CT747" s="399"/>
      <c r="CU747" s="399"/>
      <c r="CV747" s="399"/>
      <c r="CW747" s="399"/>
      <c r="CX747" s="399"/>
      <c r="CY747" s="399"/>
      <c r="CZ747" s="399"/>
      <c r="DA747" s="399"/>
      <c r="DB747" s="399"/>
      <c r="DC747" s="399"/>
      <c r="DD747" s="399"/>
      <c r="DE747" s="399"/>
      <c r="DF747" s="399"/>
      <c r="DG747" s="399"/>
      <c r="DH747" s="399"/>
      <c r="DI747" s="399"/>
      <c r="DJ747" s="399"/>
      <c r="DK747" s="399"/>
      <c r="DL747" s="399"/>
      <c r="DM747" s="399"/>
      <c r="DN747" s="399"/>
      <c r="DO747" s="399"/>
      <c r="DP747" s="399"/>
      <c r="DQ747" s="399"/>
    </row>
    <row r="748" spans="1:121" s="760" customFormat="1" ht="14.45" customHeight="1" x14ac:dyDescent="0.25">
      <c r="A748" s="266">
        <f t="shared" si="11"/>
        <v>48</v>
      </c>
      <c r="B748" s="389">
        <v>41416</v>
      </c>
      <c r="C748" s="390" t="s">
        <v>451</v>
      </c>
      <c r="D748" s="391" t="s">
        <v>451</v>
      </c>
      <c r="E748" s="390" t="s">
        <v>380</v>
      </c>
      <c r="F748" s="262" t="s">
        <v>526</v>
      </c>
      <c r="G748" s="262" t="s">
        <v>610</v>
      </c>
      <c r="H748" s="261"/>
      <c r="I748" s="261"/>
      <c r="J748" s="261">
        <v>34</v>
      </c>
      <c r="K748" s="261">
        <v>61</v>
      </c>
      <c r="L748" s="261">
        <v>30</v>
      </c>
      <c r="M748" s="261">
        <v>61</v>
      </c>
      <c r="N748" s="261">
        <v>30</v>
      </c>
      <c r="O748" s="261">
        <v>30</v>
      </c>
      <c r="P748" s="261">
        <v>30</v>
      </c>
      <c r="Q748" s="261">
        <v>30</v>
      </c>
      <c r="R748" s="261"/>
      <c r="S748" s="261"/>
      <c r="T748" s="261"/>
      <c r="U748" s="261"/>
      <c r="V748" s="762"/>
      <c r="W748" s="261"/>
      <c r="X748" s="261"/>
      <c r="Y748" s="264">
        <f>IF(NFI_Expiration=1,IF($A748&lt;VLOOKUP(H$5,NFI,5,0),1,0)*Table_NFI[[#This Row],[Hygiene Kit]],Table_NFI[Hygiene Kit])</f>
        <v>0</v>
      </c>
      <c r="Z748" s="264">
        <f>IF(NFI_Expiration=1,IF($A748&lt;VLOOKUP(I$5,NFI,5,0),1,0)*Table_NFI[[#This Row],[NFI Core Kit]],Table_NFI[NFI Core Kit])</f>
        <v>0</v>
      </c>
      <c r="AA748" s="264">
        <f>IF(NFI_Expiration=1,IF($A748&lt;VLOOKUP(J$5,NFI,5,0),1,0)*Table_NFI[[#This Row],[Sanitary Kit]],Table_NFI[Sanitary Kit])</f>
        <v>0</v>
      </c>
      <c r="AB748" s="264">
        <f>IF(NFI_Expiration=1,IF($A748&lt;VLOOKUP(K$5,NFI,5,0),1,0)*Table_NFI[[#This Row],[Mosquito net]],Table_NFI[Mosquito net])</f>
        <v>0</v>
      </c>
      <c r="AC748" s="264">
        <f>IF(NFI_Expiration=1,IF($A748&lt;VLOOKUP(L$5,NFI,5,0),1,0)*Table_NFI[[#This Row],[Tarpaulin]],Table_NFI[[#This Row],[Tarpaulin]])</f>
        <v>0</v>
      </c>
      <c r="AD748" s="264">
        <f>IF(NFI_Expiration=1,IF($A748&lt;VLOOKUP(M$5,NFI,5,0),1,0)*Table_NFI[[#This Row],[Blanket]],Table_NFI[[#This Row],[Blanket]])</f>
        <v>0</v>
      </c>
      <c r="AE748" s="264">
        <f>IF(NFI_Expiration=1,IF($A748&lt;VLOOKUP(N$5,NFI,5,0),1,0)*Table_NFI[[#This Row],[Kitchen Set]],Table_NFI[Kitchen Set])</f>
        <v>0</v>
      </c>
      <c r="AF748" s="264">
        <f>IF(NFI_Expiration=1,IF($A748&lt;VLOOKUP(O$5,NFI,5,0),1,0)*Table_NFI[[#This Row],[Clothes Kit]],Table_NFI[Clothes Kit])</f>
        <v>0</v>
      </c>
      <c r="AG748" s="264">
        <f>IF(NFI_Expiration=1,IF($A748&lt;VLOOKUP(P$5,NFI,5,0),1,0)*Table_NFI[[#This Row],[Plastic Bucket]],Table_NFI[Plastic Bucket])</f>
        <v>0</v>
      </c>
      <c r="AH748" s="264">
        <f>IF(NFI_Expiration=1,IF($A748&lt;VLOOKUP(Q$5,NFI,5,0),1,0)*Table_NFI[[#This Row],[Plastic Mat]],Table_NFI[Plastic Mat])*IF(Table_NFI[[#This Row],[Distribution Date]]&gt;"2014-04-01",1,2.5)</f>
        <v>0</v>
      </c>
      <c r="AI748" s="264">
        <f>IF(NFI_Expiration=1,IF($A748&lt;VLOOKUP(R$5,NFI,5,0),1,0)*Table_NFI[[#This Row],[Winter Clothes Adult]],Table_NFI[Winter Clothes Adult])</f>
        <v>0</v>
      </c>
      <c r="AJ748" s="264">
        <f>IF(NFI_Expiration=1,IF($A748&lt;VLOOKUP(S$5,NFI,5,0),1,0)*Table_NFI[[#This Row],[Winter Clothes Children]],Table_NFI[Winter Clothes Children])</f>
        <v>0</v>
      </c>
      <c r="AK748" s="264">
        <f>IF(NFI_Expiration=1,IF($A748&lt;VLOOKUP(T$5,NFI,5,0),1,0)*Table_NFI[[#This Row],[Winter Items Other]],Table_NFI[Winter Items Other])</f>
        <v>0</v>
      </c>
      <c r="AL748" s="264">
        <f>IF(NFI_Expiration=1,IF($A748&lt;VLOOKUP(M$5,NFI,5,0),1,0)*Table_NFI[[#This Row],[Winter Blanket]],Table_NFI[[#This Row],[Winter Blanket]])</f>
        <v>0</v>
      </c>
      <c r="AM748" s="264">
        <f>IF(Table_NFI[[#This Row],[Winter Clothes Adult]]+Table_NFI[[#This Row],[Winter Clothes Children]]+Table_NFI[[#This Row],[Winter Items Other]]+Table_NFI[[#This Row],[Winter Blanket]]&gt;0,1,0)</f>
        <v>0</v>
      </c>
      <c r="AN748" s="296">
        <f>IF(NFI_Expiration=1,IF($A748&lt;VLOOKUP(V$5,NFI,5,0),1,0)*Table_NFI[[#This Row],[Jerry Can]],Table_NFI[Jerry Can])</f>
        <v>0</v>
      </c>
      <c r="AO748" s="296">
        <f>IF(NFI_Expiration=1,IF($A748&lt;VLOOKUP(V$5,NFI,5,0),1,0)*Table_NFI[[#This Row],[Shelter Tool kit]],Table_NFI[Shelter Tool kit])</f>
        <v>0</v>
      </c>
      <c r="AP748" s="296">
        <f>IF(NFI_Expiration=1,IF($A748&lt;VLOOKUP(V$5,NFI,5,0),1,0)*Table_NFI[[#This Row],[Tent]],Table_NFI[Tent])</f>
        <v>0</v>
      </c>
      <c r="AQ748" s="396" t="str">
        <f>IFERROR(VLOOKUP(Table_NFI[[#This Row],[Camp Name]],CL,2,0),"")</f>
        <v>MMR001CMP192</v>
      </c>
      <c r="AR748" s="702">
        <f ca="1">IF(Table_NFI[[#This Row],[Pcode]]="","",IF(OFFSET(CampList[Opening Date],MATCH(Table_NFI[[#This Row],[Pcode]],CampList[CP_Pcode],0)-1,0,1,1)&gt;=NFI_Monitor_Date,1,0))</f>
        <v>0</v>
      </c>
      <c r="AS748" s="396" t="str">
        <f>IFERROR(VLOOKUP(Table_NFI[[#This Row],[Camp Name]],CL,3,0),"")</f>
        <v>Open</v>
      </c>
      <c r="AT748" s="264" t="str">
        <f ca="1">IF(Table_NFI[[#This Row],[Pcode]]="","",OFFSET(CampList[Priority],MATCH(Table_NFI[[#This Row],[Pcode]],CampList[CP_Pcode],0)-1,0,1,1))</f>
        <v>P4</v>
      </c>
      <c r="AU748" s="263">
        <f>IFERROR(Table_NFI[[#This Row],[Kitchen Set]]/VLOOKUP(Table_NFI[[#This Row],[Camp Name]],CL,4,0),"")</f>
        <v>7.2683222289521504E-4</v>
      </c>
      <c r="AV748" s="390" t="s">
        <v>1087</v>
      </c>
      <c r="AW748" s="392"/>
      <c r="AX748" s="399"/>
      <c r="AY748" s="399"/>
      <c r="AZ748" s="399"/>
      <c r="BA748" s="399"/>
      <c r="BB748" s="399"/>
      <c r="BC748" s="399"/>
      <c r="BD748" s="399"/>
      <c r="BE748" s="399"/>
      <c r="BF748" s="399"/>
      <c r="BG748" s="399"/>
      <c r="BH748" s="399"/>
      <c r="BI748" s="399"/>
      <c r="BJ748" s="399"/>
      <c r="BK748" s="399"/>
      <c r="BL748" s="399"/>
      <c r="BM748" s="399"/>
      <c r="BN748" s="399"/>
      <c r="BO748" s="399"/>
      <c r="BP748" s="399"/>
      <c r="BQ748" s="399"/>
      <c r="BR748" s="399"/>
      <c r="BS748" s="399"/>
      <c r="BT748" s="399"/>
      <c r="BU748" s="399"/>
      <c r="BV748" s="399"/>
      <c r="BW748" s="399"/>
      <c r="BX748" s="399"/>
      <c r="BY748" s="399"/>
      <c r="BZ748" s="399"/>
      <c r="CA748" s="399"/>
      <c r="CB748" s="399"/>
      <c r="CC748" s="399"/>
      <c r="CD748" s="399"/>
      <c r="CE748" s="399"/>
      <c r="CF748" s="399"/>
      <c r="CG748" s="399"/>
      <c r="CH748" s="399"/>
      <c r="CI748" s="399"/>
      <c r="CJ748" s="399"/>
      <c r="CK748" s="399"/>
      <c r="CL748" s="399"/>
      <c r="CM748" s="399"/>
      <c r="CN748" s="399"/>
      <c r="CO748" s="399"/>
      <c r="CP748" s="399"/>
      <c r="CQ748" s="399"/>
      <c r="CR748" s="399"/>
      <c r="CS748" s="399"/>
      <c r="CT748" s="399"/>
      <c r="CU748" s="399"/>
      <c r="CV748" s="399"/>
      <c r="CW748" s="399"/>
      <c r="CX748" s="399"/>
      <c r="CY748" s="399"/>
      <c r="CZ748" s="399"/>
      <c r="DA748" s="399"/>
      <c r="DB748" s="399"/>
      <c r="DC748" s="399"/>
      <c r="DD748" s="399"/>
      <c r="DE748" s="399"/>
      <c r="DF748" s="399"/>
      <c r="DG748" s="399"/>
      <c r="DH748" s="399"/>
      <c r="DI748" s="399"/>
      <c r="DJ748" s="399"/>
      <c r="DK748" s="399"/>
      <c r="DL748" s="399"/>
      <c r="DM748" s="399"/>
      <c r="DN748" s="399"/>
      <c r="DO748" s="399"/>
      <c r="DP748" s="399"/>
      <c r="DQ748" s="399"/>
    </row>
    <row r="749" spans="1:121" s="760" customFormat="1" ht="14.45" customHeight="1" x14ac:dyDescent="0.25">
      <c r="A749" s="266">
        <f t="shared" si="11"/>
        <v>48</v>
      </c>
      <c r="B749" s="389">
        <v>41416</v>
      </c>
      <c r="C749" s="390" t="s">
        <v>451</v>
      </c>
      <c r="D749" s="390" t="s">
        <v>451</v>
      </c>
      <c r="E749" s="390" t="s">
        <v>380</v>
      </c>
      <c r="F749" s="262" t="s">
        <v>310</v>
      </c>
      <c r="G749" s="262" t="s">
        <v>318</v>
      </c>
      <c r="H749" s="261"/>
      <c r="I749" s="261"/>
      <c r="J749" s="261">
        <v>18</v>
      </c>
      <c r="K749" s="261">
        <v>20</v>
      </c>
      <c r="L749" s="261">
        <v>14</v>
      </c>
      <c r="M749" s="261">
        <v>20</v>
      </c>
      <c r="N749" s="261">
        <v>10</v>
      </c>
      <c r="O749" s="261">
        <v>10</v>
      </c>
      <c r="P749" s="261">
        <v>10</v>
      </c>
      <c r="Q749" s="261">
        <v>10</v>
      </c>
      <c r="R749" s="261"/>
      <c r="S749" s="261"/>
      <c r="T749" s="261"/>
      <c r="U749" s="261"/>
      <c r="V749" s="762"/>
      <c r="W749" s="261"/>
      <c r="X749" s="261"/>
      <c r="Y749" s="264">
        <f>IF(NFI_Expiration=1,IF($A749&lt;VLOOKUP(H$5,NFI,5,0),1,0)*Table_NFI[[#This Row],[Hygiene Kit]],Table_NFI[Hygiene Kit])</f>
        <v>0</v>
      </c>
      <c r="Z749" s="264">
        <f>IF(NFI_Expiration=1,IF($A749&lt;VLOOKUP(I$5,NFI,5,0),1,0)*Table_NFI[[#This Row],[NFI Core Kit]],Table_NFI[NFI Core Kit])</f>
        <v>0</v>
      </c>
      <c r="AA749" s="264">
        <f>IF(NFI_Expiration=1,IF($A749&lt;VLOOKUP(J$5,NFI,5,0),1,0)*Table_NFI[[#This Row],[Sanitary Kit]],Table_NFI[Sanitary Kit])</f>
        <v>0</v>
      </c>
      <c r="AB749" s="264">
        <f>IF(NFI_Expiration=1,IF($A749&lt;VLOOKUP(K$5,NFI,5,0),1,0)*Table_NFI[[#This Row],[Mosquito net]],Table_NFI[Mosquito net])</f>
        <v>0</v>
      </c>
      <c r="AC749" s="264">
        <f>IF(NFI_Expiration=1,IF($A749&lt;VLOOKUP(L$5,NFI,5,0),1,0)*Table_NFI[[#This Row],[Tarpaulin]],Table_NFI[[#This Row],[Tarpaulin]])</f>
        <v>0</v>
      </c>
      <c r="AD749" s="264">
        <f>IF(NFI_Expiration=1,IF($A749&lt;VLOOKUP(M$5,NFI,5,0),1,0)*Table_NFI[[#This Row],[Blanket]],Table_NFI[[#This Row],[Blanket]])</f>
        <v>0</v>
      </c>
      <c r="AE749" s="264">
        <f>IF(NFI_Expiration=1,IF($A749&lt;VLOOKUP(N$5,NFI,5,0),1,0)*Table_NFI[[#This Row],[Kitchen Set]],Table_NFI[Kitchen Set])</f>
        <v>0</v>
      </c>
      <c r="AF749" s="264">
        <f>IF(NFI_Expiration=1,IF($A749&lt;VLOOKUP(O$5,NFI,5,0),1,0)*Table_NFI[[#This Row],[Clothes Kit]],Table_NFI[Clothes Kit])</f>
        <v>0</v>
      </c>
      <c r="AG749" s="264">
        <f>IF(NFI_Expiration=1,IF($A749&lt;VLOOKUP(P$5,NFI,5,0),1,0)*Table_NFI[[#This Row],[Plastic Bucket]],Table_NFI[Plastic Bucket])</f>
        <v>0</v>
      </c>
      <c r="AH749" s="264">
        <f>IF(NFI_Expiration=1,IF($A749&lt;VLOOKUP(Q$5,NFI,5,0),1,0)*Table_NFI[[#This Row],[Plastic Mat]],Table_NFI[Plastic Mat])*IF(Table_NFI[[#This Row],[Distribution Date]]&gt;"2014-04-01",1,2.5)</f>
        <v>0</v>
      </c>
      <c r="AI749" s="264">
        <f>IF(NFI_Expiration=1,IF($A749&lt;VLOOKUP(R$5,NFI,5,0),1,0)*Table_NFI[[#This Row],[Winter Clothes Adult]],Table_NFI[Winter Clothes Adult])</f>
        <v>0</v>
      </c>
      <c r="AJ749" s="264">
        <f>IF(NFI_Expiration=1,IF($A749&lt;VLOOKUP(S$5,NFI,5,0),1,0)*Table_NFI[[#This Row],[Winter Clothes Children]],Table_NFI[Winter Clothes Children])</f>
        <v>0</v>
      </c>
      <c r="AK749" s="264">
        <f>IF(NFI_Expiration=1,IF($A749&lt;VLOOKUP(T$5,NFI,5,0),1,0)*Table_NFI[[#This Row],[Winter Items Other]],Table_NFI[Winter Items Other])</f>
        <v>0</v>
      </c>
      <c r="AL749" s="264">
        <f>IF(NFI_Expiration=1,IF($A749&lt;VLOOKUP(M$5,NFI,5,0),1,0)*Table_NFI[[#This Row],[Winter Blanket]],Table_NFI[[#This Row],[Winter Blanket]])</f>
        <v>0</v>
      </c>
      <c r="AM749" s="264">
        <f>IF(Table_NFI[[#This Row],[Winter Clothes Adult]]+Table_NFI[[#This Row],[Winter Clothes Children]]+Table_NFI[[#This Row],[Winter Items Other]]+Table_NFI[[#This Row],[Winter Blanket]]&gt;0,1,0)</f>
        <v>0</v>
      </c>
      <c r="AN749" s="296">
        <f>IF(NFI_Expiration=1,IF($A749&lt;VLOOKUP(V$5,NFI,5,0),1,0)*Table_NFI[[#This Row],[Jerry Can]],Table_NFI[Jerry Can])</f>
        <v>0</v>
      </c>
      <c r="AO749" s="296">
        <f>IF(NFI_Expiration=1,IF($A749&lt;VLOOKUP(V$5,NFI,5,0),1,0)*Table_NFI[[#This Row],[Shelter Tool kit]],Table_NFI[Shelter Tool kit])</f>
        <v>0</v>
      </c>
      <c r="AP749" s="296">
        <f>IF(NFI_Expiration=1,IF($A749&lt;VLOOKUP(V$5,NFI,5,0),1,0)*Table_NFI[[#This Row],[Tent]],Table_NFI[Tent])</f>
        <v>0</v>
      </c>
      <c r="AQ749" s="396" t="str">
        <f>IFERROR(VLOOKUP(Table_NFI[[#This Row],[Camp Name]],CL,2,0),"")</f>
        <v>MMR001CMP032</v>
      </c>
      <c r="AR749" s="702">
        <f ca="1">IF(Table_NFI[[#This Row],[Pcode]]="","",IF(OFFSET(CampList[Opening Date],MATCH(Table_NFI[[#This Row],[Pcode]],CampList[CP_Pcode],0)-1,0,1,1)&gt;=NFI_Monitor_Date,1,0))</f>
        <v>0</v>
      </c>
      <c r="AS749" s="396" t="str">
        <f>IFERROR(VLOOKUP(Table_NFI[[#This Row],[Camp Name]],CL,3,0),"")</f>
        <v>Open</v>
      </c>
      <c r="AT749" s="264" t="str">
        <f ca="1">IF(Table_NFI[[#This Row],[Pcode]]="","",OFFSET(CampList[Priority],MATCH(Table_NFI[[#This Row],[Pcode]],CampList[CP_Pcode],0)-1,0,1,1))</f>
        <v>P4</v>
      </c>
      <c r="AU749" s="263">
        <f>IFERROR(Table_NFI[[#This Row],[Kitchen Set]]/VLOOKUP(Table_NFI[[#This Row],[Camp Name]],CL,4,0),"")</f>
        <v>2.4554941682013506E-4</v>
      </c>
      <c r="AV749" s="390" t="s">
        <v>1087</v>
      </c>
      <c r="AW749" s="392"/>
      <c r="AX749" s="399"/>
      <c r="AY749" s="399"/>
      <c r="AZ749" s="399"/>
      <c r="BA749" s="399"/>
      <c r="BB749" s="399"/>
      <c r="BC749" s="399"/>
      <c r="BD749" s="399"/>
      <c r="BE749" s="399"/>
      <c r="BF749" s="399"/>
      <c r="BG749" s="399"/>
      <c r="BH749" s="399"/>
      <c r="BI749" s="399"/>
      <c r="BJ749" s="399"/>
      <c r="BK749" s="399"/>
      <c r="BL749" s="399"/>
      <c r="BM749" s="399"/>
      <c r="BN749" s="399"/>
      <c r="BO749" s="399"/>
      <c r="BP749" s="399"/>
      <c r="BQ749" s="399"/>
      <c r="BR749" s="399"/>
      <c r="BS749" s="399"/>
      <c r="BT749" s="399"/>
      <c r="BU749" s="399"/>
      <c r="BV749" s="399"/>
      <c r="BW749" s="399"/>
      <c r="BX749" s="399"/>
      <c r="BY749" s="399"/>
      <c r="BZ749" s="399"/>
      <c r="CA749" s="399"/>
      <c r="CB749" s="399"/>
      <c r="CC749" s="399"/>
      <c r="CD749" s="399"/>
      <c r="CE749" s="399"/>
      <c r="CF749" s="399"/>
      <c r="CG749" s="399"/>
      <c r="CH749" s="399"/>
      <c r="CI749" s="399"/>
      <c r="CJ749" s="399"/>
      <c r="CK749" s="399"/>
      <c r="CL749" s="399"/>
      <c r="CM749" s="399"/>
      <c r="CN749" s="399"/>
      <c r="CO749" s="399"/>
      <c r="CP749" s="399"/>
      <c r="CQ749" s="399"/>
      <c r="CR749" s="399"/>
      <c r="CS749" s="399"/>
      <c r="CT749" s="399"/>
      <c r="CU749" s="399"/>
      <c r="CV749" s="399"/>
      <c r="CW749" s="399"/>
      <c r="CX749" s="399"/>
      <c r="CY749" s="399"/>
      <c r="CZ749" s="399"/>
      <c r="DA749" s="399"/>
      <c r="DB749" s="399"/>
      <c r="DC749" s="399"/>
      <c r="DD749" s="399"/>
      <c r="DE749" s="399"/>
      <c r="DF749" s="399"/>
      <c r="DG749" s="399"/>
      <c r="DH749" s="399"/>
      <c r="DI749" s="399"/>
      <c r="DJ749" s="399"/>
      <c r="DK749" s="399"/>
      <c r="DL749" s="399"/>
      <c r="DM749" s="399"/>
      <c r="DN749" s="399"/>
      <c r="DO749" s="399"/>
      <c r="DP749" s="399"/>
      <c r="DQ749" s="399"/>
    </row>
    <row r="750" spans="1:121" s="760" customFormat="1" ht="14.45" customHeight="1" x14ac:dyDescent="0.25">
      <c r="A750" s="266">
        <f t="shared" si="11"/>
        <v>48</v>
      </c>
      <c r="B750" s="389">
        <v>41416</v>
      </c>
      <c r="C750" s="390" t="s">
        <v>451</v>
      </c>
      <c r="D750" s="390" t="s">
        <v>451</v>
      </c>
      <c r="E750" s="390" t="s">
        <v>380</v>
      </c>
      <c r="F750" s="262" t="s">
        <v>526</v>
      </c>
      <c r="G750" s="262" t="s">
        <v>140</v>
      </c>
      <c r="H750" s="261"/>
      <c r="I750" s="261"/>
      <c r="J750" s="261">
        <v>42</v>
      </c>
      <c r="K750" s="261">
        <v>66</v>
      </c>
      <c r="L750" s="261">
        <v>28</v>
      </c>
      <c r="M750" s="261">
        <v>66</v>
      </c>
      <c r="N750" s="261">
        <v>28</v>
      </c>
      <c r="O750" s="261">
        <v>28</v>
      </c>
      <c r="P750" s="261">
        <v>28</v>
      </c>
      <c r="Q750" s="261">
        <v>28</v>
      </c>
      <c r="R750" s="261"/>
      <c r="S750" s="261"/>
      <c r="T750" s="261"/>
      <c r="U750" s="261"/>
      <c r="V750" s="762"/>
      <c r="W750" s="261"/>
      <c r="X750" s="261"/>
      <c r="Y750" s="264">
        <f>IF(NFI_Expiration=1,IF($A750&lt;VLOOKUP(H$5,NFI,5,0),1,0)*Table_NFI[[#This Row],[Hygiene Kit]],Table_NFI[Hygiene Kit])</f>
        <v>0</v>
      </c>
      <c r="Z750" s="264">
        <f>IF(NFI_Expiration=1,IF($A750&lt;VLOOKUP(I$5,NFI,5,0),1,0)*Table_NFI[[#This Row],[NFI Core Kit]],Table_NFI[NFI Core Kit])</f>
        <v>0</v>
      </c>
      <c r="AA750" s="264">
        <f>IF(NFI_Expiration=1,IF($A750&lt;VLOOKUP(J$5,NFI,5,0),1,0)*Table_NFI[[#This Row],[Sanitary Kit]],Table_NFI[Sanitary Kit])</f>
        <v>0</v>
      </c>
      <c r="AB750" s="264">
        <f>IF(NFI_Expiration=1,IF($A750&lt;VLOOKUP(K$5,NFI,5,0),1,0)*Table_NFI[[#This Row],[Mosquito net]],Table_NFI[Mosquito net])</f>
        <v>0</v>
      </c>
      <c r="AC750" s="264">
        <f>IF(NFI_Expiration=1,IF($A750&lt;VLOOKUP(L$5,NFI,5,0),1,0)*Table_NFI[[#This Row],[Tarpaulin]],Table_NFI[[#This Row],[Tarpaulin]])</f>
        <v>0</v>
      </c>
      <c r="AD750" s="264">
        <f>IF(NFI_Expiration=1,IF($A750&lt;VLOOKUP(M$5,NFI,5,0),1,0)*Table_NFI[[#This Row],[Blanket]],Table_NFI[[#This Row],[Blanket]])</f>
        <v>0</v>
      </c>
      <c r="AE750" s="264">
        <f>IF(NFI_Expiration=1,IF($A750&lt;VLOOKUP(N$5,NFI,5,0),1,0)*Table_NFI[[#This Row],[Kitchen Set]],Table_NFI[Kitchen Set])</f>
        <v>0</v>
      </c>
      <c r="AF750" s="264">
        <f>IF(NFI_Expiration=1,IF($A750&lt;VLOOKUP(O$5,NFI,5,0),1,0)*Table_NFI[[#This Row],[Clothes Kit]],Table_NFI[Clothes Kit])</f>
        <v>0</v>
      </c>
      <c r="AG750" s="264">
        <f>IF(NFI_Expiration=1,IF($A750&lt;VLOOKUP(P$5,NFI,5,0),1,0)*Table_NFI[[#This Row],[Plastic Bucket]],Table_NFI[Plastic Bucket])</f>
        <v>0</v>
      </c>
      <c r="AH750" s="264">
        <f>IF(NFI_Expiration=1,IF($A750&lt;VLOOKUP(Q$5,NFI,5,0),1,0)*Table_NFI[[#This Row],[Plastic Mat]],Table_NFI[Plastic Mat])*IF(Table_NFI[[#This Row],[Distribution Date]]&gt;"2014-04-01",1,2.5)</f>
        <v>0</v>
      </c>
      <c r="AI750" s="264">
        <f>IF(NFI_Expiration=1,IF($A750&lt;VLOOKUP(R$5,NFI,5,0),1,0)*Table_NFI[[#This Row],[Winter Clothes Adult]],Table_NFI[Winter Clothes Adult])</f>
        <v>0</v>
      </c>
      <c r="AJ750" s="264">
        <f>IF(NFI_Expiration=1,IF($A750&lt;VLOOKUP(S$5,NFI,5,0),1,0)*Table_NFI[[#This Row],[Winter Clothes Children]],Table_NFI[Winter Clothes Children])</f>
        <v>0</v>
      </c>
      <c r="AK750" s="264">
        <f>IF(NFI_Expiration=1,IF($A750&lt;VLOOKUP(T$5,NFI,5,0),1,0)*Table_NFI[[#This Row],[Winter Items Other]],Table_NFI[Winter Items Other])</f>
        <v>0</v>
      </c>
      <c r="AL750" s="264">
        <f>IF(NFI_Expiration=1,IF($A750&lt;VLOOKUP(M$5,NFI,5,0),1,0)*Table_NFI[[#This Row],[Winter Blanket]],Table_NFI[[#This Row],[Winter Blanket]])</f>
        <v>0</v>
      </c>
      <c r="AM750" s="264">
        <f>IF(Table_NFI[[#This Row],[Winter Clothes Adult]]+Table_NFI[[#This Row],[Winter Clothes Children]]+Table_NFI[[#This Row],[Winter Items Other]]+Table_NFI[[#This Row],[Winter Blanket]]&gt;0,1,0)</f>
        <v>0</v>
      </c>
      <c r="AN750" s="296">
        <f>IF(NFI_Expiration=1,IF($A750&lt;VLOOKUP(V$5,NFI,5,0),1,0)*Table_NFI[[#This Row],[Jerry Can]],Table_NFI[Jerry Can])</f>
        <v>0</v>
      </c>
      <c r="AO750" s="296">
        <f>IF(NFI_Expiration=1,IF($A750&lt;VLOOKUP(V$5,NFI,5,0),1,0)*Table_NFI[[#This Row],[Shelter Tool kit]],Table_NFI[Shelter Tool kit])</f>
        <v>0</v>
      </c>
      <c r="AP750" s="296">
        <f>IF(NFI_Expiration=1,IF($A750&lt;VLOOKUP(V$5,NFI,5,0),1,0)*Table_NFI[[#This Row],[Tent]],Table_NFI[Tent])</f>
        <v>0</v>
      </c>
      <c r="AQ750" s="396" t="str">
        <f>IFERROR(VLOOKUP(Table_NFI[[#This Row],[Camp Name]],CL,2,0),"")</f>
        <v>MMR001CMP105</v>
      </c>
      <c r="AR750" s="702">
        <f ca="1">IF(Table_NFI[[#This Row],[Pcode]]="","",IF(OFFSET(CampList[Opening Date],MATCH(Table_NFI[[#This Row],[Pcode]],CampList[CP_Pcode],0)-1,0,1,1)&gt;=NFI_Monitor_Date,1,0))</f>
        <v>0</v>
      </c>
      <c r="AS750" s="396" t="str">
        <f>IFERROR(VLOOKUP(Table_NFI[[#This Row],[Camp Name]],CL,3,0),"")</f>
        <v>Open</v>
      </c>
      <c r="AT750" s="264" t="str">
        <f ca="1">IF(Table_NFI[[#This Row],[Pcode]]="","",OFFSET(CampList[Priority],MATCH(Table_NFI[[#This Row],[Pcode]],CampList[CP_Pcode],0)-1,0,1,1))</f>
        <v>P4</v>
      </c>
      <c r="AU750" s="263">
        <f>IFERROR(Table_NFI[[#This Row],[Kitchen Set]]/VLOOKUP(Table_NFI[[#This Row],[Camp Name]],CL,4,0),"")</f>
        <v>6.8090073440007777E-4</v>
      </c>
      <c r="AV750" s="390" t="s">
        <v>1087</v>
      </c>
      <c r="AW750" s="392"/>
      <c r="AX750" s="399"/>
      <c r="AY750" s="399"/>
      <c r="AZ750" s="399"/>
      <c r="BA750" s="399"/>
      <c r="BB750" s="399"/>
      <c r="BC750" s="399"/>
      <c r="BD750" s="399"/>
      <c r="BE750" s="399"/>
      <c r="BF750" s="399"/>
      <c r="BG750" s="399"/>
      <c r="BH750" s="399"/>
      <c r="BI750" s="399"/>
      <c r="BJ750" s="399"/>
      <c r="BK750" s="399"/>
      <c r="BL750" s="399"/>
      <c r="BM750" s="399"/>
      <c r="BN750" s="399"/>
      <c r="BO750" s="399"/>
      <c r="BP750" s="399"/>
      <c r="BQ750" s="399"/>
      <c r="BR750" s="399"/>
      <c r="BS750" s="399"/>
      <c r="BT750" s="399"/>
      <c r="BU750" s="399"/>
      <c r="BV750" s="399"/>
      <c r="BW750" s="399"/>
      <c r="BX750" s="399"/>
      <c r="BY750" s="399"/>
      <c r="BZ750" s="399"/>
      <c r="CA750" s="399"/>
      <c r="CB750" s="399"/>
      <c r="CC750" s="399"/>
      <c r="CD750" s="399"/>
      <c r="CE750" s="399"/>
      <c r="CF750" s="399"/>
      <c r="CG750" s="399"/>
      <c r="CH750" s="399"/>
      <c r="CI750" s="399"/>
      <c r="CJ750" s="399"/>
      <c r="CK750" s="399"/>
      <c r="CL750" s="399"/>
      <c r="CM750" s="399"/>
      <c r="CN750" s="399"/>
      <c r="CO750" s="399"/>
      <c r="CP750" s="399"/>
      <c r="CQ750" s="399"/>
      <c r="CR750" s="399"/>
      <c r="CS750" s="399"/>
      <c r="CT750" s="399"/>
      <c r="CU750" s="399"/>
      <c r="CV750" s="399"/>
      <c r="CW750" s="399"/>
      <c r="CX750" s="399"/>
      <c r="CY750" s="399"/>
      <c r="CZ750" s="399"/>
      <c r="DA750" s="399"/>
      <c r="DB750" s="399"/>
      <c r="DC750" s="399"/>
      <c r="DD750" s="399"/>
      <c r="DE750" s="399"/>
      <c r="DF750" s="399"/>
      <c r="DG750" s="399"/>
      <c r="DH750" s="399"/>
      <c r="DI750" s="399"/>
      <c r="DJ750" s="399"/>
      <c r="DK750" s="399"/>
      <c r="DL750" s="399"/>
      <c r="DM750" s="399"/>
      <c r="DN750" s="399"/>
      <c r="DO750" s="399"/>
      <c r="DP750" s="399"/>
      <c r="DQ750" s="399"/>
    </row>
    <row r="751" spans="1:121" s="760" customFormat="1" ht="14.45" customHeight="1" x14ac:dyDescent="0.25">
      <c r="A751" s="266">
        <f t="shared" si="11"/>
        <v>48</v>
      </c>
      <c r="B751" s="389">
        <v>41416</v>
      </c>
      <c r="C751" s="390" t="s">
        <v>451</v>
      </c>
      <c r="D751" s="390" t="s">
        <v>451</v>
      </c>
      <c r="E751" s="390" t="s">
        <v>380</v>
      </c>
      <c r="F751" s="262" t="s">
        <v>526</v>
      </c>
      <c r="G751" s="262" t="s">
        <v>54</v>
      </c>
      <c r="H751" s="261"/>
      <c r="I751" s="261"/>
      <c r="J751" s="261">
        <v>48</v>
      </c>
      <c r="K751" s="261">
        <v>74</v>
      </c>
      <c r="L751" s="261">
        <v>31</v>
      </c>
      <c r="M751" s="261">
        <v>74</v>
      </c>
      <c r="N751" s="261">
        <v>31</v>
      </c>
      <c r="O751" s="261">
        <v>31</v>
      </c>
      <c r="P751" s="261">
        <v>31</v>
      </c>
      <c r="Q751" s="261">
        <v>31</v>
      </c>
      <c r="R751" s="261"/>
      <c r="S751" s="261"/>
      <c r="T751" s="261"/>
      <c r="U751" s="261"/>
      <c r="V751" s="762"/>
      <c r="W751" s="261"/>
      <c r="X751" s="261"/>
      <c r="Y751" s="264">
        <f>IF(NFI_Expiration=1,IF($A751&lt;VLOOKUP(H$5,NFI,5,0),1,0)*Table_NFI[[#This Row],[Hygiene Kit]],Table_NFI[Hygiene Kit])</f>
        <v>0</v>
      </c>
      <c r="Z751" s="264">
        <f>IF(NFI_Expiration=1,IF($A751&lt;VLOOKUP(I$5,NFI,5,0),1,0)*Table_NFI[[#This Row],[NFI Core Kit]],Table_NFI[NFI Core Kit])</f>
        <v>0</v>
      </c>
      <c r="AA751" s="264">
        <f>IF(NFI_Expiration=1,IF($A751&lt;VLOOKUP(J$5,NFI,5,0),1,0)*Table_NFI[[#This Row],[Sanitary Kit]],Table_NFI[Sanitary Kit])</f>
        <v>0</v>
      </c>
      <c r="AB751" s="264">
        <f>IF(NFI_Expiration=1,IF($A751&lt;VLOOKUP(K$5,NFI,5,0),1,0)*Table_NFI[[#This Row],[Mosquito net]],Table_NFI[Mosquito net])</f>
        <v>0</v>
      </c>
      <c r="AC751" s="264">
        <f>IF(NFI_Expiration=1,IF($A751&lt;VLOOKUP(L$5,NFI,5,0),1,0)*Table_NFI[[#This Row],[Tarpaulin]],Table_NFI[[#This Row],[Tarpaulin]])</f>
        <v>0</v>
      </c>
      <c r="AD751" s="264">
        <f>IF(NFI_Expiration=1,IF($A751&lt;VLOOKUP(M$5,NFI,5,0),1,0)*Table_NFI[[#This Row],[Blanket]],Table_NFI[[#This Row],[Blanket]])</f>
        <v>0</v>
      </c>
      <c r="AE751" s="264">
        <f>IF(NFI_Expiration=1,IF($A751&lt;VLOOKUP(N$5,NFI,5,0),1,0)*Table_NFI[[#This Row],[Kitchen Set]],Table_NFI[Kitchen Set])</f>
        <v>0</v>
      </c>
      <c r="AF751" s="264">
        <f>IF(NFI_Expiration=1,IF($A751&lt;VLOOKUP(O$5,NFI,5,0),1,0)*Table_NFI[[#This Row],[Clothes Kit]],Table_NFI[Clothes Kit])</f>
        <v>0</v>
      </c>
      <c r="AG751" s="264">
        <f>IF(NFI_Expiration=1,IF($A751&lt;VLOOKUP(P$5,NFI,5,0),1,0)*Table_NFI[[#This Row],[Plastic Bucket]],Table_NFI[Plastic Bucket])</f>
        <v>0</v>
      </c>
      <c r="AH751" s="264">
        <f>IF(NFI_Expiration=1,IF($A751&lt;VLOOKUP(Q$5,NFI,5,0),1,0)*Table_NFI[[#This Row],[Plastic Mat]],Table_NFI[Plastic Mat])*IF(Table_NFI[[#This Row],[Distribution Date]]&gt;"2014-04-01",1,2.5)</f>
        <v>0</v>
      </c>
      <c r="AI751" s="264">
        <f>IF(NFI_Expiration=1,IF($A751&lt;VLOOKUP(R$5,NFI,5,0),1,0)*Table_NFI[[#This Row],[Winter Clothes Adult]],Table_NFI[Winter Clothes Adult])</f>
        <v>0</v>
      </c>
      <c r="AJ751" s="264">
        <f>IF(NFI_Expiration=1,IF($A751&lt;VLOOKUP(S$5,NFI,5,0),1,0)*Table_NFI[[#This Row],[Winter Clothes Children]],Table_NFI[Winter Clothes Children])</f>
        <v>0</v>
      </c>
      <c r="AK751" s="264">
        <f>IF(NFI_Expiration=1,IF($A751&lt;VLOOKUP(T$5,NFI,5,0),1,0)*Table_NFI[[#This Row],[Winter Items Other]],Table_NFI[Winter Items Other])</f>
        <v>0</v>
      </c>
      <c r="AL751" s="264">
        <f>IF(NFI_Expiration=1,IF($A751&lt;VLOOKUP(M$5,NFI,5,0),1,0)*Table_NFI[[#This Row],[Winter Blanket]],Table_NFI[[#This Row],[Winter Blanket]])</f>
        <v>0</v>
      </c>
      <c r="AM751" s="264">
        <f>IF(Table_NFI[[#This Row],[Winter Clothes Adult]]+Table_NFI[[#This Row],[Winter Clothes Children]]+Table_NFI[[#This Row],[Winter Items Other]]+Table_NFI[[#This Row],[Winter Blanket]]&gt;0,1,0)</f>
        <v>0</v>
      </c>
      <c r="AN751" s="296">
        <f>IF(NFI_Expiration=1,IF($A751&lt;VLOOKUP(V$5,NFI,5,0),1,0)*Table_NFI[[#This Row],[Jerry Can]],Table_NFI[Jerry Can])</f>
        <v>0</v>
      </c>
      <c r="AO751" s="296">
        <f>IF(NFI_Expiration=1,IF($A751&lt;VLOOKUP(V$5,NFI,5,0),1,0)*Table_NFI[[#This Row],[Shelter Tool kit]],Table_NFI[Shelter Tool kit])</f>
        <v>0</v>
      </c>
      <c r="AP751" s="296">
        <f>IF(NFI_Expiration=1,IF($A751&lt;VLOOKUP(V$5,NFI,5,0),1,0)*Table_NFI[[#This Row],[Tent]],Table_NFI[Tent])</f>
        <v>0</v>
      </c>
      <c r="AQ751" s="396" t="str">
        <f>IFERROR(VLOOKUP(Table_NFI[[#This Row],[Camp Name]],CL,2,0),"")</f>
        <v>MMR001CMP094</v>
      </c>
      <c r="AR751" s="702">
        <f ca="1">IF(Table_NFI[[#This Row],[Pcode]]="","",IF(OFFSET(CampList[Opening Date],MATCH(Table_NFI[[#This Row],[Pcode]],CampList[CP_Pcode],0)-1,0,1,1)&gt;=NFI_Monitor_Date,1,0))</f>
        <v>0</v>
      </c>
      <c r="AS751" s="396" t="str">
        <f>IFERROR(VLOOKUP(Table_NFI[[#This Row],[Camp Name]],CL,3,0),"")</f>
        <v>Closed</v>
      </c>
      <c r="AT751" s="264" t="str">
        <f ca="1">IF(Table_NFI[[#This Row],[Pcode]]="","",OFFSET(CampList[Priority],MATCH(Table_NFI[[#This Row],[Pcode]],CampList[CP_Pcode],0)-1,0,1,1))</f>
        <v/>
      </c>
      <c r="AU751" s="263" t="str">
        <f>IFERROR(Table_NFI[[#This Row],[Kitchen Set]]/VLOOKUP(Table_NFI[[#This Row],[Camp Name]],CL,4,0),"")</f>
        <v/>
      </c>
      <c r="AV751" s="390" t="s">
        <v>1087</v>
      </c>
      <c r="AW751" s="392"/>
      <c r="AX751" s="399"/>
      <c r="AY751" s="399"/>
      <c r="AZ751" s="399"/>
      <c r="BA751" s="399"/>
      <c r="BB751" s="399"/>
      <c r="BC751" s="399"/>
      <c r="BD751" s="399"/>
      <c r="BE751" s="399"/>
      <c r="BF751" s="399"/>
      <c r="BG751" s="399"/>
      <c r="BH751" s="399"/>
      <c r="BI751" s="399"/>
      <c r="BJ751" s="399"/>
      <c r="BK751" s="399"/>
      <c r="BL751" s="399"/>
      <c r="BM751" s="399"/>
      <c r="BN751" s="399"/>
      <c r="BO751" s="399"/>
      <c r="BP751" s="399"/>
      <c r="BQ751" s="399"/>
      <c r="BR751" s="399"/>
      <c r="BS751" s="399"/>
      <c r="BT751" s="399"/>
      <c r="BU751" s="399"/>
      <c r="BV751" s="399"/>
      <c r="BW751" s="399"/>
      <c r="BX751" s="399"/>
      <c r="BY751" s="399"/>
      <c r="BZ751" s="399"/>
      <c r="CA751" s="399"/>
      <c r="CB751" s="399"/>
      <c r="CC751" s="399"/>
      <c r="CD751" s="399"/>
      <c r="CE751" s="399"/>
      <c r="CF751" s="399"/>
      <c r="CG751" s="399"/>
      <c r="CH751" s="399"/>
      <c r="CI751" s="399"/>
      <c r="CJ751" s="399"/>
      <c r="CK751" s="399"/>
      <c r="CL751" s="399"/>
      <c r="CM751" s="399"/>
      <c r="CN751" s="399"/>
      <c r="CO751" s="399"/>
      <c r="CP751" s="399"/>
      <c r="CQ751" s="399"/>
      <c r="CR751" s="399"/>
      <c r="CS751" s="399"/>
      <c r="CT751" s="399"/>
      <c r="CU751" s="399"/>
      <c r="CV751" s="399"/>
      <c r="CW751" s="399"/>
      <c r="CX751" s="399"/>
      <c r="CY751" s="399"/>
      <c r="CZ751" s="399"/>
      <c r="DA751" s="399"/>
      <c r="DB751" s="399"/>
      <c r="DC751" s="399"/>
      <c r="DD751" s="399"/>
      <c r="DE751" s="399"/>
      <c r="DF751" s="399"/>
      <c r="DG751" s="399"/>
      <c r="DH751" s="399"/>
      <c r="DI751" s="399"/>
      <c r="DJ751" s="399"/>
      <c r="DK751" s="399"/>
      <c r="DL751" s="399"/>
      <c r="DM751" s="399"/>
      <c r="DN751" s="399"/>
      <c r="DO751" s="399"/>
      <c r="DP751" s="399"/>
      <c r="DQ751" s="399"/>
    </row>
    <row r="752" spans="1:121" s="760" customFormat="1" ht="14.45" customHeight="1" x14ac:dyDescent="0.25">
      <c r="A752" s="266">
        <f t="shared" si="11"/>
        <v>48</v>
      </c>
      <c r="B752" s="389">
        <v>41416</v>
      </c>
      <c r="C752" s="390" t="s">
        <v>451</v>
      </c>
      <c r="D752" s="390" t="s">
        <v>451</v>
      </c>
      <c r="E752" s="390" t="s">
        <v>380</v>
      </c>
      <c r="F752" s="390" t="s">
        <v>526</v>
      </c>
      <c r="G752" s="262" t="s">
        <v>110</v>
      </c>
      <c r="H752" s="261"/>
      <c r="I752" s="261"/>
      <c r="J752" s="261">
        <v>273</v>
      </c>
      <c r="K752" s="261">
        <v>339</v>
      </c>
      <c r="L752" s="261">
        <v>151</v>
      </c>
      <c r="M752" s="261">
        <v>339</v>
      </c>
      <c r="N752" s="261">
        <v>151</v>
      </c>
      <c r="O752" s="261">
        <v>151</v>
      </c>
      <c r="P752" s="261">
        <v>151</v>
      </c>
      <c r="Q752" s="261">
        <v>151</v>
      </c>
      <c r="R752" s="261"/>
      <c r="S752" s="261"/>
      <c r="T752" s="261"/>
      <c r="U752" s="261"/>
      <c r="V752" s="762"/>
      <c r="W752" s="261"/>
      <c r="X752" s="261"/>
      <c r="Y752" s="264">
        <f>IF(NFI_Expiration=1,IF($A752&lt;VLOOKUP(H$5,NFI,5,0),1,0)*Table_NFI[[#This Row],[Hygiene Kit]],Table_NFI[Hygiene Kit])</f>
        <v>0</v>
      </c>
      <c r="Z752" s="264">
        <f>IF(NFI_Expiration=1,IF($A752&lt;VLOOKUP(I$5,NFI,5,0),1,0)*Table_NFI[[#This Row],[NFI Core Kit]],Table_NFI[NFI Core Kit])</f>
        <v>0</v>
      </c>
      <c r="AA752" s="264">
        <f>IF(NFI_Expiration=1,IF($A752&lt;VLOOKUP(J$5,NFI,5,0),1,0)*Table_NFI[[#This Row],[Sanitary Kit]],Table_NFI[Sanitary Kit])</f>
        <v>0</v>
      </c>
      <c r="AB752" s="264">
        <f>IF(NFI_Expiration=1,IF($A752&lt;VLOOKUP(K$5,NFI,5,0),1,0)*Table_NFI[[#This Row],[Mosquito net]],Table_NFI[Mosquito net])</f>
        <v>0</v>
      </c>
      <c r="AC752" s="264">
        <f>IF(NFI_Expiration=1,IF($A752&lt;VLOOKUP(L$5,NFI,5,0),1,0)*Table_NFI[[#This Row],[Tarpaulin]],Table_NFI[[#This Row],[Tarpaulin]])</f>
        <v>0</v>
      </c>
      <c r="AD752" s="264">
        <f>IF(NFI_Expiration=1,IF($A752&lt;VLOOKUP(M$5,NFI,5,0),1,0)*Table_NFI[[#This Row],[Blanket]],Table_NFI[[#This Row],[Blanket]])</f>
        <v>0</v>
      </c>
      <c r="AE752" s="264">
        <f>IF(NFI_Expiration=1,IF($A752&lt;VLOOKUP(N$5,NFI,5,0),1,0)*Table_NFI[[#This Row],[Kitchen Set]],Table_NFI[Kitchen Set])</f>
        <v>0</v>
      </c>
      <c r="AF752" s="264">
        <f>IF(NFI_Expiration=1,IF($A752&lt;VLOOKUP(O$5,NFI,5,0),1,0)*Table_NFI[[#This Row],[Clothes Kit]],Table_NFI[Clothes Kit])</f>
        <v>0</v>
      </c>
      <c r="AG752" s="264">
        <f>IF(NFI_Expiration=1,IF($A752&lt;VLOOKUP(P$5,NFI,5,0),1,0)*Table_NFI[[#This Row],[Plastic Bucket]],Table_NFI[Plastic Bucket])</f>
        <v>0</v>
      </c>
      <c r="AH752" s="264">
        <f>IF(NFI_Expiration=1,IF($A752&lt;VLOOKUP(Q$5,NFI,5,0),1,0)*Table_NFI[[#This Row],[Plastic Mat]],Table_NFI[Plastic Mat])*IF(Table_NFI[[#This Row],[Distribution Date]]&gt;"2014-04-01",1,2.5)</f>
        <v>0</v>
      </c>
      <c r="AI752" s="264">
        <f>IF(NFI_Expiration=1,IF($A752&lt;VLOOKUP(R$5,NFI,5,0),1,0)*Table_NFI[[#This Row],[Winter Clothes Adult]],Table_NFI[Winter Clothes Adult])</f>
        <v>0</v>
      </c>
      <c r="AJ752" s="264">
        <f>IF(NFI_Expiration=1,IF($A752&lt;VLOOKUP(S$5,NFI,5,0),1,0)*Table_NFI[[#This Row],[Winter Clothes Children]],Table_NFI[Winter Clothes Children])</f>
        <v>0</v>
      </c>
      <c r="AK752" s="264">
        <f>IF(NFI_Expiration=1,IF($A752&lt;VLOOKUP(T$5,NFI,5,0),1,0)*Table_NFI[[#This Row],[Winter Items Other]],Table_NFI[Winter Items Other])</f>
        <v>0</v>
      </c>
      <c r="AL752" s="264">
        <f>IF(NFI_Expiration=1,IF($A752&lt;VLOOKUP(M$5,NFI,5,0),1,0)*Table_NFI[[#This Row],[Winter Blanket]],Table_NFI[[#This Row],[Winter Blanket]])</f>
        <v>0</v>
      </c>
      <c r="AM752" s="264">
        <f>IF(Table_NFI[[#This Row],[Winter Clothes Adult]]+Table_NFI[[#This Row],[Winter Clothes Children]]+Table_NFI[[#This Row],[Winter Items Other]]+Table_NFI[[#This Row],[Winter Blanket]]&gt;0,1,0)</f>
        <v>0</v>
      </c>
      <c r="AN752" s="296">
        <f>IF(NFI_Expiration=1,IF($A752&lt;VLOOKUP(V$5,NFI,5,0),1,0)*Table_NFI[[#This Row],[Jerry Can]],Table_NFI[Jerry Can])</f>
        <v>0</v>
      </c>
      <c r="AO752" s="296">
        <f>IF(NFI_Expiration=1,IF($A752&lt;VLOOKUP(V$5,NFI,5,0),1,0)*Table_NFI[[#This Row],[Shelter Tool kit]],Table_NFI[Shelter Tool kit])</f>
        <v>0</v>
      </c>
      <c r="AP752" s="296">
        <f>IF(NFI_Expiration=1,IF($A752&lt;VLOOKUP(V$5,NFI,5,0),1,0)*Table_NFI[[#This Row],[Tent]],Table_NFI[Tent])</f>
        <v>0</v>
      </c>
      <c r="AQ752" s="396" t="str">
        <f>IFERROR(VLOOKUP(Table_NFI[[#This Row],[Camp Name]],CL,2,0),"")</f>
        <v>MMR001CMP082</v>
      </c>
      <c r="AR752" s="702">
        <f ca="1">IF(Table_NFI[[#This Row],[Pcode]]="","",IF(OFFSET(CampList[Opening Date],MATCH(Table_NFI[[#This Row],[Pcode]],CampList[CP_Pcode],0)-1,0,1,1)&gt;=NFI_Monitor_Date,1,0))</f>
        <v>0</v>
      </c>
      <c r="AS752" s="396" t="str">
        <f>IFERROR(VLOOKUP(Table_NFI[[#This Row],[Camp Name]],CL,3,0),"")</f>
        <v>Closed</v>
      </c>
      <c r="AT752" s="264" t="str">
        <f ca="1">IF(Table_NFI[[#This Row],[Pcode]]="","",OFFSET(CampList[Priority],MATCH(Table_NFI[[#This Row],[Pcode]],CampList[CP_Pcode],0)-1,0,1,1))</f>
        <v/>
      </c>
      <c r="AU752" s="263">
        <f>IFERROR(Table_NFI[[#This Row],[Kitchen Set]]/VLOOKUP(Table_NFI[[#This Row],[Camp Name]],CL,4,0),"")</f>
        <v>3.6720003890861339E-3</v>
      </c>
      <c r="AV752" s="390" t="s">
        <v>1087</v>
      </c>
      <c r="AW752" s="392"/>
      <c r="AX752" s="399"/>
      <c r="AY752" s="399"/>
      <c r="AZ752" s="399"/>
      <c r="BA752" s="399"/>
      <c r="BB752" s="399"/>
      <c r="BC752" s="399"/>
      <c r="BD752" s="399"/>
      <c r="BE752" s="399"/>
      <c r="BF752" s="399"/>
      <c r="BG752" s="399"/>
      <c r="BH752" s="399"/>
      <c r="BI752" s="399"/>
      <c r="BJ752" s="399"/>
      <c r="BK752" s="399"/>
      <c r="BL752" s="399"/>
      <c r="BM752" s="399"/>
      <c r="BN752" s="399"/>
      <c r="BO752" s="399"/>
      <c r="BP752" s="399"/>
      <c r="BQ752" s="399"/>
      <c r="BR752" s="399"/>
      <c r="BS752" s="399"/>
      <c r="BT752" s="399"/>
      <c r="BU752" s="399"/>
      <c r="BV752" s="399"/>
      <c r="BW752" s="399"/>
      <c r="BX752" s="399"/>
      <c r="BY752" s="399"/>
      <c r="BZ752" s="399"/>
      <c r="CA752" s="399"/>
      <c r="CB752" s="399"/>
      <c r="CC752" s="399"/>
      <c r="CD752" s="399"/>
      <c r="CE752" s="399"/>
      <c r="CF752" s="399"/>
      <c r="CG752" s="399"/>
      <c r="CH752" s="399"/>
      <c r="CI752" s="399"/>
      <c r="CJ752" s="399"/>
      <c r="CK752" s="399"/>
      <c r="CL752" s="399"/>
      <c r="CM752" s="399"/>
      <c r="CN752" s="399"/>
      <c r="CO752" s="399"/>
      <c r="CP752" s="399"/>
      <c r="CQ752" s="399"/>
      <c r="CR752" s="399"/>
      <c r="CS752" s="399"/>
      <c r="CT752" s="399"/>
      <c r="CU752" s="399"/>
      <c r="CV752" s="399"/>
      <c r="CW752" s="399"/>
      <c r="CX752" s="399"/>
      <c r="CY752" s="399"/>
      <c r="CZ752" s="399"/>
      <c r="DA752" s="399"/>
      <c r="DB752" s="399"/>
      <c r="DC752" s="399"/>
      <c r="DD752" s="399"/>
      <c r="DE752" s="399"/>
      <c r="DF752" s="399"/>
      <c r="DG752" s="399"/>
      <c r="DH752" s="399"/>
      <c r="DI752" s="399"/>
      <c r="DJ752" s="399"/>
      <c r="DK752" s="399"/>
      <c r="DL752" s="399"/>
      <c r="DM752" s="399"/>
      <c r="DN752" s="399"/>
      <c r="DO752" s="399"/>
      <c r="DP752" s="399"/>
      <c r="DQ752" s="399"/>
    </row>
    <row r="753" spans="1:121" s="760" customFormat="1" ht="14.45" customHeight="1" x14ac:dyDescent="0.25">
      <c r="A753" s="266">
        <f t="shared" si="11"/>
        <v>48.2</v>
      </c>
      <c r="B753" s="389">
        <v>41410</v>
      </c>
      <c r="C753" s="390" t="s">
        <v>900</v>
      </c>
      <c r="D753" s="390" t="s">
        <v>505</v>
      </c>
      <c r="E753" s="390" t="s">
        <v>380</v>
      </c>
      <c r="F753" s="262" t="s">
        <v>526</v>
      </c>
      <c r="G753" s="262" t="s">
        <v>108</v>
      </c>
      <c r="H753" s="261">
        <v>423</v>
      </c>
      <c r="I753" s="261"/>
      <c r="J753" s="261"/>
      <c r="K753" s="261"/>
      <c r="L753" s="261"/>
      <c r="M753" s="261"/>
      <c r="N753" s="261"/>
      <c r="O753" s="261"/>
      <c r="P753" s="261"/>
      <c r="Q753" s="261"/>
      <c r="R753" s="261"/>
      <c r="S753" s="261"/>
      <c r="T753" s="261"/>
      <c r="U753" s="261"/>
      <c r="V753" s="762"/>
      <c r="W753" s="261"/>
      <c r="X753" s="261"/>
      <c r="Y753" s="264">
        <f>IF(NFI_Expiration=1,IF($A753&lt;VLOOKUP(H$5,NFI,5,0),1,0)*Table_NFI[[#This Row],[Hygiene Kit]],Table_NFI[Hygiene Kit])</f>
        <v>0</v>
      </c>
      <c r="Z753" s="264">
        <f>IF(NFI_Expiration=1,IF($A753&lt;VLOOKUP(I$5,NFI,5,0),1,0)*Table_NFI[[#This Row],[NFI Core Kit]],Table_NFI[NFI Core Kit])</f>
        <v>0</v>
      </c>
      <c r="AA753" s="264">
        <f>IF(NFI_Expiration=1,IF($A753&lt;VLOOKUP(J$5,NFI,5,0),1,0)*Table_NFI[[#This Row],[Sanitary Kit]],Table_NFI[Sanitary Kit])</f>
        <v>0</v>
      </c>
      <c r="AB753" s="264">
        <f>IF(NFI_Expiration=1,IF($A753&lt;VLOOKUP(K$5,NFI,5,0),1,0)*Table_NFI[[#This Row],[Mosquito net]],Table_NFI[Mosquito net])</f>
        <v>0</v>
      </c>
      <c r="AC753" s="264">
        <f>IF(NFI_Expiration=1,IF($A753&lt;VLOOKUP(L$5,NFI,5,0),1,0)*Table_NFI[[#This Row],[Tarpaulin]],Table_NFI[[#This Row],[Tarpaulin]])</f>
        <v>0</v>
      </c>
      <c r="AD753" s="264">
        <f>IF(NFI_Expiration=1,IF($A753&lt;VLOOKUP(M$5,NFI,5,0),1,0)*Table_NFI[[#This Row],[Blanket]],Table_NFI[[#This Row],[Blanket]])</f>
        <v>0</v>
      </c>
      <c r="AE753" s="264">
        <f>IF(NFI_Expiration=1,IF($A753&lt;VLOOKUP(N$5,NFI,5,0),1,0)*Table_NFI[[#This Row],[Kitchen Set]],Table_NFI[Kitchen Set])</f>
        <v>0</v>
      </c>
      <c r="AF753" s="264">
        <f>IF(NFI_Expiration=1,IF($A753&lt;VLOOKUP(O$5,NFI,5,0),1,0)*Table_NFI[[#This Row],[Clothes Kit]],Table_NFI[Clothes Kit])</f>
        <v>0</v>
      </c>
      <c r="AG753" s="264">
        <f>IF(NFI_Expiration=1,IF($A753&lt;VLOOKUP(P$5,NFI,5,0),1,0)*Table_NFI[[#This Row],[Plastic Bucket]],Table_NFI[Plastic Bucket])</f>
        <v>0</v>
      </c>
      <c r="AH753" s="264">
        <f>IF(NFI_Expiration=1,IF($A753&lt;VLOOKUP(Q$5,NFI,5,0),1,0)*Table_NFI[[#This Row],[Plastic Mat]],Table_NFI[Plastic Mat])*IF(Table_NFI[[#This Row],[Distribution Date]]&gt;"2014-04-01",1,2.5)</f>
        <v>0</v>
      </c>
      <c r="AI753" s="264">
        <f>IF(NFI_Expiration=1,IF($A753&lt;VLOOKUP(R$5,NFI,5,0),1,0)*Table_NFI[[#This Row],[Winter Clothes Adult]],Table_NFI[Winter Clothes Adult])</f>
        <v>0</v>
      </c>
      <c r="AJ753" s="264">
        <f>IF(NFI_Expiration=1,IF($A753&lt;VLOOKUP(S$5,NFI,5,0),1,0)*Table_NFI[[#This Row],[Winter Clothes Children]],Table_NFI[Winter Clothes Children])</f>
        <v>0</v>
      </c>
      <c r="AK753" s="264">
        <f>IF(NFI_Expiration=1,IF($A753&lt;VLOOKUP(T$5,NFI,5,0),1,0)*Table_NFI[[#This Row],[Winter Items Other]],Table_NFI[Winter Items Other])</f>
        <v>0</v>
      </c>
      <c r="AL753" s="264">
        <f>IF(NFI_Expiration=1,IF($A753&lt;VLOOKUP(M$5,NFI,5,0),1,0)*Table_NFI[[#This Row],[Winter Blanket]],Table_NFI[[#This Row],[Winter Blanket]])</f>
        <v>0</v>
      </c>
      <c r="AM753" s="264">
        <f>IF(Table_NFI[[#This Row],[Winter Clothes Adult]]+Table_NFI[[#This Row],[Winter Clothes Children]]+Table_NFI[[#This Row],[Winter Items Other]]+Table_NFI[[#This Row],[Winter Blanket]]&gt;0,1,0)</f>
        <v>0</v>
      </c>
      <c r="AN753" s="296">
        <f>IF(NFI_Expiration=1,IF($A753&lt;VLOOKUP(V$5,NFI,5,0),1,0)*Table_NFI[[#This Row],[Jerry Can]],Table_NFI[Jerry Can])</f>
        <v>0</v>
      </c>
      <c r="AO753" s="296">
        <f>IF(NFI_Expiration=1,IF($A753&lt;VLOOKUP(V$5,NFI,5,0),1,0)*Table_NFI[[#This Row],[Shelter Tool kit]],Table_NFI[Shelter Tool kit])</f>
        <v>0</v>
      </c>
      <c r="AP753" s="296">
        <f>IF(NFI_Expiration=1,IF($A753&lt;VLOOKUP(V$5,NFI,5,0),1,0)*Table_NFI[[#This Row],[Tent]],Table_NFI[Tent])</f>
        <v>0</v>
      </c>
      <c r="AQ753" s="396" t="str">
        <f>IFERROR(VLOOKUP(Table_NFI[[#This Row],[Camp Name]],CL,2,0),"")</f>
        <v>MMR001CMP103</v>
      </c>
      <c r="AR753" s="702">
        <f ca="1">IF(Table_NFI[[#This Row],[Pcode]]="","",IF(OFFSET(CampList[Opening Date],MATCH(Table_NFI[[#This Row],[Pcode]],CampList[CP_Pcode],0)-1,0,1,1)&gt;=NFI_Monitor_Date,1,0))</f>
        <v>0</v>
      </c>
      <c r="AS753" s="396" t="str">
        <f>IFERROR(VLOOKUP(Table_NFI[[#This Row],[Camp Name]],CL,3,0),"")</f>
        <v>Open</v>
      </c>
      <c r="AT753" s="264" t="str">
        <f ca="1">IF(Table_NFI[[#This Row],[Pcode]]="","",OFFSET(CampList[Priority],MATCH(Table_NFI[[#This Row],[Pcode]],CampList[CP_Pcode],0)-1,0,1,1))</f>
        <v>P4</v>
      </c>
      <c r="AU753" s="263">
        <f>IFERROR(Table_NFI[[#This Row],[Kitchen Set]]/VLOOKUP(Table_NFI[[#This Row],[Camp Name]],CL,4,0),"")</f>
        <v>0</v>
      </c>
      <c r="AV753" s="390" t="s">
        <v>1087</v>
      </c>
      <c r="AW753" s="392"/>
      <c r="AX753" s="399"/>
      <c r="AY753" s="399"/>
      <c r="AZ753" s="399"/>
      <c r="BA753" s="399"/>
      <c r="BB753" s="399"/>
      <c r="BC753" s="399"/>
      <c r="BD753" s="399"/>
      <c r="BE753" s="399"/>
      <c r="BF753" s="399"/>
      <c r="BG753" s="399"/>
      <c r="BH753" s="399"/>
      <c r="BI753" s="399"/>
      <c r="BJ753" s="399"/>
      <c r="BK753" s="399"/>
      <c r="BL753" s="399"/>
      <c r="BM753" s="399"/>
      <c r="BN753" s="399"/>
      <c r="BO753" s="399"/>
      <c r="BP753" s="399"/>
      <c r="BQ753" s="399"/>
      <c r="BR753" s="399"/>
      <c r="BS753" s="399"/>
      <c r="BT753" s="399"/>
      <c r="BU753" s="399"/>
      <c r="BV753" s="399"/>
      <c r="BW753" s="399"/>
      <c r="BX753" s="399"/>
      <c r="BY753" s="399"/>
      <c r="BZ753" s="399"/>
      <c r="CA753" s="399"/>
      <c r="CB753" s="399"/>
      <c r="CC753" s="399"/>
      <c r="CD753" s="399"/>
      <c r="CE753" s="399"/>
      <c r="CF753" s="399"/>
      <c r="CG753" s="399"/>
      <c r="CH753" s="399"/>
      <c r="CI753" s="399"/>
      <c r="CJ753" s="399"/>
      <c r="CK753" s="399"/>
      <c r="CL753" s="399"/>
      <c r="CM753" s="399"/>
      <c r="CN753" s="399"/>
      <c r="CO753" s="399"/>
      <c r="CP753" s="399"/>
      <c r="CQ753" s="399"/>
      <c r="CR753" s="399"/>
      <c r="CS753" s="399"/>
      <c r="CT753" s="399"/>
      <c r="CU753" s="399"/>
      <c r="CV753" s="399"/>
      <c r="CW753" s="399"/>
      <c r="CX753" s="399"/>
      <c r="CY753" s="399"/>
      <c r="CZ753" s="399"/>
      <c r="DA753" s="399"/>
      <c r="DB753" s="399"/>
      <c r="DC753" s="399"/>
      <c r="DD753" s="399"/>
      <c r="DE753" s="399"/>
      <c r="DF753" s="399"/>
      <c r="DG753" s="399"/>
      <c r="DH753" s="399"/>
      <c r="DI753" s="399"/>
      <c r="DJ753" s="399"/>
      <c r="DK753" s="399"/>
      <c r="DL753" s="399"/>
      <c r="DM753" s="399"/>
      <c r="DN753" s="399"/>
      <c r="DO753" s="399"/>
      <c r="DP753" s="399"/>
      <c r="DQ753" s="399"/>
    </row>
    <row r="754" spans="1:121" s="760" customFormat="1" ht="14.45" customHeight="1" x14ac:dyDescent="0.25">
      <c r="A754" s="266">
        <f t="shared" si="11"/>
        <v>48.2</v>
      </c>
      <c r="B754" s="389">
        <v>41410</v>
      </c>
      <c r="C754" s="390" t="s">
        <v>900</v>
      </c>
      <c r="D754" s="390" t="s">
        <v>505</v>
      </c>
      <c r="E754" s="390" t="s">
        <v>380</v>
      </c>
      <c r="F754" s="390" t="s">
        <v>526</v>
      </c>
      <c r="G754" s="262" t="s">
        <v>908</v>
      </c>
      <c r="H754" s="261">
        <v>394</v>
      </c>
      <c r="I754" s="261"/>
      <c r="J754" s="261"/>
      <c r="K754" s="261"/>
      <c r="L754" s="261"/>
      <c r="M754" s="261"/>
      <c r="N754" s="261"/>
      <c r="O754" s="261"/>
      <c r="P754" s="261"/>
      <c r="Q754" s="261"/>
      <c r="R754" s="261"/>
      <c r="S754" s="261"/>
      <c r="T754" s="261"/>
      <c r="U754" s="261"/>
      <c r="V754" s="762"/>
      <c r="W754" s="261"/>
      <c r="X754" s="261"/>
      <c r="Y754" s="264">
        <f>IF(NFI_Expiration=1,IF($A754&lt;VLOOKUP(H$5,NFI,5,0),1,0)*Table_NFI[[#This Row],[Hygiene Kit]],Table_NFI[Hygiene Kit])</f>
        <v>0</v>
      </c>
      <c r="Z754" s="264">
        <f>IF(NFI_Expiration=1,IF($A754&lt;VLOOKUP(I$5,NFI,5,0),1,0)*Table_NFI[[#This Row],[NFI Core Kit]],Table_NFI[NFI Core Kit])</f>
        <v>0</v>
      </c>
      <c r="AA754" s="264">
        <f>IF(NFI_Expiration=1,IF($A754&lt;VLOOKUP(J$5,NFI,5,0),1,0)*Table_NFI[[#This Row],[Sanitary Kit]],Table_NFI[Sanitary Kit])</f>
        <v>0</v>
      </c>
      <c r="AB754" s="264">
        <f>IF(NFI_Expiration=1,IF($A754&lt;VLOOKUP(K$5,NFI,5,0),1,0)*Table_NFI[[#This Row],[Mosquito net]],Table_NFI[Mosquito net])</f>
        <v>0</v>
      </c>
      <c r="AC754" s="264">
        <f>IF(NFI_Expiration=1,IF($A754&lt;VLOOKUP(L$5,NFI,5,0),1,0)*Table_NFI[[#This Row],[Tarpaulin]],Table_NFI[[#This Row],[Tarpaulin]])</f>
        <v>0</v>
      </c>
      <c r="AD754" s="264">
        <f>IF(NFI_Expiration=1,IF($A754&lt;VLOOKUP(M$5,NFI,5,0),1,0)*Table_NFI[[#This Row],[Blanket]],Table_NFI[[#This Row],[Blanket]])</f>
        <v>0</v>
      </c>
      <c r="AE754" s="264">
        <f>IF(NFI_Expiration=1,IF($A754&lt;VLOOKUP(N$5,NFI,5,0),1,0)*Table_NFI[[#This Row],[Kitchen Set]],Table_NFI[Kitchen Set])</f>
        <v>0</v>
      </c>
      <c r="AF754" s="264">
        <f>IF(NFI_Expiration=1,IF($A754&lt;VLOOKUP(O$5,NFI,5,0),1,0)*Table_NFI[[#This Row],[Clothes Kit]],Table_NFI[Clothes Kit])</f>
        <v>0</v>
      </c>
      <c r="AG754" s="264">
        <f>IF(NFI_Expiration=1,IF($A754&lt;VLOOKUP(P$5,NFI,5,0),1,0)*Table_NFI[[#This Row],[Plastic Bucket]],Table_NFI[Plastic Bucket])</f>
        <v>0</v>
      </c>
      <c r="AH754" s="264">
        <f>IF(NFI_Expiration=1,IF($A754&lt;VLOOKUP(Q$5,NFI,5,0),1,0)*Table_NFI[[#This Row],[Plastic Mat]],Table_NFI[Plastic Mat])*IF(Table_NFI[[#This Row],[Distribution Date]]&gt;"2014-04-01",1,2.5)</f>
        <v>0</v>
      </c>
      <c r="AI754" s="264">
        <f>IF(NFI_Expiration=1,IF($A754&lt;VLOOKUP(R$5,NFI,5,0),1,0)*Table_NFI[[#This Row],[Winter Clothes Adult]],Table_NFI[Winter Clothes Adult])</f>
        <v>0</v>
      </c>
      <c r="AJ754" s="264">
        <f>IF(NFI_Expiration=1,IF($A754&lt;VLOOKUP(S$5,NFI,5,0),1,0)*Table_NFI[[#This Row],[Winter Clothes Children]],Table_NFI[Winter Clothes Children])</f>
        <v>0</v>
      </c>
      <c r="AK754" s="264">
        <f>IF(NFI_Expiration=1,IF($A754&lt;VLOOKUP(T$5,NFI,5,0),1,0)*Table_NFI[[#This Row],[Winter Items Other]],Table_NFI[Winter Items Other])</f>
        <v>0</v>
      </c>
      <c r="AL754" s="264">
        <f>IF(NFI_Expiration=1,IF($A754&lt;VLOOKUP(M$5,NFI,5,0),1,0)*Table_NFI[[#This Row],[Winter Blanket]],Table_NFI[[#This Row],[Winter Blanket]])</f>
        <v>0</v>
      </c>
      <c r="AM754" s="264">
        <f>IF(Table_NFI[[#This Row],[Winter Clothes Adult]]+Table_NFI[[#This Row],[Winter Clothes Children]]+Table_NFI[[#This Row],[Winter Items Other]]+Table_NFI[[#This Row],[Winter Blanket]]&gt;0,1,0)</f>
        <v>0</v>
      </c>
      <c r="AN754" s="296">
        <f>IF(NFI_Expiration=1,IF($A754&lt;VLOOKUP(V$5,NFI,5,0),1,0)*Table_NFI[[#This Row],[Jerry Can]],Table_NFI[Jerry Can])</f>
        <v>0</v>
      </c>
      <c r="AO754" s="296">
        <f>IF(NFI_Expiration=1,IF($A754&lt;VLOOKUP(V$5,NFI,5,0),1,0)*Table_NFI[[#This Row],[Shelter Tool kit]],Table_NFI[Shelter Tool kit])</f>
        <v>0</v>
      </c>
      <c r="AP754" s="296">
        <f>IF(NFI_Expiration=1,IF($A754&lt;VLOOKUP(V$5,NFI,5,0),1,0)*Table_NFI[[#This Row],[Tent]],Table_NFI[Tent])</f>
        <v>0</v>
      </c>
      <c r="AQ754" s="396" t="str">
        <f>IFERROR(VLOOKUP(Table_NFI[[#This Row],[Camp Name]],CL,2,0),"")</f>
        <v/>
      </c>
      <c r="AR754" s="702" t="str">
        <f ca="1">IF(Table_NFI[[#This Row],[Pcode]]="","",IF(OFFSET(CampList[Opening Date],MATCH(Table_NFI[[#This Row],[Pcode]],CampList[CP_Pcode],0)-1,0,1,1)&gt;=NFI_Monitor_Date,1,0))</f>
        <v/>
      </c>
      <c r="AS754" s="396" t="str">
        <f>IFERROR(VLOOKUP(Table_NFI[[#This Row],[Camp Name]],CL,3,0),"")</f>
        <v/>
      </c>
      <c r="AT754" s="264" t="str">
        <f ca="1">IF(Table_NFI[[#This Row],[Pcode]]="","",OFFSET(CampList[Priority],MATCH(Table_NFI[[#This Row],[Pcode]],CampList[CP_Pcode],0)-1,0,1,1))</f>
        <v/>
      </c>
      <c r="AU754" s="263" t="str">
        <f>IFERROR(Table_NFI[[#This Row],[Kitchen Set]]/VLOOKUP(Table_NFI[[#This Row],[Camp Name]],CL,4,0),"")</f>
        <v/>
      </c>
      <c r="AV754" s="390" t="s">
        <v>1087</v>
      </c>
      <c r="AW754" s="392"/>
      <c r="AX754" s="399"/>
      <c r="AY754" s="399"/>
      <c r="AZ754" s="399"/>
      <c r="BA754" s="399"/>
      <c r="BB754" s="399"/>
      <c r="BC754" s="399"/>
      <c r="BD754" s="399"/>
      <c r="BE754" s="399"/>
      <c r="BF754" s="399"/>
      <c r="BG754" s="399"/>
      <c r="BH754" s="399"/>
      <c r="BI754" s="399"/>
      <c r="BJ754" s="399"/>
      <c r="BK754" s="399"/>
      <c r="BL754" s="399"/>
      <c r="BM754" s="399"/>
      <c r="BN754" s="399"/>
      <c r="BO754" s="399"/>
      <c r="BP754" s="399"/>
      <c r="BQ754" s="399"/>
      <c r="BR754" s="399"/>
      <c r="BS754" s="399"/>
      <c r="BT754" s="399"/>
      <c r="BU754" s="399"/>
      <c r="BV754" s="399"/>
      <c r="BW754" s="399"/>
      <c r="BX754" s="399"/>
      <c r="BY754" s="399"/>
      <c r="BZ754" s="399"/>
      <c r="CA754" s="399"/>
      <c r="CB754" s="399"/>
      <c r="CC754" s="399"/>
      <c r="CD754" s="399"/>
      <c r="CE754" s="399"/>
      <c r="CF754" s="399"/>
      <c r="CG754" s="399"/>
      <c r="CH754" s="399"/>
      <c r="CI754" s="399"/>
      <c r="CJ754" s="399"/>
      <c r="CK754" s="399"/>
      <c r="CL754" s="399"/>
      <c r="CM754" s="399"/>
      <c r="CN754" s="399"/>
      <c r="CO754" s="399"/>
      <c r="CP754" s="399"/>
      <c r="CQ754" s="399"/>
      <c r="CR754" s="399"/>
      <c r="CS754" s="399"/>
      <c r="CT754" s="399"/>
      <c r="CU754" s="399"/>
      <c r="CV754" s="399"/>
      <c r="CW754" s="399"/>
      <c r="CX754" s="399"/>
      <c r="CY754" s="399"/>
      <c r="CZ754" s="399"/>
      <c r="DA754" s="399"/>
      <c r="DB754" s="399"/>
      <c r="DC754" s="399"/>
      <c r="DD754" s="399"/>
      <c r="DE754" s="399"/>
      <c r="DF754" s="399"/>
      <c r="DG754" s="399"/>
      <c r="DH754" s="399"/>
      <c r="DI754" s="399"/>
      <c r="DJ754" s="399"/>
      <c r="DK754" s="399"/>
      <c r="DL754" s="399"/>
      <c r="DM754" s="399"/>
      <c r="DN754" s="399"/>
      <c r="DO754" s="399"/>
      <c r="DP754" s="399"/>
      <c r="DQ754" s="399"/>
    </row>
    <row r="755" spans="1:121" s="760" customFormat="1" ht="15" customHeight="1" x14ac:dyDescent="0.25">
      <c r="A755" s="266">
        <f t="shared" si="11"/>
        <v>48.2</v>
      </c>
      <c r="B755" s="389">
        <v>41410</v>
      </c>
      <c r="C755" s="390" t="s">
        <v>900</v>
      </c>
      <c r="D755" s="391" t="s">
        <v>505</v>
      </c>
      <c r="E755" s="390" t="s">
        <v>380</v>
      </c>
      <c r="F755" s="262" t="s">
        <v>526</v>
      </c>
      <c r="G755" s="262" t="s">
        <v>64</v>
      </c>
      <c r="H755" s="261">
        <v>103</v>
      </c>
      <c r="I755" s="261"/>
      <c r="J755" s="261"/>
      <c r="K755" s="261"/>
      <c r="L755" s="261"/>
      <c r="M755" s="261"/>
      <c r="N755" s="261"/>
      <c r="O755" s="261"/>
      <c r="P755" s="261"/>
      <c r="Q755" s="261"/>
      <c r="R755" s="261"/>
      <c r="S755" s="261"/>
      <c r="T755" s="261"/>
      <c r="U755" s="261"/>
      <c r="V755" s="762"/>
      <c r="W755" s="261"/>
      <c r="X755" s="261"/>
      <c r="Y755" s="264">
        <f>IF(NFI_Expiration=1,IF($A755&lt;VLOOKUP(H$5,NFI,5,0),1,0)*Table_NFI[[#This Row],[Hygiene Kit]],Table_NFI[Hygiene Kit])</f>
        <v>0</v>
      </c>
      <c r="Z755" s="264">
        <f>IF(NFI_Expiration=1,IF($A755&lt;VLOOKUP(I$5,NFI,5,0),1,0)*Table_NFI[[#This Row],[NFI Core Kit]],Table_NFI[NFI Core Kit])</f>
        <v>0</v>
      </c>
      <c r="AA755" s="264">
        <f>IF(NFI_Expiration=1,IF($A755&lt;VLOOKUP(J$5,NFI,5,0),1,0)*Table_NFI[[#This Row],[Sanitary Kit]],Table_NFI[Sanitary Kit])</f>
        <v>0</v>
      </c>
      <c r="AB755" s="264">
        <f>IF(NFI_Expiration=1,IF($A755&lt;VLOOKUP(K$5,NFI,5,0),1,0)*Table_NFI[[#This Row],[Mosquito net]],Table_NFI[Mosquito net])</f>
        <v>0</v>
      </c>
      <c r="AC755" s="264">
        <f>IF(NFI_Expiration=1,IF($A755&lt;VLOOKUP(L$5,NFI,5,0),1,0)*Table_NFI[[#This Row],[Tarpaulin]],Table_NFI[[#This Row],[Tarpaulin]])</f>
        <v>0</v>
      </c>
      <c r="AD755" s="264">
        <f>IF(NFI_Expiration=1,IF($A755&lt;VLOOKUP(M$5,NFI,5,0),1,0)*Table_NFI[[#This Row],[Blanket]],Table_NFI[[#This Row],[Blanket]])</f>
        <v>0</v>
      </c>
      <c r="AE755" s="264">
        <f>IF(NFI_Expiration=1,IF($A755&lt;VLOOKUP(N$5,NFI,5,0),1,0)*Table_NFI[[#This Row],[Kitchen Set]],Table_NFI[Kitchen Set])</f>
        <v>0</v>
      </c>
      <c r="AF755" s="264">
        <f>IF(NFI_Expiration=1,IF($A755&lt;VLOOKUP(O$5,NFI,5,0),1,0)*Table_NFI[[#This Row],[Clothes Kit]],Table_NFI[Clothes Kit])</f>
        <v>0</v>
      </c>
      <c r="AG755" s="264">
        <f>IF(NFI_Expiration=1,IF($A755&lt;VLOOKUP(P$5,NFI,5,0),1,0)*Table_NFI[[#This Row],[Plastic Bucket]],Table_NFI[Plastic Bucket])</f>
        <v>0</v>
      </c>
      <c r="AH755" s="264">
        <f>IF(NFI_Expiration=1,IF($A755&lt;VLOOKUP(Q$5,NFI,5,0),1,0)*Table_NFI[[#This Row],[Plastic Mat]],Table_NFI[Plastic Mat])*IF(Table_NFI[[#This Row],[Distribution Date]]&gt;"2014-04-01",1,2.5)</f>
        <v>0</v>
      </c>
      <c r="AI755" s="264">
        <f>IF(NFI_Expiration=1,IF($A755&lt;VLOOKUP(R$5,NFI,5,0),1,0)*Table_NFI[[#This Row],[Winter Clothes Adult]],Table_NFI[Winter Clothes Adult])</f>
        <v>0</v>
      </c>
      <c r="AJ755" s="264">
        <f>IF(NFI_Expiration=1,IF($A755&lt;VLOOKUP(S$5,NFI,5,0),1,0)*Table_NFI[[#This Row],[Winter Clothes Children]],Table_NFI[Winter Clothes Children])</f>
        <v>0</v>
      </c>
      <c r="AK755" s="264">
        <f>IF(NFI_Expiration=1,IF($A755&lt;VLOOKUP(T$5,NFI,5,0),1,0)*Table_NFI[[#This Row],[Winter Items Other]],Table_NFI[Winter Items Other])</f>
        <v>0</v>
      </c>
      <c r="AL755" s="264">
        <f>IF(NFI_Expiration=1,IF($A755&lt;VLOOKUP(M$5,NFI,5,0),1,0)*Table_NFI[[#This Row],[Winter Blanket]],Table_NFI[[#This Row],[Winter Blanket]])</f>
        <v>0</v>
      </c>
      <c r="AM755" s="264">
        <f>IF(Table_NFI[[#This Row],[Winter Clothes Adult]]+Table_NFI[[#This Row],[Winter Clothes Children]]+Table_NFI[[#This Row],[Winter Items Other]]+Table_NFI[[#This Row],[Winter Blanket]]&gt;0,1,0)</f>
        <v>0</v>
      </c>
      <c r="AN755" s="296">
        <f>IF(NFI_Expiration=1,IF($A755&lt;VLOOKUP(V$5,NFI,5,0),1,0)*Table_NFI[[#This Row],[Jerry Can]],Table_NFI[Jerry Can])</f>
        <v>0</v>
      </c>
      <c r="AO755" s="296">
        <f>IF(NFI_Expiration=1,IF($A755&lt;VLOOKUP(V$5,NFI,5,0),1,0)*Table_NFI[[#This Row],[Shelter Tool kit]],Table_NFI[Shelter Tool kit])</f>
        <v>0</v>
      </c>
      <c r="AP755" s="296">
        <f>IF(NFI_Expiration=1,IF($A755&lt;VLOOKUP(V$5,NFI,5,0),1,0)*Table_NFI[[#This Row],[Tent]],Table_NFI[Tent])</f>
        <v>0</v>
      </c>
      <c r="AQ755" s="396" t="str">
        <f>IFERROR(VLOOKUP(Table_NFI[[#This Row],[Camp Name]],CL,2,0),"")</f>
        <v>MMR001CMP185</v>
      </c>
      <c r="AR755" s="702">
        <f ca="1">IF(Table_NFI[[#This Row],[Pcode]]="","",IF(OFFSET(CampList[Opening Date],MATCH(Table_NFI[[#This Row],[Pcode]],CampList[CP_Pcode],0)-1,0,1,1)&gt;=NFI_Monitor_Date,1,0))</f>
        <v>0</v>
      </c>
      <c r="AS755" s="396" t="str">
        <f>IFERROR(VLOOKUP(Table_NFI[[#This Row],[Camp Name]],CL,3,0),"")</f>
        <v>Closed</v>
      </c>
      <c r="AT755" s="264" t="str">
        <f ca="1">IF(Table_NFI[[#This Row],[Pcode]]="","",OFFSET(CampList[Priority],MATCH(Table_NFI[[#This Row],[Pcode]],CampList[CP_Pcode],0)-1,0,1,1))</f>
        <v/>
      </c>
      <c r="AU755" s="263">
        <f>IFERROR(Table_NFI[[#This Row],[Kitchen Set]]/VLOOKUP(Table_NFI[[#This Row],[Camp Name]],CL,4,0),"")</f>
        <v>0</v>
      </c>
      <c r="AV755" s="390" t="s">
        <v>1087</v>
      </c>
      <c r="AW755" s="392"/>
      <c r="AX755" s="399"/>
      <c r="AY755" s="399"/>
      <c r="AZ755" s="399"/>
      <c r="BA755" s="399"/>
      <c r="BB755" s="399"/>
      <c r="BC755" s="399"/>
      <c r="BD755" s="399"/>
      <c r="BE755" s="399"/>
      <c r="BF755" s="399"/>
      <c r="BG755" s="399"/>
      <c r="BH755" s="399"/>
      <c r="BI755" s="399"/>
      <c r="BJ755" s="399"/>
      <c r="BK755" s="399"/>
      <c r="BL755" s="399"/>
      <c r="BM755" s="399"/>
      <c r="BN755" s="399"/>
      <c r="BO755" s="399"/>
      <c r="BP755" s="399"/>
      <c r="BQ755" s="399"/>
      <c r="BR755" s="399"/>
      <c r="BS755" s="399"/>
      <c r="BT755" s="399"/>
      <c r="BU755" s="399"/>
      <c r="BV755" s="399"/>
      <c r="BW755" s="399"/>
      <c r="BX755" s="399"/>
      <c r="BY755" s="399"/>
      <c r="BZ755" s="399"/>
      <c r="CA755" s="399"/>
      <c r="CB755" s="399"/>
      <c r="CC755" s="399"/>
      <c r="CD755" s="399"/>
      <c r="CE755" s="399"/>
      <c r="CF755" s="399"/>
      <c r="CG755" s="399"/>
      <c r="CH755" s="399"/>
      <c r="CI755" s="399"/>
      <c r="CJ755" s="399"/>
      <c r="CK755" s="399"/>
      <c r="CL755" s="399"/>
      <c r="CM755" s="399"/>
      <c r="CN755" s="399"/>
      <c r="CO755" s="399"/>
      <c r="CP755" s="399"/>
      <c r="CQ755" s="399"/>
      <c r="CR755" s="399"/>
      <c r="CS755" s="399"/>
      <c r="CT755" s="399"/>
      <c r="CU755" s="399"/>
      <c r="CV755" s="399"/>
      <c r="CW755" s="399"/>
      <c r="CX755" s="399"/>
      <c r="CY755" s="399"/>
      <c r="CZ755" s="399"/>
      <c r="DA755" s="399"/>
      <c r="DB755" s="399"/>
      <c r="DC755" s="399"/>
      <c r="DD755" s="399"/>
      <c r="DE755" s="399"/>
      <c r="DF755" s="399"/>
      <c r="DG755" s="399"/>
      <c r="DH755" s="399"/>
      <c r="DI755" s="399"/>
      <c r="DJ755" s="399"/>
      <c r="DK755" s="399"/>
      <c r="DL755" s="399"/>
      <c r="DM755" s="399"/>
      <c r="DN755" s="399"/>
      <c r="DO755" s="399"/>
      <c r="DP755" s="399"/>
      <c r="DQ755" s="399"/>
    </row>
    <row r="756" spans="1:121" s="760" customFormat="1" ht="15" customHeight="1" x14ac:dyDescent="0.25">
      <c r="A756" s="266">
        <f t="shared" si="11"/>
        <v>48.266666666666666</v>
      </c>
      <c r="B756" s="389">
        <v>41408</v>
      </c>
      <c r="C756" s="390" t="s">
        <v>900</v>
      </c>
      <c r="D756" s="390" t="s">
        <v>505</v>
      </c>
      <c r="E756" s="390" t="s">
        <v>380</v>
      </c>
      <c r="F756" s="390" t="s">
        <v>310</v>
      </c>
      <c r="G756" s="262" t="s">
        <v>334</v>
      </c>
      <c r="H756" s="261">
        <v>604</v>
      </c>
      <c r="I756" s="261"/>
      <c r="J756" s="261"/>
      <c r="K756" s="261"/>
      <c r="L756" s="261"/>
      <c r="M756" s="261"/>
      <c r="N756" s="261"/>
      <c r="O756" s="261"/>
      <c r="P756" s="261"/>
      <c r="Q756" s="261"/>
      <c r="R756" s="261"/>
      <c r="S756" s="261"/>
      <c r="T756" s="261"/>
      <c r="U756" s="261"/>
      <c r="V756" s="762"/>
      <c r="W756" s="261"/>
      <c r="X756" s="261"/>
      <c r="Y756" s="264">
        <f>IF(NFI_Expiration=1,IF($A756&lt;VLOOKUP(H$5,NFI,5,0),1,0)*Table_NFI[[#This Row],[Hygiene Kit]],Table_NFI[Hygiene Kit])</f>
        <v>0</v>
      </c>
      <c r="Z756" s="264">
        <f>IF(NFI_Expiration=1,IF($A756&lt;VLOOKUP(I$5,NFI,5,0),1,0)*Table_NFI[[#This Row],[NFI Core Kit]],Table_NFI[NFI Core Kit])</f>
        <v>0</v>
      </c>
      <c r="AA756" s="264">
        <f>IF(NFI_Expiration=1,IF($A756&lt;VLOOKUP(J$5,NFI,5,0),1,0)*Table_NFI[[#This Row],[Sanitary Kit]],Table_NFI[Sanitary Kit])</f>
        <v>0</v>
      </c>
      <c r="AB756" s="264">
        <f>IF(NFI_Expiration=1,IF($A756&lt;VLOOKUP(K$5,NFI,5,0),1,0)*Table_NFI[[#This Row],[Mosquito net]],Table_NFI[Mosquito net])</f>
        <v>0</v>
      </c>
      <c r="AC756" s="264">
        <f>IF(NFI_Expiration=1,IF($A756&lt;VLOOKUP(L$5,NFI,5,0),1,0)*Table_NFI[[#This Row],[Tarpaulin]],Table_NFI[[#This Row],[Tarpaulin]])</f>
        <v>0</v>
      </c>
      <c r="AD756" s="264">
        <f>IF(NFI_Expiration=1,IF($A756&lt;VLOOKUP(M$5,NFI,5,0),1,0)*Table_NFI[[#This Row],[Blanket]],Table_NFI[[#This Row],[Blanket]])</f>
        <v>0</v>
      </c>
      <c r="AE756" s="264">
        <f>IF(NFI_Expiration=1,IF($A756&lt;VLOOKUP(N$5,NFI,5,0),1,0)*Table_NFI[[#This Row],[Kitchen Set]],Table_NFI[Kitchen Set])</f>
        <v>0</v>
      </c>
      <c r="AF756" s="264">
        <f>IF(NFI_Expiration=1,IF($A756&lt;VLOOKUP(O$5,NFI,5,0),1,0)*Table_NFI[[#This Row],[Clothes Kit]],Table_NFI[Clothes Kit])</f>
        <v>0</v>
      </c>
      <c r="AG756" s="264">
        <f>IF(NFI_Expiration=1,IF($A756&lt;VLOOKUP(P$5,NFI,5,0),1,0)*Table_NFI[[#This Row],[Plastic Bucket]],Table_NFI[Plastic Bucket])</f>
        <v>0</v>
      </c>
      <c r="AH756" s="264">
        <f>IF(NFI_Expiration=1,IF($A756&lt;VLOOKUP(Q$5,NFI,5,0),1,0)*Table_NFI[[#This Row],[Plastic Mat]],Table_NFI[Plastic Mat])*IF(Table_NFI[[#This Row],[Distribution Date]]&gt;"2014-04-01",1,2.5)</f>
        <v>0</v>
      </c>
      <c r="AI756" s="264">
        <f>IF(NFI_Expiration=1,IF($A756&lt;VLOOKUP(R$5,NFI,5,0),1,0)*Table_NFI[[#This Row],[Winter Clothes Adult]],Table_NFI[Winter Clothes Adult])</f>
        <v>0</v>
      </c>
      <c r="AJ756" s="264">
        <f>IF(NFI_Expiration=1,IF($A756&lt;VLOOKUP(S$5,NFI,5,0),1,0)*Table_NFI[[#This Row],[Winter Clothes Children]],Table_NFI[Winter Clothes Children])</f>
        <v>0</v>
      </c>
      <c r="AK756" s="264">
        <f>IF(NFI_Expiration=1,IF($A756&lt;VLOOKUP(T$5,NFI,5,0),1,0)*Table_NFI[[#This Row],[Winter Items Other]],Table_NFI[Winter Items Other])</f>
        <v>0</v>
      </c>
      <c r="AL756" s="264">
        <f>IF(NFI_Expiration=1,IF($A756&lt;VLOOKUP(M$5,NFI,5,0),1,0)*Table_NFI[[#This Row],[Winter Blanket]],Table_NFI[[#This Row],[Winter Blanket]])</f>
        <v>0</v>
      </c>
      <c r="AM756" s="264">
        <f>IF(Table_NFI[[#This Row],[Winter Clothes Adult]]+Table_NFI[[#This Row],[Winter Clothes Children]]+Table_NFI[[#This Row],[Winter Items Other]]+Table_NFI[[#This Row],[Winter Blanket]]&gt;0,1,0)</f>
        <v>0</v>
      </c>
      <c r="AN756" s="296">
        <f>IF(NFI_Expiration=1,IF($A756&lt;VLOOKUP(V$5,NFI,5,0),1,0)*Table_NFI[[#This Row],[Jerry Can]],Table_NFI[Jerry Can])</f>
        <v>0</v>
      </c>
      <c r="AO756" s="296">
        <f>IF(NFI_Expiration=1,IF($A756&lt;VLOOKUP(V$5,NFI,5,0),1,0)*Table_NFI[[#This Row],[Shelter Tool kit]],Table_NFI[Shelter Tool kit])</f>
        <v>0</v>
      </c>
      <c r="AP756" s="296">
        <f>IF(NFI_Expiration=1,IF($A756&lt;VLOOKUP(V$5,NFI,5,0),1,0)*Table_NFI[[#This Row],[Tent]],Table_NFI[Tent])</f>
        <v>0</v>
      </c>
      <c r="AQ756" s="396" t="str">
        <f>IFERROR(VLOOKUP(Table_NFI[[#This Row],[Camp Name]],CL,2,0),"")</f>
        <v>MMR001CMP113</v>
      </c>
      <c r="AR756" s="702">
        <f ca="1">IF(Table_NFI[[#This Row],[Pcode]]="","",IF(OFFSET(CampList[Opening Date],MATCH(Table_NFI[[#This Row],[Pcode]],CampList[CP_Pcode],0)-1,0,1,1)&gt;=NFI_Monitor_Date,1,0))</f>
        <v>0</v>
      </c>
      <c r="AS756" s="396" t="str">
        <f>IFERROR(VLOOKUP(Table_NFI[[#This Row],[Camp Name]],CL,3,0),"")</f>
        <v>Open</v>
      </c>
      <c r="AT756" s="264" t="str">
        <f ca="1">IF(Table_NFI[[#This Row],[Pcode]]="","",OFFSET(CampList[Priority],MATCH(Table_NFI[[#This Row],[Pcode]],CampList[CP_Pcode],0)-1,0,1,1))</f>
        <v>P1</v>
      </c>
      <c r="AU756" s="263">
        <f>IFERROR(Table_NFI[[#This Row],[Kitchen Set]]/VLOOKUP(Table_NFI[[#This Row],[Camp Name]],CL,4,0),"")</f>
        <v>0</v>
      </c>
      <c r="AV756" s="390" t="s">
        <v>1087</v>
      </c>
      <c r="AW756" s="392"/>
      <c r="AX756" s="399"/>
      <c r="AY756" s="399"/>
      <c r="AZ756" s="399"/>
      <c r="BA756" s="399"/>
      <c r="BB756" s="399"/>
      <c r="BC756" s="399"/>
      <c r="BD756" s="399"/>
      <c r="BE756" s="399"/>
      <c r="BF756" s="399"/>
      <c r="BG756" s="399"/>
      <c r="BH756" s="399"/>
      <c r="BI756" s="399"/>
      <c r="BJ756" s="399"/>
      <c r="BK756" s="399"/>
      <c r="BL756" s="399"/>
      <c r="BM756" s="399"/>
      <c r="BN756" s="399"/>
      <c r="BO756" s="399"/>
      <c r="BP756" s="399"/>
      <c r="BQ756" s="399"/>
      <c r="BR756" s="399"/>
      <c r="BS756" s="399"/>
      <c r="BT756" s="399"/>
      <c r="BU756" s="399"/>
      <c r="BV756" s="399"/>
      <c r="BW756" s="399"/>
      <c r="BX756" s="399"/>
      <c r="BY756" s="399"/>
      <c r="BZ756" s="399"/>
      <c r="CA756" s="399"/>
      <c r="CB756" s="399"/>
      <c r="CC756" s="399"/>
      <c r="CD756" s="399"/>
      <c r="CE756" s="399"/>
      <c r="CF756" s="399"/>
      <c r="CG756" s="399"/>
      <c r="CH756" s="399"/>
      <c r="CI756" s="399"/>
      <c r="CJ756" s="399"/>
      <c r="CK756" s="399"/>
      <c r="CL756" s="399"/>
      <c r="CM756" s="399"/>
      <c r="CN756" s="399"/>
      <c r="CO756" s="399"/>
      <c r="CP756" s="399"/>
      <c r="CQ756" s="399"/>
      <c r="CR756" s="399"/>
      <c r="CS756" s="399"/>
      <c r="CT756" s="399"/>
      <c r="CU756" s="399"/>
      <c r="CV756" s="399"/>
      <c r="CW756" s="399"/>
      <c r="CX756" s="399"/>
      <c r="CY756" s="399"/>
      <c r="CZ756" s="399"/>
      <c r="DA756" s="399"/>
      <c r="DB756" s="399"/>
      <c r="DC756" s="399"/>
      <c r="DD756" s="399"/>
      <c r="DE756" s="399"/>
      <c r="DF756" s="399"/>
      <c r="DG756" s="399"/>
      <c r="DH756" s="399"/>
      <c r="DI756" s="399"/>
      <c r="DJ756" s="399"/>
      <c r="DK756" s="399"/>
      <c r="DL756" s="399"/>
      <c r="DM756" s="399"/>
      <c r="DN756" s="399"/>
      <c r="DO756" s="399"/>
      <c r="DP756" s="399"/>
      <c r="DQ756" s="399"/>
    </row>
    <row r="757" spans="1:121" s="760" customFormat="1" ht="14.45" customHeight="1" x14ac:dyDescent="0.25">
      <c r="A757" s="266">
        <f t="shared" si="11"/>
        <v>48.366666666666667</v>
      </c>
      <c r="B757" s="389">
        <v>41405</v>
      </c>
      <c r="C757" s="390" t="s">
        <v>900</v>
      </c>
      <c r="D757" s="391" t="s">
        <v>505</v>
      </c>
      <c r="E757" s="390" t="s">
        <v>380</v>
      </c>
      <c r="F757" s="262" t="s">
        <v>310</v>
      </c>
      <c r="G757" s="262" t="s">
        <v>355</v>
      </c>
      <c r="H757" s="261">
        <v>490</v>
      </c>
      <c r="I757" s="261"/>
      <c r="J757" s="261"/>
      <c r="K757" s="261"/>
      <c r="L757" s="261"/>
      <c r="M757" s="261"/>
      <c r="N757" s="261"/>
      <c r="O757" s="261"/>
      <c r="P757" s="261"/>
      <c r="Q757" s="261"/>
      <c r="R757" s="261"/>
      <c r="S757" s="261"/>
      <c r="T757" s="261"/>
      <c r="U757" s="261"/>
      <c r="V757" s="762"/>
      <c r="W757" s="261"/>
      <c r="X757" s="261"/>
      <c r="Y757" s="264">
        <f>IF(NFI_Expiration=1,IF($A757&lt;VLOOKUP(H$5,NFI,5,0),1,0)*Table_NFI[[#This Row],[Hygiene Kit]],Table_NFI[Hygiene Kit])</f>
        <v>0</v>
      </c>
      <c r="Z757" s="264">
        <f>IF(NFI_Expiration=1,IF($A757&lt;VLOOKUP(I$5,NFI,5,0),1,0)*Table_NFI[[#This Row],[NFI Core Kit]],Table_NFI[NFI Core Kit])</f>
        <v>0</v>
      </c>
      <c r="AA757" s="264">
        <f>IF(NFI_Expiration=1,IF($A757&lt;VLOOKUP(J$5,NFI,5,0),1,0)*Table_NFI[[#This Row],[Sanitary Kit]],Table_NFI[Sanitary Kit])</f>
        <v>0</v>
      </c>
      <c r="AB757" s="264">
        <f>IF(NFI_Expiration=1,IF($A757&lt;VLOOKUP(K$5,NFI,5,0),1,0)*Table_NFI[[#This Row],[Mosquito net]],Table_NFI[Mosquito net])</f>
        <v>0</v>
      </c>
      <c r="AC757" s="264">
        <f>IF(NFI_Expiration=1,IF($A757&lt;VLOOKUP(L$5,NFI,5,0),1,0)*Table_NFI[[#This Row],[Tarpaulin]],Table_NFI[[#This Row],[Tarpaulin]])</f>
        <v>0</v>
      </c>
      <c r="AD757" s="264">
        <f>IF(NFI_Expiration=1,IF($A757&lt;VLOOKUP(M$5,NFI,5,0),1,0)*Table_NFI[[#This Row],[Blanket]],Table_NFI[[#This Row],[Blanket]])</f>
        <v>0</v>
      </c>
      <c r="AE757" s="264">
        <f>IF(NFI_Expiration=1,IF($A757&lt;VLOOKUP(N$5,NFI,5,0),1,0)*Table_NFI[[#This Row],[Kitchen Set]],Table_NFI[Kitchen Set])</f>
        <v>0</v>
      </c>
      <c r="AF757" s="264">
        <f>IF(NFI_Expiration=1,IF($A757&lt;VLOOKUP(O$5,NFI,5,0),1,0)*Table_NFI[[#This Row],[Clothes Kit]],Table_NFI[Clothes Kit])</f>
        <v>0</v>
      </c>
      <c r="AG757" s="264">
        <f>IF(NFI_Expiration=1,IF($A757&lt;VLOOKUP(P$5,NFI,5,0),1,0)*Table_NFI[[#This Row],[Plastic Bucket]],Table_NFI[Plastic Bucket])</f>
        <v>0</v>
      </c>
      <c r="AH757" s="264">
        <f>IF(NFI_Expiration=1,IF($A757&lt;VLOOKUP(Q$5,NFI,5,0),1,0)*Table_NFI[[#This Row],[Plastic Mat]],Table_NFI[Plastic Mat])*IF(Table_NFI[[#This Row],[Distribution Date]]&gt;"2014-04-01",1,2.5)</f>
        <v>0</v>
      </c>
      <c r="AI757" s="264">
        <f>IF(NFI_Expiration=1,IF($A757&lt;VLOOKUP(R$5,NFI,5,0),1,0)*Table_NFI[[#This Row],[Winter Clothes Adult]],Table_NFI[Winter Clothes Adult])</f>
        <v>0</v>
      </c>
      <c r="AJ757" s="264">
        <f>IF(NFI_Expiration=1,IF($A757&lt;VLOOKUP(S$5,NFI,5,0),1,0)*Table_NFI[[#This Row],[Winter Clothes Children]],Table_NFI[Winter Clothes Children])</f>
        <v>0</v>
      </c>
      <c r="AK757" s="264">
        <f>IF(NFI_Expiration=1,IF($A757&lt;VLOOKUP(T$5,NFI,5,0),1,0)*Table_NFI[[#This Row],[Winter Items Other]],Table_NFI[Winter Items Other])</f>
        <v>0</v>
      </c>
      <c r="AL757" s="264">
        <f>IF(NFI_Expiration=1,IF($A757&lt;VLOOKUP(M$5,NFI,5,0),1,0)*Table_NFI[[#This Row],[Winter Blanket]],Table_NFI[[#This Row],[Winter Blanket]])</f>
        <v>0</v>
      </c>
      <c r="AM757" s="264">
        <f>IF(Table_NFI[[#This Row],[Winter Clothes Adult]]+Table_NFI[[#This Row],[Winter Clothes Children]]+Table_NFI[[#This Row],[Winter Items Other]]+Table_NFI[[#This Row],[Winter Blanket]]&gt;0,1,0)</f>
        <v>0</v>
      </c>
      <c r="AN757" s="296">
        <f>IF(NFI_Expiration=1,IF($A757&lt;VLOOKUP(V$5,NFI,5,0),1,0)*Table_NFI[[#This Row],[Jerry Can]],Table_NFI[Jerry Can])</f>
        <v>0</v>
      </c>
      <c r="AO757" s="296">
        <f>IF(NFI_Expiration=1,IF($A757&lt;VLOOKUP(V$5,NFI,5,0),1,0)*Table_NFI[[#This Row],[Shelter Tool kit]],Table_NFI[Shelter Tool kit])</f>
        <v>0</v>
      </c>
      <c r="AP757" s="296">
        <f>IF(NFI_Expiration=1,IF($A757&lt;VLOOKUP(V$5,NFI,5,0),1,0)*Table_NFI[[#This Row],[Tent]],Table_NFI[Tent])</f>
        <v>0</v>
      </c>
      <c r="AQ757" s="396" t="str">
        <f>IFERROR(VLOOKUP(Table_NFI[[#This Row],[Camp Name]],CL,2,0),"")</f>
        <v>MMR001CMP160</v>
      </c>
      <c r="AR757" s="702">
        <f ca="1">IF(Table_NFI[[#This Row],[Pcode]]="","",IF(OFFSET(CampList[Opening Date],MATCH(Table_NFI[[#This Row],[Pcode]],CampList[CP_Pcode],0)-1,0,1,1)&gt;=NFI_Monitor_Date,1,0))</f>
        <v>0</v>
      </c>
      <c r="AS757" s="396" t="str">
        <f>IFERROR(VLOOKUP(Table_NFI[[#This Row],[Camp Name]],CL,3,0),"")</f>
        <v>Open</v>
      </c>
      <c r="AT757" s="264" t="str">
        <f ca="1">IF(Table_NFI[[#This Row],[Pcode]]="","",OFFSET(CampList[Priority],MATCH(Table_NFI[[#This Row],[Pcode]],CampList[CP_Pcode],0)-1,0,1,1))</f>
        <v>P1</v>
      </c>
      <c r="AU757" s="263">
        <f>IFERROR(Table_NFI[[#This Row],[Kitchen Set]]/VLOOKUP(Table_NFI[[#This Row],[Camp Name]],CL,4,0),"")</f>
        <v>0</v>
      </c>
      <c r="AV757" s="390" t="s">
        <v>1087</v>
      </c>
      <c r="AW757" s="392"/>
      <c r="AX757" s="399"/>
      <c r="AY757" s="399"/>
      <c r="AZ757" s="399"/>
      <c r="BA757" s="399"/>
      <c r="BB757" s="399"/>
      <c r="BC757" s="399"/>
      <c r="BD757" s="399"/>
      <c r="BE757" s="399"/>
      <c r="BF757" s="399"/>
      <c r="BG757" s="399"/>
      <c r="BH757" s="399"/>
      <c r="BI757" s="399"/>
      <c r="BJ757" s="399"/>
      <c r="BK757" s="399"/>
      <c r="BL757" s="399"/>
      <c r="BM757" s="399"/>
      <c r="BN757" s="399"/>
      <c r="BO757" s="399"/>
      <c r="BP757" s="399"/>
      <c r="BQ757" s="399"/>
      <c r="BR757" s="399"/>
      <c r="BS757" s="399"/>
      <c r="BT757" s="399"/>
      <c r="BU757" s="399"/>
      <c r="BV757" s="399"/>
      <c r="BW757" s="399"/>
      <c r="BX757" s="399"/>
      <c r="BY757" s="399"/>
      <c r="BZ757" s="399"/>
      <c r="CA757" s="399"/>
      <c r="CB757" s="399"/>
      <c r="CC757" s="399"/>
      <c r="CD757" s="399"/>
      <c r="CE757" s="399"/>
      <c r="CF757" s="399"/>
      <c r="CG757" s="399"/>
      <c r="CH757" s="399"/>
      <c r="CI757" s="399"/>
      <c r="CJ757" s="399"/>
      <c r="CK757" s="399"/>
      <c r="CL757" s="399"/>
      <c r="CM757" s="399"/>
      <c r="CN757" s="399"/>
      <c r="CO757" s="399"/>
      <c r="CP757" s="399"/>
      <c r="CQ757" s="399"/>
      <c r="CR757" s="399"/>
      <c r="CS757" s="399"/>
      <c r="CT757" s="399"/>
      <c r="CU757" s="399"/>
      <c r="CV757" s="399"/>
      <c r="CW757" s="399"/>
      <c r="CX757" s="399"/>
      <c r="CY757" s="399"/>
      <c r="CZ757" s="399"/>
      <c r="DA757" s="399"/>
      <c r="DB757" s="399"/>
      <c r="DC757" s="399"/>
      <c r="DD757" s="399"/>
      <c r="DE757" s="399"/>
      <c r="DF757" s="399"/>
      <c r="DG757" s="399"/>
      <c r="DH757" s="399"/>
      <c r="DI757" s="399"/>
      <c r="DJ757" s="399"/>
      <c r="DK757" s="399"/>
      <c r="DL757" s="399"/>
      <c r="DM757" s="399"/>
      <c r="DN757" s="399"/>
      <c r="DO757" s="399"/>
      <c r="DP757" s="399"/>
      <c r="DQ757" s="399"/>
    </row>
    <row r="758" spans="1:121" s="760" customFormat="1" ht="14.45" customHeight="1" x14ac:dyDescent="0.25">
      <c r="A758" s="266">
        <f t="shared" si="11"/>
        <v>48.43333333333333</v>
      </c>
      <c r="B758" s="389">
        <v>41403</v>
      </c>
      <c r="C758" s="390" t="s">
        <v>900</v>
      </c>
      <c r="D758" s="391" t="s">
        <v>505</v>
      </c>
      <c r="E758" s="390" t="s">
        <v>380</v>
      </c>
      <c r="F758" s="262" t="s">
        <v>237</v>
      </c>
      <c r="G758" s="262" t="s">
        <v>255</v>
      </c>
      <c r="H758" s="261">
        <v>460</v>
      </c>
      <c r="I758" s="261"/>
      <c r="J758" s="261"/>
      <c r="K758" s="261"/>
      <c r="L758" s="261"/>
      <c r="M758" s="261"/>
      <c r="N758" s="261"/>
      <c r="O758" s="261"/>
      <c r="P758" s="261"/>
      <c r="Q758" s="261"/>
      <c r="R758" s="261"/>
      <c r="S758" s="261"/>
      <c r="T758" s="261"/>
      <c r="U758" s="261"/>
      <c r="V758" s="762"/>
      <c r="W758" s="261"/>
      <c r="X758" s="261"/>
      <c r="Y758" s="264">
        <f>IF(NFI_Expiration=1,IF($A758&lt;VLOOKUP(H$5,NFI,5,0),1,0)*Table_NFI[[#This Row],[Hygiene Kit]],Table_NFI[Hygiene Kit])</f>
        <v>0</v>
      </c>
      <c r="Z758" s="264">
        <f>IF(NFI_Expiration=1,IF($A758&lt;VLOOKUP(I$5,NFI,5,0),1,0)*Table_NFI[[#This Row],[NFI Core Kit]],Table_NFI[NFI Core Kit])</f>
        <v>0</v>
      </c>
      <c r="AA758" s="264">
        <f>IF(NFI_Expiration=1,IF($A758&lt;VLOOKUP(J$5,NFI,5,0),1,0)*Table_NFI[[#This Row],[Sanitary Kit]],Table_NFI[Sanitary Kit])</f>
        <v>0</v>
      </c>
      <c r="AB758" s="264">
        <f>IF(NFI_Expiration=1,IF($A758&lt;VLOOKUP(K$5,NFI,5,0),1,0)*Table_NFI[[#This Row],[Mosquito net]],Table_NFI[Mosquito net])</f>
        <v>0</v>
      </c>
      <c r="AC758" s="264">
        <f>IF(NFI_Expiration=1,IF($A758&lt;VLOOKUP(L$5,NFI,5,0),1,0)*Table_NFI[[#This Row],[Tarpaulin]],Table_NFI[[#This Row],[Tarpaulin]])</f>
        <v>0</v>
      </c>
      <c r="AD758" s="264">
        <f>IF(NFI_Expiration=1,IF($A758&lt;VLOOKUP(M$5,NFI,5,0),1,0)*Table_NFI[[#This Row],[Blanket]],Table_NFI[[#This Row],[Blanket]])</f>
        <v>0</v>
      </c>
      <c r="AE758" s="264">
        <f>IF(NFI_Expiration=1,IF($A758&lt;VLOOKUP(N$5,NFI,5,0),1,0)*Table_NFI[[#This Row],[Kitchen Set]],Table_NFI[Kitchen Set])</f>
        <v>0</v>
      </c>
      <c r="AF758" s="264">
        <f>IF(NFI_Expiration=1,IF($A758&lt;VLOOKUP(O$5,NFI,5,0),1,0)*Table_NFI[[#This Row],[Clothes Kit]],Table_NFI[Clothes Kit])</f>
        <v>0</v>
      </c>
      <c r="AG758" s="264">
        <f>IF(NFI_Expiration=1,IF($A758&lt;VLOOKUP(P$5,NFI,5,0),1,0)*Table_NFI[[#This Row],[Plastic Bucket]],Table_NFI[Plastic Bucket])</f>
        <v>0</v>
      </c>
      <c r="AH758" s="264">
        <f>IF(NFI_Expiration=1,IF($A758&lt;VLOOKUP(Q$5,NFI,5,0),1,0)*Table_NFI[[#This Row],[Plastic Mat]],Table_NFI[Plastic Mat])*IF(Table_NFI[[#This Row],[Distribution Date]]&gt;"2014-04-01",1,2.5)</f>
        <v>0</v>
      </c>
      <c r="AI758" s="264">
        <f>IF(NFI_Expiration=1,IF($A758&lt;VLOOKUP(R$5,NFI,5,0),1,0)*Table_NFI[[#This Row],[Winter Clothes Adult]],Table_NFI[Winter Clothes Adult])</f>
        <v>0</v>
      </c>
      <c r="AJ758" s="264">
        <f>IF(NFI_Expiration=1,IF($A758&lt;VLOOKUP(S$5,NFI,5,0),1,0)*Table_NFI[[#This Row],[Winter Clothes Children]],Table_NFI[Winter Clothes Children])</f>
        <v>0</v>
      </c>
      <c r="AK758" s="264">
        <f>IF(NFI_Expiration=1,IF($A758&lt;VLOOKUP(T$5,NFI,5,0),1,0)*Table_NFI[[#This Row],[Winter Items Other]],Table_NFI[Winter Items Other])</f>
        <v>0</v>
      </c>
      <c r="AL758" s="264">
        <f>IF(NFI_Expiration=1,IF($A758&lt;VLOOKUP(M$5,NFI,5,0),1,0)*Table_NFI[[#This Row],[Winter Blanket]],Table_NFI[[#This Row],[Winter Blanket]])</f>
        <v>0</v>
      </c>
      <c r="AM758" s="264">
        <f>IF(Table_NFI[[#This Row],[Winter Clothes Adult]]+Table_NFI[[#This Row],[Winter Clothes Children]]+Table_NFI[[#This Row],[Winter Items Other]]+Table_NFI[[#This Row],[Winter Blanket]]&gt;0,1,0)</f>
        <v>0</v>
      </c>
      <c r="AN758" s="296">
        <f>IF(NFI_Expiration=1,IF($A758&lt;VLOOKUP(V$5,NFI,5,0),1,0)*Table_NFI[[#This Row],[Jerry Can]],Table_NFI[Jerry Can])</f>
        <v>0</v>
      </c>
      <c r="AO758" s="296">
        <f>IF(NFI_Expiration=1,IF($A758&lt;VLOOKUP(V$5,NFI,5,0),1,0)*Table_NFI[[#This Row],[Shelter Tool kit]],Table_NFI[Shelter Tool kit])</f>
        <v>0</v>
      </c>
      <c r="AP758" s="296">
        <f>IF(NFI_Expiration=1,IF($A758&lt;VLOOKUP(V$5,NFI,5,0),1,0)*Table_NFI[[#This Row],[Tent]],Table_NFI[Tent])</f>
        <v>0</v>
      </c>
      <c r="AQ758" s="396" t="str">
        <f>IFERROR(VLOOKUP(Table_NFI[[#This Row],[Camp Name]],CL,2,0),"")</f>
        <v>MMR001CMP019</v>
      </c>
      <c r="AR758" s="702">
        <f ca="1">IF(Table_NFI[[#This Row],[Pcode]]="","",IF(OFFSET(CampList[Opening Date],MATCH(Table_NFI[[#This Row],[Pcode]],CampList[CP_Pcode],0)-1,0,1,1)&gt;=NFI_Monitor_Date,1,0))</f>
        <v>0</v>
      </c>
      <c r="AS758" s="396" t="str">
        <f>IFERROR(VLOOKUP(Table_NFI[[#This Row],[Camp Name]],CL,3,0),"")</f>
        <v>Open</v>
      </c>
      <c r="AT758" s="264" t="str">
        <f ca="1">IF(Table_NFI[[#This Row],[Pcode]]="","",OFFSET(CampList[Priority],MATCH(Table_NFI[[#This Row],[Pcode]],CampList[CP_Pcode],0)-1,0,1,1))</f>
        <v>P4</v>
      </c>
      <c r="AU758" s="263">
        <f>IFERROR(Table_NFI[[#This Row],[Kitchen Set]]/VLOOKUP(Table_NFI[[#This Row],[Camp Name]],CL,4,0),"")</f>
        <v>0</v>
      </c>
      <c r="AV758" s="390" t="s">
        <v>1087</v>
      </c>
      <c r="AW758" s="392"/>
      <c r="AX758" s="399"/>
      <c r="AY758" s="399"/>
      <c r="AZ758" s="399"/>
      <c r="BA758" s="399"/>
      <c r="BB758" s="399"/>
      <c r="BC758" s="399"/>
      <c r="BD758" s="399"/>
      <c r="BE758" s="399"/>
      <c r="BF758" s="399"/>
      <c r="BG758" s="399"/>
      <c r="BH758" s="399"/>
      <c r="BI758" s="399"/>
      <c r="BJ758" s="399"/>
      <c r="BK758" s="399"/>
      <c r="BL758" s="399"/>
      <c r="BM758" s="399"/>
      <c r="BN758" s="399"/>
      <c r="BO758" s="399"/>
      <c r="BP758" s="399"/>
      <c r="BQ758" s="399"/>
      <c r="BR758" s="399"/>
      <c r="BS758" s="399"/>
      <c r="BT758" s="399"/>
      <c r="BU758" s="399"/>
      <c r="BV758" s="399"/>
      <c r="BW758" s="399"/>
      <c r="BX758" s="399"/>
      <c r="BY758" s="399"/>
      <c r="BZ758" s="399"/>
      <c r="CA758" s="399"/>
      <c r="CB758" s="399"/>
      <c r="CC758" s="399"/>
      <c r="CD758" s="399"/>
      <c r="CE758" s="399"/>
      <c r="CF758" s="399"/>
      <c r="CG758" s="399"/>
      <c r="CH758" s="399"/>
      <c r="CI758" s="399"/>
      <c r="CJ758" s="399"/>
      <c r="CK758" s="399"/>
      <c r="CL758" s="399"/>
      <c r="CM758" s="399"/>
      <c r="CN758" s="399"/>
      <c r="CO758" s="399"/>
      <c r="CP758" s="399"/>
      <c r="CQ758" s="399"/>
      <c r="CR758" s="399"/>
      <c r="CS758" s="399"/>
      <c r="CT758" s="399"/>
      <c r="CU758" s="399"/>
      <c r="CV758" s="399"/>
      <c r="CW758" s="399"/>
      <c r="CX758" s="399"/>
      <c r="CY758" s="399"/>
      <c r="CZ758" s="399"/>
      <c r="DA758" s="399"/>
      <c r="DB758" s="399"/>
      <c r="DC758" s="399"/>
      <c r="DD758" s="399"/>
      <c r="DE758" s="399"/>
      <c r="DF758" s="399"/>
      <c r="DG758" s="399"/>
      <c r="DH758" s="399"/>
      <c r="DI758" s="399"/>
      <c r="DJ758" s="399"/>
      <c r="DK758" s="399"/>
      <c r="DL758" s="399"/>
      <c r="DM758" s="399"/>
      <c r="DN758" s="399"/>
      <c r="DO758" s="399"/>
      <c r="DP758" s="399"/>
      <c r="DQ758" s="399"/>
    </row>
    <row r="759" spans="1:121" s="760" customFormat="1" ht="14.45" customHeight="1" x14ac:dyDescent="0.25">
      <c r="A759" s="266">
        <f t="shared" si="11"/>
        <v>48.43333333333333</v>
      </c>
      <c r="B759" s="389">
        <v>41403</v>
      </c>
      <c r="C759" s="390" t="s">
        <v>900</v>
      </c>
      <c r="D759" s="390" t="s">
        <v>505</v>
      </c>
      <c r="E759" s="390" t="s">
        <v>380</v>
      </c>
      <c r="F759" s="262" t="s">
        <v>237</v>
      </c>
      <c r="G759" s="262" t="s">
        <v>271</v>
      </c>
      <c r="H759" s="261">
        <v>324</v>
      </c>
      <c r="I759" s="261"/>
      <c r="J759" s="261"/>
      <c r="K759" s="261"/>
      <c r="L759" s="261"/>
      <c r="M759" s="261"/>
      <c r="N759" s="261"/>
      <c r="O759" s="261"/>
      <c r="P759" s="261"/>
      <c r="Q759" s="261"/>
      <c r="R759" s="261"/>
      <c r="S759" s="261"/>
      <c r="T759" s="261"/>
      <c r="U759" s="261"/>
      <c r="V759" s="762"/>
      <c r="W759" s="261"/>
      <c r="X759" s="261"/>
      <c r="Y759" s="264">
        <f>IF(NFI_Expiration=1,IF($A759&lt;VLOOKUP(H$5,NFI,5,0),1,0)*Table_NFI[[#This Row],[Hygiene Kit]],Table_NFI[Hygiene Kit])</f>
        <v>0</v>
      </c>
      <c r="Z759" s="264">
        <f>IF(NFI_Expiration=1,IF($A759&lt;VLOOKUP(I$5,NFI,5,0),1,0)*Table_NFI[[#This Row],[NFI Core Kit]],Table_NFI[NFI Core Kit])</f>
        <v>0</v>
      </c>
      <c r="AA759" s="264">
        <f>IF(NFI_Expiration=1,IF($A759&lt;VLOOKUP(J$5,NFI,5,0),1,0)*Table_NFI[[#This Row],[Sanitary Kit]],Table_NFI[Sanitary Kit])</f>
        <v>0</v>
      </c>
      <c r="AB759" s="264">
        <f>IF(NFI_Expiration=1,IF($A759&lt;VLOOKUP(K$5,NFI,5,0),1,0)*Table_NFI[[#This Row],[Mosquito net]],Table_NFI[Mosquito net])</f>
        <v>0</v>
      </c>
      <c r="AC759" s="264">
        <f>IF(NFI_Expiration=1,IF($A759&lt;VLOOKUP(L$5,NFI,5,0),1,0)*Table_NFI[[#This Row],[Tarpaulin]],Table_NFI[[#This Row],[Tarpaulin]])</f>
        <v>0</v>
      </c>
      <c r="AD759" s="264">
        <f>IF(NFI_Expiration=1,IF($A759&lt;VLOOKUP(M$5,NFI,5,0),1,0)*Table_NFI[[#This Row],[Blanket]],Table_NFI[[#This Row],[Blanket]])</f>
        <v>0</v>
      </c>
      <c r="AE759" s="264">
        <f>IF(NFI_Expiration=1,IF($A759&lt;VLOOKUP(N$5,NFI,5,0),1,0)*Table_NFI[[#This Row],[Kitchen Set]],Table_NFI[Kitchen Set])</f>
        <v>0</v>
      </c>
      <c r="AF759" s="264">
        <f>IF(NFI_Expiration=1,IF($A759&lt;VLOOKUP(O$5,NFI,5,0),1,0)*Table_NFI[[#This Row],[Clothes Kit]],Table_NFI[Clothes Kit])</f>
        <v>0</v>
      </c>
      <c r="AG759" s="264">
        <f>IF(NFI_Expiration=1,IF($A759&lt;VLOOKUP(P$5,NFI,5,0),1,0)*Table_NFI[[#This Row],[Plastic Bucket]],Table_NFI[Plastic Bucket])</f>
        <v>0</v>
      </c>
      <c r="AH759" s="264">
        <f>IF(NFI_Expiration=1,IF($A759&lt;VLOOKUP(Q$5,NFI,5,0),1,0)*Table_NFI[[#This Row],[Plastic Mat]],Table_NFI[Plastic Mat])*IF(Table_NFI[[#This Row],[Distribution Date]]&gt;"2014-04-01",1,2.5)</f>
        <v>0</v>
      </c>
      <c r="AI759" s="264">
        <f>IF(NFI_Expiration=1,IF($A759&lt;VLOOKUP(R$5,NFI,5,0),1,0)*Table_NFI[[#This Row],[Winter Clothes Adult]],Table_NFI[Winter Clothes Adult])</f>
        <v>0</v>
      </c>
      <c r="AJ759" s="264">
        <f>IF(NFI_Expiration=1,IF($A759&lt;VLOOKUP(S$5,NFI,5,0),1,0)*Table_NFI[[#This Row],[Winter Clothes Children]],Table_NFI[Winter Clothes Children])</f>
        <v>0</v>
      </c>
      <c r="AK759" s="264">
        <f>IF(NFI_Expiration=1,IF($A759&lt;VLOOKUP(T$5,NFI,5,0),1,0)*Table_NFI[[#This Row],[Winter Items Other]],Table_NFI[Winter Items Other])</f>
        <v>0</v>
      </c>
      <c r="AL759" s="264">
        <f>IF(NFI_Expiration=1,IF($A759&lt;VLOOKUP(M$5,NFI,5,0),1,0)*Table_NFI[[#This Row],[Winter Blanket]],Table_NFI[[#This Row],[Winter Blanket]])</f>
        <v>0</v>
      </c>
      <c r="AM759" s="264">
        <f>IF(Table_NFI[[#This Row],[Winter Clothes Adult]]+Table_NFI[[#This Row],[Winter Clothes Children]]+Table_NFI[[#This Row],[Winter Items Other]]+Table_NFI[[#This Row],[Winter Blanket]]&gt;0,1,0)</f>
        <v>0</v>
      </c>
      <c r="AN759" s="296">
        <f>IF(NFI_Expiration=1,IF($A759&lt;VLOOKUP(V$5,NFI,5,0),1,0)*Table_NFI[[#This Row],[Jerry Can]],Table_NFI[Jerry Can])</f>
        <v>0</v>
      </c>
      <c r="AO759" s="296">
        <f>IF(NFI_Expiration=1,IF($A759&lt;VLOOKUP(V$5,NFI,5,0),1,0)*Table_NFI[[#This Row],[Shelter Tool kit]],Table_NFI[Shelter Tool kit])</f>
        <v>0</v>
      </c>
      <c r="AP759" s="296">
        <f>IF(NFI_Expiration=1,IF($A759&lt;VLOOKUP(V$5,NFI,5,0),1,0)*Table_NFI[[#This Row],[Tent]],Table_NFI[Tent])</f>
        <v>0</v>
      </c>
      <c r="AQ759" s="396" t="str">
        <f>IFERROR(VLOOKUP(Table_NFI[[#This Row],[Camp Name]],CL,2,0),"")</f>
        <v>MMR001CMP024</v>
      </c>
      <c r="AR759" s="702">
        <f ca="1">IF(Table_NFI[[#This Row],[Pcode]]="","",IF(OFFSET(CampList[Opening Date],MATCH(Table_NFI[[#This Row],[Pcode]],CampList[CP_Pcode],0)-1,0,1,1)&gt;=NFI_Monitor_Date,1,0))</f>
        <v>0</v>
      </c>
      <c r="AS759" s="396" t="str">
        <f>IFERROR(VLOOKUP(Table_NFI[[#This Row],[Camp Name]],CL,3,0),"")</f>
        <v>Open</v>
      </c>
      <c r="AT759" s="264" t="str">
        <f ca="1">IF(Table_NFI[[#This Row],[Pcode]]="","",OFFSET(CampList[Priority],MATCH(Table_NFI[[#This Row],[Pcode]],CampList[CP_Pcode],0)-1,0,1,1))</f>
        <v>P4</v>
      </c>
      <c r="AU759" s="263">
        <f>IFERROR(Table_NFI[[#This Row],[Kitchen Set]]/VLOOKUP(Table_NFI[[#This Row],[Camp Name]],CL,4,0),"")</f>
        <v>0</v>
      </c>
      <c r="AV759" s="390" t="s">
        <v>1087</v>
      </c>
      <c r="AW759" s="392"/>
      <c r="AX759" s="399"/>
      <c r="AY759" s="399"/>
      <c r="AZ759" s="399"/>
      <c r="BA759" s="399"/>
      <c r="BB759" s="399"/>
      <c r="BC759" s="399"/>
      <c r="BD759" s="399"/>
      <c r="BE759" s="399"/>
      <c r="BF759" s="399"/>
      <c r="BG759" s="399"/>
      <c r="BH759" s="399"/>
      <c r="BI759" s="399"/>
      <c r="BJ759" s="399"/>
      <c r="BK759" s="399"/>
      <c r="BL759" s="399"/>
      <c r="BM759" s="399"/>
      <c r="BN759" s="399"/>
      <c r="BO759" s="399"/>
      <c r="BP759" s="399"/>
      <c r="BQ759" s="399"/>
      <c r="BR759" s="399"/>
      <c r="BS759" s="399"/>
      <c r="BT759" s="399"/>
      <c r="BU759" s="399"/>
      <c r="BV759" s="399"/>
      <c r="BW759" s="399"/>
      <c r="BX759" s="399"/>
      <c r="BY759" s="399"/>
      <c r="BZ759" s="399"/>
      <c r="CA759" s="399"/>
      <c r="CB759" s="399"/>
      <c r="CC759" s="399"/>
      <c r="CD759" s="399"/>
      <c r="CE759" s="399"/>
      <c r="CF759" s="399"/>
      <c r="CG759" s="399"/>
      <c r="CH759" s="399"/>
      <c r="CI759" s="399"/>
      <c r="CJ759" s="399"/>
      <c r="CK759" s="399"/>
      <c r="CL759" s="399"/>
      <c r="CM759" s="399"/>
      <c r="CN759" s="399"/>
      <c r="CO759" s="399"/>
      <c r="CP759" s="399"/>
      <c r="CQ759" s="399"/>
      <c r="CR759" s="399"/>
      <c r="CS759" s="399"/>
      <c r="CT759" s="399"/>
      <c r="CU759" s="399"/>
      <c r="CV759" s="399"/>
      <c r="CW759" s="399"/>
      <c r="CX759" s="399"/>
      <c r="CY759" s="399"/>
      <c r="CZ759" s="399"/>
      <c r="DA759" s="399"/>
      <c r="DB759" s="399"/>
      <c r="DC759" s="399"/>
      <c r="DD759" s="399"/>
      <c r="DE759" s="399"/>
      <c r="DF759" s="399"/>
      <c r="DG759" s="399"/>
      <c r="DH759" s="399"/>
      <c r="DI759" s="399"/>
      <c r="DJ759" s="399"/>
      <c r="DK759" s="399"/>
      <c r="DL759" s="399"/>
      <c r="DM759" s="399"/>
      <c r="DN759" s="399"/>
      <c r="DO759" s="399"/>
      <c r="DP759" s="399"/>
      <c r="DQ759" s="399"/>
    </row>
    <row r="760" spans="1:121" s="760" customFormat="1" ht="14.45" customHeight="1" x14ac:dyDescent="0.25">
      <c r="A760" s="266">
        <f t="shared" si="11"/>
        <v>48.466666666666669</v>
      </c>
      <c r="B760" s="389">
        <v>41402</v>
      </c>
      <c r="C760" s="390" t="s">
        <v>900</v>
      </c>
      <c r="D760" s="391" t="s">
        <v>505</v>
      </c>
      <c r="E760" s="390" t="s">
        <v>380</v>
      </c>
      <c r="F760" s="262" t="s">
        <v>310</v>
      </c>
      <c r="G760" s="262" t="s">
        <v>330</v>
      </c>
      <c r="H760" s="261">
        <v>1062</v>
      </c>
      <c r="I760" s="261"/>
      <c r="J760" s="261"/>
      <c r="K760" s="261"/>
      <c r="L760" s="261"/>
      <c r="M760" s="261"/>
      <c r="N760" s="261"/>
      <c r="O760" s="261"/>
      <c r="P760" s="261"/>
      <c r="Q760" s="261"/>
      <c r="R760" s="261"/>
      <c r="S760" s="261"/>
      <c r="T760" s="261"/>
      <c r="U760" s="261"/>
      <c r="V760" s="762"/>
      <c r="W760" s="261"/>
      <c r="X760" s="261"/>
      <c r="Y760" s="264">
        <f>IF(NFI_Expiration=1,IF($A760&lt;VLOOKUP(H$5,NFI,5,0),1,0)*Table_NFI[[#This Row],[Hygiene Kit]],Table_NFI[Hygiene Kit])</f>
        <v>0</v>
      </c>
      <c r="Z760" s="264">
        <f>IF(NFI_Expiration=1,IF($A760&lt;VLOOKUP(I$5,NFI,5,0),1,0)*Table_NFI[[#This Row],[NFI Core Kit]],Table_NFI[NFI Core Kit])</f>
        <v>0</v>
      </c>
      <c r="AA760" s="264">
        <f>IF(NFI_Expiration=1,IF($A760&lt;VLOOKUP(J$5,NFI,5,0),1,0)*Table_NFI[[#This Row],[Sanitary Kit]],Table_NFI[Sanitary Kit])</f>
        <v>0</v>
      </c>
      <c r="AB760" s="264">
        <f>IF(NFI_Expiration=1,IF($A760&lt;VLOOKUP(K$5,NFI,5,0),1,0)*Table_NFI[[#This Row],[Mosquito net]],Table_NFI[Mosquito net])</f>
        <v>0</v>
      </c>
      <c r="AC760" s="264">
        <f>IF(NFI_Expiration=1,IF($A760&lt;VLOOKUP(L$5,NFI,5,0),1,0)*Table_NFI[[#This Row],[Tarpaulin]],Table_NFI[[#This Row],[Tarpaulin]])</f>
        <v>0</v>
      </c>
      <c r="AD760" s="264">
        <f>IF(NFI_Expiration=1,IF($A760&lt;VLOOKUP(M$5,NFI,5,0),1,0)*Table_NFI[[#This Row],[Blanket]],Table_NFI[[#This Row],[Blanket]])</f>
        <v>0</v>
      </c>
      <c r="AE760" s="264">
        <f>IF(NFI_Expiration=1,IF($A760&lt;VLOOKUP(N$5,NFI,5,0),1,0)*Table_NFI[[#This Row],[Kitchen Set]],Table_NFI[Kitchen Set])</f>
        <v>0</v>
      </c>
      <c r="AF760" s="264">
        <f>IF(NFI_Expiration=1,IF($A760&lt;VLOOKUP(O$5,NFI,5,0),1,0)*Table_NFI[[#This Row],[Clothes Kit]],Table_NFI[Clothes Kit])</f>
        <v>0</v>
      </c>
      <c r="AG760" s="264">
        <f>IF(NFI_Expiration=1,IF($A760&lt;VLOOKUP(P$5,NFI,5,0),1,0)*Table_NFI[[#This Row],[Plastic Bucket]],Table_NFI[Plastic Bucket])</f>
        <v>0</v>
      </c>
      <c r="AH760" s="264">
        <f>IF(NFI_Expiration=1,IF($A760&lt;VLOOKUP(Q$5,NFI,5,0),1,0)*Table_NFI[[#This Row],[Plastic Mat]],Table_NFI[Plastic Mat])*IF(Table_NFI[[#This Row],[Distribution Date]]&gt;"2014-04-01",1,2.5)</f>
        <v>0</v>
      </c>
      <c r="AI760" s="264">
        <f>IF(NFI_Expiration=1,IF($A760&lt;VLOOKUP(R$5,NFI,5,0),1,0)*Table_NFI[[#This Row],[Winter Clothes Adult]],Table_NFI[Winter Clothes Adult])</f>
        <v>0</v>
      </c>
      <c r="AJ760" s="264">
        <f>IF(NFI_Expiration=1,IF($A760&lt;VLOOKUP(S$5,NFI,5,0),1,0)*Table_NFI[[#This Row],[Winter Clothes Children]],Table_NFI[Winter Clothes Children])</f>
        <v>0</v>
      </c>
      <c r="AK760" s="264">
        <f>IF(NFI_Expiration=1,IF($A760&lt;VLOOKUP(T$5,NFI,5,0),1,0)*Table_NFI[[#This Row],[Winter Items Other]],Table_NFI[Winter Items Other])</f>
        <v>0</v>
      </c>
      <c r="AL760" s="264">
        <f>IF(NFI_Expiration=1,IF($A760&lt;VLOOKUP(M$5,NFI,5,0),1,0)*Table_NFI[[#This Row],[Winter Blanket]],Table_NFI[[#This Row],[Winter Blanket]])</f>
        <v>0</v>
      </c>
      <c r="AM760" s="264">
        <f>IF(Table_NFI[[#This Row],[Winter Clothes Adult]]+Table_NFI[[#This Row],[Winter Clothes Children]]+Table_NFI[[#This Row],[Winter Items Other]]+Table_NFI[[#This Row],[Winter Blanket]]&gt;0,1,0)</f>
        <v>0</v>
      </c>
      <c r="AN760" s="296">
        <f>IF(NFI_Expiration=1,IF($A760&lt;VLOOKUP(V$5,NFI,5,0),1,0)*Table_NFI[[#This Row],[Jerry Can]],Table_NFI[Jerry Can])</f>
        <v>0</v>
      </c>
      <c r="AO760" s="296">
        <f>IF(NFI_Expiration=1,IF($A760&lt;VLOOKUP(V$5,NFI,5,0),1,0)*Table_NFI[[#This Row],[Shelter Tool kit]],Table_NFI[Shelter Tool kit])</f>
        <v>0</v>
      </c>
      <c r="AP760" s="296">
        <f>IF(NFI_Expiration=1,IF($A760&lt;VLOOKUP(V$5,NFI,5,0),1,0)*Table_NFI[[#This Row],[Tent]],Table_NFI[Tent])</f>
        <v>0</v>
      </c>
      <c r="AQ760" s="396" t="str">
        <f>IFERROR(VLOOKUP(Table_NFI[[#This Row],[Camp Name]],CL,2,0),"")</f>
        <v>MMR001CMP029</v>
      </c>
      <c r="AR760" s="702">
        <f ca="1">IF(Table_NFI[[#This Row],[Pcode]]="","",IF(OFFSET(CampList[Opening Date],MATCH(Table_NFI[[#This Row],[Pcode]],CampList[CP_Pcode],0)-1,0,1,1)&gt;=NFI_Monitor_Date,1,0))</f>
        <v>0</v>
      </c>
      <c r="AS760" s="396" t="str">
        <f>IFERROR(VLOOKUP(Table_NFI[[#This Row],[Camp Name]],CL,3,0),"")</f>
        <v>Open</v>
      </c>
      <c r="AT760" s="264" t="str">
        <f ca="1">IF(Table_NFI[[#This Row],[Pcode]]="","",OFFSET(CampList[Priority],MATCH(Table_NFI[[#This Row],[Pcode]],CampList[CP_Pcode],0)-1,0,1,1))</f>
        <v>P4</v>
      </c>
      <c r="AU760" s="263">
        <f>IFERROR(Table_NFI[[#This Row],[Kitchen Set]]/VLOOKUP(Table_NFI[[#This Row],[Camp Name]],CL,4,0),"")</f>
        <v>0</v>
      </c>
      <c r="AV760" s="390" t="s">
        <v>1087</v>
      </c>
      <c r="AW760" s="392"/>
      <c r="AX760" s="399"/>
      <c r="AY760" s="399"/>
      <c r="AZ760" s="399"/>
      <c r="BA760" s="399"/>
      <c r="BB760" s="399"/>
      <c r="BC760" s="399"/>
      <c r="BD760" s="399"/>
      <c r="BE760" s="399"/>
      <c r="BF760" s="399"/>
      <c r="BG760" s="399"/>
      <c r="BH760" s="399"/>
      <c r="BI760" s="399"/>
      <c r="BJ760" s="399"/>
      <c r="BK760" s="399"/>
      <c r="BL760" s="399"/>
      <c r="BM760" s="399"/>
      <c r="BN760" s="399"/>
      <c r="BO760" s="399"/>
      <c r="BP760" s="399"/>
      <c r="BQ760" s="399"/>
      <c r="BR760" s="399"/>
      <c r="BS760" s="399"/>
      <c r="BT760" s="399"/>
      <c r="BU760" s="399"/>
      <c r="BV760" s="399"/>
      <c r="BW760" s="399"/>
      <c r="BX760" s="399"/>
      <c r="BY760" s="399"/>
      <c r="BZ760" s="399"/>
      <c r="CA760" s="399"/>
      <c r="CB760" s="399"/>
      <c r="CC760" s="399"/>
      <c r="CD760" s="399"/>
      <c r="CE760" s="399"/>
      <c r="CF760" s="399"/>
      <c r="CG760" s="399"/>
      <c r="CH760" s="399"/>
      <c r="CI760" s="399"/>
      <c r="CJ760" s="399"/>
      <c r="CK760" s="399"/>
      <c r="CL760" s="399"/>
      <c r="CM760" s="399"/>
      <c r="CN760" s="399"/>
      <c r="CO760" s="399"/>
      <c r="CP760" s="399"/>
      <c r="CQ760" s="399"/>
      <c r="CR760" s="399"/>
      <c r="CS760" s="399"/>
      <c r="CT760" s="399"/>
      <c r="CU760" s="399"/>
      <c r="CV760" s="399"/>
      <c r="CW760" s="399"/>
      <c r="CX760" s="399"/>
      <c r="CY760" s="399"/>
      <c r="CZ760" s="399"/>
      <c r="DA760" s="399"/>
      <c r="DB760" s="399"/>
      <c r="DC760" s="399"/>
      <c r="DD760" s="399"/>
      <c r="DE760" s="399"/>
      <c r="DF760" s="399"/>
      <c r="DG760" s="399"/>
      <c r="DH760" s="399"/>
      <c r="DI760" s="399"/>
      <c r="DJ760" s="399"/>
      <c r="DK760" s="399"/>
      <c r="DL760" s="399"/>
      <c r="DM760" s="399"/>
      <c r="DN760" s="399"/>
      <c r="DO760" s="399"/>
      <c r="DP760" s="399"/>
      <c r="DQ760" s="399"/>
    </row>
    <row r="761" spans="1:121" s="760" customFormat="1" ht="14.45" customHeight="1" x14ac:dyDescent="0.25">
      <c r="A761" s="266">
        <f t="shared" si="11"/>
        <v>48.5</v>
      </c>
      <c r="B761" s="389">
        <v>41401</v>
      </c>
      <c r="C761" s="390" t="s">
        <v>900</v>
      </c>
      <c r="D761" s="391" t="s">
        <v>505</v>
      </c>
      <c r="E761" s="390" t="s">
        <v>380</v>
      </c>
      <c r="F761" s="262" t="s">
        <v>237</v>
      </c>
      <c r="G761" s="262" t="s">
        <v>273</v>
      </c>
      <c r="H761" s="261">
        <v>149</v>
      </c>
      <c r="I761" s="261"/>
      <c r="J761" s="261"/>
      <c r="K761" s="261"/>
      <c r="L761" s="261"/>
      <c r="M761" s="261"/>
      <c r="N761" s="261"/>
      <c r="O761" s="261"/>
      <c r="P761" s="261"/>
      <c r="Q761" s="261"/>
      <c r="R761" s="261"/>
      <c r="S761" s="261"/>
      <c r="T761" s="261"/>
      <c r="U761" s="261"/>
      <c r="V761" s="762"/>
      <c r="W761" s="261"/>
      <c r="X761" s="261"/>
      <c r="Y761" s="264">
        <f>IF(NFI_Expiration=1,IF($A761&lt;VLOOKUP(H$5,NFI,5,0),1,0)*Table_NFI[[#This Row],[Hygiene Kit]],Table_NFI[Hygiene Kit])</f>
        <v>0</v>
      </c>
      <c r="Z761" s="264">
        <f>IF(NFI_Expiration=1,IF($A761&lt;VLOOKUP(I$5,NFI,5,0),1,0)*Table_NFI[[#This Row],[NFI Core Kit]],Table_NFI[NFI Core Kit])</f>
        <v>0</v>
      </c>
      <c r="AA761" s="264">
        <f>IF(NFI_Expiration=1,IF($A761&lt;VLOOKUP(J$5,NFI,5,0),1,0)*Table_NFI[[#This Row],[Sanitary Kit]],Table_NFI[Sanitary Kit])</f>
        <v>0</v>
      </c>
      <c r="AB761" s="264">
        <f>IF(NFI_Expiration=1,IF($A761&lt;VLOOKUP(K$5,NFI,5,0),1,0)*Table_NFI[[#This Row],[Mosquito net]],Table_NFI[Mosquito net])</f>
        <v>0</v>
      </c>
      <c r="AC761" s="264">
        <f>IF(NFI_Expiration=1,IF($A761&lt;VLOOKUP(L$5,NFI,5,0),1,0)*Table_NFI[[#This Row],[Tarpaulin]],Table_NFI[[#This Row],[Tarpaulin]])</f>
        <v>0</v>
      </c>
      <c r="AD761" s="264">
        <f>IF(NFI_Expiration=1,IF($A761&lt;VLOOKUP(M$5,NFI,5,0),1,0)*Table_NFI[[#This Row],[Blanket]],Table_NFI[[#This Row],[Blanket]])</f>
        <v>0</v>
      </c>
      <c r="AE761" s="264">
        <f>IF(NFI_Expiration=1,IF($A761&lt;VLOOKUP(N$5,NFI,5,0),1,0)*Table_NFI[[#This Row],[Kitchen Set]],Table_NFI[Kitchen Set])</f>
        <v>0</v>
      </c>
      <c r="AF761" s="264">
        <f>IF(NFI_Expiration=1,IF($A761&lt;VLOOKUP(O$5,NFI,5,0),1,0)*Table_NFI[[#This Row],[Clothes Kit]],Table_NFI[Clothes Kit])</f>
        <v>0</v>
      </c>
      <c r="AG761" s="264">
        <f>IF(NFI_Expiration=1,IF($A761&lt;VLOOKUP(P$5,NFI,5,0),1,0)*Table_NFI[[#This Row],[Plastic Bucket]],Table_NFI[Plastic Bucket])</f>
        <v>0</v>
      </c>
      <c r="AH761" s="264">
        <f>IF(NFI_Expiration=1,IF($A761&lt;VLOOKUP(Q$5,NFI,5,0),1,0)*Table_NFI[[#This Row],[Plastic Mat]],Table_NFI[Plastic Mat])*IF(Table_NFI[[#This Row],[Distribution Date]]&gt;"2014-04-01",1,2.5)</f>
        <v>0</v>
      </c>
      <c r="AI761" s="264">
        <f>IF(NFI_Expiration=1,IF($A761&lt;VLOOKUP(R$5,NFI,5,0),1,0)*Table_NFI[[#This Row],[Winter Clothes Adult]],Table_NFI[Winter Clothes Adult])</f>
        <v>0</v>
      </c>
      <c r="AJ761" s="264">
        <f>IF(NFI_Expiration=1,IF($A761&lt;VLOOKUP(S$5,NFI,5,0),1,0)*Table_NFI[[#This Row],[Winter Clothes Children]],Table_NFI[Winter Clothes Children])</f>
        <v>0</v>
      </c>
      <c r="AK761" s="264">
        <f>IF(NFI_Expiration=1,IF($A761&lt;VLOOKUP(T$5,NFI,5,0),1,0)*Table_NFI[[#This Row],[Winter Items Other]],Table_NFI[Winter Items Other])</f>
        <v>0</v>
      </c>
      <c r="AL761" s="264">
        <f>IF(NFI_Expiration=1,IF($A761&lt;VLOOKUP(M$5,NFI,5,0),1,0)*Table_NFI[[#This Row],[Winter Blanket]],Table_NFI[[#This Row],[Winter Blanket]])</f>
        <v>0</v>
      </c>
      <c r="AM761" s="264">
        <f>IF(Table_NFI[[#This Row],[Winter Clothes Adult]]+Table_NFI[[#This Row],[Winter Clothes Children]]+Table_NFI[[#This Row],[Winter Items Other]]+Table_NFI[[#This Row],[Winter Blanket]]&gt;0,1,0)</f>
        <v>0</v>
      </c>
      <c r="AN761" s="296">
        <f>IF(NFI_Expiration=1,IF($A761&lt;VLOOKUP(V$5,NFI,5,0),1,0)*Table_NFI[[#This Row],[Jerry Can]],Table_NFI[Jerry Can])</f>
        <v>0</v>
      </c>
      <c r="AO761" s="296">
        <f>IF(NFI_Expiration=1,IF($A761&lt;VLOOKUP(V$5,NFI,5,0),1,0)*Table_NFI[[#This Row],[Shelter Tool kit]],Table_NFI[Shelter Tool kit])</f>
        <v>0</v>
      </c>
      <c r="AP761" s="296">
        <f>IF(NFI_Expiration=1,IF($A761&lt;VLOOKUP(V$5,NFI,5,0),1,0)*Table_NFI[[#This Row],[Tent]],Table_NFI[Tent])</f>
        <v>0</v>
      </c>
      <c r="AQ761" s="396" t="str">
        <f>IFERROR(VLOOKUP(Table_NFI[[#This Row],[Camp Name]],CL,2,0),"")</f>
        <v>MMR001CMP162</v>
      </c>
      <c r="AR761" s="702">
        <f ca="1">IF(Table_NFI[[#This Row],[Pcode]]="","",IF(OFFSET(CampList[Opening Date],MATCH(Table_NFI[[#This Row],[Pcode]],CampList[CP_Pcode],0)-1,0,1,1)&gt;=NFI_Monitor_Date,1,0))</f>
        <v>0</v>
      </c>
      <c r="AS761" s="396" t="str">
        <f>IFERROR(VLOOKUP(Table_NFI[[#This Row],[Camp Name]],CL,3,0),"")</f>
        <v>Open</v>
      </c>
      <c r="AT761" s="264" t="str">
        <f ca="1">IF(Table_NFI[[#This Row],[Pcode]]="","",OFFSET(CampList[Priority],MATCH(Table_NFI[[#This Row],[Pcode]],CampList[CP_Pcode],0)-1,0,1,1))</f>
        <v>P4</v>
      </c>
      <c r="AU761" s="263">
        <f>IFERROR(Table_NFI[[#This Row],[Kitchen Set]]/VLOOKUP(Table_NFI[[#This Row],[Camp Name]],CL,4,0),"")</f>
        <v>0</v>
      </c>
      <c r="AV761" s="390" t="s">
        <v>1087</v>
      </c>
      <c r="AW761" s="392"/>
      <c r="AX761" s="399"/>
      <c r="AY761" s="399"/>
      <c r="AZ761" s="399"/>
      <c r="BA761" s="399"/>
      <c r="BB761" s="399"/>
      <c r="BC761" s="399"/>
      <c r="BD761" s="399"/>
      <c r="BE761" s="399"/>
      <c r="BF761" s="399"/>
      <c r="BG761" s="399"/>
      <c r="BH761" s="399"/>
      <c r="BI761" s="399"/>
      <c r="BJ761" s="399"/>
      <c r="BK761" s="399"/>
      <c r="BL761" s="399"/>
      <c r="BM761" s="399"/>
      <c r="BN761" s="399"/>
      <c r="BO761" s="399"/>
      <c r="BP761" s="399"/>
      <c r="BQ761" s="399"/>
      <c r="BR761" s="399"/>
      <c r="BS761" s="399"/>
      <c r="BT761" s="399"/>
      <c r="BU761" s="399"/>
      <c r="BV761" s="399"/>
      <c r="BW761" s="399"/>
      <c r="BX761" s="399"/>
      <c r="BY761" s="399"/>
      <c r="BZ761" s="399"/>
      <c r="CA761" s="399"/>
      <c r="CB761" s="399"/>
      <c r="CC761" s="399"/>
      <c r="CD761" s="399"/>
      <c r="CE761" s="399"/>
      <c r="CF761" s="399"/>
      <c r="CG761" s="399"/>
      <c r="CH761" s="399"/>
      <c r="CI761" s="399"/>
      <c r="CJ761" s="399"/>
      <c r="CK761" s="399"/>
      <c r="CL761" s="399"/>
      <c r="CM761" s="399"/>
      <c r="CN761" s="399"/>
      <c r="CO761" s="399"/>
      <c r="CP761" s="399"/>
      <c r="CQ761" s="399"/>
      <c r="CR761" s="399"/>
      <c r="CS761" s="399"/>
      <c r="CT761" s="399"/>
      <c r="CU761" s="399"/>
      <c r="CV761" s="399"/>
      <c r="CW761" s="399"/>
      <c r="CX761" s="399"/>
      <c r="CY761" s="399"/>
      <c r="CZ761" s="399"/>
      <c r="DA761" s="399"/>
      <c r="DB761" s="399"/>
      <c r="DC761" s="399"/>
      <c r="DD761" s="399"/>
      <c r="DE761" s="399"/>
      <c r="DF761" s="399"/>
      <c r="DG761" s="399"/>
      <c r="DH761" s="399"/>
      <c r="DI761" s="399"/>
      <c r="DJ761" s="399"/>
      <c r="DK761" s="399"/>
      <c r="DL761" s="399"/>
      <c r="DM761" s="399"/>
      <c r="DN761" s="399"/>
      <c r="DO761" s="399"/>
      <c r="DP761" s="399"/>
      <c r="DQ761" s="399"/>
    </row>
    <row r="762" spans="1:121" s="760" customFormat="1" ht="14.45" customHeight="1" x14ac:dyDescent="0.25">
      <c r="A762" s="266">
        <f t="shared" si="11"/>
        <v>49.633333333333333</v>
      </c>
      <c r="B762" s="389">
        <v>41367</v>
      </c>
      <c r="C762" s="390" t="s">
        <v>451</v>
      </c>
      <c r="D762" s="390" t="s">
        <v>451</v>
      </c>
      <c r="E762" s="390" t="s">
        <v>380</v>
      </c>
      <c r="F762" s="262" t="s">
        <v>310</v>
      </c>
      <c r="G762" s="262" t="s">
        <v>328</v>
      </c>
      <c r="H762" s="261"/>
      <c r="I762" s="261"/>
      <c r="J762" s="261">
        <v>15</v>
      </c>
      <c r="K762" s="261">
        <v>22</v>
      </c>
      <c r="L762" s="261">
        <v>11</v>
      </c>
      <c r="M762" s="261">
        <v>22</v>
      </c>
      <c r="N762" s="261">
        <v>11</v>
      </c>
      <c r="O762" s="261">
        <v>11</v>
      </c>
      <c r="P762" s="261">
        <v>11</v>
      </c>
      <c r="Q762" s="261">
        <v>11</v>
      </c>
      <c r="R762" s="261"/>
      <c r="S762" s="261"/>
      <c r="T762" s="261"/>
      <c r="U762" s="261"/>
      <c r="V762" s="762"/>
      <c r="W762" s="261"/>
      <c r="X762" s="261"/>
      <c r="Y762" s="264">
        <f>IF(NFI_Expiration=1,IF($A762&lt;VLOOKUP(H$5,NFI,5,0),1,0)*Table_NFI[[#This Row],[Hygiene Kit]],Table_NFI[Hygiene Kit])</f>
        <v>0</v>
      </c>
      <c r="Z762" s="264">
        <f>IF(NFI_Expiration=1,IF($A762&lt;VLOOKUP(I$5,NFI,5,0),1,0)*Table_NFI[[#This Row],[NFI Core Kit]],Table_NFI[NFI Core Kit])</f>
        <v>0</v>
      </c>
      <c r="AA762" s="264">
        <f>IF(NFI_Expiration=1,IF($A762&lt;VLOOKUP(J$5,NFI,5,0),1,0)*Table_NFI[[#This Row],[Sanitary Kit]],Table_NFI[Sanitary Kit])</f>
        <v>0</v>
      </c>
      <c r="AB762" s="264">
        <f>IF(NFI_Expiration=1,IF($A762&lt;VLOOKUP(K$5,NFI,5,0),1,0)*Table_NFI[[#This Row],[Mosquito net]],Table_NFI[Mosquito net])</f>
        <v>0</v>
      </c>
      <c r="AC762" s="264">
        <f>IF(NFI_Expiration=1,IF($A762&lt;VLOOKUP(L$5,NFI,5,0),1,0)*Table_NFI[[#This Row],[Tarpaulin]],Table_NFI[[#This Row],[Tarpaulin]])</f>
        <v>0</v>
      </c>
      <c r="AD762" s="264">
        <f>IF(NFI_Expiration=1,IF($A762&lt;VLOOKUP(M$5,NFI,5,0),1,0)*Table_NFI[[#This Row],[Blanket]],Table_NFI[[#This Row],[Blanket]])</f>
        <v>0</v>
      </c>
      <c r="AE762" s="264">
        <f>IF(NFI_Expiration=1,IF($A762&lt;VLOOKUP(N$5,NFI,5,0),1,0)*Table_NFI[[#This Row],[Kitchen Set]],Table_NFI[Kitchen Set])</f>
        <v>0</v>
      </c>
      <c r="AF762" s="264">
        <f>IF(NFI_Expiration=1,IF($A762&lt;VLOOKUP(O$5,NFI,5,0),1,0)*Table_NFI[[#This Row],[Clothes Kit]],Table_NFI[Clothes Kit])</f>
        <v>0</v>
      </c>
      <c r="AG762" s="264">
        <f>IF(NFI_Expiration=1,IF($A762&lt;VLOOKUP(P$5,NFI,5,0),1,0)*Table_NFI[[#This Row],[Plastic Bucket]],Table_NFI[Plastic Bucket])</f>
        <v>0</v>
      </c>
      <c r="AH762" s="264">
        <f>IF(NFI_Expiration=1,IF($A762&lt;VLOOKUP(Q$5,NFI,5,0),1,0)*Table_NFI[[#This Row],[Plastic Mat]],Table_NFI[Plastic Mat])*IF(Table_NFI[[#This Row],[Distribution Date]]&gt;"2014-04-01",1,2.5)</f>
        <v>0</v>
      </c>
      <c r="AI762" s="264">
        <f>IF(NFI_Expiration=1,IF($A762&lt;VLOOKUP(R$5,NFI,5,0),1,0)*Table_NFI[[#This Row],[Winter Clothes Adult]],Table_NFI[Winter Clothes Adult])</f>
        <v>0</v>
      </c>
      <c r="AJ762" s="264">
        <f>IF(NFI_Expiration=1,IF($A762&lt;VLOOKUP(S$5,NFI,5,0),1,0)*Table_NFI[[#This Row],[Winter Clothes Children]],Table_NFI[Winter Clothes Children])</f>
        <v>0</v>
      </c>
      <c r="AK762" s="264">
        <f>IF(NFI_Expiration=1,IF($A762&lt;VLOOKUP(T$5,NFI,5,0),1,0)*Table_NFI[[#This Row],[Winter Items Other]],Table_NFI[Winter Items Other])</f>
        <v>0</v>
      </c>
      <c r="AL762" s="264">
        <f>IF(NFI_Expiration=1,IF($A762&lt;VLOOKUP(M$5,NFI,5,0),1,0)*Table_NFI[[#This Row],[Winter Blanket]],Table_NFI[[#This Row],[Winter Blanket]])</f>
        <v>0</v>
      </c>
      <c r="AM762" s="264">
        <f>IF(Table_NFI[[#This Row],[Winter Clothes Adult]]+Table_NFI[[#This Row],[Winter Clothes Children]]+Table_NFI[[#This Row],[Winter Items Other]]+Table_NFI[[#This Row],[Winter Blanket]]&gt;0,1,0)</f>
        <v>0</v>
      </c>
      <c r="AN762" s="296">
        <f>IF(NFI_Expiration=1,IF($A762&lt;VLOOKUP(V$5,NFI,5,0),1,0)*Table_NFI[[#This Row],[Jerry Can]],Table_NFI[Jerry Can])</f>
        <v>0</v>
      </c>
      <c r="AO762" s="296">
        <f>IF(NFI_Expiration=1,IF($A762&lt;VLOOKUP(V$5,NFI,5,0),1,0)*Table_NFI[[#This Row],[Shelter Tool kit]],Table_NFI[Shelter Tool kit])</f>
        <v>0</v>
      </c>
      <c r="AP762" s="296">
        <f>IF(NFI_Expiration=1,IF($A762&lt;VLOOKUP(V$5,NFI,5,0),1,0)*Table_NFI[[#This Row],[Tent]],Table_NFI[Tent])</f>
        <v>0</v>
      </c>
      <c r="AQ762" s="396" t="str">
        <f>IFERROR(VLOOKUP(Table_NFI[[#This Row],[Camp Name]],CL,2,0),"")</f>
        <v>MMR001CMP031</v>
      </c>
      <c r="AR762" s="702">
        <f ca="1">IF(Table_NFI[[#This Row],[Pcode]]="","",IF(OFFSET(CampList[Opening Date],MATCH(Table_NFI[[#This Row],[Pcode]],CampList[CP_Pcode],0)-1,0,1,1)&gt;=NFI_Monitor_Date,1,0))</f>
        <v>0</v>
      </c>
      <c r="AS762" s="396" t="str">
        <f>IFERROR(VLOOKUP(Table_NFI[[#This Row],[Camp Name]],CL,3,0),"")</f>
        <v>Open</v>
      </c>
      <c r="AT762" s="264" t="str">
        <f ca="1">IF(Table_NFI[[#This Row],[Pcode]]="","",OFFSET(CampList[Priority],MATCH(Table_NFI[[#This Row],[Pcode]],CampList[CP_Pcode],0)-1,0,1,1))</f>
        <v>P4</v>
      </c>
      <c r="AU762" s="263">
        <f>IFERROR(Table_NFI[[#This Row],[Kitchen Set]]/VLOOKUP(Table_NFI[[#This Row],[Camp Name]],CL,4,0),"")</f>
        <v>2.6534156696256272E-4</v>
      </c>
      <c r="AV762" s="390" t="s">
        <v>1087</v>
      </c>
      <c r="AW762" s="392"/>
      <c r="AX762" s="399"/>
      <c r="AY762" s="399"/>
      <c r="AZ762" s="399"/>
      <c r="BA762" s="399"/>
      <c r="BB762" s="399"/>
      <c r="BC762" s="399"/>
      <c r="BD762" s="399"/>
      <c r="BE762" s="399"/>
      <c r="BF762" s="399"/>
      <c r="BG762" s="399"/>
      <c r="BH762" s="399"/>
      <c r="BI762" s="399"/>
      <c r="BJ762" s="399"/>
      <c r="BK762" s="399"/>
      <c r="BL762" s="399"/>
      <c r="BM762" s="399"/>
      <c r="BN762" s="399"/>
      <c r="BO762" s="399"/>
      <c r="BP762" s="399"/>
      <c r="BQ762" s="399"/>
      <c r="BR762" s="399"/>
      <c r="BS762" s="399"/>
      <c r="BT762" s="399"/>
      <c r="BU762" s="399"/>
      <c r="BV762" s="399"/>
      <c r="BW762" s="399"/>
      <c r="BX762" s="399"/>
      <c r="BY762" s="399"/>
      <c r="BZ762" s="399"/>
      <c r="CA762" s="399"/>
      <c r="CB762" s="399"/>
      <c r="CC762" s="399"/>
      <c r="CD762" s="399"/>
      <c r="CE762" s="399"/>
      <c r="CF762" s="399"/>
      <c r="CG762" s="399"/>
      <c r="CH762" s="399"/>
      <c r="CI762" s="399"/>
      <c r="CJ762" s="399"/>
      <c r="CK762" s="399"/>
      <c r="CL762" s="399"/>
      <c r="CM762" s="399"/>
      <c r="CN762" s="399"/>
      <c r="CO762" s="399"/>
      <c r="CP762" s="399"/>
      <c r="CQ762" s="399"/>
      <c r="CR762" s="399"/>
      <c r="CS762" s="399"/>
      <c r="CT762" s="399"/>
      <c r="CU762" s="399"/>
      <c r="CV762" s="399"/>
      <c r="CW762" s="399"/>
      <c r="CX762" s="399"/>
      <c r="CY762" s="399"/>
      <c r="CZ762" s="399"/>
      <c r="DA762" s="399"/>
      <c r="DB762" s="399"/>
      <c r="DC762" s="399"/>
      <c r="DD762" s="399"/>
      <c r="DE762" s="399"/>
      <c r="DF762" s="399"/>
      <c r="DG762" s="399"/>
      <c r="DH762" s="399"/>
      <c r="DI762" s="399"/>
      <c r="DJ762" s="399"/>
      <c r="DK762" s="399"/>
      <c r="DL762" s="399"/>
      <c r="DM762" s="399"/>
      <c r="DN762" s="399"/>
      <c r="DO762" s="399"/>
      <c r="DP762" s="399"/>
      <c r="DQ762" s="399"/>
    </row>
    <row r="763" spans="1:121" s="760" customFormat="1" ht="14.45" customHeight="1" x14ac:dyDescent="0.25">
      <c r="A763" s="266">
        <f t="shared" si="11"/>
        <v>49.633333333333333</v>
      </c>
      <c r="B763" s="389">
        <v>41367</v>
      </c>
      <c r="C763" s="390" t="s">
        <v>451</v>
      </c>
      <c r="D763" s="391" t="s">
        <v>451</v>
      </c>
      <c r="E763" s="390" t="s">
        <v>380</v>
      </c>
      <c r="F763" s="262" t="s">
        <v>310</v>
      </c>
      <c r="G763" s="262" t="s">
        <v>316</v>
      </c>
      <c r="H763" s="261"/>
      <c r="I763" s="261"/>
      <c r="J763" s="261">
        <v>4</v>
      </c>
      <c r="K763" s="261">
        <v>7</v>
      </c>
      <c r="L763" s="261">
        <v>3</v>
      </c>
      <c r="M763" s="261">
        <v>7</v>
      </c>
      <c r="N763" s="261">
        <v>3</v>
      </c>
      <c r="O763" s="261">
        <v>3</v>
      </c>
      <c r="P763" s="261">
        <v>3</v>
      </c>
      <c r="Q763" s="261">
        <v>3</v>
      </c>
      <c r="R763" s="261"/>
      <c r="S763" s="261"/>
      <c r="T763" s="261"/>
      <c r="U763" s="261"/>
      <c r="V763" s="762"/>
      <c r="W763" s="261"/>
      <c r="X763" s="261"/>
      <c r="Y763" s="264">
        <f>IF(NFI_Expiration=1,IF($A763&lt;VLOOKUP(H$5,NFI,5,0),1,0)*Table_NFI[[#This Row],[Hygiene Kit]],Table_NFI[Hygiene Kit])</f>
        <v>0</v>
      </c>
      <c r="Z763" s="264">
        <f>IF(NFI_Expiration=1,IF($A763&lt;VLOOKUP(I$5,NFI,5,0),1,0)*Table_NFI[[#This Row],[NFI Core Kit]],Table_NFI[NFI Core Kit])</f>
        <v>0</v>
      </c>
      <c r="AA763" s="264">
        <f>IF(NFI_Expiration=1,IF($A763&lt;VLOOKUP(J$5,NFI,5,0),1,0)*Table_NFI[[#This Row],[Sanitary Kit]],Table_NFI[Sanitary Kit])</f>
        <v>0</v>
      </c>
      <c r="AB763" s="264">
        <f>IF(NFI_Expiration=1,IF($A763&lt;VLOOKUP(K$5,NFI,5,0),1,0)*Table_NFI[[#This Row],[Mosquito net]],Table_NFI[Mosquito net])</f>
        <v>0</v>
      </c>
      <c r="AC763" s="264">
        <f>IF(NFI_Expiration=1,IF($A763&lt;VLOOKUP(L$5,NFI,5,0),1,0)*Table_NFI[[#This Row],[Tarpaulin]],Table_NFI[[#This Row],[Tarpaulin]])</f>
        <v>0</v>
      </c>
      <c r="AD763" s="264">
        <f>IF(NFI_Expiration=1,IF($A763&lt;VLOOKUP(M$5,NFI,5,0),1,0)*Table_NFI[[#This Row],[Blanket]],Table_NFI[[#This Row],[Blanket]])</f>
        <v>0</v>
      </c>
      <c r="AE763" s="264">
        <f>IF(NFI_Expiration=1,IF($A763&lt;VLOOKUP(N$5,NFI,5,0),1,0)*Table_NFI[[#This Row],[Kitchen Set]],Table_NFI[Kitchen Set])</f>
        <v>0</v>
      </c>
      <c r="AF763" s="264">
        <f>IF(NFI_Expiration=1,IF($A763&lt;VLOOKUP(O$5,NFI,5,0),1,0)*Table_NFI[[#This Row],[Clothes Kit]],Table_NFI[Clothes Kit])</f>
        <v>0</v>
      </c>
      <c r="AG763" s="264">
        <f>IF(NFI_Expiration=1,IF($A763&lt;VLOOKUP(P$5,NFI,5,0),1,0)*Table_NFI[[#This Row],[Plastic Bucket]],Table_NFI[Plastic Bucket])</f>
        <v>0</v>
      </c>
      <c r="AH763" s="264">
        <f>IF(NFI_Expiration=1,IF($A763&lt;VLOOKUP(Q$5,NFI,5,0),1,0)*Table_NFI[[#This Row],[Plastic Mat]],Table_NFI[Plastic Mat])*IF(Table_NFI[[#This Row],[Distribution Date]]&gt;"2014-04-01",1,2.5)</f>
        <v>0</v>
      </c>
      <c r="AI763" s="264">
        <f>IF(NFI_Expiration=1,IF($A763&lt;VLOOKUP(R$5,NFI,5,0),1,0)*Table_NFI[[#This Row],[Winter Clothes Adult]],Table_NFI[Winter Clothes Adult])</f>
        <v>0</v>
      </c>
      <c r="AJ763" s="264">
        <f>IF(NFI_Expiration=1,IF($A763&lt;VLOOKUP(S$5,NFI,5,0),1,0)*Table_NFI[[#This Row],[Winter Clothes Children]],Table_NFI[Winter Clothes Children])</f>
        <v>0</v>
      </c>
      <c r="AK763" s="264">
        <f>IF(NFI_Expiration=1,IF($A763&lt;VLOOKUP(T$5,NFI,5,0),1,0)*Table_NFI[[#This Row],[Winter Items Other]],Table_NFI[Winter Items Other])</f>
        <v>0</v>
      </c>
      <c r="AL763" s="264">
        <f>IF(NFI_Expiration=1,IF($A763&lt;VLOOKUP(M$5,NFI,5,0),1,0)*Table_NFI[[#This Row],[Winter Blanket]],Table_NFI[[#This Row],[Winter Blanket]])</f>
        <v>0</v>
      </c>
      <c r="AM763" s="264">
        <f>IF(Table_NFI[[#This Row],[Winter Clothes Adult]]+Table_NFI[[#This Row],[Winter Clothes Children]]+Table_NFI[[#This Row],[Winter Items Other]]+Table_NFI[[#This Row],[Winter Blanket]]&gt;0,1,0)</f>
        <v>0</v>
      </c>
      <c r="AN763" s="296">
        <f>IF(NFI_Expiration=1,IF($A763&lt;VLOOKUP(V$5,NFI,5,0),1,0)*Table_NFI[[#This Row],[Jerry Can]],Table_NFI[Jerry Can])</f>
        <v>0</v>
      </c>
      <c r="AO763" s="296">
        <f>IF(NFI_Expiration=1,IF($A763&lt;VLOOKUP(V$5,NFI,5,0),1,0)*Table_NFI[[#This Row],[Shelter Tool kit]],Table_NFI[Shelter Tool kit])</f>
        <v>0</v>
      </c>
      <c r="AP763" s="296">
        <f>IF(NFI_Expiration=1,IF($A763&lt;VLOOKUP(V$5,NFI,5,0),1,0)*Table_NFI[[#This Row],[Tent]],Table_NFI[Tent])</f>
        <v>0</v>
      </c>
      <c r="AQ763" s="396" t="str">
        <f>IFERROR(VLOOKUP(Table_NFI[[#This Row],[Camp Name]],CL,2,0),"")</f>
        <v>MMR001CMP038</v>
      </c>
      <c r="AR763" s="702">
        <f ca="1">IF(Table_NFI[[#This Row],[Pcode]]="","",IF(OFFSET(CampList[Opening Date],MATCH(Table_NFI[[#This Row],[Pcode]],CampList[CP_Pcode],0)-1,0,1,1)&gt;=NFI_Monitor_Date,1,0))</f>
        <v>0</v>
      </c>
      <c r="AS763" s="396" t="str">
        <f>IFERROR(VLOOKUP(Table_NFI[[#This Row],[Camp Name]],CL,3,0),"")</f>
        <v>Open</v>
      </c>
      <c r="AT763" s="264" t="str">
        <f ca="1">IF(Table_NFI[[#This Row],[Pcode]]="","",OFFSET(CampList[Priority],MATCH(Table_NFI[[#This Row],[Pcode]],CampList[CP_Pcode],0)-1,0,1,1))</f>
        <v>P4</v>
      </c>
      <c r="AU763" s="263">
        <f>IFERROR(Table_NFI[[#This Row],[Kitchen Set]]/VLOOKUP(Table_NFI[[#This Row],[Camp Name]],CL,4,0),"")</f>
        <v>7.3443008225616919E-5</v>
      </c>
      <c r="AV763" s="390" t="s">
        <v>1087</v>
      </c>
      <c r="AW763" s="392"/>
      <c r="AX763" s="399"/>
      <c r="AY763" s="399"/>
      <c r="AZ763" s="399"/>
      <c r="BA763" s="399"/>
      <c r="BB763" s="399"/>
      <c r="BC763" s="399"/>
      <c r="BD763" s="399"/>
      <c r="BE763" s="399"/>
      <c r="BF763" s="399"/>
      <c r="BG763" s="399"/>
      <c r="BH763" s="399"/>
      <c r="BI763" s="399"/>
      <c r="BJ763" s="399"/>
      <c r="BK763" s="399"/>
      <c r="BL763" s="399"/>
      <c r="BM763" s="399"/>
      <c r="BN763" s="399"/>
      <c r="BO763" s="399"/>
      <c r="BP763" s="399"/>
      <c r="BQ763" s="399"/>
      <c r="BR763" s="399"/>
      <c r="BS763" s="399"/>
      <c r="BT763" s="399"/>
      <c r="BU763" s="399"/>
      <c r="BV763" s="399"/>
      <c r="BW763" s="399"/>
      <c r="BX763" s="399"/>
      <c r="BY763" s="399"/>
      <c r="BZ763" s="399"/>
      <c r="CA763" s="399"/>
      <c r="CB763" s="399"/>
      <c r="CC763" s="399"/>
      <c r="CD763" s="399"/>
      <c r="CE763" s="399"/>
      <c r="CF763" s="399"/>
      <c r="CG763" s="399"/>
      <c r="CH763" s="399"/>
      <c r="CI763" s="399"/>
      <c r="CJ763" s="399"/>
      <c r="CK763" s="399"/>
      <c r="CL763" s="399"/>
      <c r="CM763" s="399"/>
      <c r="CN763" s="399"/>
      <c r="CO763" s="399"/>
      <c r="CP763" s="399"/>
      <c r="CQ763" s="399"/>
      <c r="CR763" s="399"/>
      <c r="CS763" s="399"/>
      <c r="CT763" s="399"/>
      <c r="CU763" s="399"/>
      <c r="CV763" s="399"/>
      <c r="CW763" s="399"/>
      <c r="CX763" s="399"/>
      <c r="CY763" s="399"/>
      <c r="CZ763" s="399"/>
      <c r="DA763" s="399"/>
      <c r="DB763" s="399"/>
      <c r="DC763" s="399"/>
      <c r="DD763" s="399"/>
      <c r="DE763" s="399"/>
      <c r="DF763" s="399"/>
      <c r="DG763" s="399"/>
      <c r="DH763" s="399"/>
      <c r="DI763" s="399"/>
      <c r="DJ763" s="399"/>
      <c r="DK763" s="399"/>
      <c r="DL763" s="399"/>
      <c r="DM763" s="399"/>
      <c r="DN763" s="399"/>
      <c r="DO763" s="399"/>
      <c r="DP763" s="399"/>
      <c r="DQ763" s="399"/>
    </row>
    <row r="764" spans="1:121" s="760" customFormat="1" ht="14.45" customHeight="1" x14ac:dyDescent="0.25">
      <c r="A764" s="266">
        <f t="shared" si="11"/>
        <v>49.8</v>
      </c>
      <c r="B764" s="389">
        <v>41362</v>
      </c>
      <c r="C764" s="390" t="s">
        <v>899</v>
      </c>
      <c r="D764" s="390" t="s">
        <v>899</v>
      </c>
      <c r="E764" s="390" t="s">
        <v>380</v>
      </c>
      <c r="F764" s="390" t="s">
        <v>807</v>
      </c>
      <c r="G764" s="262" t="s">
        <v>807</v>
      </c>
      <c r="H764" s="261"/>
      <c r="I764" s="261"/>
      <c r="J764" s="261">
        <v>6</v>
      </c>
      <c r="K764" s="261"/>
      <c r="L764" s="261"/>
      <c r="M764" s="261"/>
      <c r="N764" s="261">
        <v>6</v>
      </c>
      <c r="O764" s="261"/>
      <c r="P764" s="261">
        <v>0</v>
      </c>
      <c r="Q764" s="261">
        <v>0</v>
      </c>
      <c r="R764" s="261"/>
      <c r="S764" s="261"/>
      <c r="T764" s="261"/>
      <c r="U764" s="261"/>
      <c r="V764" s="762"/>
      <c r="W764" s="261"/>
      <c r="X764" s="261"/>
      <c r="Y764" s="264">
        <f>IF(NFI_Expiration=1,IF($A764&lt;VLOOKUP(H$5,NFI,5,0),1,0)*Table_NFI[[#This Row],[Hygiene Kit]],Table_NFI[Hygiene Kit])</f>
        <v>0</v>
      </c>
      <c r="Z764" s="264">
        <f>IF(NFI_Expiration=1,IF($A764&lt;VLOOKUP(I$5,NFI,5,0),1,0)*Table_NFI[[#This Row],[NFI Core Kit]],Table_NFI[NFI Core Kit])</f>
        <v>0</v>
      </c>
      <c r="AA764" s="264">
        <f>IF(NFI_Expiration=1,IF($A764&lt;VLOOKUP(J$5,NFI,5,0),1,0)*Table_NFI[[#This Row],[Sanitary Kit]],Table_NFI[Sanitary Kit])</f>
        <v>0</v>
      </c>
      <c r="AB764" s="264">
        <f>IF(NFI_Expiration=1,IF($A764&lt;VLOOKUP(K$5,NFI,5,0),1,0)*Table_NFI[[#This Row],[Mosquito net]],Table_NFI[Mosquito net])</f>
        <v>0</v>
      </c>
      <c r="AC764" s="264">
        <f>IF(NFI_Expiration=1,IF($A764&lt;VLOOKUP(L$5,NFI,5,0),1,0)*Table_NFI[[#This Row],[Tarpaulin]],Table_NFI[[#This Row],[Tarpaulin]])</f>
        <v>0</v>
      </c>
      <c r="AD764" s="264">
        <f>IF(NFI_Expiration=1,IF($A764&lt;VLOOKUP(M$5,NFI,5,0),1,0)*Table_NFI[[#This Row],[Blanket]],Table_NFI[[#This Row],[Blanket]])</f>
        <v>0</v>
      </c>
      <c r="AE764" s="264">
        <f>IF(NFI_Expiration=1,IF($A764&lt;VLOOKUP(N$5,NFI,5,0),1,0)*Table_NFI[[#This Row],[Kitchen Set]],Table_NFI[Kitchen Set])</f>
        <v>0</v>
      </c>
      <c r="AF764" s="264">
        <f>IF(NFI_Expiration=1,IF($A764&lt;VLOOKUP(O$5,NFI,5,0),1,0)*Table_NFI[[#This Row],[Clothes Kit]],Table_NFI[Clothes Kit])</f>
        <v>0</v>
      </c>
      <c r="AG764" s="264">
        <f>IF(NFI_Expiration=1,IF($A764&lt;VLOOKUP(P$5,NFI,5,0),1,0)*Table_NFI[[#This Row],[Plastic Bucket]],Table_NFI[Plastic Bucket])</f>
        <v>0</v>
      </c>
      <c r="AH764" s="264">
        <f>IF(NFI_Expiration=1,IF($A764&lt;VLOOKUP(Q$5,NFI,5,0),1,0)*Table_NFI[[#This Row],[Plastic Mat]],Table_NFI[Plastic Mat])*IF(Table_NFI[[#This Row],[Distribution Date]]&gt;"2014-04-01",1,2.5)</f>
        <v>0</v>
      </c>
      <c r="AI764" s="264">
        <f>IF(NFI_Expiration=1,IF($A764&lt;VLOOKUP(R$5,NFI,5,0),1,0)*Table_NFI[[#This Row],[Winter Clothes Adult]],Table_NFI[Winter Clothes Adult])</f>
        <v>0</v>
      </c>
      <c r="AJ764" s="264">
        <f>IF(NFI_Expiration=1,IF($A764&lt;VLOOKUP(S$5,NFI,5,0),1,0)*Table_NFI[[#This Row],[Winter Clothes Children]],Table_NFI[Winter Clothes Children])</f>
        <v>0</v>
      </c>
      <c r="AK764" s="264">
        <f>IF(NFI_Expiration=1,IF($A764&lt;VLOOKUP(T$5,NFI,5,0),1,0)*Table_NFI[[#This Row],[Winter Items Other]],Table_NFI[Winter Items Other])</f>
        <v>0</v>
      </c>
      <c r="AL764" s="264">
        <f>IF(NFI_Expiration=1,IF($A764&lt;VLOOKUP(M$5,NFI,5,0),1,0)*Table_NFI[[#This Row],[Winter Blanket]],Table_NFI[[#This Row],[Winter Blanket]])</f>
        <v>0</v>
      </c>
      <c r="AM764" s="264">
        <f>IF(Table_NFI[[#This Row],[Winter Clothes Adult]]+Table_NFI[[#This Row],[Winter Clothes Children]]+Table_NFI[[#This Row],[Winter Items Other]]+Table_NFI[[#This Row],[Winter Blanket]]&gt;0,1,0)</f>
        <v>0</v>
      </c>
      <c r="AN764" s="296">
        <f>IF(NFI_Expiration=1,IF($A764&lt;VLOOKUP(V$5,NFI,5,0),1,0)*Table_NFI[[#This Row],[Jerry Can]],Table_NFI[Jerry Can])</f>
        <v>0</v>
      </c>
      <c r="AO764" s="296">
        <f>IF(NFI_Expiration=1,IF($A764&lt;VLOOKUP(V$5,NFI,5,0),1,0)*Table_NFI[[#This Row],[Shelter Tool kit]],Table_NFI[Shelter Tool kit])</f>
        <v>0</v>
      </c>
      <c r="AP764" s="296">
        <f>IF(NFI_Expiration=1,IF($A764&lt;VLOOKUP(V$5,NFI,5,0),1,0)*Table_NFI[[#This Row],[Tent]],Table_NFI[Tent])</f>
        <v>0</v>
      </c>
      <c r="AQ764" s="396" t="str">
        <f>IFERROR(VLOOKUP(Table_NFI[[#This Row],[Camp Name]],CL,2,0),"")</f>
        <v>MMR001CMP206</v>
      </c>
      <c r="AR764" s="702">
        <f ca="1">IF(Table_NFI[[#This Row],[Pcode]]="","",IF(OFFSET(CampList[Opening Date],MATCH(Table_NFI[[#This Row],[Pcode]],CampList[CP_Pcode],0)-1,0,1,1)&gt;=NFI_Monitor_Date,1,0))</f>
        <v>0</v>
      </c>
      <c r="AS764" s="396" t="str">
        <f>IFERROR(VLOOKUP(Table_NFI[[#This Row],[Camp Name]],CL,3,0),"")</f>
        <v>Open</v>
      </c>
      <c r="AT764" s="264" t="str">
        <f ca="1">IF(Table_NFI[[#This Row],[Pcode]]="","",OFFSET(CampList[Priority],MATCH(Table_NFI[[#This Row],[Pcode]],CampList[CP_Pcode],0)-1,0,1,1))</f>
        <v>P4</v>
      </c>
      <c r="AU764" s="263" t="str">
        <f>IFERROR(Table_NFI[[#This Row],[Kitchen Set]]/VLOOKUP(Table_NFI[[#This Row],[Camp Name]],CL,4,0),"")</f>
        <v/>
      </c>
      <c r="AV764" s="390" t="s">
        <v>1087</v>
      </c>
      <c r="AW764" s="392"/>
      <c r="AX764" s="399"/>
      <c r="AY764" s="399"/>
      <c r="AZ764" s="399"/>
      <c r="BA764" s="399"/>
      <c r="BB764" s="399"/>
      <c r="BC764" s="399"/>
      <c r="BD764" s="399"/>
      <c r="BE764" s="399"/>
      <c r="BF764" s="399"/>
      <c r="BG764" s="399"/>
      <c r="BH764" s="399"/>
      <c r="BI764" s="399"/>
      <c r="BJ764" s="399"/>
      <c r="BK764" s="399"/>
      <c r="BL764" s="399"/>
      <c r="BM764" s="399"/>
      <c r="BN764" s="399"/>
      <c r="BO764" s="399"/>
      <c r="BP764" s="399"/>
      <c r="BQ764" s="399"/>
      <c r="BR764" s="399"/>
      <c r="BS764" s="399"/>
      <c r="BT764" s="399"/>
      <c r="BU764" s="399"/>
      <c r="BV764" s="399"/>
      <c r="BW764" s="399"/>
      <c r="BX764" s="399"/>
      <c r="BY764" s="399"/>
      <c r="BZ764" s="399"/>
      <c r="CA764" s="399"/>
      <c r="CB764" s="399"/>
      <c r="CC764" s="399"/>
      <c r="CD764" s="399"/>
      <c r="CE764" s="399"/>
      <c r="CF764" s="399"/>
      <c r="CG764" s="399"/>
      <c r="CH764" s="399"/>
      <c r="CI764" s="399"/>
      <c r="CJ764" s="399"/>
      <c r="CK764" s="399"/>
      <c r="CL764" s="399"/>
      <c r="CM764" s="399"/>
      <c r="CN764" s="399"/>
      <c r="CO764" s="399"/>
      <c r="CP764" s="399"/>
      <c r="CQ764" s="399"/>
      <c r="CR764" s="399"/>
      <c r="CS764" s="399"/>
      <c r="CT764" s="399"/>
      <c r="CU764" s="399"/>
      <c r="CV764" s="399"/>
      <c r="CW764" s="399"/>
      <c r="CX764" s="399"/>
      <c r="CY764" s="399"/>
      <c r="CZ764" s="399"/>
      <c r="DA764" s="399"/>
      <c r="DB764" s="399"/>
      <c r="DC764" s="399"/>
      <c r="DD764" s="399"/>
      <c r="DE764" s="399"/>
      <c r="DF764" s="399"/>
      <c r="DG764" s="399"/>
      <c r="DH764" s="399"/>
      <c r="DI764" s="399"/>
      <c r="DJ764" s="399"/>
      <c r="DK764" s="399"/>
      <c r="DL764" s="399"/>
      <c r="DM764" s="399"/>
      <c r="DN764" s="399"/>
      <c r="DO764" s="399"/>
      <c r="DP764" s="399"/>
      <c r="DQ764" s="399"/>
    </row>
    <row r="765" spans="1:121" s="760" customFormat="1" ht="14.45" customHeight="1" x14ac:dyDescent="0.25">
      <c r="A765" s="266">
        <f t="shared" si="11"/>
        <v>50.06666666666667</v>
      </c>
      <c r="B765" s="389">
        <v>41354</v>
      </c>
      <c r="C765" s="390" t="s">
        <v>451</v>
      </c>
      <c r="D765" s="391" t="s">
        <v>451</v>
      </c>
      <c r="E765" s="390" t="s">
        <v>380</v>
      </c>
      <c r="F765" s="262" t="s">
        <v>526</v>
      </c>
      <c r="G765" s="262" t="s">
        <v>90</v>
      </c>
      <c r="H765" s="261"/>
      <c r="I765" s="261"/>
      <c r="J765" s="261">
        <v>34</v>
      </c>
      <c r="K765" s="261">
        <v>40</v>
      </c>
      <c r="L765" s="261">
        <v>40</v>
      </c>
      <c r="M765" s="261">
        <v>75</v>
      </c>
      <c r="N765" s="261">
        <v>40</v>
      </c>
      <c r="O765" s="261">
        <v>75</v>
      </c>
      <c r="P765" s="261">
        <v>75</v>
      </c>
      <c r="Q765" s="261">
        <v>75</v>
      </c>
      <c r="R765" s="261"/>
      <c r="S765" s="261"/>
      <c r="T765" s="261"/>
      <c r="U765" s="261"/>
      <c r="V765" s="762"/>
      <c r="W765" s="261"/>
      <c r="X765" s="261"/>
      <c r="Y765" s="264">
        <f>IF(NFI_Expiration=1,IF($A765&lt;VLOOKUP(H$5,NFI,5,0),1,0)*Table_NFI[[#This Row],[Hygiene Kit]],Table_NFI[Hygiene Kit])</f>
        <v>0</v>
      </c>
      <c r="Z765" s="264">
        <f>IF(NFI_Expiration=1,IF($A765&lt;VLOOKUP(I$5,NFI,5,0),1,0)*Table_NFI[[#This Row],[NFI Core Kit]],Table_NFI[NFI Core Kit])</f>
        <v>0</v>
      </c>
      <c r="AA765" s="264">
        <f>IF(NFI_Expiration=1,IF($A765&lt;VLOOKUP(J$5,NFI,5,0),1,0)*Table_NFI[[#This Row],[Sanitary Kit]],Table_NFI[Sanitary Kit])</f>
        <v>0</v>
      </c>
      <c r="AB765" s="264">
        <f>IF(NFI_Expiration=1,IF($A765&lt;VLOOKUP(K$5,NFI,5,0),1,0)*Table_NFI[[#This Row],[Mosquito net]],Table_NFI[Mosquito net])</f>
        <v>0</v>
      </c>
      <c r="AC765" s="264">
        <f>IF(NFI_Expiration=1,IF($A765&lt;VLOOKUP(L$5,NFI,5,0),1,0)*Table_NFI[[#This Row],[Tarpaulin]],Table_NFI[[#This Row],[Tarpaulin]])</f>
        <v>0</v>
      </c>
      <c r="AD765" s="264">
        <f>IF(NFI_Expiration=1,IF($A765&lt;VLOOKUP(M$5,NFI,5,0),1,0)*Table_NFI[[#This Row],[Blanket]],Table_NFI[[#This Row],[Blanket]])</f>
        <v>0</v>
      </c>
      <c r="AE765" s="264">
        <f>IF(NFI_Expiration=1,IF($A765&lt;VLOOKUP(N$5,NFI,5,0),1,0)*Table_NFI[[#This Row],[Kitchen Set]],Table_NFI[Kitchen Set])</f>
        <v>0</v>
      </c>
      <c r="AF765" s="264">
        <f>IF(NFI_Expiration=1,IF($A765&lt;VLOOKUP(O$5,NFI,5,0),1,0)*Table_NFI[[#This Row],[Clothes Kit]],Table_NFI[Clothes Kit])</f>
        <v>0</v>
      </c>
      <c r="AG765" s="264">
        <f>IF(NFI_Expiration=1,IF($A765&lt;VLOOKUP(P$5,NFI,5,0),1,0)*Table_NFI[[#This Row],[Plastic Bucket]],Table_NFI[Plastic Bucket])</f>
        <v>0</v>
      </c>
      <c r="AH765" s="264">
        <f>IF(NFI_Expiration=1,IF($A765&lt;VLOOKUP(Q$5,NFI,5,0),1,0)*Table_NFI[[#This Row],[Plastic Mat]],Table_NFI[Plastic Mat])*IF(Table_NFI[[#This Row],[Distribution Date]]&gt;"2014-04-01",1,2.5)</f>
        <v>0</v>
      </c>
      <c r="AI765" s="264">
        <f>IF(NFI_Expiration=1,IF($A765&lt;VLOOKUP(R$5,NFI,5,0),1,0)*Table_NFI[[#This Row],[Winter Clothes Adult]],Table_NFI[Winter Clothes Adult])</f>
        <v>0</v>
      </c>
      <c r="AJ765" s="264">
        <f>IF(NFI_Expiration=1,IF($A765&lt;VLOOKUP(S$5,NFI,5,0),1,0)*Table_NFI[[#This Row],[Winter Clothes Children]],Table_NFI[Winter Clothes Children])</f>
        <v>0</v>
      </c>
      <c r="AK765" s="264">
        <f>IF(NFI_Expiration=1,IF($A765&lt;VLOOKUP(T$5,NFI,5,0),1,0)*Table_NFI[[#This Row],[Winter Items Other]],Table_NFI[Winter Items Other])</f>
        <v>0</v>
      </c>
      <c r="AL765" s="264">
        <f>IF(NFI_Expiration=1,IF($A765&lt;VLOOKUP(M$5,NFI,5,0),1,0)*Table_NFI[[#This Row],[Winter Blanket]],Table_NFI[[#This Row],[Winter Blanket]])</f>
        <v>0</v>
      </c>
      <c r="AM765" s="264">
        <f>IF(Table_NFI[[#This Row],[Winter Clothes Adult]]+Table_NFI[[#This Row],[Winter Clothes Children]]+Table_NFI[[#This Row],[Winter Items Other]]+Table_NFI[[#This Row],[Winter Blanket]]&gt;0,1,0)</f>
        <v>0</v>
      </c>
      <c r="AN765" s="296">
        <f>IF(NFI_Expiration=1,IF($A765&lt;VLOOKUP(V$5,NFI,5,0),1,0)*Table_NFI[[#This Row],[Jerry Can]],Table_NFI[Jerry Can])</f>
        <v>0</v>
      </c>
      <c r="AO765" s="296">
        <f>IF(NFI_Expiration=1,IF($A765&lt;VLOOKUP(V$5,NFI,5,0),1,0)*Table_NFI[[#This Row],[Shelter Tool kit]],Table_NFI[Shelter Tool kit])</f>
        <v>0</v>
      </c>
      <c r="AP765" s="296">
        <f>IF(NFI_Expiration=1,IF($A765&lt;VLOOKUP(V$5,NFI,5,0),1,0)*Table_NFI[[#This Row],[Tent]],Table_NFI[Tent])</f>
        <v>0</v>
      </c>
      <c r="AQ765" s="396" t="str">
        <f>IFERROR(VLOOKUP(Table_NFI[[#This Row],[Camp Name]],CL,2,0),"")</f>
        <v>MMR001CMP181</v>
      </c>
      <c r="AR765" s="702">
        <f ca="1">IF(Table_NFI[[#This Row],[Pcode]]="","",IF(OFFSET(CampList[Opening Date],MATCH(Table_NFI[[#This Row],[Pcode]],CampList[CP_Pcode],0)-1,0,1,1)&gt;=NFI_Monitor_Date,1,0))</f>
        <v>0</v>
      </c>
      <c r="AS765" s="396" t="str">
        <f>IFERROR(VLOOKUP(Table_NFI[[#This Row],[Camp Name]],CL,3,0),"")</f>
        <v>Open</v>
      </c>
      <c r="AT765" s="264" t="str">
        <f ca="1">IF(Table_NFI[[#This Row],[Pcode]]="","",OFFSET(CampList[Priority],MATCH(Table_NFI[[#This Row],[Pcode]],CampList[CP_Pcode],0)-1,0,1,1))</f>
        <v>P4</v>
      </c>
      <c r="AU765" s="263">
        <f>IFERROR(Table_NFI[[#This Row],[Kitchen Set]]/VLOOKUP(Table_NFI[[#This Row],[Camp Name]],CL,4,0),"")</f>
        <v>9.6910963052695336E-4</v>
      </c>
      <c r="AV765" s="390" t="s">
        <v>1087</v>
      </c>
      <c r="AW765" s="392"/>
      <c r="AX765" s="399"/>
      <c r="AY765" s="399"/>
      <c r="AZ765" s="399"/>
      <c r="BA765" s="399"/>
      <c r="BB765" s="399"/>
      <c r="BC765" s="399"/>
      <c r="BD765" s="399"/>
      <c r="BE765" s="399"/>
      <c r="BF765" s="399"/>
      <c r="BG765" s="399"/>
      <c r="BH765" s="399"/>
      <c r="BI765" s="399"/>
      <c r="BJ765" s="399"/>
      <c r="BK765" s="399"/>
      <c r="BL765" s="399"/>
      <c r="BM765" s="399"/>
      <c r="BN765" s="399"/>
      <c r="BO765" s="399"/>
      <c r="BP765" s="399"/>
      <c r="BQ765" s="399"/>
      <c r="BR765" s="399"/>
      <c r="BS765" s="399"/>
      <c r="BT765" s="399"/>
      <c r="BU765" s="399"/>
      <c r="BV765" s="399"/>
      <c r="BW765" s="399"/>
      <c r="BX765" s="399"/>
      <c r="BY765" s="399"/>
      <c r="BZ765" s="399"/>
      <c r="CA765" s="399"/>
      <c r="CB765" s="399"/>
      <c r="CC765" s="399"/>
      <c r="CD765" s="399"/>
      <c r="CE765" s="399"/>
      <c r="CF765" s="399"/>
      <c r="CG765" s="399"/>
      <c r="CH765" s="399"/>
      <c r="CI765" s="399"/>
      <c r="CJ765" s="399"/>
      <c r="CK765" s="399"/>
      <c r="CL765" s="399"/>
      <c r="CM765" s="399"/>
      <c r="CN765" s="399"/>
      <c r="CO765" s="399"/>
      <c r="CP765" s="399"/>
      <c r="CQ765" s="399"/>
      <c r="CR765" s="399"/>
      <c r="CS765" s="399"/>
      <c r="CT765" s="399"/>
      <c r="CU765" s="399"/>
      <c r="CV765" s="399"/>
      <c r="CW765" s="399"/>
      <c r="CX765" s="399"/>
      <c r="CY765" s="399"/>
      <c r="CZ765" s="399"/>
      <c r="DA765" s="399"/>
      <c r="DB765" s="399"/>
      <c r="DC765" s="399"/>
      <c r="DD765" s="399"/>
      <c r="DE765" s="399"/>
      <c r="DF765" s="399"/>
      <c r="DG765" s="399"/>
      <c r="DH765" s="399"/>
      <c r="DI765" s="399"/>
      <c r="DJ765" s="399"/>
      <c r="DK765" s="399"/>
      <c r="DL765" s="399"/>
      <c r="DM765" s="399"/>
      <c r="DN765" s="399"/>
      <c r="DO765" s="399"/>
      <c r="DP765" s="399"/>
      <c r="DQ765" s="399"/>
    </row>
    <row r="766" spans="1:121" s="760" customFormat="1" ht="15" customHeight="1" x14ac:dyDescent="0.25">
      <c r="A766" s="266">
        <f t="shared" si="11"/>
        <v>50.06666666666667</v>
      </c>
      <c r="B766" s="389">
        <v>41354</v>
      </c>
      <c r="C766" s="390" t="s">
        <v>451</v>
      </c>
      <c r="D766" s="391" t="s">
        <v>451</v>
      </c>
      <c r="E766" s="390" t="s">
        <v>380</v>
      </c>
      <c r="F766" s="262" t="s">
        <v>526</v>
      </c>
      <c r="G766" s="262" t="s">
        <v>118</v>
      </c>
      <c r="H766" s="261"/>
      <c r="I766" s="261"/>
      <c r="J766" s="261">
        <v>15</v>
      </c>
      <c r="K766" s="261">
        <v>8</v>
      </c>
      <c r="L766" s="261">
        <v>8</v>
      </c>
      <c r="M766" s="261">
        <v>17</v>
      </c>
      <c r="N766" s="261">
        <v>8</v>
      </c>
      <c r="O766" s="261">
        <v>17</v>
      </c>
      <c r="P766" s="261">
        <v>17</v>
      </c>
      <c r="Q766" s="261">
        <v>17</v>
      </c>
      <c r="R766" s="261"/>
      <c r="S766" s="261"/>
      <c r="T766" s="261"/>
      <c r="U766" s="261"/>
      <c r="V766" s="765"/>
      <c r="W766" s="762"/>
      <c r="X766" s="762"/>
      <c r="Y766" s="264">
        <f>IF(NFI_Expiration=1,IF($A766&lt;VLOOKUP(H$5,NFI,5,0),1,0)*Table_NFI[[#This Row],[Hygiene Kit]],Table_NFI[Hygiene Kit])</f>
        <v>0</v>
      </c>
      <c r="Z766" s="264">
        <f>IF(NFI_Expiration=1,IF($A766&lt;VLOOKUP(I$5,NFI,5,0),1,0)*Table_NFI[[#This Row],[NFI Core Kit]],Table_NFI[NFI Core Kit])</f>
        <v>0</v>
      </c>
      <c r="AA766" s="264">
        <f>IF(NFI_Expiration=1,IF($A766&lt;VLOOKUP(J$5,NFI,5,0),1,0)*Table_NFI[[#This Row],[Sanitary Kit]],Table_NFI[Sanitary Kit])</f>
        <v>0</v>
      </c>
      <c r="AB766" s="264">
        <f>IF(NFI_Expiration=1,IF($A766&lt;VLOOKUP(K$5,NFI,5,0),1,0)*Table_NFI[[#This Row],[Mosquito net]],Table_NFI[Mosquito net])</f>
        <v>0</v>
      </c>
      <c r="AC766" s="264">
        <f>IF(NFI_Expiration=1,IF($A766&lt;VLOOKUP(L$5,NFI,5,0),1,0)*Table_NFI[[#This Row],[Tarpaulin]],Table_NFI[[#This Row],[Tarpaulin]])</f>
        <v>0</v>
      </c>
      <c r="AD766" s="264">
        <f>IF(NFI_Expiration=1,IF($A766&lt;VLOOKUP(M$5,NFI,5,0),1,0)*Table_NFI[[#This Row],[Blanket]],Table_NFI[[#This Row],[Blanket]])</f>
        <v>0</v>
      </c>
      <c r="AE766" s="264">
        <f>IF(NFI_Expiration=1,IF($A766&lt;VLOOKUP(N$5,NFI,5,0),1,0)*Table_NFI[[#This Row],[Kitchen Set]],Table_NFI[Kitchen Set])</f>
        <v>0</v>
      </c>
      <c r="AF766" s="264">
        <f>IF(NFI_Expiration=1,IF($A766&lt;VLOOKUP(O$5,NFI,5,0),1,0)*Table_NFI[[#This Row],[Clothes Kit]],Table_NFI[Clothes Kit])</f>
        <v>0</v>
      </c>
      <c r="AG766" s="264">
        <f>IF(NFI_Expiration=1,IF($A766&lt;VLOOKUP(P$5,NFI,5,0),1,0)*Table_NFI[[#This Row],[Plastic Bucket]],Table_NFI[Plastic Bucket])</f>
        <v>0</v>
      </c>
      <c r="AH766" s="264">
        <f>IF(NFI_Expiration=1,IF($A766&lt;VLOOKUP(Q$5,NFI,5,0),1,0)*Table_NFI[[#This Row],[Plastic Mat]],Table_NFI[Plastic Mat])*IF(Table_NFI[[#This Row],[Distribution Date]]&gt;"2014-04-01",1,2.5)</f>
        <v>0</v>
      </c>
      <c r="AI766" s="264">
        <f>IF(NFI_Expiration=1,IF($A766&lt;VLOOKUP(R$5,NFI,5,0),1,0)*Table_NFI[[#This Row],[Winter Clothes Adult]],Table_NFI[Winter Clothes Adult])</f>
        <v>0</v>
      </c>
      <c r="AJ766" s="264">
        <f>IF(NFI_Expiration=1,IF($A766&lt;VLOOKUP(S$5,NFI,5,0),1,0)*Table_NFI[[#This Row],[Winter Clothes Children]],Table_NFI[Winter Clothes Children])</f>
        <v>0</v>
      </c>
      <c r="AK766" s="264">
        <f>IF(NFI_Expiration=1,IF($A766&lt;VLOOKUP(T$5,NFI,5,0),1,0)*Table_NFI[[#This Row],[Winter Items Other]],Table_NFI[Winter Items Other])</f>
        <v>0</v>
      </c>
      <c r="AL766" s="264">
        <f>IF(NFI_Expiration=1,IF($A766&lt;VLOOKUP(M$5,NFI,5,0),1,0)*Table_NFI[[#This Row],[Winter Blanket]],Table_NFI[[#This Row],[Winter Blanket]])</f>
        <v>0</v>
      </c>
      <c r="AM766" s="264">
        <f>IF(Table_NFI[[#This Row],[Winter Clothes Adult]]+Table_NFI[[#This Row],[Winter Clothes Children]]+Table_NFI[[#This Row],[Winter Items Other]]+Table_NFI[[#This Row],[Winter Blanket]]&gt;0,1,0)</f>
        <v>0</v>
      </c>
      <c r="AN766" s="296">
        <f>IF(NFI_Expiration=1,IF($A766&lt;VLOOKUP(V$5,NFI,5,0),1,0)*Table_NFI[[#This Row],[Jerry Can]],Table_NFI[Jerry Can])</f>
        <v>0</v>
      </c>
      <c r="AO766" s="296">
        <f>IF(NFI_Expiration=1,IF($A766&lt;VLOOKUP(V$5,NFI,5,0),1,0)*Table_NFI[[#This Row],[Shelter Tool kit]],Table_NFI[Shelter Tool kit])</f>
        <v>0</v>
      </c>
      <c r="AP766" s="296">
        <f>IF(NFI_Expiration=1,IF($A766&lt;VLOOKUP(V$5,NFI,5,0),1,0)*Table_NFI[[#This Row],[Tent]],Table_NFI[Tent])</f>
        <v>0</v>
      </c>
      <c r="AQ766" s="396" t="str">
        <f>IFERROR(VLOOKUP(Table_NFI[[#This Row],[Camp Name]],CL,2,0),"")</f>
        <v>MMR001CMP182</v>
      </c>
      <c r="AR766" s="702">
        <f ca="1">IF(Table_NFI[[#This Row],[Pcode]]="","",IF(OFFSET(CampList[Opening Date],MATCH(Table_NFI[[#This Row],[Pcode]],CampList[CP_Pcode],0)-1,0,1,1)&gt;=NFI_Monitor_Date,1,0))</f>
        <v>0</v>
      </c>
      <c r="AS766" s="396" t="str">
        <f>IFERROR(VLOOKUP(Table_NFI[[#This Row],[Camp Name]],CL,3,0),"")</f>
        <v>Open</v>
      </c>
      <c r="AT766" s="264" t="str">
        <f ca="1">IF(Table_NFI[[#This Row],[Pcode]]="","",OFFSET(CampList[Priority],MATCH(Table_NFI[[#This Row],[Pcode]],CampList[CP_Pcode],0)-1,0,1,1))</f>
        <v>P4</v>
      </c>
      <c r="AU766" s="263">
        <f>IFERROR(Table_NFI[[#This Row],[Kitchen Set]]/VLOOKUP(Table_NFI[[#This Row],[Camp Name]],CL,4,0),"")</f>
        <v>1.9382192610539067E-4</v>
      </c>
      <c r="AV766" s="390" t="s">
        <v>1087</v>
      </c>
      <c r="AW766" s="392"/>
      <c r="AX766" s="399"/>
      <c r="AY766" s="399"/>
      <c r="AZ766" s="399"/>
      <c r="BA766" s="399"/>
      <c r="BB766" s="399"/>
      <c r="BC766" s="399"/>
      <c r="BD766" s="399"/>
      <c r="BE766" s="399"/>
      <c r="BF766" s="399"/>
      <c r="BG766" s="399"/>
      <c r="BH766" s="399"/>
      <c r="BI766" s="399"/>
      <c r="BJ766" s="399"/>
      <c r="BK766" s="399"/>
      <c r="BL766" s="399"/>
      <c r="BM766" s="399"/>
      <c r="BN766" s="399"/>
      <c r="BO766" s="399"/>
      <c r="BP766" s="399"/>
      <c r="BQ766" s="399"/>
      <c r="BR766" s="399"/>
      <c r="BS766" s="399"/>
      <c r="BT766" s="399"/>
      <c r="BU766" s="399"/>
      <c r="BV766" s="399"/>
      <c r="BW766" s="399"/>
      <c r="BX766" s="399"/>
      <c r="BY766" s="399"/>
      <c r="BZ766" s="399"/>
      <c r="CA766" s="399"/>
      <c r="CB766" s="399"/>
      <c r="CC766" s="399"/>
      <c r="CD766" s="399"/>
      <c r="CE766" s="399"/>
      <c r="CF766" s="399"/>
      <c r="CG766" s="399"/>
      <c r="CH766" s="399"/>
      <c r="CI766" s="399"/>
      <c r="CJ766" s="399"/>
      <c r="CK766" s="399"/>
      <c r="CL766" s="399"/>
      <c r="CM766" s="399"/>
      <c r="CN766" s="399"/>
      <c r="CO766" s="399"/>
      <c r="CP766" s="399"/>
      <c r="CQ766" s="399"/>
      <c r="CR766" s="399"/>
      <c r="CS766" s="399"/>
      <c r="CT766" s="399"/>
      <c r="CU766" s="399"/>
      <c r="CV766" s="399"/>
      <c r="CW766" s="399"/>
      <c r="CX766" s="399"/>
      <c r="CY766" s="399"/>
      <c r="CZ766" s="399"/>
      <c r="DA766" s="399"/>
      <c r="DB766" s="399"/>
      <c r="DC766" s="399"/>
      <c r="DD766" s="399"/>
      <c r="DE766" s="399"/>
      <c r="DF766" s="399"/>
      <c r="DG766" s="399"/>
      <c r="DH766" s="399"/>
      <c r="DI766" s="399"/>
      <c r="DJ766" s="399"/>
      <c r="DK766" s="399"/>
      <c r="DL766" s="399"/>
      <c r="DM766" s="399"/>
      <c r="DN766" s="399"/>
      <c r="DO766" s="399"/>
      <c r="DP766" s="399"/>
      <c r="DQ766" s="399"/>
    </row>
    <row r="767" spans="1:121" s="393" customFormat="1" ht="15" customHeight="1" x14ac:dyDescent="0.25">
      <c r="A767" s="266">
        <f t="shared" si="11"/>
        <v>50.1</v>
      </c>
      <c r="B767" s="389">
        <v>41353</v>
      </c>
      <c r="C767" s="390" t="s">
        <v>451</v>
      </c>
      <c r="D767" s="390" t="s">
        <v>451</v>
      </c>
      <c r="E767" s="390" t="s">
        <v>380</v>
      </c>
      <c r="F767" s="390" t="s">
        <v>526</v>
      </c>
      <c r="G767" s="262" t="s">
        <v>43</v>
      </c>
      <c r="H767" s="261"/>
      <c r="I767" s="261"/>
      <c r="J767" s="261">
        <v>24</v>
      </c>
      <c r="K767" s="261">
        <v>17</v>
      </c>
      <c r="L767" s="261">
        <v>17</v>
      </c>
      <c r="M767" s="261">
        <v>41</v>
      </c>
      <c r="N767" s="261">
        <v>17</v>
      </c>
      <c r="O767" s="261">
        <v>41</v>
      </c>
      <c r="P767" s="261">
        <v>41</v>
      </c>
      <c r="Q767" s="261">
        <v>41</v>
      </c>
      <c r="R767" s="261"/>
      <c r="S767" s="261"/>
      <c r="T767" s="261"/>
      <c r="U767" s="261"/>
      <c r="V767" s="765"/>
      <c r="W767" s="762"/>
      <c r="X767" s="762"/>
      <c r="Y767" s="264">
        <f>IF(NFI_Expiration=1,IF($A767&lt;VLOOKUP(H$5,NFI,5,0),1,0)*Table_NFI[[#This Row],[Hygiene Kit]],Table_NFI[Hygiene Kit])</f>
        <v>0</v>
      </c>
      <c r="Z767" s="264">
        <f>IF(NFI_Expiration=1,IF($A767&lt;VLOOKUP(I$5,NFI,5,0),1,0)*Table_NFI[[#This Row],[NFI Core Kit]],Table_NFI[NFI Core Kit])</f>
        <v>0</v>
      </c>
      <c r="AA767" s="264">
        <f>IF(NFI_Expiration=1,IF($A767&lt;VLOOKUP(J$5,NFI,5,0),1,0)*Table_NFI[[#This Row],[Sanitary Kit]],Table_NFI[Sanitary Kit])</f>
        <v>0</v>
      </c>
      <c r="AB767" s="264">
        <f>IF(NFI_Expiration=1,IF($A767&lt;VLOOKUP(K$5,NFI,5,0),1,0)*Table_NFI[[#This Row],[Mosquito net]],Table_NFI[Mosquito net])</f>
        <v>0</v>
      </c>
      <c r="AC767" s="264">
        <f>IF(NFI_Expiration=1,IF($A767&lt;VLOOKUP(L$5,NFI,5,0),1,0)*Table_NFI[[#This Row],[Tarpaulin]],Table_NFI[[#This Row],[Tarpaulin]])</f>
        <v>0</v>
      </c>
      <c r="AD767" s="264">
        <f>IF(NFI_Expiration=1,IF($A767&lt;VLOOKUP(M$5,NFI,5,0),1,0)*Table_NFI[[#This Row],[Blanket]],Table_NFI[[#This Row],[Blanket]])</f>
        <v>0</v>
      </c>
      <c r="AE767" s="264">
        <f>IF(NFI_Expiration=1,IF($A767&lt;VLOOKUP(N$5,NFI,5,0),1,0)*Table_NFI[[#This Row],[Kitchen Set]],Table_NFI[Kitchen Set])</f>
        <v>0</v>
      </c>
      <c r="AF767" s="264">
        <f>IF(NFI_Expiration=1,IF($A767&lt;VLOOKUP(O$5,NFI,5,0),1,0)*Table_NFI[[#This Row],[Clothes Kit]],Table_NFI[Clothes Kit])</f>
        <v>0</v>
      </c>
      <c r="AG767" s="264">
        <f>IF(NFI_Expiration=1,IF($A767&lt;VLOOKUP(P$5,NFI,5,0),1,0)*Table_NFI[[#This Row],[Plastic Bucket]],Table_NFI[Plastic Bucket])</f>
        <v>0</v>
      </c>
      <c r="AH767" s="264">
        <f>IF(NFI_Expiration=1,IF($A767&lt;VLOOKUP(Q$5,NFI,5,0),1,0)*Table_NFI[[#This Row],[Plastic Mat]],Table_NFI[Plastic Mat])*IF(Table_NFI[[#This Row],[Distribution Date]]&gt;"2014-04-01",1,2.5)</f>
        <v>0</v>
      </c>
      <c r="AI767" s="264">
        <f>IF(NFI_Expiration=1,IF($A767&lt;VLOOKUP(R$5,NFI,5,0),1,0)*Table_NFI[[#This Row],[Winter Clothes Adult]],Table_NFI[Winter Clothes Adult])</f>
        <v>0</v>
      </c>
      <c r="AJ767" s="264">
        <f>IF(NFI_Expiration=1,IF($A767&lt;VLOOKUP(S$5,NFI,5,0),1,0)*Table_NFI[[#This Row],[Winter Clothes Children]],Table_NFI[Winter Clothes Children])</f>
        <v>0</v>
      </c>
      <c r="AK767" s="264">
        <f>IF(NFI_Expiration=1,IF($A767&lt;VLOOKUP(T$5,NFI,5,0),1,0)*Table_NFI[[#This Row],[Winter Items Other]],Table_NFI[Winter Items Other])</f>
        <v>0</v>
      </c>
      <c r="AL767" s="264">
        <f>IF(NFI_Expiration=1,IF($A767&lt;VLOOKUP(M$5,NFI,5,0),1,0)*Table_NFI[[#This Row],[Winter Blanket]],Table_NFI[[#This Row],[Winter Blanket]])</f>
        <v>0</v>
      </c>
      <c r="AM767" s="264">
        <f>IF(Table_NFI[[#This Row],[Winter Clothes Adult]]+Table_NFI[[#This Row],[Winter Clothes Children]]+Table_NFI[[#This Row],[Winter Items Other]]+Table_NFI[[#This Row],[Winter Blanket]]&gt;0,1,0)</f>
        <v>0</v>
      </c>
      <c r="AN767" s="296">
        <f>IF(NFI_Expiration=1,IF($A767&lt;VLOOKUP(V$5,NFI,5,0),1,0)*Table_NFI[[#This Row],[Jerry Can]],Table_NFI[Jerry Can])</f>
        <v>0</v>
      </c>
      <c r="AO767" s="296">
        <f>IF(NFI_Expiration=1,IF($A767&lt;VLOOKUP(V$5,NFI,5,0),1,0)*Table_NFI[[#This Row],[Shelter Tool kit]],Table_NFI[Shelter Tool kit])</f>
        <v>0</v>
      </c>
      <c r="AP767" s="296">
        <f>IF(NFI_Expiration=1,IF($A767&lt;VLOOKUP(V$5,NFI,5,0),1,0)*Table_NFI[[#This Row],[Tent]],Table_NFI[Tent])</f>
        <v>0</v>
      </c>
      <c r="AQ767" s="396" t="str">
        <f>IFERROR(VLOOKUP(Table_NFI[[#This Row],[Camp Name]],CL,2,0),"")</f>
        <v>MMR001CMP190</v>
      </c>
      <c r="AR767" s="702">
        <f ca="1">IF(Table_NFI[[#This Row],[Pcode]]="","",IF(OFFSET(CampList[Opening Date],MATCH(Table_NFI[[#This Row],[Pcode]],CampList[CP_Pcode],0)-1,0,1,1)&gt;=NFI_Monitor_Date,1,0))</f>
        <v>0</v>
      </c>
      <c r="AS767" s="396" t="str">
        <f>IFERROR(VLOOKUP(Table_NFI[[#This Row],[Camp Name]],CL,3,0),"")</f>
        <v>Open</v>
      </c>
      <c r="AT767" s="264" t="str">
        <f ca="1">IF(Table_NFI[[#This Row],[Pcode]]="","",OFFSET(CampList[Priority],MATCH(Table_NFI[[#This Row],[Pcode]],CampList[CP_Pcode],0)-1,0,1,1))</f>
        <v>P4</v>
      </c>
      <c r="AU767" s="263">
        <f>IFERROR(Table_NFI[[#This Row],[Kitchen Set]]/VLOOKUP(Table_NFI[[#This Row],[Camp Name]],CL,4,0),"")</f>
        <v>4.1187159297395516E-4</v>
      </c>
      <c r="AV767" s="390" t="s">
        <v>1087</v>
      </c>
      <c r="AW767" s="392"/>
      <c r="AX767" s="399"/>
      <c r="AY767" s="399"/>
      <c r="AZ767" s="399"/>
      <c r="BA767" s="399"/>
      <c r="BB767" s="399"/>
      <c r="BC767" s="399"/>
      <c r="BD767" s="399"/>
      <c r="BE767" s="399"/>
      <c r="BF767" s="399"/>
      <c r="BG767" s="399"/>
      <c r="BH767" s="399"/>
      <c r="BI767" s="399"/>
      <c r="BJ767" s="399"/>
      <c r="BK767" s="399"/>
      <c r="BL767" s="399"/>
      <c r="BM767" s="399"/>
      <c r="BN767" s="399"/>
      <c r="BO767" s="399"/>
      <c r="BP767" s="399"/>
      <c r="BQ767" s="399"/>
      <c r="BR767" s="399"/>
      <c r="BS767" s="399"/>
      <c r="BT767" s="399"/>
      <c r="BU767" s="399"/>
      <c r="BV767" s="399"/>
      <c r="BW767" s="399"/>
      <c r="BX767" s="399"/>
      <c r="BY767" s="399"/>
      <c r="BZ767" s="399"/>
      <c r="CA767" s="399"/>
      <c r="CB767" s="399"/>
      <c r="CC767" s="399"/>
      <c r="CD767" s="399"/>
      <c r="CE767" s="399"/>
      <c r="CF767" s="399"/>
      <c r="CG767" s="399"/>
      <c r="CH767" s="399"/>
      <c r="CI767" s="399"/>
      <c r="CJ767" s="399"/>
      <c r="CK767" s="399"/>
      <c r="CL767" s="399"/>
      <c r="CM767" s="399"/>
      <c r="CN767" s="399"/>
      <c r="CO767" s="399"/>
      <c r="CP767" s="399"/>
      <c r="CQ767" s="399"/>
      <c r="CR767" s="399"/>
      <c r="CS767" s="399"/>
      <c r="CT767" s="399"/>
      <c r="CU767" s="399"/>
      <c r="CV767" s="399"/>
      <c r="CW767" s="399"/>
      <c r="CX767" s="399"/>
      <c r="CY767" s="399"/>
      <c r="CZ767" s="399"/>
      <c r="DA767" s="399"/>
      <c r="DB767" s="399"/>
      <c r="DC767" s="399"/>
      <c r="DD767" s="399"/>
      <c r="DE767" s="399"/>
      <c r="DF767" s="399"/>
      <c r="DG767" s="399"/>
      <c r="DH767" s="399"/>
      <c r="DI767" s="399"/>
      <c r="DJ767" s="399"/>
      <c r="DK767" s="399"/>
      <c r="DL767" s="399"/>
      <c r="DM767" s="399"/>
      <c r="DN767" s="399"/>
      <c r="DO767" s="399"/>
      <c r="DP767" s="399"/>
      <c r="DQ767" s="399"/>
    </row>
    <row r="768" spans="1:121" s="760" customFormat="1" ht="15" customHeight="1" x14ac:dyDescent="0.25">
      <c r="A768" s="266">
        <f t="shared" si="11"/>
        <v>50.1</v>
      </c>
      <c r="B768" s="389">
        <v>41353</v>
      </c>
      <c r="C768" s="390" t="s">
        <v>451</v>
      </c>
      <c r="D768" s="391" t="s">
        <v>451</v>
      </c>
      <c r="E768" s="390" t="s">
        <v>380</v>
      </c>
      <c r="F768" s="262" t="s">
        <v>526</v>
      </c>
      <c r="G768" s="262" t="s">
        <v>72</v>
      </c>
      <c r="H768" s="261"/>
      <c r="I768" s="261"/>
      <c r="J768" s="261">
        <v>3</v>
      </c>
      <c r="K768" s="261">
        <v>8</v>
      </c>
      <c r="L768" s="261">
        <v>8</v>
      </c>
      <c r="M768" s="261">
        <v>15</v>
      </c>
      <c r="N768" s="261">
        <v>8</v>
      </c>
      <c r="O768" s="261">
        <v>15</v>
      </c>
      <c r="P768" s="261">
        <v>15</v>
      </c>
      <c r="Q768" s="261">
        <v>15</v>
      </c>
      <c r="R768" s="261"/>
      <c r="S768" s="261"/>
      <c r="T768" s="261"/>
      <c r="U768" s="261"/>
      <c r="V768" s="765"/>
      <c r="W768" s="762"/>
      <c r="X768" s="762"/>
      <c r="Y768" s="264">
        <f>IF(NFI_Expiration=1,IF($A768&lt;VLOOKUP(H$5,NFI,5,0),1,0)*Table_NFI[[#This Row],[Hygiene Kit]],Table_NFI[Hygiene Kit])</f>
        <v>0</v>
      </c>
      <c r="Z768" s="264">
        <f>IF(NFI_Expiration=1,IF($A768&lt;VLOOKUP(I$5,NFI,5,0),1,0)*Table_NFI[[#This Row],[NFI Core Kit]],Table_NFI[NFI Core Kit])</f>
        <v>0</v>
      </c>
      <c r="AA768" s="264">
        <f>IF(NFI_Expiration=1,IF($A768&lt;VLOOKUP(J$5,NFI,5,0),1,0)*Table_NFI[[#This Row],[Sanitary Kit]],Table_NFI[Sanitary Kit])</f>
        <v>0</v>
      </c>
      <c r="AB768" s="264">
        <f>IF(NFI_Expiration=1,IF($A768&lt;VLOOKUP(K$5,NFI,5,0),1,0)*Table_NFI[[#This Row],[Mosquito net]],Table_NFI[Mosquito net])</f>
        <v>0</v>
      </c>
      <c r="AC768" s="264">
        <f>IF(NFI_Expiration=1,IF($A768&lt;VLOOKUP(L$5,NFI,5,0),1,0)*Table_NFI[[#This Row],[Tarpaulin]],Table_NFI[[#This Row],[Tarpaulin]])</f>
        <v>0</v>
      </c>
      <c r="AD768" s="264">
        <f>IF(NFI_Expiration=1,IF($A768&lt;VLOOKUP(M$5,NFI,5,0),1,0)*Table_NFI[[#This Row],[Blanket]],Table_NFI[[#This Row],[Blanket]])</f>
        <v>0</v>
      </c>
      <c r="AE768" s="264">
        <f>IF(NFI_Expiration=1,IF($A768&lt;VLOOKUP(N$5,NFI,5,0),1,0)*Table_NFI[[#This Row],[Kitchen Set]],Table_NFI[Kitchen Set])</f>
        <v>0</v>
      </c>
      <c r="AF768" s="264">
        <f>IF(NFI_Expiration=1,IF($A768&lt;VLOOKUP(O$5,NFI,5,0),1,0)*Table_NFI[[#This Row],[Clothes Kit]],Table_NFI[Clothes Kit])</f>
        <v>0</v>
      </c>
      <c r="AG768" s="264">
        <f>IF(NFI_Expiration=1,IF($A768&lt;VLOOKUP(P$5,NFI,5,0),1,0)*Table_NFI[[#This Row],[Plastic Bucket]],Table_NFI[Plastic Bucket])</f>
        <v>0</v>
      </c>
      <c r="AH768" s="264">
        <f>IF(NFI_Expiration=1,IF($A768&lt;VLOOKUP(Q$5,NFI,5,0),1,0)*Table_NFI[[#This Row],[Plastic Mat]],Table_NFI[Plastic Mat])*IF(Table_NFI[[#This Row],[Distribution Date]]&gt;"2014-04-01",1,2.5)</f>
        <v>0</v>
      </c>
      <c r="AI768" s="264">
        <f>IF(NFI_Expiration=1,IF($A768&lt;VLOOKUP(R$5,NFI,5,0),1,0)*Table_NFI[[#This Row],[Winter Clothes Adult]],Table_NFI[Winter Clothes Adult])</f>
        <v>0</v>
      </c>
      <c r="AJ768" s="264">
        <f>IF(NFI_Expiration=1,IF($A768&lt;VLOOKUP(S$5,NFI,5,0),1,0)*Table_NFI[[#This Row],[Winter Clothes Children]],Table_NFI[Winter Clothes Children])</f>
        <v>0</v>
      </c>
      <c r="AK768" s="264">
        <f>IF(NFI_Expiration=1,IF($A768&lt;VLOOKUP(T$5,NFI,5,0),1,0)*Table_NFI[[#This Row],[Winter Items Other]],Table_NFI[Winter Items Other])</f>
        <v>0</v>
      </c>
      <c r="AL768" s="264">
        <f>IF(NFI_Expiration=1,IF($A768&lt;VLOOKUP(M$5,NFI,5,0),1,0)*Table_NFI[[#This Row],[Winter Blanket]],Table_NFI[[#This Row],[Winter Blanket]])</f>
        <v>0</v>
      </c>
      <c r="AM768" s="264">
        <f>IF(Table_NFI[[#This Row],[Winter Clothes Adult]]+Table_NFI[[#This Row],[Winter Clothes Children]]+Table_NFI[[#This Row],[Winter Items Other]]+Table_NFI[[#This Row],[Winter Blanket]]&gt;0,1,0)</f>
        <v>0</v>
      </c>
      <c r="AN768" s="296">
        <f>IF(NFI_Expiration=1,IF($A768&lt;VLOOKUP(V$5,NFI,5,0),1,0)*Table_NFI[[#This Row],[Jerry Can]],Table_NFI[Jerry Can])</f>
        <v>0</v>
      </c>
      <c r="AO768" s="296">
        <f>IF(NFI_Expiration=1,IF($A768&lt;VLOOKUP(V$5,NFI,5,0),1,0)*Table_NFI[[#This Row],[Shelter Tool kit]],Table_NFI[Shelter Tool kit])</f>
        <v>0</v>
      </c>
      <c r="AP768" s="296">
        <f>IF(NFI_Expiration=1,IF($A768&lt;VLOOKUP(V$5,NFI,5,0),1,0)*Table_NFI[[#This Row],[Tent]],Table_NFI[Tent])</f>
        <v>0</v>
      </c>
      <c r="AQ768" s="396" t="str">
        <f>IFERROR(VLOOKUP(Table_NFI[[#This Row],[Camp Name]],CL,2,0),"")</f>
        <v>MMR001CMP109</v>
      </c>
      <c r="AR768" s="702">
        <f ca="1">IF(Table_NFI[[#This Row],[Pcode]]="","",IF(OFFSET(CampList[Opening Date],MATCH(Table_NFI[[#This Row],[Pcode]],CampList[CP_Pcode],0)-1,0,1,1)&gt;=NFI_Monitor_Date,1,0))</f>
        <v>0</v>
      </c>
      <c r="AS768" s="396" t="str">
        <f>IFERROR(VLOOKUP(Table_NFI[[#This Row],[Camp Name]],CL,3,0),"")</f>
        <v>Open</v>
      </c>
      <c r="AT768" s="264" t="str">
        <f ca="1">IF(Table_NFI[[#This Row],[Pcode]]="","",OFFSET(CampList[Priority],MATCH(Table_NFI[[#This Row],[Pcode]],CampList[CP_Pcode],0)-1,0,1,1))</f>
        <v>P4</v>
      </c>
      <c r="AU768" s="263">
        <f>IFERROR(Table_NFI[[#This Row],[Kitchen Set]]/VLOOKUP(Table_NFI[[#This Row],[Camp Name]],CL,4,0),"")</f>
        <v>1.9283148938221612E-4</v>
      </c>
      <c r="AV768" s="390" t="s">
        <v>1087</v>
      </c>
      <c r="AW768" s="392"/>
      <c r="AX768" s="399"/>
      <c r="AY768" s="399"/>
      <c r="AZ768" s="399"/>
      <c r="BA768" s="399"/>
      <c r="BB768" s="399"/>
      <c r="BC768" s="399"/>
      <c r="BD768" s="399"/>
      <c r="BE768" s="399"/>
      <c r="BF768" s="399"/>
      <c r="BG768" s="399"/>
      <c r="BH768" s="399"/>
      <c r="BI768" s="399"/>
      <c r="BJ768" s="399"/>
      <c r="BK768" s="399"/>
      <c r="BL768" s="399"/>
      <c r="BM768" s="399"/>
      <c r="BN768" s="399"/>
      <c r="BO768" s="399"/>
      <c r="BP768" s="399"/>
      <c r="BQ768" s="399"/>
      <c r="BR768" s="399"/>
      <c r="BS768" s="399"/>
      <c r="BT768" s="399"/>
      <c r="BU768" s="399"/>
      <c r="BV768" s="399"/>
      <c r="BW768" s="399"/>
      <c r="BX768" s="399"/>
      <c r="BY768" s="399"/>
      <c r="BZ768" s="399"/>
      <c r="CA768" s="399"/>
      <c r="CB768" s="399"/>
      <c r="CC768" s="399"/>
      <c r="CD768" s="399"/>
      <c r="CE768" s="399"/>
      <c r="CF768" s="399"/>
      <c r="CG768" s="399"/>
      <c r="CH768" s="399"/>
      <c r="CI768" s="399"/>
      <c r="CJ768" s="399"/>
      <c r="CK768" s="399"/>
      <c r="CL768" s="399"/>
      <c r="CM768" s="399"/>
      <c r="CN768" s="399"/>
      <c r="CO768" s="399"/>
      <c r="CP768" s="399"/>
      <c r="CQ768" s="399"/>
      <c r="CR768" s="399"/>
      <c r="CS768" s="399"/>
      <c r="CT768" s="399"/>
      <c r="CU768" s="399"/>
      <c r="CV768" s="399"/>
      <c r="CW768" s="399"/>
      <c r="CX768" s="399"/>
      <c r="CY768" s="399"/>
      <c r="CZ768" s="399"/>
      <c r="DA768" s="399"/>
      <c r="DB768" s="399"/>
      <c r="DC768" s="399"/>
      <c r="DD768" s="399"/>
      <c r="DE768" s="399"/>
      <c r="DF768" s="399"/>
      <c r="DG768" s="399"/>
      <c r="DH768" s="399"/>
      <c r="DI768" s="399"/>
      <c r="DJ768" s="399"/>
      <c r="DK768" s="399"/>
      <c r="DL768" s="399"/>
      <c r="DM768" s="399"/>
      <c r="DN768" s="399"/>
      <c r="DO768" s="399"/>
      <c r="DP768" s="399"/>
      <c r="DQ768" s="399"/>
    </row>
    <row r="769" spans="1:121" s="760" customFormat="1" ht="15" customHeight="1" x14ac:dyDescent="0.25">
      <c r="A769" s="266">
        <f t="shared" si="11"/>
        <v>50.1</v>
      </c>
      <c r="B769" s="389">
        <v>41353</v>
      </c>
      <c r="C769" s="390" t="s">
        <v>451</v>
      </c>
      <c r="D769" s="391" t="s">
        <v>451</v>
      </c>
      <c r="E769" s="390" t="s">
        <v>380</v>
      </c>
      <c r="F769" s="262" t="s">
        <v>526</v>
      </c>
      <c r="G769" s="262" t="s">
        <v>92</v>
      </c>
      <c r="H769" s="261"/>
      <c r="I769" s="261"/>
      <c r="J769" s="261">
        <v>32</v>
      </c>
      <c r="K769" s="261">
        <v>27</v>
      </c>
      <c r="L769" s="261">
        <v>27</v>
      </c>
      <c r="M769" s="261">
        <v>66</v>
      </c>
      <c r="N769" s="261">
        <v>27</v>
      </c>
      <c r="O769" s="261">
        <v>66</v>
      </c>
      <c r="P769" s="261">
        <v>66</v>
      </c>
      <c r="Q769" s="261">
        <v>66</v>
      </c>
      <c r="R769" s="261"/>
      <c r="S769" s="261"/>
      <c r="T769" s="261"/>
      <c r="U769" s="261"/>
      <c r="V769" s="765"/>
      <c r="W769" s="762"/>
      <c r="X769" s="762"/>
      <c r="Y769" s="264">
        <f>IF(NFI_Expiration=1,IF($A769&lt;VLOOKUP(H$5,NFI,5,0),1,0)*Table_NFI[[#This Row],[Hygiene Kit]],Table_NFI[Hygiene Kit])</f>
        <v>0</v>
      </c>
      <c r="Z769" s="264">
        <f>IF(NFI_Expiration=1,IF($A769&lt;VLOOKUP(I$5,NFI,5,0),1,0)*Table_NFI[[#This Row],[NFI Core Kit]],Table_NFI[NFI Core Kit])</f>
        <v>0</v>
      </c>
      <c r="AA769" s="264">
        <f>IF(NFI_Expiration=1,IF($A769&lt;VLOOKUP(J$5,NFI,5,0),1,0)*Table_NFI[[#This Row],[Sanitary Kit]],Table_NFI[Sanitary Kit])</f>
        <v>0</v>
      </c>
      <c r="AB769" s="264">
        <f>IF(NFI_Expiration=1,IF($A769&lt;VLOOKUP(K$5,NFI,5,0),1,0)*Table_NFI[[#This Row],[Mosquito net]],Table_NFI[Mosquito net])</f>
        <v>0</v>
      </c>
      <c r="AC769" s="264">
        <f>IF(NFI_Expiration=1,IF($A769&lt;VLOOKUP(L$5,NFI,5,0),1,0)*Table_NFI[[#This Row],[Tarpaulin]],Table_NFI[[#This Row],[Tarpaulin]])</f>
        <v>0</v>
      </c>
      <c r="AD769" s="264">
        <f>IF(NFI_Expiration=1,IF($A769&lt;VLOOKUP(M$5,NFI,5,0),1,0)*Table_NFI[[#This Row],[Blanket]],Table_NFI[[#This Row],[Blanket]])</f>
        <v>0</v>
      </c>
      <c r="AE769" s="264">
        <f>IF(NFI_Expiration=1,IF($A769&lt;VLOOKUP(N$5,NFI,5,0),1,0)*Table_NFI[[#This Row],[Kitchen Set]],Table_NFI[Kitchen Set])</f>
        <v>0</v>
      </c>
      <c r="AF769" s="264">
        <f>IF(NFI_Expiration=1,IF($A769&lt;VLOOKUP(O$5,NFI,5,0),1,0)*Table_NFI[[#This Row],[Clothes Kit]],Table_NFI[Clothes Kit])</f>
        <v>0</v>
      </c>
      <c r="AG769" s="264">
        <f>IF(NFI_Expiration=1,IF($A769&lt;VLOOKUP(P$5,NFI,5,0),1,0)*Table_NFI[[#This Row],[Plastic Bucket]],Table_NFI[Plastic Bucket])</f>
        <v>0</v>
      </c>
      <c r="AH769" s="264">
        <f>IF(NFI_Expiration=1,IF($A769&lt;VLOOKUP(Q$5,NFI,5,0),1,0)*Table_NFI[[#This Row],[Plastic Mat]],Table_NFI[Plastic Mat])*IF(Table_NFI[[#This Row],[Distribution Date]]&gt;"2014-04-01",1,2.5)</f>
        <v>0</v>
      </c>
      <c r="AI769" s="264">
        <f>IF(NFI_Expiration=1,IF($A769&lt;VLOOKUP(R$5,NFI,5,0),1,0)*Table_NFI[[#This Row],[Winter Clothes Adult]],Table_NFI[Winter Clothes Adult])</f>
        <v>0</v>
      </c>
      <c r="AJ769" s="264">
        <f>IF(NFI_Expiration=1,IF($A769&lt;VLOOKUP(S$5,NFI,5,0),1,0)*Table_NFI[[#This Row],[Winter Clothes Children]],Table_NFI[Winter Clothes Children])</f>
        <v>0</v>
      </c>
      <c r="AK769" s="264">
        <f>IF(NFI_Expiration=1,IF($A769&lt;VLOOKUP(T$5,NFI,5,0),1,0)*Table_NFI[[#This Row],[Winter Items Other]],Table_NFI[Winter Items Other])</f>
        <v>0</v>
      </c>
      <c r="AL769" s="264">
        <f>IF(NFI_Expiration=1,IF($A769&lt;VLOOKUP(M$5,NFI,5,0),1,0)*Table_NFI[[#This Row],[Winter Blanket]],Table_NFI[[#This Row],[Winter Blanket]])</f>
        <v>0</v>
      </c>
      <c r="AM769" s="264">
        <f>IF(Table_NFI[[#This Row],[Winter Clothes Adult]]+Table_NFI[[#This Row],[Winter Clothes Children]]+Table_NFI[[#This Row],[Winter Items Other]]+Table_NFI[[#This Row],[Winter Blanket]]&gt;0,1,0)</f>
        <v>0</v>
      </c>
      <c r="AN769" s="296">
        <f>IF(NFI_Expiration=1,IF($A769&lt;VLOOKUP(V$5,NFI,5,0),1,0)*Table_NFI[[#This Row],[Jerry Can]],Table_NFI[Jerry Can])</f>
        <v>0</v>
      </c>
      <c r="AO769" s="296">
        <f>IF(NFI_Expiration=1,IF($A769&lt;VLOOKUP(V$5,NFI,5,0),1,0)*Table_NFI[[#This Row],[Shelter Tool kit]],Table_NFI[Shelter Tool kit])</f>
        <v>0</v>
      </c>
      <c r="AP769" s="296">
        <f>IF(NFI_Expiration=1,IF($A769&lt;VLOOKUP(V$5,NFI,5,0),1,0)*Table_NFI[[#This Row],[Tent]],Table_NFI[Tent])</f>
        <v>0</v>
      </c>
      <c r="AQ769" s="396" t="str">
        <f>IFERROR(VLOOKUP(Table_NFI[[#This Row],[Camp Name]],CL,2,0),"")</f>
        <v>MMR001CMP167</v>
      </c>
      <c r="AR769" s="702">
        <f ca="1">IF(Table_NFI[[#This Row],[Pcode]]="","",IF(OFFSET(CampList[Opening Date],MATCH(Table_NFI[[#This Row],[Pcode]],CampList[CP_Pcode],0)-1,0,1,1)&gt;=NFI_Monitor_Date,1,0))</f>
        <v>0</v>
      </c>
      <c r="AS769" s="396" t="str">
        <f>IFERROR(VLOOKUP(Table_NFI[[#This Row],[Camp Name]],CL,3,0),"")</f>
        <v>Open</v>
      </c>
      <c r="AT769" s="264" t="str">
        <f ca="1">IF(Table_NFI[[#This Row],[Pcode]]="","",OFFSET(CampList[Priority],MATCH(Table_NFI[[#This Row],[Pcode]],CampList[CP_Pcode],0)-1,0,1,1))</f>
        <v>P4</v>
      </c>
      <c r="AU769" s="263">
        <f>IFERROR(Table_NFI[[#This Row],[Kitchen Set]]/VLOOKUP(Table_NFI[[#This Row],[Camp Name]],CL,4,0),"")</f>
        <v>6.5414900060569347E-4</v>
      </c>
      <c r="AV769" s="390" t="s">
        <v>1087</v>
      </c>
      <c r="AW769" s="392"/>
      <c r="AX769" s="399"/>
      <c r="AY769" s="399"/>
      <c r="AZ769" s="399"/>
      <c r="BA769" s="399"/>
      <c r="BB769" s="399"/>
      <c r="BC769" s="399"/>
      <c r="BD769" s="399"/>
      <c r="BE769" s="399"/>
      <c r="BF769" s="399"/>
      <c r="BG769" s="399"/>
      <c r="BH769" s="399"/>
      <c r="BI769" s="399"/>
      <c r="BJ769" s="399"/>
      <c r="BK769" s="399"/>
      <c r="BL769" s="399"/>
      <c r="BM769" s="399"/>
      <c r="BN769" s="399"/>
      <c r="BO769" s="399"/>
      <c r="BP769" s="399"/>
      <c r="BQ769" s="399"/>
      <c r="BR769" s="399"/>
      <c r="BS769" s="399"/>
      <c r="BT769" s="399"/>
      <c r="BU769" s="399"/>
      <c r="BV769" s="399"/>
      <c r="BW769" s="399"/>
      <c r="BX769" s="399"/>
      <c r="BY769" s="399"/>
      <c r="BZ769" s="399"/>
      <c r="CA769" s="399"/>
      <c r="CB769" s="399"/>
      <c r="CC769" s="399"/>
      <c r="CD769" s="399"/>
      <c r="CE769" s="399"/>
      <c r="CF769" s="399"/>
      <c r="CG769" s="399"/>
      <c r="CH769" s="399"/>
      <c r="CI769" s="399"/>
      <c r="CJ769" s="399"/>
      <c r="CK769" s="399"/>
      <c r="CL769" s="399"/>
      <c r="CM769" s="399"/>
      <c r="CN769" s="399"/>
      <c r="CO769" s="399"/>
      <c r="CP769" s="399"/>
      <c r="CQ769" s="399"/>
      <c r="CR769" s="399"/>
      <c r="CS769" s="399"/>
      <c r="CT769" s="399"/>
      <c r="CU769" s="399"/>
      <c r="CV769" s="399"/>
      <c r="CW769" s="399"/>
      <c r="CX769" s="399"/>
      <c r="CY769" s="399"/>
      <c r="CZ769" s="399"/>
      <c r="DA769" s="399"/>
      <c r="DB769" s="399"/>
      <c r="DC769" s="399"/>
      <c r="DD769" s="399"/>
      <c r="DE769" s="399"/>
      <c r="DF769" s="399"/>
      <c r="DG769" s="399"/>
      <c r="DH769" s="399"/>
      <c r="DI769" s="399"/>
      <c r="DJ769" s="399"/>
      <c r="DK769" s="399"/>
      <c r="DL769" s="399"/>
      <c r="DM769" s="399"/>
      <c r="DN769" s="399"/>
      <c r="DO769" s="399"/>
      <c r="DP769" s="399"/>
      <c r="DQ769" s="399"/>
    </row>
    <row r="770" spans="1:121" s="760" customFormat="1" ht="15" customHeight="1" x14ac:dyDescent="0.25">
      <c r="A770" s="266">
        <f t="shared" si="11"/>
        <v>50.1</v>
      </c>
      <c r="B770" s="389">
        <v>41353</v>
      </c>
      <c r="C770" s="390" t="s">
        <v>451</v>
      </c>
      <c r="D770" s="391" t="s">
        <v>451</v>
      </c>
      <c r="E770" s="390" t="s">
        <v>380</v>
      </c>
      <c r="F770" s="262" t="s">
        <v>526</v>
      </c>
      <c r="G770" s="262" t="s">
        <v>100</v>
      </c>
      <c r="H770" s="261"/>
      <c r="I770" s="261"/>
      <c r="J770" s="261">
        <v>17</v>
      </c>
      <c r="K770" s="261">
        <v>17</v>
      </c>
      <c r="L770" s="261">
        <v>17</v>
      </c>
      <c r="M770" s="261">
        <v>41</v>
      </c>
      <c r="N770" s="261">
        <v>17</v>
      </c>
      <c r="O770" s="261">
        <v>41</v>
      </c>
      <c r="P770" s="261">
        <v>41</v>
      </c>
      <c r="Q770" s="261">
        <v>41</v>
      </c>
      <c r="R770" s="261"/>
      <c r="S770" s="261"/>
      <c r="T770" s="261"/>
      <c r="U770" s="261"/>
      <c r="V770" s="762"/>
      <c r="W770" s="762"/>
      <c r="X770" s="762"/>
      <c r="Y770" s="264">
        <f>IF(NFI_Expiration=1,IF($A770&lt;VLOOKUP(H$5,NFI,5,0),1,0)*Table_NFI[[#This Row],[Hygiene Kit]],Table_NFI[Hygiene Kit])</f>
        <v>0</v>
      </c>
      <c r="Z770" s="264">
        <f>IF(NFI_Expiration=1,IF($A770&lt;VLOOKUP(I$5,NFI,5,0),1,0)*Table_NFI[[#This Row],[NFI Core Kit]],Table_NFI[NFI Core Kit])</f>
        <v>0</v>
      </c>
      <c r="AA770" s="264">
        <f>IF(NFI_Expiration=1,IF($A770&lt;VLOOKUP(J$5,NFI,5,0),1,0)*Table_NFI[[#This Row],[Sanitary Kit]],Table_NFI[Sanitary Kit])</f>
        <v>0</v>
      </c>
      <c r="AB770" s="264">
        <f>IF(NFI_Expiration=1,IF($A770&lt;VLOOKUP(K$5,NFI,5,0),1,0)*Table_NFI[[#This Row],[Mosquito net]],Table_NFI[Mosquito net])</f>
        <v>0</v>
      </c>
      <c r="AC770" s="264">
        <f>IF(NFI_Expiration=1,IF($A770&lt;VLOOKUP(L$5,NFI,5,0),1,0)*Table_NFI[[#This Row],[Tarpaulin]],Table_NFI[[#This Row],[Tarpaulin]])</f>
        <v>0</v>
      </c>
      <c r="AD770" s="264">
        <f>IF(NFI_Expiration=1,IF($A770&lt;VLOOKUP(M$5,NFI,5,0),1,0)*Table_NFI[[#This Row],[Blanket]],Table_NFI[[#This Row],[Blanket]])</f>
        <v>0</v>
      </c>
      <c r="AE770" s="264">
        <f>IF(NFI_Expiration=1,IF($A770&lt;VLOOKUP(N$5,NFI,5,0),1,0)*Table_NFI[[#This Row],[Kitchen Set]],Table_NFI[Kitchen Set])</f>
        <v>0</v>
      </c>
      <c r="AF770" s="264">
        <f>IF(NFI_Expiration=1,IF($A770&lt;VLOOKUP(O$5,NFI,5,0),1,0)*Table_NFI[[#This Row],[Clothes Kit]],Table_NFI[Clothes Kit])</f>
        <v>0</v>
      </c>
      <c r="AG770" s="264">
        <f>IF(NFI_Expiration=1,IF($A770&lt;VLOOKUP(P$5,NFI,5,0),1,0)*Table_NFI[[#This Row],[Plastic Bucket]],Table_NFI[Plastic Bucket])</f>
        <v>0</v>
      </c>
      <c r="AH770" s="264">
        <f>IF(NFI_Expiration=1,IF($A770&lt;VLOOKUP(Q$5,NFI,5,0),1,0)*Table_NFI[[#This Row],[Plastic Mat]],Table_NFI[Plastic Mat])*IF(Table_NFI[[#This Row],[Distribution Date]]&gt;"2014-04-01",1,2.5)</f>
        <v>0</v>
      </c>
      <c r="AI770" s="264">
        <f>IF(NFI_Expiration=1,IF($A770&lt;VLOOKUP(R$5,NFI,5,0),1,0)*Table_NFI[[#This Row],[Winter Clothes Adult]],Table_NFI[Winter Clothes Adult])</f>
        <v>0</v>
      </c>
      <c r="AJ770" s="264">
        <f>IF(NFI_Expiration=1,IF($A770&lt;VLOOKUP(S$5,NFI,5,0),1,0)*Table_NFI[[#This Row],[Winter Clothes Children]],Table_NFI[Winter Clothes Children])</f>
        <v>0</v>
      </c>
      <c r="AK770" s="264">
        <f>IF(NFI_Expiration=1,IF($A770&lt;VLOOKUP(T$5,NFI,5,0),1,0)*Table_NFI[[#This Row],[Winter Items Other]],Table_NFI[Winter Items Other])</f>
        <v>0</v>
      </c>
      <c r="AL770" s="264">
        <f>IF(NFI_Expiration=1,IF($A770&lt;VLOOKUP(M$5,NFI,5,0),1,0)*Table_NFI[[#This Row],[Winter Blanket]],Table_NFI[[#This Row],[Winter Blanket]])</f>
        <v>0</v>
      </c>
      <c r="AM770" s="264">
        <f>IF(Table_NFI[[#This Row],[Winter Clothes Adult]]+Table_NFI[[#This Row],[Winter Clothes Children]]+Table_NFI[[#This Row],[Winter Items Other]]+Table_NFI[[#This Row],[Winter Blanket]]&gt;0,1,0)</f>
        <v>0</v>
      </c>
      <c r="AN770" s="296">
        <f>IF(NFI_Expiration=1,IF($A770&lt;VLOOKUP(V$5,NFI,5,0),1,0)*Table_NFI[[#This Row],[Jerry Can]],Table_NFI[Jerry Can])</f>
        <v>0</v>
      </c>
      <c r="AO770" s="296">
        <f>IF(NFI_Expiration=1,IF($A770&lt;VLOOKUP(V$5,NFI,5,0),1,0)*Table_NFI[[#This Row],[Shelter Tool kit]],Table_NFI[Shelter Tool kit])</f>
        <v>0</v>
      </c>
      <c r="AP770" s="296">
        <f>IF(NFI_Expiration=1,IF($A770&lt;VLOOKUP(V$5,NFI,5,0),1,0)*Table_NFI[[#This Row],[Tent]],Table_NFI[Tent])</f>
        <v>0</v>
      </c>
      <c r="AQ770" s="396" t="str">
        <f>IFERROR(VLOOKUP(Table_NFI[[#This Row],[Camp Name]],CL,2,0),"")</f>
        <v>MMR001CMP091</v>
      </c>
      <c r="AR770" s="702">
        <f ca="1">IF(Table_NFI[[#This Row],[Pcode]]="","",IF(OFFSET(CampList[Opening Date],MATCH(Table_NFI[[#This Row],[Pcode]],CampList[CP_Pcode],0)-1,0,1,1)&gt;=NFI_Monitor_Date,1,0))</f>
        <v>0</v>
      </c>
      <c r="AS770" s="396" t="str">
        <f>IFERROR(VLOOKUP(Table_NFI[[#This Row],[Camp Name]],CL,3,0),"")</f>
        <v>Open</v>
      </c>
      <c r="AT770" s="264" t="str">
        <f ca="1">IF(Table_NFI[[#This Row],[Pcode]]="","",OFFSET(CampList[Priority],MATCH(Table_NFI[[#This Row],[Pcode]],CampList[CP_Pcode],0)-1,0,1,1))</f>
        <v>P4</v>
      </c>
      <c r="AU770" s="263">
        <f>IFERROR(Table_NFI[[#This Row],[Kitchen Set]]/VLOOKUP(Table_NFI[[#This Row],[Camp Name]],CL,4,0),"")</f>
        <v>4.1340401731433294E-4</v>
      </c>
      <c r="AV770" s="390" t="s">
        <v>1087</v>
      </c>
      <c r="AW770" s="392"/>
      <c r="AX770" s="399"/>
      <c r="AY770" s="399"/>
      <c r="AZ770" s="399"/>
      <c r="BA770" s="399"/>
      <c r="BB770" s="399"/>
      <c r="BC770" s="399"/>
      <c r="BD770" s="399"/>
      <c r="BE770" s="399"/>
      <c r="BF770" s="399"/>
      <c r="BG770" s="399"/>
      <c r="BH770" s="399"/>
      <c r="BI770" s="399"/>
      <c r="BJ770" s="399"/>
      <c r="BK770" s="399"/>
      <c r="BL770" s="399"/>
      <c r="BM770" s="399"/>
      <c r="BN770" s="399"/>
      <c r="BO770" s="399"/>
      <c r="BP770" s="399"/>
      <c r="BQ770" s="399"/>
      <c r="BR770" s="399"/>
      <c r="BS770" s="399"/>
      <c r="BT770" s="399"/>
      <c r="BU770" s="399"/>
      <c r="BV770" s="399"/>
      <c r="BW770" s="399"/>
      <c r="BX770" s="399"/>
      <c r="BY770" s="399"/>
      <c r="BZ770" s="399"/>
      <c r="CA770" s="399"/>
      <c r="CB770" s="399"/>
      <c r="CC770" s="399"/>
      <c r="CD770" s="399"/>
      <c r="CE770" s="399"/>
      <c r="CF770" s="399"/>
      <c r="CG770" s="399"/>
      <c r="CH770" s="399"/>
      <c r="CI770" s="399"/>
      <c r="CJ770" s="399"/>
      <c r="CK770" s="399"/>
      <c r="CL770" s="399"/>
      <c r="CM770" s="399"/>
      <c r="CN770" s="399"/>
      <c r="CO770" s="399"/>
      <c r="CP770" s="399"/>
      <c r="CQ770" s="399"/>
      <c r="CR770" s="399"/>
      <c r="CS770" s="399"/>
      <c r="CT770" s="399"/>
      <c r="CU770" s="399"/>
      <c r="CV770" s="399"/>
      <c r="CW770" s="399"/>
      <c r="CX770" s="399"/>
      <c r="CY770" s="399"/>
      <c r="CZ770" s="399"/>
      <c r="DA770" s="399"/>
      <c r="DB770" s="399"/>
      <c r="DC770" s="399"/>
      <c r="DD770" s="399"/>
      <c r="DE770" s="399"/>
      <c r="DF770" s="399"/>
      <c r="DG770" s="399"/>
      <c r="DH770" s="399"/>
      <c r="DI770" s="399"/>
      <c r="DJ770" s="399"/>
      <c r="DK770" s="399"/>
      <c r="DL770" s="399"/>
      <c r="DM770" s="399"/>
      <c r="DN770" s="399"/>
      <c r="DO770" s="399"/>
      <c r="DP770" s="399"/>
      <c r="DQ770" s="399"/>
    </row>
    <row r="771" spans="1:121" s="760" customFormat="1" ht="15" customHeight="1" x14ac:dyDescent="0.25">
      <c r="A771" s="266">
        <f t="shared" si="11"/>
        <v>50.1</v>
      </c>
      <c r="B771" s="389">
        <v>41353</v>
      </c>
      <c r="C771" s="390" t="s">
        <v>451</v>
      </c>
      <c r="D771" s="391" t="s">
        <v>451</v>
      </c>
      <c r="E771" s="390" t="s">
        <v>380</v>
      </c>
      <c r="F771" s="262" t="s">
        <v>526</v>
      </c>
      <c r="G771" s="262" t="s">
        <v>126</v>
      </c>
      <c r="H771" s="261"/>
      <c r="I771" s="261"/>
      <c r="J771" s="261">
        <v>124</v>
      </c>
      <c r="K771" s="261">
        <v>117</v>
      </c>
      <c r="L771" s="261">
        <v>121</v>
      </c>
      <c r="M771" s="261">
        <v>227</v>
      </c>
      <c r="N771" s="261">
        <v>122</v>
      </c>
      <c r="O771" s="261">
        <v>263</v>
      </c>
      <c r="P771" s="261">
        <v>263</v>
      </c>
      <c r="Q771" s="261">
        <v>263</v>
      </c>
      <c r="R771" s="261"/>
      <c r="S771" s="261"/>
      <c r="T771" s="261"/>
      <c r="U771" s="261"/>
      <c r="V771" s="762"/>
      <c r="W771" s="762"/>
      <c r="X771" s="762"/>
      <c r="Y771" s="264">
        <f>IF(NFI_Expiration=1,IF($A771&lt;VLOOKUP(H$5,NFI,5,0),1,0)*Table_NFI[[#This Row],[Hygiene Kit]],Table_NFI[Hygiene Kit])</f>
        <v>0</v>
      </c>
      <c r="Z771" s="264">
        <f>IF(NFI_Expiration=1,IF($A771&lt;VLOOKUP(I$5,NFI,5,0),1,0)*Table_NFI[[#This Row],[NFI Core Kit]],Table_NFI[NFI Core Kit])</f>
        <v>0</v>
      </c>
      <c r="AA771" s="264">
        <f>IF(NFI_Expiration=1,IF($A771&lt;VLOOKUP(J$5,NFI,5,0),1,0)*Table_NFI[[#This Row],[Sanitary Kit]],Table_NFI[Sanitary Kit])</f>
        <v>0</v>
      </c>
      <c r="AB771" s="264">
        <f>IF(NFI_Expiration=1,IF($A771&lt;VLOOKUP(K$5,NFI,5,0),1,0)*Table_NFI[[#This Row],[Mosquito net]],Table_NFI[Mosquito net])</f>
        <v>0</v>
      </c>
      <c r="AC771" s="264">
        <f>IF(NFI_Expiration=1,IF($A771&lt;VLOOKUP(L$5,NFI,5,0),1,0)*Table_NFI[[#This Row],[Tarpaulin]],Table_NFI[[#This Row],[Tarpaulin]])</f>
        <v>0</v>
      </c>
      <c r="AD771" s="264">
        <f>IF(NFI_Expiration=1,IF($A771&lt;VLOOKUP(M$5,NFI,5,0),1,0)*Table_NFI[[#This Row],[Blanket]],Table_NFI[[#This Row],[Blanket]])</f>
        <v>0</v>
      </c>
      <c r="AE771" s="264">
        <f>IF(NFI_Expiration=1,IF($A771&lt;VLOOKUP(N$5,NFI,5,0),1,0)*Table_NFI[[#This Row],[Kitchen Set]],Table_NFI[Kitchen Set])</f>
        <v>0</v>
      </c>
      <c r="AF771" s="264">
        <f>IF(NFI_Expiration=1,IF($A771&lt;VLOOKUP(O$5,NFI,5,0),1,0)*Table_NFI[[#This Row],[Clothes Kit]],Table_NFI[Clothes Kit])</f>
        <v>0</v>
      </c>
      <c r="AG771" s="264">
        <f>IF(NFI_Expiration=1,IF($A771&lt;VLOOKUP(P$5,NFI,5,0),1,0)*Table_NFI[[#This Row],[Plastic Bucket]],Table_NFI[Plastic Bucket])</f>
        <v>0</v>
      </c>
      <c r="AH771" s="264">
        <f>IF(NFI_Expiration=1,IF($A771&lt;VLOOKUP(Q$5,NFI,5,0),1,0)*Table_NFI[[#This Row],[Plastic Mat]],Table_NFI[Plastic Mat])*IF(Table_NFI[[#This Row],[Distribution Date]]&gt;"2014-04-01",1,2.5)</f>
        <v>0</v>
      </c>
      <c r="AI771" s="264">
        <f>IF(NFI_Expiration=1,IF($A771&lt;VLOOKUP(R$5,NFI,5,0),1,0)*Table_NFI[[#This Row],[Winter Clothes Adult]],Table_NFI[Winter Clothes Adult])</f>
        <v>0</v>
      </c>
      <c r="AJ771" s="264">
        <f>IF(NFI_Expiration=1,IF($A771&lt;VLOOKUP(S$5,NFI,5,0),1,0)*Table_NFI[[#This Row],[Winter Clothes Children]],Table_NFI[Winter Clothes Children])</f>
        <v>0</v>
      </c>
      <c r="AK771" s="264">
        <f>IF(NFI_Expiration=1,IF($A771&lt;VLOOKUP(T$5,NFI,5,0),1,0)*Table_NFI[[#This Row],[Winter Items Other]],Table_NFI[Winter Items Other])</f>
        <v>0</v>
      </c>
      <c r="AL771" s="264">
        <f>IF(NFI_Expiration=1,IF($A771&lt;VLOOKUP(M$5,NFI,5,0),1,0)*Table_NFI[[#This Row],[Winter Blanket]],Table_NFI[[#This Row],[Winter Blanket]])</f>
        <v>0</v>
      </c>
      <c r="AM771" s="264">
        <f>IF(Table_NFI[[#This Row],[Winter Clothes Adult]]+Table_NFI[[#This Row],[Winter Clothes Children]]+Table_NFI[[#This Row],[Winter Items Other]]+Table_NFI[[#This Row],[Winter Blanket]]&gt;0,1,0)</f>
        <v>0</v>
      </c>
      <c r="AN771" s="296">
        <f>IF(NFI_Expiration=1,IF($A771&lt;VLOOKUP(V$5,NFI,5,0),1,0)*Table_NFI[[#This Row],[Jerry Can]],Table_NFI[Jerry Can])</f>
        <v>0</v>
      </c>
      <c r="AO771" s="296">
        <f>IF(NFI_Expiration=1,IF($A771&lt;VLOOKUP(V$5,NFI,5,0),1,0)*Table_NFI[[#This Row],[Shelter Tool kit]],Table_NFI[Shelter Tool kit])</f>
        <v>0</v>
      </c>
      <c r="AP771" s="296">
        <f>IF(NFI_Expiration=1,IF($A771&lt;VLOOKUP(V$5,NFI,5,0),1,0)*Table_NFI[[#This Row],[Tent]],Table_NFI[Tent])</f>
        <v>0</v>
      </c>
      <c r="AQ771" s="396" t="str">
        <f>IFERROR(VLOOKUP(Table_NFI[[#This Row],[Camp Name]],CL,2,0),"")</f>
        <v>MMR001CMP184</v>
      </c>
      <c r="AR771" s="702">
        <f ca="1">IF(Table_NFI[[#This Row],[Pcode]]="","",IF(OFFSET(CampList[Opening Date],MATCH(Table_NFI[[#This Row],[Pcode]],CampList[CP_Pcode],0)-1,0,1,1)&gt;=NFI_Monitor_Date,1,0))</f>
        <v>0</v>
      </c>
      <c r="AS771" s="396" t="str">
        <f>IFERROR(VLOOKUP(Table_NFI[[#This Row],[Camp Name]],CL,3,0),"")</f>
        <v>Open</v>
      </c>
      <c r="AT771" s="264" t="str">
        <f ca="1">IF(Table_NFI[[#This Row],[Pcode]]="","",OFFSET(CampList[Priority],MATCH(Table_NFI[[#This Row],[Pcode]],CampList[CP_Pcode],0)-1,0,1,1))</f>
        <v>P4</v>
      </c>
      <c r="AU771" s="263">
        <f>IFERROR(Table_NFI[[#This Row],[Kitchen Set]]/VLOOKUP(Table_NFI[[#This Row],[Camp Name]],CL,4,0),"")</f>
        <v>2.9557843731072078E-3</v>
      </c>
      <c r="AV771" s="390" t="s">
        <v>1087</v>
      </c>
      <c r="AW771" s="392"/>
      <c r="AX771" s="399"/>
      <c r="AY771" s="399"/>
      <c r="AZ771" s="399"/>
      <c r="BA771" s="399"/>
      <c r="BB771" s="399"/>
      <c r="BC771" s="399"/>
      <c r="BD771" s="399"/>
      <c r="BE771" s="399"/>
      <c r="BF771" s="399"/>
      <c r="BG771" s="399"/>
      <c r="BH771" s="399"/>
      <c r="BI771" s="399"/>
      <c r="BJ771" s="399"/>
      <c r="BK771" s="399"/>
      <c r="BL771" s="399"/>
      <c r="BM771" s="399"/>
      <c r="BN771" s="399"/>
      <c r="BO771" s="399"/>
      <c r="BP771" s="399"/>
      <c r="BQ771" s="399"/>
      <c r="BR771" s="399"/>
      <c r="BS771" s="399"/>
      <c r="BT771" s="399"/>
      <c r="BU771" s="399"/>
      <c r="BV771" s="399"/>
      <c r="BW771" s="399"/>
      <c r="BX771" s="399"/>
      <c r="BY771" s="399"/>
      <c r="BZ771" s="399"/>
      <c r="CA771" s="399"/>
      <c r="CB771" s="399"/>
      <c r="CC771" s="399"/>
      <c r="CD771" s="399"/>
      <c r="CE771" s="399"/>
      <c r="CF771" s="399"/>
      <c r="CG771" s="399"/>
      <c r="CH771" s="399"/>
      <c r="CI771" s="399"/>
      <c r="CJ771" s="399"/>
      <c r="CK771" s="399"/>
      <c r="CL771" s="399"/>
      <c r="CM771" s="399"/>
      <c r="CN771" s="399"/>
      <c r="CO771" s="399"/>
      <c r="CP771" s="399"/>
      <c r="CQ771" s="399"/>
      <c r="CR771" s="399"/>
      <c r="CS771" s="399"/>
      <c r="CT771" s="399"/>
      <c r="CU771" s="399"/>
      <c r="CV771" s="399"/>
      <c r="CW771" s="399"/>
      <c r="CX771" s="399"/>
      <c r="CY771" s="399"/>
      <c r="CZ771" s="399"/>
      <c r="DA771" s="399"/>
      <c r="DB771" s="399"/>
      <c r="DC771" s="399"/>
      <c r="DD771" s="399"/>
      <c r="DE771" s="399"/>
      <c r="DF771" s="399"/>
      <c r="DG771" s="399"/>
      <c r="DH771" s="399"/>
      <c r="DI771" s="399"/>
      <c r="DJ771" s="399"/>
      <c r="DK771" s="399"/>
      <c r="DL771" s="399"/>
      <c r="DM771" s="399"/>
      <c r="DN771" s="399"/>
      <c r="DO771" s="399"/>
      <c r="DP771" s="399"/>
      <c r="DQ771" s="399"/>
    </row>
    <row r="772" spans="1:121" s="760" customFormat="1" ht="15" customHeight="1" x14ac:dyDescent="0.25">
      <c r="A772" s="266">
        <f t="shared" si="11"/>
        <v>50.1</v>
      </c>
      <c r="B772" s="389">
        <v>41353</v>
      </c>
      <c r="C772" s="390" t="s">
        <v>451</v>
      </c>
      <c r="D772" s="390" t="s">
        <v>451</v>
      </c>
      <c r="E772" s="390" t="s">
        <v>380</v>
      </c>
      <c r="F772" s="262" t="s">
        <v>526</v>
      </c>
      <c r="G772" s="262" t="s">
        <v>39</v>
      </c>
      <c r="H772" s="261"/>
      <c r="I772" s="261"/>
      <c r="J772" s="261">
        <v>38</v>
      </c>
      <c r="K772" s="261">
        <v>11</v>
      </c>
      <c r="L772" s="261">
        <v>11</v>
      </c>
      <c r="M772" s="261">
        <v>87</v>
      </c>
      <c r="N772" s="261">
        <v>11</v>
      </c>
      <c r="O772" s="261">
        <v>26</v>
      </c>
      <c r="P772" s="261">
        <v>26</v>
      </c>
      <c r="Q772" s="261">
        <v>26</v>
      </c>
      <c r="R772" s="261"/>
      <c r="S772" s="261"/>
      <c r="T772" s="261"/>
      <c r="U772" s="261"/>
      <c r="V772" s="762"/>
      <c r="W772" s="762"/>
      <c r="X772" s="762"/>
      <c r="Y772" s="264">
        <f>IF(NFI_Expiration=1,IF($A772&lt;VLOOKUP(H$5,NFI,5,0),1,0)*Table_NFI[[#This Row],[Hygiene Kit]],Table_NFI[Hygiene Kit])</f>
        <v>0</v>
      </c>
      <c r="Z772" s="264">
        <f>IF(NFI_Expiration=1,IF($A772&lt;VLOOKUP(I$5,NFI,5,0),1,0)*Table_NFI[[#This Row],[NFI Core Kit]],Table_NFI[NFI Core Kit])</f>
        <v>0</v>
      </c>
      <c r="AA772" s="264">
        <f>IF(NFI_Expiration=1,IF($A772&lt;VLOOKUP(J$5,NFI,5,0),1,0)*Table_NFI[[#This Row],[Sanitary Kit]],Table_NFI[Sanitary Kit])</f>
        <v>0</v>
      </c>
      <c r="AB772" s="264">
        <f>IF(NFI_Expiration=1,IF($A772&lt;VLOOKUP(K$5,NFI,5,0),1,0)*Table_NFI[[#This Row],[Mosquito net]],Table_NFI[Mosquito net])</f>
        <v>0</v>
      </c>
      <c r="AC772" s="264">
        <f>IF(NFI_Expiration=1,IF($A772&lt;VLOOKUP(L$5,NFI,5,0),1,0)*Table_NFI[[#This Row],[Tarpaulin]],Table_NFI[[#This Row],[Tarpaulin]])</f>
        <v>0</v>
      </c>
      <c r="AD772" s="264">
        <f>IF(NFI_Expiration=1,IF($A772&lt;VLOOKUP(M$5,NFI,5,0),1,0)*Table_NFI[[#This Row],[Blanket]],Table_NFI[[#This Row],[Blanket]])</f>
        <v>0</v>
      </c>
      <c r="AE772" s="264">
        <f>IF(NFI_Expiration=1,IF($A772&lt;VLOOKUP(N$5,NFI,5,0),1,0)*Table_NFI[[#This Row],[Kitchen Set]],Table_NFI[Kitchen Set])</f>
        <v>0</v>
      </c>
      <c r="AF772" s="264">
        <f>IF(NFI_Expiration=1,IF($A772&lt;VLOOKUP(O$5,NFI,5,0),1,0)*Table_NFI[[#This Row],[Clothes Kit]],Table_NFI[Clothes Kit])</f>
        <v>0</v>
      </c>
      <c r="AG772" s="264">
        <f>IF(NFI_Expiration=1,IF($A772&lt;VLOOKUP(P$5,NFI,5,0),1,0)*Table_NFI[[#This Row],[Plastic Bucket]],Table_NFI[Plastic Bucket])</f>
        <v>0</v>
      </c>
      <c r="AH772" s="264">
        <f>IF(NFI_Expiration=1,IF($A772&lt;VLOOKUP(Q$5,NFI,5,0),1,0)*Table_NFI[[#This Row],[Plastic Mat]],Table_NFI[Plastic Mat])*IF(Table_NFI[[#This Row],[Distribution Date]]&gt;"2014-04-01",1,2.5)</f>
        <v>0</v>
      </c>
      <c r="AI772" s="264">
        <f>IF(NFI_Expiration=1,IF($A772&lt;VLOOKUP(R$5,NFI,5,0),1,0)*Table_NFI[[#This Row],[Winter Clothes Adult]],Table_NFI[Winter Clothes Adult])</f>
        <v>0</v>
      </c>
      <c r="AJ772" s="264">
        <f>IF(NFI_Expiration=1,IF($A772&lt;VLOOKUP(S$5,NFI,5,0),1,0)*Table_NFI[[#This Row],[Winter Clothes Children]],Table_NFI[Winter Clothes Children])</f>
        <v>0</v>
      </c>
      <c r="AK772" s="264">
        <f>IF(NFI_Expiration=1,IF($A772&lt;VLOOKUP(T$5,NFI,5,0),1,0)*Table_NFI[[#This Row],[Winter Items Other]],Table_NFI[Winter Items Other])</f>
        <v>0</v>
      </c>
      <c r="AL772" s="264">
        <f>IF(NFI_Expiration=1,IF($A772&lt;VLOOKUP(M$5,NFI,5,0),1,0)*Table_NFI[[#This Row],[Winter Blanket]],Table_NFI[[#This Row],[Winter Blanket]])</f>
        <v>0</v>
      </c>
      <c r="AM772" s="264">
        <f>IF(Table_NFI[[#This Row],[Winter Clothes Adult]]+Table_NFI[[#This Row],[Winter Clothes Children]]+Table_NFI[[#This Row],[Winter Items Other]]+Table_NFI[[#This Row],[Winter Blanket]]&gt;0,1,0)</f>
        <v>0</v>
      </c>
      <c r="AN772" s="296">
        <f>IF(NFI_Expiration=1,IF($A772&lt;VLOOKUP(V$5,NFI,5,0),1,0)*Table_NFI[[#This Row],[Jerry Can]],Table_NFI[Jerry Can])</f>
        <v>0</v>
      </c>
      <c r="AO772" s="296">
        <f>IF(NFI_Expiration=1,IF($A772&lt;VLOOKUP(V$5,NFI,5,0),1,0)*Table_NFI[[#This Row],[Shelter Tool kit]],Table_NFI[Shelter Tool kit])</f>
        <v>0</v>
      </c>
      <c r="AP772" s="296">
        <f>IF(NFI_Expiration=1,IF($A772&lt;VLOOKUP(V$5,NFI,5,0),1,0)*Table_NFI[[#This Row],[Tent]],Table_NFI[Tent])</f>
        <v>0</v>
      </c>
      <c r="AQ772" s="396" t="str">
        <f>IFERROR(VLOOKUP(Table_NFI[[#This Row],[Camp Name]],CL,2,0),"")</f>
        <v>MMR001CMP173</v>
      </c>
      <c r="AR772" s="702">
        <f ca="1">IF(Table_NFI[[#This Row],[Pcode]]="","",IF(OFFSET(CampList[Opening Date],MATCH(Table_NFI[[#This Row],[Pcode]],CampList[CP_Pcode],0)-1,0,1,1)&gt;=NFI_Monitor_Date,1,0))</f>
        <v>0</v>
      </c>
      <c r="AS772" s="396" t="str">
        <f>IFERROR(VLOOKUP(Table_NFI[[#This Row],[Camp Name]],CL,3,0),"")</f>
        <v>Closed</v>
      </c>
      <c r="AT772" s="264" t="str">
        <f ca="1">IF(Table_NFI[[#This Row],[Pcode]]="","",OFFSET(CampList[Priority],MATCH(Table_NFI[[#This Row],[Pcode]],CampList[CP_Pcode],0)-1,0,1,1))</f>
        <v/>
      </c>
      <c r="AU772" s="263" t="str">
        <f>IFERROR(Table_NFI[[#This Row],[Kitchen Set]]/VLOOKUP(Table_NFI[[#This Row],[Camp Name]],CL,4,0),"")</f>
        <v/>
      </c>
      <c r="AV772" s="390" t="s">
        <v>1087</v>
      </c>
      <c r="AW772" s="392"/>
      <c r="AX772" s="399"/>
      <c r="AY772" s="399"/>
      <c r="AZ772" s="399"/>
      <c r="BA772" s="399"/>
      <c r="BB772" s="399"/>
      <c r="BC772" s="399"/>
      <c r="BD772" s="399"/>
      <c r="BE772" s="399"/>
      <c r="BF772" s="399"/>
      <c r="BG772" s="399"/>
      <c r="BH772" s="399"/>
      <c r="BI772" s="399"/>
      <c r="BJ772" s="399"/>
      <c r="BK772" s="399"/>
      <c r="BL772" s="399"/>
      <c r="BM772" s="399"/>
      <c r="BN772" s="399"/>
      <c r="BO772" s="399"/>
      <c r="BP772" s="399"/>
      <c r="BQ772" s="399"/>
      <c r="BR772" s="399"/>
      <c r="BS772" s="399"/>
      <c r="BT772" s="399"/>
      <c r="BU772" s="399"/>
      <c r="BV772" s="399"/>
      <c r="BW772" s="399"/>
      <c r="BX772" s="399"/>
      <c r="BY772" s="399"/>
      <c r="BZ772" s="399"/>
      <c r="CA772" s="399"/>
      <c r="CB772" s="399"/>
      <c r="CC772" s="399"/>
      <c r="CD772" s="399"/>
      <c r="CE772" s="399"/>
      <c r="CF772" s="399"/>
      <c r="CG772" s="399"/>
      <c r="CH772" s="399"/>
      <c r="CI772" s="399"/>
      <c r="CJ772" s="399"/>
      <c r="CK772" s="399"/>
      <c r="CL772" s="399"/>
      <c r="CM772" s="399"/>
      <c r="CN772" s="399"/>
      <c r="CO772" s="399"/>
      <c r="CP772" s="399"/>
      <c r="CQ772" s="399"/>
      <c r="CR772" s="399"/>
      <c r="CS772" s="399"/>
      <c r="CT772" s="399"/>
      <c r="CU772" s="399"/>
      <c r="CV772" s="399"/>
      <c r="CW772" s="399"/>
      <c r="CX772" s="399"/>
      <c r="CY772" s="399"/>
      <c r="CZ772" s="399"/>
      <c r="DA772" s="399"/>
      <c r="DB772" s="399"/>
      <c r="DC772" s="399"/>
      <c r="DD772" s="399"/>
      <c r="DE772" s="399"/>
      <c r="DF772" s="399"/>
      <c r="DG772" s="399"/>
      <c r="DH772" s="399"/>
      <c r="DI772" s="399"/>
      <c r="DJ772" s="399"/>
      <c r="DK772" s="399"/>
      <c r="DL772" s="399"/>
      <c r="DM772" s="399"/>
      <c r="DN772" s="399"/>
      <c r="DO772" s="399"/>
      <c r="DP772" s="399"/>
      <c r="DQ772" s="399"/>
    </row>
    <row r="773" spans="1:121" s="760" customFormat="1" ht="15" customHeight="1" x14ac:dyDescent="0.25">
      <c r="A773" s="266">
        <f t="shared" si="11"/>
        <v>50.1</v>
      </c>
      <c r="B773" s="389">
        <v>41353</v>
      </c>
      <c r="C773" s="390" t="s">
        <v>451</v>
      </c>
      <c r="D773" s="391" t="s">
        <v>451</v>
      </c>
      <c r="E773" s="390" t="s">
        <v>380</v>
      </c>
      <c r="F773" s="262" t="s">
        <v>526</v>
      </c>
      <c r="G773" s="262" t="s">
        <v>70</v>
      </c>
      <c r="H773" s="261"/>
      <c r="I773" s="261"/>
      <c r="J773" s="261">
        <v>9</v>
      </c>
      <c r="K773" s="261">
        <v>6</v>
      </c>
      <c r="L773" s="261">
        <v>6</v>
      </c>
      <c r="M773" s="261">
        <v>15</v>
      </c>
      <c r="N773" s="261">
        <v>6</v>
      </c>
      <c r="O773" s="261">
        <v>15</v>
      </c>
      <c r="P773" s="261">
        <v>15</v>
      </c>
      <c r="Q773" s="261">
        <v>15</v>
      </c>
      <c r="R773" s="261"/>
      <c r="S773" s="261"/>
      <c r="T773" s="261"/>
      <c r="U773" s="261"/>
      <c r="V773" s="762"/>
      <c r="W773" s="762"/>
      <c r="X773" s="762"/>
      <c r="Y773" s="264">
        <f>IF(NFI_Expiration=1,IF($A773&lt;VLOOKUP(H$5,NFI,5,0),1,0)*Table_NFI[[#This Row],[Hygiene Kit]],Table_NFI[Hygiene Kit])</f>
        <v>0</v>
      </c>
      <c r="Z773" s="264">
        <f>IF(NFI_Expiration=1,IF($A773&lt;VLOOKUP(I$5,NFI,5,0),1,0)*Table_NFI[[#This Row],[NFI Core Kit]],Table_NFI[NFI Core Kit])</f>
        <v>0</v>
      </c>
      <c r="AA773" s="264">
        <f>IF(NFI_Expiration=1,IF($A773&lt;VLOOKUP(J$5,NFI,5,0),1,0)*Table_NFI[[#This Row],[Sanitary Kit]],Table_NFI[Sanitary Kit])</f>
        <v>0</v>
      </c>
      <c r="AB773" s="264">
        <f>IF(NFI_Expiration=1,IF($A773&lt;VLOOKUP(K$5,NFI,5,0),1,0)*Table_NFI[[#This Row],[Mosquito net]],Table_NFI[Mosquito net])</f>
        <v>0</v>
      </c>
      <c r="AC773" s="264">
        <f>IF(NFI_Expiration=1,IF($A773&lt;VLOOKUP(L$5,NFI,5,0),1,0)*Table_NFI[[#This Row],[Tarpaulin]],Table_NFI[[#This Row],[Tarpaulin]])</f>
        <v>0</v>
      </c>
      <c r="AD773" s="264">
        <f>IF(NFI_Expiration=1,IF($A773&lt;VLOOKUP(M$5,NFI,5,0),1,0)*Table_NFI[[#This Row],[Blanket]],Table_NFI[[#This Row],[Blanket]])</f>
        <v>0</v>
      </c>
      <c r="AE773" s="264">
        <f>IF(NFI_Expiration=1,IF($A773&lt;VLOOKUP(N$5,NFI,5,0),1,0)*Table_NFI[[#This Row],[Kitchen Set]],Table_NFI[Kitchen Set])</f>
        <v>0</v>
      </c>
      <c r="AF773" s="264">
        <f>IF(NFI_Expiration=1,IF($A773&lt;VLOOKUP(O$5,NFI,5,0),1,0)*Table_NFI[[#This Row],[Clothes Kit]],Table_NFI[Clothes Kit])</f>
        <v>0</v>
      </c>
      <c r="AG773" s="264">
        <f>IF(NFI_Expiration=1,IF($A773&lt;VLOOKUP(P$5,NFI,5,0),1,0)*Table_NFI[[#This Row],[Plastic Bucket]],Table_NFI[Plastic Bucket])</f>
        <v>0</v>
      </c>
      <c r="AH773" s="264">
        <f>IF(NFI_Expiration=1,IF($A773&lt;VLOOKUP(Q$5,NFI,5,0),1,0)*Table_NFI[[#This Row],[Plastic Mat]],Table_NFI[Plastic Mat])*IF(Table_NFI[[#This Row],[Distribution Date]]&gt;"2014-04-01",1,2.5)</f>
        <v>0</v>
      </c>
      <c r="AI773" s="264">
        <f>IF(NFI_Expiration=1,IF($A773&lt;VLOOKUP(R$5,NFI,5,0),1,0)*Table_NFI[[#This Row],[Winter Clothes Adult]],Table_NFI[Winter Clothes Adult])</f>
        <v>0</v>
      </c>
      <c r="AJ773" s="264">
        <f>IF(NFI_Expiration=1,IF($A773&lt;VLOOKUP(S$5,NFI,5,0),1,0)*Table_NFI[[#This Row],[Winter Clothes Children]],Table_NFI[Winter Clothes Children])</f>
        <v>0</v>
      </c>
      <c r="AK773" s="264">
        <f>IF(NFI_Expiration=1,IF($A773&lt;VLOOKUP(T$5,NFI,5,0),1,0)*Table_NFI[[#This Row],[Winter Items Other]],Table_NFI[Winter Items Other])</f>
        <v>0</v>
      </c>
      <c r="AL773" s="264">
        <f>IF(NFI_Expiration=1,IF($A773&lt;VLOOKUP(M$5,NFI,5,0),1,0)*Table_NFI[[#This Row],[Winter Blanket]],Table_NFI[[#This Row],[Winter Blanket]])</f>
        <v>0</v>
      </c>
      <c r="AM773" s="264">
        <f>IF(Table_NFI[[#This Row],[Winter Clothes Adult]]+Table_NFI[[#This Row],[Winter Clothes Children]]+Table_NFI[[#This Row],[Winter Items Other]]+Table_NFI[[#This Row],[Winter Blanket]]&gt;0,1,0)</f>
        <v>0</v>
      </c>
      <c r="AN773" s="296">
        <f>IF(NFI_Expiration=1,IF($A773&lt;VLOOKUP(V$5,NFI,5,0),1,0)*Table_NFI[[#This Row],[Jerry Can]],Table_NFI[Jerry Can])</f>
        <v>0</v>
      </c>
      <c r="AO773" s="296">
        <f>IF(NFI_Expiration=1,IF($A773&lt;VLOOKUP(V$5,NFI,5,0),1,0)*Table_NFI[[#This Row],[Shelter Tool kit]],Table_NFI[Shelter Tool kit])</f>
        <v>0</v>
      </c>
      <c r="AP773" s="296">
        <f>IF(NFI_Expiration=1,IF($A773&lt;VLOOKUP(V$5,NFI,5,0),1,0)*Table_NFI[[#This Row],[Tent]],Table_NFI[Tent])</f>
        <v>0</v>
      </c>
      <c r="AQ773" s="396" t="str">
        <f>IFERROR(VLOOKUP(Table_NFI[[#This Row],[Camp Name]],CL,2,0),"")</f>
        <v>MMR001CMP086</v>
      </c>
      <c r="AR773" s="702">
        <f ca="1">IF(Table_NFI[[#This Row],[Pcode]]="","",IF(OFFSET(CampList[Opening Date],MATCH(Table_NFI[[#This Row],[Pcode]],CampList[CP_Pcode],0)-1,0,1,1)&gt;=NFI_Monitor_Date,1,0))</f>
        <v>0</v>
      </c>
      <c r="AS773" s="396" t="str">
        <f>IFERROR(VLOOKUP(Table_NFI[[#This Row],[Camp Name]],CL,3,0),"")</f>
        <v>Closed</v>
      </c>
      <c r="AT773" s="264" t="str">
        <f ca="1">IF(Table_NFI[[#This Row],[Pcode]]="","",OFFSET(CampList[Priority],MATCH(Table_NFI[[#This Row],[Pcode]],CampList[CP_Pcode],0)-1,0,1,1))</f>
        <v/>
      </c>
      <c r="AU773" s="263" t="str">
        <f>IFERROR(Table_NFI[[#This Row],[Kitchen Set]]/VLOOKUP(Table_NFI[[#This Row],[Camp Name]],CL,4,0),"")</f>
        <v/>
      </c>
      <c r="AV773" s="390" t="s">
        <v>1087</v>
      </c>
      <c r="AW773" s="392"/>
      <c r="AX773" s="399"/>
      <c r="AY773" s="399"/>
      <c r="AZ773" s="399"/>
      <c r="BA773" s="399"/>
      <c r="BB773" s="399"/>
      <c r="BC773" s="399"/>
      <c r="BD773" s="399"/>
      <c r="BE773" s="399"/>
      <c r="BF773" s="399"/>
      <c r="BG773" s="399"/>
      <c r="BH773" s="399"/>
      <c r="BI773" s="399"/>
      <c r="BJ773" s="399"/>
      <c r="BK773" s="399"/>
      <c r="BL773" s="399"/>
      <c r="BM773" s="399"/>
      <c r="BN773" s="399"/>
      <c r="BO773" s="399"/>
      <c r="BP773" s="399"/>
      <c r="BQ773" s="399"/>
      <c r="BR773" s="399"/>
      <c r="BS773" s="399"/>
      <c r="BT773" s="399"/>
      <c r="BU773" s="399"/>
      <c r="BV773" s="399"/>
      <c r="BW773" s="399"/>
      <c r="BX773" s="399"/>
      <c r="BY773" s="399"/>
      <c r="BZ773" s="399"/>
      <c r="CA773" s="399"/>
      <c r="CB773" s="399"/>
      <c r="CC773" s="399"/>
      <c r="CD773" s="399"/>
      <c r="CE773" s="399"/>
      <c r="CF773" s="399"/>
      <c r="CG773" s="399"/>
      <c r="CH773" s="399"/>
      <c r="CI773" s="399"/>
      <c r="CJ773" s="399"/>
      <c r="CK773" s="399"/>
      <c r="CL773" s="399"/>
      <c r="CM773" s="399"/>
      <c r="CN773" s="399"/>
      <c r="CO773" s="399"/>
      <c r="CP773" s="399"/>
      <c r="CQ773" s="399"/>
      <c r="CR773" s="399"/>
      <c r="CS773" s="399"/>
      <c r="CT773" s="399"/>
      <c r="CU773" s="399"/>
      <c r="CV773" s="399"/>
      <c r="CW773" s="399"/>
      <c r="CX773" s="399"/>
      <c r="CY773" s="399"/>
      <c r="CZ773" s="399"/>
      <c r="DA773" s="399"/>
      <c r="DB773" s="399"/>
      <c r="DC773" s="399"/>
      <c r="DD773" s="399"/>
      <c r="DE773" s="399"/>
      <c r="DF773" s="399"/>
      <c r="DG773" s="399"/>
      <c r="DH773" s="399"/>
      <c r="DI773" s="399"/>
      <c r="DJ773" s="399"/>
      <c r="DK773" s="399"/>
      <c r="DL773" s="399"/>
      <c r="DM773" s="399"/>
      <c r="DN773" s="399"/>
      <c r="DO773" s="399"/>
      <c r="DP773" s="399"/>
      <c r="DQ773" s="399"/>
    </row>
    <row r="774" spans="1:121" s="760" customFormat="1" ht="15" customHeight="1" x14ac:dyDescent="0.25">
      <c r="A774" s="266">
        <f t="shared" ref="A774:A837" si="12">IF(ISBLANK(B774),"",(Report_Date-B774)/30)</f>
        <v>50.1</v>
      </c>
      <c r="B774" s="389">
        <v>41353</v>
      </c>
      <c r="C774" s="390" t="s">
        <v>451</v>
      </c>
      <c r="D774" s="390" t="s">
        <v>451</v>
      </c>
      <c r="E774" s="390" t="s">
        <v>380</v>
      </c>
      <c r="F774" s="390" t="s">
        <v>526</v>
      </c>
      <c r="G774" s="262" t="s">
        <v>84</v>
      </c>
      <c r="H774" s="261"/>
      <c r="I774" s="261"/>
      <c r="J774" s="261">
        <v>18</v>
      </c>
      <c r="K774" s="261">
        <v>17</v>
      </c>
      <c r="L774" s="261">
        <v>17</v>
      </c>
      <c r="M774" s="261">
        <v>42</v>
      </c>
      <c r="N774" s="261">
        <v>17</v>
      </c>
      <c r="O774" s="261">
        <v>42</v>
      </c>
      <c r="P774" s="261">
        <v>42</v>
      </c>
      <c r="Q774" s="261">
        <v>42</v>
      </c>
      <c r="R774" s="261"/>
      <c r="S774" s="261"/>
      <c r="T774" s="261"/>
      <c r="U774" s="261"/>
      <c r="V774" s="765"/>
      <c r="W774" s="762"/>
      <c r="X774" s="762"/>
      <c r="Y774" s="264">
        <f>IF(NFI_Expiration=1,IF($A774&lt;VLOOKUP(H$5,NFI,5,0),1,0)*Table_NFI[[#This Row],[Hygiene Kit]],Table_NFI[Hygiene Kit])</f>
        <v>0</v>
      </c>
      <c r="Z774" s="264">
        <f>IF(NFI_Expiration=1,IF($A774&lt;VLOOKUP(I$5,NFI,5,0),1,0)*Table_NFI[[#This Row],[NFI Core Kit]],Table_NFI[NFI Core Kit])</f>
        <v>0</v>
      </c>
      <c r="AA774" s="264">
        <f>IF(NFI_Expiration=1,IF($A774&lt;VLOOKUP(J$5,NFI,5,0),1,0)*Table_NFI[[#This Row],[Sanitary Kit]],Table_NFI[Sanitary Kit])</f>
        <v>0</v>
      </c>
      <c r="AB774" s="264">
        <f>IF(NFI_Expiration=1,IF($A774&lt;VLOOKUP(K$5,NFI,5,0),1,0)*Table_NFI[[#This Row],[Mosquito net]],Table_NFI[Mosquito net])</f>
        <v>0</v>
      </c>
      <c r="AC774" s="264">
        <f>IF(NFI_Expiration=1,IF($A774&lt;VLOOKUP(L$5,NFI,5,0),1,0)*Table_NFI[[#This Row],[Tarpaulin]],Table_NFI[[#This Row],[Tarpaulin]])</f>
        <v>0</v>
      </c>
      <c r="AD774" s="264">
        <f>IF(NFI_Expiration=1,IF($A774&lt;VLOOKUP(M$5,NFI,5,0),1,0)*Table_NFI[[#This Row],[Blanket]],Table_NFI[[#This Row],[Blanket]])</f>
        <v>0</v>
      </c>
      <c r="AE774" s="264">
        <f>IF(NFI_Expiration=1,IF($A774&lt;VLOOKUP(N$5,NFI,5,0),1,0)*Table_NFI[[#This Row],[Kitchen Set]],Table_NFI[Kitchen Set])</f>
        <v>0</v>
      </c>
      <c r="AF774" s="264">
        <f>IF(NFI_Expiration=1,IF($A774&lt;VLOOKUP(O$5,NFI,5,0),1,0)*Table_NFI[[#This Row],[Clothes Kit]],Table_NFI[Clothes Kit])</f>
        <v>0</v>
      </c>
      <c r="AG774" s="264">
        <f>IF(NFI_Expiration=1,IF($A774&lt;VLOOKUP(P$5,NFI,5,0),1,0)*Table_NFI[[#This Row],[Plastic Bucket]],Table_NFI[Plastic Bucket])</f>
        <v>0</v>
      </c>
      <c r="AH774" s="264">
        <f>IF(NFI_Expiration=1,IF($A774&lt;VLOOKUP(Q$5,NFI,5,0),1,0)*Table_NFI[[#This Row],[Plastic Mat]],Table_NFI[Plastic Mat])*IF(Table_NFI[[#This Row],[Distribution Date]]&gt;"2014-04-01",1,2.5)</f>
        <v>0</v>
      </c>
      <c r="AI774" s="264">
        <f>IF(NFI_Expiration=1,IF($A774&lt;VLOOKUP(R$5,NFI,5,0),1,0)*Table_NFI[[#This Row],[Winter Clothes Adult]],Table_NFI[Winter Clothes Adult])</f>
        <v>0</v>
      </c>
      <c r="AJ774" s="264">
        <f>IF(NFI_Expiration=1,IF($A774&lt;VLOOKUP(S$5,NFI,5,0),1,0)*Table_NFI[[#This Row],[Winter Clothes Children]],Table_NFI[Winter Clothes Children])</f>
        <v>0</v>
      </c>
      <c r="AK774" s="264">
        <f>IF(NFI_Expiration=1,IF($A774&lt;VLOOKUP(T$5,NFI,5,0),1,0)*Table_NFI[[#This Row],[Winter Items Other]],Table_NFI[Winter Items Other])</f>
        <v>0</v>
      </c>
      <c r="AL774" s="264">
        <f>IF(NFI_Expiration=1,IF($A774&lt;VLOOKUP(M$5,NFI,5,0),1,0)*Table_NFI[[#This Row],[Winter Blanket]],Table_NFI[[#This Row],[Winter Blanket]])</f>
        <v>0</v>
      </c>
      <c r="AM774" s="264">
        <f>IF(Table_NFI[[#This Row],[Winter Clothes Adult]]+Table_NFI[[#This Row],[Winter Clothes Children]]+Table_NFI[[#This Row],[Winter Items Other]]+Table_NFI[[#This Row],[Winter Blanket]]&gt;0,1,0)</f>
        <v>0</v>
      </c>
      <c r="AN774" s="296">
        <f>IF(NFI_Expiration=1,IF($A774&lt;VLOOKUP(V$5,NFI,5,0),1,0)*Table_NFI[[#This Row],[Jerry Can]],Table_NFI[Jerry Can])</f>
        <v>0</v>
      </c>
      <c r="AO774" s="296">
        <f>IF(NFI_Expiration=1,IF($A774&lt;VLOOKUP(V$5,NFI,5,0),1,0)*Table_NFI[[#This Row],[Shelter Tool kit]],Table_NFI[Shelter Tool kit])</f>
        <v>0</v>
      </c>
      <c r="AP774" s="296">
        <f>IF(NFI_Expiration=1,IF($A774&lt;VLOOKUP(V$5,NFI,5,0),1,0)*Table_NFI[[#This Row],[Tent]],Table_NFI[Tent])</f>
        <v>0</v>
      </c>
      <c r="AQ774" s="396" t="str">
        <f>IFERROR(VLOOKUP(Table_NFI[[#This Row],[Camp Name]],CL,2,0),"")</f>
        <v>MMR001CMP085</v>
      </c>
      <c r="AR774" s="702">
        <f ca="1">IF(Table_NFI[[#This Row],[Pcode]]="","",IF(OFFSET(CampList[Opening Date],MATCH(Table_NFI[[#This Row],[Pcode]],CampList[CP_Pcode],0)-1,0,1,1)&gt;=NFI_Monitor_Date,1,0))</f>
        <v>0</v>
      </c>
      <c r="AS774" s="396" t="str">
        <f>IFERROR(VLOOKUP(Table_NFI[[#This Row],[Camp Name]],CL,3,0),"")</f>
        <v>Closed</v>
      </c>
      <c r="AT774" s="264" t="str">
        <f ca="1">IF(Table_NFI[[#This Row],[Pcode]]="","",OFFSET(CampList[Priority],MATCH(Table_NFI[[#This Row],[Pcode]],CampList[CP_Pcode],0)-1,0,1,1))</f>
        <v/>
      </c>
      <c r="AU774" s="263" t="str">
        <f>IFERROR(Table_NFI[[#This Row],[Kitchen Set]]/VLOOKUP(Table_NFI[[#This Row],[Camp Name]],CL,4,0),"")</f>
        <v/>
      </c>
      <c r="AV774" s="390" t="s">
        <v>1087</v>
      </c>
      <c r="AW774" s="392"/>
      <c r="AX774" s="399"/>
      <c r="AY774" s="399"/>
      <c r="AZ774" s="399"/>
      <c r="BA774" s="399"/>
      <c r="BB774" s="399"/>
      <c r="BC774" s="399"/>
      <c r="BD774" s="399"/>
      <c r="BE774" s="399"/>
      <c r="BF774" s="399"/>
      <c r="BG774" s="399"/>
      <c r="BH774" s="399"/>
      <c r="BI774" s="399"/>
      <c r="BJ774" s="399"/>
      <c r="BK774" s="399"/>
      <c r="BL774" s="399"/>
      <c r="BM774" s="399"/>
      <c r="BN774" s="399"/>
      <c r="BO774" s="399"/>
      <c r="BP774" s="399"/>
      <c r="BQ774" s="399"/>
      <c r="BR774" s="399"/>
      <c r="BS774" s="399"/>
      <c r="BT774" s="399"/>
      <c r="BU774" s="399"/>
      <c r="BV774" s="399"/>
      <c r="BW774" s="399"/>
      <c r="BX774" s="399"/>
      <c r="BY774" s="399"/>
      <c r="BZ774" s="399"/>
      <c r="CA774" s="399"/>
      <c r="CB774" s="399"/>
      <c r="CC774" s="399"/>
      <c r="CD774" s="399"/>
      <c r="CE774" s="399"/>
      <c r="CF774" s="399"/>
      <c r="CG774" s="399"/>
      <c r="CH774" s="399"/>
      <c r="CI774" s="399"/>
      <c r="CJ774" s="399"/>
      <c r="CK774" s="399"/>
      <c r="CL774" s="399"/>
      <c r="CM774" s="399"/>
      <c r="CN774" s="399"/>
      <c r="CO774" s="399"/>
      <c r="CP774" s="399"/>
      <c r="CQ774" s="399"/>
      <c r="CR774" s="399"/>
      <c r="CS774" s="399"/>
      <c r="CT774" s="399"/>
      <c r="CU774" s="399"/>
      <c r="CV774" s="399"/>
      <c r="CW774" s="399"/>
      <c r="CX774" s="399"/>
      <c r="CY774" s="399"/>
      <c r="CZ774" s="399"/>
      <c r="DA774" s="399"/>
      <c r="DB774" s="399"/>
      <c r="DC774" s="399"/>
      <c r="DD774" s="399"/>
      <c r="DE774" s="399"/>
      <c r="DF774" s="399"/>
      <c r="DG774" s="399"/>
      <c r="DH774" s="399"/>
      <c r="DI774" s="399"/>
      <c r="DJ774" s="399"/>
      <c r="DK774" s="399"/>
      <c r="DL774" s="399"/>
      <c r="DM774" s="399"/>
      <c r="DN774" s="399"/>
      <c r="DO774" s="399"/>
      <c r="DP774" s="399"/>
      <c r="DQ774" s="399"/>
    </row>
    <row r="775" spans="1:121" s="760" customFormat="1" ht="15" customHeight="1" x14ac:dyDescent="0.25">
      <c r="A775" s="266">
        <f t="shared" si="12"/>
        <v>50.1</v>
      </c>
      <c r="B775" s="389">
        <v>41353</v>
      </c>
      <c r="C775" s="390" t="s">
        <v>451</v>
      </c>
      <c r="D775" s="391" t="s">
        <v>451</v>
      </c>
      <c r="E775" s="390" t="s">
        <v>380</v>
      </c>
      <c r="F775" s="262" t="s">
        <v>526</v>
      </c>
      <c r="G775" s="262" t="s">
        <v>142</v>
      </c>
      <c r="H775" s="261"/>
      <c r="I775" s="261"/>
      <c r="J775" s="261">
        <v>48</v>
      </c>
      <c r="K775" s="261">
        <v>48</v>
      </c>
      <c r="L775" s="261">
        <v>48</v>
      </c>
      <c r="M775" s="261">
        <v>98</v>
      </c>
      <c r="N775" s="261">
        <v>48</v>
      </c>
      <c r="O775" s="261">
        <v>98</v>
      </c>
      <c r="P775" s="261">
        <v>98</v>
      </c>
      <c r="Q775" s="261">
        <v>98</v>
      </c>
      <c r="R775" s="261"/>
      <c r="S775" s="261"/>
      <c r="T775" s="261"/>
      <c r="U775" s="261"/>
      <c r="V775" s="762"/>
      <c r="W775" s="762"/>
      <c r="X775" s="762"/>
      <c r="Y775" s="264">
        <f>IF(NFI_Expiration=1,IF($A775&lt;VLOOKUP(H$5,NFI,5,0),1,0)*Table_NFI[[#This Row],[Hygiene Kit]],Table_NFI[Hygiene Kit])</f>
        <v>0</v>
      </c>
      <c r="Z775" s="264">
        <f>IF(NFI_Expiration=1,IF($A775&lt;VLOOKUP(I$5,NFI,5,0),1,0)*Table_NFI[[#This Row],[NFI Core Kit]],Table_NFI[NFI Core Kit])</f>
        <v>0</v>
      </c>
      <c r="AA775" s="264">
        <f>IF(NFI_Expiration=1,IF($A775&lt;VLOOKUP(J$5,NFI,5,0),1,0)*Table_NFI[[#This Row],[Sanitary Kit]],Table_NFI[Sanitary Kit])</f>
        <v>0</v>
      </c>
      <c r="AB775" s="264">
        <f>IF(NFI_Expiration=1,IF($A775&lt;VLOOKUP(K$5,NFI,5,0),1,0)*Table_NFI[[#This Row],[Mosquito net]],Table_NFI[Mosquito net])</f>
        <v>0</v>
      </c>
      <c r="AC775" s="264">
        <f>IF(NFI_Expiration=1,IF($A775&lt;VLOOKUP(L$5,NFI,5,0),1,0)*Table_NFI[[#This Row],[Tarpaulin]],Table_NFI[[#This Row],[Tarpaulin]])</f>
        <v>0</v>
      </c>
      <c r="AD775" s="264">
        <f>IF(NFI_Expiration=1,IF($A775&lt;VLOOKUP(M$5,NFI,5,0),1,0)*Table_NFI[[#This Row],[Blanket]],Table_NFI[[#This Row],[Blanket]])</f>
        <v>0</v>
      </c>
      <c r="AE775" s="264">
        <f>IF(NFI_Expiration=1,IF($A775&lt;VLOOKUP(N$5,NFI,5,0),1,0)*Table_NFI[[#This Row],[Kitchen Set]],Table_NFI[Kitchen Set])</f>
        <v>0</v>
      </c>
      <c r="AF775" s="264">
        <f>IF(NFI_Expiration=1,IF($A775&lt;VLOOKUP(O$5,NFI,5,0),1,0)*Table_NFI[[#This Row],[Clothes Kit]],Table_NFI[Clothes Kit])</f>
        <v>0</v>
      </c>
      <c r="AG775" s="264">
        <f>IF(NFI_Expiration=1,IF($A775&lt;VLOOKUP(P$5,NFI,5,0),1,0)*Table_NFI[[#This Row],[Plastic Bucket]],Table_NFI[Plastic Bucket])</f>
        <v>0</v>
      </c>
      <c r="AH775" s="264">
        <f>IF(NFI_Expiration=1,IF($A775&lt;VLOOKUP(Q$5,NFI,5,0),1,0)*Table_NFI[[#This Row],[Plastic Mat]],Table_NFI[Plastic Mat])*IF(Table_NFI[[#This Row],[Distribution Date]]&gt;"2014-04-01",1,2.5)</f>
        <v>0</v>
      </c>
      <c r="AI775" s="264">
        <f>IF(NFI_Expiration=1,IF($A775&lt;VLOOKUP(R$5,NFI,5,0),1,0)*Table_NFI[[#This Row],[Winter Clothes Adult]],Table_NFI[Winter Clothes Adult])</f>
        <v>0</v>
      </c>
      <c r="AJ775" s="264">
        <f>IF(NFI_Expiration=1,IF($A775&lt;VLOOKUP(S$5,NFI,5,0),1,0)*Table_NFI[[#This Row],[Winter Clothes Children]],Table_NFI[Winter Clothes Children])</f>
        <v>0</v>
      </c>
      <c r="AK775" s="264">
        <f>IF(NFI_Expiration=1,IF($A775&lt;VLOOKUP(T$5,NFI,5,0),1,0)*Table_NFI[[#This Row],[Winter Items Other]],Table_NFI[Winter Items Other])</f>
        <v>0</v>
      </c>
      <c r="AL775" s="264">
        <f>IF(NFI_Expiration=1,IF($A775&lt;VLOOKUP(M$5,NFI,5,0),1,0)*Table_NFI[[#This Row],[Winter Blanket]],Table_NFI[[#This Row],[Winter Blanket]])</f>
        <v>0</v>
      </c>
      <c r="AM775" s="264">
        <f>IF(Table_NFI[[#This Row],[Winter Clothes Adult]]+Table_NFI[[#This Row],[Winter Clothes Children]]+Table_NFI[[#This Row],[Winter Items Other]]+Table_NFI[[#This Row],[Winter Blanket]]&gt;0,1,0)</f>
        <v>0</v>
      </c>
      <c r="AN775" s="296">
        <f>IF(NFI_Expiration=1,IF($A775&lt;VLOOKUP(V$5,NFI,5,0),1,0)*Table_NFI[[#This Row],[Jerry Can]],Table_NFI[Jerry Can])</f>
        <v>0</v>
      </c>
      <c r="AO775" s="296">
        <f>IF(NFI_Expiration=1,IF($A775&lt;VLOOKUP(V$5,NFI,5,0),1,0)*Table_NFI[[#This Row],[Shelter Tool kit]],Table_NFI[Shelter Tool kit])</f>
        <v>0</v>
      </c>
      <c r="AP775" s="296">
        <f>IF(NFI_Expiration=1,IF($A775&lt;VLOOKUP(V$5,NFI,5,0),1,0)*Table_NFI[[#This Row],[Tent]],Table_NFI[Tent])</f>
        <v>0</v>
      </c>
      <c r="AQ775" s="396" t="str">
        <f>IFERROR(VLOOKUP(Table_NFI[[#This Row],[Camp Name]],CL,2,0),"")</f>
        <v>MMR001CMP177</v>
      </c>
      <c r="AR775" s="702">
        <f ca="1">IF(Table_NFI[[#This Row],[Pcode]]="","",IF(OFFSET(CampList[Opening Date],MATCH(Table_NFI[[#This Row],[Pcode]],CampList[CP_Pcode],0)-1,0,1,1)&gt;=NFI_Monitor_Date,1,0))</f>
        <v>0</v>
      </c>
      <c r="AS775" s="396" t="str">
        <f>IFERROR(VLOOKUP(Table_NFI[[#This Row],[Camp Name]],CL,3,0),"")</f>
        <v>Closed</v>
      </c>
      <c r="AT775" s="264" t="str">
        <f ca="1">IF(Table_NFI[[#This Row],[Pcode]]="","",OFFSET(CampList[Priority],MATCH(Table_NFI[[#This Row],[Pcode]],CampList[CP_Pcode],0)-1,0,1,1))</f>
        <v/>
      </c>
      <c r="AU775" s="263">
        <f>IFERROR(Table_NFI[[#This Row],[Kitchen Set]]/VLOOKUP(Table_NFI[[#This Row],[Camp Name]],CL,4,0),"")</f>
        <v>1.162931556632344E-3</v>
      </c>
      <c r="AV775" s="390" t="s">
        <v>1087</v>
      </c>
      <c r="AW775" s="392"/>
      <c r="AX775" s="399"/>
      <c r="AY775" s="399"/>
      <c r="AZ775" s="399"/>
      <c r="BA775" s="399"/>
      <c r="BB775" s="399"/>
      <c r="BC775" s="399"/>
      <c r="BD775" s="399"/>
      <c r="BE775" s="399"/>
      <c r="BF775" s="399"/>
      <c r="BG775" s="399"/>
      <c r="BH775" s="399"/>
      <c r="BI775" s="399"/>
      <c r="BJ775" s="399"/>
      <c r="BK775" s="399"/>
      <c r="BL775" s="399"/>
      <c r="BM775" s="399"/>
      <c r="BN775" s="399"/>
      <c r="BO775" s="399"/>
      <c r="BP775" s="399"/>
      <c r="BQ775" s="399"/>
      <c r="BR775" s="399"/>
      <c r="BS775" s="399"/>
      <c r="BT775" s="399"/>
      <c r="BU775" s="399"/>
      <c r="BV775" s="399"/>
      <c r="BW775" s="399"/>
      <c r="BX775" s="399"/>
      <c r="BY775" s="399"/>
      <c r="BZ775" s="399"/>
      <c r="CA775" s="399"/>
      <c r="CB775" s="399"/>
      <c r="CC775" s="399"/>
      <c r="CD775" s="399"/>
      <c r="CE775" s="399"/>
      <c r="CF775" s="399"/>
      <c r="CG775" s="399"/>
      <c r="CH775" s="399"/>
      <c r="CI775" s="399"/>
      <c r="CJ775" s="399"/>
      <c r="CK775" s="399"/>
      <c r="CL775" s="399"/>
      <c r="CM775" s="399"/>
      <c r="CN775" s="399"/>
      <c r="CO775" s="399"/>
      <c r="CP775" s="399"/>
      <c r="CQ775" s="399"/>
      <c r="CR775" s="399"/>
      <c r="CS775" s="399"/>
      <c r="CT775" s="399"/>
      <c r="CU775" s="399"/>
      <c r="CV775" s="399"/>
      <c r="CW775" s="399"/>
      <c r="CX775" s="399"/>
      <c r="CY775" s="399"/>
      <c r="CZ775" s="399"/>
      <c r="DA775" s="399"/>
      <c r="DB775" s="399"/>
      <c r="DC775" s="399"/>
      <c r="DD775" s="399"/>
      <c r="DE775" s="399"/>
      <c r="DF775" s="399"/>
      <c r="DG775" s="399"/>
      <c r="DH775" s="399"/>
      <c r="DI775" s="399"/>
      <c r="DJ775" s="399"/>
      <c r="DK775" s="399"/>
      <c r="DL775" s="399"/>
      <c r="DM775" s="399"/>
      <c r="DN775" s="399"/>
      <c r="DO775" s="399"/>
      <c r="DP775" s="399"/>
      <c r="DQ775" s="399"/>
    </row>
    <row r="776" spans="1:121" s="760" customFormat="1" ht="15" customHeight="1" x14ac:dyDescent="0.25">
      <c r="A776" s="266">
        <f t="shared" si="12"/>
        <v>50.1</v>
      </c>
      <c r="B776" s="389">
        <v>41353</v>
      </c>
      <c r="C776" s="390" t="s">
        <v>451</v>
      </c>
      <c r="D776" s="391" t="s">
        <v>451</v>
      </c>
      <c r="E776" s="390" t="s">
        <v>380</v>
      </c>
      <c r="F776" s="262" t="s">
        <v>526</v>
      </c>
      <c r="G776" s="262" t="s">
        <v>74</v>
      </c>
      <c r="H776" s="261"/>
      <c r="I776" s="261"/>
      <c r="J776" s="261">
        <v>34</v>
      </c>
      <c r="K776" s="261">
        <v>26</v>
      </c>
      <c r="L776" s="261">
        <v>26</v>
      </c>
      <c r="M776" s="261">
        <v>60</v>
      </c>
      <c r="N776" s="261">
        <v>26</v>
      </c>
      <c r="O776" s="261">
        <v>60</v>
      </c>
      <c r="P776" s="261">
        <v>60</v>
      </c>
      <c r="Q776" s="261">
        <v>60</v>
      </c>
      <c r="R776" s="261"/>
      <c r="S776" s="261"/>
      <c r="T776" s="261"/>
      <c r="U776" s="261"/>
      <c r="V776" s="762"/>
      <c r="W776" s="762"/>
      <c r="X776" s="762"/>
      <c r="Y776" s="264">
        <f>IF(NFI_Expiration=1,IF($A776&lt;VLOOKUP(H$5,NFI,5,0),1,0)*Table_NFI[[#This Row],[Hygiene Kit]],Table_NFI[Hygiene Kit])</f>
        <v>0</v>
      </c>
      <c r="Z776" s="264">
        <f>IF(NFI_Expiration=1,IF($A776&lt;VLOOKUP(I$5,NFI,5,0),1,0)*Table_NFI[[#This Row],[NFI Core Kit]],Table_NFI[NFI Core Kit])</f>
        <v>0</v>
      </c>
      <c r="AA776" s="264">
        <f>IF(NFI_Expiration=1,IF($A776&lt;VLOOKUP(J$5,NFI,5,0),1,0)*Table_NFI[[#This Row],[Sanitary Kit]],Table_NFI[Sanitary Kit])</f>
        <v>0</v>
      </c>
      <c r="AB776" s="264">
        <f>IF(NFI_Expiration=1,IF($A776&lt;VLOOKUP(K$5,NFI,5,0),1,0)*Table_NFI[[#This Row],[Mosquito net]],Table_NFI[Mosquito net])</f>
        <v>0</v>
      </c>
      <c r="AC776" s="264">
        <f>IF(NFI_Expiration=1,IF($A776&lt;VLOOKUP(L$5,NFI,5,0),1,0)*Table_NFI[[#This Row],[Tarpaulin]],Table_NFI[[#This Row],[Tarpaulin]])</f>
        <v>0</v>
      </c>
      <c r="AD776" s="264">
        <f>IF(NFI_Expiration=1,IF($A776&lt;VLOOKUP(M$5,NFI,5,0),1,0)*Table_NFI[[#This Row],[Blanket]],Table_NFI[[#This Row],[Blanket]])</f>
        <v>0</v>
      </c>
      <c r="AE776" s="264">
        <f>IF(NFI_Expiration=1,IF($A776&lt;VLOOKUP(N$5,NFI,5,0),1,0)*Table_NFI[[#This Row],[Kitchen Set]],Table_NFI[Kitchen Set])</f>
        <v>0</v>
      </c>
      <c r="AF776" s="264">
        <f>IF(NFI_Expiration=1,IF($A776&lt;VLOOKUP(O$5,NFI,5,0),1,0)*Table_NFI[[#This Row],[Clothes Kit]],Table_NFI[Clothes Kit])</f>
        <v>0</v>
      </c>
      <c r="AG776" s="264">
        <f>IF(NFI_Expiration=1,IF($A776&lt;VLOOKUP(P$5,NFI,5,0),1,0)*Table_NFI[[#This Row],[Plastic Bucket]],Table_NFI[Plastic Bucket])</f>
        <v>0</v>
      </c>
      <c r="AH776" s="264">
        <f>IF(NFI_Expiration=1,IF($A776&lt;VLOOKUP(Q$5,NFI,5,0),1,0)*Table_NFI[[#This Row],[Plastic Mat]],Table_NFI[Plastic Mat])*IF(Table_NFI[[#This Row],[Distribution Date]]&gt;"2014-04-01",1,2.5)</f>
        <v>0</v>
      </c>
      <c r="AI776" s="264">
        <f>IF(NFI_Expiration=1,IF($A776&lt;VLOOKUP(R$5,NFI,5,0),1,0)*Table_NFI[[#This Row],[Winter Clothes Adult]],Table_NFI[Winter Clothes Adult])</f>
        <v>0</v>
      </c>
      <c r="AJ776" s="264">
        <f>IF(NFI_Expiration=1,IF($A776&lt;VLOOKUP(S$5,NFI,5,0),1,0)*Table_NFI[[#This Row],[Winter Clothes Children]],Table_NFI[Winter Clothes Children])</f>
        <v>0</v>
      </c>
      <c r="AK776" s="264">
        <f>IF(NFI_Expiration=1,IF($A776&lt;VLOOKUP(T$5,NFI,5,0),1,0)*Table_NFI[[#This Row],[Winter Items Other]],Table_NFI[Winter Items Other])</f>
        <v>0</v>
      </c>
      <c r="AL776" s="264">
        <f>IF(NFI_Expiration=1,IF($A776&lt;VLOOKUP(M$5,NFI,5,0),1,0)*Table_NFI[[#This Row],[Winter Blanket]],Table_NFI[[#This Row],[Winter Blanket]])</f>
        <v>0</v>
      </c>
      <c r="AM776" s="264">
        <f>IF(Table_NFI[[#This Row],[Winter Clothes Adult]]+Table_NFI[[#This Row],[Winter Clothes Children]]+Table_NFI[[#This Row],[Winter Items Other]]+Table_NFI[[#This Row],[Winter Blanket]]&gt;0,1,0)</f>
        <v>0</v>
      </c>
      <c r="AN776" s="296">
        <f>IF(NFI_Expiration=1,IF($A776&lt;VLOOKUP(V$5,NFI,5,0),1,0)*Table_NFI[[#This Row],[Jerry Can]],Table_NFI[Jerry Can])</f>
        <v>0</v>
      </c>
      <c r="AO776" s="296">
        <f>IF(NFI_Expiration=1,IF($A776&lt;VLOOKUP(V$5,NFI,5,0),1,0)*Table_NFI[[#This Row],[Shelter Tool kit]],Table_NFI[Shelter Tool kit])</f>
        <v>0</v>
      </c>
      <c r="AP776" s="296">
        <f>IF(NFI_Expiration=1,IF($A776&lt;VLOOKUP(V$5,NFI,5,0),1,0)*Table_NFI[[#This Row],[Tent]],Table_NFI[Tent])</f>
        <v>0</v>
      </c>
      <c r="AQ776" s="396" t="str">
        <f>IFERROR(VLOOKUP(Table_NFI[[#This Row],[Camp Name]],CL,2,0),"")</f>
        <v>MMR001CMP175</v>
      </c>
      <c r="AR776" s="702">
        <f ca="1">IF(Table_NFI[[#This Row],[Pcode]]="","",IF(OFFSET(CampList[Opening Date],MATCH(Table_NFI[[#This Row],[Pcode]],CampList[CP_Pcode],0)-1,0,1,1)&gt;=NFI_Monitor_Date,1,0))</f>
        <v>0</v>
      </c>
      <c r="AS776" s="396" t="str">
        <f>IFERROR(VLOOKUP(Table_NFI[[#This Row],[Camp Name]],CL,3,0),"")</f>
        <v>Closed</v>
      </c>
      <c r="AT776" s="264" t="str">
        <f ca="1">IF(Table_NFI[[#This Row],[Pcode]]="","",OFFSET(CampList[Priority],MATCH(Table_NFI[[#This Row],[Pcode]],CampList[CP_Pcode],0)-1,0,1,1))</f>
        <v/>
      </c>
      <c r="AU776" s="263" t="str">
        <f>IFERROR(Table_NFI[[#This Row],[Kitchen Set]]/VLOOKUP(Table_NFI[[#This Row],[Camp Name]],CL,4,0),"")</f>
        <v/>
      </c>
      <c r="AV776" s="390" t="s">
        <v>1087</v>
      </c>
      <c r="AW776" s="392"/>
      <c r="AX776" s="399"/>
      <c r="AY776" s="399"/>
      <c r="AZ776" s="399"/>
      <c r="BA776" s="399"/>
      <c r="BB776" s="399"/>
      <c r="BC776" s="399"/>
      <c r="BD776" s="399"/>
      <c r="BE776" s="399"/>
      <c r="BF776" s="399"/>
      <c r="BG776" s="399"/>
      <c r="BH776" s="399"/>
      <c r="BI776" s="399"/>
      <c r="BJ776" s="399"/>
      <c r="BK776" s="399"/>
      <c r="BL776" s="399"/>
      <c r="BM776" s="399"/>
      <c r="BN776" s="399"/>
      <c r="BO776" s="399"/>
      <c r="BP776" s="399"/>
      <c r="BQ776" s="399"/>
      <c r="BR776" s="399"/>
      <c r="BS776" s="399"/>
      <c r="BT776" s="399"/>
      <c r="BU776" s="399"/>
      <c r="BV776" s="399"/>
      <c r="BW776" s="399"/>
      <c r="BX776" s="399"/>
      <c r="BY776" s="399"/>
      <c r="BZ776" s="399"/>
      <c r="CA776" s="399"/>
      <c r="CB776" s="399"/>
      <c r="CC776" s="399"/>
      <c r="CD776" s="399"/>
      <c r="CE776" s="399"/>
      <c r="CF776" s="399"/>
      <c r="CG776" s="399"/>
      <c r="CH776" s="399"/>
      <c r="CI776" s="399"/>
      <c r="CJ776" s="399"/>
      <c r="CK776" s="399"/>
      <c r="CL776" s="399"/>
      <c r="CM776" s="399"/>
      <c r="CN776" s="399"/>
      <c r="CO776" s="399"/>
      <c r="CP776" s="399"/>
      <c r="CQ776" s="399"/>
      <c r="CR776" s="399"/>
      <c r="CS776" s="399"/>
      <c r="CT776" s="399"/>
      <c r="CU776" s="399"/>
      <c r="CV776" s="399"/>
      <c r="CW776" s="399"/>
      <c r="CX776" s="399"/>
      <c r="CY776" s="399"/>
      <c r="CZ776" s="399"/>
      <c r="DA776" s="399"/>
      <c r="DB776" s="399"/>
      <c r="DC776" s="399"/>
      <c r="DD776" s="399"/>
      <c r="DE776" s="399"/>
      <c r="DF776" s="399"/>
      <c r="DG776" s="399"/>
      <c r="DH776" s="399"/>
      <c r="DI776" s="399"/>
      <c r="DJ776" s="399"/>
      <c r="DK776" s="399"/>
      <c r="DL776" s="399"/>
      <c r="DM776" s="399"/>
      <c r="DN776" s="399"/>
      <c r="DO776" s="399"/>
      <c r="DP776" s="399"/>
      <c r="DQ776" s="399"/>
    </row>
    <row r="777" spans="1:121" s="760" customFormat="1" ht="15" customHeight="1" x14ac:dyDescent="0.25">
      <c r="A777" s="266">
        <f t="shared" si="12"/>
        <v>50.1</v>
      </c>
      <c r="B777" s="389">
        <v>41353</v>
      </c>
      <c r="C777" s="390" t="s">
        <v>451</v>
      </c>
      <c r="D777" s="390" t="s">
        <v>451</v>
      </c>
      <c r="E777" s="390" t="s">
        <v>380</v>
      </c>
      <c r="F777" s="262" t="s">
        <v>526</v>
      </c>
      <c r="G777" s="262" t="s">
        <v>513</v>
      </c>
      <c r="H777" s="261"/>
      <c r="I777" s="261"/>
      <c r="J777" s="261">
        <v>6</v>
      </c>
      <c r="K777" s="261">
        <v>0</v>
      </c>
      <c r="L777" s="261">
        <v>0</v>
      </c>
      <c r="M777" s="261">
        <v>11</v>
      </c>
      <c r="N777" s="261">
        <v>0</v>
      </c>
      <c r="O777" s="261">
        <v>0</v>
      </c>
      <c r="P777" s="261"/>
      <c r="Q777" s="261"/>
      <c r="R777" s="261"/>
      <c r="S777" s="261"/>
      <c r="T777" s="261"/>
      <c r="U777" s="261"/>
      <c r="V777" s="762"/>
      <c r="W777" s="762"/>
      <c r="X777" s="762"/>
      <c r="Y777" s="264">
        <f>IF(NFI_Expiration=1,IF($A777&lt;VLOOKUP(H$5,NFI,5,0),1,0)*Table_NFI[[#This Row],[Hygiene Kit]],Table_NFI[Hygiene Kit])</f>
        <v>0</v>
      </c>
      <c r="Z777" s="264">
        <f>IF(NFI_Expiration=1,IF($A777&lt;VLOOKUP(I$5,NFI,5,0),1,0)*Table_NFI[[#This Row],[NFI Core Kit]],Table_NFI[NFI Core Kit])</f>
        <v>0</v>
      </c>
      <c r="AA777" s="264">
        <f>IF(NFI_Expiration=1,IF($A777&lt;VLOOKUP(J$5,NFI,5,0),1,0)*Table_NFI[[#This Row],[Sanitary Kit]],Table_NFI[Sanitary Kit])</f>
        <v>0</v>
      </c>
      <c r="AB777" s="264">
        <f>IF(NFI_Expiration=1,IF($A777&lt;VLOOKUP(K$5,NFI,5,0),1,0)*Table_NFI[[#This Row],[Mosquito net]],Table_NFI[Mosquito net])</f>
        <v>0</v>
      </c>
      <c r="AC777" s="264">
        <f>IF(NFI_Expiration=1,IF($A777&lt;VLOOKUP(L$5,NFI,5,0),1,0)*Table_NFI[[#This Row],[Tarpaulin]],Table_NFI[[#This Row],[Tarpaulin]])</f>
        <v>0</v>
      </c>
      <c r="AD777" s="264">
        <f>IF(NFI_Expiration=1,IF($A777&lt;VLOOKUP(M$5,NFI,5,0),1,0)*Table_NFI[[#This Row],[Blanket]],Table_NFI[[#This Row],[Blanket]])</f>
        <v>0</v>
      </c>
      <c r="AE777" s="264">
        <f>IF(NFI_Expiration=1,IF($A777&lt;VLOOKUP(N$5,NFI,5,0),1,0)*Table_NFI[[#This Row],[Kitchen Set]],Table_NFI[Kitchen Set])</f>
        <v>0</v>
      </c>
      <c r="AF777" s="264">
        <f>IF(NFI_Expiration=1,IF($A777&lt;VLOOKUP(O$5,NFI,5,0),1,0)*Table_NFI[[#This Row],[Clothes Kit]],Table_NFI[Clothes Kit])</f>
        <v>0</v>
      </c>
      <c r="AG777" s="264">
        <f>IF(NFI_Expiration=1,IF($A777&lt;VLOOKUP(P$5,NFI,5,0),1,0)*Table_NFI[[#This Row],[Plastic Bucket]],Table_NFI[Plastic Bucket])</f>
        <v>0</v>
      </c>
      <c r="AH777" s="264">
        <f>IF(NFI_Expiration=1,IF($A777&lt;VLOOKUP(Q$5,NFI,5,0),1,0)*Table_NFI[[#This Row],[Plastic Mat]],Table_NFI[Plastic Mat])*IF(Table_NFI[[#This Row],[Distribution Date]]&gt;"2014-04-01",1,2.5)</f>
        <v>0</v>
      </c>
      <c r="AI777" s="264">
        <f>IF(NFI_Expiration=1,IF($A777&lt;VLOOKUP(R$5,NFI,5,0),1,0)*Table_NFI[[#This Row],[Winter Clothes Adult]],Table_NFI[Winter Clothes Adult])</f>
        <v>0</v>
      </c>
      <c r="AJ777" s="264">
        <f>IF(NFI_Expiration=1,IF($A777&lt;VLOOKUP(S$5,NFI,5,0),1,0)*Table_NFI[[#This Row],[Winter Clothes Children]],Table_NFI[Winter Clothes Children])</f>
        <v>0</v>
      </c>
      <c r="AK777" s="264">
        <f>IF(NFI_Expiration=1,IF($A777&lt;VLOOKUP(T$5,NFI,5,0),1,0)*Table_NFI[[#This Row],[Winter Items Other]],Table_NFI[Winter Items Other])</f>
        <v>0</v>
      </c>
      <c r="AL777" s="264">
        <f>IF(NFI_Expiration=1,IF($A777&lt;VLOOKUP(M$5,NFI,5,0),1,0)*Table_NFI[[#This Row],[Winter Blanket]],Table_NFI[[#This Row],[Winter Blanket]])</f>
        <v>0</v>
      </c>
      <c r="AM777" s="264">
        <f>IF(Table_NFI[[#This Row],[Winter Clothes Adult]]+Table_NFI[[#This Row],[Winter Clothes Children]]+Table_NFI[[#This Row],[Winter Items Other]]+Table_NFI[[#This Row],[Winter Blanket]]&gt;0,1,0)</f>
        <v>0</v>
      </c>
      <c r="AN777" s="296">
        <f>IF(NFI_Expiration=1,IF($A777&lt;VLOOKUP(V$5,NFI,5,0),1,0)*Table_NFI[[#This Row],[Jerry Can]],Table_NFI[Jerry Can])</f>
        <v>0</v>
      </c>
      <c r="AO777" s="296">
        <f>IF(NFI_Expiration=1,IF($A777&lt;VLOOKUP(V$5,NFI,5,0),1,0)*Table_NFI[[#This Row],[Shelter Tool kit]],Table_NFI[Shelter Tool kit])</f>
        <v>0</v>
      </c>
      <c r="AP777" s="296">
        <f>IF(NFI_Expiration=1,IF($A777&lt;VLOOKUP(V$5,NFI,5,0),1,0)*Table_NFI[[#This Row],[Tent]],Table_NFI[Tent])</f>
        <v>0</v>
      </c>
      <c r="AQ777" s="396" t="str">
        <f>IFERROR(VLOOKUP(Table_NFI[[#This Row],[Camp Name]],CL,2,0),"")</f>
        <v>MMR001CMP201</v>
      </c>
      <c r="AR777" s="702">
        <f ca="1">IF(Table_NFI[[#This Row],[Pcode]]="","",IF(OFFSET(CampList[Opening Date],MATCH(Table_NFI[[#This Row],[Pcode]],CampList[CP_Pcode],0)-1,0,1,1)&gt;=NFI_Monitor_Date,1,0))</f>
        <v>0</v>
      </c>
      <c r="AS777" s="396" t="str">
        <f>IFERROR(VLOOKUP(Table_NFI[[#This Row],[Camp Name]],CL,3,0),"")</f>
        <v>Closed</v>
      </c>
      <c r="AT777" s="264" t="str">
        <f ca="1">IF(Table_NFI[[#This Row],[Pcode]]="","",OFFSET(CampList[Priority],MATCH(Table_NFI[[#This Row],[Pcode]],CampList[CP_Pcode],0)-1,0,1,1))</f>
        <v/>
      </c>
      <c r="AU777" s="263" t="str">
        <f>IFERROR(Table_NFI[[#This Row],[Kitchen Set]]/VLOOKUP(Table_NFI[[#This Row],[Camp Name]],CL,4,0),"")</f>
        <v/>
      </c>
      <c r="AV777" s="390" t="s">
        <v>1087</v>
      </c>
      <c r="AW777" s="392"/>
      <c r="AX777" s="399"/>
      <c r="AY777" s="399"/>
      <c r="AZ777" s="399"/>
      <c r="BA777" s="399"/>
      <c r="BB777" s="399"/>
      <c r="BC777" s="399"/>
      <c r="BD777" s="399"/>
      <c r="BE777" s="399"/>
      <c r="BF777" s="399"/>
      <c r="BG777" s="399"/>
      <c r="BH777" s="399"/>
      <c r="BI777" s="399"/>
      <c r="BJ777" s="399"/>
      <c r="BK777" s="399"/>
      <c r="BL777" s="399"/>
      <c r="BM777" s="399"/>
      <c r="BN777" s="399"/>
      <c r="BO777" s="399"/>
      <c r="BP777" s="399"/>
      <c r="BQ777" s="399"/>
      <c r="BR777" s="399"/>
      <c r="BS777" s="399"/>
      <c r="BT777" s="399"/>
      <c r="BU777" s="399"/>
      <c r="BV777" s="399"/>
      <c r="BW777" s="399"/>
      <c r="BX777" s="399"/>
      <c r="BY777" s="399"/>
      <c r="BZ777" s="399"/>
      <c r="CA777" s="399"/>
      <c r="CB777" s="399"/>
      <c r="CC777" s="399"/>
      <c r="CD777" s="399"/>
      <c r="CE777" s="399"/>
      <c r="CF777" s="399"/>
      <c r="CG777" s="399"/>
      <c r="CH777" s="399"/>
      <c r="CI777" s="399"/>
      <c r="CJ777" s="399"/>
      <c r="CK777" s="399"/>
      <c r="CL777" s="399"/>
      <c r="CM777" s="399"/>
      <c r="CN777" s="399"/>
      <c r="CO777" s="399"/>
      <c r="CP777" s="399"/>
      <c r="CQ777" s="399"/>
      <c r="CR777" s="399"/>
      <c r="CS777" s="399"/>
      <c r="CT777" s="399"/>
      <c r="CU777" s="399"/>
      <c r="CV777" s="399"/>
      <c r="CW777" s="399"/>
      <c r="CX777" s="399"/>
      <c r="CY777" s="399"/>
      <c r="CZ777" s="399"/>
      <c r="DA777" s="399"/>
      <c r="DB777" s="399"/>
      <c r="DC777" s="399"/>
      <c r="DD777" s="399"/>
      <c r="DE777" s="399"/>
      <c r="DF777" s="399"/>
      <c r="DG777" s="399"/>
      <c r="DH777" s="399"/>
      <c r="DI777" s="399"/>
      <c r="DJ777" s="399"/>
      <c r="DK777" s="399"/>
      <c r="DL777" s="399"/>
      <c r="DM777" s="399"/>
      <c r="DN777" s="399"/>
      <c r="DO777" s="399"/>
      <c r="DP777" s="399"/>
      <c r="DQ777" s="399"/>
    </row>
    <row r="778" spans="1:121" s="760" customFormat="1" ht="15" customHeight="1" x14ac:dyDescent="0.25">
      <c r="A778" s="266">
        <f t="shared" si="12"/>
        <v>50.56666666666667</v>
      </c>
      <c r="B778" s="389">
        <v>41339</v>
      </c>
      <c r="C778" s="390" t="s">
        <v>451</v>
      </c>
      <c r="D778" s="390" t="s">
        <v>451</v>
      </c>
      <c r="E778" s="390" t="s">
        <v>380</v>
      </c>
      <c r="F778" s="390" t="s">
        <v>310</v>
      </c>
      <c r="G778" s="262" t="s">
        <v>324</v>
      </c>
      <c r="H778" s="261"/>
      <c r="I778" s="261"/>
      <c r="J778" s="261">
        <v>34</v>
      </c>
      <c r="K778" s="261">
        <v>73</v>
      </c>
      <c r="L778" s="261">
        <v>38</v>
      </c>
      <c r="M778" s="261">
        <v>73</v>
      </c>
      <c r="N778" s="261">
        <v>38</v>
      </c>
      <c r="O778" s="261">
        <v>33</v>
      </c>
      <c r="P778" s="261">
        <v>33</v>
      </c>
      <c r="Q778" s="261">
        <v>33</v>
      </c>
      <c r="R778" s="261"/>
      <c r="S778" s="261"/>
      <c r="T778" s="261"/>
      <c r="U778" s="261"/>
      <c r="V778" s="762"/>
      <c r="W778" s="261"/>
      <c r="X778" s="261"/>
      <c r="Y778" s="264">
        <f>IF(NFI_Expiration=1,IF($A778&lt;VLOOKUP(H$5,NFI,5,0),1,0)*Table_NFI[[#This Row],[Hygiene Kit]],Table_NFI[Hygiene Kit])</f>
        <v>0</v>
      </c>
      <c r="Z778" s="264">
        <f>IF(NFI_Expiration=1,IF($A778&lt;VLOOKUP(I$5,NFI,5,0),1,0)*Table_NFI[[#This Row],[NFI Core Kit]],Table_NFI[NFI Core Kit])</f>
        <v>0</v>
      </c>
      <c r="AA778" s="264">
        <f>IF(NFI_Expiration=1,IF($A778&lt;VLOOKUP(J$5,NFI,5,0),1,0)*Table_NFI[[#This Row],[Sanitary Kit]],Table_NFI[Sanitary Kit])</f>
        <v>0</v>
      </c>
      <c r="AB778" s="264">
        <f>IF(NFI_Expiration=1,IF($A778&lt;VLOOKUP(K$5,NFI,5,0),1,0)*Table_NFI[[#This Row],[Mosquito net]],Table_NFI[Mosquito net])</f>
        <v>0</v>
      </c>
      <c r="AC778" s="264">
        <f>IF(NFI_Expiration=1,IF($A778&lt;VLOOKUP(L$5,NFI,5,0),1,0)*Table_NFI[[#This Row],[Tarpaulin]],Table_NFI[[#This Row],[Tarpaulin]])</f>
        <v>0</v>
      </c>
      <c r="AD778" s="264">
        <f>IF(NFI_Expiration=1,IF($A778&lt;VLOOKUP(M$5,NFI,5,0),1,0)*Table_NFI[[#This Row],[Blanket]],Table_NFI[[#This Row],[Blanket]])</f>
        <v>0</v>
      </c>
      <c r="AE778" s="264">
        <f>IF(NFI_Expiration=1,IF($A778&lt;VLOOKUP(N$5,NFI,5,0),1,0)*Table_NFI[[#This Row],[Kitchen Set]],Table_NFI[Kitchen Set])</f>
        <v>0</v>
      </c>
      <c r="AF778" s="264">
        <f>IF(NFI_Expiration=1,IF($A778&lt;VLOOKUP(O$5,NFI,5,0),1,0)*Table_NFI[[#This Row],[Clothes Kit]],Table_NFI[Clothes Kit])</f>
        <v>0</v>
      </c>
      <c r="AG778" s="264">
        <f>IF(NFI_Expiration=1,IF($A778&lt;VLOOKUP(P$5,NFI,5,0),1,0)*Table_NFI[[#This Row],[Plastic Bucket]],Table_NFI[Plastic Bucket])</f>
        <v>0</v>
      </c>
      <c r="AH778" s="264">
        <f>IF(NFI_Expiration=1,IF($A778&lt;VLOOKUP(Q$5,NFI,5,0),1,0)*Table_NFI[[#This Row],[Plastic Mat]],Table_NFI[Plastic Mat])*IF(Table_NFI[[#This Row],[Distribution Date]]&gt;"2014-04-01",1,2.5)</f>
        <v>0</v>
      </c>
      <c r="AI778" s="264">
        <f>IF(NFI_Expiration=1,IF($A778&lt;VLOOKUP(R$5,NFI,5,0),1,0)*Table_NFI[[#This Row],[Winter Clothes Adult]],Table_NFI[Winter Clothes Adult])</f>
        <v>0</v>
      </c>
      <c r="AJ778" s="264">
        <f>IF(NFI_Expiration=1,IF($A778&lt;VLOOKUP(S$5,NFI,5,0),1,0)*Table_NFI[[#This Row],[Winter Clothes Children]],Table_NFI[Winter Clothes Children])</f>
        <v>0</v>
      </c>
      <c r="AK778" s="264">
        <f>IF(NFI_Expiration=1,IF($A778&lt;VLOOKUP(T$5,NFI,5,0),1,0)*Table_NFI[[#This Row],[Winter Items Other]],Table_NFI[Winter Items Other])</f>
        <v>0</v>
      </c>
      <c r="AL778" s="264">
        <f>IF(NFI_Expiration=1,IF($A778&lt;VLOOKUP(M$5,NFI,5,0),1,0)*Table_NFI[[#This Row],[Winter Blanket]],Table_NFI[[#This Row],[Winter Blanket]])</f>
        <v>0</v>
      </c>
      <c r="AM778" s="264">
        <f>IF(Table_NFI[[#This Row],[Winter Clothes Adult]]+Table_NFI[[#This Row],[Winter Clothes Children]]+Table_NFI[[#This Row],[Winter Items Other]]+Table_NFI[[#This Row],[Winter Blanket]]&gt;0,1,0)</f>
        <v>0</v>
      </c>
      <c r="AN778" s="296">
        <f>IF(NFI_Expiration=1,IF($A778&lt;VLOOKUP(V$5,NFI,5,0),1,0)*Table_NFI[[#This Row],[Jerry Can]],Table_NFI[Jerry Can])</f>
        <v>0</v>
      </c>
      <c r="AO778" s="296">
        <f>IF(NFI_Expiration=1,IF($A778&lt;VLOOKUP(V$5,NFI,5,0),1,0)*Table_NFI[[#This Row],[Shelter Tool kit]],Table_NFI[Shelter Tool kit])</f>
        <v>0</v>
      </c>
      <c r="AP778" s="296">
        <f>IF(NFI_Expiration=1,IF($A778&lt;VLOOKUP(V$5,NFI,5,0),1,0)*Table_NFI[[#This Row],[Tent]],Table_NFI[Tent])</f>
        <v>0</v>
      </c>
      <c r="AQ778" s="396" t="str">
        <f>IFERROR(VLOOKUP(Table_NFI[[#This Row],[Camp Name]],CL,2,0),"")</f>
        <v>MMR001CMP040</v>
      </c>
      <c r="AR778" s="702">
        <f ca="1">IF(Table_NFI[[#This Row],[Pcode]]="","",IF(OFFSET(CampList[Opening Date],MATCH(Table_NFI[[#This Row],[Pcode]],CampList[CP_Pcode],0)-1,0,1,1)&gt;=NFI_Monitor_Date,1,0))</f>
        <v>0</v>
      </c>
      <c r="AS778" s="396" t="str">
        <f>IFERROR(VLOOKUP(Table_NFI[[#This Row],[Camp Name]],CL,3,0),"")</f>
        <v>Open</v>
      </c>
      <c r="AT778" s="264" t="str">
        <f ca="1">IF(Table_NFI[[#This Row],[Pcode]]="","",OFFSET(CampList[Priority],MATCH(Table_NFI[[#This Row],[Pcode]],CampList[CP_Pcode],0)-1,0,1,1))</f>
        <v>P4</v>
      </c>
      <c r="AU778" s="263">
        <f>IFERROR(Table_NFI[[#This Row],[Kitchen Set]]/VLOOKUP(Table_NFI[[#This Row],[Camp Name]],CL,4,0),"")</f>
        <v>9.2545237573366456E-4</v>
      </c>
      <c r="AV778" s="390" t="s">
        <v>1087</v>
      </c>
      <c r="AW778" s="392"/>
      <c r="AX778" s="399"/>
      <c r="AY778" s="399"/>
      <c r="AZ778" s="399"/>
      <c r="BA778" s="399"/>
      <c r="BB778" s="399"/>
      <c r="BC778" s="399"/>
      <c r="BD778" s="399"/>
      <c r="BE778" s="399"/>
      <c r="BF778" s="399"/>
      <c r="BG778" s="399"/>
      <c r="BH778" s="399"/>
      <c r="BI778" s="399"/>
      <c r="BJ778" s="399"/>
      <c r="BK778" s="399"/>
      <c r="BL778" s="399"/>
      <c r="BM778" s="399"/>
      <c r="BN778" s="399"/>
      <c r="BO778" s="399"/>
      <c r="BP778" s="399"/>
      <c r="BQ778" s="399"/>
      <c r="BR778" s="399"/>
      <c r="BS778" s="399"/>
      <c r="BT778" s="399"/>
      <c r="BU778" s="399"/>
      <c r="BV778" s="399"/>
      <c r="BW778" s="399"/>
      <c r="BX778" s="399"/>
      <c r="BY778" s="399"/>
      <c r="BZ778" s="399"/>
      <c r="CA778" s="399"/>
      <c r="CB778" s="399"/>
      <c r="CC778" s="399"/>
      <c r="CD778" s="399"/>
      <c r="CE778" s="399"/>
      <c r="CF778" s="399"/>
      <c r="CG778" s="399"/>
      <c r="CH778" s="399"/>
      <c r="CI778" s="399"/>
      <c r="CJ778" s="399"/>
      <c r="CK778" s="399"/>
      <c r="CL778" s="399"/>
      <c r="CM778" s="399"/>
      <c r="CN778" s="399"/>
      <c r="CO778" s="399"/>
      <c r="CP778" s="399"/>
      <c r="CQ778" s="399"/>
      <c r="CR778" s="399"/>
      <c r="CS778" s="399"/>
      <c r="CT778" s="399"/>
      <c r="CU778" s="399"/>
      <c r="CV778" s="399"/>
      <c r="CW778" s="399"/>
      <c r="CX778" s="399"/>
      <c r="CY778" s="399"/>
      <c r="CZ778" s="399"/>
      <c r="DA778" s="399"/>
      <c r="DB778" s="399"/>
      <c r="DC778" s="399"/>
      <c r="DD778" s="399"/>
      <c r="DE778" s="399"/>
      <c r="DF778" s="399"/>
      <c r="DG778" s="399"/>
      <c r="DH778" s="399"/>
      <c r="DI778" s="399"/>
      <c r="DJ778" s="399"/>
      <c r="DK778" s="399"/>
      <c r="DL778" s="399"/>
      <c r="DM778" s="399"/>
      <c r="DN778" s="399"/>
      <c r="DO778" s="399"/>
      <c r="DP778" s="399"/>
      <c r="DQ778" s="399"/>
    </row>
    <row r="779" spans="1:121" s="760" customFormat="1" ht="14.45" customHeight="1" x14ac:dyDescent="0.25">
      <c r="A779" s="266">
        <f t="shared" si="12"/>
        <v>50.56666666666667</v>
      </c>
      <c r="B779" s="389">
        <v>41339</v>
      </c>
      <c r="C779" s="390" t="s">
        <v>451</v>
      </c>
      <c r="D779" s="391" t="s">
        <v>451</v>
      </c>
      <c r="E779" s="390" t="s">
        <v>380</v>
      </c>
      <c r="F779" s="262" t="s">
        <v>310</v>
      </c>
      <c r="G779" s="262" t="s">
        <v>318</v>
      </c>
      <c r="H779" s="261"/>
      <c r="I779" s="261"/>
      <c r="J779" s="261">
        <v>6</v>
      </c>
      <c r="K779" s="261">
        <v>11</v>
      </c>
      <c r="L779" s="261">
        <v>5</v>
      </c>
      <c r="M779" s="261">
        <v>11</v>
      </c>
      <c r="N779" s="261">
        <v>5</v>
      </c>
      <c r="O779" s="261">
        <v>5</v>
      </c>
      <c r="P779" s="261">
        <v>5</v>
      </c>
      <c r="Q779" s="261">
        <v>5</v>
      </c>
      <c r="R779" s="261"/>
      <c r="S779" s="261"/>
      <c r="T779" s="261"/>
      <c r="U779" s="261"/>
      <c r="V779" s="762"/>
      <c r="W779" s="261"/>
      <c r="X779" s="261"/>
      <c r="Y779" s="264">
        <f>IF(NFI_Expiration=1,IF($A779&lt;VLOOKUP(H$5,NFI,5,0),1,0)*Table_NFI[[#This Row],[Hygiene Kit]],Table_NFI[Hygiene Kit])</f>
        <v>0</v>
      </c>
      <c r="Z779" s="264">
        <f>IF(NFI_Expiration=1,IF($A779&lt;VLOOKUP(I$5,NFI,5,0),1,0)*Table_NFI[[#This Row],[NFI Core Kit]],Table_NFI[NFI Core Kit])</f>
        <v>0</v>
      </c>
      <c r="AA779" s="264">
        <f>IF(NFI_Expiration=1,IF($A779&lt;VLOOKUP(J$5,NFI,5,0),1,0)*Table_NFI[[#This Row],[Sanitary Kit]],Table_NFI[Sanitary Kit])</f>
        <v>0</v>
      </c>
      <c r="AB779" s="264">
        <f>IF(NFI_Expiration=1,IF($A779&lt;VLOOKUP(K$5,NFI,5,0),1,0)*Table_NFI[[#This Row],[Mosquito net]],Table_NFI[Mosquito net])</f>
        <v>0</v>
      </c>
      <c r="AC779" s="264">
        <f>IF(NFI_Expiration=1,IF($A779&lt;VLOOKUP(L$5,NFI,5,0),1,0)*Table_NFI[[#This Row],[Tarpaulin]],Table_NFI[[#This Row],[Tarpaulin]])</f>
        <v>0</v>
      </c>
      <c r="AD779" s="264">
        <f>IF(NFI_Expiration=1,IF($A779&lt;VLOOKUP(M$5,NFI,5,0),1,0)*Table_NFI[[#This Row],[Blanket]],Table_NFI[[#This Row],[Blanket]])</f>
        <v>0</v>
      </c>
      <c r="AE779" s="264">
        <f>IF(NFI_Expiration=1,IF($A779&lt;VLOOKUP(N$5,NFI,5,0),1,0)*Table_NFI[[#This Row],[Kitchen Set]],Table_NFI[Kitchen Set])</f>
        <v>0</v>
      </c>
      <c r="AF779" s="264">
        <f>IF(NFI_Expiration=1,IF($A779&lt;VLOOKUP(O$5,NFI,5,0),1,0)*Table_NFI[[#This Row],[Clothes Kit]],Table_NFI[Clothes Kit])</f>
        <v>0</v>
      </c>
      <c r="AG779" s="264">
        <f>IF(NFI_Expiration=1,IF($A779&lt;VLOOKUP(P$5,NFI,5,0),1,0)*Table_NFI[[#This Row],[Plastic Bucket]],Table_NFI[Plastic Bucket])</f>
        <v>0</v>
      </c>
      <c r="AH779" s="264">
        <f>IF(NFI_Expiration=1,IF($A779&lt;VLOOKUP(Q$5,NFI,5,0),1,0)*Table_NFI[[#This Row],[Plastic Mat]],Table_NFI[Plastic Mat])*IF(Table_NFI[[#This Row],[Distribution Date]]&gt;"2014-04-01",1,2.5)</f>
        <v>0</v>
      </c>
      <c r="AI779" s="264">
        <f>IF(NFI_Expiration=1,IF($A779&lt;VLOOKUP(R$5,NFI,5,0),1,0)*Table_NFI[[#This Row],[Winter Clothes Adult]],Table_NFI[Winter Clothes Adult])</f>
        <v>0</v>
      </c>
      <c r="AJ779" s="264">
        <f>IF(NFI_Expiration=1,IF($A779&lt;VLOOKUP(S$5,NFI,5,0),1,0)*Table_NFI[[#This Row],[Winter Clothes Children]],Table_NFI[Winter Clothes Children])</f>
        <v>0</v>
      </c>
      <c r="AK779" s="264">
        <f>IF(NFI_Expiration=1,IF($A779&lt;VLOOKUP(T$5,NFI,5,0),1,0)*Table_NFI[[#This Row],[Winter Items Other]],Table_NFI[Winter Items Other])</f>
        <v>0</v>
      </c>
      <c r="AL779" s="264">
        <f>IF(NFI_Expiration=1,IF($A779&lt;VLOOKUP(M$5,NFI,5,0),1,0)*Table_NFI[[#This Row],[Winter Blanket]],Table_NFI[[#This Row],[Winter Blanket]])</f>
        <v>0</v>
      </c>
      <c r="AM779" s="264">
        <f>IF(Table_NFI[[#This Row],[Winter Clothes Adult]]+Table_NFI[[#This Row],[Winter Clothes Children]]+Table_NFI[[#This Row],[Winter Items Other]]+Table_NFI[[#This Row],[Winter Blanket]]&gt;0,1,0)</f>
        <v>0</v>
      </c>
      <c r="AN779" s="296">
        <f>IF(NFI_Expiration=1,IF($A779&lt;VLOOKUP(V$5,NFI,5,0),1,0)*Table_NFI[[#This Row],[Jerry Can]],Table_NFI[Jerry Can])</f>
        <v>0</v>
      </c>
      <c r="AO779" s="296">
        <f>IF(NFI_Expiration=1,IF($A779&lt;VLOOKUP(V$5,NFI,5,0),1,0)*Table_NFI[[#This Row],[Shelter Tool kit]],Table_NFI[Shelter Tool kit])</f>
        <v>0</v>
      </c>
      <c r="AP779" s="296">
        <f>IF(NFI_Expiration=1,IF($A779&lt;VLOOKUP(V$5,NFI,5,0),1,0)*Table_NFI[[#This Row],[Tent]],Table_NFI[Tent])</f>
        <v>0</v>
      </c>
      <c r="AQ779" s="396" t="str">
        <f>IFERROR(VLOOKUP(Table_NFI[[#This Row],[Camp Name]],CL,2,0),"")</f>
        <v>MMR001CMP032</v>
      </c>
      <c r="AR779" s="702">
        <f ca="1">IF(Table_NFI[[#This Row],[Pcode]]="","",IF(OFFSET(CampList[Opening Date],MATCH(Table_NFI[[#This Row],[Pcode]],CampList[CP_Pcode],0)-1,0,1,1)&gt;=NFI_Monitor_Date,1,0))</f>
        <v>0</v>
      </c>
      <c r="AS779" s="396" t="str">
        <f>IFERROR(VLOOKUP(Table_NFI[[#This Row],[Camp Name]],CL,3,0),"")</f>
        <v>Open</v>
      </c>
      <c r="AT779" s="264" t="str">
        <f ca="1">IF(Table_NFI[[#This Row],[Pcode]]="","",OFFSET(CampList[Priority],MATCH(Table_NFI[[#This Row],[Pcode]],CampList[CP_Pcode],0)-1,0,1,1))</f>
        <v>P4</v>
      </c>
      <c r="AU779" s="263">
        <f>IFERROR(Table_NFI[[#This Row],[Kitchen Set]]/VLOOKUP(Table_NFI[[#This Row],[Camp Name]],CL,4,0),"")</f>
        <v>1.2277470841006753E-4</v>
      </c>
      <c r="AV779" s="390" t="s">
        <v>1087</v>
      </c>
      <c r="AW779" s="392"/>
      <c r="AX779" s="399"/>
      <c r="AY779" s="399"/>
      <c r="AZ779" s="399"/>
      <c r="BA779" s="399"/>
      <c r="BB779" s="399"/>
      <c r="BC779" s="399"/>
      <c r="BD779" s="399"/>
      <c r="BE779" s="399"/>
      <c r="BF779" s="399"/>
      <c r="BG779" s="399"/>
      <c r="BH779" s="399"/>
      <c r="BI779" s="399"/>
      <c r="BJ779" s="399"/>
      <c r="BK779" s="399"/>
      <c r="BL779" s="399"/>
      <c r="BM779" s="399"/>
      <c r="BN779" s="399"/>
      <c r="BO779" s="399"/>
      <c r="BP779" s="399"/>
      <c r="BQ779" s="399"/>
      <c r="BR779" s="399"/>
      <c r="BS779" s="399"/>
      <c r="BT779" s="399"/>
      <c r="BU779" s="399"/>
      <c r="BV779" s="399"/>
      <c r="BW779" s="399"/>
      <c r="BX779" s="399"/>
      <c r="BY779" s="399"/>
      <c r="BZ779" s="399"/>
      <c r="CA779" s="399"/>
      <c r="CB779" s="399"/>
      <c r="CC779" s="399"/>
      <c r="CD779" s="399"/>
      <c r="CE779" s="399"/>
      <c r="CF779" s="399"/>
      <c r="CG779" s="399"/>
      <c r="CH779" s="399"/>
      <c r="CI779" s="399"/>
      <c r="CJ779" s="399"/>
      <c r="CK779" s="399"/>
      <c r="CL779" s="399"/>
      <c r="CM779" s="399"/>
      <c r="CN779" s="399"/>
      <c r="CO779" s="399"/>
      <c r="CP779" s="399"/>
      <c r="CQ779" s="399"/>
      <c r="CR779" s="399"/>
      <c r="CS779" s="399"/>
      <c r="CT779" s="399"/>
      <c r="CU779" s="399"/>
      <c r="CV779" s="399"/>
      <c r="CW779" s="399"/>
      <c r="CX779" s="399"/>
      <c r="CY779" s="399"/>
      <c r="CZ779" s="399"/>
      <c r="DA779" s="399"/>
      <c r="DB779" s="399"/>
      <c r="DC779" s="399"/>
      <c r="DD779" s="399"/>
      <c r="DE779" s="399"/>
      <c r="DF779" s="399"/>
      <c r="DG779" s="399"/>
      <c r="DH779" s="399"/>
      <c r="DI779" s="399"/>
      <c r="DJ779" s="399"/>
      <c r="DK779" s="399"/>
      <c r="DL779" s="399"/>
      <c r="DM779" s="399"/>
      <c r="DN779" s="399"/>
      <c r="DO779" s="399"/>
      <c r="DP779" s="399"/>
      <c r="DQ779" s="399"/>
    </row>
    <row r="780" spans="1:121" s="760" customFormat="1" ht="14.45" customHeight="1" x14ac:dyDescent="0.25">
      <c r="A780" s="266">
        <f t="shared" si="12"/>
        <v>50.666666666666664</v>
      </c>
      <c r="B780" s="389">
        <v>41336</v>
      </c>
      <c r="C780" s="390" t="s">
        <v>904</v>
      </c>
      <c r="D780" s="391" t="s">
        <v>904</v>
      </c>
      <c r="E780" s="390" t="s">
        <v>380</v>
      </c>
      <c r="F780" s="262" t="s">
        <v>185</v>
      </c>
      <c r="G780" s="262" t="s">
        <v>225</v>
      </c>
      <c r="H780" s="261">
        <v>33</v>
      </c>
      <c r="I780" s="261"/>
      <c r="J780" s="261"/>
      <c r="K780" s="261"/>
      <c r="L780" s="261"/>
      <c r="M780" s="261"/>
      <c r="N780" s="261"/>
      <c r="O780" s="261"/>
      <c r="P780" s="261">
        <v>0</v>
      </c>
      <c r="Q780" s="261">
        <v>0</v>
      </c>
      <c r="R780" s="261"/>
      <c r="S780" s="261"/>
      <c r="T780" s="261"/>
      <c r="U780" s="261"/>
      <c r="V780" s="762"/>
      <c r="W780" s="261"/>
      <c r="X780" s="261"/>
      <c r="Y780" s="264">
        <f>IF(NFI_Expiration=1,IF($A780&lt;VLOOKUP(H$5,NFI,5,0),1,0)*Table_NFI[[#This Row],[Hygiene Kit]],Table_NFI[Hygiene Kit])</f>
        <v>0</v>
      </c>
      <c r="Z780" s="264">
        <f>IF(NFI_Expiration=1,IF($A780&lt;VLOOKUP(I$5,NFI,5,0),1,0)*Table_NFI[[#This Row],[NFI Core Kit]],Table_NFI[NFI Core Kit])</f>
        <v>0</v>
      </c>
      <c r="AA780" s="264">
        <f>IF(NFI_Expiration=1,IF($A780&lt;VLOOKUP(J$5,NFI,5,0),1,0)*Table_NFI[[#This Row],[Sanitary Kit]],Table_NFI[Sanitary Kit])</f>
        <v>0</v>
      </c>
      <c r="AB780" s="264">
        <f>IF(NFI_Expiration=1,IF($A780&lt;VLOOKUP(K$5,NFI,5,0),1,0)*Table_NFI[[#This Row],[Mosquito net]],Table_NFI[Mosquito net])</f>
        <v>0</v>
      </c>
      <c r="AC780" s="264">
        <f>IF(NFI_Expiration=1,IF($A780&lt;VLOOKUP(L$5,NFI,5,0),1,0)*Table_NFI[[#This Row],[Tarpaulin]],Table_NFI[[#This Row],[Tarpaulin]])</f>
        <v>0</v>
      </c>
      <c r="AD780" s="264">
        <f>IF(NFI_Expiration=1,IF($A780&lt;VLOOKUP(M$5,NFI,5,0),1,0)*Table_NFI[[#This Row],[Blanket]],Table_NFI[[#This Row],[Blanket]])</f>
        <v>0</v>
      </c>
      <c r="AE780" s="264">
        <f>IF(NFI_Expiration=1,IF($A780&lt;VLOOKUP(N$5,NFI,5,0),1,0)*Table_NFI[[#This Row],[Kitchen Set]],Table_NFI[Kitchen Set])</f>
        <v>0</v>
      </c>
      <c r="AF780" s="264">
        <f>IF(NFI_Expiration=1,IF($A780&lt;VLOOKUP(O$5,NFI,5,0),1,0)*Table_NFI[[#This Row],[Clothes Kit]],Table_NFI[Clothes Kit])</f>
        <v>0</v>
      </c>
      <c r="AG780" s="264">
        <f>IF(NFI_Expiration=1,IF($A780&lt;VLOOKUP(P$5,NFI,5,0),1,0)*Table_NFI[[#This Row],[Plastic Bucket]],Table_NFI[Plastic Bucket])</f>
        <v>0</v>
      </c>
      <c r="AH780" s="264">
        <f>IF(NFI_Expiration=1,IF($A780&lt;VLOOKUP(Q$5,NFI,5,0),1,0)*Table_NFI[[#This Row],[Plastic Mat]],Table_NFI[Plastic Mat])*IF(Table_NFI[[#This Row],[Distribution Date]]&gt;"2014-04-01",1,2.5)</f>
        <v>0</v>
      </c>
      <c r="AI780" s="264">
        <f>IF(NFI_Expiration=1,IF($A780&lt;VLOOKUP(R$5,NFI,5,0),1,0)*Table_NFI[[#This Row],[Winter Clothes Adult]],Table_NFI[Winter Clothes Adult])</f>
        <v>0</v>
      </c>
      <c r="AJ780" s="264">
        <f>IF(NFI_Expiration=1,IF($A780&lt;VLOOKUP(S$5,NFI,5,0),1,0)*Table_NFI[[#This Row],[Winter Clothes Children]],Table_NFI[Winter Clothes Children])</f>
        <v>0</v>
      </c>
      <c r="AK780" s="264">
        <f>IF(NFI_Expiration=1,IF($A780&lt;VLOOKUP(T$5,NFI,5,0),1,0)*Table_NFI[[#This Row],[Winter Items Other]],Table_NFI[Winter Items Other])</f>
        <v>0</v>
      </c>
      <c r="AL780" s="264">
        <f>IF(NFI_Expiration=1,IF($A780&lt;VLOOKUP(M$5,NFI,5,0),1,0)*Table_NFI[[#This Row],[Winter Blanket]],Table_NFI[[#This Row],[Winter Blanket]])</f>
        <v>0</v>
      </c>
      <c r="AM780" s="264">
        <f>IF(Table_NFI[[#This Row],[Winter Clothes Adult]]+Table_NFI[[#This Row],[Winter Clothes Children]]+Table_NFI[[#This Row],[Winter Items Other]]+Table_NFI[[#This Row],[Winter Blanket]]&gt;0,1,0)</f>
        <v>0</v>
      </c>
      <c r="AN780" s="296">
        <f>IF(NFI_Expiration=1,IF($A780&lt;VLOOKUP(V$5,NFI,5,0),1,0)*Table_NFI[[#This Row],[Jerry Can]],Table_NFI[Jerry Can])</f>
        <v>0</v>
      </c>
      <c r="AO780" s="296">
        <f>IF(NFI_Expiration=1,IF($A780&lt;VLOOKUP(V$5,NFI,5,0),1,0)*Table_NFI[[#This Row],[Shelter Tool kit]],Table_NFI[Shelter Tool kit])</f>
        <v>0</v>
      </c>
      <c r="AP780" s="296">
        <f>IF(NFI_Expiration=1,IF($A780&lt;VLOOKUP(V$5,NFI,5,0),1,0)*Table_NFI[[#This Row],[Tent]],Table_NFI[Tent])</f>
        <v>0</v>
      </c>
      <c r="AQ780" s="396" t="str">
        <f>IFERROR(VLOOKUP(Table_NFI[[#This Row],[Camp Name]],CL,2,0),"")</f>
        <v>MMR001CMP073</v>
      </c>
      <c r="AR780" s="702">
        <f ca="1">IF(Table_NFI[[#This Row],[Pcode]]="","",IF(OFFSET(CampList[Opening Date],MATCH(Table_NFI[[#This Row],[Pcode]],CampList[CP_Pcode],0)-1,0,1,1)&gt;=NFI_Monitor_Date,1,0))</f>
        <v>0</v>
      </c>
      <c r="AS780" s="396" t="str">
        <f>IFERROR(VLOOKUP(Table_NFI[[#This Row],[Camp Name]],CL,3,0),"")</f>
        <v>Open</v>
      </c>
      <c r="AT780" s="264" t="str">
        <f ca="1">IF(Table_NFI[[#This Row],[Pcode]]="","",OFFSET(CampList[Priority],MATCH(Table_NFI[[#This Row],[Pcode]],CampList[CP_Pcode],0)-1,0,1,1))</f>
        <v>P3</v>
      </c>
      <c r="AU780" s="263">
        <f>IFERROR(Table_NFI[[#This Row],[Kitchen Set]]/VLOOKUP(Table_NFI[[#This Row],[Camp Name]],CL,4,0),"")</f>
        <v>0</v>
      </c>
      <c r="AV780" s="390" t="s">
        <v>1087</v>
      </c>
      <c r="AW780" s="392"/>
      <c r="AX780" s="399"/>
      <c r="AY780" s="399"/>
      <c r="AZ780" s="399"/>
      <c r="BA780" s="399"/>
      <c r="BB780" s="399"/>
      <c r="BC780" s="399"/>
      <c r="BD780" s="399"/>
      <c r="BE780" s="399"/>
      <c r="BF780" s="399"/>
      <c r="BG780" s="399"/>
      <c r="BH780" s="399"/>
      <c r="BI780" s="399"/>
      <c r="BJ780" s="399"/>
      <c r="BK780" s="399"/>
      <c r="BL780" s="399"/>
      <c r="BM780" s="399"/>
      <c r="BN780" s="399"/>
      <c r="BO780" s="399"/>
      <c r="BP780" s="399"/>
      <c r="BQ780" s="399"/>
      <c r="BR780" s="399"/>
      <c r="BS780" s="399"/>
      <c r="BT780" s="399"/>
      <c r="BU780" s="399"/>
      <c r="BV780" s="399"/>
      <c r="BW780" s="399"/>
      <c r="BX780" s="399"/>
      <c r="BY780" s="399"/>
      <c r="BZ780" s="399"/>
      <c r="CA780" s="399"/>
      <c r="CB780" s="399"/>
      <c r="CC780" s="399"/>
      <c r="CD780" s="399"/>
      <c r="CE780" s="399"/>
      <c r="CF780" s="399"/>
      <c r="CG780" s="399"/>
      <c r="CH780" s="399"/>
      <c r="CI780" s="399"/>
      <c r="CJ780" s="399"/>
      <c r="CK780" s="399"/>
      <c r="CL780" s="399"/>
      <c r="CM780" s="399"/>
      <c r="CN780" s="399"/>
      <c r="CO780" s="399"/>
      <c r="CP780" s="399"/>
      <c r="CQ780" s="399"/>
      <c r="CR780" s="399"/>
      <c r="CS780" s="399"/>
      <c r="CT780" s="399"/>
      <c r="CU780" s="399"/>
      <c r="CV780" s="399"/>
      <c r="CW780" s="399"/>
      <c r="CX780" s="399"/>
      <c r="CY780" s="399"/>
      <c r="CZ780" s="399"/>
      <c r="DA780" s="399"/>
      <c r="DB780" s="399"/>
      <c r="DC780" s="399"/>
      <c r="DD780" s="399"/>
      <c r="DE780" s="399"/>
      <c r="DF780" s="399"/>
      <c r="DG780" s="399"/>
      <c r="DH780" s="399"/>
      <c r="DI780" s="399"/>
      <c r="DJ780" s="399"/>
      <c r="DK780" s="399"/>
      <c r="DL780" s="399"/>
      <c r="DM780" s="399"/>
      <c r="DN780" s="399"/>
      <c r="DO780" s="399"/>
      <c r="DP780" s="399"/>
      <c r="DQ780" s="399"/>
    </row>
    <row r="781" spans="1:121" s="760" customFormat="1" ht="15" customHeight="1" x14ac:dyDescent="0.25">
      <c r="A781" s="266">
        <f t="shared" si="12"/>
        <v>50.7</v>
      </c>
      <c r="B781" s="389">
        <v>41335</v>
      </c>
      <c r="C781" s="390" t="s">
        <v>904</v>
      </c>
      <c r="D781" s="391" t="s">
        <v>904</v>
      </c>
      <c r="E781" s="390" t="s">
        <v>380</v>
      </c>
      <c r="F781" s="262" t="s">
        <v>185</v>
      </c>
      <c r="G781" s="262" t="s">
        <v>186</v>
      </c>
      <c r="H781" s="261">
        <v>3</v>
      </c>
      <c r="I781" s="261"/>
      <c r="J781" s="261"/>
      <c r="K781" s="261"/>
      <c r="L781" s="261"/>
      <c r="M781" s="261"/>
      <c r="N781" s="261"/>
      <c r="O781" s="261"/>
      <c r="P781" s="261">
        <v>0</v>
      </c>
      <c r="Q781" s="261">
        <v>0</v>
      </c>
      <c r="R781" s="261"/>
      <c r="S781" s="261"/>
      <c r="T781" s="261"/>
      <c r="U781" s="261"/>
      <c r="V781" s="762"/>
      <c r="W781" s="261"/>
      <c r="X781" s="261"/>
      <c r="Y781" s="264">
        <f>IF(NFI_Expiration=1,IF($A781&lt;VLOOKUP(H$5,NFI,5,0),1,0)*Table_NFI[[#This Row],[Hygiene Kit]],Table_NFI[Hygiene Kit])</f>
        <v>0</v>
      </c>
      <c r="Z781" s="264">
        <f>IF(NFI_Expiration=1,IF($A781&lt;VLOOKUP(I$5,NFI,5,0),1,0)*Table_NFI[[#This Row],[NFI Core Kit]],Table_NFI[NFI Core Kit])</f>
        <v>0</v>
      </c>
      <c r="AA781" s="264">
        <f>IF(NFI_Expiration=1,IF($A781&lt;VLOOKUP(J$5,NFI,5,0),1,0)*Table_NFI[[#This Row],[Sanitary Kit]],Table_NFI[Sanitary Kit])</f>
        <v>0</v>
      </c>
      <c r="AB781" s="264">
        <f>IF(NFI_Expiration=1,IF($A781&lt;VLOOKUP(K$5,NFI,5,0),1,0)*Table_NFI[[#This Row],[Mosquito net]],Table_NFI[Mosquito net])</f>
        <v>0</v>
      </c>
      <c r="AC781" s="264">
        <f>IF(NFI_Expiration=1,IF($A781&lt;VLOOKUP(L$5,NFI,5,0),1,0)*Table_NFI[[#This Row],[Tarpaulin]],Table_NFI[[#This Row],[Tarpaulin]])</f>
        <v>0</v>
      </c>
      <c r="AD781" s="264">
        <f>IF(NFI_Expiration=1,IF($A781&lt;VLOOKUP(M$5,NFI,5,0),1,0)*Table_NFI[[#This Row],[Blanket]],Table_NFI[[#This Row],[Blanket]])</f>
        <v>0</v>
      </c>
      <c r="AE781" s="264">
        <f>IF(NFI_Expiration=1,IF($A781&lt;VLOOKUP(N$5,NFI,5,0),1,0)*Table_NFI[[#This Row],[Kitchen Set]],Table_NFI[Kitchen Set])</f>
        <v>0</v>
      </c>
      <c r="AF781" s="264">
        <f>IF(NFI_Expiration=1,IF($A781&lt;VLOOKUP(O$5,NFI,5,0),1,0)*Table_NFI[[#This Row],[Clothes Kit]],Table_NFI[Clothes Kit])</f>
        <v>0</v>
      </c>
      <c r="AG781" s="264">
        <f>IF(NFI_Expiration=1,IF($A781&lt;VLOOKUP(P$5,NFI,5,0),1,0)*Table_NFI[[#This Row],[Plastic Bucket]],Table_NFI[Plastic Bucket])</f>
        <v>0</v>
      </c>
      <c r="AH781" s="264">
        <f>IF(NFI_Expiration=1,IF($A781&lt;VLOOKUP(Q$5,NFI,5,0),1,0)*Table_NFI[[#This Row],[Plastic Mat]],Table_NFI[Plastic Mat])*IF(Table_NFI[[#This Row],[Distribution Date]]&gt;"2014-04-01",1,2.5)</f>
        <v>0</v>
      </c>
      <c r="AI781" s="264">
        <f>IF(NFI_Expiration=1,IF($A781&lt;VLOOKUP(R$5,NFI,5,0),1,0)*Table_NFI[[#This Row],[Winter Clothes Adult]],Table_NFI[Winter Clothes Adult])</f>
        <v>0</v>
      </c>
      <c r="AJ781" s="264">
        <f>IF(NFI_Expiration=1,IF($A781&lt;VLOOKUP(S$5,NFI,5,0),1,0)*Table_NFI[[#This Row],[Winter Clothes Children]],Table_NFI[Winter Clothes Children])</f>
        <v>0</v>
      </c>
      <c r="AK781" s="264">
        <f>IF(NFI_Expiration=1,IF($A781&lt;VLOOKUP(T$5,NFI,5,0),1,0)*Table_NFI[[#This Row],[Winter Items Other]],Table_NFI[Winter Items Other])</f>
        <v>0</v>
      </c>
      <c r="AL781" s="264">
        <f>IF(NFI_Expiration=1,IF($A781&lt;VLOOKUP(M$5,NFI,5,0),1,0)*Table_NFI[[#This Row],[Winter Blanket]],Table_NFI[[#This Row],[Winter Blanket]])</f>
        <v>0</v>
      </c>
      <c r="AM781" s="264">
        <f>IF(Table_NFI[[#This Row],[Winter Clothes Adult]]+Table_NFI[[#This Row],[Winter Clothes Children]]+Table_NFI[[#This Row],[Winter Items Other]]+Table_NFI[[#This Row],[Winter Blanket]]&gt;0,1,0)</f>
        <v>0</v>
      </c>
      <c r="AN781" s="296">
        <f>IF(NFI_Expiration=1,IF($A781&lt;VLOOKUP(V$5,NFI,5,0),1,0)*Table_NFI[[#This Row],[Jerry Can]],Table_NFI[Jerry Can])</f>
        <v>0</v>
      </c>
      <c r="AO781" s="296">
        <f>IF(NFI_Expiration=1,IF($A781&lt;VLOOKUP(V$5,NFI,5,0),1,0)*Table_NFI[[#This Row],[Shelter Tool kit]],Table_NFI[Shelter Tool kit])</f>
        <v>0</v>
      </c>
      <c r="AP781" s="296">
        <f>IF(NFI_Expiration=1,IF($A781&lt;VLOOKUP(V$5,NFI,5,0),1,0)*Table_NFI[[#This Row],[Tent]],Table_NFI[Tent])</f>
        <v>0</v>
      </c>
      <c r="AQ781" s="396" t="str">
        <f>IFERROR(VLOOKUP(Table_NFI[[#This Row],[Camp Name]],CL,2,0),"")</f>
        <v>MMR001CMP071</v>
      </c>
      <c r="AR781" s="702">
        <f ca="1">IF(Table_NFI[[#This Row],[Pcode]]="","",IF(OFFSET(CampList[Opening Date],MATCH(Table_NFI[[#This Row],[Pcode]],CampList[CP_Pcode],0)-1,0,1,1)&gt;=NFI_Monitor_Date,1,0))</f>
        <v>0</v>
      </c>
      <c r="AS781" s="396" t="str">
        <f>IFERROR(VLOOKUP(Table_NFI[[#This Row],[Camp Name]],CL,3,0),"")</f>
        <v>Open</v>
      </c>
      <c r="AT781" s="264" t="str">
        <f ca="1">IF(Table_NFI[[#This Row],[Pcode]]="","",OFFSET(CampList[Priority],MATCH(Table_NFI[[#This Row],[Pcode]],CampList[CP_Pcode],0)-1,0,1,1))</f>
        <v>P3</v>
      </c>
      <c r="AU781" s="263">
        <f>IFERROR(Table_NFI[[#This Row],[Kitchen Set]]/VLOOKUP(Table_NFI[[#This Row],[Camp Name]],CL,4,0),"")</f>
        <v>0</v>
      </c>
      <c r="AV781" s="390" t="s">
        <v>1087</v>
      </c>
      <c r="AW781" s="392"/>
      <c r="AX781" s="399"/>
      <c r="AY781" s="399"/>
      <c r="AZ781" s="399"/>
      <c r="BA781" s="399"/>
      <c r="BB781" s="399"/>
      <c r="BC781" s="399"/>
      <c r="BD781" s="399"/>
      <c r="BE781" s="399"/>
      <c r="BF781" s="399"/>
      <c r="BG781" s="399"/>
      <c r="BH781" s="399"/>
      <c r="BI781" s="399"/>
      <c r="BJ781" s="399"/>
      <c r="BK781" s="399"/>
      <c r="BL781" s="399"/>
      <c r="BM781" s="399"/>
      <c r="BN781" s="399"/>
      <c r="BO781" s="399"/>
      <c r="BP781" s="399"/>
      <c r="BQ781" s="399"/>
      <c r="BR781" s="399"/>
      <c r="BS781" s="399"/>
      <c r="BT781" s="399"/>
      <c r="BU781" s="399"/>
      <c r="BV781" s="399"/>
      <c r="BW781" s="399"/>
      <c r="BX781" s="399"/>
      <c r="BY781" s="399"/>
      <c r="BZ781" s="399"/>
      <c r="CA781" s="399"/>
      <c r="CB781" s="399"/>
      <c r="CC781" s="399"/>
      <c r="CD781" s="399"/>
      <c r="CE781" s="399"/>
      <c r="CF781" s="399"/>
      <c r="CG781" s="399"/>
      <c r="CH781" s="399"/>
      <c r="CI781" s="399"/>
      <c r="CJ781" s="399"/>
      <c r="CK781" s="399"/>
      <c r="CL781" s="399"/>
      <c r="CM781" s="399"/>
      <c r="CN781" s="399"/>
      <c r="CO781" s="399"/>
      <c r="CP781" s="399"/>
      <c r="CQ781" s="399"/>
      <c r="CR781" s="399"/>
      <c r="CS781" s="399"/>
      <c r="CT781" s="399"/>
      <c r="CU781" s="399"/>
      <c r="CV781" s="399"/>
      <c r="CW781" s="399"/>
      <c r="CX781" s="399"/>
      <c r="CY781" s="399"/>
      <c r="CZ781" s="399"/>
      <c r="DA781" s="399"/>
      <c r="DB781" s="399"/>
      <c r="DC781" s="399"/>
      <c r="DD781" s="399"/>
      <c r="DE781" s="399"/>
      <c r="DF781" s="399"/>
      <c r="DG781" s="399"/>
      <c r="DH781" s="399"/>
      <c r="DI781" s="399"/>
      <c r="DJ781" s="399"/>
      <c r="DK781" s="399"/>
      <c r="DL781" s="399"/>
      <c r="DM781" s="399"/>
      <c r="DN781" s="399"/>
      <c r="DO781" s="399"/>
      <c r="DP781" s="399"/>
      <c r="DQ781" s="399"/>
    </row>
    <row r="782" spans="1:121" s="760" customFormat="1" ht="15" customHeight="1" x14ac:dyDescent="0.25">
      <c r="A782" s="266">
        <f t="shared" si="12"/>
        <v>50.7</v>
      </c>
      <c r="B782" s="389">
        <v>41335</v>
      </c>
      <c r="C782" s="390" t="s">
        <v>904</v>
      </c>
      <c r="D782" s="391" t="s">
        <v>904</v>
      </c>
      <c r="E782" s="390" t="s">
        <v>380</v>
      </c>
      <c r="F782" s="262" t="s">
        <v>185</v>
      </c>
      <c r="G782" s="262" t="s">
        <v>190</v>
      </c>
      <c r="H782" s="261">
        <v>368</v>
      </c>
      <c r="I782" s="261"/>
      <c r="J782" s="261"/>
      <c r="K782" s="261"/>
      <c r="L782" s="261"/>
      <c r="M782" s="261"/>
      <c r="N782" s="261"/>
      <c r="O782" s="261"/>
      <c r="P782" s="261">
        <v>0</v>
      </c>
      <c r="Q782" s="261">
        <v>0</v>
      </c>
      <c r="R782" s="261"/>
      <c r="S782" s="261"/>
      <c r="T782" s="261"/>
      <c r="U782" s="261"/>
      <c r="V782" s="762"/>
      <c r="W782" s="762"/>
      <c r="X782" s="762"/>
      <c r="Y782" s="264">
        <f>IF(NFI_Expiration=1,IF($A782&lt;VLOOKUP(H$5,NFI,5,0),1,0)*Table_NFI[[#This Row],[Hygiene Kit]],Table_NFI[Hygiene Kit])</f>
        <v>0</v>
      </c>
      <c r="Z782" s="264">
        <f>IF(NFI_Expiration=1,IF($A782&lt;VLOOKUP(I$5,NFI,5,0),1,0)*Table_NFI[[#This Row],[NFI Core Kit]],Table_NFI[NFI Core Kit])</f>
        <v>0</v>
      </c>
      <c r="AA782" s="264">
        <f>IF(NFI_Expiration=1,IF($A782&lt;VLOOKUP(J$5,NFI,5,0),1,0)*Table_NFI[[#This Row],[Sanitary Kit]],Table_NFI[Sanitary Kit])</f>
        <v>0</v>
      </c>
      <c r="AB782" s="264">
        <f>IF(NFI_Expiration=1,IF($A782&lt;VLOOKUP(K$5,NFI,5,0),1,0)*Table_NFI[[#This Row],[Mosquito net]],Table_NFI[Mosquito net])</f>
        <v>0</v>
      </c>
      <c r="AC782" s="264">
        <f>IF(NFI_Expiration=1,IF($A782&lt;VLOOKUP(L$5,NFI,5,0),1,0)*Table_NFI[[#This Row],[Tarpaulin]],Table_NFI[[#This Row],[Tarpaulin]])</f>
        <v>0</v>
      </c>
      <c r="AD782" s="264">
        <f>IF(NFI_Expiration=1,IF($A782&lt;VLOOKUP(M$5,NFI,5,0),1,0)*Table_NFI[[#This Row],[Blanket]],Table_NFI[[#This Row],[Blanket]])</f>
        <v>0</v>
      </c>
      <c r="AE782" s="264">
        <f>IF(NFI_Expiration=1,IF($A782&lt;VLOOKUP(N$5,NFI,5,0),1,0)*Table_NFI[[#This Row],[Kitchen Set]],Table_NFI[Kitchen Set])</f>
        <v>0</v>
      </c>
      <c r="AF782" s="264">
        <f>IF(NFI_Expiration=1,IF($A782&lt;VLOOKUP(O$5,NFI,5,0),1,0)*Table_NFI[[#This Row],[Clothes Kit]],Table_NFI[Clothes Kit])</f>
        <v>0</v>
      </c>
      <c r="AG782" s="264">
        <f>IF(NFI_Expiration=1,IF($A782&lt;VLOOKUP(P$5,NFI,5,0),1,0)*Table_NFI[[#This Row],[Plastic Bucket]],Table_NFI[Plastic Bucket])</f>
        <v>0</v>
      </c>
      <c r="AH782" s="264">
        <f>IF(NFI_Expiration=1,IF($A782&lt;VLOOKUP(Q$5,NFI,5,0),1,0)*Table_NFI[[#This Row],[Plastic Mat]],Table_NFI[Plastic Mat])*IF(Table_NFI[[#This Row],[Distribution Date]]&gt;"2014-04-01",1,2.5)</f>
        <v>0</v>
      </c>
      <c r="AI782" s="264">
        <f>IF(NFI_Expiration=1,IF($A782&lt;VLOOKUP(R$5,NFI,5,0),1,0)*Table_NFI[[#This Row],[Winter Clothes Adult]],Table_NFI[Winter Clothes Adult])</f>
        <v>0</v>
      </c>
      <c r="AJ782" s="264">
        <f>IF(NFI_Expiration=1,IF($A782&lt;VLOOKUP(S$5,NFI,5,0),1,0)*Table_NFI[[#This Row],[Winter Clothes Children]],Table_NFI[Winter Clothes Children])</f>
        <v>0</v>
      </c>
      <c r="AK782" s="264">
        <f>IF(NFI_Expiration=1,IF($A782&lt;VLOOKUP(T$5,NFI,5,0),1,0)*Table_NFI[[#This Row],[Winter Items Other]],Table_NFI[Winter Items Other])</f>
        <v>0</v>
      </c>
      <c r="AL782" s="264">
        <f>IF(NFI_Expiration=1,IF($A782&lt;VLOOKUP(M$5,NFI,5,0),1,0)*Table_NFI[[#This Row],[Winter Blanket]],Table_NFI[[#This Row],[Winter Blanket]])</f>
        <v>0</v>
      </c>
      <c r="AM782" s="264">
        <f>IF(Table_NFI[[#This Row],[Winter Clothes Adult]]+Table_NFI[[#This Row],[Winter Clothes Children]]+Table_NFI[[#This Row],[Winter Items Other]]+Table_NFI[[#This Row],[Winter Blanket]]&gt;0,1,0)</f>
        <v>0</v>
      </c>
      <c r="AN782" s="296">
        <f>IF(NFI_Expiration=1,IF($A782&lt;VLOOKUP(V$5,NFI,5,0),1,0)*Table_NFI[[#This Row],[Jerry Can]],Table_NFI[Jerry Can])</f>
        <v>0</v>
      </c>
      <c r="AO782" s="296">
        <f>IF(NFI_Expiration=1,IF($A782&lt;VLOOKUP(V$5,NFI,5,0),1,0)*Table_NFI[[#This Row],[Shelter Tool kit]],Table_NFI[Shelter Tool kit])</f>
        <v>0</v>
      </c>
      <c r="AP782" s="296">
        <f>IF(NFI_Expiration=1,IF($A782&lt;VLOOKUP(V$5,NFI,5,0),1,0)*Table_NFI[[#This Row],[Tent]],Table_NFI[Tent])</f>
        <v>0</v>
      </c>
      <c r="AQ782" s="396" t="str">
        <f>IFERROR(VLOOKUP(Table_NFI[[#This Row],[Camp Name]],CL,2,0),"")</f>
        <v>MMR001CMP070</v>
      </c>
      <c r="AR782" s="702">
        <f ca="1">IF(Table_NFI[[#This Row],[Pcode]]="","",IF(OFFSET(CampList[Opening Date],MATCH(Table_NFI[[#This Row],[Pcode]],CampList[CP_Pcode],0)-1,0,1,1)&gt;=NFI_Monitor_Date,1,0))</f>
        <v>0</v>
      </c>
      <c r="AS782" s="396" t="str">
        <f>IFERROR(VLOOKUP(Table_NFI[[#This Row],[Camp Name]],CL,3,0),"")</f>
        <v>Open</v>
      </c>
      <c r="AT782" s="264" t="str">
        <f ca="1">IF(Table_NFI[[#This Row],[Pcode]]="","",OFFSET(CampList[Priority],MATCH(Table_NFI[[#This Row],[Pcode]],CampList[CP_Pcode],0)-1,0,1,1))</f>
        <v>P3</v>
      </c>
      <c r="AU782" s="263">
        <f>IFERROR(Table_NFI[[#This Row],[Kitchen Set]]/VLOOKUP(Table_NFI[[#This Row],[Camp Name]],CL,4,0),"")</f>
        <v>0</v>
      </c>
      <c r="AV782" s="390" t="s">
        <v>1087</v>
      </c>
      <c r="AW782" s="392"/>
      <c r="AX782" s="399"/>
      <c r="AY782" s="399"/>
      <c r="AZ782" s="399"/>
      <c r="BA782" s="399"/>
      <c r="BB782" s="399"/>
      <c r="BC782" s="399"/>
      <c r="BD782" s="399"/>
      <c r="BE782" s="399"/>
      <c r="BF782" s="399"/>
      <c r="BG782" s="399"/>
      <c r="BH782" s="399"/>
      <c r="BI782" s="399"/>
      <c r="BJ782" s="399"/>
      <c r="BK782" s="399"/>
      <c r="BL782" s="399"/>
      <c r="BM782" s="399"/>
      <c r="BN782" s="399"/>
      <c r="BO782" s="399"/>
      <c r="BP782" s="399"/>
      <c r="BQ782" s="399"/>
      <c r="BR782" s="399"/>
      <c r="BS782" s="399"/>
      <c r="BT782" s="399"/>
      <c r="BU782" s="399"/>
      <c r="BV782" s="399"/>
      <c r="BW782" s="399"/>
      <c r="BX782" s="399"/>
      <c r="BY782" s="399"/>
      <c r="BZ782" s="399"/>
      <c r="CA782" s="399"/>
      <c r="CB782" s="399"/>
      <c r="CC782" s="399"/>
      <c r="CD782" s="399"/>
      <c r="CE782" s="399"/>
      <c r="CF782" s="399"/>
      <c r="CG782" s="399"/>
      <c r="CH782" s="399"/>
      <c r="CI782" s="399"/>
      <c r="CJ782" s="399"/>
      <c r="CK782" s="399"/>
      <c r="CL782" s="399"/>
      <c r="CM782" s="399"/>
      <c r="CN782" s="399"/>
      <c r="CO782" s="399"/>
      <c r="CP782" s="399"/>
      <c r="CQ782" s="399"/>
      <c r="CR782" s="399"/>
      <c r="CS782" s="399"/>
      <c r="CT782" s="399"/>
      <c r="CU782" s="399"/>
      <c r="CV782" s="399"/>
      <c r="CW782" s="399"/>
      <c r="CX782" s="399"/>
      <c r="CY782" s="399"/>
      <c r="CZ782" s="399"/>
      <c r="DA782" s="399"/>
      <c r="DB782" s="399"/>
      <c r="DC782" s="399"/>
      <c r="DD782" s="399"/>
      <c r="DE782" s="399"/>
      <c r="DF782" s="399"/>
      <c r="DG782" s="399"/>
      <c r="DH782" s="399"/>
      <c r="DI782" s="399"/>
      <c r="DJ782" s="399"/>
      <c r="DK782" s="399"/>
      <c r="DL782" s="399"/>
      <c r="DM782" s="399"/>
      <c r="DN782" s="399"/>
      <c r="DO782" s="399"/>
      <c r="DP782" s="399"/>
      <c r="DQ782" s="399"/>
    </row>
    <row r="783" spans="1:121" s="760" customFormat="1" ht="14.45" customHeight="1" x14ac:dyDescent="0.25">
      <c r="A783" s="266">
        <f t="shared" si="12"/>
        <v>50.7</v>
      </c>
      <c r="B783" s="389">
        <v>41335</v>
      </c>
      <c r="C783" s="390" t="s">
        <v>904</v>
      </c>
      <c r="D783" s="390" t="s">
        <v>904</v>
      </c>
      <c r="E783" s="390" t="s">
        <v>380</v>
      </c>
      <c r="F783" s="262" t="s">
        <v>151</v>
      </c>
      <c r="G783" s="262" t="s">
        <v>154</v>
      </c>
      <c r="H783" s="261">
        <v>1542</v>
      </c>
      <c r="I783" s="261"/>
      <c r="J783" s="261"/>
      <c r="K783" s="261"/>
      <c r="L783" s="261"/>
      <c r="M783" s="261"/>
      <c r="N783" s="261"/>
      <c r="O783" s="261"/>
      <c r="P783" s="261">
        <v>0</v>
      </c>
      <c r="Q783" s="261">
        <v>0</v>
      </c>
      <c r="R783" s="261"/>
      <c r="S783" s="261"/>
      <c r="T783" s="261"/>
      <c r="U783" s="261"/>
      <c r="V783" s="762"/>
      <c r="W783" s="261"/>
      <c r="X783" s="261"/>
      <c r="Y783" s="264">
        <f>IF(NFI_Expiration=1,IF($A783&lt;VLOOKUP(H$5,NFI,5,0),1,0)*Table_NFI[[#This Row],[Hygiene Kit]],Table_NFI[Hygiene Kit])</f>
        <v>0</v>
      </c>
      <c r="Z783" s="264">
        <f>IF(NFI_Expiration=1,IF($A783&lt;VLOOKUP(I$5,NFI,5,0),1,0)*Table_NFI[[#This Row],[NFI Core Kit]],Table_NFI[NFI Core Kit])</f>
        <v>0</v>
      </c>
      <c r="AA783" s="264">
        <f>IF(NFI_Expiration=1,IF($A783&lt;VLOOKUP(J$5,NFI,5,0),1,0)*Table_NFI[[#This Row],[Sanitary Kit]],Table_NFI[Sanitary Kit])</f>
        <v>0</v>
      </c>
      <c r="AB783" s="264">
        <f>IF(NFI_Expiration=1,IF($A783&lt;VLOOKUP(K$5,NFI,5,0),1,0)*Table_NFI[[#This Row],[Mosquito net]],Table_NFI[Mosquito net])</f>
        <v>0</v>
      </c>
      <c r="AC783" s="264">
        <f>IF(NFI_Expiration=1,IF($A783&lt;VLOOKUP(L$5,NFI,5,0),1,0)*Table_NFI[[#This Row],[Tarpaulin]],Table_NFI[[#This Row],[Tarpaulin]])</f>
        <v>0</v>
      </c>
      <c r="AD783" s="264">
        <f>IF(NFI_Expiration=1,IF($A783&lt;VLOOKUP(M$5,NFI,5,0),1,0)*Table_NFI[[#This Row],[Blanket]],Table_NFI[[#This Row],[Blanket]])</f>
        <v>0</v>
      </c>
      <c r="AE783" s="264">
        <f>IF(NFI_Expiration=1,IF($A783&lt;VLOOKUP(N$5,NFI,5,0),1,0)*Table_NFI[[#This Row],[Kitchen Set]],Table_NFI[Kitchen Set])</f>
        <v>0</v>
      </c>
      <c r="AF783" s="264">
        <f>IF(NFI_Expiration=1,IF($A783&lt;VLOOKUP(O$5,NFI,5,0),1,0)*Table_NFI[[#This Row],[Clothes Kit]],Table_NFI[Clothes Kit])</f>
        <v>0</v>
      </c>
      <c r="AG783" s="264">
        <f>IF(NFI_Expiration=1,IF($A783&lt;VLOOKUP(P$5,NFI,5,0),1,0)*Table_NFI[[#This Row],[Plastic Bucket]],Table_NFI[Plastic Bucket])</f>
        <v>0</v>
      </c>
      <c r="AH783" s="264">
        <f>IF(NFI_Expiration=1,IF($A783&lt;VLOOKUP(Q$5,NFI,5,0),1,0)*Table_NFI[[#This Row],[Plastic Mat]],Table_NFI[Plastic Mat])*IF(Table_NFI[[#This Row],[Distribution Date]]&gt;"2014-04-01",1,2.5)</f>
        <v>0</v>
      </c>
      <c r="AI783" s="264">
        <f>IF(NFI_Expiration=1,IF($A783&lt;VLOOKUP(R$5,NFI,5,0),1,0)*Table_NFI[[#This Row],[Winter Clothes Adult]],Table_NFI[Winter Clothes Adult])</f>
        <v>0</v>
      </c>
      <c r="AJ783" s="264">
        <f>IF(NFI_Expiration=1,IF($A783&lt;VLOOKUP(S$5,NFI,5,0),1,0)*Table_NFI[[#This Row],[Winter Clothes Children]],Table_NFI[Winter Clothes Children])</f>
        <v>0</v>
      </c>
      <c r="AK783" s="264">
        <f>IF(NFI_Expiration=1,IF($A783&lt;VLOOKUP(T$5,NFI,5,0),1,0)*Table_NFI[[#This Row],[Winter Items Other]],Table_NFI[Winter Items Other])</f>
        <v>0</v>
      </c>
      <c r="AL783" s="264">
        <f>IF(NFI_Expiration=1,IF($A783&lt;VLOOKUP(M$5,NFI,5,0),1,0)*Table_NFI[[#This Row],[Winter Blanket]],Table_NFI[[#This Row],[Winter Blanket]])</f>
        <v>0</v>
      </c>
      <c r="AM783" s="264">
        <f>IF(Table_NFI[[#This Row],[Winter Clothes Adult]]+Table_NFI[[#This Row],[Winter Clothes Children]]+Table_NFI[[#This Row],[Winter Items Other]]+Table_NFI[[#This Row],[Winter Blanket]]&gt;0,1,0)</f>
        <v>0</v>
      </c>
      <c r="AN783" s="296">
        <f>IF(NFI_Expiration=1,IF($A783&lt;VLOOKUP(V$5,NFI,5,0),1,0)*Table_NFI[[#This Row],[Jerry Can]],Table_NFI[Jerry Can])</f>
        <v>0</v>
      </c>
      <c r="AO783" s="296">
        <f>IF(NFI_Expiration=1,IF($A783&lt;VLOOKUP(V$5,NFI,5,0),1,0)*Table_NFI[[#This Row],[Shelter Tool kit]],Table_NFI[Shelter Tool kit])</f>
        <v>0</v>
      </c>
      <c r="AP783" s="296">
        <f>IF(NFI_Expiration=1,IF($A783&lt;VLOOKUP(V$5,NFI,5,0),1,0)*Table_NFI[[#This Row],[Tent]],Table_NFI[Tent])</f>
        <v>0</v>
      </c>
      <c r="AQ783" s="396" t="str">
        <f>IFERROR(VLOOKUP(Table_NFI[[#This Row],[Camp Name]],CL,2,0),"")</f>
        <v>MMR001CMP132</v>
      </c>
      <c r="AR783" s="702">
        <f ca="1">IF(Table_NFI[[#This Row],[Pcode]]="","",IF(OFFSET(CampList[Opening Date],MATCH(Table_NFI[[#This Row],[Pcode]],CampList[CP_Pcode],0)-1,0,1,1)&gt;=NFI_Monitor_Date,1,0))</f>
        <v>0</v>
      </c>
      <c r="AS783" s="396" t="str">
        <f>IFERROR(VLOOKUP(Table_NFI[[#This Row],[Camp Name]],CL,3,0),"")</f>
        <v>Open</v>
      </c>
      <c r="AT783" s="264" t="str">
        <f ca="1">IF(Table_NFI[[#This Row],[Pcode]]="","",OFFSET(CampList[Priority],MATCH(Table_NFI[[#This Row],[Pcode]],CampList[CP_Pcode],0)-1,0,1,1))</f>
        <v>P4</v>
      </c>
      <c r="AU783" s="263">
        <f>IFERROR(Table_NFI[[#This Row],[Kitchen Set]]/VLOOKUP(Table_NFI[[#This Row],[Camp Name]],CL,4,0),"")</f>
        <v>0</v>
      </c>
      <c r="AV783" s="390" t="s">
        <v>1087</v>
      </c>
      <c r="AW783" s="392"/>
      <c r="AX783" s="399"/>
      <c r="AY783" s="399"/>
      <c r="AZ783" s="399"/>
      <c r="BA783" s="399"/>
      <c r="BB783" s="399"/>
      <c r="BC783" s="399"/>
      <c r="BD783" s="399"/>
      <c r="BE783" s="399"/>
      <c r="BF783" s="399"/>
      <c r="BG783" s="399"/>
      <c r="BH783" s="399"/>
      <c r="BI783" s="399"/>
      <c r="BJ783" s="399"/>
      <c r="BK783" s="399"/>
      <c r="BL783" s="399"/>
      <c r="BM783" s="399"/>
      <c r="BN783" s="399"/>
      <c r="BO783" s="399"/>
      <c r="BP783" s="399"/>
      <c r="BQ783" s="399"/>
      <c r="BR783" s="399"/>
      <c r="BS783" s="399"/>
      <c r="BT783" s="399"/>
      <c r="BU783" s="399"/>
      <c r="BV783" s="399"/>
      <c r="BW783" s="399"/>
      <c r="BX783" s="399"/>
      <c r="BY783" s="399"/>
      <c r="BZ783" s="399"/>
      <c r="CA783" s="399"/>
      <c r="CB783" s="399"/>
      <c r="CC783" s="399"/>
      <c r="CD783" s="399"/>
      <c r="CE783" s="399"/>
      <c r="CF783" s="399"/>
      <c r="CG783" s="399"/>
      <c r="CH783" s="399"/>
      <c r="CI783" s="399"/>
      <c r="CJ783" s="399"/>
      <c r="CK783" s="399"/>
      <c r="CL783" s="399"/>
      <c r="CM783" s="399"/>
      <c r="CN783" s="399"/>
      <c r="CO783" s="399"/>
      <c r="CP783" s="399"/>
      <c r="CQ783" s="399"/>
      <c r="CR783" s="399"/>
      <c r="CS783" s="399"/>
      <c r="CT783" s="399"/>
      <c r="CU783" s="399"/>
      <c r="CV783" s="399"/>
      <c r="CW783" s="399"/>
      <c r="CX783" s="399"/>
      <c r="CY783" s="399"/>
      <c r="CZ783" s="399"/>
      <c r="DA783" s="399"/>
      <c r="DB783" s="399"/>
      <c r="DC783" s="399"/>
      <c r="DD783" s="399"/>
      <c r="DE783" s="399"/>
      <c r="DF783" s="399"/>
      <c r="DG783" s="399"/>
      <c r="DH783" s="399"/>
      <c r="DI783" s="399"/>
      <c r="DJ783" s="399"/>
      <c r="DK783" s="399"/>
      <c r="DL783" s="399"/>
      <c r="DM783" s="399"/>
      <c r="DN783" s="399"/>
      <c r="DO783" s="399"/>
      <c r="DP783" s="399"/>
      <c r="DQ783" s="399"/>
    </row>
    <row r="784" spans="1:121" s="393" customFormat="1" ht="14.45" customHeight="1" x14ac:dyDescent="0.25">
      <c r="A784" s="266">
        <f t="shared" si="12"/>
        <v>50.8</v>
      </c>
      <c r="B784" s="389">
        <v>41332</v>
      </c>
      <c r="C784" s="390" t="s">
        <v>451</v>
      </c>
      <c r="D784" s="391" t="s">
        <v>451</v>
      </c>
      <c r="E784" s="390" t="s">
        <v>380</v>
      </c>
      <c r="F784" s="262" t="s">
        <v>310</v>
      </c>
      <c r="G784" s="262" t="s">
        <v>328</v>
      </c>
      <c r="H784" s="261"/>
      <c r="I784" s="261"/>
      <c r="J784" s="261">
        <v>23</v>
      </c>
      <c r="K784" s="261">
        <v>40</v>
      </c>
      <c r="L784" s="261">
        <v>18</v>
      </c>
      <c r="M784" s="261">
        <v>40</v>
      </c>
      <c r="N784" s="261">
        <v>18</v>
      </c>
      <c r="O784" s="261">
        <v>18</v>
      </c>
      <c r="P784" s="261">
        <v>18</v>
      </c>
      <c r="Q784" s="261">
        <v>18</v>
      </c>
      <c r="R784" s="261"/>
      <c r="S784" s="261"/>
      <c r="T784" s="261"/>
      <c r="U784" s="261"/>
      <c r="V784" s="762"/>
      <c r="W784" s="261"/>
      <c r="X784" s="261"/>
      <c r="Y784" s="264">
        <f>IF(NFI_Expiration=1,IF($A784&lt;VLOOKUP(H$5,NFI,5,0),1,0)*Table_NFI[[#This Row],[Hygiene Kit]],Table_NFI[Hygiene Kit])</f>
        <v>0</v>
      </c>
      <c r="Z784" s="264">
        <f>IF(NFI_Expiration=1,IF($A784&lt;VLOOKUP(I$5,NFI,5,0),1,0)*Table_NFI[[#This Row],[NFI Core Kit]],Table_NFI[NFI Core Kit])</f>
        <v>0</v>
      </c>
      <c r="AA784" s="264">
        <f>IF(NFI_Expiration=1,IF($A784&lt;VLOOKUP(J$5,NFI,5,0),1,0)*Table_NFI[[#This Row],[Sanitary Kit]],Table_NFI[Sanitary Kit])</f>
        <v>0</v>
      </c>
      <c r="AB784" s="264">
        <f>IF(NFI_Expiration=1,IF($A784&lt;VLOOKUP(K$5,NFI,5,0),1,0)*Table_NFI[[#This Row],[Mosquito net]],Table_NFI[Mosquito net])</f>
        <v>0</v>
      </c>
      <c r="AC784" s="264">
        <f>IF(NFI_Expiration=1,IF($A784&lt;VLOOKUP(L$5,NFI,5,0),1,0)*Table_NFI[[#This Row],[Tarpaulin]],Table_NFI[[#This Row],[Tarpaulin]])</f>
        <v>0</v>
      </c>
      <c r="AD784" s="264">
        <f>IF(NFI_Expiration=1,IF($A784&lt;VLOOKUP(M$5,NFI,5,0),1,0)*Table_NFI[[#This Row],[Blanket]],Table_NFI[[#This Row],[Blanket]])</f>
        <v>0</v>
      </c>
      <c r="AE784" s="264">
        <f>IF(NFI_Expiration=1,IF($A784&lt;VLOOKUP(N$5,NFI,5,0),1,0)*Table_NFI[[#This Row],[Kitchen Set]],Table_NFI[Kitchen Set])</f>
        <v>0</v>
      </c>
      <c r="AF784" s="264">
        <f>IF(NFI_Expiration=1,IF($A784&lt;VLOOKUP(O$5,NFI,5,0),1,0)*Table_NFI[[#This Row],[Clothes Kit]],Table_NFI[Clothes Kit])</f>
        <v>0</v>
      </c>
      <c r="AG784" s="264">
        <f>IF(NFI_Expiration=1,IF($A784&lt;VLOOKUP(P$5,NFI,5,0),1,0)*Table_NFI[[#This Row],[Plastic Bucket]],Table_NFI[Plastic Bucket])</f>
        <v>0</v>
      </c>
      <c r="AH784" s="264">
        <f>IF(NFI_Expiration=1,IF($A784&lt;VLOOKUP(Q$5,NFI,5,0),1,0)*Table_NFI[[#This Row],[Plastic Mat]],Table_NFI[Plastic Mat])*IF(Table_NFI[[#This Row],[Distribution Date]]&gt;"2014-04-01",1,2.5)</f>
        <v>0</v>
      </c>
      <c r="AI784" s="264">
        <f>IF(NFI_Expiration=1,IF($A784&lt;VLOOKUP(R$5,NFI,5,0),1,0)*Table_NFI[[#This Row],[Winter Clothes Adult]],Table_NFI[Winter Clothes Adult])</f>
        <v>0</v>
      </c>
      <c r="AJ784" s="264">
        <f>IF(NFI_Expiration=1,IF($A784&lt;VLOOKUP(S$5,NFI,5,0),1,0)*Table_NFI[[#This Row],[Winter Clothes Children]],Table_NFI[Winter Clothes Children])</f>
        <v>0</v>
      </c>
      <c r="AK784" s="264">
        <f>IF(NFI_Expiration=1,IF($A784&lt;VLOOKUP(T$5,NFI,5,0),1,0)*Table_NFI[[#This Row],[Winter Items Other]],Table_NFI[Winter Items Other])</f>
        <v>0</v>
      </c>
      <c r="AL784" s="264">
        <f>IF(NFI_Expiration=1,IF($A784&lt;VLOOKUP(M$5,NFI,5,0),1,0)*Table_NFI[[#This Row],[Winter Blanket]],Table_NFI[[#This Row],[Winter Blanket]])</f>
        <v>0</v>
      </c>
      <c r="AM784" s="264">
        <f>IF(Table_NFI[[#This Row],[Winter Clothes Adult]]+Table_NFI[[#This Row],[Winter Clothes Children]]+Table_NFI[[#This Row],[Winter Items Other]]+Table_NFI[[#This Row],[Winter Blanket]]&gt;0,1,0)</f>
        <v>0</v>
      </c>
      <c r="AN784" s="296">
        <f>IF(NFI_Expiration=1,IF($A784&lt;VLOOKUP(V$5,NFI,5,0),1,0)*Table_NFI[[#This Row],[Jerry Can]],Table_NFI[Jerry Can])</f>
        <v>0</v>
      </c>
      <c r="AO784" s="296">
        <f>IF(NFI_Expiration=1,IF($A784&lt;VLOOKUP(V$5,NFI,5,0),1,0)*Table_NFI[[#This Row],[Shelter Tool kit]],Table_NFI[Shelter Tool kit])</f>
        <v>0</v>
      </c>
      <c r="AP784" s="296">
        <f>IF(NFI_Expiration=1,IF($A784&lt;VLOOKUP(V$5,NFI,5,0),1,0)*Table_NFI[[#This Row],[Tent]],Table_NFI[Tent])</f>
        <v>0</v>
      </c>
      <c r="AQ784" s="396" t="str">
        <f>IFERROR(VLOOKUP(Table_NFI[[#This Row],[Camp Name]],CL,2,0),"")</f>
        <v>MMR001CMP031</v>
      </c>
      <c r="AR784" s="702">
        <f ca="1">IF(Table_NFI[[#This Row],[Pcode]]="","",IF(OFFSET(CampList[Opening Date],MATCH(Table_NFI[[#This Row],[Pcode]],CampList[CP_Pcode],0)-1,0,1,1)&gt;=NFI_Monitor_Date,1,0))</f>
        <v>0</v>
      </c>
      <c r="AS784" s="396" t="str">
        <f>IFERROR(VLOOKUP(Table_NFI[[#This Row],[Camp Name]],CL,3,0),"")</f>
        <v>Open</v>
      </c>
      <c r="AT784" s="264" t="str">
        <f ca="1">IF(Table_NFI[[#This Row],[Pcode]]="","",OFFSET(CampList[Priority],MATCH(Table_NFI[[#This Row],[Pcode]],CampList[CP_Pcode],0)-1,0,1,1))</f>
        <v>P4</v>
      </c>
      <c r="AU784" s="263">
        <f>IFERROR(Table_NFI[[#This Row],[Kitchen Set]]/VLOOKUP(Table_NFI[[#This Row],[Camp Name]],CL,4,0),"")</f>
        <v>4.3419529139328446E-4</v>
      </c>
      <c r="AV784" s="390" t="s">
        <v>1087</v>
      </c>
      <c r="AW784" s="392"/>
      <c r="AX784" s="399"/>
      <c r="AY784" s="399"/>
      <c r="AZ784" s="399"/>
      <c r="BA784" s="399"/>
      <c r="BB784" s="399"/>
      <c r="BC784" s="399"/>
      <c r="BD784" s="399"/>
      <c r="BE784" s="399"/>
      <c r="BF784" s="399"/>
      <c r="BG784" s="399"/>
      <c r="BH784" s="399"/>
      <c r="BI784" s="399"/>
      <c r="BJ784" s="399"/>
      <c r="BK784" s="399"/>
      <c r="BL784" s="399"/>
      <c r="BM784" s="399"/>
      <c r="BN784" s="399"/>
      <c r="BO784" s="399"/>
      <c r="BP784" s="399"/>
      <c r="BQ784" s="399"/>
      <c r="BR784" s="399"/>
      <c r="BS784" s="399"/>
      <c r="BT784" s="399"/>
      <c r="BU784" s="399"/>
      <c r="BV784" s="399"/>
      <c r="BW784" s="399"/>
      <c r="BX784" s="399"/>
      <c r="BY784" s="399"/>
      <c r="BZ784" s="399"/>
      <c r="CA784" s="399"/>
      <c r="CB784" s="399"/>
      <c r="CC784" s="399"/>
      <c r="CD784" s="399"/>
      <c r="CE784" s="399"/>
      <c r="CF784" s="399"/>
      <c r="CG784" s="399"/>
      <c r="CH784" s="399"/>
      <c r="CI784" s="399"/>
      <c r="CJ784" s="399"/>
      <c r="CK784" s="399"/>
      <c r="CL784" s="399"/>
      <c r="CM784" s="399"/>
      <c r="CN784" s="399"/>
      <c r="CO784" s="399"/>
      <c r="CP784" s="399"/>
      <c r="CQ784" s="399"/>
      <c r="CR784" s="399"/>
      <c r="CS784" s="399"/>
      <c r="CT784" s="399"/>
      <c r="CU784" s="399"/>
      <c r="CV784" s="399"/>
      <c r="CW784" s="399"/>
      <c r="CX784" s="399"/>
      <c r="CY784" s="399"/>
      <c r="CZ784" s="399"/>
      <c r="DA784" s="399"/>
      <c r="DB784" s="399"/>
      <c r="DC784" s="399"/>
      <c r="DD784" s="399"/>
      <c r="DE784" s="399"/>
      <c r="DF784" s="399"/>
      <c r="DG784" s="399"/>
      <c r="DH784" s="399"/>
      <c r="DI784" s="399"/>
      <c r="DJ784" s="399"/>
      <c r="DK784" s="399"/>
      <c r="DL784" s="399"/>
      <c r="DM784" s="399"/>
      <c r="DN784" s="399"/>
      <c r="DO784" s="399"/>
      <c r="DP784" s="399"/>
      <c r="DQ784" s="399"/>
    </row>
    <row r="785" spans="1:121" s="760" customFormat="1" ht="14.45" customHeight="1" x14ac:dyDescent="0.25">
      <c r="A785" s="266">
        <f t="shared" si="12"/>
        <v>50.8</v>
      </c>
      <c r="B785" s="389">
        <v>41332</v>
      </c>
      <c r="C785" s="390" t="s">
        <v>904</v>
      </c>
      <c r="D785" s="391" t="s">
        <v>904</v>
      </c>
      <c r="E785" s="390" t="s">
        <v>380</v>
      </c>
      <c r="F785" s="262" t="s">
        <v>151</v>
      </c>
      <c r="G785" s="262" t="s">
        <v>160</v>
      </c>
      <c r="H785" s="261">
        <v>595</v>
      </c>
      <c r="I785" s="261"/>
      <c r="J785" s="261"/>
      <c r="K785" s="261"/>
      <c r="L785" s="261"/>
      <c r="M785" s="261"/>
      <c r="N785" s="261"/>
      <c r="O785" s="261"/>
      <c r="P785" s="261">
        <v>0</v>
      </c>
      <c r="Q785" s="261">
        <v>0</v>
      </c>
      <c r="R785" s="261"/>
      <c r="S785" s="261"/>
      <c r="T785" s="261"/>
      <c r="U785" s="261"/>
      <c r="V785" s="762"/>
      <c r="W785" s="261"/>
      <c r="X785" s="261"/>
      <c r="Y785" s="264">
        <f>IF(NFI_Expiration=1,IF($A785&lt;VLOOKUP(H$5,NFI,5,0),1,0)*Table_NFI[[#This Row],[Hygiene Kit]],Table_NFI[Hygiene Kit])</f>
        <v>0</v>
      </c>
      <c r="Z785" s="264">
        <f>IF(NFI_Expiration=1,IF($A785&lt;VLOOKUP(I$5,NFI,5,0),1,0)*Table_NFI[[#This Row],[NFI Core Kit]],Table_NFI[NFI Core Kit])</f>
        <v>0</v>
      </c>
      <c r="AA785" s="264">
        <f>IF(NFI_Expiration=1,IF($A785&lt;VLOOKUP(J$5,NFI,5,0),1,0)*Table_NFI[[#This Row],[Sanitary Kit]],Table_NFI[Sanitary Kit])</f>
        <v>0</v>
      </c>
      <c r="AB785" s="264">
        <f>IF(NFI_Expiration=1,IF($A785&lt;VLOOKUP(K$5,NFI,5,0),1,0)*Table_NFI[[#This Row],[Mosquito net]],Table_NFI[Mosquito net])</f>
        <v>0</v>
      </c>
      <c r="AC785" s="264">
        <f>IF(NFI_Expiration=1,IF($A785&lt;VLOOKUP(L$5,NFI,5,0),1,0)*Table_NFI[[#This Row],[Tarpaulin]],Table_NFI[[#This Row],[Tarpaulin]])</f>
        <v>0</v>
      </c>
      <c r="AD785" s="264">
        <f>IF(NFI_Expiration=1,IF($A785&lt;VLOOKUP(M$5,NFI,5,0),1,0)*Table_NFI[[#This Row],[Blanket]],Table_NFI[[#This Row],[Blanket]])</f>
        <v>0</v>
      </c>
      <c r="AE785" s="264">
        <f>IF(NFI_Expiration=1,IF($A785&lt;VLOOKUP(N$5,NFI,5,0),1,0)*Table_NFI[[#This Row],[Kitchen Set]],Table_NFI[Kitchen Set])</f>
        <v>0</v>
      </c>
      <c r="AF785" s="264">
        <f>IF(NFI_Expiration=1,IF($A785&lt;VLOOKUP(O$5,NFI,5,0),1,0)*Table_NFI[[#This Row],[Clothes Kit]],Table_NFI[Clothes Kit])</f>
        <v>0</v>
      </c>
      <c r="AG785" s="264">
        <f>IF(NFI_Expiration=1,IF($A785&lt;VLOOKUP(P$5,NFI,5,0),1,0)*Table_NFI[[#This Row],[Plastic Bucket]],Table_NFI[Plastic Bucket])</f>
        <v>0</v>
      </c>
      <c r="AH785" s="264">
        <f>IF(NFI_Expiration=1,IF($A785&lt;VLOOKUP(Q$5,NFI,5,0),1,0)*Table_NFI[[#This Row],[Plastic Mat]],Table_NFI[Plastic Mat])*IF(Table_NFI[[#This Row],[Distribution Date]]&gt;"2014-04-01",1,2.5)</f>
        <v>0</v>
      </c>
      <c r="AI785" s="264">
        <f>IF(NFI_Expiration=1,IF($A785&lt;VLOOKUP(R$5,NFI,5,0),1,0)*Table_NFI[[#This Row],[Winter Clothes Adult]],Table_NFI[Winter Clothes Adult])</f>
        <v>0</v>
      </c>
      <c r="AJ785" s="264">
        <f>IF(NFI_Expiration=1,IF($A785&lt;VLOOKUP(S$5,NFI,5,0),1,0)*Table_NFI[[#This Row],[Winter Clothes Children]],Table_NFI[Winter Clothes Children])</f>
        <v>0</v>
      </c>
      <c r="AK785" s="264">
        <f>IF(NFI_Expiration=1,IF($A785&lt;VLOOKUP(T$5,NFI,5,0),1,0)*Table_NFI[[#This Row],[Winter Items Other]],Table_NFI[Winter Items Other])</f>
        <v>0</v>
      </c>
      <c r="AL785" s="264">
        <f>IF(NFI_Expiration=1,IF($A785&lt;VLOOKUP(M$5,NFI,5,0),1,0)*Table_NFI[[#This Row],[Winter Blanket]],Table_NFI[[#This Row],[Winter Blanket]])</f>
        <v>0</v>
      </c>
      <c r="AM785" s="264">
        <f>IF(Table_NFI[[#This Row],[Winter Clothes Adult]]+Table_NFI[[#This Row],[Winter Clothes Children]]+Table_NFI[[#This Row],[Winter Items Other]]+Table_NFI[[#This Row],[Winter Blanket]]&gt;0,1,0)</f>
        <v>0</v>
      </c>
      <c r="AN785" s="296">
        <f>IF(NFI_Expiration=1,IF($A785&lt;VLOOKUP(V$5,NFI,5,0),1,0)*Table_NFI[[#This Row],[Jerry Can]],Table_NFI[Jerry Can])</f>
        <v>0</v>
      </c>
      <c r="AO785" s="296">
        <f>IF(NFI_Expiration=1,IF($A785&lt;VLOOKUP(V$5,NFI,5,0),1,0)*Table_NFI[[#This Row],[Shelter Tool kit]],Table_NFI[Shelter Tool kit])</f>
        <v>0</v>
      </c>
      <c r="AP785" s="296">
        <f>IF(NFI_Expiration=1,IF($A785&lt;VLOOKUP(V$5,NFI,5,0),1,0)*Table_NFI[[#This Row],[Tent]],Table_NFI[Tent])</f>
        <v>0</v>
      </c>
      <c r="AQ785" s="396" t="str">
        <f>IFERROR(VLOOKUP(Table_NFI[[#This Row],[Camp Name]],CL,2,0),"")</f>
        <v>MMR001CMP133</v>
      </c>
      <c r="AR785" s="702">
        <f ca="1">IF(Table_NFI[[#This Row],[Pcode]]="","",IF(OFFSET(CampList[Opening Date],MATCH(Table_NFI[[#This Row],[Pcode]],CampList[CP_Pcode],0)-1,0,1,1)&gt;=NFI_Monitor_Date,1,0))</f>
        <v>0</v>
      </c>
      <c r="AS785" s="396" t="str">
        <f>IFERROR(VLOOKUP(Table_NFI[[#This Row],[Camp Name]],CL,3,0),"")</f>
        <v>Open</v>
      </c>
      <c r="AT785" s="264" t="str">
        <f ca="1">IF(Table_NFI[[#This Row],[Pcode]]="","",OFFSET(CampList[Priority],MATCH(Table_NFI[[#This Row],[Pcode]],CampList[CP_Pcode],0)-1,0,1,1))</f>
        <v>P4</v>
      </c>
      <c r="AU785" s="263">
        <f>IFERROR(Table_NFI[[#This Row],[Kitchen Set]]/VLOOKUP(Table_NFI[[#This Row],[Camp Name]],CL,4,0),"")</f>
        <v>0</v>
      </c>
      <c r="AV785" s="390" t="s">
        <v>1087</v>
      </c>
      <c r="AW785" s="392"/>
      <c r="AX785" s="399"/>
      <c r="AY785" s="399"/>
      <c r="AZ785" s="399"/>
      <c r="BA785" s="399"/>
      <c r="BB785" s="399"/>
      <c r="BC785" s="399"/>
      <c r="BD785" s="399"/>
      <c r="BE785" s="399"/>
      <c r="BF785" s="399"/>
      <c r="BG785" s="399"/>
      <c r="BH785" s="399"/>
      <c r="BI785" s="399"/>
      <c r="BJ785" s="399"/>
      <c r="BK785" s="399"/>
      <c r="BL785" s="399"/>
      <c r="BM785" s="399"/>
      <c r="BN785" s="399"/>
      <c r="BO785" s="399"/>
      <c r="BP785" s="399"/>
      <c r="BQ785" s="399"/>
      <c r="BR785" s="399"/>
      <c r="BS785" s="399"/>
      <c r="BT785" s="399"/>
      <c r="BU785" s="399"/>
      <c r="BV785" s="399"/>
      <c r="BW785" s="399"/>
      <c r="BX785" s="399"/>
      <c r="BY785" s="399"/>
      <c r="BZ785" s="399"/>
      <c r="CA785" s="399"/>
      <c r="CB785" s="399"/>
      <c r="CC785" s="399"/>
      <c r="CD785" s="399"/>
      <c r="CE785" s="399"/>
      <c r="CF785" s="399"/>
      <c r="CG785" s="399"/>
      <c r="CH785" s="399"/>
      <c r="CI785" s="399"/>
      <c r="CJ785" s="399"/>
      <c r="CK785" s="399"/>
      <c r="CL785" s="399"/>
      <c r="CM785" s="399"/>
      <c r="CN785" s="399"/>
      <c r="CO785" s="399"/>
      <c r="CP785" s="399"/>
      <c r="CQ785" s="399"/>
      <c r="CR785" s="399"/>
      <c r="CS785" s="399"/>
      <c r="CT785" s="399"/>
      <c r="CU785" s="399"/>
      <c r="CV785" s="399"/>
      <c r="CW785" s="399"/>
      <c r="CX785" s="399"/>
      <c r="CY785" s="399"/>
      <c r="CZ785" s="399"/>
      <c r="DA785" s="399"/>
      <c r="DB785" s="399"/>
      <c r="DC785" s="399"/>
      <c r="DD785" s="399"/>
      <c r="DE785" s="399"/>
      <c r="DF785" s="399"/>
      <c r="DG785" s="399"/>
      <c r="DH785" s="399"/>
      <c r="DI785" s="399"/>
      <c r="DJ785" s="399"/>
      <c r="DK785" s="399"/>
      <c r="DL785" s="399"/>
      <c r="DM785" s="399"/>
      <c r="DN785" s="399"/>
      <c r="DO785" s="399"/>
      <c r="DP785" s="399"/>
      <c r="DQ785" s="399"/>
    </row>
    <row r="786" spans="1:121" s="760" customFormat="1" ht="14.45" customHeight="1" x14ac:dyDescent="0.25">
      <c r="A786" s="266">
        <f t="shared" si="12"/>
        <v>50.833333333333336</v>
      </c>
      <c r="B786" s="389">
        <v>41331</v>
      </c>
      <c r="C786" s="390" t="s">
        <v>899</v>
      </c>
      <c r="D786" s="391" t="s">
        <v>899</v>
      </c>
      <c r="E786" s="390" t="s">
        <v>380</v>
      </c>
      <c r="F786" s="390" t="s">
        <v>310</v>
      </c>
      <c r="G786" s="262" t="s">
        <v>313</v>
      </c>
      <c r="H786" s="261"/>
      <c r="I786" s="261"/>
      <c r="J786" s="261">
        <v>136</v>
      </c>
      <c r="K786" s="261"/>
      <c r="L786" s="261">
        <v>66</v>
      </c>
      <c r="M786" s="261"/>
      <c r="N786" s="261">
        <v>70</v>
      </c>
      <c r="O786" s="261"/>
      <c r="P786" s="261">
        <v>0</v>
      </c>
      <c r="Q786" s="261">
        <v>0</v>
      </c>
      <c r="R786" s="261"/>
      <c r="S786" s="261"/>
      <c r="T786" s="261"/>
      <c r="U786" s="261"/>
      <c r="V786" s="762"/>
      <c r="W786" s="261"/>
      <c r="X786" s="261"/>
      <c r="Y786" s="264">
        <f>IF(NFI_Expiration=1,IF($A786&lt;VLOOKUP(H$5,NFI,5,0),1,0)*Table_NFI[[#This Row],[Hygiene Kit]],Table_NFI[Hygiene Kit])</f>
        <v>0</v>
      </c>
      <c r="Z786" s="264">
        <f>IF(NFI_Expiration=1,IF($A786&lt;VLOOKUP(I$5,NFI,5,0),1,0)*Table_NFI[[#This Row],[NFI Core Kit]],Table_NFI[NFI Core Kit])</f>
        <v>0</v>
      </c>
      <c r="AA786" s="264">
        <f>IF(NFI_Expiration=1,IF($A786&lt;VLOOKUP(J$5,NFI,5,0),1,0)*Table_NFI[[#This Row],[Sanitary Kit]],Table_NFI[Sanitary Kit])</f>
        <v>0</v>
      </c>
      <c r="AB786" s="264">
        <f>IF(NFI_Expiration=1,IF($A786&lt;VLOOKUP(K$5,NFI,5,0),1,0)*Table_NFI[[#This Row],[Mosquito net]],Table_NFI[Mosquito net])</f>
        <v>0</v>
      </c>
      <c r="AC786" s="264">
        <f>IF(NFI_Expiration=1,IF($A786&lt;VLOOKUP(L$5,NFI,5,0),1,0)*Table_NFI[[#This Row],[Tarpaulin]],Table_NFI[[#This Row],[Tarpaulin]])</f>
        <v>0</v>
      </c>
      <c r="AD786" s="264">
        <f>IF(NFI_Expiration=1,IF($A786&lt;VLOOKUP(M$5,NFI,5,0),1,0)*Table_NFI[[#This Row],[Blanket]],Table_NFI[[#This Row],[Blanket]])</f>
        <v>0</v>
      </c>
      <c r="AE786" s="264">
        <f>IF(NFI_Expiration=1,IF($A786&lt;VLOOKUP(N$5,NFI,5,0),1,0)*Table_NFI[[#This Row],[Kitchen Set]],Table_NFI[Kitchen Set])</f>
        <v>0</v>
      </c>
      <c r="AF786" s="264">
        <f>IF(NFI_Expiration=1,IF($A786&lt;VLOOKUP(O$5,NFI,5,0),1,0)*Table_NFI[[#This Row],[Clothes Kit]],Table_NFI[Clothes Kit])</f>
        <v>0</v>
      </c>
      <c r="AG786" s="264">
        <f>IF(NFI_Expiration=1,IF($A786&lt;VLOOKUP(P$5,NFI,5,0),1,0)*Table_NFI[[#This Row],[Plastic Bucket]],Table_NFI[Plastic Bucket])</f>
        <v>0</v>
      </c>
      <c r="AH786" s="264">
        <f>IF(NFI_Expiration=1,IF($A786&lt;VLOOKUP(Q$5,NFI,5,0),1,0)*Table_NFI[[#This Row],[Plastic Mat]],Table_NFI[Plastic Mat])*IF(Table_NFI[[#This Row],[Distribution Date]]&gt;"2014-04-01",1,2.5)</f>
        <v>0</v>
      </c>
      <c r="AI786" s="264">
        <f>IF(NFI_Expiration=1,IF($A786&lt;VLOOKUP(R$5,NFI,5,0),1,0)*Table_NFI[[#This Row],[Winter Clothes Adult]],Table_NFI[Winter Clothes Adult])</f>
        <v>0</v>
      </c>
      <c r="AJ786" s="264">
        <f>IF(NFI_Expiration=1,IF($A786&lt;VLOOKUP(S$5,NFI,5,0),1,0)*Table_NFI[[#This Row],[Winter Clothes Children]],Table_NFI[Winter Clothes Children])</f>
        <v>0</v>
      </c>
      <c r="AK786" s="264">
        <f>IF(NFI_Expiration=1,IF($A786&lt;VLOOKUP(T$5,NFI,5,0),1,0)*Table_NFI[[#This Row],[Winter Items Other]],Table_NFI[Winter Items Other])</f>
        <v>0</v>
      </c>
      <c r="AL786" s="264">
        <f>IF(NFI_Expiration=1,IF($A786&lt;VLOOKUP(M$5,NFI,5,0),1,0)*Table_NFI[[#This Row],[Winter Blanket]],Table_NFI[[#This Row],[Winter Blanket]])</f>
        <v>0</v>
      </c>
      <c r="AM786" s="264">
        <f>IF(Table_NFI[[#This Row],[Winter Clothes Adult]]+Table_NFI[[#This Row],[Winter Clothes Children]]+Table_NFI[[#This Row],[Winter Items Other]]+Table_NFI[[#This Row],[Winter Blanket]]&gt;0,1,0)</f>
        <v>0</v>
      </c>
      <c r="AN786" s="296">
        <f>IF(NFI_Expiration=1,IF($A786&lt;VLOOKUP(V$5,NFI,5,0),1,0)*Table_NFI[[#This Row],[Jerry Can]],Table_NFI[Jerry Can])</f>
        <v>0</v>
      </c>
      <c r="AO786" s="296">
        <f>IF(NFI_Expiration=1,IF($A786&lt;VLOOKUP(V$5,NFI,5,0),1,0)*Table_NFI[[#This Row],[Shelter Tool kit]],Table_NFI[Shelter Tool kit])</f>
        <v>0</v>
      </c>
      <c r="AP786" s="296">
        <f>IF(NFI_Expiration=1,IF($A786&lt;VLOOKUP(V$5,NFI,5,0),1,0)*Table_NFI[[#This Row],[Tent]],Table_NFI[Tent])</f>
        <v>0</v>
      </c>
      <c r="AQ786" s="396" t="str">
        <f>IFERROR(VLOOKUP(Table_NFI[[#This Row],[Camp Name]],CL,2,0),"")</f>
        <v>MMR001CMP028</v>
      </c>
      <c r="AR786" s="702">
        <f ca="1">IF(Table_NFI[[#This Row],[Pcode]]="","",IF(OFFSET(CampList[Opening Date],MATCH(Table_NFI[[#This Row],[Pcode]],CampList[CP_Pcode],0)-1,0,1,1)&gt;=NFI_Monitor_Date,1,0))</f>
        <v>0</v>
      </c>
      <c r="AS786" s="396" t="str">
        <f>IFERROR(VLOOKUP(Table_NFI[[#This Row],[Camp Name]],CL,3,0),"")</f>
        <v>Open</v>
      </c>
      <c r="AT786" s="264" t="str">
        <f ca="1">IF(Table_NFI[[#This Row],[Pcode]]="","",OFFSET(CampList[Priority],MATCH(Table_NFI[[#This Row],[Pcode]],CampList[CP_Pcode],0)-1,0,1,1))</f>
        <v>P4</v>
      </c>
      <c r="AU786" s="263">
        <f>IFERROR(Table_NFI[[#This Row],[Kitchen Set]]/VLOOKUP(Table_NFI[[#This Row],[Camp Name]],CL,4,0),"")</f>
        <v>1.7201130359995086E-3</v>
      </c>
      <c r="AV786" s="390" t="s">
        <v>1087</v>
      </c>
      <c r="AW786" s="392"/>
      <c r="AX786" s="399"/>
      <c r="AY786" s="399"/>
      <c r="AZ786" s="399"/>
      <c r="BA786" s="399"/>
      <c r="BB786" s="399"/>
      <c r="BC786" s="399"/>
      <c r="BD786" s="399"/>
      <c r="BE786" s="399"/>
      <c r="BF786" s="399"/>
      <c r="BG786" s="399"/>
      <c r="BH786" s="399"/>
      <c r="BI786" s="399"/>
      <c r="BJ786" s="399"/>
      <c r="BK786" s="399"/>
      <c r="BL786" s="399"/>
      <c r="BM786" s="399"/>
      <c r="BN786" s="399"/>
      <c r="BO786" s="399"/>
      <c r="BP786" s="399"/>
      <c r="BQ786" s="399"/>
      <c r="BR786" s="399"/>
      <c r="BS786" s="399"/>
      <c r="BT786" s="399"/>
      <c r="BU786" s="399"/>
      <c r="BV786" s="399"/>
      <c r="BW786" s="399"/>
      <c r="BX786" s="399"/>
      <c r="BY786" s="399"/>
      <c r="BZ786" s="399"/>
      <c r="CA786" s="399"/>
      <c r="CB786" s="399"/>
      <c r="CC786" s="399"/>
      <c r="CD786" s="399"/>
      <c r="CE786" s="399"/>
      <c r="CF786" s="399"/>
      <c r="CG786" s="399"/>
      <c r="CH786" s="399"/>
      <c r="CI786" s="399"/>
      <c r="CJ786" s="399"/>
      <c r="CK786" s="399"/>
      <c r="CL786" s="399"/>
      <c r="CM786" s="399"/>
      <c r="CN786" s="399"/>
      <c r="CO786" s="399"/>
      <c r="CP786" s="399"/>
      <c r="CQ786" s="399"/>
      <c r="CR786" s="399"/>
      <c r="CS786" s="399"/>
      <c r="CT786" s="399"/>
      <c r="CU786" s="399"/>
      <c r="CV786" s="399"/>
      <c r="CW786" s="399"/>
      <c r="CX786" s="399"/>
      <c r="CY786" s="399"/>
      <c r="CZ786" s="399"/>
      <c r="DA786" s="399"/>
      <c r="DB786" s="399"/>
      <c r="DC786" s="399"/>
      <c r="DD786" s="399"/>
      <c r="DE786" s="399"/>
      <c r="DF786" s="399"/>
      <c r="DG786" s="399"/>
      <c r="DH786" s="399"/>
      <c r="DI786" s="399"/>
      <c r="DJ786" s="399"/>
      <c r="DK786" s="399"/>
      <c r="DL786" s="399"/>
      <c r="DM786" s="399"/>
      <c r="DN786" s="399"/>
      <c r="DO786" s="399"/>
      <c r="DP786" s="399"/>
      <c r="DQ786" s="399"/>
    </row>
    <row r="787" spans="1:121" s="760" customFormat="1" ht="14.45" customHeight="1" x14ac:dyDescent="0.25">
      <c r="A787" s="266">
        <f t="shared" si="12"/>
        <v>50.833333333333336</v>
      </c>
      <c r="B787" s="389">
        <v>41331</v>
      </c>
      <c r="C787" s="390" t="s">
        <v>899</v>
      </c>
      <c r="D787" s="390" t="s">
        <v>899</v>
      </c>
      <c r="E787" s="390" t="s">
        <v>380</v>
      </c>
      <c r="F787" s="390" t="s">
        <v>237</v>
      </c>
      <c r="G787" s="262" t="s">
        <v>255</v>
      </c>
      <c r="H787" s="261"/>
      <c r="I787" s="261"/>
      <c r="J787" s="261">
        <v>99</v>
      </c>
      <c r="K787" s="261"/>
      <c r="L787" s="261">
        <v>99</v>
      </c>
      <c r="M787" s="261"/>
      <c r="N787" s="261"/>
      <c r="O787" s="261"/>
      <c r="P787" s="261">
        <v>0</v>
      </c>
      <c r="Q787" s="261">
        <v>0</v>
      </c>
      <c r="R787" s="261"/>
      <c r="S787" s="261"/>
      <c r="T787" s="261"/>
      <c r="U787" s="261"/>
      <c r="V787" s="762"/>
      <c r="W787" s="261"/>
      <c r="X787" s="261"/>
      <c r="Y787" s="264">
        <f>IF(NFI_Expiration=1,IF($A787&lt;VLOOKUP(H$5,NFI,5,0),1,0)*Table_NFI[[#This Row],[Hygiene Kit]],Table_NFI[Hygiene Kit])</f>
        <v>0</v>
      </c>
      <c r="Z787" s="264">
        <f>IF(NFI_Expiration=1,IF($A787&lt;VLOOKUP(I$5,NFI,5,0),1,0)*Table_NFI[[#This Row],[NFI Core Kit]],Table_NFI[NFI Core Kit])</f>
        <v>0</v>
      </c>
      <c r="AA787" s="264">
        <f>IF(NFI_Expiration=1,IF($A787&lt;VLOOKUP(J$5,NFI,5,0),1,0)*Table_NFI[[#This Row],[Sanitary Kit]],Table_NFI[Sanitary Kit])</f>
        <v>0</v>
      </c>
      <c r="AB787" s="264">
        <f>IF(NFI_Expiration=1,IF($A787&lt;VLOOKUP(K$5,NFI,5,0),1,0)*Table_NFI[[#This Row],[Mosquito net]],Table_NFI[Mosquito net])</f>
        <v>0</v>
      </c>
      <c r="AC787" s="264">
        <f>IF(NFI_Expiration=1,IF($A787&lt;VLOOKUP(L$5,NFI,5,0),1,0)*Table_NFI[[#This Row],[Tarpaulin]],Table_NFI[[#This Row],[Tarpaulin]])</f>
        <v>0</v>
      </c>
      <c r="AD787" s="264">
        <f>IF(NFI_Expiration=1,IF($A787&lt;VLOOKUP(M$5,NFI,5,0),1,0)*Table_NFI[[#This Row],[Blanket]],Table_NFI[[#This Row],[Blanket]])</f>
        <v>0</v>
      </c>
      <c r="AE787" s="264">
        <f>IF(NFI_Expiration=1,IF($A787&lt;VLOOKUP(N$5,NFI,5,0),1,0)*Table_NFI[[#This Row],[Kitchen Set]],Table_NFI[Kitchen Set])</f>
        <v>0</v>
      </c>
      <c r="AF787" s="264">
        <f>IF(NFI_Expiration=1,IF($A787&lt;VLOOKUP(O$5,NFI,5,0),1,0)*Table_NFI[[#This Row],[Clothes Kit]],Table_NFI[Clothes Kit])</f>
        <v>0</v>
      </c>
      <c r="AG787" s="264">
        <f>IF(NFI_Expiration=1,IF($A787&lt;VLOOKUP(P$5,NFI,5,0),1,0)*Table_NFI[[#This Row],[Plastic Bucket]],Table_NFI[Plastic Bucket])</f>
        <v>0</v>
      </c>
      <c r="AH787" s="264">
        <f>IF(NFI_Expiration=1,IF($A787&lt;VLOOKUP(Q$5,NFI,5,0),1,0)*Table_NFI[[#This Row],[Plastic Mat]],Table_NFI[Plastic Mat])*IF(Table_NFI[[#This Row],[Distribution Date]]&gt;"2014-04-01",1,2.5)</f>
        <v>0</v>
      </c>
      <c r="AI787" s="264">
        <f>IF(NFI_Expiration=1,IF($A787&lt;VLOOKUP(R$5,NFI,5,0),1,0)*Table_NFI[[#This Row],[Winter Clothes Adult]],Table_NFI[Winter Clothes Adult])</f>
        <v>0</v>
      </c>
      <c r="AJ787" s="264">
        <f>IF(NFI_Expiration=1,IF($A787&lt;VLOOKUP(S$5,NFI,5,0),1,0)*Table_NFI[[#This Row],[Winter Clothes Children]],Table_NFI[Winter Clothes Children])</f>
        <v>0</v>
      </c>
      <c r="AK787" s="264">
        <f>IF(NFI_Expiration=1,IF($A787&lt;VLOOKUP(T$5,NFI,5,0),1,0)*Table_NFI[[#This Row],[Winter Items Other]],Table_NFI[Winter Items Other])</f>
        <v>0</v>
      </c>
      <c r="AL787" s="264">
        <f>IF(NFI_Expiration=1,IF($A787&lt;VLOOKUP(M$5,NFI,5,0),1,0)*Table_NFI[[#This Row],[Winter Blanket]],Table_NFI[[#This Row],[Winter Blanket]])</f>
        <v>0</v>
      </c>
      <c r="AM787" s="264">
        <f>IF(Table_NFI[[#This Row],[Winter Clothes Adult]]+Table_NFI[[#This Row],[Winter Clothes Children]]+Table_NFI[[#This Row],[Winter Items Other]]+Table_NFI[[#This Row],[Winter Blanket]]&gt;0,1,0)</f>
        <v>0</v>
      </c>
      <c r="AN787" s="296">
        <f>IF(NFI_Expiration=1,IF($A787&lt;VLOOKUP(V$5,NFI,5,0),1,0)*Table_NFI[[#This Row],[Jerry Can]],Table_NFI[Jerry Can])</f>
        <v>0</v>
      </c>
      <c r="AO787" s="296">
        <f>IF(NFI_Expiration=1,IF($A787&lt;VLOOKUP(V$5,NFI,5,0),1,0)*Table_NFI[[#This Row],[Shelter Tool kit]],Table_NFI[Shelter Tool kit])</f>
        <v>0</v>
      </c>
      <c r="AP787" s="296">
        <f>IF(NFI_Expiration=1,IF($A787&lt;VLOOKUP(V$5,NFI,5,0),1,0)*Table_NFI[[#This Row],[Tent]],Table_NFI[Tent])</f>
        <v>0</v>
      </c>
      <c r="AQ787" s="396" t="str">
        <f>IFERROR(VLOOKUP(Table_NFI[[#This Row],[Camp Name]],CL,2,0),"")</f>
        <v>MMR001CMP019</v>
      </c>
      <c r="AR787" s="702">
        <f ca="1">IF(Table_NFI[[#This Row],[Pcode]]="","",IF(OFFSET(CampList[Opening Date],MATCH(Table_NFI[[#This Row],[Pcode]],CampList[CP_Pcode],0)-1,0,1,1)&gt;=NFI_Monitor_Date,1,0))</f>
        <v>0</v>
      </c>
      <c r="AS787" s="396" t="str">
        <f>IFERROR(VLOOKUP(Table_NFI[[#This Row],[Camp Name]],CL,3,0),"")</f>
        <v>Open</v>
      </c>
      <c r="AT787" s="264" t="str">
        <f ca="1">IF(Table_NFI[[#This Row],[Pcode]]="","",OFFSET(CampList[Priority],MATCH(Table_NFI[[#This Row],[Pcode]],CampList[CP_Pcode],0)-1,0,1,1))</f>
        <v>P4</v>
      </c>
      <c r="AU787" s="263">
        <f>IFERROR(Table_NFI[[#This Row],[Kitchen Set]]/VLOOKUP(Table_NFI[[#This Row],[Camp Name]],CL,4,0),"")</f>
        <v>0</v>
      </c>
      <c r="AV787" s="390" t="s">
        <v>1087</v>
      </c>
      <c r="AW787" s="392"/>
      <c r="AX787" s="399"/>
      <c r="AY787" s="399"/>
      <c r="AZ787" s="399"/>
      <c r="BA787" s="399"/>
      <c r="BB787" s="399"/>
      <c r="BC787" s="399"/>
      <c r="BD787" s="399"/>
      <c r="BE787" s="399"/>
      <c r="BF787" s="399"/>
      <c r="BG787" s="399"/>
      <c r="BH787" s="399"/>
      <c r="BI787" s="399"/>
      <c r="BJ787" s="399"/>
      <c r="BK787" s="399"/>
      <c r="BL787" s="399"/>
      <c r="BM787" s="399"/>
      <c r="BN787" s="399"/>
      <c r="BO787" s="399"/>
      <c r="BP787" s="399"/>
      <c r="BQ787" s="399"/>
      <c r="BR787" s="399"/>
      <c r="BS787" s="399"/>
      <c r="BT787" s="399"/>
      <c r="BU787" s="399"/>
      <c r="BV787" s="399"/>
      <c r="BW787" s="399"/>
      <c r="BX787" s="399"/>
      <c r="BY787" s="399"/>
      <c r="BZ787" s="399"/>
      <c r="CA787" s="399"/>
      <c r="CB787" s="399"/>
      <c r="CC787" s="399"/>
      <c r="CD787" s="399"/>
      <c r="CE787" s="399"/>
      <c r="CF787" s="399"/>
      <c r="CG787" s="399"/>
      <c r="CH787" s="399"/>
      <c r="CI787" s="399"/>
      <c r="CJ787" s="399"/>
      <c r="CK787" s="399"/>
      <c r="CL787" s="399"/>
      <c r="CM787" s="399"/>
      <c r="CN787" s="399"/>
      <c r="CO787" s="399"/>
      <c r="CP787" s="399"/>
      <c r="CQ787" s="399"/>
      <c r="CR787" s="399"/>
      <c r="CS787" s="399"/>
      <c r="CT787" s="399"/>
      <c r="CU787" s="399"/>
      <c r="CV787" s="399"/>
      <c r="CW787" s="399"/>
      <c r="CX787" s="399"/>
      <c r="CY787" s="399"/>
      <c r="CZ787" s="399"/>
      <c r="DA787" s="399"/>
      <c r="DB787" s="399"/>
      <c r="DC787" s="399"/>
      <c r="DD787" s="399"/>
      <c r="DE787" s="399"/>
      <c r="DF787" s="399"/>
      <c r="DG787" s="399"/>
      <c r="DH787" s="399"/>
      <c r="DI787" s="399"/>
      <c r="DJ787" s="399"/>
      <c r="DK787" s="399"/>
      <c r="DL787" s="399"/>
      <c r="DM787" s="399"/>
      <c r="DN787" s="399"/>
      <c r="DO787" s="399"/>
      <c r="DP787" s="399"/>
      <c r="DQ787" s="399"/>
    </row>
    <row r="788" spans="1:121" s="760" customFormat="1" ht="14.45" customHeight="1" x14ac:dyDescent="0.25">
      <c r="A788" s="266">
        <f t="shared" si="12"/>
        <v>50.866666666666667</v>
      </c>
      <c r="B788" s="389">
        <v>41330</v>
      </c>
      <c r="C788" s="390" t="s">
        <v>451</v>
      </c>
      <c r="D788" s="391" t="s">
        <v>903</v>
      </c>
      <c r="E788" s="390" t="s">
        <v>380</v>
      </c>
      <c r="F788" s="262" t="s">
        <v>27</v>
      </c>
      <c r="G788" s="262" t="s">
        <v>28</v>
      </c>
      <c r="H788" s="261"/>
      <c r="I788" s="261"/>
      <c r="J788" s="261">
        <v>11</v>
      </c>
      <c r="K788" s="261">
        <v>17</v>
      </c>
      <c r="L788" s="261">
        <v>7</v>
      </c>
      <c r="M788" s="261">
        <v>17</v>
      </c>
      <c r="N788" s="261">
        <v>7</v>
      </c>
      <c r="O788" s="261">
        <v>7</v>
      </c>
      <c r="P788" s="261">
        <v>7</v>
      </c>
      <c r="Q788" s="261">
        <v>7</v>
      </c>
      <c r="R788" s="261"/>
      <c r="S788" s="261"/>
      <c r="T788" s="261"/>
      <c r="U788" s="261"/>
      <c r="V788" s="762"/>
      <c r="W788" s="261"/>
      <c r="X788" s="261"/>
      <c r="Y788" s="264">
        <f>IF(NFI_Expiration=1,IF($A788&lt;VLOOKUP(H$5,NFI,5,0),1,0)*Table_NFI[[#This Row],[Hygiene Kit]],Table_NFI[Hygiene Kit])</f>
        <v>0</v>
      </c>
      <c r="Z788" s="264">
        <f>IF(NFI_Expiration=1,IF($A788&lt;VLOOKUP(I$5,NFI,5,0),1,0)*Table_NFI[[#This Row],[NFI Core Kit]],Table_NFI[NFI Core Kit])</f>
        <v>0</v>
      </c>
      <c r="AA788" s="264">
        <f>IF(NFI_Expiration=1,IF($A788&lt;VLOOKUP(J$5,NFI,5,0),1,0)*Table_NFI[[#This Row],[Sanitary Kit]],Table_NFI[Sanitary Kit])</f>
        <v>0</v>
      </c>
      <c r="AB788" s="264">
        <f>IF(NFI_Expiration=1,IF($A788&lt;VLOOKUP(K$5,NFI,5,0),1,0)*Table_NFI[[#This Row],[Mosquito net]],Table_NFI[Mosquito net])</f>
        <v>0</v>
      </c>
      <c r="AC788" s="264">
        <f>IF(NFI_Expiration=1,IF($A788&lt;VLOOKUP(L$5,NFI,5,0),1,0)*Table_NFI[[#This Row],[Tarpaulin]],Table_NFI[[#This Row],[Tarpaulin]])</f>
        <v>0</v>
      </c>
      <c r="AD788" s="264">
        <f>IF(NFI_Expiration=1,IF($A788&lt;VLOOKUP(M$5,NFI,5,0),1,0)*Table_NFI[[#This Row],[Blanket]],Table_NFI[[#This Row],[Blanket]])</f>
        <v>0</v>
      </c>
      <c r="AE788" s="264">
        <f>IF(NFI_Expiration=1,IF($A788&lt;VLOOKUP(N$5,NFI,5,0),1,0)*Table_NFI[[#This Row],[Kitchen Set]],Table_NFI[Kitchen Set])</f>
        <v>0</v>
      </c>
      <c r="AF788" s="264">
        <f>IF(NFI_Expiration=1,IF($A788&lt;VLOOKUP(O$5,NFI,5,0),1,0)*Table_NFI[[#This Row],[Clothes Kit]],Table_NFI[Clothes Kit])</f>
        <v>0</v>
      </c>
      <c r="AG788" s="264">
        <f>IF(NFI_Expiration=1,IF($A788&lt;VLOOKUP(P$5,NFI,5,0),1,0)*Table_NFI[[#This Row],[Plastic Bucket]],Table_NFI[Plastic Bucket])</f>
        <v>0</v>
      </c>
      <c r="AH788" s="264">
        <f>IF(NFI_Expiration=1,IF($A788&lt;VLOOKUP(Q$5,NFI,5,0),1,0)*Table_NFI[[#This Row],[Plastic Mat]],Table_NFI[Plastic Mat])*IF(Table_NFI[[#This Row],[Distribution Date]]&gt;"2014-04-01",1,2.5)</f>
        <v>0</v>
      </c>
      <c r="AI788" s="264">
        <f>IF(NFI_Expiration=1,IF($A788&lt;VLOOKUP(R$5,NFI,5,0),1,0)*Table_NFI[[#This Row],[Winter Clothes Adult]],Table_NFI[Winter Clothes Adult])</f>
        <v>0</v>
      </c>
      <c r="AJ788" s="264">
        <f>IF(NFI_Expiration=1,IF($A788&lt;VLOOKUP(S$5,NFI,5,0),1,0)*Table_NFI[[#This Row],[Winter Clothes Children]],Table_NFI[Winter Clothes Children])</f>
        <v>0</v>
      </c>
      <c r="AK788" s="264">
        <f>IF(NFI_Expiration=1,IF($A788&lt;VLOOKUP(T$5,NFI,5,0),1,0)*Table_NFI[[#This Row],[Winter Items Other]],Table_NFI[Winter Items Other])</f>
        <v>0</v>
      </c>
      <c r="AL788" s="264">
        <f>IF(NFI_Expiration=1,IF($A788&lt;VLOOKUP(M$5,NFI,5,0),1,0)*Table_NFI[[#This Row],[Winter Blanket]],Table_NFI[[#This Row],[Winter Blanket]])</f>
        <v>0</v>
      </c>
      <c r="AM788" s="264">
        <f>IF(Table_NFI[[#This Row],[Winter Clothes Adult]]+Table_NFI[[#This Row],[Winter Clothes Children]]+Table_NFI[[#This Row],[Winter Items Other]]+Table_NFI[[#This Row],[Winter Blanket]]&gt;0,1,0)</f>
        <v>0</v>
      </c>
      <c r="AN788" s="296">
        <f>IF(NFI_Expiration=1,IF($A788&lt;VLOOKUP(V$5,NFI,5,0),1,0)*Table_NFI[[#This Row],[Jerry Can]],Table_NFI[Jerry Can])</f>
        <v>0</v>
      </c>
      <c r="AO788" s="296">
        <f>IF(NFI_Expiration=1,IF($A788&lt;VLOOKUP(V$5,NFI,5,0),1,0)*Table_NFI[[#This Row],[Shelter Tool kit]],Table_NFI[Shelter Tool kit])</f>
        <v>0</v>
      </c>
      <c r="AP788" s="296">
        <f>IF(NFI_Expiration=1,IF($A788&lt;VLOOKUP(V$5,NFI,5,0),1,0)*Table_NFI[[#This Row],[Tent]],Table_NFI[Tent])</f>
        <v>0</v>
      </c>
      <c r="AQ788" s="396" t="str">
        <f>IFERROR(VLOOKUP(Table_NFI[[#This Row],[Camp Name]],CL,2,0),"")</f>
        <v>MMR001CMP042</v>
      </c>
      <c r="AR788" s="702">
        <f ca="1">IF(Table_NFI[[#This Row],[Pcode]]="","",IF(OFFSET(CampList[Opening Date],MATCH(Table_NFI[[#This Row],[Pcode]],CampList[CP_Pcode],0)-1,0,1,1)&gt;=NFI_Monitor_Date,1,0))</f>
        <v>0</v>
      </c>
      <c r="AS788" s="396" t="str">
        <f>IFERROR(VLOOKUP(Table_NFI[[#This Row],[Camp Name]],CL,3,0),"")</f>
        <v>Open</v>
      </c>
      <c r="AT788" s="264" t="str">
        <f ca="1">IF(Table_NFI[[#This Row],[Pcode]]="","",OFFSET(CampList[Priority],MATCH(Table_NFI[[#This Row],[Pcode]],CampList[CP_Pcode],0)-1,0,1,1))</f>
        <v>P1</v>
      </c>
      <c r="AU788" s="263">
        <f>IFERROR(Table_NFI[[#This Row],[Kitchen Set]]/VLOOKUP(Table_NFI[[#This Row],[Camp Name]],CL,4,0),"")</f>
        <v>1.6972165648336727E-4</v>
      </c>
      <c r="AV788" s="390" t="s">
        <v>1087</v>
      </c>
      <c r="AW788" s="392"/>
      <c r="AX788" s="399"/>
      <c r="AY788" s="399"/>
      <c r="AZ788" s="399"/>
      <c r="BA788" s="399"/>
      <c r="BB788" s="399"/>
      <c r="BC788" s="399"/>
      <c r="BD788" s="399"/>
      <c r="BE788" s="399"/>
      <c r="BF788" s="399"/>
      <c r="BG788" s="399"/>
      <c r="BH788" s="399"/>
      <c r="BI788" s="399"/>
      <c r="BJ788" s="399"/>
      <c r="BK788" s="399"/>
      <c r="BL788" s="399"/>
      <c r="BM788" s="399"/>
      <c r="BN788" s="399"/>
      <c r="BO788" s="399"/>
      <c r="BP788" s="399"/>
      <c r="BQ788" s="399"/>
      <c r="BR788" s="399"/>
      <c r="BS788" s="399"/>
      <c r="BT788" s="399"/>
      <c r="BU788" s="399"/>
      <c r="BV788" s="399"/>
      <c r="BW788" s="399"/>
      <c r="BX788" s="399"/>
      <c r="BY788" s="399"/>
      <c r="BZ788" s="399"/>
      <c r="CA788" s="399"/>
      <c r="CB788" s="399"/>
      <c r="CC788" s="399"/>
      <c r="CD788" s="399"/>
      <c r="CE788" s="399"/>
      <c r="CF788" s="399"/>
      <c r="CG788" s="399"/>
      <c r="CH788" s="399"/>
      <c r="CI788" s="399"/>
      <c r="CJ788" s="399"/>
      <c r="CK788" s="399"/>
      <c r="CL788" s="399"/>
      <c r="CM788" s="399"/>
      <c r="CN788" s="399"/>
      <c r="CO788" s="399"/>
      <c r="CP788" s="399"/>
      <c r="CQ788" s="399"/>
      <c r="CR788" s="399"/>
      <c r="CS788" s="399"/>
      <c r="CT788" s="399"/>
      <c r="CU788" s="399"/>
      <c r="CV788" s="399"/>
      <c r="CW788" s="399"/>
      <c r="CX788" s="399"/>
      <c r="CY788" s="399"/>
      <c r="CZ788" s="399"/>
      <c r="DA788" s="399"/>
      <c r="DB788" s="399"/>
      <c r="DC788" s="399"/>
      <c r="DD788" s="399"/>
      <c r="DE788" s="399"/>
      <c r="DF788" s="399"/>
      <c r="DG788" s="399"/>
      <c r="DH788" s="399"/>
      <c r="DI788" s="399"/>
      <c r="DJ788" s="399"/>
      <c r="DK788" s="399"/>
      <c r="DL788" s="399"/>
      <c r="DM788" s="399"/>
      <c r="DN788" s="399"/>
      <c r="DO788" s="399"/>
      <c r="DP788" s="399"/>
      <c r="DQ788" s="399"/>
    </row>
    <row r="789" spans="1:121" s="760" customFormat="1" ht="15" customHeight="1" x14ac:dyDescent="0.25">
      <c r="A789" s="266">
        <f t="shared" si="12"/>
        <v>50.866666666666667</v>
      </c>
      <c r="B789" s="389">
        <v>41330</v>
      </c>
      <c r="C789" s="390" t="s">
        <v>899</v>
      </c>
      <c r="D789" s="391" t="s">
        <v>899</v>
      </c>
      <c r="E789" s="390" t="s">
        <v>380</v>
      </c>
      <c r="F789" s="390" t="s">
        <v>310</v>
      </c>
      <c r="G789" s="262" t="s">
        <v>313</v>
      </c>
      <c r="H789" s="261"/>
      <c r="I789" s="261"/>
      <c r="J789" s="261"/>
      <c r="K789" s="261"/>
      <c r="L789" s="261">
        <v>1</v>
      </c>
      <c r="M789" s="261"/>
      <c r="N789" s="261"/>
      <c r="O789" s="261"/>
      <c r="P789" s="261">
        <v>0</v>
      </c>
      <c r="Q789" s="261">
        <v>0</v>
      </c>
      <c r="R789" s="261"/>
      <c r="S789" s="261"/>
      <c r="T789" s="261"/>
      <c r="U789" s="261"/>
      <c r="V789" s="762"/>
      <c r="W789" s="261"/>
      <c r="X789" s="261"/>
      <c r="Y789" s="264">
        <f>IF(NFI_Expiration=1,IF($A789&lt;VLOOKUP(H$5,NFI,5,0),1,0)*Table_NFI[[#This Row],[Hygiene Kit]],Table_NFI[Hygiene Kit])</f>
        <v>0</v>
      </c>
      <c r="Z789" s="264">
        <f>IF(NFI_Expiration=1,IF($A789&lt;VLOOKUP(I$5,NFI,5,0),1,0)*Table_NFI[[#This Row],[NFI Core Kit]],Table_NFI[NFI Core Kit])</f>
        <v>0</v>
      </c>
      <c r="AA789" s="264">
        <f>IF(NFI_Expiration=1,IF($A789&lt;VLOOKUP(J$5,NFI,5,0),1,0)*Table_NFI[[#This Row],[Sanitary Kit]],Table_NFI[Sanitary Kit])</f>
        <v>0</v>
      </c>
      <c r="AB789" s="264">
        <f>IF(NFI_Expiration=1,IF($A789&lt;VLOOKUP(K$5,NFI,5,0),1,0)*Table_NFI[[#This Row],[Mosquito net]],Table_NFI[Mosquito net])</f>
        <v>0</v>
      </c>
      <c r="AC789" s="264">
        <f>IF(NFI_Expiration=1,IF($A789&lt;VLOOKUP(L$5,NFI,5,0),1,0)*Table_NFI[[#This Row],[Tarpaulin]],Table_NFI[[#This Row],[Tarpaulin]])</f>
        <v>0</v>
      </c>
      <c r="AD789" s="264">
        <f>IF(NFI_Expiration=1,IF($A789&lt;VLOOKUP(M$5,NFI,5,0),1,0)*Table_NFI[[#This Row],[Blanket]],Table_NFI[[#This Row],[Blanket]])</f>
        <v>0</v>
      </c>
      <c r="AE789" s="264">
        <f>IF(NFI_Expiration=1,IF($A789&lt;VLOOKUP(N$5,NFI,5,0),1,0)*Table_NFI[[#This Row],[Kitchen Set]],Table_NFI[Kitchen Set])</f>
        <v>0</v>
      </c>
      <c r="AF789" s="264">
        <f>IF(NFI_Expiration=1,IF($A789&lt;VLOOKUP(O$5,NFI,5,0),1,0)*Table_NFI[[#This Row],[Clothes Kit]],Table_NFI[Clothes Kit])</f>
        <v>0</v>
      </c>
      <c r="AG789" s="264">
        <f>IF(NFI_Expiration=1,IF($A789&lt;VLOOKUP(P$5,NFI,5,0),1,0)*Table_NFI[[#This Row],[Plastic Bucket]],Table_NFI[Plastic Bucket])</f>
        <v>0</v>
      </c>
      <c r="AH789" s="264">
        <f>IF(NFI_Expiration=1,IF($A789&lt;VLOOKUP(Q$5,NFI,5,0),1,0)*Table_NFI[[#This Row],[Plastic Mat]],Table_NFI[Plastic Mat])*IF(Table_NFI[[#This Row],[Distribution Date]]&gt;"2014-04-01",1,2.5)</f>
        <v>0</v>
      </c>
      <c r="AI789" s="264">
        <f>IF(NFI_Expiration=1,IF($A789&lt;VLOOKUP(R$5,NFI,5,0),1,0)*Table_NFI[[#This Row],[Winter Clothes Adult]],Table_NFI[Winter Clothes Adult])</f>
        <v>0</v>
      </c>
      <c r="AJ789" s="264">
        <f>IF(NFI_Expiration=1,IF($A789&lt;VLOOKUP(S$5,NFI,5,0),1,0)*Table_NFI[[#This Row],[Winter Clothes Children]],Table_NFI[Winter Clothes Children])</f>
        <v>0</v>
      </c>
      <c r="AK789" s="264">
        <f>IF(NFI_Expiration=1,IF($A789&lt;VLOOKUP(T$5,NFI,5,0),1,0)*Table_NFI[[#This Row],[Winter Items Other]],Table_NFI[Winter Items Other])</f>
        <v>0</v>
      </c>
      <c r="AL789" s="264">
        <f>IF(NFI_Expiration=1,IF($A789&lt;VLOOKUP(M$5,NFI,5,0),1,0)*Table_NFI[[#This Row],[Winter Blanket]],Table_NFI[[#This Row],[Winter Blanket]])</f>
        <v>0</v>
      </c>
      <c r="AM789" s="264">
        <f>IF(Table_NFI[[#This Row],[Winter Clothes Adult]]+Table_NFI[[#This Row],[Winter Clothes Children]]+Table_NFI[[#This Row],[Winter Items Other]]+Table_NFI[[#This Row],[Winter Blanket]]&gt;0,1,0)</f>
        <v>0</v>
      </c>
      <c r="AN789" s="296">
        <f>IF(NFI_Expiration=1,IF($A789&lt;VLOOKUP(V$5,NFI,5,0),1,0)*Table_NFI[[#This Row],[Jerry Can]],Table_NFI[Jerry Can])</f>
        <v>0</v>
      </c>
      <c r="AO789" s="296">
        <f>IF(NFI_Expiration=1,IF($A789&lt;VLOOKUP(V$5,NFI,5,0),1,0)*Table_NFI[[#This Row],[Shelter Tool kit]],Table_NFI[Shelter Tool kit])</f>
        <v>0</v>
      </c>
      <c r="AP789" s="296">
        <f>IF(NFI_Expiration=1,IF($A789&lt;VLOOKUP(V$5,NFI,5,0),1,0)*Table_NFI[[#This Row],[Tent]],Table_NFI[Tent])</f>
        <v>0</v>
      </c>
      <c r="AQ789" s="396" t="str">
        <f>IFERROR(VLOOKUP(Table_NFI[[#This Row],[Camp Name]],CL,2,0),"")</f>
        <v>MMR001CMP028</v>
      </c>
      <c r="AR789" s="702">
        <f ca="1">IF(Table_NFI[[#This Row],[Pcode]]="","",IF(OFFSET(CampList[Opening Date],MATCH(Table_NFI[[#This Row],[Pcode]],CampList[CP_Pcode],0)-1,0,1,1)&gt;=NFI_Monitor_Date,1,0))</f>
        <v>0</v>
      </c>
      <c r="AS789" s="396" t="str">
        <f>IFERROR(VLOOKUP(Table_NFI[[#This Row],[Camp Name]],CL,3,0),"")</f>
        <v>Open</v>
      </c>
      <c r="AT789" s="264" t="str">
        <f ca="1">IF(Table_NFI[[#This Row],[Pcode]]="","",OFFSET(CampList[Priority],MATCH(Table_NFI[[#This Row],[Pcode]],CampList[CP_Pcode],0)-1,0,1,1))</f>
        <v>P4</v>
      </c>
      <c r="AU789" s="263">
        <f>IFERROR(Table_NFI[[#This Row],[Kitchen Set]]/VLOOKUP(Table_NFI[[#This Row],[Camp Name]],CL,4,0),"")</f>
        <v>0</v>
      </c>
      <c r="AV789" s="390" t="s">
        <v>1087</v>
      </c>
      <c r="AW789" s="392"/>
      <c r="AX789" s="399"/>
      <c r="AY789" s="399"/>
      <c r="AZ789" s="399"/>
      <c r="BA789" s="399"/>
      <c r="BB789" s="399"/>
      <c r="BC789" s="399"/>
      <c r="BD789" s="399"/>
      <c r="BE789" s="399"/>
      <c r="BF789" s="399"/>
      <c r="BG789" s="399"/>
      <c r="BH789" s="399"/>
      <c r="BI789" s="399"/>
      <c r="BJ789" s="399"/>
      <c r="BK789" s="399"/>
      <c r="BL789" s="399"/>
      <c r="BM789" s="399"/>
      <c r="BN789" s="399"/>
      <c r="BO789" s="399"/>
      <c r="BP789" s="399"/>
      <c r="BQ789" s="399"/>
      <c r="BR789" s="399"/>
      <c r="BS789" s="399"/>
      <c r="BT789" s="399"/>
      <c r="BU789" s="399"/>
      <c r="BV789" s="399"/>
      <c r="BW789" s="399"/>
      <c r="BX789" s="399"/>
      <c r="BY789" s="399"/>
      <c r="BZ789" s="399"/>
      <c r="CA789" s="399"/>
      <c r="CB789" s="399"/>
      <c r="CC789" s="399"/>
      <c r="CD789" s="399"/>
      <c r="CE789" s="399"/>
      <c r="CF789" s="399"/>
      <c r="CG789" s="399"/>
      <c r="CH789" s="399"/>
      <c r="CI789" s="399"/>
      <c r="CJ789" s="399"/>
      <c r="CK789" s="399"/>
      <c r="CL789" s="399"/>
      <c r="CM789" s="399"/>
      <c r="CN789" s="399"/>
      <c r="CO789" s="399"/>
      <c r="CP789" s="399"/>
      <c r="CQ789" s="399"/>
      <c r="CR789" s="399"/>
      <c r="CS789" s="399"/>
      <c r="CT789" s="399"/>
      <c r="CU789" s="399"/>
      <c r="CV789" s="399"/>
      <c r="CW789" s="399"/>
      <c r="CX789" s="399"/>
      <c r="CY789" s="399"/>
      <c r="CZ789" s="399"/>
      <c r="DA789" s="399"/>
      <c r="DB789" s="399"/>
      <c r="DC789" s="399"/>
      <c r="DD789" s="399"/>
      <c r="DE789" s="399"/>
      <c r="DF789" s="399"/>
      <c r="DG789" s="399"/>
      <c r="DH789" s="399"/>
      <c r="DI789" s="399"/>
      <c r="DJ789" s="399"/>
      <c r="DK789" s="399"/>
      <c r="DL789" s="399"/>
      <c r="DM789" s="399"/>
      <c r="DN789" s="399"/>
      <c r="DO789" s="399"/>
      <c r="DP789" s="399"/>
      <c r="DQ789" s="399"/>
    </row>
    <row r="790" spans="1:121" s="760" customFormat="1" ht="15" customHeight="1" x14ac:dyDescent="0.25">
      <c r="A790" s="266">
        <f t="shared" si="12"/>
        <v>50.866666666666667</v>
      </c>
      <c r="B790" s="389">
        <v>41330</v>
      </c>
      <c r="C790" s="390" t="s">
        <v>451</v>
      </c>
      <c r="D790" s="391" t="s">
        <v>903</v>
      </c>
      <c r="E790" s="390" t="s">
        <v>380</v>
      </c>
      <c r="F790" s="262" t="s">
        <v>27</v>
      </c>
      <c r="G790" s="262" t="s">
        <v>364</v>
      </c>
      <c r="H790" s="261"/>
      <c r="I790" s="261"/>
      <c r="J790" s="261">
        <v>11</v>
      </c>
      <c r="K790" s="261">
        <v>17</v>
      </c>
      <c r="L790" s="261">
        <v>7</v>
      </c>
      <c r="M790" s="261">
        <v>17</v>
      </c>
      <c r="N790" s="261">
        <v>7</v>
      </c>
      <c r="O790" s="261">
        <v>7</v>
      </c>
      <c r="P790" s="261">
        <v>7</v>
      </c>
      <c r="Q790" s="261">
        <v>7</v>
      </c>
      <c r="R790" s="261"/>
      <c r="S790" s="261"/>
      <c r="T790" s="261"/>
      <c r="U790" s="261"/>
      <c r="V790" s="762"/>
      <c r="W790" s="261"/>
      <c r="X790" s="261"/>
      <c r="Y790" s="264">
        <f>IF(NFI_Expiration=1,IF($A790&lt;VLOOKUP(H$5,NFI,5,0),1,0)*Table_NFI[[#This Row],[Hygiene Kit]],Table_NFI[Hygiene Kit])</f>
        <v>0</v>
      </c>
      <c r="Z790" s="264">
        <f>IF(NFI_Expiration=1,IF($A790&lt;VLOOKUP(I$5,NFI,5,0),1,0)*Table_NFI[[#This Row],[NFI Core Kit]],Table_NFI[NFI Core Kit])</f>
        <v>0</v>
      </c>
      <c r="AA790" s="264">
        <f>IF(NFI_Expiration=1,IF($A790&lt;VLOOKUP(J$5,NFI,5,0),1,0)*Table_NFI[[#This Row],[Sanitary Kit]],Table_NFI[Sanitary Kit])</f>
        <v>0</v>
      </c>
      <c r="AB790" s="264">
        <f>IF(NFI_Expiration=1,IF($A790&lt;VLOOKUP(K$5,NFI,5,0),1,0)*Table_NFI[[#This Row],[Mosquito net]],Table_NFI[Mosquito net])</f>
        <v>0</v>
      </c>
      <c r="AC790" s="264">
        <f>IF(NFI_Expiration=1,IF($A790&lt;VLOOKUP(L$5,NFI,5,0),1,0)*Table_NFI[[#This Row],[Tarpaulin]],Table_NFI[[#This Row],[Tarpaulin]])</f>
        <v>0</v>
      </c>
      <c r="AD790" s="264">
        <f>IF(NFI_Expiration=1,IF($A790&lt;VLOOKUP(M$5,NFI,5,0),1,0)*Table_NFI[[#This Row],[Blanket]],Table_NFI[[#This Row],[Blanket]])</f>
        <v>0</v>
      </c>
      <c r="AE790" s="264">
        <f>IF(NFI_Expiration=1,IF($A790&lt;VLOOKUP(N$5,NFI,5,0),1,0)*Table_NFI[[#This Row],[Kitchen Set]],Table_NFI[Kitchen Set])</f>
        <v>0</v>
      </c>
      <c r="AF790" s="264">
        <f>IF(NFI_Expiration=1,IF($A790&lt;VLOOKUP(O$5,NFI,5,0),1,0)*Table_NFI[[#This Row],[Clothes Kit]],Table_NFI[Clothes Kit])</f>
        <v>0</v>
      </c>
      <c r="AG790" s="264">
        <f>IF(NFI_Expiration=1,IF($A790&lt;VLOOKUP(P$5,NFI,5,0),1,0)*Table_NFI[[#This Row],[Plastic Bucket]],Table_NFI[Plastic Bucket])</f>
        <v>0</v>
      </c>
      <c r="AH790" s="264">
        <f>IF(NFI_Expiration=1,IF($A790&lt;VLOOKUP(Q$5,NFI,5,0),1,0)*Table_NFI[[#This Row],[Plastic Mat]],Table_NFI[Plastic Mat])*IF(Table_NFI[[#This Row],[Distribution Date]]&gt;"2014-04-01",1,2.5)</f>
        <v>0</v>
      </c>
      <c r="AI790" s="264">
        <f>IF(NFI_Expiration=1,IF($A790&lt;VLOOKUP(R$5,NFI,5,0),1,0)*Table_NFI[[#This Row],[Winter Clothes Adult]],Table_NFI[Winter Clothes Adult])</f>
        <v>0</v>
      </c>
      <c r="AJ790" s="264">
        <f>IF(NFI_Expiration=1,IF($A790&lt;VLOOKUP(S$5,NFI,5,0),1,0)*Table_NFI[[#This Row],[Winter Clothes Children]],Table_NFI[Winter Clothes Children])</f>
        <v>0</v>
      </c>
      <c r="AK790" s="264">
        <f>IF(NFI_Expiration=1,IF($A790&lt;VLOOKUP(T$5,NFI,5,0),1,0)*Table_NFI[[#This Row],[Winter Items Other]],Table_NFI[Winter Items Other])</f>
        <v>0</v>
      </c>
      <c r="AL790" s="264">
        <f>IF(NFI_Expiration=1,IF($A790&lt;VLOOKUP(M$5,NFI,5,0),1,0)*Table_NFI[[#This Row],[Winter Blanket]],Table_NFI[[#This Row],[Winter Blanket]])</f>
        <v>0</v>
      </c>
      <c r="AM790" s="264">
        <f>IF(Table_NFI[[#This Row],[Winter Clothes Adult]]+Table_NFI[[#This Row],[Winter Clothes Children]]+Table_NFI[[#This Row],[Winter Items Other]]+Table_NFI[[#This Row],[Winter Blanket]]&gt;0,1,0)</f>
        <v>0</v>
      </c>
      <c r="AN790" s="296">
        <f>IF(NFI_Expiration=1,IF($A790&lt;VLOOKUP(V$5,NFI,5,0),1,0)*Table_NFI[[#This Row],[Jerry Can]],Table_NFI[Jerry Can])</f>
        <v>0</v>
      </c>
      <c r="AO790" s="296">
        <f>IF(NFI_Expiration=1,IF($A790&lt;VLOOKUP(V$5,NFI,5,0),1,0)*Table_NFI[[#This Row],[Shelter Tool kit]],Table_NFI[Shelter Tool kit])</f>
        <v>0</v>
      </c>
      <c r="AP790" s="296">
        <f>IF(NFI_Expiration=1,IF($A790&lt;VLOOKUP(V$5,NFI,5,0),1,0)*Table_NFI[[#This Row],[Tent]],Table_NFI[Tent])</f>
        <v>0</v>
      </c>
      <c r="AQ790" s="396" t="str">
        <f>IFERROR(VLOOKUP(Table_NFI[[#This Row],[Camp Name]],CL,2,0),"")</f>
        <v>MMR001CMP043</v>
      </c>
      <c r="AR790" s="702">
        <f ca="1">IF(Table_NFI[[#This Row],[Pcode]]="","",IF(OFFSET(CampList[Opening Date],MATCH(Table_NFI[[#This Row],[Pcode]],CampList[CP_Pcode],0)-1,0,1,1)&gt;=NFI_Monitor_Date,1,0))</f>
        <v>0</v>
      </c>
      <c r="AS790" s="396" t="str">
        <f>IFERROR(VLOOKUP(Table_NFI[[#This Row],[Camp Name]],CL,3,0),"")</f>
        <v>Open</v>
      </c>
      <c r="AT790" s="264" t="str">
        <f ca="1">IF(Table_NFI[[#This Row],[Pcode]]="","",OFFSET(CampList[Priority],MATCH(Table_NFI[[#This Row],[Pcode]],CampList[CP_Pcode],0)-1,0,1,1))</f>
        <v>P1</v>
      </c>
      <c r="AU790" s="263">
        <f>IFERROR(Table_NFI[[#This Row],[Kitchen Set]]/VLOOKUP(Table_NFI[[#This Row],[Camp Name]],CL,4,0),"")</f>
        <v>1.7060687301974166E-4</v>
      </c>
      <c r="AV790" s="390" t="s">
        <v>1087</v>
      </c>
      <c r="AW790" s="392"/>
      <c r="AX790" s="399"/>
      <c r="AY790" s="399"/>
      <c r="AZ790" s="399"/>
      <c r="BA790" s="399"/>
      <c r="BB790" s="399"/>
      <c r="BC790" s="399"/>
      <c r="BD790" s="399"/>
      <c r="BE790" s="399"/>
      <c r="BF790" s="399"/>
      <c r="BG790" s="399"/>
      <c r="BH790" s="399"/>
      <c r="BI790" s="399"/>
      <c r="BJ790" s="399"/>
      <c r="BK790" s="399"/>
      <c r="BL790" s="399"/>
      <c r="BM790" s="399"/>
      <c r="BN790" s="399"/>
      <c r="BO790" s="399"/>
      <c r="BP790" s="399"/>
      <c r="BQ790" s="399"/>
      <c r="BR790" s="399"/>
      <c r="BS790" s="399"/>
      <c r="BT790" s="399"/>
      <c r="BU790" s="399"/>
      <c r="BV790" s="399"/>
      <c r="BW790" s="399"/>
      <c r="BX790" s="399"/>
      <c r="BY790" s="399"/>
      <c r="BZ790" s="399"/>
      <c r="CA790" s="399"/>
      <c r="CB790" s="399"/>
      <c r="CC790" s="399"/>
      <c r="CD790" s="399"/>
      <c r="CE790" s="399"/>
      <c r="CF790" s="399"/>
      <c r="CG790" s="399"/>
      <c r="CH790" s="399"/>
      <c r="CI790" s="399"/>
      <c r="CJ790" s="399"/>
      <c r="CK790" s="399"/>
      <c r="CL790" s="399"/>
      <c r="CM790" s="399"/>
      <c r="CN790" s="399"/>
      <c r="CO790" s="399"/>
      <c r="CP790" s="399"/>
      <c r="CQ790" s="399"/>
      <c r="CR790" s="399"/>
      <c r="CS790" s="399"/>
      <c r="CT790" s="399"/>
      <c r="CU790" s="399"/>
      <c r="CV790" s="399"/>
      <c r="CW790" s="399"/>
      <c r="CX790" s="399"/>
      <c r="CY790" s="399"/>
      <c r="CZ790" s="399"/>
      <c r="DA790" s="399"/>
      <c r="DB790" s="399"/>
      <c r="DC790" s="399"/>
      <c r="DD790" s="399"/>
      <c r="DE790" s="399"/>
      <c r="DF790" s="399"/>
      <c r="DG790" s="399"/>
      <c r="DH790" s="399"/>
      <c r="DI790" s="399"/>
      <c r="DJ790" s="399"/>
      <c r="DK790" s="399"/>
      <c r="DL790" s="399"/>
      <c r="DM790" s="399"/>
      <c r="DN790" s="399"/>
      <c r="DO790" s="399"/>
      <c r="DP790" s="399"/>
      <c r="DQ790" s="399"/>
    </row>
    <row r="791" spans="1:121" ht="14.45" customHeight="1" x14ac:dyDescent="0.25">
      <c r="A791" s="266">
        <f t="shared" si="12"/>
        <v>50.866666666666667</v>
      </c>
      <c r="B791" s="389">
        <v>41330</v>
      </c>
      <c r="C791" s="390" t="s">
        <v>451</v>
      </c>
      <c r="D791" s="391" t="s">
        <v>903</v>
      </c>
      <c r="E791" s="390" t="s">
        <v>380</v>
      </c>
      <c r="F791" s="262" t="s">
        <v>27</v>
      </c>
      <c r="G791" s="262" t="s">
        <v>34</v>
      </c>
      <c r="H791" s="261"/>
      <c r="I791" s="261"/>
      <c r="J791" s="261">
        <v>11</v>
      </c>
      <c r="K791" s="261">
        <v>17</v>
      </c>
      <c r="L791" s="261">
        <v>7</v>
      </c>
      <c r="M791" s="261">
        <v>17</v>
      </c>
      <c r="N791" s="261">
        <v>7</v>
      </c>
      <c r="O791" s="261">
        <v>7</v>
      </c>
      <c r="P791" s="261">
        <v>7</v>
      </c>
      <c r="Q791" s="261">
        <v>7</v>
      </c>
      <c r="R791" s="261"/>
      <c r="S791" s="261"/>
      <c r="T791" s="261"/>
      <c r="U791" s="261"/>
      <c r="V791" s="762"/>
      <c r="W791" s="261"/>
      <c r="X791" s="261"/>
      <c r="Y791" s="264">
        <f>IF(NFI_Expiration=1,IF($A791&lt;VLOOKUP(H$5,NFI,5,0),1,0)*Table_NFI[[#This Row],[Hygiene Kit]],Table_NFI[Hygiene Kit])</f>
        <v>0</v>
      </c>
      <c r="Z791" s="264">
        <f>IF(NFI_Expiration=1,IF($A791&lt;VLOOKUP(I$5,NFI,5,0),1,0)*Table_NFI[[#This Row],[NFI Core Kit]],Table_NFI[NFI Core Kit])</f>
        <v>0</v>
      </c>
      <c r="AA791" s="264">
        <f>IF(NFI_Expiration=1,IF($A791&lt;VLOOKUP(J$5,NFI,5,0),1,0)*Table_NFI[[#This Row],[Sanitary Kit]],Table_NFI[Sanitary Kit])</f>
        <v>0</v>
      </c>
      <c r="AB791" s="264">
        <f>IF(NFI_Expiration=1,IF($A791&lt;VLOOKUP(K$5,NFI,5,0),1,0)*Table_NFI[[#This Row],[Mosquito net]],Table_NFI[Mosquito net])</f>
        <v>0</v>
      </c>
      <c r="AC791" s="264">
        <f>IF(NFI_Expiration=1,IF($A791&lt;VLOOKUP(L$5,NFI,5,0),1,0)*Table_NFI[[#This Row],[Tarpaulin]],Table_NFI[[#This Row],[Tarpaulin]])</f>
        <v>0</v>
      </c>
      <c r="AD791" s="264">
        <f>IF(NFI_Expiration=1,IF($A791&lt;VLOOKUP(M$5,NFI,5,0),1,0)*Table_NFI[[#This Row],[Blanket]],Table_NFI[[#This Row],[Blanket]])</f>
        <v>0</v>
      </c>
      <c r="AE791" s="264">
        <f>IF(NFI_Expiration=1,IF($A791&lt;VLOOKUP(N$5,NFI,5,0),1,0)*Table_NFI[[#This Row],[Kitchen Set]],Table_NFI[Kitchen Set])</f>
        <v>0</v>
      </c>
      <c r="AF791" s="264">
        <f>IF(NFI_Expiration=1,IF($A791&lt;VLOOKUP(O$5,NFI,5,0),1,0)*Table_NFI[[#This Row],[Clothes Kit]],Table_NFI[Clothes Kit])</f>
        <v>0</v>
      </c>
      <c r="AG791" s="264">
        <f>IF(NFI_Expiration=1,IF($A791&lt;VLOOKUP(P$5,NFI,5,0),1,0)*Table_NFI[[#This Row],[Plastic Bucket]],Table_NFI[Plastic Bucket])</f>
        <v>0</v>
      </c>
      <c r="AH791" s="264">
        <f>IF(NFI_Expiration=1,IF($A791&lt;VLOOKUP(Q$5,NFI,5,0),1,0)*Table_NFI[[#This Row],[Plastic Mat]],Table_NFI[Plastic Mat])*IF(Table_NFI[[#This Row],[Distribution Date]]&gt;"2014-04-01",1,2.5)</f>
        <v>0</v>
      </c>
      <c r="AI791" s="264">
        <f>IF(NFI_Expiration=1,IF($A791&lt;VLOOKUP(R$5,NFI,5,0),1,0)*Table_NFI[[#This Row],[Winter Clothes Adult]],Table_NFI[Winter Clothes Adult])</f>
        <v>0</v>
      </c>
      <c r="AJ791" s="264">
        <f>IF(NFI_Expiration=1,IF($A791&lt;VLOOKUP(S$5,NFI,5,0),1,0)*Table_NFI[[#This Row],[Winter Clothes Children]],Table_NFI[Winter Clothes Children])</f>
        <v>0</v>
      </c>
      <c r="AK791" s="264">
        <f>IF(NFI_Expiration=1,IF($A791&lt;VLOOKUP(T$5,NFI,5,0),1,0)*Table_NFI[[#This Row],[Winter Items Other]],Table_NFI[Winter Items Other])</f>
        <v>0</v>
      </c>
      <c r="AL791" s="264">
        <f>IF(NFI_Expiration=1,IF($A791&lt;VLOOKUP(M$5,NFI,5,0),1,0)*Table_NFI[[#This Row],[Winter Blanket]],Table_NFI[[#This Row],[Winter Blanket]])</f>
        <v>0</v>
      </c>
      <c r="AM791" s="264">
        <f>IF(Table_NFI[[#This Row],[Winter Clothes Adult]]+Table_NFI[[#This Row],[Winter Clothes Children]]+Table_NFI[[#This Row],[Winter Items Other]]+Table_NFI[[#This Row],[Winter Blanket]]&gt;0,1,0)</f>
        <v>0</v>
      </c>
      <c r="AN791" s="296">
        <f>IF(NFI_Expiration=1,IF($A791&lt;VLOOKUP(V$5,NFI,5,0),1,0)*Table_NFI[[#This Row],[Jerry Can]],Table_NFI[Jerry Can])</f>
        <v>0</v>
      </c>
      <c r="AO791" s="296">
        <f>IF(NFI_Expiration=1,IF($A791&lt;VLOOKUP(V$5,NFI,5,0),1,0)*Table_NFI[[#This Row],[Shelter Tool kit]],Table_NFI[Shelter Tool kit])</f>
        <v>0</v>
      </c>
      <c r="AP791" s="296">
        <f>IF(NFI_Expiration=1,IF($A791&lt;VLOOKUP(V$5,NFI,5,0),1,0)*Table_NFI[[#This Row],[Tent]],Table_NFI[Tent])</f>
        <v>0</v>
      </c>
      <c r="AQ791" s="396" t="str">
        <f>IFERROR(VLOOKUP(Table_NFI[[#This Row],[Camp Name]],CL,2,0),"")</f>
        <v>MMR001CMP045</v>
      </c>
      <c r="AR791" s="702">
        <f ca="1">IF(Table_NFI[[#This Row],[Pcode]]="","",IF(OFFSET(CampList[Opening Date],MATCH(Table_NFI[[#This Row],[Pcode]],CampList[CP_Pcode],0)-1,0,1,1)&gt;=NFI_Monitor_Date,1,0))</f>
        <v>0</v>
      </c>
      <c r="AS791" s="396" t="str">
        <f>IFERROR(VLOOKUP(Table_NFI[[#This Row],[Camp Name]],CL,3,0),"")</f>
        <v>Closed</v>
      </c>
      <c r="AT791" s="264" t="str">
        <f ca="1">IF(Table_NFI[[#This Row],[Pcode]]="","",OFFSET(CampList[Priority],MATCH(Table_NFI[[#This Row],[Pcode]],CampList[CP_Pcode],0)-1,0,1,1))</f>
        <v>P1</v>
      </c>
      <c r="AU791" s="263" t="str">
        <f>IFERROR(Table_NFI[[#This Row],[Kitchen Set]]/VLOOKUP(Table_NFI[[#This Row],[Camp Name]],CL,4,0),"")</f>
        <v/>
      </c>
      <c r="AV791" s="390" t="s">
        <v>1087</v>
      </c>
      <c r="AW791" s="392"/>
    </row>
    <row r="792" spans="1:121" s="760" customFormat="1" ht="14.45" customHeight="1" x14ac:dyDescent="0.25">
      <c r="A792" s="266">
        <f t="shared" si="12"/>
        <v>50.866666666666667</v>
      </c>
      <c r="B792" s="389">
        <v>41330</v>
      </c>
      <c r="C792" s="390" t="s">
        <v>451</v>
      </c>
      <c r="D792" s="390" t="s">
        <v>903</v>
      </c>
      <c r="E792" s="390" t="s">
        <v>380</v>
      </c>
      <c r="F792" s="262" t="s">
        <v>27</v>
      </c>
      <c r="G792" s="262" t="s">
        <v>365</v>
      </c>
      <c r="H792" s="261"/>
      <c r="I792" s="261"/>
      <c r="J792" s="261">
        <v>12</v>
      </c>
      <c r="K792" s="261">
        <v>17</v>
      </c>
      <c r="L792" s="261">
        <v>7</v>
      </c>
      <c r="M792" s="261">
        <v>17</v>
      </c>
      <c r="N792" s="261">
        <v>7</v>
      </c>
      <c r="O792" s="261">
        <v>7</v>
      </c>
      <c r="P792" s="261">
        <v>7</v>
      </c>
      <c r="Q792" s="261">
        <v>7</v>
      </c>
      <c r="R792" s="261"/>
      <c r="S792" s="261"/>
      <c r="T792" s="261"/>
      <c r="U792" s="261"/>
      <c r="V792" s="762"/>
      <c r="W792" s="261"/>
      <c r="X792" s="261"/>
      <c r="Y792" s="264">
        <f>IF(NFI_Expiration=1,IF($A792&lt;VLOOKUP(H$5,NFI,5,0),1,0)*Table_NFI[[#This Row],[Hygiene Kit]],Table_NFI[Hygiene Kit])</f>
        <v>0</v>
      </c>
      <c r="Z792" s="264">
        <f>IF(NFI_Expiration=1,IF($A792&lt;VLOOKUP(I$5,NFI,5,0),1,0)*Table_NFI[[#This Row],[NFI Core Kit]],Table_NFI[NFI Core Kit])</f>
        <v>0</v>
      </c>
      <c r="AA792" s="264">
        <f>IF(NFI_Expiration=1,IF($A792&lt;VLOOKUP(J$5,NFI,5,0),1,0)*Table_NFI[[#This Row],[Sanitary Kit]],Table_NFI[Sanitary Kit])</f>
        <v>0</v>
      </c>
      <c r="AB792" s="264">
        <f>IF(NFI_Expiration=1,IF($A792&lt;VLOOKUP(K$5,NFI,5,0),1,0)*Table_NFI[[#This Row],[Mosquito net]],Table_NFI[Mosquito net])</f>
        <v>0</v>
      </c>
      <c r="AC792" s="264">
        <f>IF(NFI_Expiration=1,IF($A792&lt;VLOOKUP(L$5,NFI,5,0),1,0)*Table_NFI[[#This Row],[Tarpaulin]],Table_NFI[[#This Row],[Tarpaulin]])</f>
        <v>0</v>
      </c>
      <c r="AD792" s="264">
        <f>IF(NFI_Expiration=1,IF($A792&lt;VLOOKUP(M$5,NFI,5,0),1,0)*Table_NFI[[#This Row],[Blanket]],Table_NFI[[#This Row],[Blanket]])</f>
        <v>0</v>
      </c>
      <c r="AE792" s="264">
        <f>IF(NFI_Expiration=1,IF($A792&lt;VLOOKUP(N$5,NFI,5,0),1,0)*Table_NFI[[#This Row],[Kitchen Set]],Table_NFI[Kitchen Set])</f>
        <v>0</v>
      </c>
      <c r="AF792" s="264">
        <f>IF(NFI_Expiration=1,IF($A792&lt;VLOOKUP(O$5,NFI,5,0),1,0)*Table_NFI[[#This Row],[Clothes Kit]],Table_NFI[Clothes Kit])</f>
        <v>0</v>
      </c>
      <c r="AG792" s="264">
        <f>IF(NFI_Expiration=1,IF($A792&lt;VLOOKUP(P$5,NFI,5,0),1,0)*Table_NFI[[#This Row],[Plastic Bucket]],Table_NFI[Plastic Bucket])</f>
        <v>0</v>
      </c>
      <c r="AH792" s="264">
        <f>IF(NFI_Expiration=1,IF($A792&lt;VLOOKUP(Q$5,NFI,5,0),1,0)*Table_NFI[[#This Row],[Plastic Mat]],Table_NFI[Plastic Mat])*IF(Table_NFI[[#This Row],[Distribution Date]]&gt;"2014-04-01",1,2.5)</f>
        <v>0</v>
      </c>
      <c r="AI792" s="264">
        <f>IF(NFI_Expiration=1,IF($A792&lt;VLOOKUP(R$5,NFI,5,0),1,0)*Table_NFI[[#This Row],[Winter Clothes Adult]],Table_NFI[Winter Clothes Adult])</f>
        <v>0</v>
      </c>
      <c r="AJ792" s="264">
        <f>IF(NFI_Expiration=1,IF($A792&lt;VLOOKUP(S$5,NFI,5,0),1,0)*Table_NFI[[#This Row],[Winter Clothes Children]],Table_NFI[Winter Clothes Children])</f>
        <v>0</v>
      </c>
      <c r="AK792" s="264">
        <f>IF(NFI_Expiration=1,IF($A792&lt;VLOOKUP(T$5,NFI,5,0),1,0)*Table_NFI[[#This Row],[Winter Items Other]],Table_NFI[Winter Items Other])</f>
        <v>0</v>
      </c>
      <c r="AL792" s="264">
        <f>IF(NFI_Expiration=1,IF($A792&lt;VLOOKUP(M$5,NFI,5,0),1,0)*Table_NFI[[#This Row],[Winter Blanket]],Table_NFI[[#This Row],[Winter Blanket]])</f>
        <v>0</v>
      </c>
      <c r="AM792" s="264">
        <f>IF(Table_NFI[[#This Row],[Winter Clothes Adult]]+Table_NFI[[#This Row],[Winter Clothes Children]]+Table_NFI[[#This Row],[Winter Items Other]]+Table_NFI[[#This Row],[Winter Blanket]]&gt;0,1,0)</f>
        <v>0</v>
      </c>
      <c r="AN792" s="296">
        <f>IF(NFI_Expiration=1,IF($A792&lt;VLOOKUP(V$5,NFI,5,0),1,0)*Table_NFI[[#This Row],[Jerry Can]],Table_NFI[Jerry Can])</f>
        <v>0</v>
      </c>
      <c r="AO792" s="296">
        <f>IF(NFI_Expiration=1,IF($A792&lt;VLOOKUP(V$5,NFI,5,0),1,0)*Table_NFI[[#This Row],[Shelter Tool kit]],Table_NFI[Shelter Tool kit])</f>
        <v>0</v>
      </c>
      <c r="AP792" s="296">
        <f>IF(NFI_Expiration=1,IF($A792&lt;VLOOKUP(V$5,NFI,5,0),1,0)*Table_NFI[[#This Row],[Tent]],Table_NFI[Tent])</f>
        <v>0</v>
      </c>
      <c r="AQ792" s="396" t="str">
        <f>IFERROR(VLOOKUP(Table_NFI[[#This Row],[Camp Name]],CL,2,0),"")</f>
        <v>MMR001CMP195</v>
      </c>
      <c r="AR792" s="702">
        <f ca="1">IF(Table_NFI[[#This Row],[Pcode]]="","",IF(OFFSET(CampList[Opening Date],MATCH(Table_NFI[[#This Row],[Pcode]],CampList[CP_Pcode],0)-1,0,1,1)&gt;=NFI_Monitor_Date,1,0))</f>
        <v>0</v>
      </c>
      <c r="AS792" s="396" t="str">
        <f>IFERROR(VLOOKUP(Table_NFI[[#This Row],[Camp Name]],CL,3,0),"")</f>
        <v>Open</v>
      </c>
      <c r="AT792" s="264" t="str">
        <f ca="1">IF(Table_NFI[[#This Row],[Pcode]]="","",OFFSET(CampList[Priority],MATCH(Table_NFI[[#This Row],[Pcode]],CampList[CP_Pcode],0)-1,0,1,1))</f>
        <v>P1</v>
      </c>
      <c r="AU792" s="263">
        <f>IFERROR(Table_NFI[[#This Row],[Kitchen Set]]/VLOOKUP(Table_NFI[[#This Row],[Camp Name]],CL,4,0),"")</f>
        <v>1.7098192476795311E-4</v>
      </c>
      <c r="AV792" s="390" t="s">
        <v>1087</v>
      </c>
      <c r="AW792" s="392"/>
      <c r="AX792" s="399"/>
      <c r="AY792" s="399"/>
      <c r="AZ792" s="399"/>
      <c r="BA792" s="399"/>
      <c r="BB792" s="399"/>
      <c r="BC792" s="399"/>
      <c r="BD792" s="399"/>
      <c r="BE792" s="399"/>
      <c r="BF792" s="399"/>
      <c r="BG792" s="399"/>
      <c r="BH792" s="399"/>
      <c r="BI792" s="399"/>
      <c r="BJ792" s="399"/>
      <c r="BK792" s="399"/>
      <c r="BL792" s="399"/>
      <c r="BM792" s="399"/>
      <c r="BN792" s="399"/>
      <c r="BO792" s="399"/>
      <c r="BP792" s="399"/>
      <c r="BQ792" s="399"/>
      <c r="BR792" s="399"/>
      <c r="BS792" s="399"/>
      <c r="BT792" s="399"/>
      <c r="BU792" s="399"/>
      <c r="BV792" s="399"/>
      <c r="BW792" s="399"/>
      <c r="BX792" s="399"/>
      <c r="BY792" s="399"/>
      <c r="BZ792" s="399"/>
      <c r="CA792" s="399"/>
      <c r="CB792" s="399"/>
      <c r="CC792" s="399"/>
      <c r="CD792" s="399"/>
      <c r="CE792" s="399"/>
      <c r="CF792" s="399"/>
      <c r="CG792" s="399"/>
      <c r="CH792" s="399"/>
      <c r="CI792" s="399"/>
      <c r="CJ792" s="399"/>
      <c r="CK792" s="399"/>
      <c r="CL792" s="399"/>
      <c r="CM792" s="399"/>
      <c r="CN792" s="399"/>
      <c r="CO792" s="399"/>
      <c r="CP792" s="399"/>
      <c r="CQ792" s="399"/>
      <c r="CR792" s="399"/>
      <c r="CS792" s="399"/>
      <c r="CT792" s="399"/>
      <c r="CU792" s="399"/>
      <c r="CV792" s="399"/>
      <c r="CW792" s="399"/>
      <c r="CX792" s="399"/>
      <c r="CY792" s="399"/>
      <c r="CZ792" s="399"/>
      <c r="DA792" s="399"/>
      <c r="DB792" s="399"/>
      <c r="DC792" s="399"/>
      <c r="DD792" s="399"/>
      <c r="DE792" s="399"/>
      <c r="DF792" s="399"/>
      <c r="DG792" s="399"/>
      <c r="DH792" s="399"/>
      <c r="DI792" s="399"/>
      <c r="DJ792" s="399"/>
      <c r="DK792" s="399"/>
      <c r="DL792" s="399"/>
      <c r="DM792" s="399"/>
      <c r="DN792" s="399"/>
      <c r="DO792" s="399"/>
      <c r="DP792" s="399"/>
      <c r="DQ792" s="399"/>
    </row>
    <row r="793" spans="1:121" s="760" customFormat="1" ht="14.45" customHeight="1" x14ac:dyDescent="0.25">
      <c r="A793" s="266">
        <f t="shared" si="12"/>
        <v>50.866666666666667</v>
      </c>
      <c r="B793" s="389">
        <v>41330</v>
      </c>
      <c r="C793" s="390" t="s">
        <v>899</v>
      </c>
      <c r="D793" s="391" t="s">
        <v>899</v>
      </c>
      <c r="E793" s="390" t="s">
        <v>380</v>
      </c>
      <c r="F793" s="262" t="s">
        <v>310</v>
      </c>
      <c r="G793" s="262" t="s">
        <v>324</v>
      </c>
      <c r="H793" s="261"/>
      <c r="I793" s="261"/>
      <c r="J793" s="261">
        <v>235</v>
      </c>
      <c r="K793" s="261"/>
      <c r="L793" s="261">
        <v>174</v>
      </c>
      <c r="M793" s="261"/>
      <c r="N793" s="261">
        <v>61</v>
      </c>
      <c r="O793" s="261"/>
      <c r="P793" s="261">
        <v>0</v>
      </c>
      <c r="Q793" s="261">
        <v>0</v>
      </c>
      <c r="R793" s="261"/>
      <c r="S793" s="261"/>
      <c r="T793" s="261"/>
      <c r="U793" s="261"/>
      <c r="V793" s="762"/>
      <c r="W793" s="261"/>
      <c r="X793" s="261"/>
      <c r="Y793" s="264">
        <f>IF(NFI_Expiration=1,IF($A793&lt;VLOOKUP(H$5,NFI,5,0),1,0)*Table_NFI[[#This Row],[Hygiene Kit]],Table_NFI[Hygiene Kit])</f>
        <v>0</v>
      </c>
      <c r="Z793" s="264">
        <f>IF(NFI_Expiration=1,IF($A793&lt;VLOOKUP(I$5,NFI,5,0),1,0)*Table_NFI[[#This Row],[NFI Core Kit]],Table_NFI[NFI Core Kit])</f>
        <v>0</v>
      </c>
      <c r="AA793" s="264">
        <f>IF(NFI_Expiration=1,IF($A793&lt;VLOOKUP(J$5,NFI,5,0),1,0)*Table_NFI[[#This Row],[Sanitary Kit]],Table_NFI[Sanitary Kit])</f>
        <v>0</v>
      </c>
      <c r="AB793" s="264">
        <f>IF(NFI_Expiration=1,IF($A793&lt;VLOOKUP(K$5,NFI,5,0),1,0)*Table_NFI[[#This Row],[Mosquito net]],Table_NFI[Mosquito net])</f>
        <v>0</v>
      </c>
      <c r="AC793" s="264">
        <f>IF(NFI_Expiration=1,IF($A793&lt;VLOOKUP(L$5,NFI,5,0),1,0)*Table_NFI[[#This Row],[Tarpaulin]],Table_NFI[[#This Row],[Tarpaulin]])</f>
        <v>0</v>
      </c>
      <c r="AD793" s="264">
        <f>IF(NFI_Expiration=1,IF($A793&lt;VLOOKUP(M$5,NFI,5,0),1,0)*Table_NFI[[#This Row],[Blanket]],Table_NFI[[#This Row],[Blanket]])</f>
        <v>0</v>
      </c>
      <c r="AE793" s="264">
        <f>IF(NFI_Expiration=1,IF($A793&lt;VLOOKUP(N$5,NFI,5,0),1,0)*Table_NFI[[#This Row],[Kitchen Set]],Table_NFI[Kitchen Set])</f>
        <v>0</v>
      </c>
      <c r="AF793" s="264">
        <f>IF(NFI_Expiration=1,IF($A793&lt;VLOOKUP(O$5,NFI,5,0),1,0)*Table_NFI[[#This Row],[Clothes Kit]],Table_NFI[Clothes Kit])</f>
        <v>0</v>
      </c>
      <c r="AG793" s="264">
        <f>IF(NFI_Expiration=1,IF($A793&lt;VLOOKUP(P$5,NFI,5,0),1,0)*Table_NFI[[#This Row],[Plastic Bucket]],Table_NFI[Plastic Bucket])</f>
        <v>0</v>
      </c>
      <c r="AH793" s="264">
        <f>IF(NFI_Expiration=1,IF($A793&lt;VLOOKUP(Q$5,NFI,5,0),1,0)*Table_NFI[[#This Row],[Plastic Mat]],Table_NFI[Plastic Mat])*IF(Table_NFI[[#This Row],[Distribution Date]]&gt;"2014-04-01",1,2.5)</f>
        <v>0</v>
      </c>
      <c r="AI793" s="264">
        <f>IF(NFI_Expiration=1,IF($A793&lt;VLOOKUP(R$5,NFI,5,0),1,0)*Table_NFI[[#This Row],[Winter Clothes Adult]],Table_NFI[Winter Clothes Adult])</f>
        <v>0</v>
      </c>
      <c r="AJ793" s="264">
        <f>IF(NFI_Expiration=1,IF($A793&lt;VLOOKUP(S$5,NFI,5,0),1,0)*Table_NFI[[#This Row],[Winter Clothes Children]],Table_NFI[Winter Clothes Children])</f>
        <v>0</v>
      </c>
      <c r="AK793" s="264">
        <f>IF(NFI_Expiration=1,IF($A793&lt;VLOOKUP(T$5,NFI,5,0),1,0)*Table_NFI[[#This Row],[Winter Items Other]],Table_NFI[Winter Items Other])</f>
        <v>0</v>
      </c>
      <c r="AL793" s="264">
        <f>IF(NFI_Expiration=1,IF($A793&lt;VLOOKUP(M$5,NFI,5,0),1,0)*Table_NFI[[#This Row],[Winter Blanket]],Table_NFI[[#This Row],[Winter Blanket]])</f>
        <v>0</v>
      </c>
      <c r="AM793" s="264">
        <f>IF(Table_NFI[[#This Row],[Winter Clothes Adult]]+Table_NFI[[#This Row],[Winter Clothes Children]]+Table_NFI[[#This Row],[Winter Items Other]]+Table_NFI[[#This Row],[Winter Blanket]]&gt;0,1,0)</f>
        <v>0</v>
      </c>
      <c r="AN793" s="296">
        <f>IF(NFI_Expiration=1,IF($A793&lt;VLOOKUP(V$5,NFI,5,0),1,0)*Table_NFI[[#This Row],[Jerry Can]],Table_NFI[Jerry Can])</f>
        <v>0</v>
      </c>
      <c r="AO793" s="296">
        <f>IF(NFI_Expiration=1,IF($A793&lt;VLOOKUP(V$5,NFI,5,0),1,0)*Table_NFI[[#This Row],[Shelter Tool kit]],Table_NFI[Shelter Tool kit])</f>
        <v>0</v>
      </c>
      <c r="AP793" s="296">
        <f>IF(NFI_Expiration=1,IF($A793&lt;VLOOKUP(V$5,NFI,5,0),1,0)*Table_NFI[[#This Row],[Tent]],Table_NFI[Tent])</f>
        <v>0</v>
      </c>
      <c r="AQ793" s="396" t="str">
        <f>IFERROR(VLOOKUP(Table_NFI[[#This Row],[Camp Name]],CL,2,0),"")</f>
        <v>MMR001CMP040</v>
      </c>
      <c r="AR793" s="702">
        <f ca="1">IF(Table_NFI[[#This Row],[Pcode]]="","",IF(OFFSET(CampList[Opening Date],MATCH(Table_NFI[[#This Row],[Pcode]],CampList[CP_Pcode],0)-1,0,1,1)&gt;=NFI_Monitor_Date,1,0))</f>
        <v>0</v>
      </c>
      <c r="AS793" s="396" t="str">
        <f>IFERROR(VLOOKUP(Table_NFI[[#This Row],[Camp Name]],CL,3,0),"")</f>
        <v>Open</v>
      </c>
      <c r="AT793" s="264" t="str">
        <f ca="1">IF(Table_NFI[[#This Row],[Pcode]]="","",OFFSET(CampList[Priority],MATCH(Table_NFI[[#This Row],[Pcode]],CampList[CP_Pcode],0)-1,0,1,1))</f>
        <v>P4</v>
      </c>
      <c r="AU793" s="263">
        <f>IFERROR(Table_NFI[[#This Row],[Kitchen Set]]/VLOOKUP(Table_NFI[[#This Row],[Camp Name]],CL,4,0),"")</f>
        <v>1.4855946031514088E-3</v>
      </c>
      <c r="AV793" s="390" t="s">
        <v>1087</v>
      </c>
      <c r="AW793" s="392"/>
      <c r="AX793" s="399"/>
      <c r="AY793" s="399"/>
      <c r="AZ793" s="399"/>
      <c r="BA793" s="399"/>
      <c r="BB793" s="399"/>
      <c r="BC793" s="399"/>
      <c r="BD793" s="399"/>
      <c r="BE793" s="399"/>
      <c r="BF793" s="399"/>
      <c r="BG793" s="399"/>
      <c r="BH793" s="399"/>
      <c r="BI793" s="399"/>
      <c r="BJ793" s="399"/>
      <c r="BK793" s="399"/>
      <c r="BL793" s="399"/>
      <c r="BM793" s="399"/>
      <c r="BN793" s="399"/>
      <c r="BO793" s="399"/>
      <c r="BP793" s="399"/>
      <c r="BQ793" s="399"/>
      <c r="BR793" s="399"/>
      <c r="BS793" s="399"/>
      <c r="BT793" s="399"/>
      <c r="BU793" s="399"/>
      <c r="BV793" s="399"/>
      <c r="BW793" s="399"/>
      <c r="BX793" s="399"/>
      <c r="BY793" s="399"/>
      <c r="BZ793" s="399"/>
      <c r="CA793" s="399"/>
      <c r="CB793" s="399"/>
      <c r="CC793" s="399"/>
      <c r="CD793" s="399"/>
      <c r="CE793" s="399"/>
      <c r="CF793" s="399"/>
      <c r="CG793" s="399"/>
      <c r="CH793" s="399"/>
      <c r="CI793" s="399"/>
      <c r="CJ793" s="399"/>
      <c r="CK793" s="399"/>
      <c r="CL793" s="399"/>
      <c r="CM793" s="399"/>
      <c r="CN793" s="399"/>
      <c r="CO793" s="399"/>
      <c r="CP793" s="399"/>
      <c r="CQ793" s="399"/>
      <c r="CR793" s="399"/>
      <c r="CS793" s="399"/>
      <c r="CT793" s="399"/>
      <c r="CU793" s="399"/>
      <c r="CV793" s="399"/>
      <c r="CW793" s="399"/>
      <c r="CX793" s="399"/>
      <c r="CY793" s="399"/>
      <c r="CZ793" s="399"/>
      <c r="DA793" s="399"/>
      <c r="DB793" s="399"/>
      <c r="DC793" s="399"/>
      <c r="DD793" s="399"/>
      <c r="DE793" s="399"/>
      <c r="DF793" s="399"/>
      <c r="DG793" s="399"/>
      <c r="DH793" s="399"/>
      <c r="DI793" s="399"/>
      <c r="DJ793" s="399"/>
      <c r="DK793" s="399"/>
      <c r="DL793" s="399"/>
      <c r="DM793" s="399"/>
      <c r="DN793" s="399"/>
      <c r="DO793" s="399"/>
      <c r="DP793" s="399"/>
      <c r="DQ793" s="399"/>
    </row>
    <row r="794" spans="1:121" s="760" customFormat="1" ht="14.45" customHeight="1" x14ac:dyDescent="0.25">
      <c r="A794" s="266">
        <f t="shared" si="12"/>
        <v>50.866666666666667</v>
      </c>
      <c r="B794" s="389">
        <v>41330</v>
      </c>
      <c r="C794" s="390" t="s">
        <v>451</v>
      </c>
      <c r="D794" s="391" t="s">
        <v>903</v>
      </c>
      <c r="E794" s="390" t="s">
        <v>380</v>
      </c>
      <c r="F794" s="262" t="s">
        <v>27</v>
      </c>
      <c r="G794" s="262" t="s">
        <v>32</v>
      </c>
      <c r="H794" s="261"/>
      <c r="I794" s="261"/>
      <c r="J794" s="261">
        <v>11</v>
      </c>
      <c r="K794" s="261">
        <v>17</v>
      </c>
      <c r="L794" s="261">
        <v>7</v>
      </c>
      <c r="M794" s="261">
        <v>17</v>
      </c>
      <c r="N794" s="261">
        <v>7</v>
      </c>
      <c r="O794" s="261">
        <v>7</v>
      </c>
      <c r="P794" s="261">
        <v>7</v>
      </c>
      <c r="Q794" s="261">
        <v>7</v>
      </c>
      <c r="R794" s="261"/>
      <c r="S794" s="261"/>
      <c r="T794" s="261"/>
      <c r="U794" s="261"/>
      <c r="V794" s="762"/>
      <c r="W794" s="261"/>
      <c r="X794" s="261"/>
      <c r="Y794" s="264">
        <f>IF(NFI_Expiration=1,IF($A794&lt;VLOOKUP(H$5,NFI,5,0),1,0)*Table_NFI[[#This Row],[Hygiene Kit]],Table_NFI[Hygiene Kit])</f>
        <v>0</v>
      </c>
      <c r="Z794" s="264">
        <f>IF(NFI_Expiration=1,IF($A794&lt;VLOOKUP(I$5,NFI,5,0),1,0)*Table_NFI[[#This Row],[NFI Core Kit]],Table_NFI[NFI Core Kit])</f>
        <v>0</v>
      </c>
      <c r="AA794" s="264">
        <f>IF(NFI_Expiration=1,IF($A794&lt;VLOOKUP(J$5,NFI,5,0),1,0)*Table_NFI[[#This Row],[Sanitary Kit]],Table_NFI[Sanitary Kit])</f>
        <v>0</v>
      </c>
      <c r="AB794" s="264">
        <f>IF(NFI_Expiration=1,IF($A794&lt;VLOOKUP(K$5,NFI,5,0),1,0)*Table_NFI[[#This Row],[Mosquito net]],Table_NFI[Mosquito net])</f>
        <v>0</v>
      </c>
      <c r="AC794" s="264">
        <f>IF(NFI_Expiration=1,IF($A794&lt;VLOOKUP(L$5,NFI,5,0),1,0)*Table_NFI[[#This Row],[Tarpaulin]],Table_NFI[[#This Row],[Tarpaulin]])</f>
        <v>0</v>
      </c>
      <c r="AD794" s="264">
        <f>IF(NFI_Expiration=1,IF($A794&lt;VLOOKUP(M$5,NFI,5,0),1,0)*Table_NFI[[#This Row],[Blanket]],Table_NFI[[#This Row],[Blanket]])</f>
        <v>0</v>
      </c>
      <c r="AE794" s="264">
        <f>IF(NFI_Expiration=1,IF($A794&lt;VLOOKUP(N$5,NFI,5,0),1,0)*Table_NFI[[#This Row],[Kitchen Set]],Table_NFI[Kitchen Set])</f>
        <v>0</v>
      </c>
      <c r="AF794" s="264">
        <f>IF(NFI_Expiration=1,IF($A794&lt;VLOOKUP(O$5,NFI,5,0),1,0)*Table_NFI[[#This Row],[Clothes Kit]],Table_NFI[Clothes Kit])</f>
        <v>0</v>
      </c>
      <c r="AG794" s="264">
        <f>IF(NFI_Expiration=1,IF($A794&lt;VLOOKUP(P$5,NFI,5,0),1,0)*Table_NFI[[#This Row],[Plastic Bucket]],Table_NFI[Plastic Bucket])</f>
        <v>0</v>
      </c>
      <c r="AH794" s="264">
        <f>IF(NFI_Expiration=1,IF($A794&lt;VLOOKUP(Q$5,NFI,5,0),1,0)*Table_NFI[[#This Row],[Plastic Mat]],Table_NFI[Plastic Mat])*IF(Table_NFI[[#This Row],[Distribution Date]]&gt;"2014-04-01",1,2.5)</f>
        <v>0</v>
      </c>
      <c r="AI794" s="264">
        <f>IF(NFI_Expiration=1,IF($A794&lt;VLOOKUP(R$5,NFI,5,0),1,0)*Table_NFI[[#This Row],[Winter Clothes Adult]],Table_NFI[Winter Clothes Adult])</f>
        <v>0</v>
      </c>
      <c r="AJ794" s="264">
        <f>IF(NFI_Expiration=1,IF($A794&lt;VLOOKUP(S$5,NFI,5,0),1,0)*Table_NFI[[#This Row],[Winter Clothes Children]],Table_NFI[Winter Clothes Children])</f>
        <v>0</v>
      </c>
      <c r="AK794" s="264">
        <f>IF(NFI_Expiration=1,IF($A794&lt;VLOOKUP(T$5,NFI,5,0),1,0)*Table_NFI[[#This Row],[Winter Items Other]],Table_NFI[Winter Items Other])</f>
        <v>0</v>
      </c>
      <c r="AL794" s="264">
        <f>IF(NFI_Expiration=1,IF($A794&lt;VLOOKUP(M$5,NFI,5,0),1,0)*Table_NFI[[#This Row],[Winter Blanket]],Table_NFI[[#This Row],[Winter Blanket]])</f>
        <v>0</v>
      </c>
      <c r="AM794" s="264">
        <f>IF(Table_NFI[[#This Row],[Winter Clothes Adult]]+Table_NFI[[#This Row],[Winter Clothes Children]]+Table_NFI[[#This Row],[Winter Items Other]]+Table_NFI[[#This Row],[Winter Blanket]]&gt;0,1,0)</f>
        <v>0</v>
      </c>
      <c r="AN794" s="296">
        <f>IF(NFI_Expiration=1,IF($A794&lt;VLOOKUP(V$5,NFI,5,0),1,0)*Table_NFI[[#This Row],[Jerry Can]],Table_NFI[Jerry Can])</f>
        <v>0</v>
      </c>
      <c r="AO794" s="296">
        <f>IF(NFI_Expiration=1,IF($A794&lt;VLOOKUP(V$5,NFI,5,0),1,0)*Table_NFI[[#This Row],[Shelter Tool kit]],Table_NFI[Shelter Tool kit])</f>
        <v>0</v>
      </c>
      <c r="AP794" s="296">
        <f>IF(NFI_Expiration=1,IF($A794&lt;VLOOKUP(V$5,NFI,5,0),1,0)*Table_NFI[[#This Row],[Tent]],Table_NFI[Tent])</f>
        <v>0</v>
      </c>
      <c r="AQ794" s="396" t="str">
        <f>IFERROR(VLOOKUP(Table_NFI[[#This Row],[Camp Name]],CL,2,0),"")</f>
        <v>MMR001CMP046</v>
      </c>
      <c r="AR794" s="702">
        <f ca="1">IF(Table_NFI[[#This Row],[Pcode]]="","",IF(OFFSET(CampList[Opening Date],MATCH(Table_NFI[[#This Row],[Pcode]],CampList[CP_Pcode],0)-1,0,1,1)&gt;=NFI_Monitor_Date,1,0))</f>
        <v>0</v>
      </c>
      <c r="AS794" s="396" t="str">
        <f>IFERROR(VLOOKUP(Table_NFI[[#This Row],[Camp Name]],CL,3,0),"")</f>
        <v>Closed</v>
      </c>
      <c r="AT794" s="264" t="str">
        <f ca="1">IF(Table_NFI[[#This Row],[Pcode]]="","",OFFSET(CampList[Priority],MATCH(Table_NFI[[#This Row],[Pcode]],CampList[CP_Pcode],0)-1,0,1,1))</f>
        <v>P1</v>
      </c>
      <c r="AU794" s="263" t="str">
        <f>IFERROR(Table_NFI[[#This Row],[Kitchen Set]]/VLOOKUP(Table_NFI[[#This Row],[Camp Name]],CL,4,0),"")</f>
        <v/>
      </c>
      <c r="AV794" s="390" t="s">
        <v>1087</v>
      </c>
      <c r="AW794" s="392"/>
      <c r="AX794" s="399"/>
      <c r="AY794" s="399"/>
      <c r="AZ794" s="399"/>
      <c r="BA794" s="399"/>
      <c r="BB794" s="399"/>
      <c r="BC794" s="399"/>
      <c r="BD794" s="399"/>
      <c r="BE794" s="399"/>
      <c r="BF794" s="399"/>
      <c r="BG794" s="399"/>
      <c r="BH794" s="399"/>
      <c r="BI794" s="399"/>
      <c r="BJ794" s="399"/>
      <c r="BK794" s="399"/>
      <c r="BL794" s="399"/>
      <c r="BM794" s="399"/>
      <c r="BN794" s="399"/>
      <c r="BO794" s="399"/>
      <c r="BP794" s="399"/>
      <c r="BQ794" s="399"/>
      <c r="BR794" s="399"/>
      <c r="BS794" s="399"/>
      <c r="BT794" s="399"/>
      <c r="BU794" s="399"/>
      <c r="BV794" s="399"/>
      <c r="BW794" s="399"/>
      <c r="BX794" s="399"/>
      <c r="BY794" s="399"/>
      <c r="BZ794" s="399"/>
      <c r="CA794" s="399"/>
      <c r="CB794" s="399"/>
      <c r="CC794" s="399"/>
      <c r="CD794" s="399"/>
      <c r="CE794" s="399"/>
      <c r="CF794" s="399"/>
      <c r="CG794" s="399"/>
      <c r="CH794" s="399"/>
      <c r="CI794" s="399"/>
      <c r="CJ794" s="399"/>
      <c r="CK794" s="399"/>
      <c r="CL794" s="399"/>
      <c r="CM794" s="399"/>
      <c r="CN794" s="399"/>
      <c r="CO794" s="399"/>
      <c r="CP794" s="399"/>
      <c r="CQ794" s="399"/>
      <c r="CR794" s="399"/>
      <c r="CS794" s="399"/>
      <c r="CT794" s="399"/>
      <c r="CU794" s="399"/>
      <c r="CV794" s="399"/>
      <c r="CW794" s="399"/>
      <c r="CX794" s="399"/>
      <c r="CY794" s="399"/>
      <c r="CZ794" s="399"/>
      <c r="DA794" s="399"/>
      <c r="DB794" s="399"/>
      <c r="DC794" s="399"/>
      <c r="DD794" s="399"/>
      <c r="DE794" s="399"/>
      <c r="DF794" s="399"/>
      <c r="DG794" s="399"/>
      <c r="DH794" s="399"/>
      <c r="DI794" s="399"/>
      <c r="DJ794" s="399"/>
      <c r="DK794" s="399"/>
      <c r="DL794" s="399"/>
      <c r="DM794" s="399"/>
      <c r="DN794" s="399"/>
      <c r="DO794" s="399"/>
      <c r="DP794" s="399"/>
      <c r="DQ794" s="399"/>
    </row>
    <row r="795" spans="1:121" s="760" customFormat="1" ht="14.45" customHeight="1" x14ac:dyDescent="0.25">
      <c r="A795" s="266">
        <f t="shared" si="12"/>
        <v>50.866666666666667</v>
      </c>
      <c r="B795" s="389">
        <v>41330</v>
      </c>
      <c r="C795" s="390" t="s">
        <v>451</v>
      </c>
      <c r="D795" s="391" t="s">
        <v>903</v>
      </c>
      <c r="E795" s="390" t="s">
        <v>380</v>
      </c>
      <c r="F795" s="262" t="s">
        <v>27</v>
      </c>
      <c r="G795" s="262" t="s">
        <v>37</v>
      </c>
      <c r="H795" s="261"/>
      <c r="I795" s="261"/>
      <c r="J795" s="261">
        <v>12</v>
      </c>
      <c r="K795" s="261">
        <v>18</v>
      </c>
      <c r="L795" s="261">
        <v>8</v>
      </c>
      <c r="M795" s="261">
        <v>18</v>
      </c>
      <c r="N795" s="261">
        <v>8</v>
      </c>
      <c r="O795" s="261">
        <v>8</v>
      </c>
      <c r="P795" s="261">
        <v>8</v>
      </c>
      <c r="Q795" s="261">
        <v>8</v>
      </c>
      <c r="R795" s="261"/>
      <c r="S795" s="261"/>
      <c r="T795" s="261"/>
      <c r="U795" s="261"/>
      <c r="V795" s="762"/>
      <c r="W795" s="261"/>
      <c r="X795" s="261"/>
      <c r="Y795" s="264">
        <f>IF(NFI_Expiration=1,IF($A795&lt;VLOOKUP(H$5,NFI,5,0),1,0)*Table_NFI[[#This Row],[Hygiene Kit]],Table_NFI[Hygiene Kit])</f>
        <v>0</v>
      </c>
      <c r="Z795" s="264">
        <f>IF(NFI_Expiration=1,IF($A795&lt;VLOOKUP(I$5,NFI,5,0),1,0)*Table_NFI[[#This Row],[NFI Core Kit]],Table_NFI[NFI Core Kit])</f>
        <v>0</v>
      </c>
      <c r="AA795" s="264">
        <f>IF(NFI_Expiration=1,IF($A795&lt;VLOOKUP(J$5,NFI,5,0),1,0)*Table_NFI[[#This Row],[Sanitary Kit]],Table_NFI[Sanitary Kit])</f>
        <v>0</v>
      </c>
      <c r="AB795" s="264">
        <f>IF(NFI_Expiration=1,IF($A795&lt;VLOOKUP(K$5,NFI,5,0),1,0)*Table_NFI[[#This Row],[Mosquito net]],Table_NFI[Mosquito net])</f>
        <v>0</v>
      </c>
      <c r="AC795" s="264">
        <f>IF(NFI_Expiration=1,IF($A795&lt;VLOOKUP(L$5,NFI,5,0),1,0)*Table_NFI[[#This Row],[Tarpaulin]],Table_NFI[[#This Row],[Tarpaulin]])</f>
        <v>0</v>
      </c>
      <c r="AD795" s="264">
        <f>IF(NFI_Expiration=1,IF($A795&lt;VLOOKUP(M$5,NFI,5,0),1,0)*Table_NFI[[#This Row],[Blanket]],Table_NFI[[#This Row],[Blanket]])</f>
        <v>0</v>
      </c>
      <c r="AE795" s="264">
        <f>IF(NFI_Expiration=1,IF($A795&lt;VLOOKUP(N$5,NFI,5,0),1,0)*Table_NFI[[#This Row],[Kitchen Set]],Table_NFI[Kitchen Set])</f>
        <v>0</v>
      </c>
      <c r="AF795" s="264">
        <f>IF(NFI_Expiration=1,IF($A795&lt;VLOOKUP(O$5,NFI,5,0),1,0)*Table_NFI[[#This Row],[Clothes Kit]],Table_NFI[Clothes Kit])</f>
        <v>0</v>
      </c>
      <c r="AG795" s="264">
        <f>IF(NFI_Expiration=1,IF($A795&lt;VLOOKUP(P$5,NFI,5,0),1,0)*Table_NFI[[#This Row],[Plastic Bucket]],Table_NFI[Plastic Bucket])</f>
        <v>0</v>
      </c>
      <c r="AH795" s="264">
        <f>IF(NFI_Expiration=1,IF($A795&lt;VLOOKUP(Q$5,NFI,5,0),1,0)*Table_NFI[[#This Row],[Plastic Mat]],Table_NFI[Plastic Mat])*IF(Table_NFI[[#This Row],[Distribution Date]]&gt;"2014-04-01",1,2.5)</f>
        <v>0</v>
      </c>
      <c r="AI795" s="264">
        <f>IF(NFI_Expiration=1,IF($A795&lt;VLOOKUP(R$5,NFI,5,0),1,0)*Table_NFI[[#This Row],[Winter Clothes Adult]],Table_NFI[Winter Clothes Adult])</f>
        <v>0</v>
      </c>
      <c r="AJ795" s="264">
        <f>IF(NFI_Expiration=1,IF($A795&lt;VLOOKUP(S$5,NFI,5,0),1,0)*Table_NFI[[#This Row],[Winter Clothes Children]],Table_NFI[Winter Clothes Children])</f>
        <v>0</v>
      </c>
      <c r="AK795" s="264">
        <f>IF(NFI_Expiration=1,IF($A795&lt;VLOOKUP(T$5,NFI,5,0),1,0)*Table_NFI[[#This Row],[Winter Items Other]],Table_NFI[Winter Items Other])</f>
        <v>0</v>
      </c>
      <c r="AL795" s="264">
        <f>IF(NFI_Expiration=1,IF($A795&lt;VLOOKUP(M$5,NFI,5,0),1,0)*Table_NFI[[#This Row],[Winter Blanket]],Table_NFI[[#This Row],[Winter Blanket]])</f>
        <v>0</v>
      </c>
      <c r="AM795" s="264">
        <f>IF(Table_NFI[[#This Row],[Winter Clothes Adult]]+Table_NFI[[#This Row],[Winter Clothes Children]]+Table_NFI[[#This Row],[Winter Items Other]]+Table_NFI[[#This Row],[Winter Blanket]]&gt;0,1,0)</f>
        <v>0</v>
      </c>
      <c r="AN795" s="296">
        <f>IF(NFI_Expiration=1,IF($A795&lt;VLOOKUP(V$5,NFI,5,0),1,0)*Table_NFI[[#This Row],[Jerry Can]],Table_NFI[Jerry Can])</f>
        <v>0</v>
      </c>
      <c r="AO795" s="296">
        <f>IF(NFI_Expiration=1,IF($A795&lt;VLOOKUP(V$5,NFI,5,0),1,0)*Table_NFI[[#This Row],[Shelter Tool kit]],Table_NFI[Shelter Tool kit])</f>
        <v>0</v>
      </c>
      <c r="AP795" s="296">
        <f>IF(NFI_Expiration=1,IF($A795&lt;VLOOKUP(V$5,NFI,5,0),1,0)*Table_NFI[[#This Row],[Tent]],Table_NFI[Tent])</f>
        <v>0</v>
      </c>
      <c r="AQ795" s="396" t="str">
        <f>IFERROR(VLOOKUP(Table_NFI[[#This Row],[Camp Name]],CL,2,0),"")</f>
        <v>MMR001CMP044</v>
      </c>
      <c r="AR795" s="702">
        <f ca="1">IF(Table_NFI[[#This Row],[Pcode]]="","",IF(OFFSET(CampList[Opening Date],MATCH(Table_NFI[[#This Row],[Pcode]],CampList[CP_Pcode],0)-1,0,1,1)&gt;=NFI_Monitor_Date,1,0))</f>
        <v>0</v>
      </c>
      <c r="AS795" s="396" t="str">
        <f>IFERROR(VLOOKUP(Table_NFI[[#This Row],[Camp Name]],CL,3,0),"")</f>
        <v>Closed</v>
      </c>
      <c r="AT795" s="264" t="str">
        <f ca="1">IF(Table_NFI[[#This Row],[Pcode]]="","",OFFSET(CampList[Priority],MATCH(Table_NFI[[#This Row],[Pcode]],CampList[CP_Pcode],0)-1,0,1,1))</f>
        <v/>
      </c>
      <c r="AU795" s="263" t="str">
        <f>IFERROR(Table_NFI[[#This Row],[Kitchen Set]]/VLOOKUP(Table_NFI[[#This Row],[Camp Name]],CL,4,0),"")</f>
        <v/>
      </c>
      <c r="AV795" s="390" t="s">
        <v>1087</v>
      </c>
      <c r="AW795" s="392"/>
      <c r="AX795" s="399"/>
      <c r="AY795" s="399"/>
      <c r="AZ795" s="399"/>
      <c r="BA795" s="399"/>
      <c r="BB795" s="399"/>
      <c r="BC795" s="399"/>
      <c r="BD795" s="399"/>
      <c r="BE795" s="399"/>
      <c r="BF795" s="399"/>
      <c r="BG795" s="399"/>
      <c r="BH795" s="399"/>
      <c r="BI795" s="399"/>
      <c r="BJ795" s="399"/>
      <c r="BK795" s="399"/>
      <c r="BL795" s="399"/>
      <c r="BM795" s="399"/>
      <c r="BN795" s="399"/>
      <c r="BO795" s="399"/>
      <c r="BP795" s="399"/>
      <c r="BQ795" s="399"/>
      <c r="BR795" s="399"/>
      <c r="BS795" s="399"/>
      <c r="BT795" s="399"/>
      <c r="BU795" s="399"/>
      <c r="BV795" s="399"/>
      <c r="BW795" s="399"/>
      <c r="BX795" s="399"/>
      <c r="BY795" s="399"/>
      <c r="BZ795" s="399"/>
      <c r="CA795" s="399"/>
      <c r="CB795" s="399"/>
      <c r="CC795" s="399"/>
      <c r="CD795" s="399"/>
      <c r="CE795" s="399"/>
      <c r="CF795" s="399"/>
      <c r="CG795" s="399"/>
      <c r="CH795" s="399"/>
      <c r="CI795" s="399"/>
      <c r="CJ795" s="399"/>
      <c r="CK795" s="399"/>
      <c r="CL795" s="399"/>
      <c r="CM795" s="399"/>
      <c r="CN795" s="399"/>
      <c r="CO795" s="399"/>
      <c r="CP795" s="399"/>
      <c r="CQ795" s="399"/>
      <c r="CR795" s="399"/>
      <c r="CS795" s="399"/>
      <c r="CT795" s="399"/>
      <c r="CU795" s="399"/>
      <c r="CV795" s="399"/>
      <c r="CW795" s="399"/>
      <c r="CX795" s="399"/>
      <c r="CY795" s="399"/>
      <c r="CZ795" s="399"/>
      <c r="DA795" s="399"/>
      <c r="DB795" s="399"/>
      <c r="DC795" s="399"/>
      <c r="DD795" s="399"/>
      <c r="DE795" s="399"/>
      <c r="DF795" s="399"/>
      <c r="DG795" s="399"/>
      <c r="DH795" s="399"/>
      <c r="DI795" s="399"/>
      <c r="DJ795" s="399"/>
      <c r="DK795" s="399"/>
      <c r="DL795" s="399"/>
      <c r="DM795" s="399"/>
      <c r="DN795" s="399"/>
      <c r="DO795" s="399"/>
      <c r="DP795" s="399"/>
      <c r="DQ795" s="399"/>
    </row>
    <row r="796" spans="1:121" s="760" customFormat="1" ht="14.45" customHeight="1" x14ac:dyDescent="0.25">
      <c r="A796" s="266">
        <f t="shared" si="12"/>
        <v>51.033333333333331</v>
      </c>
      <c r="B796" s="389">
        <v>41325</v>
      </c>
      <c r="C796" s="390" t="s">
        <v>451</v>
      </c>
      <c r="D796" s="391" t="s">
        <v>451</v>
      </c>
      <c r="E796" s="390" t="s">
        <v>380</v>
      </c>
      <c r="F796" s="262" t="s">
        <v>526</v>
      </c>
      <c r="G796" s="262" t="s">
        <v>43</v>
      </c>
      <c r="H796" s="261"/>
      <c r="I796" s="261"/>
      <c r="J796" s="261"/>
      <c r="K796" s="261">
        <v>59</v>
      </c>
      <c r="L796" s="261">
        <v>28</v>
      </c>
      <c r="M796" s="261">
        <v>0</v>
      </c>
      <c r="N796" s="261">
        <v>28</v>
      </c>
      <c r="O796" s="261">
        <v>28</v>
      </c>
      <c r="P796" s="261">
        <v>28</v>
      </c>
      <c r="Q796" s="261">
        <v>28</v>
      </c>
      <c r="R796" s="261"/>
      <c r="S796" s="261"/>
      <c r="T796" s="261"/>
      <c r="U796" s="261"/>
      <c r="V796" s="762"/>
      <c r="W796" s="261"/>
      <c r="X796" s="261"/>
      <c r="Y796" s="264">
        <f>IF(NFI_Expiration=1,IF($A796&lt;VLOOKUP(H$5,NFI,5,0),1,0)*Table_NFI[[#This Row],[Hygiene Kit]],Table_NFI[Hygiene Kit])</f>
        <v>0</v>
      </c>
      <c r="Z796" s="264">
        <f>IF(NFI_Expiration=1,IF($A796&lt;VLOOKUP(I$5,NFI,5,0),1,0)*Table_NFI[[#This Row],[NFI Core Kit]],Table_NFI[NFI Core Kit])</f>
        <v>0</v>
      </c>
      <c r="AA796" s="264">
        <f>IF(NFI_Expiration=1,IF($A796&lt;VLOOKUP(J$5,NFI,5,0),1,0)*Table_NFI[[#This Row],[Sanitary Kit]],Table_NFI[Sanitary Kit])</f>
        <v>0</v>
      </c>
      <c r="AB796" s="264">
        <f>IF(NFI_Expiration=1,IF($A796&lt;VLOOKUP(K$5,NFI,5,0),1,0)*Table_NFI[[#This Row],[Mosquito net]],Table_NFI[Mosquito net])</f>
        <v>0</v>
      </c>
      <c r="AC796" s="264">
        <f>IF(NFI_Expiration=1,IF($A796&lt;VLOOKUP(L$5,NFI,5,0),1,0)*Table_NFI[[#This Row],[Tarpaulin]],Table_NFI[[#This Row],[Tarpaulin]])</f>
        <v>0</v>
      </c>
      <c r="AD796" s="264">
        <f>IF(NFI_Expiration=1,IF($A796&lt;VLOOKUP(M$5,NFI,5,0),1,0)*Table_NFI[[#This Row],[Blanket]],Table_NFI[[#This Row],[Blanket]])</f>
        <v>0</v>
      </c>
      <c r="AE796" s="264">
        <f>IF(NFI_Expiration=1,IF($A796&lt;VLOOKUP(N$5,NFI,5,0),1,0)*Table_NFI[[#This Row],[Kitchen Set]],Table_NFI[Kitchen Set])</f>
        <v>0</v>
      </c>
      <c r="AF796" s="264">
        <f>IF(NFI_Expiration=1,IF($A796&lt;VLOOKUP(O$5,NFI,5,0),1,0)*Table_NFI[[#This Row],[Clothes Kit]],Table_NFI[Clothes Kit])</f>
        <v>0</v>
      </c>
      <c r="AG796" s="264">
        <f>IF(NFI_Expiration=1,IF($A796&lt;VLOOKUP(P$5,NFI,5,0),1,0)*Table_NFI[[#This Row],[Plastic Bucket]],Table_NFI[Plastic Bucket])</f>
        <v>0</v>
      </c>
      <c r="AH796" s="264">
        <f>IF(NFI_Expiration=1,IF($A796&lt;VLOOKUP(Q$5,NFI,5,0),1,0)*Table_NFI[[#This Row],[Plastic Mat]],Table_NFI[Plastic Mat])*IF(Table_NFI[[#This Row],[Distribution Date]]&gt;"2014-04-01",1,2.5)</f>
        <v>0</v>
      </c>
      <c r="AI796" s="264">
        <f>IF(NFI_Expiration=1,IF($A796&lt;VLOOKUP(R$5,NFI,5,0),1,0)*Table_NFI[[#This Row],[Winter Clothes Adult]],Table_NFI[Winter Clothes Adult])</f>
        <v>0</v>
      </c>
      <c r="AJ796" s="264">
        <f>IF(NFI_Expiration=1,IF($A796&lt;VLOOKUP(S$5,NFI,5,0),1,0)*Table_NFI[[#This Row],[Winter Clothes Children]],Table_NFI[Winter Clothes Children])</f>
        <v>0</v>
      </c>
      <c r="AK796" s="264">
        <f>IF(NFI_Expiration=1,IF($A796&lt;VLOOKUP(T$5,NFI,5,0),1,0)*Table_NFI[[#This Row],[Winter Items Other]],Table_NFI[Winter Items Other])</f>
        <v>0</v>
      </c>
      <c r="AL796" s="264">
        <f>IF(NFI_Expiration=1,IF($A796&lt;VLOOKUP(M$5,NFI,5,0),1,0)*Table_NFI[[#This Row],[Winter Blanket]],Table_NFI[[#This Row],[Winter Blanket]])</f>
        <v>0</v>
      </c>
      <c r="AM796" s="264">
        <f>IF(Table_NFI[[#This Row],[Winter Clothes Adult]]+Table_NFI[[#This Row],[Winter Clothes Children]]+Table_NFI[[#This Row],[Winter Items Other]]+Table_NFI[[#This Row],[Winter Blanket]]&gt;0,1,0)</f>
        <v>0</v>
      </c>
      <c r="AN796" s="296">
        <f>IF(NFI_Expiration=1,IF($A796&lt;VLOOKUP(V$5,NFI,5,0),1,0)*Table_NFI[[#This Row],[Jerry Can]],Table_NFI[Jerry Can])</f>
        <v>0</v>
      </c>
      <c r="AO796" s="296">
        <f>IF(NFI_Expiration=1,IF($A796&lt;VLOOKUP(V$5,NFI,5,0),1,0)*Table_NFI[[#This Row],[Shelter Tool kit]],Table_NFI[Shelter Tool kit])</f>
        <v>0</v>
      </c>
      <c r="AP796" s="296">
        <f>IF(NFI_Expiration=1,IF($A796&lt;VLOOKUP(V$5,NFI,5,0),1,0)*Table_NFI[[#This Row],[Tent]],Table_NFI[Tent])</f>
        <v>0</v>
      </c>
      <c r="AQ796" s="396" t="str">
        <f>IFERROR(VLOOKUP(Table_NFI[[#This Row],[Camp Name]],CL,2,0),"")</f>
        <v>MMR001CMP190</v>
      </c>
      <c r="AR796" s="702">
        <f ca="1">IF(Table_NFI[[#This Row],[Pcode]]="","",IF(OFFSET(CampList[Opening Date],MATCH(Table_NFI[[#This Row],[Pcode]],CampList[CP_Pcode],0)-1,0,1,1)&gt;=NFI_Monitor_Date,1,0))</f>
        <v>0</v>
      </c>
      <c r="AS796" s="396" t="str">
        <f>IFERROR(VLOOKUP(Table_NFI[[#This Row],[Camp Name]],CL,3,0),"")</f>
        <v>Open</v>
      </c>
      <c r="AT796" s="264" t="str">
        <f ca="1">IF(Table_NFI[[#This Row],[Pcode]]="","",OFFSET(CampList[Priority],MATCH(Table_NFI[[#This Row],[Pcode]],CampList[CP_Pcode],0)-1,0,1,1))</f>
        <v>P4</v>
      </c>
      <c r="AU796" s="263">
        <f>IFERROR(Table_NFI[[#This Row],[Kitchen Set]]/VLOOKUP(Table_NFI[[#This Row],[Camp Name]],CL,4,0),"")</f>
        <v>6.783767413688674E-4</v>
      </c>
      <c r="AV796" s="390" t="s">
        <v>1087</v>
      </c>
      <c r="AW796" s="392"/>
      <c r="AX796" s="399"/>
      <c r="AY796" s="399"/>
      <c r="AZ796" s="399"/>
      <c r="BA796" s="399"/>
      <c r="BB796" s="399"/>
      <c r="BC796" s="399"/>
      <c r="BD796" s="399"/>
      <c r="BE796" s="399"/>
      <c r="BF796" s="399"/>
      <c r="BG796" s="399"/>
      <c r="BH796" s="399"/>
      <c r="BI796" s="399"/>
      <c r="BJ796" s="399"/>
      <c r="BK796" s="399"/>
      <c r="BL796" s="399"/>
      <c r="BM796" s="399"/>
      <c r="BN796" s="399"/>
      <c r="BO796" s="399"/>
      <c r="BP796" s="399"/>
      <c r="BQ796" s="399"/>
      <c r="BR796" s="399"/>
      <c r="BS796" s="399"/>
      <c r="BT796" s="399"/>
      <c r="BU796" s="399"/>
      <c r="BV796" s="399"/>
      <c r="BW796" s="399"/>
      <c r="BX796" s="399"/>
      <c r="BY796" s="399"/>
      <c r="BZ796" s="399"/>
      <c r="CA796" s="399"/>
      <c r="CB796" s="399"/>
      <c r="CC796" s="399"/>
      <c r="CD796" s="399"/>
      <c r="CE796" s="399"/>
      <c r="CF796" s="399"/>
      <c r="CG796" s="399"/>
      <c r="CH796" s="399"/>
      <c r="CI796" s="399"/>
      <c r="CJ796" s="399"/>
      <c r="CK796" s="399"/>
      <c r="CL796" s="399"/>
      <c r="CM796" s="399"/>
      <c r="CN796" s="399"/>
      <c r="CO796" s="399"/>
      <c r="CP796" s="399"/>
      <c r="CQ796" s="399"/>
      <c r="CR796" s="399"/>
      <c r="CS796" s="399"/>
      <c r="CT796" s="399"/>
      <c r="CU796" s="399"/>
      <c r="CV796" s="399"/>
      <c r="CW796" s="399"/>
      <c r="CX796" s="399"/>
      <c r="CY796" s="399"/>
      <c r="CZ796" s="399"/>
      <c r="DA796" s="399"/>
      <c r="DB796" s="399"/>
      <c r="DC796" s="399"/>
      <c r="DD796" s="399"/>
      <c r="DE796" s="399"/>
      <c r="DF796" s="399"/>
      <c r="DG796" s="399"/>
      <c r="DH796" s="399"/>
      <c r="DI796" s="399"/>
      <c r="DJ796" s="399"/>
      <c r="DK796" s="399"/>
      <c r="DL796" s="399"/>
      <c r="DM796" s="399"/>
      <c r="DN796" s="399"/>
      <c r="DO796" s="399"/>
      <c r="DP796" s="399"/>
      <c r="DQ796" s="399"/>
    </row>
    <row r="797" spans="1:121" s="760" customFormat="1" ht="14.45" customHeight="1" x14ac:dyDescent="0.25">
      <c r="A797" s="266">
        <f t="shared" si="12"/>
        <v>51.033333333333331</v>
      </c>
      <c r="B797" s="389">
        <v>41325</v>
      </c>
      <c r="C797" s="390" t="s">
        <v>451</v>
      </c>
      <c r="D797" s="390" t="s">
        <v>451</v>
      </c>
      <c r="E797" s="390" t="s">
        <v>380</v>
      </c>
      <c r="F797" s="262" t="s">
        <v>526</v>
      </c>
      <c r="G797" s="262" t="s">
        <v>92</v>
      </c>
      <c r="H797" s="261"/>
      <c r="I797" s="261"/>
      <c r="J797" s="261">
        <v>12</v>
      </c>
      <c r="K797" s="261">
        <v>20</v>
      </c>
      <c r="L797" s="261">
        <v>8</v>
      </c>
      <c r="M797" s="261">
        <v>20</v>
      </c>
      <c r="N797" s="261">
        <v>8</v>
      </c>
      <c r="O797" s="261">
        <v>8</v>
      </c>
      <c r="P797" s="261">
        <v>8</v>
      </c>
      <c r="Q797" s="261">
        <v>8</v>
      </c>
      <c r="R797" s="261"/>
      <c r="S797" s="261"/>
      <c r="T797" s="261"/>
      <c r="U797" s="261"/>
      <c r="V797" s="762"/>
      <c r="W797" s="261"/>
      <c r="X797" s="261"/>
      <c r="Y797" s="264">
        <f>IF(NFI_Expiration=1,IF($A797&lt;VLOOKUP(H$5,NFI,5,0),1,0)*Table_NFI[[#This Row],[Hygiene Kit]],Table_NFI[Hygiene Kit])</f>
        <v>0</v>
      </c>
      <c r="Z797" s="264">
        <f>IF(NFI_Expiration=1,IF($A797&lt;VLOOKUP(I$5,NFI,5,0),1,0)*Table_NFI[[#This Row],[NFI Core Kit]],Table_NFI[NFI Core Kit])</f>
        <v>0</v>
      </c>
      <c r="AA797" s="264">
        <f>IF(NFI_Expiration=1,IF($A797&lt;VLOOKUP(J$5,NFI,5,0),1,0)*Table_NFI[[#This Row],[Sanitary Kit]],Table_NFI[Sanitary Kit])</f>
        <v>0</v>
      </c>
      <c r="AB797" s="264">
        <f>IF(NFI_Expiration=1,IF($A797&lt;VLOOKUP(K$5,NFI,5,0),1,0)*Table_NFI[[#This Row],[Mosquito net]],Table_NFI[Mosquito net])</f>
        <v>0</v>
      </c>
      <c r="AC797" s="264">
        <f>IF(NFI_Expiration=1,IF($A797&lt;VLOOKUP(L$5,NFI,5,0),1,0)*Table_NFI[[#This Row],[Tarpaulin]],Table_NFI[[#This Row],[Tarpaulin]])</f>
        <v>0</v>
      </c>
      <c r="AD797" s="264">
        <f>IF(NFI_Expiration=1,IF($A797&lt;VLOOKUP(M$5,NFI,5,0),1,0)*Table_NFI[[#This Row],[Blanket]],Table_NFI[[#This Row],[Blanket]])</f>
        <v>0</v>
      </c>
      <c r="AE797" s="264">
        <f>IF(NFI_Expiration=1,IF($A797&lt;VLOOKUP(N$5,NFI,5,0),1,0)*Table_NFI[[#This Row],[Kitchen Set]],Table_NFI[Kitchen Set])</f>
        <v>0</v>
      </c>
      <c r="AF797" s="264">
        <f>IF(NFI_Expiration=1,IF($A797&lt;VLOOKUP(O$5,NFI,5,0),1,0)*Table_NFI[[#This Row],[Clothes Kit]],Table_NFI[Clothes Kit])</f>
        <v>0</v>
      </c>
      <c r="AG797" s="264">
        <f>IF(NFI_Expiration=1,IF($A797&lt;VLOOKUP(P$5,NFI,5,0),1,0)*Table_NFI[[#This Row],[Plastic Bucket]],Table_NFI[Plastic Bucket])</f>
        <v>0</v>
      </c>
      <c r="AH797" s="264">
        <f>IF(NFI_Expiration=1,IF($A797&lt;VLOOKUP(Q$5,NFI,5,0),1,0)*Table_NFI[[#This Row],[Plastic Mat]],Table_NFI[Plastic Mat])*IF(Table_NFI[[#This Row],[Distribution Date]]&gt;"2014-04-01",1,2.5)</f>
        <v>0</v>
      </c>
      <c r="AI797" s="264">
        <f>IF(NFI_Expiration=1,IF($A797&lt;VLOOKUP(R$5,NFI,5,0),1,0)*Table_NFI[[#This Row],[Winter Clothes Adult]],Table_NFI[Winter Clothes Adult])</f>
        <v>0</v>
      </c>
      <c r="AJ797" s="264">
        <f>IF(NFI_Expiration=1,IF($A797&lt;VLOOKUP(S$5,NFI,5,0),1,0)*Table_NFI[[#This Row],[Winter Clothes Children]],Table_NFI[Winter Clothes Children])</f>
        <v>0</v>
      </c>
      <c r="AK797" s="264">
        <f>IF(NFI_Expiration=1,IF($A797&lt;VLOOKUP(T$5,NFI,5,0),1,0)*Table_NFI[[#This Row],[Winter Items Other]],Table_NFI[Winter Items Other])</f>
        <v>0</v>
      </c>
      <c r="AL797" s="264">
        <f>IF(NFI_Expiration=1,IF($A797&lt;VLOOKUP(M$5,NFI,5,0),1,0)*Table_NFI[[#This Row],[Winter Blanket]],Table_NFI[[#This Row],[Winter Blanket]])</f>
        <v>0</v>
      </c>
      <c r="AM797" s="264">
        <f>IF(Table_NFI[[#This Row],[Winter Clothes Adult]]+Table_NFI[[#This Row],[Winter Clothes Children]]+Table_NFI[[#This Row],[Winter Items Other]]+Table_NFI[[#This Row],[Winter Blanket]]&gt;0,1,0)</f>
        <v>0</v>
      </c>
      <c r="AN797" s="296">
        <f>IF(NFI_Expiration=1,IF($A797&lt;VLOOKUP(V$5,NFI,5,0),1,0)*Table_NFI[[#This Row],[Jerry Can]],Table_NFI[Jerry Can])</f>
        <v>0</v>
      </c>
      <c r="AO797" s="296">
        <f>IF(NFI_Expiration=1,IF($A797&lt;VLOOKUP(V$5,NFI,5,0),1,0)*Table_NFI[[#This Row],[Shelter Tool kit]],Table_NFI[Shelter Tool kit])</f>
        <v>0</v>
      </c>
      <c r="AP797" s="296">
        <f>IF(NFI_Expiration=1,IF($A797&lt;VLOOKUP(V$5,NFI,5,0),1,0)*Table_NFI[[#This Row],[Tent]],Table_NFI[Tent])</f>
        <v>0</v>
      </c>
      <c r="AQ797" s="396" t="str">
        <f>IFERROR(VLOOKUP(Table_NFI[[#This Row],[Camp Name]],CL,2,0),"")</f>
        <v>MMR001CMP167</v>
      </c>
      <c r="AR797" s="702">
        <f ca="1">IF(Table_NFI[[#This Row],[Pcode]]="","",IF(OFFSET(CampList[Opening Date],MATCH(Table_NFI[[#This Row],[Pcode]],CampList[CP_Pcode],0)-1,0,1,1)&gt;=NFI_Monitor_Date,1,0))</f>
        <v>0</v>
      </c>
      <c r="AS797" s="396" t="str">
        <f>IFERROR(VLOOKUP(Table_NFI[[#This Row],[Camp Name]],CL,3,0),"")</f>
        <v>Open</v>
      </c>
      <c r="AT797" s="264" t="str">
        <f ca="1">IF(Table_NFI[[#This Row],[Pcode]]="","",OFFSET(CampList[Priority],MATCH(Table_NFI[[#This Row],[Pcode]],CampList[CP_Pcode],0)-1,0,1,1))</f>
        <v>P4</v>
      </c>
      <c r="AU797" s="263">
        <f>IFERROR(Table_NFI[[#This Row],[Kitchen Set]]/VLOOKUP(Table_NFI[[#This Row],[Camp Name]],CL,4,0),"")</f>
        <v>1.9382192610539067E-4</v>
      </c>
      <c r="AV797" s="390" t="s">
        <v>1087</v>
      </c>
      <c r="AW797" s="392"/>
      <c r="AX797" s="399"/>
      <c r="AY797" s="399"/>
      <c r="AZ797" s="399"/>
      <c r="BA797" s="399"/>
      <c r="BB797" s="399"/>
      <c r="BC797" s="399"/>
      <c r="BD797" s="399"/>
      <c r="BE797" s="399"/>
      <c r="BF797" s="399"/>
      <c r="BG797" s="399"/>
      <c r="BH797" s="399"/>
      <c r="BI797" s="399"/>
      <c r="BJ797" s="399"/>
      <c r="BK797" s="399"/>
      <c r="BL797" s="399"/>
      <c r="BM797" s="399"/>
      <c r="BN797" s="399"/>
      <c r="BO797" s="399"/>
      <c r="BP797" s="399"/>
      <c r="BQ797" s="399"/>
      <c r="BR797" s="399"/>
      <c r="BS797" s="399"/>
      <c r="BT797" s="399"/>
      <c r="BU797" s="399"/>
      <c r="BV797" s="399"/>
      <c r="BW797" s="399"/>
      <c r="BX797" s="399"/>
      <c r="BY797" s="399"/>
      <c r="BZ797" s="399"/>
      <c r="CA797" s="399"/>
      <c r="CB797" s="399"/>
      <c r="CC797" s="399"/>
      <c r="CD797" s="399"/>
      <c r="CE797" s="399"/>
      <c r="CF797" s="399"/>
      <c r="CG797" s="399"/>
      <c r="CH797" s="399"/>
      <c r="CI797" s="399"/>
      <c r="CJ797" s="399"/>
      <c r="CK797" s="399"/>
      <c r="CL797" s="399"/>
      <c r="CM797" s="399"/>
      <c r="CN797" s="399"/>
      <c r="CO797" s="399"/>
      <c r="CP797" s="399"/>
      <c r="CQ797" s="399"/>
      <c r="CR797" s="399"/>
      <c r="CS797" s="399"/>
      <c r="CT797" s="399"/>
      <c r="CU797" s="399"/>
      <c r="CV797" s="399"/>
      <c r="CW797" s="399"/>
      <c r="CX797" s="399"/>
      <c r="CY797" s="399"/>
      <c r="CZ797" s="399"/>
      <c r="DA797" s="399"/>
      <c r="DB797" s="399"/>
      <c r="DC797" s="399"/>
      <c r="DD797" s="399"/>
      <c r="DE797" s="399"/>
      <c r="DF797" s="399"/>
      <c r="DG797" s="399"/>
      <c r="DH797" s="399"/>
      <c r="DI797" s="399"/>
      <c r="DJ797" s="399"/>
      <c r="DK797" s="399"/>
      <c r="DL797" s="399"/>
      <c r="DM797" s="399"/>
      <c r="DN797" s="399"/>
      <c r="DO797" s="399"/>
      <c r="DP797" s="399"/>
      <c r="DQ797" s="399"/>
    </row>
    <row r="798" spans="1:121" s="760" customFormat="1" ht="15" customHeight="1" x14ac:dyDescent="0.25">
      <c r="A798" s="266">
        <f t="shared" si="12"/>
        <v>51.033333333333331</v>
      </c>
      <c r="B798" s="389">
        <v>41325</v>
      </c>
      <c r="C798" s="390" t="s">
        <v>451</v>
      </c>
      <c r="D798" s="391" t="s">
        <v>451</v>
      </c>
      <c r="E798" s="390" t="s">
        <v>380</v>
      </c>
      <c r="F798" s="262" t="s">
        <v>526</v>
      </c>
      <c r="G798" s="262" t="s">
        <v>108</v>
      </c>
      <c r="H798" s="261"/>
      <c r="I798" s="763"/>
      <c r="J798" s="261">
        <v>35</v>
      </c>
      <c r="K798" s="261">
        <v>0</v>
      </c>
      <c r="L798" s="261">
        <v>0</v>
      </c>
      <c r="M798" s="261">
        <v>0</v>
      </c>
      <c r="N798" s="261">
        <v>0</v>
      </c>
      <c r="O798" s="261">
        <v>0</v>
      </c>
      <c r="P798" s="261"/>
      <c r="Q798" s="261"/>
      <c r="R798" s="261"/>
      <c r="S798" s="261"/>
      <c r="T798" s="261"/>
      <c r="U798" s="261"/>
      <c r="V798" s="762"/>
      <c r="W798" s="261"/>
      <c r="X798" s="261"/>
      <c r="Y798" s="264">
        <f>IF(NFI_Expiration=1,IF($A798&lt;VLOOKUP(H$5,NFI,5,0),1,0)*Table_NFI[[#This Row],[Hygiene Kit]],Table_NFI[Hygiene Kit])</f>
        <v>0</v>
      </c>
      <c r="Z798" s="264">
        <f>IF(NFI_Expiration=1,IF($A798&lt;VLOOKUP(I$5,NFI,5,0),1,0)*Table_NFI[[#This Row],[NFI Core Kit]],Table_NFI[NFI Core Kit])</f>
        <v>0</v>
      </c>
      <c r="AA798" s="264">
        <f>IF(NFI_Expiration=1,IF($A798&lt;VLOOKUP(J$5,NFI,5,0),1,0)*Table_NFI[[#This Row],[Sanitary Kit]],Table_NFI[Sanitary Kit])</f>
        <v>0</v>
      </c>
      <c r="AB798" s="264">
        <f>IF(NFI_Expiration=1,IF($A798&lt;VLOOKUP(K$5,NFI,5,0),1,0)*Table_NFI[[#This Row],[Mosquito net]],Table_NFI[Mosquito net])</f>
        <v>0</v>
      </c>
      <c r="AC798" s="264">
        <f>IF(NFI_Expiration=1,IF($A798&lt;VLOOKUP(L$5,NFI,5,0),1,0)*Table_NFI[[#This Row],[Tarpaulin]],Table_NFI[[#This Row],[Tarpaulin]])</f>
        <v>0</v>
      </c>
      <c r="AD798" s="264">
        <f>IF(NFI_Expiration=1,IF($A798&lt;VLOOKUP(M$5,NFI,5,0),1,0)*Table_NFI[[#This Row],[Blanket]],Table_NFI[[#This Row],[Blanket]])</f>
        <v>0</v>
      </c>
      <c r="AE798" s="264">
        <f>IF(NFI_Expiration=1,IF($A798&lt;VLOOKUP(N$5,NFI,5,0),1,0)*Table_NFI[[#This Row],[Kitchen Set]],Table_NFI[Kitchen Set])</f>
        <v>0</v>
      </c>
      <c r="AF798" s="264">
        <f>IF(NFI_Expiration=1,IF($A798&lt;VLOOKUP(O$5,NFI,5,0),1,0)*Table_NFI[[#This Row],[Clothes Kit]],Table_NFI[Clothes Kit])</f>
        <v>0</v>
      </c>
      <c r="AG798" s="264">
        <f>IF(NFI_Expiration=1,IF($A798&lt;VLOOKUP(P$5,NFI,5,0),1,0)*Table_NFI[[#This Row],[Plastic Bucket]],Table_NFI[Plastic Bucket])</f>
        <v>0</v>
      </c>
      <c r="AH798" s="264">
        <f>IF(NFI_Expiration=1,IF($A798&lt;VLOOKUP(Q$5,NFI,5,0),1,0)*Table_NFI[[#This Row],[Plastic Mat]],Table_NFI[Plastic Mat])*IF(Table_NFI[[#This Row],[Distribution Date]]&gt;"2014-04-01",1,2.5)</f>
        <v>0</v>
      </c>
      <c r="AI798" s="264">
        <f>IF(NFI_Expiration=1,IF($A798&lt;VLOOKUP(R$5,NFI,5,0),1,0)*Table_NFI[[#This Row],[Winter Clothes Adult]],Table_NFI[Winter Clothes Adult])</f>
        <v>0</v>
      </c>
      <c r="AJ798" s="264">
        <f>IF(NFI_Expiration=1,IF($A798&lt;VLOOKUP(S$5,NFI,5,0),1,0)*Table_NFI[[#This Row],[Winter Clothes Children]],Table_NFI[Winter Clothes Children])</f>
        <v>0</v>
      </c>
      <c r="AK798" s="264">
        <f>IF(NFI_Expiration=1,IF($A798&lt;VLOOKUP(T$5,NFI,5,0),1,0)*Table_NFI[[#This Row],[Winter Items Other]],Table_NFI[Winter Items Other])</f>
        <v>0</v>
      </c>
      <c r="AL798" s="264">
        <f>IF(NFI_Expiration=1,IF($A798&lt;VLOOKUP(M$5,NFI,5,0),1,0)*Table_NFI[[#This Row],[Winter Blanket]],Table_NFI[[#This Row],[Winter Blanket]])</f>
        <v>0</v>
      </c>
      <c r="AM798" s="264">
        <f>IF(Table_NFI[[#This Row],[Winter Clothes Adult]]+Table_NFI[[#This Row],[Winter Clothes Children]]+Table_NFI[[#This Row],[Winter Items Other]]+Table_NFI[[#This Row],[Winter Blanket]]&gt;0,1,0)</f>
        <v>0</v>
      </c>
      <c r="AN798" s="296">
        <f>IF(NFI_Expiration=1,IF($A798&lt;VLOOKUP(V$5,NFI,5,0),1,0)*Table_NFI[[#This Row],[Jerry Can]],Table_NFI[Jerry Can])</f>
        <v>0</v>
      </c>
      <c r="AO798" s="296">
        <f>IF(NFI_Expiration=1,IF($A798&lt;VLOOKUP(V$5,NFI,5,0),1,0)*Table_NFI[[#This Row],[Shelter Tool kit]],Table_NFI[Shelter Tool kit])</f>
        <v>0</v>
      </c>
      <c r="AP798" s="296">
        <f>IF(NFI_Expiration=1,IF($A798&lt;VLOOKUP(V$5,NFI,5,0),1,0)*Table_NFI[[#This Row],[Tent]],Table_NFI[Tent])</f>
        <v>0</v>
      </c>
      <c r="AQ798" s="396" t="str">
        <f>IFERROR(VLOOKUP(Table_NFI[[#This Row],[Camp Name]],CL,2,0),"")</f>
        <v>MMR001CMP103</v>
      </c>
      <c r="AR798" s="702">
        <f ca="1">IF(Table_NFI[[#This Row],[Pcode]]="","",IF(OFFSET(CampList[Opening Date],MATCH(Table_NFI[[#This Row],[Pcode]],CampList[CP_Pcode],0)-1,0,1,1)&gt;=NFI_Monitor_Date,1,0))</f>
        <v>0</v>
      </c>
      <c r="AS798" s="396" t="str">
        <f>IFERROR(VLOOKUP(Table_NFI[[#This Row],[Camp Name]],CL,3,0),"")</f>
        <v>Open</v>
      </c>
      <c r="AT798" s="264" t="str">
        <f ca="1">IF(Table_NFI[[#This Row],[Pcode]]="","",OFFSET(CampList[Priority],MATCH(Table_NFI[[#This Row],[Pcode]],CampList[CP_Pcode],0)-1,0,1,1))</f>
        <v>P4</v>
      </c>
      <c r="AU798" s="263">
        <f>IFERROR(Table_NFI[[#This Row],[Kitchen Set]]/VLOOKUP(Table_NFI[[#This Row],[Camp Name]],CL,4,0),"")</f>
        <v>0</v>
      </c>
      <c r="AV798" s="390" t="s">
        <v>1087</v>
      </c>
      <c r="AW798" s="392"/>
      <c r="AX798" s="399"/>
      <c r="AY798" s="399"/>
      <c r="AZ798" s="399"/>
      <c r="BA798" s="399"/>
      <c r="BB798" s="399"/>
      <c r="BC798" s="399"/>
      <c r="BD798" s="399"/>
      <c r="BE798" s="399"/>
      <c r="BF798" s="399"/>
      <c r="BG798" s="399"/>
      <c r="BH798" s="399"/>
      <c r="BI798" s="399"/>
      <c r="BJ798" s="399"/>
      <c r="BK798" s="399"/>
      <c r="BL798" s="399"/>
      <c r="BM798" s="399"/>
      <c r="BN798" s="399"/>
      <c r="BO798" s="399"/>
      <c r="BP798" s="399"/>
      <c r="BQ798" s="399"/>
      <c r="BR798" s="399"/>
      <c r="BS798" s="399"/>
      <c r="BT798" s="399"/>
      <c r="BU798" s="399"/>
      <c r="BV798" s="399"/>
      <c r="BW798" s="399"/>
      <c r="BX798" s="399"/>
      <c r="BY798" s="399"/>
      <c r="BZ798" s="399"/>
      <c r="CA798" s="399"/>
      <c r="CB798" s="399"/>
      <c r="CC798" s="399"/>
      <c r="CD798" s="399"/>
      <c r="CE798" s="399"/>
      <c r="CF798" s="399"/>
      <c r="CG798" s="399"/>
      <c r="CH798" s="399"/>
      <c r="CI798" s="399"/>
      <c r="CJ798" s="399"/>
      <c r="CK798" s="399"/>
      <c r="CL798" s="399"/>
      <c r="CM798" s="399"/>
      <c r="CN798" s="399"/>
      <c r="CO798" s="399"/>
      <c r="CP798" s="399"/>
      <c r="CQ798" s="399"/>
      <c r="CR798" s="399"/>
      <c r="CS798" s="399"/>
      <c r="CT798" s="399"/>
      <c r="CU798" s="399"/>
      <c r="CV798" s="399"/>
      <c r="CW798" s="399"/>
      <c r="CX798" s="399"/>
      <c r="CY798" s="399"/>
      <c r="CZ798" s="399"/>
      <c r="DA798" s="399"/>
      <c r="DB798" s="399"/>
      <c r="DC798" s="399"/>
      <c r="DD798" s="399"/>
      <c r="DE798" s="399"/>
      <c r="DF798" s="399"/>
      <c r="DG798" s="399"/>
      <c r="DH798" s="399"/>
      <c r="DI798" s="399"/>
      <c r="DJ798" s="399"/>
      <c r="DK798" s="399"/>
      <c r="DL798" s="399"/>
      <c r="DM798" s="399"/>
      <c r="DN798" s="399"/>
      <c r="DO798" s="399"/>
      <c r="DP798" s="399"/>
      <c r="DQ798" s="399"/>
    </row>
    <row r="799" spans="1:121" s="760" customFormat="1" ht="14.45" customHeight="1" x14ac:dyDescent="0.25">
      <c r="A799" s="266">
        <f t="shared" si="12"/>
        <v>51.033333333333331</v>
      </c>
      <c r="B799" s="389">
        <v>41325</v>
      </c>
      <c r="C799" s="390" t="s">
        <v>451</v>
      </c>
      <c r="D799" s="391" t="s">
        <v>451</v>
      </c>
      <c r="E799" s="390" t="s">
        <v>380</v>
      </c>
      <c r="F799" s="262" t="s">
        <v>526</v>
      </c>
      <c r="G799" s="262" t="s">
        <v>108</v>
      </c>
      <c r="H799" s="261"/>
      <c r="I799" s="763"/>
      <c r="J799" s="261">
        <v>32</v>
      </c>
      <c r="K799" s="261">
        <v>64</v>
      </c>
      <c r="L799" s="261">
        <v>33</v>
      </c>
      <c r="M799" s="261">
        <v>64</v>
      </c>
      <c r="N799" s="261">
        <v>33</v>
      </c>
      <c r="O799" s="261">
        <v>33</v>
      </c>
      <c r="P799" s="261">
        <v>33</v>
      </c>
      <c r="Q799" s="261">
        <v>33</v>
      </c>
      <c r="R799" s="261"/>
      <c r="S799" s="261"/>
      <c r="T799" s="261"/>
      <c r="U799" s="261"/>
      <c r="V799" s="762"/>
      <c r="W799" s="261"/>
      <c r="X799" s="261"/>
      <c r="Y799" s="264">
        <f>IF(NFI_Expiration=1,IF($A799&lt;VLOOKUP(H$5,NFI,5,0),1,0)*Table_NFI[[#This Row],[Hygiene Kit]],Table_NFI[Hygiene Kit])</f>
        <v>0</v>
      </c>
      <c r="Z799" s="264">
        <f>IF(NFI_Expiration=1,IF($A799&lt;VLOOKUP(I$5,NFI,5,0),1,0)*Table_NFI[[#This Row],[NFI Core Kit]],Table_NFI[NFI Core Kit])</f>
        <v>0</v>
      </c>
      <c r="AA799" s="264">
        <f>IF(NFI_Expiration=1,IF($A799&lt;VLOOKUP(J$5,NFI,5,0),1,0)*Table_NFI[[#This Row],[Sanitary Kit]],Table_NFI[Sanitary Kit])</f>
        <v>0</v>
      </c>
      <c r="AB799" s="264">
        <f>IF(NFI_Expiration=1,IF($A799&lt;VLOOKUP(K$5,NFI,5,0),1,0)*Table_NFI[[#This Row],[Mosquito net]],Table_NFI[Mosquito net])</f>
        <v>0</v>
      </c>
      <c r="AC799" s="264">
        <f>IF(NFI_Expiration=1,IF($A799&lt;VLOOKUP(L$5,NFI,5,0),1,0)*Table_NFI[[#This Row],[Tarpaulin]],Table_NFI[[#This Row],[Tarpaulin]])</f>
        <v>0</v>
      </c>
      <c r="AD799" s="264">
        <f>IF(NFI_Expiration=1,IF($A799&lt;VLOOKUP(M$5,NFI,5,0),1,0)*Table_NFI[[#This Row],[Blanket]],Table_NFI[[#This Row],[Blanket]])</f>
        <v>0</v>
      </c>
      <c r="AE799" s="264">
        <f>IF(NFI_Expiration=1,IF($A799&lt;VLOOKUP(N$5,NFI,5,0),1,0)*Table_NFI[[#This Row],[Kitchen Set]],Table_NFI[Kitchen Set])</f>
        <v>0</v>
      </c>
      <c r="AF799" s="264">
        <f>IF(NFI_Expiration=1,IF($A799&lt;VLOOKUP(O$5,NFI,5,0),1,0)*Table_NFI[[#This Row],[Clothes Kit]],Table_NFI[Clothes Kit])</f>
        <v>0</v>
      </c>
      <c r="AG799" s="264">
        <f>IF(NFI_Expiration=1,IF($A799&lt;VLOOKUP(P$5,NFI,5,0),1,0)*Table_NFI[[#This Row],[Plastic Bucket]],Table_NFI[Plastic Bucket])</f>
        <v>0</v>
      </c>
      <c r="AH799" s="264">
        <f>IF(NFI_Expiration=1,IF($A799&lt;VLOOKUP(Q$5,NFI,5,0),1,0)*Table_NFI[[#This Row],[Plastic Mat]],Table_NFI[Plastic Mat])*IF(Table_NFI[[#This Row],[Distribution Date]]&gt;"2014-04-01",1,2.5)</f>
        <v>0</v>
      </c>
      <c r="AI799" s="264">
        <f>IF(NFI_Expiration=1,IF($A799&lt;VLOOKUP(R$5,NFI,5,0),1,0)*Table_NFI[[#This Row],[Winter Clothes Adult]],Table_NFI[Winter Clothes Adult])</f>
        <v>0</v>
      </c>
      <c r="AJ799" s="264">
        <f>IF(NFI_Expiration=1,IF($A799&lt;VLOOKUP(S$5,NFI,5,0),1,0)*Table_NFI[[#This Row],[Winter Clothes Children]],Table_NFI[Winter Clothes Children])</f>
        <v>0</v>
      </c>
      <c r="AK799" s="264">
        <f>IF(NFI_Expiration=1,IF($A799&lt;VLOOKUP(T$5,NFI,5,0),1,0)*Table_NFI[[#This Row],[Winter Items Other]],Table_NFI[Winter Items Other])</f>
        <v>0</v>
      </c>
      <c r="AL799" s="264">
        <f>IF(NFI_Expiration=1,IF($A799&lt;VLOOKUP(M$5,NFI,5,0),1,0)*Table_NFI[[#This Row],[Winter Blanket]],Table_NFI[[#This Row],[Winter Blanket]])</f>
        <v>0</v>
      </c>
      <c r="AM799" s="264">
        <f>IF(Table_NFI[[#This Row],[Winter Clothes Adult]]+Table_NFI[[#This Row],[Winter Clothes Children]]+Table_NFI[[#This Row],[Winter Items Other]]+Table_NFI[[#This Row],[Winter Blanket]]&gt;0,1,0)</f>
        <v>0</v>
      </c>
      <c r="AN799" s="296">
        <f>IF(NFI_Expiration=1,IF($A799&lt;VLOOKUP(V$5,NFI,5,0),1,0)*Table_NFI[[#This Row],[Jerry Can]],Table_NFI[Jerry Can])</f>
        <v>0</v>
      </c>
      <c r="AO799" s="296">
        <f>IF(NFI_Expiration=1,IF($A799&lt;VLOOKUP(V$5,NFI,5,0),1,0)*Table_NFI[[#This Row],[Shelter Tool kit]],Table_NFI[Shelter Tool kit])</f>
        <v>0</v>
      </c>
      <c r="AP799" s="296">
        <f>IF(NFI_Expiration=1,IF($A799&lt;VLOOKUP(V$5,NFI,5,0),1,0)*Table_NFI[[#This Row],[Tent]],Table_NFI[Tent])</f>
        <v>0</v>
      </c>
      <c r="AQ799" s="396" t="str">
        <f>IFERROR(VLOOKUP(Table_NFI[[#This Row],[Camp Name]],CL,2,0),"")</f>
        <v>MMR001CMP103</v>
      </c>
      <c r="AR799" s="702">
        <f ca="1">IF(Table_NFI[[#This Row],[Pcode]]="","",IF(OFFSET(CampList[Opening Date],MATCH(Table_NFI[[#This Row],[Pcode]],CampList[CP_Pcode],0)-1,0,1,1)&gt;=NFI_Monitor_Date,1,0))</f>
        <v>0</v>
      </c>
      <c r="AS799" s="396" t="str">
        <f>IFERROR(VLOOKUP(Table_NFI[[#This Row],[Camp Name]],CL,3,0),"")</f>
        <v>Open</v>
      </c>
      <c r="AT799" s="264" t="str">
        <f ca="1">IF(Table_NFI[[#This Row],[Pcode]]="","",OFFSET(CampList[Priority],MATCH(Table_NFI[[#This Row],[Pcode]],CampList[CP_Pcode],0)-1,0,1,1))</f>
        <v>P4</v>
      </c>
      <c r="AU799" s="263">
        <f>IFERROR(Table_NFI[[#This Row],[Kitchen Set]]/VLOOKUP(Table_NFI[[#This Row],[Camp Name]],CL,4,0),"")</f>
        <v>7.954298937016415E-4</v>
      </c>
      <c r="AV799" s="390" t="s">
        <v>1087</v>
      </c>
      <c r="AW799" s="392"/>
      <c r="AX799" s="399"/>
      <c r="AY799" s="399"/>
      <c r="AZ799" s="399"/>
      <c r="BA799" s="399"/>
      <c r="BB799" s="399"/>
      <c r="BC799" s="399"/>
      <c r="BD799" s="399"/>
      <c r="BE799" s="399"/>
      <c r="BF799" s="399"/>
      <c r="BG799" s="399"/>
      <c r="BH799" s="399"/>
      <c r="BI799" s="399"/>
      <c r="BJ799" s="399"/>
      <c r="BK799" s="399"/>
      <c r="BL799" s="399"/>
      <c r="BM799" s="399"/>
      <c r="BN799" s="399"/>
      <c r="BO799" s="399"/>
      <c r="BP799" s="399"/>
      <c r="BQ799" s="399"/>
      <c r="BR799" s="399"/>
      <c r="BS799" s="399"/>
      <c r="BT799" s="399"/>
      <c r="BU799" s="399"/>
      <c r="BV799" s="399"/>
      <c r="BW799" s="399"/>
      <c r="BX799" s="399"/>
      <c r="BY799" s="399"/>
      <c r="BZ799" s="399"/>
      <c r="CA799" s="399"/>
      <c r="CB799" s="399"/>
      <c r="CC799" s="399"/>
      <c r="CD799" s="399"/>
      <c r="CE799" s="399"/>
      <c r="CF799" s="399"/>
      <c r="CG799" s="399"/>
      <c r="CH799" s="399"/>
      <c r="CI799" s="399"/>
      <c r="CJ799" s="399"/>
      <c r="CK799" s="399"/>
      <c r="CL799" s="399"/>
      <c r="CM799" s="399"/>
      <c r="CN799" s="399"/>
      <c r="CO799" s="399"/>
      <c r="CP799" s="399"/>
      <c r="CQ799" s="399"/>
      <c r="CR799" s="399"/>
      <c r="CS799" s="399"/>
      <c r="CT799" s="399"/>
      <c r="CU799" s="399"/>
      <c r="CV799" s="399"/>
      <c r="CW799" s="399"/>
      <c r="CX799" s="399"/>
      <c r="CY799" s="399"/>
      <c r="CZ799" s="399"/>
      <c r="DA799" s="399"/>
      <c r="DB799" s="399"/>
      <c r="DC799" s="399"/>
      <c r="DD799" s="399"/>
      <c r="DE799" s="399"/>
      <c r="DF799" s="399"/>
      <c r="DG799" s="399"/>
      <c r="DH799" s="399"/>
      <c r="DI799" s="399"/>
      <c r="DJ799" s="399"/>
      <c r="DK799" s="399"/>
      <c r="DL799" s="399"/>
      <c r="DM799" s="399"/>
      <c r="DN799" s="399"/>
      <c r="DO799" s="399"/>
      <c r="DP799" s="399"/>
      <c r="DQ799" s="399"/>
    </row>
    <row r="800" spans="1:121" ht="14.45" customHeight="1" x14ac:dyDescent="0.25">
      <c r="A800" s="266">
        <f t="shared" si="12"/>
        <v>51.033333333333331</v>
      </c>
      <c r="B800" s="389">
        <v>41325</v>
      </c>
      <c r="C800" s="390" t="s">
        <v>451</v>
      </c>
      <c r="D800" s="390" t="s">
        <v>451</v>
      </c>
      <c r="E800" s="390" t="s">
        <v>380</v>
      </c>
      <c r="F800" s="390" t="s">
        <v>526</v>
      </c>
      <c r="G800" s="262" t="s">
        <v>140</v>
      </c>
      <c r="H800" s="261"/>
      <c r="I800" s="261"/>
      <c r="J800" s="261">
        <v>46</v>
      </c>
      <c r="K800" s="261">
        <v>0</v>
      </c>
      <c r="L800" s="261">
        <v>0</v>
      </c>
      <c r="M800" s="261">
        <v>0</v>
      </c>
      <c r="N800" s="261">
        <v>0</v>
      </c>
      <c r="O800" s="261">
        <v>0</v>
      </c>
      <c r="P800" s="261"/>
      <c r="Q800" s="261"/>
      <c r="R800" s="261"/>
      <c r="S800" s="261"/>
      <c r="T800" s="261"/>
      <c r="U800" s="261"/>
      <c r="V800" s="762"/>
      <c r="W800" s="261"/>
      <c r="X800" s="261"/>
      <c r="Y800" s="264">
        <f>IF(NFI_Expiration=1,IF($A800&lt;VLOOKUP(H$5,NFI,5,0),1,0)*Table_NFI[[#This Row],[Hygiene Kit]],Table_NFI[Hygiene Kit])</f>
        <v>0</v>
      </c>
      <c r="Z800" s="264">
        <f>IF(NFI_Expiration=1,IF($A800&lt;VLOOKUP(I$5,NFI,5,0),1,0)*Table_NFI[[#This Row],[NFI Core Kit]],Table_NFI[NFI Core Kit])</f>
        <v>0</v>
      </c>
      <c r="AA800" s="264">
        <f>IF(NFI_Expiration=1,IF($A800&lt;VLOOKUP(J$5,NFI,5,0),1,0)*Table_NFI[[#This Row],[Sanitary Kit]],Table_NFI[Sanitary Kit])</f>
        <v>0</v>
      </c>
      <c r="AB800" s="264">
        <f>IF(NFI_Expiration=1,IF($A800&lt;VLOOKUP(K$5,NFI,5,0),1,0)*Table_NFI[[#This Row],[Mosquito net]],Table_NFI[Mosquito net])</f>
        <v>0</v>
      </c>
      <c r="AC800" s="264">
        <f>IF(NFI_Expiration=1,IF($A800&lt;VLOOKUP(L$5,NFI,5,0),1,0)*Table_NFI[[#This Row],[Tarpaulin]],Table_NFI[[#This Row],[Tarpaulin]])</f>
        <v>0</v>
      </c>
      <c r="AD800" s="264">
        <f>IF(NFI_Expiration=1,IF($A800&lt;VLOOKUP(M$5,NFI,5,0),1,0)*Table_NFI[[#This Row],[Blanket]],Table_NFI[[#This Row],[Blanket]])</f>
        <v>0</v>
      </c>
      <c r="AE800" s="264">
        <f>IF(NFI_Expiration=1,IF($A800&lt;VLOOKUP(N$5,NFI,5,0),1,0)*Table_NFI[[#This Row],[Kitchen Set]],Table_NFI[Kitchen Set])</f>
        <v>0</v>
      </c>
      <c r="AF800" s="264">
        <f>IF(NFI_Expiration=1,IF($A800&lt;VLOOKUP(O$5,NFI,5,0),1,0)*Table_NFI[[#This Row],[Clothes Kit]],Table_NFI[Clothes Kit])</f>
        <v>0</v>
      </c>
      <c r="AG800" s="264">
        <f>IF(NFI_Expiration=1,IF($A800&lt;VLOOKUP(P$5,NFI,5,0),1,0)*Table_NFI[[#This Row],[Plastic Bucket]],Table_NFI[Plastic Bucket])</f>
        <v>0</v>
      </c>
      <c r="AH800" s="264">
        <f>IF(NFI_Expiration=1,IF($A800&lt;VLOOKUP(Q$5,NFI,5,0),1,0)*Table_NFI[[#This Row],[Plastic Mat]],Table_NFI[Plastic Mat])*IF(Table_NFI[[#This Row],[Distribution Date]]&gt;"2014-04-01",1,2.5)</f>
        <v>0</v>
      </c>
      <c r="AI800" s="264">
        <f>IF(NFI_Expiration=1,IF($A800&lt;VLOOKUP(R$5,NFI,5,0),1,0)*Table_NFI[[#This Row],[Winter Clothes Adult]],Table_NFI[Winter Clothes Adult])</f>
        <v>0</v>
      </c>
      <c r="AJ800" s="264">
        <f>IF(NFI_Expiration=1,IF($A800&lt;VLOOKUP(S$5,NFI,5,0),1,0)*Table_NFI[[#This Row],[Winter Clothes Children]],Table_NFI[Winter Clothes Children])</f>
        <v>0</v>
      </c>
      <c r="AK800" s="264">
        <f>IF(NFI_Expiration=1,IF($A800&lt;VLOOKUP(T$5,NFI,5,0),1,0)*Table_NFI[[#This Row],[Winter Items Other]],Table_NFI[Winter Items Other])</f>
        <v>0</v>
      </c>
      <c r="AL800" s="264">
        <f>IF(NFI_Expiration=1,IF($A800&lt;VLOOKUP(M$5,NFI,5,0),1,0)*Table_NFI[[#This Row],[Winter Blanket]],Table_NFI[[#This Row],[Winter Blanket]])</f>
        <v>0</v>
      </c>
      <c r="AM800" s="264">
        <f>IF(Table_NFI[[#This Row],[Winter Clothes Adult]]+Table_NFI[[#This Row],[Winter Clothes Children]]+Table_NFI[[#This Row],[Winter Items Other]]+Table_NFI[[#This Row],[Winter Blanket]]&gt;0,1,0)</f>
        <v>0</v>
      </c>
      <c r="AN800" s="296">
        <f>IF(NFI_Expiration=1,IF($A800&lt;VLOOKUP(V$5,NFI,5,0),1,0)*Table_NFI[[#This Row],[Jerry Can]],Table_NFI[Jerry Can])</f>
        <v>0</v>
      </c>
      <c r="AO800" s="296">
        <f>IF(NFI_Expiration=1,IF($A800&lt;VLOOKUP(V$5,NFI,5,0),1,0)*Table_NFI[[#This Row],[Shelter Tool kit]],Table_NFI[Shelter Tool kit])</f>
        <v>0</v>
      </c>
      <c r="AP800" s="296">
        <f>IF(NFI_Expiration=1,IF($A800&lt;VLOOKUP(V$5,NFI,5,0),1,0)*Table_NFI[[#This Row],[Tent]],Table_NFI[Tent])</f>
        <v>0</v>
      </c>
      <c r="AQ800" s="396" t="str">
        <f>IFERROR(VLOOKUP(Table_NFI[[#This Row],[Camp Name]],CL,2,0),"")</f>
        <v>MMR001CMP105</v>
      </c>
      <c r="AR800" s="702">
        <f ca="1">IF(Table_NFI[[#This Row],[Pcode]]="","",IF(OFFSET(CampList[Opening Date],MATCH(Table_NFI[[#This Row],[Pcode]],CampList[CP_Pcode],0)-1,0,1,1)&gt;=NFI_Monitor_Date,1,0))</f>
        <v>0</v>
      </c>
      <c r="AS800" s="396" t="str">
        <f>IFERROR(VLOOKUP(Table_NFI[[#This Row],[Camp Name]],CL,3,0),"")</f>
        <v>Open</v>
      </c>
      <c r="AT800" s="264" t="str">
        <f ca="1">IF(Table_NFI[[#This Row],[Pcode]]="","",OFFSET(CampList[Priority],MATCH(Table_NFI[[#This Row],[Pcode]],CampList[CP_Pcode],0)-1,0,1,1))</f>
        <v>P4</v>
      </c>
      <c r="AU800" s="263">
        <f>IFERROR(Table_NFI[[#This Row],[Kitchen Set]]/VLOOKUP(Table_NFI[[#This Row],[Camp Name]],CL,4,0),"")</f>
        <v>0</v>
      </c>
      <c r="AV800" s="390" t="s">
        <v>1087</v>
      </c>
      <c r="AW800" s="392"/>
    </row>
    <row r="801" spans="1:121" ht="14.45" customHeight="1" x14ac:dyDescent="0.25">
      <c r="A801" s="266">
        <f t="shared" si="12"/>
        <v>51.033333333333331</v>
      </c>
      <c r="B801" s="389">
        <v>41325</v>
      </c>
      <c r="C801" s="390" t="s">
        <v>451</v>
      </c>
      <c r="D801" s="390" t="s">
        <v>451</v>
      </c>
      <c r="E801" s="390" t="s">
        <v>380</v>
      </c>
      <c r="F801" s="390" t="s">
        <v>526</v>
      </c>
      <c r="G801" s="262" t="s">
        <v>50</v>
      </c>
      <c r="H801" s="261"/>
      <c r="I801" s="261"/>
      <c r="J801" s="261">
        <v>18</v>
      </c>
      <c r="K801" s="261">
        <v>0</v>
      </c>
      <c r="L801" s="261">
        <v>0</v>
      </c>
      <c r="M801" s="261">
        <v>0</v>
      </c>
      <c r="N801" s="261">
        <v>0</v>
      </c>
      <c r="O801" s="261">
        <v>0</v>
      </c>
      <c r="P801" s="261"/>
      <c r="Q801" s="261"/>
      <c r="R801" s="261"/>
      <c r="S801" s="261"/>
      <c r="T801" s="261"/>
      <c r="U801" s="261"/>
      <c r="V801" s="762"/>
      <c r="W801" s="261"/>
      <c r="X801" s="261"/>
      <c r="Y801" s="264">
        <f>IF(NFI_Expiration=1,IF($A801&lt;VLOOKUP(H$5,NFI,5,0),1,0)*Table_NFI[[#This Row],[Hygiene Kit]],Table_NFI[Hygiene Kit])</f>
        <v>0</v>
      </c>
      <c r="Z801" s="264">
        <f>IF(NFI_Expiration=1,IF($A801&lt;VLOOKUP(I$5,NFI,5,0),1,0)*Table_NFI[[#This Row],[NFI Core Kit]],Table_NFI[NFI Core Kit])</f>
        <v>0</v>
      </c>
      <c r="AA801" s="264">
        <f>IF(NFI_Expiration=1,IF($A801&lt;VLOOKUP(J$5,NFI,5,0),1,0)*Table_NFI[[#This Row],[Sanitary Kit]],Table_NFI[Sanitary Kit])</f>
        <v>0</v>
      </c>
      <c r="AB801" s="264">
        <f>IF(NFI_Expiration=1,IF($A801&lt;VLOOKUP(K$5,NFI,5,0),1,0)*Table_NFI[[#This Row],[Mosquito net]],Table_NFI[Mosquito net])</f>
        <v>0</v>
      </c>
      <c r="AC801" s="264">
        <f>IF(NFI_Expiration=1,IF($A801&lt;VLOOKUP(L$5,NFI,5,0),1,0)*Table_NFI[[#This Row],[Tarpaulin]],Table_NFI[[#This Row],[Tarpaulin]])</f>
        <v>0</v>
      </c>
      <c r="AD801" s="264">
        <f>IF(NFI_Expiration=1,IF($A801&lt;VLOOKUP(M$5,NFI,5,0),1,0)*Table_NFI[[#This Row],[Blanket]],Table_NFI[[#This Row],[Blanket]])</f>
        <v>0</v>
      </c>
      <c r="AE801" s="264">
        <f>IF(NFI_Expiration=1,IF($A801&lt;VLOOKUP(N$5,NFI,5,0),1,0)*Table_NFI[[#This Row],[Kitchen Set]],Table_NFI[Kitchen Set])</f>
        <v>0</v>
      </c>
      <c r="AF801" s="264">
        <f>IF(NFI_Expiration=1,IF($A801&lt;VLOOKUP(O$5,NFI,5,0),1,0)*Table_NFI[[#This Row],[Clothes Kit]],Table_NFI[Clothes Kit])</f>
        <v>0</v>
      </c>
      <c r="AG801" s="264">
        <f>IF(NFI_Expiration=1,IF($A801&lt;VLOOKUP(P$5,NFI,5,0),1,0)*Table_NFI[[#This Row],[Plastic Bucket]],Table_NFI[Plastic Bucket])</f>
        <v>0</v>
      </c>
      <c r="AH801" s="264">
        <f>IF(NFI_Expiration=1,IF($A801&lt;VLOOKUP(Q$5,NFI,5,0),1,0)*Table_NFI[[#This Row],[Plastic Mat]],Table_NFI[Plastic Mat])*IF(Table_NFI[[#This Row],[Distribution Date]]&gt;"2014-04-01",1,2.5)</f>
        <v>0</v>
      </c>
      <c r="AI801" s="264">
        <f>IF(NFI_Expiration=1,IF($A801&lt;VLOOKUP(R$5,NFI,5,0),1,0)*Table_NFI[[#This Row],[Winter Clothes Adult]],Table_NFI[Winter Clothes Adult])</f>
        <v>0</v>
      </c>
      <c r="AJ801" s="264">
        <f>IF(NFI_Expiration=1,IF($A801&lt;VLOOKUP(S$5,NFI,5,0),1,0)*Table_NFI[[#This Row],[Winter Clothes Children]],Table_NFI[Winter Clothes Children])</f>
        <v>0</v>
      </c>
      <c r="AK801" s="264">
        <f>IF(NFI_Expiration=1,IF($A801&lt;VLOOKUP(T$5,NFI,5,0),1,0)*Table_NFI[[#This Row],[Winter Items Other]],Table_NFI[Winter Items Other])</f>
        <v>0</v>
      </c>
      <c r="AL801" s="264">
        <f>IF(NFI_Expiration=1,IF($A801&lt;VLOOKUP(M$5,NFI,5,0),1,0)*Table_NFI[[#This Row],[Winter Blanket]],Table_NFI[[#This Row],[Winter Blanket]])</f>
        <v>0</v>
      </c>
      <c r="AM801" s="264">
        <f>IF(Table_NFI[[#This Row],[Winter Clothes Adult]]+Table_NFI[[#This Row],[Winter Clothes Children]]+Table_NFI[[#This Row],[Winter Items Other]]+Table_NFI[[#This Row],[Winter Blanket]]&gt;0,1,0)</f>
        <v>0</v>
      </c>
      <c r="AN801" s="296">
        <f>IF(NFI_Expiration=1,IF($A801&lt;VLOOKUP(V$5,NFI,5,0),1,0)*Table_NFI[[#This Row],[Jerry Can]],Table_NFI[Jerry Can])</f>
        <v>0</v>
      </c>
      <c r="AO801" s="296">
        <f>IF(NFI_Expiration=1,IF($A801&lt;VLOOKUP(V$5,NFI,5,0),1,0)*Table_NFI[[#This Row],[Shelter Tool kit]],Table_NFI[Shelter Tool kit])</f>
        <v>0</v>
      </c>
      <c r="AP801" s="296">
        <f>IF(NFI_Expiration=1,IF($A801&lt;VLOOKUP(V$5,NFI,5,0),1,0)*Table_NFI[[#This Row],[Tent]],Table_NFI[Tent])</f>
        <v>0</v>
      </c>
      <c r="AQ801" s="396" t="str">
        <f>IFERROR(VLOOKUP(Table_NFI[[#This Row],[Camp Name]],CL,2,0),"")</f>
        <v>MMR001CMP092</v>
      </c>
      <c r="AR801" s="702">
        <f ca="1">IF(Table_NFI[[#This Row],[Pcode]]="","",IF(OFFSET(CampList[Opening Date],MATCH(Table_NFI[[#This Row],[Pcode]],CampList[CP_Pcode],0)-1,0,1,1)&gt;=NFI_Monitor_Date,1,0))</f>
        <v>0</v>
      </c>
      <c r="AS801" s="396" t="str">
        <f>IFERROR(VLOOKUP(Table_NFI[[#This Row],[Camp Name]],CL,3,0),"")</f>
        <v>Closed</v>
      </c>
      <c r="AT801" s="264" t="str">
        <f ca="1">IF(Table_NFI[[#This Row],[Pcode]]="","",OFFSET(CampList[Priority],MATCH(Table_NFI[[#This Row],[Pcode]],CampList[CP_Pcode],0)-1,0,1,1))</f>
        <v/>
      </c>
      <c r="AU801" s="263" t="str">
        <f>IFERROR(Table_NFI[[#This Row],[Kitchen Set]]/VLOOKUP(Table_NFI[[#This Row],[Camp Name]],CL,4,0),"")</f>
        <v/>
      </c>
      <c r="AV801" s="390" t="s">
        <v>1087</v>
      </c>
      <c r="AW801" s="392"/>
    </row>
    <row r="802" spans="1:121" s="760" customFormat="1" ht="14.45" customHeight="1" x14ac:dyDescent="0.25">
      <c r="A802" s="266">
        <f t="shared" si="12"/>
        <v>51.033333333333331</v>
      </c>
      <c r="B802" s="389">
        <v>41325</v>
      </c>
      <c r="C802" s="390" t="s">
        <v>451</v>
      </c>
      <c r="D802" s="390" t="s">
        <v>451</v>
      </c>
      <c r="E802" s="390" t="s">
        <v>380</v>
      </c>
      <c r="F802" s="262" t="s">
        <v>526</v>
      </c>
      <c r="G802" s="262" t="s">
        <v>70</v>
      </c>
      <c r="H802" s="261"/>
      <c r="I802" s="261"/>
      <c r="J802" s="261">
        <v>13</v>
      </c>
      <c r="K802" s="261">
        <v>28</v>
      </c>
      <c r="L802" s="261">
        <v>15</v>
      </c>
      <c r="M802" s="261">
        <v>28</v>
      </c>
      <c r="N802" s="261">
        <v>15</v>
      </c>
      <c r="O802" s="261">
        <v>15</v>
      </c>
      <c r="P802" s="261">
        <v>15</v>
      </c>
      <c r="Q802" s="261">
        <v>15</v>
      </c>
      <c r="R802" s="261"/>
      <c r="S802" s="261"/>
      <c r="T802" s="261"/>
      <c r="U802" s="261"/>
      <c r="V802" s="762"/>
      <c r="W802" s="261"/>
      <c r="X802" s="261"/>
      <c r="Y802" s="264">
        <f>IF(NFI_Expiration=1,IF($A802&lt;VLOOKUP(H$5,NFI,5,0),1,0)*Table_NFI[[#This Row],[Hygiene Kit]],Table_NFI[Hygiene Kit])</f>
        <v>0</v>
      </c>
      <c r="Z802" s="264">
        <f>IF(NFI_Expiration=1,IF($A802&lt;VLOOKUP(I$5,NFI,5,0),1,0)*Table_NFI[[#This Row],[NFI Core Kit]],Table_NFI[NFI Core Kit])</f>
        <v>0</v>
      </c>
      <c r="AA802" s="264">
        <f>IF(NFI_Expiration=1,IF($A802&lt;VLOOKUP(J$5,NFI,5,0),1,0)*Table_NFI[[#This Row],[Sanitary Kit]],Table_NFI[Sanitary Kit])</f>
        <v>0</v>
      </c>
      <c r="AB802" s="264">
        <f>IF(NFI_Expiration=1,IF($A802&lt;VLOOKUP(K$5,NFI,5,0),1,0)*Table_NFI[[#This Row],[Mosquito net]],Table_NFI[Mosquito net])</f>
        <v>0</v>
      </c>
      <c r="AC802" s="264">
        <f>IF(NFI_Expiration=1,IF($A802&lt;VLOOKUP(L$5,NFI,5,0),1,0)*Table_NFI[[#This Row],[Tarpaulin]],Table_NFI[[#This Row],[Tarpaulin]])</f>
        <v>0</v>
      </c>
      <c r="AD802" s="264">
        <f>IF(NFI_Expiration=1,IF($A802&lt;VLOOKUP(M$5,NFI,5,0),1,0)*Table_NFI[[#This Row],[Blanket]],Table_NFI[[#This Row],[Blanket]])</f>
        <v>0</v>
      </c>
      <c r="AE802" s="264">
        <f>IF(NFI_Expiration=1,IF($A802&lt;VLOOKUP(N$5,NFI,5,0),1,0)*Table_NFI[[#This Row],[Kitchen Set]],Table_NFI[Kitchen Set])</f>
        <v>0</v>
      </c>
      <c r="AF802" s="264">
        <f>IF(NFI_Expiration=1,IF($A802&lt;VLOOKUP(O$5,NFI,5,0),1,0)*Table_NFI[[#This Row],[Clothes Kit]],Table_NFI[Clothes Kit])</f>
        <v>0</v>
      </c>
      <c r="AG802" s="264">
        <f>IF(NFI_Expiration=1,IF($A802&lt;VLOOKUP(P$5,NFI,5,0),1,0)*Table_NFI[[#This Row],[Plastic Bucket]],Table_NFI[Plastic Bucket])</f>
        <v>0</v>
      </c>
      <c r="AH802" s="264">
        <f>IF(NFI_Expiration=1,IF($A802&lt;VLOOKUP(Q$5,NFI,5,0),1,0)*Table_NFI[[#This Row],[Plastic Mat]],Table_NFI[Plastic Mat])*IF(Table_NFI[[#This Row],[Distribution Date]]&gt;"2014-04-01",1,2.5)</f>
        <v>0</v>
      </c>
      <c r="AI802" s="264">
        <f>IF(NFI_Expiration=1,IF($A802&lt;VLOOKUP(R$5,NFI,5,0),1,0)*Table_NFI[[#This Row],[Winter Clothes Adult]],Table_NFI[Winter Clothes Adult])</f>
        <v>0</v>
      </c>
      <c r="AJ802" s="264">
        <f>IF(NFI_Expiration=1,IF($A802&lt;VLOOKUP(S$5,NFI,5,0),1,0)*Table_NFI[[#This Row],[Winter Clothes Children]],Table_NFI[Winter Clothes Children])</f>
        <v>0</v>
      </c>
      <c r="AK802" s="264">
        <f>IF(NFI_Expiration=1,IF($A802&lt;VLOOKUP(T$5,NFI,5,0),1,0)*Table_NFI[[#This Row],[Winter Items Other]],Table_NFI[Winter Items Other])</f>
        <v>0</v>
      </c>
      <c r="AL802" s="264">
        <f>IF(NFI_Expiration=1,IF($A802&lt;VLOOKUP(M$5,NFI,5,0),1,0)*Table_NFI[[#This Row],[Winter Blanket]],Table_NFI[[#This Row],[Winter Blanket]])</f>
        <v>0</v>
      </c>
      <c r="AM802" s="264">
        <f>IF(Table_NFI[[#This Row],[Winter Clothes Adult]]+Table_NFI[[#This Row],[Winter Clothes Children]]+Table_NFI[[#This Row],[Winter Items Other]]+Table_NFI[[#This Row],[Winter Blanket]]&gt;0,1,0)</f>
        <v>0</v>
      </c>
      <c r="AN802" s="296">
        <f>IF(NFI_Expiration=1,IF($A802&lt;VLOOKUP(V$5,NFI,5,0),1,0)*Table_NFI[[#This Row],[Jerry Can]],Table_NFI[Jerry Can])</f>
        <v>0</v>
      </c>
      <c r="AO802" s="296">
        <f>IF(NFI_Expiration=1,IF($A802&lt;VLOOKUP(V$5,NFI,5,0),1,0)*Table_NFI[[#This Row],[Shelter Tool kit]],Table_NFI[Shelter Tool kit])</f>
        <v>0</v>
      </c>
      <c r="AP802" s="296">
        <f>IF(NFI_Expiration=1,IF($A802&lt;VLOOKUP(V$5,NFI,5,0),1,0)*Table_NFI[[#This Row],[Tent]],Table_NFI[Tent])</f>
        <v>0</v>
      </c>
      <c r="AQ802" s="396" t="str">
        <f>IFERROR(VLOOKUP(Table_NFI[[#This Row],[Camp Name]],CL,2,0),"")</f>
        <v>MMR001CMP086</v>
      </c>
      <c r="AR802" s="702">
        <f ca="1">IF(Table_NFI[[#This Row],[Pcode]]="","",IF(OFFSET(CampList[Opening Date],MATCH(Table_NFI[[#This Row],[Pcode]],CampList[CP_Pcode],0)-1,0,1,1)&gt;=NFI_Monitor_Date,1,0))</f>
        <v>0</v>
      </c>
      <c r="AS802" s="396" t="str">
        <f>IFERROR(VLOOKUP(Table_NFI[[#This Row],[Camp Name]],CL,3,0),"")</f>
        <v>Closed</v>
      </c>
      <c r="AT802" s="264" t="str">
        <f ca="1">IF(Table_NFI[[#This Row],[Pcode]]="","",OFFSET(CampList[Priority],MATCH(Table_NFI[[#This Row],[Pcode]],CampList[CP_Pcode],0)-1,0,1,1))</f>
        <v/>
      </c>
      <c r="AU802" s="263" t="str">
        <f>IFERROR(Table_NFI[[#This Row],[Kitchen Set]]/VLOOKUP(Table_NFI[[#This Row],[Camp Name]],CL,4,0),"")</f>
        <v/>
      </c>
      <c r="AV802" s="390" t="s">
        <v>1087</v>
      </c>
      <c r="AW802" s="392"/>
      <c r="AX802" s="399"/>
      <c r="AY802" s="399"/>
      <c r="AZ802" s="399"/>
      <c r="BA802" s="399"/>
      <c r="BB802" s="399"/>
      <c r="BC802" s="399"/>
      <c r="BD802" s="399"/>
      <c r="BE802" s="399"/>
      <c r="BF802" s="399"/>
      <c r="BG802" s="399"/>
      <c r="BH802" s="399"/>
      <c r="BI802" s="399"/>
      <c r="BJ802" s="399"/>
      <c r="BK802" s="399"/>
      <c r="BL802" s="399"/>
      <c r="BM802" s="399"/>
      <c r="BN802" s="399"/>
      <c r="BO802" s="399"/>
      <c r="BP802" s="399"/>
      <c r="BQ802" s="399"/>
      <c r="BR802" s="399"/>
      <c r="BS802" s="399"/>
      <c r="BT802" s="399"/>
      <c r="BU802" s="399"/>
      <c r="BV802" s="399"/>
      <c r="BW802" s="399"/>
      <c r="BX802" s="399"/>
      <c r="BY802" s="399"/>
      <c r="BZ802" s="399"/>
      <c r="CA802" s="399"/>
      <c r="CB802" s="399"/>
      <c r="CC802" s="399"/>
      <c r="CD802" s="399"/>
      <c r="CE802" s="399"/>
      <c r="CF802" s="399"/>
      <c r="CG802" s="399"/>
      <c r="CH802" s="399"/>
      <c r="CI802" s="399"/>
      <c r="CJ802" s="399"/>
      <c r="CK802" s="399"/>
      <c r="CL802" s="399"/>
      <c r="CM802" s="399"/>
      <c r="CN802" s="399"/>
      <c r="CO802" s="399"/>
      <c r="CP802" s="399"/>
      <c r="CQ802" s="399"/>
      <c r="CR802" s="399"/>
      <c r="CS802" s="399"/>
      <c r="CT802" s="399"/>
      <c r="CU802" s="399"/>
      <c r="CV802" s="399"/>
      <c r="CW802" s="399"/>
      <c r="CX802" s="399"/>
      <c r="CY802" s="399"/>
      <c r="CZ802" s="399"/>
      <c r="DA802" s="399"/>
      <c r="DB802" s="399"/>
      <c r="DC802" s="399"/>
      <c r="DD802" s="399"/>
      <c r="DE802" s="399"/>
      <c r="DF802" s="399"/>
      <c r="DG802" s="399"/>
      <c r="DH802" s="399"/>
      <c r="DI802" s="399"/>
      <c r="DJ802" s="399"/>
      <c r="DK802" s="399"/>
      <c r="DL802" s="399"/>
      <c r="DM802" s="399"/>
      <c r="DN802" s="399"/>
      <c r="DO802" s="399"/>
      <c r="DP802" s="399"/>
      <c r="DQ802" s="399"/>
    </row>
    <row r="803" spans="1:121" s="760" customFormat="1" ht="14.45" customHeight="1" x14ac:dyDescent="0.25">
      <c r="A803" s="266">
        <f t="shared" si="12"/>
        <v>51.033333333333331</v>
      </c>
      <c r="B803" s="389">
        <v>41325</v>
      </c>
      <c r="C803" s="390" t="s">
        <v>451</v>
      </c>
      <c r="D803" s="391" t="s">
        <v>451</v>
      </c>
      <c r="E803" s="390" t="s">
        <v>380</v>
      </c>
      <c r="F803" s="262" t="s">
        <v>526</v>
      </c>
      <c r="G803" s="262" t="s">
        <v>54</v>
      </c>
      <c r="H803" s="261"/>
      <c r="I803" s="261"/>
      <c r="J803" s="261">
        <v>74</v>
      </c>
      <c r="K803" s="261">
        <v>0</v>
      </c>
      <c r="L803" s="261">
        <v>0</v>
      </c>
      <c r="M803" s="261">
        <v>0</v>
      </c>
      <c r="N803" s="261">
        <v>0</v>
      </c>
      <c r="O803" s="261">
        <v>0</v>
      </c>
      <c r="P803" s="261"/>
      <c r="Q803" s="261"/>
      <c r="R803" s="261"/>
      <c r="S803" s="261"/>
      <c r="T803" s="261"/>
      <c r="U803" s="261"/>
      <c r="V803" s="762"/>
      <c r="W803" s="261"/>
      <c r="X803" s="261"/>
      <c r="Y803" s="264">
        <f>IF(NFI_Expiration=1,IF($A803&lt;VLOOKUP(H$5,NFI,5,0),1,0)*Table_NFI[[#This Row],[Hygiene Kit]],Table_NFI[Hygiene Kit])</f>
        <v>0</v>
      </c>
      <c r="Z803" s="264">
        <f>IF(NFI_Expiration=1,IF($A803&lt;VLOOKUP(I$5,NFI,5,0),1,0)*Table_NFI[[#This Row],[NFI Core Kit]],Table_NFI[NFI Core Kit])</f>
        <v>0</v>
      </c>
      <c r="AA803" s="264">
        <f>IF(NFI_Expiration=1,IF($A803&lt;VLOOKUP(J$5,NFI,5,0),1,0)*Table_NFI[[#This Row],[Sanitary Kit]],Table_NFI[Sanitary Kit])</f>
        <v>0</v>
      </c>
      <c r="AB803" s="264">
        <f>IF(NFI_Expiration=1,IF($A803&lt;VLOOKUP(K$5,NFI,5,0),1,0)*Table_NFI[[#This Row],[Mosquito net]],Table_NFI[Mosquito net])</f>
        <v>0</v>
      </c>
      <c r="AC803" s="264">
        <f>IF(NFI_Expiration=1,IF($A803&lt;VLOOKUP(L$5,NFI,5,0),1,0)*Table_NFI[[#This Row],[Tarpaulin]],Table_NFI[[#This Row],[Tarpaulin]])</f>
        <v>0</v>
      </c>
      <c r="AD803" s="264">
        <f>IF(NFI_Expiration=1,IF($A803&lt;VLOOKUP(M$5,NFI,5,0),1,0)*Table_NFI[[#This Row],[Blanket]],Table_NFI[[#This Row],[Blanket]])</f>
        <v>0</v>
      </c>
      <c r="AE803" s="264">
        <f>IF(NFI_Expiration=1,IF($A803&lt;VLOOKUP(N$5,NFI,5,0),1,0)*Table_NFI[[#This Row],[Kitchen Set]],Table_NFI[Kitchen Set])</f>
        <v>0</v>
      </c>
      <c r="AF803" s="264">
        <f>IF(NFI_Expiration=1,IF($A803&lt;VLOOKUP(O$5,NFI,5,0),1,0)*Table_NFI[[#This Row],[Clothes Kit]],Table_NFI[Clothes Kit])</f>
        <v>0</v>
      </c>
      <c r="AG803" s="264">
        <f>IF(NFI_Expiration=1,IF($A803&lt;VLOOKUP(P$5,NFI,5,0),1,0)*Table_NFI[[#This Row],[Plastic Bucket]],Table_NFI[Plastic Bucket])</f>
        <v>0</v>
      </c>
      <c r="AH803" s="264">
        <f>IF(NFI_Expiration=1,IF($A803&lt;VLOOKUP(Q$5,NFI,5,0),1,0)*Table_NFI[[#This Row],[Plastic Mat]],Table_NFI[Plastic Mat])*IF(Table_NFI[[#This Row],[Distribution Date]]&gt;"2014-04-01",1,2.5)</f>
        <v>0</v>
      </c>
      <c r="AI803" s="264">
        <f>IF(NFI_Expiration=1,IF($A803&lt;VLOOKUP(R$5,NFI,5,0),1,0)*Table_NFI[[#This Row],[Winter Clothes Adult]],Table_NFI[Winter Clothes Adult])</f>
        <v>0</v>
      </c>
      <c r="AJ803" s="264">
        <f>IF(NFI_Expiration=1,IF($A803&lt;VLOOKUP(S$5,NFI,5,0),1,0)*Table_NFI[[#This Row],[Winter Clothes Children]],Table_NFI[Winter Clothes Children])</f>
        <v>0</v>
      </c>
      <c r="AK803" s="264">
        <f>IF(NFI_Expiration=1,IF($A803&lt;VLOOKUP(T$5,NFI,5,0),1,0)*Table_NFI[[#This Row],[Winter Items Other]],Table_NFI[Winter Items Other])</f>
        <v>0</v>
      </c>
      <c r="AL803" s="264">
        <f>IF(NFI_Expiration=1,IF($A803&lt;VLOOKUP(M$5,NFI,5,0),1,0)*Table_NFI[[#This Row],[Winter Blanket]],Table_NFI[[#This Row],[Winter Blanket]])</f>
        <v>0</v>
      </c>
      <c r="AM803" s="264">
        <f>IF(Table_NFI[[#This Row],[Winter Clothes Adult]]+Table_NFI[[#This Row],[Winter Clothes Children]]+Table_NFI[[#This Row],[Winter Items Other]]+Table_NFI[[#This Row],[Winter Blanket]]&gt;0,1,0)</f>
        <v>0</v>
      </c>
      <c r="AN803" s="296">
        <f>IF(NFI_Expiration=1,IF($A803&lt;VLOOKUP(V$5,NFI,5,0),1,0)*Table_NFI[[#This Row],[Jerry Can]],Table_NFI[Jerry Can])</f>
        <v>0</v>
      </c>
      <c r="AO803" s="296">
        <f>IF(NFI_Expiration=1,IF($A803&lt;VLOOKUP(V$5,NFI,5,0),1,0)*Table_NFI[[#This Row],[Shelter Tool kit]],Table_NFI[Shelter Tool kit])</f>
        <v>0</v>
      </c>
      <c r="AP803" s="296">
        <f>IF(NFI_Expiration=1,IF($A803&lt;VLOOKUP(V$5,NFI,5,0),1,0)*Table_NFI[[#This Row],[Tent]],Table_NFI[Tent])</f>
        <v>0</v>
      </c>
      <c r="AQ803" s="396" t="str">
        <f>IFERROR(VLOOKUP(Table_NFI[[#This Row],[Camp Name]],CL,2,0),"")</f>
        <v>MMR001CMP094</v>
      </c>
      <c r="AR803" s="702">
        <f ca="1">IF(Table_NFI[[#This Row],[Pcode]]="","",IF(OFFSET(CampList[Opening Date],MATCH(Table_NFI[[#This Row],[Pcode]],CampList[CP_Pcode],0)-1,0,1,1)&gt;=NFI_Monitor_Date,1,0))</f>
        <v>0</v>
      </c>
      <c r="AS803" s="396" t="str">
        <f>IFERROR(VLOOKUP(Table_NFI[[#This Row],[Camp Name]],CL,3,0),"")</f>
        <v>Closed</v>
      </c>
      <c r="AT803" s="264" t="str">
        <f ca="1">IF(Table_NFI[[#This Row],[Pcode]]="","",OFFSET(CampList[Priority],MATCH(Table_NFI[[#This Row],[Pcode]],CampList[CP_Pcode],0)-1,0,1,1))</f>
        <v/>
      </c>
      <c r="AU803" s="263" t="str">
        <f>IFERROR(Table_NFI[[#This Row],[Kitchen Set]]/VLOOKUP(Table_NFI[[#This Row],[Camp Name]],CL,4,0),"")</f>
        <v/>
      </c>
      <c r="AV803" s="390" t="s">
        <v>1087</v>
      </c>
      <c r="AW803" s="392"/>
      <c r="AX803" s="399"/>
      <c r="AY803" s="399"/>
      <c r="AZ803" s="399"/>
      <c r="BA803" s="399"/>
      <c r="BB803" s="399"/>
      <c r="BC803" s="399"/>
      <c r="BD803" s="399"/>
      <c r="BE803" s="399"/>
      <c r="BF803" s="399"/>
      <c r="BG803" s="399"/>
      <c r="BH803" s="399"/>
      <c r="BI803" s="399"/>
      <c r="BJ803" s="399"/>
      <c r="BK803" s="399"/>
      <c r="BL803" s="399"/>
      <c r="BM803" s="399"/>
      <c r="BN803" s="399"/>
      <c r="BO803" s="399"/>
      <c r="BP803" s="399"/>
      <c r="BQ803" s="399"/>
      <c r="BR803" s="399"/>
      <c r="BS803" s="399"/>
      <c r="BT803" s="399"/>
      <c r="BU803" s="399"/>
      <c r="BV803" s="399"/>
      <c r="BW803" s="399"/>
      <c r="BX803" s="399"/>
      <c r="BY803" s="399"/>
      <c r="BZ803" s="399"/>
      <c r="CA803" s="399"/>
      <c r="CB803" s="399"/>
      <c r="CC803" s="399"/>
      <c r="CD803" s="399"/>
      <c r="CE803" s="399"/>
      <c r="CF803" s="399"/>
      <c r="CG803" s="399"/>
      <c r="CH803" s="399"/>
      <c r="CI803" s="399"/>
      <c r="CJ803" s="399"/>
      <c r="CK803" s="399"/>
      <c r="CL803" s="399"/>
      <c r="CM803" s="399"/>
      <c r="CN803" s="399"/>
      <c r="CO803" s="399"/>
      <c r="CP803" s="399"/>
      <c r="CQ803" s="399"/>
      <c r="CR803" s="399"/>
      <c r="CS803" s="399"/>
      <c r="CT803" s="399"/>
      <c r="CU803" s="399"/>
      <c r="CV803" s="399"/>
      <c r="CW803" s="399"/>
      <c r="CX803" s="399"/>
      <c r="CY803" s="399"/>
      <c r="CZ803" s="399"/>
      <c r="DA803" s="399"/>
      <c r="DB803" s="399"/>
      <c r="DC803" s="399"/>
      <c r="DD803" s="399"/>
      <c r="DE803" s="399"/>
      <c r="DF803" s="399"/>
      <c r="DG803" s="399"/>
      <c r="DH803" s="399"/>
      <c r="DI803" s="399"/>
      <c r="DJ803" s="399"/>
      <c r="DK803" s="399"/>
      <c r="DL803" s="399"/>
      <c r="DM803" s="399"/>
      <c r="DN803" s="399"/>
      <c r="DO803" s="399"/>
      <c r="DP803" s="399"/>
      <c r="DQ803" s="399"/>
    </row>
    <row r="804" spans="1:121" s="760" customFormat="1" ht="14.45" customHeight="1" x14ac:dyDescent="0.25">
      <c r="A804" s="266">
        <f t="shared" si="12"/>
        <v>51.033333333333331</v>
      </c>
      <c r="B804" s="389">
        <v>41325</v>
      </c>
      <c r="C804" s="390" t="s">
        <v>451</v>
      </c>
      <c r="D804" s="391" t="s">
        <v>451</v>
      </c>
      <c r="E804" s="390" t="s">
        <v>380</v>
      </c>
      <c r="F804" s="262" t="s">
        <v>526</v>
      </c>
      <c r="G804" s="262" t="s">
        <v>66</v>
      </c>
      <c r="H804" s="261"/>
      <c r="I804" s="261"/>
      <c r="J804" s="261">
        <v>16</v>
      </c>
      <c r="K804" s="261">
        <v>26</v>
      </c>
      <c r="L804" s="261">
        <v>13</v>
      </c>
      <c r="M804" s="261">
        <v>26</v>
      </c>
      <c r="N804" s="261">
        <v>13</v>
      </c>
      <c r="O804" s="261">
        <v>13</v>
      </c>
      <c r="P804" s="261">
        <v>13</v>
      </c>
      <c r="Q804" s="261">
        <v>13</v>
      </c>
      <c r="R804" s="261"/>
      <c r="S804" s="261"/>
      <c r="T804" s="261"/>
      <c r="U804" s="261"/>
      <c r="V804" s="762"/>
      <c r="W804" s="261"/>
      <c r="X804" s="261"/>
      <c r="Y804" s="264">
        <f>IF(NFI_Expiration=1,IF($A804&lt;VLOOKUP(H$5,NFI,5,0),1,0)*Table_NFI[[#This Row],[Hygiene Kit]],Table_NFI[Hygiene Kit])</f>
        <v>0</v>
      </c>
      <c r="Z804" s="264">
        <f>IF(NFI_Expiration=1,IF($A804&lt;VLOOKUP(I$5,NFI,5,0),1,0)*Table_NFI[[#This Row],[NFI Core Kit]],Table_NFI[NFI Core Kit])</f>
        <v>0</v>
      </c>
      <c r="AA804" s="264">
        <f>IF(NFI_Expiration=1,IF($A804&lt;VLOOKUP(J$5,NFI,5,0),1,0)*Table_NFI[[#This Row],[Sanitary Kit]],Table_NFI[Sanitary Kit])</f>
        <v>0</v>
      </c>
      <c r="AB804" s="264">
        <f>IF(NFI_Expiration=1,IF($A804&lt;VLOOKUP(K$5,NFI,5,0),1,0)*Table_NFI[[#This Row],[Mosquito net]],Table_NFI[Mosquito net])</f>
        <v>0</v>
      </c>
      <c r="AC804" s="264">
        <f>IF(NFI_Expiration=1,IF($A804&lt;VLOOKUP(L$5,NFI,5,0),1,0)*Table_NFI[[#This Row],[Tarpaulin]],Table_NFI[[#This Row],[Tarpaulin]])</f>
        <v>0</v>
      </c>
      <c r="AD804" s="264">
        <f>IF(NFI_Expiration=1,IF($A804&lt;VLOOKUP(M$5,NFI,5,0),1,0)*Table_NFI[[#This Row],[Blanket]],Table_NFI[[#This Row],[Blanket]])</f>
        <v>0</v>
      </c>
      <c r="AE804" s="264">
        <f>IF(NFI_Expiration=1,IF($A804&lt;VLOOKUP(N$5,NFI,5,0),1,0)*Table_NFI[[#This Row],[Kitchen Set]],Table_NFI[Kitchen Set])</f>
        <v>0</v>
      </c>
      <c r="AF804" s="264">
        <f>IF(NFI_Expiration=1,IF($A804&lt;VLOOKUP(O$5,NFI,5,0),1,0)*Table_NFI[[#This Row],[Clothes Kit]],Table_NFI[Clothes Kit])</f>
        <v>0</v>
      </c>
      <c r="AG804" s="264">
        <f>IF(NFI_Expiration=1,IF($A804&lt;VLOOKUP(P$5,NFI,5,0),1,0)*Table_NFI[[#This Row],[Plastic Bucket]],Table_NFI[Plastic Bucket])</f>
        <v>0</v>
      </c>
      <c r="AH804" s="264">
        <f>IF(NFI_Expiration=1,IF($A804&lt;VLOOKUP(Q$5,NFI,5,0),1,0)*Table_NFI[[#This Row],[Plastic Mat]],Table_NFI[Plastic Mat])*IF(Table_NFI[[#This Row],[Distribution Date]]&gt;"2014-04-01",1,2.5)</f>
        <v>0</v>
      </c>
      <c r="AI804" s="264">
        <f>IF(NFI_Expiration=1,IF($A804&lt;VLOOKUP(R$5,NFI,5,0),1,0)*Table_NFI[[#This Row],[Winter Clothes Adult]],Table_NFI[Winter Clothes Adult])</f>
        <v>0</v>
      </c>
      <c r="AJ804" s="264">
        <f>IF(NFI_Expiration=1,IF($A804&lt;VLOOKUP(S$5,NFI,5,0),1,0)*Table_NFI[[#This Row],[Winter Clothes Children]],Table_NFI[Winter Clothes Children])</f>
        <v>0</v>
      </c>
      <c r="AK804" s="264">
        <f>IF(NFI_Expiration=1,IF($A804&lt;VLOOKUP(T$5,NFI,5,0),1,0)*Table_NFI[[#This Row],[Winter Items Other]],Table_NFI[Winter Items Other])</f>
        <v>0</v>
      </c>
      <c r="AL804" s="264">
        <f>IF(NFI_Expiration=1,IF($A804&lt;VLOOKUP(M$5,NFI,5,0),1,0)*Table_NFI[[#This Row],[Winter Blanket]],Table_NFI[[#This Row],[Winter Blanket]])</f>
        <v>0</v>
      </c>
      <c r="AM804" s="264">
        <f>IF(Table_NFI[[#This Row],[Winter Clothes Adult]]+Table_NFI[[#This Row],[Winter Clothes Children]]+Table_NFI[[#This Row],[Winter Items Other]]+Table_NFI[[#This Row],[Winter Blanket]]&gt;0,1,0)</f>
        <v>0</v>
      </c>
      <c r="AN804" s="296">
        <f>IF(NFI_Expiration=1,IF($A804&lt;VLOOKUP(V$5,NFI,5,0),1,0)*Table_NFI[[#This Row],[Jerry Can]],Table_NFI[Jerry Can])</f>
        <v>0</v>
      </c>
      <c r="AO804" s="296">
        <f>IF(NFI_Expiration=1,IF($A804&lt;VLOOKUP(V$5,NFI,5,0),1,0)*Table_NFI[[#This Row],[Shelter Tool kit]],Table_NFI[Shelter Tool kit])</f>
        <v>0</v>
      </c>
      <c r="AP804" s="296">
        <f>IF(NFI_Expiration=1,IF($A804&lt;VLOOKUP(V$5,NFI,5,0),1,0)*Table_NFI[[#This Row],[Tent]],Table_NFI[Tent])</f>
        <v>0</v>
      </c>
      <c r="AQ804" s="396" t="str">
        <f>IFERROR(VLOOKUP(Table_NFI[[#This Row],[Camp Name]],CL,2,0),"")</f>
        <v>MMR001CMP093</v>
      </c>
      <c r="AR804" s="702">
        <f ca="1">IF(Table_NFI[[#This Row],[Pcode]]="","",IF(OFFSET(CampList[Opening Date],MATCH(Table_NFI[[#This Row],[Pcode]],CampList[CP_Pcode],0)-1,0,1,1)&gt;=NFI_Monitor_Date,1,0))</f>
        <v>0</v>
      </c>
      <c r="AS804" s="396" t="str">
        <f>IFERROR(VLOOKUP(Table_NFI[[#This Row],[Camp Name]],CL,3,0),"")</f>
        <v>Closed</v>
      </c>
      <c r="AT804" s="264" t="str">
        <f ca="1">IF(Table_NFI[[#This Row],[Pcode]]="","",OFFSET(CampList[Priority],MATCH(Table_NFI[[#This Row],[Pcode]],CampList[CP_Pcode],0)-1,0,1,1))</f>
        <v/>
      </c>
      <c r="AU804" s="263" t="str">
        <f>IFERROR(Table_NFI[[#This Row],[Kitchen Set]]/VLOOKUP(Table_NFI[[#This Row],[Camp Name]],CL,4,0),"")</f>
        <v/>
      </c>
      <c r="AV804" s="390" t="s">
        <v>1087</v>
      </c>
      <c r="AW804" s="392"/>
      <c r="AX804" s="399"/>
      <c r="AY804" s="399"/>
      <c r="AZ804" s="399"/>
      <c r="BA804" s="399"/>
      <c r="BB804" s="399"/>
      <c r="BC804" s="399"/>
      <c r="BD804" s="399"/>
      <c r="BE804" s="399"/>
      <c r="BF804" s="399"/>
      <c r="BG804" s="399"/>
      <c r="BH804" s="399"/>
      <c r="BI804" s="399"/>
      <c r="BJ804" s="399"/>
      <c r="BK804" s="399"/>
      <c r="BL804" s="399"/>
      <c r="BM804" s="399"/>
      <c r="BN804" s="399"/>
      <c r="BO804" s="399"/>
      <c r="BP804" s="399"/>
      <c r="BQ804" s="399"/>
      <c r="BR804" s="399"/>
      <c r="BS804" s="399"/>
      <c r="BT804" s="399"/>
      <c r="BU804" s="399"/>
      <c r="BV804" s="399"/>
      <c r="BW804" s="399"/>
      <c r="BX804" s="399"/>
      <c r="BY804" s="399"/>
      <c r="BZ804" s="399"/>
      <c r="CA804" s="399"/>
      <c r="CB804" s="399"/>
      <c r="CC804" s="399"/>
      <c r="CD804" s="399"/>
      <c r="CE804" s="399"/>
      <c r="CF804" s="399"/>
      <c r="CG804" s="399"/>
      <c r="CH804" s="399"/>
      <c r="CI804" s="399"/>
      <c r="CJ804" s="399"/>
      <c r="CK804" s="399"/>
      <c r="CL804" s="399"/>
      <c r="CM804" s="399"/>
      <c r="CN804" s="399"/>
      <c r="CO804" s="399"/>
      <c r="CP804" s="399"/>
      <c r="CQ804" s="399"/>
      <c r="CR804" s="399"/>
      <c r="CS804" s="399"/>
      <c r="CT804" s="399"/>
      <c r="CU804" s="399"/>
      <c r="CV804" s="399"/>
      <c r="CW804" s="399"/>
      <c r="CX804" s="399"/>
      <c r="CY804" s="399"/>
      <c r="CZ804" s="399"/>
      <c r="DA804" s="399"/>
      <c r="DB804" s="399"/>
      <c r="DC804" s="399"/>
      <c r="DD804" s="399"/>
      <c r="DE804" s="399"/>
      <c r="DF804" s="399"/>
      <c r="DG804" s="399"/>
      <c r="DH804" s="399"/>
      <c r="DI804" s="399"/>
      <c r="DJ804" s="399"/>
      <c r="DK804" s="399"/>
      <c r="DL804" s="399"/>
      <c r="DM804" s="399"/>
      <c r="DN804" s="399"/>
      <c r="DO804" s="399"/>
      <c r="DP804" s="399"/>
      <c r="DQ804" s="399"/>
    </row>
    <row r="805" spans="1:121" s="760" customFormat="1" ht="14.45" customHeight="1" x14ac:dyDescent="0.25">
      <c r="A805" s="266">
        <f t="shared" si="12"/>
        <v>51.033333333333331</v>
      </c>
      <c r="B805" s="389">
        <v>41325</v>
      </c>
      <c r="C805" s="390" t="s">
        <v>451</v>
      </c>
      <c r="D805" s="390" t="s">
        <v>451</v>
      </c>
      <c r="E805" s="390" t="s">
        <v>380</v>
      </c>
      <c r="F805" s="390" t="s">
        <v>526</v>
      </c>
      <c r="G805" s="262" t="s">
        <v>84</v>
      </c>
      <c r="H805" s="261"/>
      <c r="I805" s="261"/>
      <c r="J805" s="261">
        <v>85</v>
      </c>
      <c r="K805" s="261">
        <v>138</v>
      </c>
      <c r="L805" s="261">
        <v>65</v>
      </c>
      <c r="M805" s="261">
        <v>138</v>
      </c>
      <c r="N805" s="261">
        <v>65</v>
      </c>
      <c r="O805" s="261">
        <v>65</v>
      </c>
      <c r="P805" s="261">
        <v>65</v>
      </c>
      <c r="Q805" s="261">
        <v>65</v>
      </c>
      <c r="R805" s="261"/>
      <c r="S805" s="261"/>
      <c r="T805" s="261"/>
      <c r="U805" s="261"/>
      <c r="V805" s="762"/>
      <c r="W805" s="261"/>
      <c r="X805" s="261"/>
      <c r="Y805" s="264">
        <f>IF(NFI_Expiration=1,IF($A805&lt;VLOOKUP(H$5,NFI,5,0),1,0)*Table_NFI[[#This Row],[Hygiene Kit]],Table_NFI[Hygiene Kit])</f>
        <v>0</v>
      </c>
      <c r="Z805" s="264">
        <f>IF(NFI_Expiration=1,IF($A805&lt;VLOOKUP(I$5,NFI,5,0),1,0)*Table_NFI[[#This Row],[NFI Core Kit]],Table_NFI[NFI Core Kit])</f>
        <v>0</v>
      </c>
      <c r="AA805" s="264">
        <f>IF(NFI_Expiration=1,IF($A805&lt;VLOOKUP(J$5,NFI,5,0),1,0)*Table_NFI[[#This Row],[Sanitary Kit]],Table_NFI[Sanitary Kit])</f>
        <v>0</v>
      </c>
      <c r="AB805" s="264">
        <f>IF(NFI_Expiration=1,IF($A805&lt;VLOOKUP(K$5,NFI,5,0),1,0)*Table_NFI[[#This Row],[Mosquito net]],Table_NFI[Mosquito net])</f>
        <v>0</v>
      </c>
      <c r="AC805" s="264">
        <f>IF(NFI_Expiration=1,IF($A805&lt;VLOOKUP(L$5,NFI,5,0),1,0)*Table_NFI[[#This Row],[Tarpaulin]],Table_NFI[[#This Row],[Tarpaulin]])</f>
        <v>0</v>
      </c>
      <c r="AD805" s="264">
        <f>IF(NFI_Expiration=1,IF($A805&lt;VLOOKUP(M$5,NFI,5,0),1,0)*Table_NFI[[#This Row],[Blanket]],Table_NFI[[#This Row],[Blanket]])</f>
        <v>0</v>
      </c>
      <c r="AE805" s="264">
        <f>IF(NFI_Expiration=1,IF($A805&lt;VLOOKUP(N$5,NFI,5,0),1,0)*Table_NFI[[#This Row],[Kitchen Set]],Table_NFI[Kitchen Set])</f>
        <v>0</v>
      </c>
      <c r="AF805" s="264">
        <f>IF(NFI_Expiration=1,IF($A805&lt;VLOOKUP(O$5,NFI,5,0),1,0)*Table_NFI[[#This Row],[Clothes Kit]],Table_NFI[Clothes Kit])</f>
        <v>0</v>
      </c>
      <c r="AG805" s="264">
        <f>IF(NFI_Expiration=1,IF($A805&lt;VLOOKUP(P$5,NFI,5,0),1,0)*Table_NFI[[#This Row],[Plastic Bucket]],Table_NFI[Plastic Bucket])</f>
        <v>0</v>
      </c>
      <c r="AH805" s="264">
        <f>IF(NFI_Expiration=1,IF($A805&lt;VLOOKUP(Q$5,NFI,5,0),1,0)*Table_NFI[[#This Row],[Plastic Mat]],Table_NFI[Plastic Mat])*IF(Table_NFI[[#This Row],[Distribution Date]]&gt;"2014-04-01",1,2.5)</f>
        <v>0</v>
      </c>
      <c r="AI805" s="264">
        <f>IF(NFI_Expiration=1,IF($A805&lt;VLOOKUP(R$5,NFI,5,0),1,0)*Table_NFI[[#This Row],[Winter Clothes Adult]],Table_NFI[Winter Clothes Adult])</f>
        <v>0</v>
      </c>
      <c r="AJ805" s="264">
        <f>IF(NFI_Expiration=1,IF($A805&lt;VLOOKUP(S$5,NFI,5,0),1,0)*Table_NFI[[#This Row],[Winter Clothes Children]],Table_NFI[Winter Clothes Children])</f>
        <v>0</v>
      </c>
      <c r="AK805" s="264">
        <f>IF(NFI_Expiration=1,IF($A805&lt;VLOOKUP(T$5,NFI,5,0),1,0)*Table_NFI[[#This Row],[Winter Items Other]],Table_NFI[Winter Items Other])</f>
        <v>0</v>
      </c>
      <c r="AL805" s="264">
        <f>IF(NFI_Expiration=1,IF($A805&lt;VLOOKUP(M$5,NFI,5,0),1,0)*Table_NFI[[#This Row],[Winter Blanket]],Table_NFI[[#This Row],[Winter Blanket]])</f>
        <v>0</v>
      </c>
      <c r="AM805" s="264">
        <f>IF(Table_NFI[[#This Row],[Winter Clothes Adult]]+Table_NFI[[#This Row],[Winter Clothes Children]]+Table_NFI[[#This Row],[Winter Items Other]]+Table_NFI[[#This Row],[Winter Blanket]]&gt;0,1,0)</f>
        <v>0</v>
      </c>
      <c r="AN805" s="296">
        <f>IF(NFI_Expiration=1,IF($A805&lt;VLOOKUP(V$5,NFI,5,0),1,0)*Table_NFI[[#This Row],[Jerry Can]],Table_NFI[Jerry Can])</f>
        <v>0</v>
      </c>
      <c r="AO805" s="296">
        <f>IF(NFI_Expiration=1,IF($A805&lt;VLOOKUP(V$5,NFI,5,0),1,0)*Table_NFI[[#This Row],[Shelter Tool kit]],Table_NFI[Shelter Tool kit])</f>
        <v>0</v>
      </c>
      <c r="AP805" s="296">
        <f>IF(NFI_Expiration=1,IF($A805&lt;VLOOKUP(V$5,NFI,5,0),1,0)*Table_NFI[[#This Row],[Tent]],Table_NFI[Tent])</f>
        <v>0</v>
      </c>
      <c r="AQ805" s="396" t="str">
        <f>IFERROR(VLOOKUP(Table_NFI[[#This Row],[Camp Name]],CL,2,0),"")</f>
        <v>MMR001CMP085</v>
      </c>
      <c r="AR805" s="702">
        <f ca="1">IF(Table_NFI[[#This Row],[Pcode]]="","",IF(OFFSET(CampList[Opening Date],MATCH(Table_NFI[[#This Row],[Pcode]],CampList[CP_Pcode],0)-1,0,1,1)&gt;=NFI_Monitor_Date,1,0))</f>
        <v>0</v>
      </c>
      <c r="AS805" s="396" t="str">
        <f>IFERROR(VLOOKUP(Table_NFI[[#This Row],[Camp Name]],CL,3,0),"")</f>
        <v>Closed</v>
      </c>
      <c r="AT805" s="264" t="str">
        <f ca="1">IF(Table_NFI[[#This Row],[Pcode]]="","",OFFSET(CampList[Priority],MATCH(Table_NFI[[#This Row],[Pcode]],CampList[CP_Pcode],0)-1,0,1,1))</f>
        <v/>
      </c>
      <c r="AU805" s="263" t="str">
        <f>IFERROR(Table_NFI[[#This Row],[Kitchen Set]]/VLOOKUP(Table_NFI[[#This Row],[Camp Name]],CL,4,0),"")</f>
        <v/>
      </c>
      <c r="AV805" s="390" t="s">
        <v>1087</v>
      </c>
      <c r="AW805" s="392"/>
      <c r="AX805" s="399"/>
      <c r="AY805" s="399"/>
      <c r="AZ805" s="399"/>
      <c r="BA805" s="399"/>
      <c r="BB805" s="399"/>
      <c r="BC805" s="399"/>
      <c r="BD805" s="399"/>
      <c r="BE805" s="399"/>
      <c r="BF805" s="399"/>
      <c r="BG805" s="399"/>
      <c r="BH805" s="399"/>
      <c r="BI805" s="399"/>
      <c r="BJ805" s="399"/>
      <c r="BK805" s="399"/>
      <c r="BL805" s="399"/>
      <c r="BM805" s="399"/>
      <c r="BN805" s="399"/>
      <c r="BO805" s="399"/>
      <c r="BP805" s="399"/>
      <c r="BQ805" s="399"/>
      <c r="BR805" s="399"/>
      <c r="BS805" s="399"/>
      <c r="BT805" s="399"/>
      <c r="BU805" s="399"/>
      <c r="BV805" s="399"/>
      <c r="BW805" s="399"/>
      <c r="BX805" s="399"/>
      <c r="BY805" s="399"/>
      <c r="BZ805" s="399"/>
      <c r="CA805" s="399"/>
      <c r="CB805" s="399"/>
      <c r="CC805" s="399"/>
      <c r="CD805" s="399"/>
      <c r="CE805" s="399"/>
      <c r="CF805" s="399"/>
      <c r="CG805" s="399"/>
      <c r="CH805" s="399"/>
      <c r="CI805" s="399"/>
      <c r="CJ805" s="399"/>
      <c r="CK805" s="399"/>
      <c r="CL805" s="399"/>
      <c r="CM805" s="399"/>
      <c r="CN805" s="399"/>
      <c r="CO805" s="399"/>
      <c r="CP805" s="399"/>
      <c r="CQ805" s="399"/>
      <c r="CR805" s="399"/>
      <c r="CS805" s="399"/>
      <c r="CT805" s="399"/>
      <c r="CU805" s="399"/>
      <c r="CV805" s="399"/>
      <c r="CW805" s="399"/>
      <c r="CX805" s="399"/>
      <c r="CY805" s="399"/>
      <c r="CZ805" s="399"/>
      <c r="DA805" s="399"/>
      <c r="DB805" s="399"/>
      <c r="DC805" s="399"/>
      <c r="DD805" s="399"/>
      <c r="DE805" s="399"/>
      <c r="DF805" s="399"/>
      <c r="DG805" s="399"/>
      <c r="DH805" s="399"/>
      <c r="DI805" s="399"/>
      <c r="DJ805" s="399"/>
      <c r="DK805" s="399"/>
      <c r="DL805" s="399"/>
      <c r="DM805" s="399"/>
      <c r="DN805" s="399"/>
      <c r="DO805" s="399"/>
      <c r="DP805" s="399"/>
      <c r="DQ805" s="399"/>
    </row>
    <row r="806" spans="1:121" s="760" customFormat="1" ht="14.45" customHeight="1" x14ac:dyDescent="0.25">
      <c r="A806" s="266">
        <f t="shared" si="12"/>
        <v>51.033333333333331</v>
      </c>
      <c r="B806" s="389">
        <v>41325</v>
      </c>
      <c r="C806" s="390" t="s">
        <v>451</v>
      </c>
      <c r="D806" s="391" t="s">
        <v>451</v>
      </c>
      <c r="E806" s="390" t="s">
        <v>380</v>
      </c>
      <c r="F806" s="262" t="s">
        <v>526</v>
      </c>
      <c r="G806" s="262" t="s">
        <v>110</v>
      </c>
      <c r="H806" s="261"/>
      <c r="I806" s="261"/>
      <c r="J806" s="261">
        <v>175</v>
      </c>
      <c r="K806" s="261">
        <v>0</v>
      </c>
      <c r="L806" s="261">
        <v>0</v>
      </c>
      <c r="M806" s="261">
        <v>0</v>
      </c>
      <c r="N806" s="261">
        <v>0</v>
      </c>
      <c r="O806" s="261">
        <v>0</v>
      </c>
      <c r="P806" s="261"/>
      <c r="Q806" s="261"/>
      <c r="R806" s="261"/>
      <c r="S806" s="261"/>
      <c r="T806" s="261"/>
      <c r="U806" s="261"/>
      <c r="V806" s="762"/>
      <c r="W806" s="261"/>
      <c r="X806" s="261"/>
      <c r="Y806" s="264">
        <f>IF(NFI_Expiration=1,IF($A806&lt;VLOOKUP(H$5,NFI,5,0),1,0)*Table_NFI[[#This Row],[Hygiene Kit]],Table_NFI[Hygiene Kit])</f>
        <v>0</v>
      </c>
      <c r="Z806" s="264">
        <f>IF(NFI_Expiration=1,IF($A806&lt;VLOOKUP(I$5,NFI,5,0),1,0)*Table_NFI[[#This Row],[NFI Core Kit]],Table_NFI[NFI Core Kit])</f>
        <v>0</v>
      </c>
      <c r="AA806" s="264">
        <f>IF(NFI_Expiration=1,IF($A806&lt;VLOOKUP(J$5,NFI,5,0),1,0)*Table_NFI[[#This Row],[Sanitary Kit]],Table_NFI[Sanitary Kit])</f>
        <v>0</v>
      </c>
      <c r="AB806" s="264">
        <f>IF(NFI_Expiration=1,IF($A806&lt;VLOOKUP(K$5,NFI,5,0),1,0)*Table_NFI[[#This Row],[Mosquito net]],Table_NFI[Mosquito net])</f>
        <v>0</v>
      </c>
      <c r="AC806" s="264">
        <f>IF(NFI_Expiration=1,IF($A806&lt;VLOOKUP(L$5,NFI,5,0),1,0)*Table_NFI[[#This Row],[Tarpaulin]],Table_NFI[[#This Row],[Tarpaulin]])</f>
        <v>0</v>
      </c>
      <c r="AD806" s="264">
        <f>IF(NFI_Expiration=1,IF($A806&lt;VLOOKUP(M$5,NFI,5,0),1,0)*Table_NFI[[#This Row],[Blanket]],Table_NFI[[#This Row],[Blanket]])</f>
        <v>0</v>
      </c>
      <c r="AE806" s="264">
        <f>IF(NFI_Expiration=1,IF($A806&lt;VLOOKUP(N$5,NFI,5,0),1,0)*Table_NFI[[#This Row],[Kitchen Set]],Table_NFI[Kitchen Set])</f>
        <v>0</v>
      </c>
      <c r="AF806" s="264">
        <f>IF(NFI_Expiration=1,IF($A806&lt;VLOOKUP(O$5,NFI,5,0),1,0)*Table_NFI[[#This Row],[Clothes Kit]],Table_NFI[Clothes Kit])</f>
        <v>0</v>
      </c>
      <c r="AG806" s="264">
        <f>IF(NFI_Expiration=1,IF($A806&lt;VLOOKUP(P$5,NFI,5,0),1,0)*Table_NFI[[#This Row],[Plastic Bucket]],Table_NFI[Plastic Bucket])</f>
        <v>0</v>
      </c>
      <c r="AH806" s="264">
        <f>IF(NFI_Expiration=1,IF($A806&lt;VLOOKUP(Q$5,NFI,5,0),1,0)*Table_NFI[[#This Row],[Plastic Mat]],Table_NFI[Plastic Mat])*IF(Table_NFI[[#This Row],[Distribution Date]]&gt;"2014-04-01",1,2.5)</f>
        <v>0</v>
      </c>
      <c r="AI806" s="264">
        <f>IF(NFI_Expiration=1,IF($A806&lt;VLOOKUP(R$5,NFI,5,0),1,0)*Table_NFI[[#This Row],[Winter Clothes Adult]],Table_NFI[Winter Clothes Adult])</f>
        <v>0</v>
      </c>
      <c r="AJ806" s="264">
        <f>IF(NFI_Expiration=1,IF($A806&lt;VLOOKUP(S$5,NFI,5,0),1,0)*Table_NFI[[#This Row],[Winter Clothes Children]],Table_NFI[Winter Clothes Children])</f>
        <v>0</v>
      </c>
      <c r="AK806" s="264">
        <f>IF(NFI_Expiration=1,IF($A806&lt;VLOOKUP(T$5,NFI,5,0),1,0)*Table_NFI[[#This Row],[Winter Items Other]],Table_NFI[Winter Items Other])</f>
        <v>0</v>
      </c>
      <c r="AL806" s="264">
        <f>IF(NFI_Expiration=1,IF($A806&lt;VLOOKUP(M$5,NFI,5,0),1,0)*Table_NFI[[#This Row],[Winter Blanket]],Table_NFI[[#This Row],[Winter Blanket]])</f>
        <v>0</v>
      </c>
      <c r="AM806" s="264">
        <f>IF(Table_NFI[[#This Row],[Winter Clothes Adult]]+Table_NFI[[#This Row],[Winter Clothes Children]]+Table_NFI[[#This Row],[Winter Items Other]]+Table_NFI[[#This Row],[Winter Blanket]]&gt;0,1,0)</f>
        <v>0</v>
      </c>
      <c r="AN806" s="296">
        <f>IF(NFI_Expiration=1,IF($A806&lt;VLOOKUP(V$5,NFI,5,0),1,0)*Table_NFI[[#This Row],[Jerry Can]],Table_NFI[Jerry Can])</f>
        <v>0</v>
      </c>
      <c r="AO806" s="296">
        <f>IF(NFI_Expiration=1,IF($A806&lt;VLOOKUP(V$5,NFI,5,0),1,0)*Table_NFI[[#This Row],[Shelter Tool kit]],Table_NFI[Shelter Tool kit])</f>
        <v>0</v>
      </c>
      <c r="AP806" s="296">
        <f>IF(NFI_Expiration=1,IF($A806&lt;VLOOKUP(V$5,NFI,5,0),1,0)*Table_NFI[[#This Row],[Tent]],Table_NFI[Tent])</f>
        <v>0</v>
      </c>
      <c r="AQ806" s="396" t="str">
        <f>IFERROR(VLOOKUP(Table_NFI[[#This Row],[Camp Name]],CL,2,0),"")</f>
        <v>MMR001CMP082</v>
      </c>
      <c r="AR806" s="702">
        <f ca="1">IF(Table_NFI[[#This Row],[Pcode]]="","",IF(OFFSET(CampList[Opening Date],MATCH(Table_NFI[[#This Row],[Pcode]],CampList[CP_Pcode],0)-1,0,1,1)&gt;=NFI_Monitor_Date,1,0))</f>
        <v>0</v>
      </c>
      <c r="AS806" s="396" t="str">
        <f>IFERROR(VLOOKUP(Table_NFI[[#This Row],[Camp Name]],CL,3,0),"")</f>
        <v>Closed</v>
      </c>
      <c r="AT806" s="264" t="str">
        <f ca="1">IF(Table_NFI[[#This Row],[Pcode]]="","",OFFSET(CampList[Priority],MATCH(Table_NFI[[#This Row],[Pcode]],CampList[CP_Pcode],0)-1,0,1,1))</f>
        <v/>
      </c>
      <c r="AU806" s="263">
        <f>IFERROR(Table_NFI[[#This Row],[Kitchen Set]]/VLOOKUP(Table_NFI[[#This Row],[Camp Name]],CL,4,0),"")</f>
        <v>0</v>
      </c>
      <c r="AV806" s="390" t="s">
        <v>1087</v>
      </c>
      <c r="AW806" s="392"/>
      <c r="AX806" s="399"/>
      <c r="AY806" s="399"/>
      <c r="AZ806" s="399"/>
      <c r="BA806" s="399"/>
      <c r="BB806" s="399"/>
      <c r="BC806" s="399"/>
      <c r="BD806" s="399"/>
      <c r="BE806" s="399"/>
      <c r="BF806" s="399"/>
      <c r="BG806" s="399"/>
      <c r="BH806" s="399"/>
      <c r="BI806" s="399"/>
      <c r="BJ806" s="399"/>
      <c r="BK806" s="399"/>
      <c r="BL806" s="399"/>
      <c r="BM806" s="399"/>
      <c r="BN806" s="399"/>
      <c r="BO806" s="399"/>
      <c r="BP806" s="399"/>
      <c r="BQ806" s="399"/>
      <c r="BR806" s="399"/>
      <c r="BS806" s="399"/>
      <c r="BT806" s="399"/>
      <c r="BU806" s="399"/>
      <c r="BV806" s="399"/>
      <c r="BW806" s="399"/>
      <c r="BX806" s="399"/>
      <c r="BY806" s="399"/>
      <c r="BZ806" s="399"/>
      <c r="CA806" s="399"/>
      <c r="CB806" s="399"/>
      <c r="CC806" s="399"/>
      <c r="CD806" s="399"/>
      <c r="CE806" s="399"/>
      <c r="CF806" s="399"/>
      <c r="CG806" s="399"/>
      <c r="CH806" s="399"/>
      <c r="CI806" s="399"/>
      <c r="CJ806" s="399"/>
      <c r="CK806" s="399"/>
      <c r="CL806" s="399"/>
      <c r="CM806" s="399"/>
      <c r="CN806" s="399"/>
      <c r="CO806" s="399"/>
      <c r="CP806" s="399"/>
      <c r="CQ806" s="399"/>
      <c r="CR806" s="399"/>
      <c r="CS806" s="399"/>
      <c r="CT806" s="399"/>
      <c r="CU806" s="399"/>
      <c r="CV806" s="399"/>
      <c r="CW806" s="399"/>
      <c r="CX806" s="399"/>
      <c r="CY806" s="399"/>
      <c r="CZ806" s="399"/>
      <c r="DA806" s="399"/>
      <c r="DB806" s="399"/>
      <c r="DC806" s="399"/>
      <c r="DD806" s="399"/>
      <c r="DE806" s="399"/>
      <c r="DF806" s="399"/>
      <c r="DG806" s="399"/>
      <c r="DH806" s="399"/>
      <c r="DI806" s="399"/>
      <c r="DJ806" s="399"/>
      <c r="DK806" s="399"/>
      <c r="DL806" s="399"/>
      <c r="DM806" s="399"/>
      <c r="DN806" s="399"/>
      <c r="DO806" s="399"/>
      <c r="DP806" s="399"/>
      <c r="DQ806" s="399"/>
    </row>
    <row r="807" spans="1:121" s="760" customFormat="1" ht="14.45" customHeight="1" x14ac:dyDescent="0.25">
      <c r="A807" s="266">
        <f t="shared" si="12"/>
        <v>51.033333333333331</v>
      </c>
      <c r="B807" s="389">
        <v>41325</v>
      </c>
      <c r="C807" s="390" t="s">
        <v>451</v>
      </c>
      <c r="D807" s="390" t="s">
        <v>451</v>
      </c>
      <c r="E807" s="390" t="s">
        <v>380</v>
      </c>
      <c r="F807" s="390" t="s">
        <v>526</v>
      </c>
      <c r="G807" s="262" t="s">
        <v>112</v>
      </c>
      <c r="H807" s="261"/>
      <c r="I807" s="261"/>
      <c r="J807" s="261">
        <v>38</v>
      </c>
      <c r="K807" s="261">
        <v>89</v>
      </c>
      <c r="L807" s="261">
        <v>44</v>
      </c>
      <c r="M807" s="261">
        <v>89</v>
      </c>
      <c r="N807" s="261">
        <v>44</v>
      </c>
      <c r="O807" s="261">
        <v>44</v>
      </c>
      <c r="P807" s="261">
        <v>44</v>
      </c>
      <c r="Q807" s="261">
        <v>44</v>
      </c>
      <c r="R807" s="261"/>
      <c r="S807" s="261"/>
      <c r="T807" s="261"/>
      <c r="U807" s="261"/>
      <c r="V807" s="762"/>
      <c r="W807" s="261"/>
      <c r="X807" s="261"/>
      <c r="Y807" s="264">
        <f>IF(NFI_Expiration=1,IF($A807&lt;VLOOKUP(H$5,NFI,5,0),1,0)*Table_NFI[[#This Row],[Hygiene Kit]],Table_NFI[Hygiene Kit])</f>
        <v>0</v>
      </c>
      <c r="Z807" s="264">
        <f>IF(NFI_Expiration=1,IF($A807&lt;VLOOKUP(I$5,NFI,5,0),1,0)*Table_NFI[[#This Row],[NFI Core Kit]],Table_NFI[NFI Core Kit])</f>
        <v>0</v>
      </c>
      <c r="AA807" s="264">
        <f>IF(NFI_Expiration=1,IF($A807&lt;VLOOKUP(J$5,NFI,5,0),1,0)*Table_NFI[[#This Row],[Sanitary Kit]],Table_NFI[Sanitary Kit])</f>
        <v>0</v>
      </c>
      <c r="AB807" s="264">
        <f>IF(NFI_Expiration=1,IF($A807&lt;VLOOKUP(K$5,NFI,5,0),1,0)*Table_NFI[[#This Row],[Mosquito net]],Table_NFI[Mosquito net])</f>
        <v>0</v>
      </c>
      <c r="AC807" s="264">
        <f>IF(NFI_Expiration=1,IF($A807&lt;VLOOKUP(L$5,NFI,5,0),1,0)*Table_NFI[[#This Row],[Tarpaulin]],Table_NFI[[#This Row],[Tarpaulin]])</f>
        <v>0</v>
      </c>
      <c r="AD807" s="264">
        <f>IF(NFI_Expiration=1,IF($A807&lt;VLOOKUP(M$5,NFI,5,0),1,0)*Table_NFI[[#This Row],[Blanket]],Table_NFI[[#This Row],[Blanket]])</f>
        <v>0</v>
      </c>
      <c r="AE807" s="264">
        <f>IF(NFI_Expiration=1,IF($A807&lt;VLOOKUP(N$5,NFI,5,0),1,0)*Table_NFI[[#This Row],[Kitchen Set]],Table_NFI[Kitchen Set])</f>
        <v>0</v>
      </c>
      <c r="AF807" s="264">
        <f>IF(NFI_Expiration=1,IF($A807&lt;VLOOKUP(O$5,NFI,5,0),1,0)*Table_NFI[[#This Row],[Clothes Kit]],Table_NFI[Clothes Kit])</f>
        <v>0</v>
      </c>
      <c r="AG807" s="264">
        <f>IF(NFI_Expiration=1,IF($A807&lt;VLOOKUP(P$5,NFI,5,0),1,0)*Table_NFI[[#This Row],[Plastic Bucket]],Table_NFI[Plastic Bucket])</f>
        <v>0</v>
      </c>
      <c r="AH807" s="264">
        <f>IF(NFI_Expiration=1,IF($A807&lt;VLOOKUP(Q$5,NFI,5,0),1,0)*Table_NFI[[#This Row],[Plastic Mat]],Table_NFI[Plastic Mat])*IF(Table_NFI[[#This Row],[Distribution Date]]&gt;"2014-04-01",1,2.5)</f>
        <v>0</v>
      </c>
      <c r="AI807" s="264">
        <f>IF(NFI_Expiration=1,IF($A807&lt;VLOOKUP(R$5,NFI,5,0),1,0)*Table_NFI[[#This Row],[Winter Clothes Adult]],Table_NFI[Winter Clothes Adult])</f>
        <v>0</v>
      </c>
      <c r="AJ807" s="264">
        <f>IF(NFI_Expiration=1,IF($A807&lt;VLOOKUP(S$5,NFI,5,0),1,0)*Table_NFI[[#This Row],[Winter Clothes Children]],Table_NFI[Winter Clothes Children])</f>
        <v>0</v>
      </c>
      <c r="AK807" s="264">
        <f>IF(NFI_Expiration=1,IF($A807&lt;VLOOKUP(T$5,NFI,5,0),1,0)*Table_NFI[[#This Row],[Winter Items Other]],Table_NFI[Winter Items Other])</f>
        <v>0</v>
      </c>
      <c r="AL807" s="264">
        <f>IF(NFI_Expiration=1,IF($A807&lt;VLOOKUP(M$5,NFI,5,0),1,0)*Table_NFI[[#This Row],[Winter Blanket]],Table_NFI[[#This Row],[Winter Blanket]])</f>
        <v>0</v>
      </c>
      <c r="AM807" s="264">
        <f>IF(Table_NFI[[#This Row],[Winter Clothes Adult]]+Table_NFI[[#This Row],[Winter Clothes Children]]+Table_NFI[[#This Row],[Winter Items Other]]+Table_NFI[[#This Row],[Winter Blanket]]&gt;0,1,0)</f>
        <v>0</v>
      </c>
      <c r="AN807" s="296">
        <f>IF(NFI_Expiration=1,IF($A807&lt;VLOOKUP(V$5,NFI,5,0),1,0)*Table_NFI[[#This Row],[Jerry Can]],Table_NFI[Jerry Can])</f>
        <v>0</v>
      </c>
      <c r="AO807" s="296">
        <f>IF(NFI_Expiration=1,IF($A807&lt;VLOOKUP(V$5,NFI,5,0),1,0)*Table_NFI[[#This Row],[Shelter Tool kit]],Table_NFI[Shelter Tool kit])</f>
        <v>0</v>
      </c>
      <c r="AP807" s="296">
        <f>IF(NFI_Expiration=1,IF($A807&lt;VLOOKUP(V$5,NFI,5,0),1,0)*Table_NFI[[#This Row],[Tent]],Table_NFI[Tent])</f>
        <v>0</v>
      </c>
      <c r="AQ807" s="396" t="str">
        <f>IFERROR(VLOOKUP(Table_NFI[[#This Row],[Camp Name]],CL,2,0),"")</f>
        <v>MMR001CMP083</v>
      </c>
      <c r="AR807" s="702">
        <f ca="1">IF(Table_NFI[[#This Row],[Pcode]]="","",IF(OFFSET(CampList[Opening Date],MATCH(Table_NFI[[#This Row],[Pcode]],CampList[CP_Pcode],0)-1,0,1,1)&gt;=NFI_Monitor_Date,1,0))</f>
        <v>0</v>
      </c>
      <c r="AS807" s="396" t="str">
        <f>IFERROR(VLOOKUP(Table_NFI[[#This Row],[Camp Name]],CL,3,0),"")</f>
        <v>Closed</v>
      </c>
      <c r="AT807" s="264" t="str">
        <f ca="1">IF(Table_NFI[[#This Row],[Pcode]]="","",OFFSET(CampList[Priority],MATCH(Table_NFI[[#This Row],[Pcode]],CampList[CP_Pcode],0)-1,0,1,1))</f>
        <v/>
      </c>
      <c r="AU807" s="263" t="str">
        <f>IFERROR(Table_NFI[[#This Row],[Kitchen Set]]/VLOOKUP(Table_NFI[[#This Row],[Camp Name]],CL,4,0),"")</f>
        <v/>
      </c>
      <c r="AV807" s="390" t="s">
        <v>1087</v>
      </c>
      <c r="AW807" s="392"/>
      <c r="AX807" s="399"/>
      <c r="AY807" s="399"/>
      <c r="AZ807" s="399"/>
      <c r="BA807" s="399"/>
      <c r="BB807" s="399"/>
      <c r="BC807" s="399"/>
      <c r="BD807" s="399"/>
      <c r="BE807" s="399"/>
      <c r="BF807" s="399"/>
      <c r="BG807" s="399"/>
      <c r="BH807" s="399"/>
      <c r="BI807" s="399"/>
      <c r="BJ807" s="399"/>
      <c r="BK807" s="399"/>
      <c r="BL807" s="399"/>
      <c r="BM807" s="399"/>
      <c r="BN807" s="399"/>
      <c r="BO807" s="399"/>
      <c r="BP807" s="399"/>
      <c r="BQ807" s="399"/>
      <c r="BR807" s="399"/>
      <c r="BS807" s="399"/>
      <c r="BT807" s="399"/>
      <c r="BU807" s="399"/>
      <c r="BV807" s="399"/>
      <c r="BW807" s="399"/>
      <c r="BX807" s="399"/>
      <c r="BY807" s="399"/>
      <c r="BZ807" s="399"/>
      <c r="CA807" s="399"/>
      <c r="CB807" s="399"/>
      <c r="CC807" s="399"/>
      <c r="CD807" s="399"/>
      <c r="CE807" s="399"/>
      <c r="CF807" s="399"/>
      <c r="CG807" s="399"/>
      <c r="CH807" s="399"/>
      <c r="CI807" s="399"/>
      <c r="CJ807" s="399"/>
      <c r="CK807" s="399"/>
      <c r="CL807" s="399"/>
      <c r="CM807" s="399"/>
      <c r="CN807" s="399"/>
      <c r="CO807" s="399"/>
      <c r="CP807" s="399"/>
      <c r="CQ807" s="399"/>
      <c r="CR807" s="399"/>
      <c r="CS807" s="399"/>
      <c r="CT807" s="399"/>
      <c r="CU807" s="399"/>
      <c r="CV807" s="399"/>
      <c r="CW807" s="399"/>
      <c r="CX807" s="399"/>
      <c r="CY807" s="399"/>
      <c r="CZ807" s="399"/>
      <c r="DA807" s="399"/>
      <c r="DB807" s="399"/>
      <c r="DC807" s="399"/>
      <c r="DD807" s="399"/>
      <c r="DE807" s="399"/>
      <c r="DF807" s="399"/>
      <c r="DG807" s="399"/>
      <c r="DH807" s="399"/>
      <c r="DI807" s="399"/>
      <c r="DJ807" s="399"/>
      <c r="DK807" s="399"/>
      <c r="DL807" s="399"/>
      <c r="DM807" s="399"/>
      <c r="DN807" s="399"/>
      <c r="DO807" s="399"/>
      <c r="DP807" s="399"/>
      <c r="DQ807" s="399"/>
    </row>
    <row r="808" spans="1:121" s="760" customFormat="1" ht="14.45" customHeight="1" x14ac:dyDescent="0.25">
      <c r="A808" s="266">
        <f t="shared" si="12"/>
        <v>51.033333333333331</v>
      </c>
      <c r="B808" s="389">
        <v>41325</v>
      </c>
      <c r="C808" s="390" t="s">
        <v>451</v>
      </c>
      <c r="D808" s="391" t="s">
        <v>451</v>
      </c>
      <c r="E808" s="390" t="s">
        <v>380</v>
      </c>
      <c r="F808" s="262" t="s">
        <v>526</v>
      </c>
      <c r="G808" s="262" t="s">
        <v>513</v>
      </c>
      <c r="H808" s="261"/>
      <c r="I808" s="261"/>
      <c r="J808" s="261"/>
      <c r="K808" s="261">
        <v>11</v>
      </c>
      <c r="L808" s="261">
        <v>6</v>
      </c>
      <c r="M808" s="261">
        <v>0</v>
      </c>
      <c r="N808" s="261">
        <v>6</v>
      </c>
      <c r="O808" s="261">
        <v>6</v>
      </c>
      <c r="P808" s="261">
        <v>6</v>
      </c>
      <c r="Q808" s="261">
        <v>6</v>
      </c>
      <c r="R808" s="261"/>
      <c r="S808" s="261"/>
      <c r="T808" s="261"/>
      <c r="U808" s="261"/>
      <c r="V808" s="762"/>
      <c r="W808" s="261"/>
      <c r="X808" s="261"/>
      <c r="Y808" s="264">
        <f>IF(NFI_Expiration=1,IF($A808&lt;VLOOKUP(H$5,NFI,5,0),1,0)*Table_NFI[[#This Row],[Hygiene Kit]],Table_NFI[Hygiene Kit])</f>
        <v>0</v>
      </c>
      <c r="Z808" s="264">
        <f>IF(NFI_Expiration=1,IF($A808&lt;VLOOKUP(I$5,NFI,5,0),1,0)*Table_NFI[[#This Row],[NFI Core Kit]],Table_NFI[NFI Core Kit])</f>
        <v>0</v>
      </c>
      <c r="AA808" s="264">
        <f>IF(NFI_Expiration=1,IF($A808&lt;VLOOKUP(J$5,NFI,5,0),1,0)*Table_NFI[[#This Row],[Sanitary Kit]],Table_NFI[Sanitary Kit])</f>
        <v>0</v>
      </c>
      <c r="AB808" s="264">
        <f>IF(NFI_Expiration=1,IF($A808&lt;VLOOKUP(K$5,NFI,5,0),1,0)*Table_NFI[[#This Row],[Mosquito net]],Table_NFI[Mosquito net])</f>
        <v>0</v>
      </c>
      <c r="AC808" s="264">
        <f>IF(NFI_Expiration=1,IF($A808&lt;VLOOKUP(L$5,NFI,5,0),1,0)*Table_NFI[[#This Row],[Tarpaulin]],Table_NFI[[#This Row],[Tarpaulin]])</f>
        <v>0</v>
      </c>
      <c r="AD808" s="264">
        <f>IF(NFI_Expiration=1,IF($A808&lt;VLOOKUP(M$5,NFI,5,0),1,0)*Table_NFI[[#This Row],[Blanket]],Table_NFI[[#This Row],[Blanket]])</f>
        <v>0</v>
      </c>
      <c r="AE808" s="264">
        <f>IF(NFI_Expiration=1,IF($A808&lt;VLOOKUP(N$5,NFI,5,0),1,0)*Table_NFI[[#This Row],[Kitchen Set]],Table_NFI[Kitchen Set])</f>
        <v>0</v>
      </c>
      <c r="AF808" s="264">
        <f>IF(NFI_Expiration=1,IF($A808&lt;VLOOKUP(O$5,NFI,5,0),1,0)*Table_NFI[[#This Row],[Clothes Kit]],Table_NFI[Clothes Kit])</f>
        <v>0</v>
      </c>
      <c r="AG808" s="264">
        <f>IF(NFI_Expiration=1,IF($A808&lt;VLOOKUP(P$5,NFI,5,0),1,0)*Table_NFI[[#This Row],[Plastic Bucket]],Table_NFI[Plastic Bucket])</f>
        <v>0</v>
      </c>
      <c r="AH808" s="264">
        <f>IF(NFI_Expiration=1,IF($A808&lt;VLOOKUP(Q$5,NFI,5,0),1,0)*Table_NFI[[#This Row],[Plastic Mat]],Table_NFI[Plastic Mat])*IF(Table_NFI[[#This Row],[Distribution Date]]&gt;"2014-04-01",1,2.5)</f>
        <v>0</v>
      </c>
      <c r="AI808" s="264">
        <f>IF(NFI_Expiration=1,IF($A808&lt;VLOOKUP(R$5,NFI,5,0),1,0)*Table_NFI[[#This Row],[Winter Clothes Adult]],Table_NFI[Winter Clothes Adult])</f>
        <v>0</v>
      </c>
      <c r="AJ808" s="264">
        <f>IF(NFI_Expiration=1,IF($A808&lt;VLOOKUP(S$5,NFI,5,0),1,0)*Table_NFI[[#This Row],[Winter Clothes Children]],Table_NFI[Winter Clothes Children])</f>
        <v>0</v>
      </c>
      <c r="AK808" s="264">
        <f>IF(NFI_Expiration=1,IF($A808&lt;VLOOKUP(T$5,NFI,5,0),1,0)*Table_NFI[[#This Row],[Winter Items Other]],Table_NFI[Winter Items Other])</f>
        <v>0</v>
      </c>
      <c r="AL808" s="264">
        <f>IF(NFI_Expiration=1,IF($A808&lt;VLOOKUP(M$5,NFI,5,0),1,0)*Table_NFI[[#This Row],[Winter Blanket]],Table_NFI[[#This Row],[Winter Blanket]])</f>
        <v>0</v>
      </c>
      <c r="AM808" s="264">
        <f>IF(Table_NFI[[#This Row],[Winter Clothes Adult]]+Table_NFI[[#This Row],[Winter Clothes Children]]+Table_NFI[[#This Row],[Winter Items Other]]+Table_NFI[[#This Row],[Winter Blanket]]&gt;0,1,0)</f>
        <v>0</v>
      </c>
      <c r="AN808" s="296">
        <f>IF(NFI_Expiration=1,IF($A808&lt;VLOOKUP(V$5,NFI,5,0),1,0)*Table_NFI[[#This Row],[Jerry Can]],Table_NFI[Jerry Can])</f>
        <v>0</v>
      </c>
      <c r="AO808" s="296">
        <f>IF(NFI_Expiration=1,IF($A808&lt;VLOOKUP(V$5,NFI,5,0),1,0)*Table_NFI[[#This Row],[Shelter Tool kit]],Table_NFI[Shelter Tool kit])</f>
        <v>0</v>
      </c>
      <c r="AP808" s="296">
        <f>IF(NFI_Expiration=1,IF($A808&lt;VLOOKUP(V$5,NFI,5,0),1,0)*Table_NFI[[#This Row],[Tent]],Table_NFI[Tent])</f>
        <v>0</v>
      </c>
      <c r="AQ808" s="396" t="str">
        <f>IFERROR(VLOOKUP(Table_NFI[[#This Row],[Camp Name]],CL,2,0),"")</f>
        <v>MMR001CMP201</v>
      </c>
      <c r="AR808" s="702">
        <f ca="1">IF(Table_NFI[[#This Row],[Pcode]]="","",IF(OFFSET(CampList[Opening Date],MATCH(Table_NFI[[#This Row],[Pcode]],CampList[CP_Pcode],0)-1,0,1,1)&gt;=NFI_Monitor_Date,1,0))</f>
        <v>0</v>
      </c>
      <c r="AS808" s="396" t="str">
        <f>IFERROR(VLOOKUP(Table_NFI[[#This Row],[Camp Name]],CL,3,0),"")</f>
        <v>Closed</v>
      </c>
      <c r="AT808" s="264" t="str">
        <f ca="1">IF(Table_NFI[[#This Row],[Pcode]]="","",OFFSET(CampList[Priority],MATCH(Table_NFI[[#This Row],[Pcode]],CampList[CP_Pcode],0)-1,0,1,1))</f>
        <v/>
      </c>
      <c r="AU808" s="263" t="str">
        <f>IFERROR(Table_NFI[[#This Row],[Kitchen Set]]/VLOOKUP(Table_NFI[[#This Row],[Camp Name]],CL,4,0),"")</f>
        <v/>
      </c>
      <c r="AV808" s="390" t="s">
        <v>1087</v>
      </c>
      <c r="AW808" s="392"/>
      <c r="AX808" s="399"/>
      <c r="AY808" s="399"/>
      <c r="AZ808" s="399"/>
      <c r="BA808" s="399"/>
      <c r="BB808" s="399"/>
      <c r="BC808" s="399"/>
      <c r="BD808" s="399"/>
      <c r="BE808" s="399"/>
      <c r="BF808" s="399"/>
      <c r="BG808" s="399"/>
      <c r="BH808" s="399"/>
      <c r="BI808" s="399"/>
      <c r="BJ808" s="399"/>
      <c r="BK808" s="399"/>
      <c r="BL808" s="399"/>
      <c r="BM808" s="399"/>
      <c r="BN808" s="399"/>
      <c r="BO808" s="399"/>
      <c r="BP808" s="399"/>
      <c r="BQ808" s="399"/>
      <c r="BR808" s="399"/>
      <c r="BS808" s="399"/>
      <c r="BT808" s="399"/>
      <c r="BU808" s="399"/>
      <c r="BV808" s="399"/>
      <c r="BW808" s="399"/>
      <c r="BX808" s="399"/>
      <c r="BY808" s="399"/>
      <c r="BZ808" s="399"/>
      <c r="CA808" s="399"/>
      <c r="CB808" s="399"/>
      <c r="CC808" s="399"/>
      <c r="CD808" s="399"/>
      <c r="CE808" s="399"/>
      <c r="CF808" s="399"/>
      <c r="CG808" s="399"/>
      <c r="CH808" s="399"/>
      <c r="CI808" s="399"/>
      <c r="CJ808" s="399"/>
      <c r="CK808" s="399"/>
      <c r="CL808" s="399"/>
      <c r="CM808" s="399"/>
      <c r="CN808" s="399"/>
      <c r="CO808" s="399"/>
      <c r="CP808" s="399"/>
      <c r="CQ808" s="399"/>
      <c r="CR808" s="399"/>
      <c r="CS808" s="399"/>
      <c r="CT808" s="399"/>
      <c r="CU808" s="399"/>
      <c r="CV808" s="399"/>
      <c r="CW808" s="399"/>
      <c r="CX808" s="399"/>
      <c r="CY808" s="399"/>
      <c r="CZ808" s="399"/>
      <c r="DA808" s="399"/>
      <c r="DB808" s="399"/>
      <c r="DC808" s="399"/>
      <c r="DD808" s="399"/>
      <c r="DE808" s="399"/>
      <c r="DF808" s="399"/>
      <c r="DG808" s="399"/>
      <c r="DH808" s="399"/>
      <c r="DI808" s="399"/>
      <c r="DJ808" s="399"/>
      <c r="DK808" s="399"/>
      <c r="DL808" s="399"/>
      <c r="DM808" s="399"/>
      <c r="DN808" s="399"/>
      <c r="DO808" s="399"/>
      <c r="DP808" s="399"/>
      <c r="DQ808" s="399"/>
    </row>
    <row r="809" spans="1:121" s="760" customFormat="1" ht="14.45" customHeight="1" x14ac:dyDescent="0.25">
      <c r="A809" s="266">
        <f t="shared" si="12"/>
        <v>51.06666666666667</v>
      </c>
      <c r="B809" s="389">
        <v>41324</v>
      </c>
      <c r="C809" s="390" t="s">
        <v>451</v>
      </c>
      <c r="D809" s="391" t="s">
        <v>451</v>
      </c>
      <c r="E809" s="390" t="s">
        <v>380</v>
      </c>
      <c r="F809" s="262" t="s">
        <v>526</v>
      </c>
      <c r="G809" s="262" t="s">
        <v>62</v>
      </c>
      <c r="H809" s="261"/>
      <c r="I809" s="261"/>
      <c r="J809" s="261">
        <v>18</v>
      </c>
      <c r="K809" s="261">
        <v>30</v>
      </c>
      <c r="L809" s="261">
        <v>17</v>
      </c>
      <c r="M809" s="261">
        <v>64</v>
      </c>
      <c r="N809" s="261">
        <v>17</v>
      </c>
      <c r="O809" s="261">
        <v>17</v>
      </c>
      <c r="P809" s="261">
        <v>17</v>
      </c>
      <c r="Q809" s="261">
        <v>17</v>
      </c>
      <c r="R809" s="261"/>
      <c r="S809" s="261"/>
      <c r="T809" s="261"/>
      <c r="U809" s="261"/>
      <c r="V809" s="762"/>
      <c r="W809" s="261"/>
      <c r="X809" s="261"/>
      <c r="Y809" s="264">
        <f>IF(NFI_Expiration=1,IF($A809&lt;VLOOKUP(H$5,NFI,5,0),1,0)*Table_NFI[[#This Row],[Hygiene Kit]],Table_NFI[Hygiene Kit])</f>
        <v>0</v>
      </c>
      <c r="Z809" s="264">
        <f>IF(NFI_Expiration=1,IF($A809&lt;VLOOKUP(I$5,NFI,5,0),1,0)*Table_NFI[[#This Row],[NFI Core Kit]],Table_NFI[NFI Core Kit])</f>
        <v>0</v>
      </c>
      <c r="AA809" s="264">
        <f>IF(NFI_Expiration=1,IF($A809&lt;VLOOKUP(J$5,NFI,5,0),1,0)*Table_NFI[[#This Row],[Sanitary Kit]],Table_NFI[Sanitary Kit])</f>
        <v>0</v>
      </c>
      <c r="AB809" s="264">
        <f>IF(NFI_Expiration=1,IF($A809&lt;VLOOKUP(K$5,NFI,5,0),1,0)*Table_NFI[[#This Row],[Mosquito net]],Table_NFI[Mosquito net])</f>
        <v>0</v>
      </c>
      <c r="AC809" s="264">
        <f>IF(NFI_Expiration=1,IF($A809&lt;VLOOKUP(L$5,NFI,5,0),1,0)*Table_NFI[[#This Row],[Tarpaulin]],Table_NFI[[#This Row],[Tarpaulin]])</f>
        <v>0</v>
      </c>
      <c r="AD809" s="264">
        <f>IF(NFI_Expiration=1,IF($A809&lt;VLOOKUP(M$5,NFI,5,0),1,0)*Table_NFI[[#This Row],[Blanket]],Table_NFI[[#This Row],[Blanket]])</f>
        <v>0</v>
      </c>
      <c r="AE809" s="264">
        <f>IF(NFI_Expiration=1,IF($A809&lt;VLOOKUP(N$5,NFI,5,0),1,0)*Table_NFI[[#This Row],[Kitchen Set]],Table_NFI[Kitchen Set])</f>
        <v>0</v>
      </c>
      <c r="AF809" s="264">
        <f>IF(NFI_Expiration=1,IF($A809&lt;VLOOKUP(O$5,NFI,5,0),1,0)*Table_NFI[[#This Row],[Clothes Kit]],Table_NFI[Clothes Kit])</f>
        <v>0</v>
      </c>
      <c r="AG809" s="264">
        <f>IF(NFI_Expiration=1,IF($A809&lt;VLOOKUP(P$5,NFI,5,0),1,0)*Table_NFI[[#This Row],[Plastic Bucket]],Table_NFI[Plastic Bucket])</f>
        <v>0</v>
      </c>
      <c r="AH809" s="264">
        <f>IF(NFI_Expiration=1,IF($A809&lt;VLOOKUP(Q$5,NFI,5,0),1,0)*Table_NFI[[#This Row],[Plastic Mat]],Table_NFI[Plastic Mat])*IF(Table_NFI[[#This Row],[Distribution Date]]&gt;"2014-04-01",1,2.5)</f>
        <v>0</v>
      </c>
      <c r="AI809" s="264">
        <f>IF(NFI_Expiration=1,IF($A809&lt;VLOOKUP(R$5,NFI,5,0),1,0)*Table_NFI[[#This Row],[Winter Clothes Adult]],Table_NFI[Winter Clothes Adult])</f>
        <v>0</v>
      </c>
      <c r="AJ809" s="264">
        <f>IF(NFI_Expiration=1,IF($A809&lt;VLOOKUP(S$5,NFI,5,0),1,0)*Table_NFI[[#This Row],[Winter Clothes Children]],Table_NFI[Winter Clothes Children])</f>
        <v>0</v>
      </c>
      <c r="AK809" s="264">
        <f>IF(NFI_Expiration=1,IF($A809&lt;VLOOKUP(T$5,NFI,5,0),1,0)*Table_NFI[[#This Row],[Winter Items Other]],Table_NFI[Winter Items Other])</f>
        <v>0</v>
      </c>
      <c r="AL809" s="264">
        <f>IF(NFI_Expiration=1,IF($A809&lt;VLOOKUP(M$5,NFI,5,0),1,0)*Table_NFI[[#This Row],[Winter Blanket]],Table_NFI[[#This Row],[Winter Blanket]])</f>
        <v>0</v>
      </c>
      <c r="AM809" s="264">
        <f>IF(Table_NFI[[#This Row],[Winter Clothes Adult]]+Table_NFI[[#This Row],[Winter Clothes Children]]+Table_NFI[[#This Row],[Winter Items Other]]+Table_NFI[[#This Row],[Winter Blanket]]&gt;0,1,0)</f>
        <v>0</v>
      </c>
      <c r="AN809" s="296">
        <f>IF(NFI_Expiration=1,IF($A809&lt;VLOOKUP(V$5,NFI,5,0),1,0)*Table_NFI[[#This Row],[Jerry Can]],Table_NFI[Jerry Can])</f>
        <v>0</v>
      </c>
      <c r="AO809" s="296">
        <f>IF(NFI_Expiration=1,IF($A809&lt;VLOOKUP(V$5,NFI,5,0),1,0)*Table_NFI[[#This Row],[Shelter Tool kit]],Table_NFI[Shelter Tool kit])</f>
        <v>0</v>
      </c>
      <c r="AP809" s="296">
        <f>IF(NFI_Expiration=1,IF($A809&lt;VLOOKUP(V$5,NFI,5,0),1,0)*Table_NFI[[#This Row],[Tent]],Table_NFI[Tent])</f>
        <v>0</v>
      </c>
      <c r="AQ809" s="396" t="str">
        <f>IFERROR(VLOOKUP(Table_NFI[[#This Row],[Camp Name]],CL,2,0),"")</f>
        <v>MMR001CMP179</v>
      </c>
      <c r="AR809" s="702">
        <f ca="1">IF(Table_NFI[[#This Row],[Pcode]]="","",IF(OFFSET(CampList[Opening Date],MATCH(Table_NFI[[#This Row],[Pcode]],CampList[CP_Pcode],0)-1,0,1,1)&gt;=NFI_Monitor_Date,1,0))</f>
        <v>0</v>
      </c>
      <c r="AS809" s="396" t="str">
        <f>IFERROR(VLOOKUP(Table_NFI[[#This Row],[Camp Name]],CL,3,0),"")</f>
        <v>Closed</v>
      </c>
      <c r="AT809" s="264" t="str">
        <f ca="1">IF(Table_NFI[[#This Row],[Pcode]]="","",OFFSET(CampList[Priority],MATCH(Table_NFI[[#This Row],[Pcode]],CampList[CP_Pcode],0)-1,0,1,1))</f>
        <v>P4</v>
      </c>
      <c r="AU809" s="263">
        <f>IFERROR(Table_NFI[[#This Row],[Kitchen Set]]/VLOOKUP(Table_NFI[[#This Row],[Camp Name]],CL,4,0),"")</f>
        <v>4.1187159297395516E-4</v>
      </c>
      <c r="AV809" s="390" t="s">
        <v>1087</v>
      </c>
      <c r="AW809" s="392"/>
      <c r="AX809" s="399"/>
      <c r="AY809" s="399"/>
      <c r="AZ809" s="399"/>
      <c r="BA809" s="399"/>
      <c r="BB809" s="399"/>
      <c r="BC809" s="399"/>
      <c r="BD809" s="399"/>
      <c r="BE809" s="399"/>
      <c r="BF809" s="399"/>
      <c r="BG809" s="399"/>
      <c r="BH809" s="399"/>
      <c r="BI809" s="399"/>
      <c r="BJ809" s="399"/>
      <c r="BK809" s="399"/>
      <c r="BL809" s="399"/>
      <c r="BM809" s="399"/>
      <c r="BN809" s="399"/>
      <c r="BO809" s="399"/>
      <c r="BP809" s="399"/>
      <c r="BQ809" s="399"/>
      <c r="BR809" s="399"/>
      <c r="BS809" s="399"/>
      <c r="BT809" s="399"/>
      <c r="BU809" s="399"/>
      <c r="BV809" s="399"/>
      <c r="BW809" s="399"/>
      <c r="BX809" s="399"/>
      <c r="BY809" s="399"/>
      <c r="BZ809" s="399"/>
      <c r="CA809" s="399"/>
      <c r="CB809" s="399"/>
      <c r="CC809" s="399"/>
      <c r="CD809" s="399"/>
      <c r="CE809" s="399"/>
      <c r="CF809" s="399"/>
      <c r="CG809" s="399"/>
      <c r="CH809" s="399"/>
      <c r="CI809" s="399"/>
      <c r="CJ809" s="399"/>
      <c r="CK809" s="399"/>
      <c r="CL809" s="399"/>
      <c r="CM809" s="399"/>
      <c r="CN809" s="399"/>
      <c r="CO809" s="399"/>
      <c r="CP809" s="399"/>
      <c r="CQ809" s="399"/>
      <c r="CR809" s="399"/>
      <c r="CS809" s="399"/>
      <c r="CT809" s="399"/>
      <c r="CU809" s="399"/>
      <c r="CV809" s="399"/>
      <c r="CW809" s="399"/>
      <c r="CX809" s="399"/>
      <c r="CY809" s="399"/>
      <c r="CZ809" s="399"/>
      <c r="DA809" s="399"/>
      <c r="DB809" s="399"/>
      <c r="DC809" s="399"/>
      <c r="DD809" s="399"/>
      <c r="DE809" s="399"/>
      <c r="DF809" s="399"/>
      <c r="DG809" s="399"/>
      <c r="DH809" s="399"/>
      <c r="DI809" s="399"/>
      <c r="DJ809" s="399"/>
      <c r="DK809" s="399"/>
      <c r="DL809" s="399"/>
      <c r="DM809" s="399"/>
      <c r="DN809" s="399"/>
      <c r="DO809" s="399"/>
      <c r="DP809" s="399"/>
      <c r="DQ809" s="399"/>
    </row>
    <row r="810" spans="1:121" s="760" customFormat="1" ht="15" customHeight="1" x14ac:dyDescent="0.25">
      <c r="A810" s="266">
        <f t="shared" si="12"/>
        <v>51.06666666666667</v>
      </c>
      <c r="B810" s="389">
        <v>41324</v>
      </c>
      <c r="C810" s="390" t="s">
        <v>451</v>
      </c>
      <c r="D810" s="391" t="s">
        <v>451</v>
      </c>
      <c r="E810" s="390" t="s">
        <v>380</v>
      </c>
      <c r="F810" s="262" t="s">
        <v>526</v>
      </c>
      <c r="G810" s="262" t="s">
        <v>76</v>
      </c>
      <c r="H810" s="261"/>
      <c r="I810" s="261"/>
      <c r="J810" s="261">
        <v>74</v>
      </c>
      <c r="K810" s="261">
        <v>105</v>
      </c>
      <c r="L810" s="261">
        <v>59</v>
      </c>
      <c r="M810" s="261">
        <v>105</v>
      </c>
      <c r="N810" s="261">
        <v>59</v>
      </c>
      <c r="O810" s="261">
        <v>59</v>
      </c>
      <c r="P810" s="261">
        <v>59</v>
      </c>
      <c r="Q810" s="261">
        <v>59</v>
      </c>
      <c r="R810" s="261"/>
      <c r="S810" s="261"/>
      <c r="T810" s="261"/>
      <c r="U810" s="261"/>
      <c r="V810" s="762"/>
      <c r="W810" s="261"/>
      <c r="X810" s="261"/>
      <c r="Y810" s="264">
        <f>IF(NFI_Expiration=1,IF($A810&lt;VLOOKUP(H$5,NFI,5,0),1,0)*Table_NFI[[#This Row],[Hygiene Kit]],Table_NFI[Hygiene Kit])</f>
        <v>0</v>
      </c>
      <c r="Z810" s="264">
        <f>IF(NFI_Expiration=1,IF($A810&lt;VLOOKUP(I$5,NFI,5,0),1,0)*Table_NFI[[#This Row],[NFI Core Kit]],Table_NFI[NFI Core Kit])</f>
        <v>0</v>
      </c>
      <c r="AA810" s="264">
        <f>IF(NFI_Expiration=1,IF($A810&lt;VLOOKUP(J$5,NFI,5,0),1,0)*Table_NFI[[#This Row],[Sanitary Kit]],Table_NFI[Sanitary Kit])</f>
        <v>0</v>
      </c>
      <c r="AB810" s="264">
        <f>IF(NFI_Expiration=1,IF($A810&lt;VLOOKUP(K$5,NFI,5,0),1,0)*Table_NFI[[#This Row],[Mosquito net]],Table_NFI[Mosquito net])</f>
        <v>0</v>
      </c>
      <c r="AC810" s="264">
        <f>IF(NFI_Expiration=1,IF($A810&lt;VLOOKUP(L$5,NFI,5,0),1,0)*Table_NFI[[#This Row],[Tarpaulin]],Table_NFI[[#This Row],[Tarpaulin]])</f>
        <v>0</v>
      </c>
      <c r="AD810" s="264">
        <f>IF(NFI_Expiration=1,IF($A810&lt;VLOOKUP(M$5,NFI,5,0),1,0)*Table_NFI[[#This Row],[Blanket]],Table_NFI[[#This Row],[Blanket]])</f>
        <v>0</v>
      </c>
      <c r="AE810" s="264">
        <f>IF(NFI_Expiration=1,IF($A810&lt;VLOOKUP(N$5,NFI,5,0),1,0)*Table_NFI[[#This Row],[Kitchen Set]],Table_NFI[Kitchen Set])</f>
        <v>0</v>
      </c>
      <c r="AF810" s="264">
        <f>IF(NFI_Expiration=1,IF($A810&lt;VLOOKUP(O$5,NFI,5,0),1,0)*Table_NFI[[#This Row],[Clothes Kit]],Table_NFI[Clothes Kit])</f>
        <v>0</v>
      </c>
      <c r="AG810" s="264">
        <f>IF(NFI_Expiration=1,IF($A810&lt;VLOOKUP(P$5,NFI,5,0),1,0)*Table_NFI[[#This Row],[Plastic Bucket]],Table_NFI[Plastic Bucket])</f>
        <v>0</v>
      </c>
      <c r="AH810" s="264">
        <f>IF(NFI_Expiration=1,IF($A810&lt;VLOOKUP(Q$5,NFI,5,0),1,0)*Table_NFI[[#This Row],[Plastic Mat]],Table_NFI[Plastic Mat])*IF(Table_NFI[[#This Row],[Distribution Date]]&gt;"2014-04-01",1,2.5)</f>
        <v>0</v>
      </c>
      <c r="AI810" s="264">
        <f>IF(NFI_Expiration=1,IF($A810&lt;VLOOKUP(R$5,NFI,5,0),1,0)*Table_NFI[[#This Row],[Winter Clothes Adult]],Table_NFI[Winter Clothes Adult])</f>
        <v>0</v>
      </c>
      <c r="AJ810" s="264">
        <f>IF(NFI_Expiration=1,IF($A810&lt;VLOOKUP(S$5,NFI,5,0),1,0)*Table_NFI[[#This Row],[Winter Clothes Children]],Table_NFI[Winter Clothes Children])</f>
        <v>0</v>
      </c>
      <c r="AK810" s="264">
        <f>IF(NFI_Expiration=1,IF($A810&lt;VLOOKUP(T$5,NFI,5,0),1,0)*Table_NFI[[#This Row],[Winter Items Other]],Table_NFI[Winter Items Other])</f>
        <v>0</v>
      </c>
      <c r="AL810" s="264">
        <f>IF(NFI_Expiration=1,IF($A810&lt;VLOOKUP(M$5,NFI,5,0),1,0)*Table_NFI[[#This Row],[Winter Blanket]],Table_NFI[[#This Row],[Winter Blanket]])</f>
        <v>0</v>
      </c>
      <c r="AM810" s="264">
        <f>IF(Table_NFI[[#This Row],[Winter Clothes Adult]]+Table_NFI[[#This Row],[Winter Clothes Children]]+Table_NFI[[#This Row],[Winter Items Other]]+Table_NFI[[#This Row],[Winter Blanket]]&gt;0,1,0)</f>
        <v>0</v>
      </c>
      <c r="AN810" s="296">
        <f>IF(NFI_Expiration=1,IF($A810&lt;VLOOKUP(V$5,NFI,5,0),1,0)*Table_NFI[[#This Row],[Jerry Can]],Table_NFI[Jerry Can])</f>
        <v>0</v>
      </c>
      <c r="AO810" s="296">
        <f>IF(NFI_Expiration=1,IF($A810&lt;VLOOKUP(V$5,NFI,5,0),1,0)*Table_NFI[[#This Row],[Shelter Tool kit]],Table_NFI[Shelter Tool kit])</f>
        <v>0</v>
      </c>
      <c r="AP810" s="296">
        <f>IF(NFI_Expiration=1,IF($A810&lt;VLOOKUP(V$5,NFI,5,0),1,0)*Table_NFI[[#This Row],[Tent]],Table_NFI[Tent])</f>
        <v>0</v>
      </c>
      <c r="AQ810" s="396" t="str">
        <f>IFERROR(VLOOKUP(Table_NFI[[#This Row],[Camp Name]],CL,2,0),"")</f>
        <v>MMR001CMP174</v>
      </c>
      <c r="AR810" s="702">
        <f ca="1">IF(Table_NFI[[#This Row],[Pcode]]="","",IF(OFFSET(CampList[Opening Date],MATCH(Table_NFI[[#This Row],[Pcode]],CampList[CP_Pcode],0)-1,0,1,1)&gt;=NFI_Monitor_Date,1,0))</f>
        <v>0</v>
      </c>
      <c r="AS810" s="396" t="str">
        <f>IFERROR(VLOOKUP(Table_NFI[[#This Row],[Camp Name]],CL,3,0),"")</f>
        <v>Open</v>
      </c>
      <c r="AT810" s="264" t="str">
        <f ca="1">IF(Table_NFI[[#This Row],[Pcode]]="","",OFFSET(CampList[Priority],MATCH(Table_NFI[[#This Row],[Pcode]],CampList[CP_Pcode],0)-1,0,1,1))</f>
        <v>P4</v>
      </c>
      <c r="AU810" s="263">
        <f>IFERROR(Table_NFI[[#This Row],[Kitchen Set]]/VLOOKUP(Table_NFI[[#This Row],[Camp Name]],CL,4,0),"")</f>
        <v>1.4294367050272563E-3</v>
      </c>
      <c r="AV810" s="390" t="s">
        <v>1087</v>
      </c>
      <c r="AW810" s="392"/>
      <c r="AX810" s="399"/>
      <c r="AY810" s="399"/>
      <c r="AZ810" s="399"/>
      <c r="BA810" s="399"/>
      <c r="BB810" s="399"/>
      <c r="BC810" s="399"/>
      <c r="BD810" s="399"/>
      <c r="BE810" s="399"/>
      <c r="BF810" s="399"/>
      <c r="BG810" s="399"/>
      <c r="BH810" s="399"/>
      <c r="BI810" s="399"/>
      <c r="BJ810" s="399"/>
      <c r="BK810" s="399"/>
      <c r="BL810" s="399"/>
      <c r="BM810" s="399"/>
      <c r="BN810" s="399"/>
      <c r="BO810" s="399"/>
      <c r="BP810" s="399"/>
      <c r="BQ810" s="399"/>
      <c r="BR810" s="399"/>
      <c r="BS810" s="399"/>
      <c r="BT810" s="399"/>
      <c r="BU810" s="399"/>
      <c r="BV810" s="399"/>
      <c r="BW810" s="399"/>
      <c r="BX810" s="399"/>
      <c r="BY810" s="399"/>
      <c r="BZ810" s="399"/>
      <c r="CA810" s="399"/>
      <c r="CB810" s="399"/>
      <c r="CC810" s="399"/>
      <c r="CD810" s="399"/>
      <c r="CE810" s="399"/>
      <c r="CF810" s="399"/>
      <c r="CG810" s="399"/>
      <c r="CH810" s="399"/>
      <c r="CI810" s="399"/>
      <c r="CJ810" s="399"/>
      <c r="CK810" s="399"/>
      <c r="CL810" s="399"/>
      <c r="CM810" s="399"/>
      <c r="CN810" s="399"/>
      <c r="CO810" s="399"/>
      <c r="CP810" s="399"/>
      <c r="CQ810" s="399"/>
      <c r="CR810" s="399"/>
      <c r="CS810" s="399"/>
      <c r="CT810" s="399"/>
      <c r="CU810" s="399"/>
      <c r="CV810" s="399"/>
      <c r="CW810" s="399"/>
      <c r="CX810" s="399"/>
      <c r="CY810" s="399"/>
      <c r="CZ810" s="399"/>
      <c r="DA810" s="399"/>
      <c r="DB810" s="399"/>
      <c r="DC810" s="399"/>
      <c r="DD810" s="399"/>
      <c r="DE810" s="399"/>
      <c r="DF810" s="399"/>
      <c r="DG810" s="399"/>
      <c r="DH810" s="399"/>
      <c r="DI810" s="399"/>
      <c r="DJ810" s="399"/>
      <c r="DK810" s="399"/>
      <c r="DL810" s="399"/>
      <c r="DM810" s="399"/>
      <c r="DN810" s="399"/>
      <c r="DO810" s="399"/>
      <c r="DP810" s="399"/>
      <c r="DQ810" s="399"/>
    </row>
    <row r="811" spans="1:121" s="760" customFormat="1" ht="15" customHeight="1" x14ac:dyDescent="0.25">
      <c r="A811" s="266">
        <f t="shared" si="12"/>
        <v>51.06666666666667</v>
      </c>
      <c r="B811" s="389">
        <v>41324</v>
      </c>
      <c r="C811" s="390" t="s">
        <v>451</v>
      </c>
      <c r="D811" s="391" t="s">
        <v>451</v>
      </c>
      <c r="E811" s="390" t="s">
        <v>380</v>
      </c>
      <c r="F811" s="262" t="s">
        <v>526</v>
      </c>
      <c r="G811" s="262" t="s">
        <v>610</v>
      </c>
      <c r="H811" s="261"/>
      <c r="I811" s="261"/>
      <c r="J811" s="261">
        <v>19</v>
      </c>
      <c r="K811" s="261">
        <v>30</v>
      </c>
      <c r="L811" s="261">
        <v>18</v>
      </c>
      <c r="M811" s="261">
        <v>68</v>
      </c>
      <c r="N811" s="261">
        <v>18</v>
      </c>
      <c r="O811" s="261">
        <v>18</v>
      </c>
      <c r="P811" s="261">
        <v>18</v>
      </c>
      <c r="Q811" s="261">
        <v>18</v>
      </c>
      <c r="R811" s="261"/>
      <c r="S811" s="261"/>
      <c r="T811" s="261"/>
      <c r="U811" s="261"/>
      <c r="V811" s="762"/>
      <c r="W811" s="261"/>
      <c r="X811" s="261"/>
      <c r="Y811" s="264">
        <f>IF(NFI_Expiration=1,IF($A811&lt;VLOOKUP(H$5,NFI,5,0),1,0)*Table_NFI[[#This Row],[Hygiene Kit]],Table_NFI[Hygiene Kit])</f>
        <v>0</v>
      </c>
      <c r="Z811" s="264">
        <f>IF(NFI_Expiration=1,IF($A811&lt;VLOOKUP(I$5,NFI,5,0),1,0)*Table_NFI[[#This Row],[NFI Core Kit]],Table_NFI[NFI Core Kit])</f>
        <v>0</v>
      </c>
      <c r="AA811" s="264">
        <f>IF(NFI_Expiration=1,IF($A811&lt;VLOOKUP(J$5,NFI,5,0),1,0)*Table_NFI[[#This Row],[Sanitary Kit]],Table_NFI[Sanitary Kit])</f>
        <v>0</v>
      </c>
      <c r="AB811" s="264">
        <f>IF(NFI_Expiration=1,IF($A811&lt;VLOOKUP(K$5,NFI,5,0),1,0)*Table_NFI[[#This Row],[Mosquito net]],Table_NFI[Mosquito net])</f>
        <v>0</v>
      </c>
      <c r="AC811" s="264">
        <f>IF(NFI_Expiration=1,IF($A811&lt;VLOOKUP(L$5,NFI,5,0),1,0)*Table_NFI[[#This Row],[Tarpaulin]],Table_NFI[[#This Row],[Tarpaulin]])</f>
        <v>0</v>
      </c>
      <c r="AD811" s="264">
        <f>IF(NFI_Expiration=1,IF($A811&lt;VLOOKUP(M$5,NFI,5,0),1,0)*Table_NFI[[#This Row],[Blanket]],Table_NFI[[#This Row],[Blanket]])</f>
        <v>0</v>
      </c>
      <c r="AE811" s="264">
        <f>IF(NFI_Expiration=1,IF($A811&lt;VLOOKUP(N$5,NFI,5,0),1,0)*Table_NFI[[#This Row],[Kitchen Set]],Table_NFI[Kitchen Set])</f>
        <v>0</v>
      </c>
      <c r="AF811" s="264">
        <f>IF(NFI_Expiration=1,IF($A811&lt;VLOOKUP(O$5,NFI,5,0),1,0)*Table_NFI[[#This Row],[Clothes Kit]],Table_NFI[Clothes Kit])</f>
        <v>0</v>
      </c>
      <c r="AG811" s="264">
        <f>IF(NFI_Expiration=1,IF($A811&lt;VLOOKUP(P$5,NFI,5,0),1,0)*Table_NFI[[#This Row],[Plastic Bucket]],Table_NFI[Plastic Bucket])</f>
        <v>0</v>
      </c>
      <c r="AH811" s="264">
        <f>IF(NFI_Expiration=1,IF($A811&lt;VLOOKUP(Q$5,NFI,5,0),1,0)*Table_NFI[[#This Row],[Plastic Mat]],Table_NFI[Plastic Mat])*IF(Table_NFI[[#This Row],[Distribution Date]]&gt;"2014-04-01",1,2.5)</f>
        <v>0</v>
      </c>
      <c r="AI811" s="264">
        <f>IF(NFI_Expiration=1,IF($A811&lt;VLOOKUP(R$5,NFI,5,0),1,0)*Table_NFI[[#This Row],[Winter Clothes Adult]],Table_NFI[Winter Clothes Adult])</f>
        <v>0</v>
      </c>
      <c r="AJ811" s="264">
        <f>IF(NFI_Expiration=1,IF($A811&lt;VLOOKUP(S$5,NFI,5,0),1,0)*Table_NFI[[#This Row],[Winter Clothes Children]],Table_NFI[Winter Clothes Children])</f>
        <v>0</v>
      </c>
      <c r="AK811" s="264">
        <f>IF(NFI_Expiration=1,IF($A811&lt;VLOOKUP(T$5,NFI,5,0),1,0)*Table_NFI[[#This Row],[Winter Items Other]],Table_NFI[Winter Items Other])</f>
        <v>0</v>
      </c>
      <c r="AL811" s="264">
        <f>IF(NFI_Expiration=1,IF($A811&lt;VLOOKUP(M$5,NFI,5,0),1,0)*Table_NFI[[#This Row],[Winter Blanket]],Table_NFI[[#This Row],[Winter Blanket]])</f>
        <v>0</v>
      </c>
      <c r="AM811" s="264">
        <f>IF(Table_NFI[[#This Row],[Winter Clothes Adult]]+Table_NFI[[#This Row],[Winter Clothes Children]]+Table_NFI[[#This Row],[Winter Items Other]]+Table_NFI[[#This Row],[Winter Blanket]]&gt;0,1,0)</f>
        <v>0</v>
      </c>
      <c r="AN811" s="296">
        <f>IF(NFI_Expiration=1,IF($A811&lt;VLOOKUP(V$5,NFI,5,0),1,0)*Table_NFI[[#This Row],[Jerry Can]],Table_NFI[Jerry Can])</f>
        <v>0</v>
      </c>
      <c r="AO811" s="296">
        <f>IF(NFI_Expiration=1,IF($A811&lt;VLOOKUP(V$5,NFI,5,0),1,0)*Table_NFI[[#This Row],[Shelter Tool kit]],Table_NFI[Shelter Tool kit])</f>
        <v>0</v>
      </c>
      <c r="AP811" s="296">
        <f>IF(NFI_Expiration=1,IF($A811&lt;VLOOKUP(V$5,NFI,5,0),1,0)*Table_NFI[[#This Row],[Tent]],Table_NFI[Tent])</f>
        <v>0</v>
      </c>
      <c r="AQ811" s="396" t="str">
        <f>IFERROR(VLOOKUP(Table_NFI[[#This Row],[Camp Name]],CL,2,0),"")</f>
        <v>MMR001CMP192</v>
      </c>
      <c r="AR811" s="702">
        <f ca="1">IF(Table_NFI[[#This Row],[Pcode]]="","",IF(OFFSET(CampList[Opening Date],MATCH(Table_NFI[[#This Row],[Pcode]],CampList[CP_Pcode],0)-1,0,1,1)&gt;=NFI_Monitor_Date,1,0))</f>
        <v>0</v>
      </c>
      <c r="AS811" s="396" t="str">
        <f>IFERROR(VLOOKUP(Table_NFI[[#This Row],[Camp Name]],CL,3,0),"")</f>
        <v>Open</v>
      </c>
      <c r="AT811" s="264" t="str">
        <f ca="1">IF(Table_NFI[[#This Row],[Pcode]]="","",OFFSET(CampList[Priority],MATCH(Table_NFI[[#This Row],[Pcode]],CampList[CP_Pcode],0)-1,0,1,1))</f>
        <v>P4</v>
      </c>
      <c r="AU811" s="263">
        <f>IFERROR(Table_NFI[[#This Row],[Kitchen Set]]/VLOOKUP(Table_NFI[[#This Row],[Camp Name]],CL,4,0),"")</f>
        <v>4.3609933373712904E-4</v>
      </c>
      <c r="AV811" s="390" t="s">
        <v>1087</v>
      </c>
      <c r="AW811" s="392"/>
      <c r="AX811" s="399"/>
      <c r="AY811" s="399"/>
      <c r="AZ811" s="399"/>
      <c r="BA811" s="399"/>
      <c r="BB811" s="399"/>
      <c r="BC811" s="399"/>
      <c r="BD811" s="399"/>
      <c r="BE811" s="399"/>
      <c r="BF811" s="399"/>
      <c r="BG811" s="399"/>
      <c r="BH811" s="399"/>
      <c r="BI811" s="399"/>
      <c r="BJ811" s="399"/>
      <c r="BK811" s="399"/>
      <c r="BL811" s="399"/>
      <c r="BM811" s="399"/>
      <c r="BN811" s="399"/>
      <c r="BO811" s="399"/>
      <c r="BP811" s="399"/>
      <c r="BQ811" s="399"/>
      <c r="BR811" s="399"/>
      <c r="BS811" s="399"/>
      <c r="BT811" s="399"/>
      <c r="BU811" s="399"/>
      <c r="BV811" s="399"/>
      <c r="BW811" s="399"/>
      <c r="BX811" s="399"/>
      <c r="BY811" s="399"/>
      <c r="BZ811" s="399"/>
      <c r="CA811" s="399"/>
      <c r="CB811" s="399"/>
      <c r="CC811" s="399"/>
      <c r="CD811" s="399"/>
      <c r="CE811" s="399"/>
      <c r="CF811" s="399"/>
      <c r="CG811" s="399"/>
      <c r="CH811" s="399"/>
      <c r="CI811" s="399"/>
      <c r="CJ811" s="399"/>
      <c r="CK811" s="399"/>
      <c r="CL811" s="399"/>
      <c r="CM811" s="399"/>
      <c r="CN811" s="399"/>
      <c r="CO811" s="399"/>
      <c r="CP811" s="399"/>
      <c r="CQ811" s="399"/>
      <c r="CR811" s="399"/>
      <c r="CS811" s="399"/>
      <c r="CT811" s="399"/>
      <c r="CU811" s="399"/>
      <c r="CV811" s="399"/>
      <c r="CW811" s="399"/>
      <c r="CX811" s="399"/>
      <c r="CY811" s="399"/>
      <c r="CZ811" s="399"/>
      <c r="DA811" s="399"/>
      <c r="DB811" s="399"/>
      <c r="DC811" s="399"/>
      <c r="DD811" s="399"/>
      <c r="DE811" s="399"/>
      <c r="DF811" s="399"/>
      <c r="DG811" s="399"/>
      <c r="DH811" s="399"/>
      <c r="DI811" s="399"/>
      <c r="DJ811" s="399"/>
      <c r="DK811" s="399"/>
      <c r="DL811" s="399"/>
      <c r="DM811" s="399"/>
      <c r="DN811" s="399"/>
      <c r="DO811" s="399"/>
      <c r="DP811" s="399"/>
      <c r="DQ811" s="399"/>
    </row>
    <row r="812" spans="1:121" s="760" customFormat="1" ht="14.45" customHeight="1" x14ac:dyDescent="0.25">
      <c r="A812" s="266">
        <f t="shared" si="12"/>
        <v>51.06666666666667</v>
      </c>
      <c r="B812" s="389">
        <v>41324</v>
      </c>
      <c r="C812" s="390" t="s">
        <v>451</v>
      </c>
      <c r="D812" s="390" t="s">
        <v>451</v>
      </c>
      <c r="E812" s="390" t="s">
        <v>380</v>
      </c>
      <c r="F812" s="390" t="s">
        <v>526</v>
      </c>
      <c r="G812" s="262" t="s">
        <v>128</v>
      </c>
      <c r="H812" s="261"/>
      <c r="I812" s="261"/>
      <c r="J812" s="261">
        <v>3</v>
      </c>
      <c r="K812" s="261">
        <v>7</v>
      </c>
      <c r="L812" s="261">
        <v>4</v>
      </c>
      <c r="M812" s="261">
        <v>7</v>
      </c>
      <c r="N812" s="261">
        <v>4</v>
      </c>
      <c r="O812" s="261">
        <v>4</v>
      </c>
      <c r="P812" s="261">
        <v>4</v>
      </c>
      <c r="Q812" s="261">
        <v>4</v>
      </c>
      <c r="R812" s="261"/>
      <c r="S812" s="261"/>
      <c r="T812" s="261"/>
      <c r="U812" s="261"/>
      <c r="V812" s="762"/>
      <c r="W812" s="261"/>
      <c r="X812" s="261"/>
      <c r="Y812" s="264">
        <f>IF(NFI_Expiration=1,IF($A812&lt;VLOOKUP(H$5,NFI,5,0),1,0)*Table_NFI[[#This Row],[Hygiene Kit]],Table_NFI[Hygiene Kit])</f>
        <v>0</v>
      </c>
      <c r="Z812" s="264">
        <f>IF(NFI_Expiration=1,IF($A812&lt;VLOOKUP(I$5,NFI,5,0),1,0)*Table_NFI[[#This Row],[NFI Core Kit]],Table_NFI[NFI Core Kit])</f>
        <v>0</v>
      </c>
      <c r="AA812" s="264">
        <f>IF(NFI_Expiration=1,IF($A812&lt;VLOOKUP(J$5,NFI,5,0),1,0)*Table_NFI[[#This Row],[Sanitary Kit]],Table_NFI[Sanitary Kit])</f>
        <v>0</v>
      </c>
      <c r="AB812" s="264">
        <f>IF(NFI_Expiration=1,IF($A812&lt;VLOOKUP(K$5,NFI,5,0),1,0)*Table_NFI[[#This Row],[Mosquito net]],Table_NFI[Mosquito net])</f>
        <v>0</v>
      </c>
      <c r="AC812" s="264">
        <f>IF(NFI_Expiration=1,IF($A812&lt;VLOOKUP(L$5,NFI,5,0),1,0)*Table_NFI[[#This Row],[Tarpaulin]],Table_NFI[[#This Row],[Tarpaulin]])</f>
        <v>0</v>
      </c>
      <c r="AD812" s="264">
        <f>IF(NFI_Expiration=1,IF($A812&lt;VLOOKUP(M$5,NFI,5,0),1,0)*Table_NFI[[#This Row],[Blanket]],Table_NFI[[#This Row],[Blanket]])</f>
        <v>0</v>
      </c>
      <c r="AE812" s="264">
        <f>IF(NFI_Expiration=1,IF($A812&lt;VLOOKUP(N$5,NFI,5,0),1,0)*Table_NFI[[#This Row],[Kitchen Set]],Table_NFI[Kitchen Set])</f>
        <v>0</v>
      </c>
      <c r="AF812" s="264">
        <f>IF(NFI_Expiration=1,IF($A812&lt;VLOOKUP(O$5,NFI,5,0),1,0)*Table_NFI[[#This Row],[Clothes Kit]],Table_NFI[Clothes Kit])</f>
        <v>0</v>
      </c>
      <c r="AG812" s="264">
        <f>IF(NFI_Expiration=1,IF($A812&lt;VLOOKUP(P$5,NFI,5,0),1,0)*Table_NFI[[#This Row],[Plastic Bucket]],Table_NFI[Plastic Bucket])</f>
        <v>0</v>
      </c>
      <c r="AH812" s="264">
        <f>IF(NFI_Expiration=1,IF($A812&lt;VLOOKUP(Q$5,NFI,5,0),1,0)*Table_NFI[[#This Row],[Plastic Mat]],Table_NFI[Plastic Mat])*IF(Table_NFI[[#This Row],[Distribution Date]]&gt;"2014-04-01",1,2.5)</f>
        <v>0</v>
      </c>
      <c r="AI812" s="264">
        <f>IF(NFI_Expiration=1,IF($A812&lt;VLOOKUP(R$5,NFI,5,0),1,0)*Table_NFI[[#This Row],[Winter Clothes Adult]],Table_NFI[Winter Clothes Adult])</f>
        <v>0</v>
      </c>
      <c r="AJ812" s="264">
        <f>IF(NFI_Expiration=1,IF($A812&lt;VLOOKUP(S$5,NFI,5,0),1,0)*Table_NFI[[#This Row],[Winter Clothes Children]],Table_NFI[Winter Clothes Children])</f>
        <v>0</v>
      </c>
      <c r="AK812" s="264">
        <f>IF(NFI_Expiration=1,IF($A812&lt;VLOOKUP(T$5,NFI,5,0),1,0)*Table_NFI[[#This Row],[Winter Items Other]],Table_NFI[Winter Items Other])</f>
        <v>0</v>
      </c>
      <c r="AL812" s="264">
        <f>IF(NFI_Expiration=1,IF($A812&lt;VLOOKUP(M$5,NFI,5,0),1,0)*Table_NFI[[#This Row],[Winter Blanket]],Table_NFI[[#This Row],[Winter Blanket]])</f>
        <v>0</v>
      </c>
      <c r="AM812" s="264">
        <f>IF(Table_NFI[[#This Row],[Winter Clothes Adult]]+Table_NFI[[#This Row],[Winter Clothes Children]]+Table_NFI[[#This Row],[Winter Items Other]]+Table_NFI[[#This Row],[Winter Blanket]]&gt;0,1,0)</f>
        <v>0</v>
      </c>
      <c r="AN812" s="296">
        <f>IF(NFI_Expiration=1,IF($A812&lt;VLOOKUP(V$5,NFI,5,0),1,0)*Table_NFI[[#This Row],[Jerry Can]],Table_NFI[Jerry Can])</f>
        <v>0</v>
      </c>
      <c r="AO812" s="296">
        <f>IF(NFI_Expiration=1,IF($A812&lt;VLOOKUP(V$5,NFI,5,0),1,0)*Table_NFI[[#This Row],[Shelter Tool kit]],Table_NFI[Shelter Tool kit])</f>
        <v>0</v>
      </c>
      <c r="AP812" s="296">
        <f>IF(NFI_Expiration=1,IF($A812&lt;VLOOKUP(V$5,NFI,5,0),1,0)*Table_NFI[[#This Row],[Tent]],Table_NFI[Tent])</f>
        <v>0</v>
      </c>
      <c r="AQ812" s="396" t="str">
        <f>IFERROR(VLOOKUP(Table_NFI[[#This Row],[Camp Name]],CL,2,0),"")</f>
        <v>MMR001CMP171</v>
      </c>
      <c r="AR812" s="702">
        <f ca="1">IF(Table_NFI[[#This Row],[Pcode]]="","",IF(OFFSET(CampList[Opening Date],MATCH(Table_NFI[[#This Row],[Pcode]],CampList[CP_Pcode],0)-1,0,1,1)&gt;=NFI_Monitor_Date,1,0))</f>
        <v>0</v>
      </c>
      <c r="AS812" s="396" t="str">
        <f>IFERROR(VLOOKUP(Table_NFI[[#This Row],[Camp Name]],CL,3,0),"")</f>
        <v>Closed</v>
      </c>
      <c r="AT812" s="264" t="str">
        <f ca="1">IF(Table_NFI[[#This Row],[Pcode]]="","",OFFSET(CampList[Priority],MATCH(Table_NFI[[#This Row],[Pcode]],CampList[CP_Pcode],0)-1,0,1,1))</f>
        <v/>
      </c>
      <c r="AU812" s="263" t="str">
        <f>IFERROR(Table_NFI[[#This Row],[Kitchen Set]]/VLOOKUP(Table_NFI[[#This Row],[Camp Name]],CL,4,0),"")</f>
        <v/>
      </c>
      <c r="AV812" s="390" t="s">
        <v>1087</v>
      </c>
      <c r="AW812" s="392"/>
      <c r="AX812" s="399"/>
      <c r="AY812" s="399"/>
      <c r="AZ812" s="399"/>
      <c r="BA812" s="399"/>
      <c r="BB812" s="399"/>
      <c r="BC812" s="399"/>
      <c r="BD812" s="399"/>
      <c r="BE812" s="399"/>
      <c r="BF812" s="399"/>
      <c r="BG812" s="399"/>
      <c r="BH812" s="399"/>
      <c r="BI812" s="399"/>
      <c r="BJ812" s="399"/>
      <c r="BK812" s="399"/>
      <c r="BL812" s="399"/>
      <c r="BM812" s="399"/>
      <c r="BN812" s="399"/>
      <c r="BO812" s="399"/>
      <c r="BP812" s="399"/>
      <c r="BQ812" s="399"/>
      <c r="BR812" s="399"/>
      <c r="BS812" s="399"/>
      <c r="BT812" s="399"/>
      <c r="BU812" s="399"/>
      <c r="BV812" s="399"/>
      <c r="BW812" s="399"/>
      <c r="BX812" s="399"/>
      <c r="BY812" s="399"/>
      <c r="BZ812" s="399"/>
      <c r="CA812" s="399"/>
      <c r="CB812" s="399"/>
      <c r="CC812" s="399"/>
      <c r="CD812" s="399"/>
      <c r="CE812" s="399"/>
      <c r="CF812" s="399"/>
      <c r="CG812" s="399"/>
      <c r="CH812" s="399"/>
      <c r="CI812" s="399"/>
      <c r="CJ812" s="399"/>
      <c r="CK812" s="399"/>
      <c r="CL812" s="399"/>
      <c r="CM812" s="399"/>
      <c r="CN812" s="399"/>
      <c r="CO812" s="399"/>
      <c r="CP812" s="399"/>
      <c r="CQ812" s="399"/>
      <c r="CR812" s="399"/>
      <c r="CS812" s="399"/>
      <c r="CT812" s="399"/>
      <c r="CU812" s="399"/>
      <c r="CV812" s="399"/>
      <c r="CW812" s="399"/>
      <c r="CX812" s="399"/>
      <c r="CY812" s="399"/>
      <c r="CZ812" s="399"/>
      <c r="DA812" s="399"/>
      <c r="DB812" s="399"/>
      <c r="DC812" s="399"/>
      <c r="DD812" s="399"/>
      <c r="DE812" s="399"/>
      <c r="DF812" s="399"/>
      <c r="DG812" s="399"/>
      <c r="DH812" s="399"/>
      <c r="DI812" s="399"/>
      <c r="DJ812" s="399"/>
      <c r="DK812" s="399"/>
      <c r="DL812" s="399"/>
      <c r="DM812" s="399"/>
      <c r="DN812" s="399"/>
      <c r="DO812" s="399"/>
      <c r="DP812" s="399"/>
      <c r="DQ812" s="399"/>
    </row>
    <row r="813" spans="1:121" s="760" customFormat="1" ht="14.45" customHeight="1" x14ac:dyDescent="0.25">
      <c r="A813" s="266">
        <f t="shared" si="12"/>
        <v>51.06666666666667</v>
      </c>
      <c r="B813" s="389">
        <v>41324</v>
      </c>
      <c r="C813" s="390" t="s">
        <v>451</v>
      </c>
      <c r="D813" s="390" t="s">
        <v>451</v>
      </c>
      <c r="E813" s="390" t="s">
        <v>380</v>
      </c>
      <c r="F813" s="262" t="s">
        <v>526</v>
      </c>
      <c r="G813" s="262" t="s">
        <v>39</v>
      </c>
      <c r="H813" s="261"/>
      <c r="I813" s="261"/>
      <c r="J813" s="261">
        <v>1</v>
      </c>
      <c r="K813" s="261">
        <v>6</v>
      </c>
      <c r="L813" s="261">
        <v>3</v>
      </c>
      <c r="M813" s="261">
        <v>15</v>
      </c>
      <c r="N813" s="261">
        <v>4</v>
      </c>
      <c r="O813" s="261">
        <v>4</v>
      </c>
      <c r="P813" s="261">
        <v>4</v>
      </c>
      <c r="Q813" s="261">
        <v>4</v>
      </c>
      <c r="R813" s="261"/>
      <c r="S813" s="261"/>
      <c r="T813" s="261"/>
      <c r="U813" s="261"/>
      <c r="V813" s="762"/>
      <c r="W813" s="261"/>
      <c r="X813" s="261"/>
      <c r="Y813" s="264">
        <f>IF(NFI_Expiration=1,IF($A813&lt;VLOOKUP(H$5,NFI,5,0),1,0)*Table_NFI[[#This Row],[Hygiene Kit]],Table_NFI[Hygiene Kit])</f>
        <v>0</v>
      </c>
      <c r="Z813" s="264">
        <f>IF(NFI_Expiration=1,IF($A813&lt;VLOOKUP(I$5,NFI,5,0),1,0)*Table_NFI[[#This Row],[NFI Core Kit]],Table_NFI[NFI Core Kit])</f>
        <v>0</v>
      </c>
      <c r="AA813" s="264">
        <f>IF(NFI_Expiration=1,IF($A813&lt;VLOOKUP(J$5,NFI,5,0),1,0)*Table_NFI[[#This Row],[Sanitary Kit]],Table_NFI[Sanitary Kit])</f>
        <v>0</v>
      </c>
      <c r="AB813" s="264">
        <f>IF(NFI_Expiration=1,IF($A813&lt;VLOOKUP(K$5,NFI,5,0),1,0)*Table_NFI[[#This Row],[Mosquito net]],Table_NFI[Mosquito net])</f>
        <v>0</v>
      </c>
      <c r="AC813" s="264">
        <f>IF(NFI_Expiration=1,IF($A813&lt;VLOOKUP(L$5,NFI,5,0),1,0)*Table_NFI[[#This Row],[Tarpaulin]],Table_NFI[[#This Row],[Tarpaulin]])</f>
        <v>0</v>
      </c>
      <c r="AD813" s="264">
        <f>IF(NFI_Expiration=1,IF($A813&lt;VLOOKUP(M$5,NFI,5,0),1,0)*Table_NFI[[#This Row],[Blanket]],Table_NFI[[#This Row],[Blanket]])</f>
        <v>0</v>
      </c>
      <c r="AE813" s="264">
        <f>IF(NFI_Expiration=1,IF($A813&lt;VLOOKUP(N$5,NFI,5,0),1,0)*Table_NFI[[#This Row],[Kitchen Set]],Table_NFI[Kitchen Set])</f>
        <v>0</v>
      </c>
      <c r="AF813" s="264">
        <f>IF(NFI_Expiration=1,IF($A813&lt;VLOOKUP(O$5,NFI,5,0),1,0)*Table_NFI[[#This Row],[Clothes Kit]],Table_NFI[Clothes Kit])</f>
        <v>0</v>
      </c>
      <c r="AG813" s="264">
        <f>IF(NFI_Expiration=1,IF($A813&lt;VLOOKUP(P$5,NFI,5,0),1,0)*Table_NFI[[#This Row],[Plastic Bucket]],Table_NFI[Plastic Bucket])</f>
        <v>0</v>
      </c>
      <c r="AH813" s="264">
        <f>IF(NFI_Expiration=1,IF($A813&lt;VLOOKUP(Q$5,NFI,5,0),1,0)*Table_NFI[[#This Row],[Plastic Mat]],Table_NFI[Plastic Mat])*IF(Table_NFI[[#This Row],[Distribution Date]]&gt;"2014-04-01",1,2.5)</f>
        <v>0</v>
      </c>
      <c r="AI813" s="264">
        <f>IF(NFI_Expiration=1,IF($A813&lt;VLOOKUP(R$5,NFI,5,0),1,0)*Table_NFI[[#This Row],[Winter Clothes Adult]],Table_NFI[Winter Clothes Adult])</f>
        <v>0</v>
      </c>
      <c r="AJ813" s="264">
        <f>IF(NFI_Expiration=1,IF($A813&lt;VLOOKUP(S$5,NFI,5,0),1,0)*Table_NFI[[#This Row],[Winter Clothes Children]],Table_NFI[Winter Clothes Children])</f>
        <v>0</v>
      </c>
      <c r="AK813" s="264">
        <f>IF(NFI_Expiration=1,IF($A813&lt;VLOOKUP(T$5,NFI,5,0),1,0)*Table_NFI[[#This Row],[Winter Items Other]],Table_NFI[Winter Items Other])</f>
        <v>0</v>
      </c>
      <c r="AL813" s="264">
        <f>IF(NFI_Expiration=1,IF($A813&lt;VLOOKUP(M$5,NFI,5,0),1,0)*Table_NFI[[#This Row],[Winter Blanket]],Table_NFI[[#This Row],[Winter Blanket]])</f>
        <v>0</v>
      </c>
      <c r="AM813" s="264">
        <f>IF(Table_NFI[[#This Row],[Winter Clothes Adult]]+Table_NFI[[#This Row],[Winter Clothes Children]]+Table_NFI[[#This Row],[Winter Items Other]]+Table_NFI[[#This Row],[Winter Blanket]]&gt;0,1,0)</f>
        <v>0</v>
      </c>
      <c r="AN813" s="296">
        <f>IF(NFI_Expiration=1,IF($A813&lt;VLOOKUP(V$5,NFI,5,0),1,0)*Table_NFI[[#This Row],[Jerry Can]],Table_NFI[Jerry Can])</f>
        <v>0</v>
      </c>
      <c r="AO813" s="296">
        <f>IF(NFI_Expiration=1,IF($A813&lt;VLOOKUP(V$5,NFI,5,0),1,0)*Table_NFI[[#This Row],[Shelter Tool kit]],Table_NFI[Shelter Tool kit])</f>
        <v>0</v>
      </c>
      <c r="AP813" s="296">
        <f>IF(NFI_Expiration=1,IF($A813&lt;VLOOKUP(V$5,NFI,5,0),1,0)*Table_NFI[[#This Row],[Tent]],Table_NFI[Tent])</f>
        <v>0</v>
      </c>
      <c r="AQ813" s="396" t="str">
        <f>IFERROR(VLOOKUP(Table_NFI[[#This Row],[Camp Name]],CL,2,0),"")</f>
        <v>MMR001CMP173</v>
      </c>
      <c r="AR813" s="702">
        <f ca="1">IF(Table_NFI[[#This Row],[Pcode]]="","",IF(OFFSET(CampList[Opening Date],MATCH(Table_NFI[[#This Row],[Pcode]],CampList[CP_Pcode],0)-1,0,1,1)&gt;=NFI_Monitor_Date,1,0))</f>
        <v>0</v>
      </c>
      <c r="AS813" s="396" t="str">
        <f>IFERROR(VLOOKUP(Table_NFI[[#This Row],[Camp Name]],CL,3,0),"")</f>
        <v>Closed</v>
      </c>
      <c r="AT813" s="264" t="str">
        <f ca="1">IF(Table_NFI[[#This Row],[Pcode]]="","",OFFSET(CampList[Priority],MATCH(Table_NFI[[#This Row],[Pcode]],CampList[CP_Pcode],0)-1,0,1,1))</f>
        <v/>
      </c>
      <c r="AU813" s="263" t="str">
        <f>IFERROR(Table_NFI[[#This Row],[Kitchen Set]]/VLOOKUP(Table_NFI[[#This Row],[Camp Name]],CL,4,0),"")</f>
        <v/>
      </c>
      <c r="AV813" s="390" t="s">
        <v>1087</v>
      </c>
      <c r="AW813" s="392"/>
      <c r="AX813" s="399"/>
      <c r="AY813" s="399"/>
      <c r="AZ813" s="399"/>
      <c r="BA813" s="399"/>
      <c r="BB813" s="399"/>
      <c r="BC813" s="399"/>
      <c r="BD813" s="399"/>
      <c r="BE813" s="399"/>
      <c r="BF813" s="399"/>
      <c r="BG813" s="399"/>
      <c r="BH813" s="399"/>
      <c r="BI813" s="399"/>
      <c r="BJ813" s="399"/>
      <c r="BK813" s="399"/>
      <c r="BL813" s="399"/>
      <c r="BM813" s="399"/>
      <c r="BN813" s="399"/>
      <c r="BO813" s="399"/>
      <c r="BP813" s="399"/>
      <c r="BQ813" s="399"/>
      <c r="BR813" s="399"/>
      <c r="BS813" s="399"/>
      <c r="BT813" s="399"/>
      <c r="BU813" s="399"/>
      <c r="BV813" s="399"/>
      <c r="BW813" s="399"/>
      <c r="BX813" s="399"/>
      <c r="BY813" s="399"/>
      <c r="BZ813" s="399"/>
      <c r="CA813" s="399"/>
      <c r="CB813" s="399"/>
      <c r="CC813" s="399"/>
      <c r="CD813" s="399"/>
      <c r="CE813" s="399"/>
      <c r="CF813" s="399"/>
      <c r="CG813" s="399"/>
      <c r="CH813" s="399"/>
      <c r="CI813" s="399"/>
      <c r="CJ813" s="399"/>
      <c r="CK813" s="399"/>
      <c r="CL813" s="399"/>
      <c r="CM813" s="399"/>
      <c r="CN813" s="399"/>
      <c r="CO813" s="399"/>
      <c r="CP813" s="399"/>
      <c r="CQ813" s="399"/>
      <c r="CR813" s="399"/>
      <c r="CS813" s="399"/>
      <c r="CT813" s="399"/>
      <c r="CU813" s="399"/>
      <c r="CV813" s="399"/>
      <c r="CW813" s="399"/>
      <c r="CX813" s="399"/>
      <c r="CY813" s="399"/>
      <c r="CZ813" s="399"/>
      <c r="DA813" s="399"/>
      <c r="DB813" s="399"/>
      <c r="DC813" s="399"/>
      <c r="DD813" s="399"/>
      <c r="DE813" s="399"/>
      <c r="DF813" s="399"/>
      <c r="DG813" s="399"/>
      <c r="DH813" s="399"/>
      <c r="DI813" s="399"/>
      <c r="DJ813" s="399"/>
      <c r="DK813" s="399"/>
      <c r="DL813" s="399"/>
      <c r="DM813" s="399"/>
      <c r="DN813" s="399"/>
      <c r="DO813" s="399"/>
      <c r="DP813" s="399"/>
      <c r="DQ813" s="399"/>
    </row>
    <row r="814" spans="1:121" s="760" customFormat="1" ht="14.45" customHeight="1" x14ac:dyDescent="0.25">
      <c r="A814" s="266">
        <f t="shared" si="12"/>
        <v>51.06666666666667</v>
      </c>
      <c r="B814" s="389">
        <v>41324</v>
      </c>
      <c r="C814" s="390" t="s">
        <v>451</v>
      </c>
      <c r="D814" s="390" t="s">
        <v>451</v>
      </c>
      <c r="E814" s="390" t="s">
        <v>380</v>
      </c>
      <c r="F814" s="262" t="s">
        <v>526</v>
      </c>
      <c r="G814" s="262" t="s">
        <v>39</v>
      </c>
      <c r="H814" s="261"/>
      <c r="I814" s="261"/>
      <c r="J814" s="261">
        <v>92</v>
      </c>
      <c r="K814" s="261">
        <v>130</v>
      </c>
      <c r="L814" s="261">
        <v>67</v>
      </c>
      <c r="M814" s="261">
        <v>130</v>
      </c>
      <c r="N814" s="261">
        <v>67</v>
      </c>
      <c r="O814" s="261">
        <v>67</v>
      </c>
      <c r="P814" s="261">
        <v>67</v>
      </c>
      <c r="Q814" s="261">
        <v>67</v>
      </c>
      <c r="R814" s="261"/>
      <c r="S814" s="261"/>
      <c r="T814" s="261"/>
      <c r="U814" s="261"/>
      <c r="V814" s="762"/>
      <c r="W814" s="261"/>
      <c r="X814" s="261"/>
      <c r="Y814" s="264">
        <f>IF(NFI_Expiration=1,IF($A814&lt;VLOOKUP(H$5,NFI,5,0),1,0)*Table_NFI[[#This Row],[Hygiene Kit]],Table_NFI[Hygiene Kit])</f>
        <v>0</v>
      </c>
      <c r="Z814" s="264">
        <f>IF(NFI_Expiration=1,IF($A814&lt;VLOOKUP(I$5,NFI,5,0),1,0)*Table_NFI[[#This Row],[NFI Core Kit]],Table_NFI[NFI Core Kit])</f>
        <v>0</v>
      </c>
      <c r="AA814" s="264">
        <f>IF(NFI_Expiration=1,IF($A814&lt;VLOOKUP(J$5,NFI,5,0),1,0)*Table_NFI[[#This Row],[Sanitary Kit]],Table_NFI[Sanitary Kit])</f>
        <v>0</v>
      </c>
      <c r="AB814" s="264">
        <f>IF(NFI_Expiration=1,IF($A814&lt;VLOOKUP(K$5,NFI,5,0),1,0)*Table_NFI[[#This Row],[Mosquito net]],Table_NFI[Mosquito net])</f>
        <v>0</v>
      </c>
      <c r="AC814" s="264">
        <f>IF(NFI_Expiration=1,IF($A814&lt;VLOOKUP(L$5,NFI,5,0),1,0)*Table_NFI[[#This Row],[Tarpaulin]],Table_NFI[[#This Row],[Tarpaulin]])</f>
        <v>0</v>
      </c>
      <c r="AD814" s="264">
        <f>IF(NFI_Expiration=1,IF($A814&lt;VLOOKUP(M$5,NFI,5,0),1,0)*Table_NFI[[#This Row],[Blanket]],Table_NFI[[#This Row],[Blanket]])</f>
        <v>0</v>
      </c>
      <c r="AE814" s="264">
        <f>IF(NFI_Expiration=1,IF($A814&lt;VLOOKUP(N$5,NFI,5,0),1,0)*Table_NFI[[#This Row],[Kitchen Set]],Table_NFI[Kitchen Set])</f>
        <v>0</v>
      </c>
      <c r="AF814" s="264">
        <f>IF(NFI_Expiration=1,IF($A814&lt;VLOOKUP(O$5,NFI,5,0),1,0)*Table_NFI[[#This Row],[Clothes Kit]],Table_NFI[Clothes Kit])</f>
        <v>0</v>
      </c>
      <c r="AG814" s="264">
        <f>IF(NFI_Expiration=1,IF($A814&lt;VLOOKUP(P$5,NFI,5,0),1,0)*Table_NFI[[#This Row],[Plastic Bucket]],Table_NFI[Plastic Bucket])</f>
        <v>0</v>
      </c>
      <c r="AH814" s="264">
        <f>IF(NFI_Expiration=1,IF($A814&lt;VLOOKUP(Q$5,NFI,5,0),1,0)*Table_NFI[[#This Row],[Plastic Mat]],Table_NFI[Plastic Mat])*IF(Table_NFI[[#This Row],[Distribution Date]]&gt;"2014-04-01",1,2.5)</f>
        <v>0</v>
      </c>
      <c r="AI814" s="264">
        <f>IF(NFI_Expiration=1,IF($A814&lt;VLOOKUP(R$5,NFI,5,0),1,0)*Table_NFI[[#This Row],[Winter Clothes Adult]],Table_NFI[Winter Clothes Adult])</f>
        <v>0</v>
      </c>
      <c r="AJ814" s="264">
        <f>IF(NFI_Expiration=1,IF($A814&lt;VLOOKUP(S$5,NFI,5,0),1,0)*Table_NFI[[#This Row],[Winter Clothes Children]],Table_NFI[Winter Clothes Children])</f>
        <v>0</v>
      </c>
      <c r="AK814" s="264">
        <f>IF(NFI_Expiration=1,IF($A814&lt;VLOOKUP(T$5,NFI,5,0),1,0)*Table_NFI[[#This Row],[Winter Items Other]],Table_NFI[Winter Items Other])</f>
        <v>0</v>
      </c>
      <c r="AL814" s="264">
        <f>IF(NFI_Expiration=1,IF($A814&lt;VLOOKUP(M$5,NFI,5,0),1,0)*Table_NFI[[#This Row],[Winter Blanket]],Table_NFI[[#This Row],[Winter Blanket]])</f>
        <v>0</v>
      </c>
      <c r="AM814" s="264">
        <f>IF(Table_NFI[[#This Row],[Winter Clothes Adult]]+Table_NFI[[#This Row],[Winter Clothes Children]]+Table_NFI[[#This Row],[Winter Items Other]]+Table_NFI[[#This Row],[Winter Blanket]]&gt;0,1,0)</f>
        <v>0</v>
      </c>
      <c r="AN814" s="296">
        <f>IF(NFI_Expiration=1,IF($A814&lt;VLOOKUP(V$5,NFI,5,0),1,0)*Table_NFI[[#This Row],[Jerry Can]],Table_NFI[Jerry Can])</f>
        <v>0</v>
      </c>
      <c r="AO814" s="296">
        <f>IF(NFI_Expiration=1,IF($A814&lt;VLOOKUP(V$5,NFI,5,0),1,0)*Table_NFI[[#This Row],[Shelter Tool kit]],Table_NFI[Shelter Tool kit])</f>
        <v>0</v>
      </c>
      <c r="AP814" s="296">
        <f>IF(NFI_Expiration=1,IF($A814&lt;VLOOKUP(V$5,NFI,5,0),1,0)*Table_NFI[[#This Row],[Tent]],Table_NFI[Tent])</f>
        <v>0</v>
      </c>
      <c r="AQ814" s="396" t="str">
        <f>IFERROR(VLOOKUP(Table_NFI[[#This Row],[Camp Name]],CL,2,0),"")</f>
        <v>MMR001CMP173</v>
      </c>
      <c r="AR814" s="702">
        <f ca="1">IF(Table_NFI[[#This Row],[Pcode]]="","",IF(OFFSET(CampList[Opening Date],MATCH(Table_NFI[[#This Row],[Pcode]],CampList[CP_Pcode],0)-1,0,1,1)&gt;=NFI_Monitor_Date,1,0))</f>
        <v>0</v>
      </c>
      <c r="AS814" s="396" t="str">
        <f>IFERROR(VLOOKUP(Table_NFI[[#This Row],[Camp Name]],CL,3,0),"")</f>
        <v>Closed</v>
      </c>
      <c r="AT814" s="264" t="str">
        <f ca="1">IF(Table_NFI[[#This Row],[Pcode]]="","",OFFSET(CampList[Priority],MATCH(Table_NFI[[#This Row],[Pcode]],CampList[CP_Pcode],0)-1,0,1,1))</f>
        <v/>
      </c>
      <c r="AU814" s="263" t="str">
        <f>IFERROR(Table_NFI[[#This Row],[Kitchen Set]]/VLOOKUP(Table_NFI[[#This Row],[Camp Name]],CL,4,0),"")</f>
        <v/>
      </c>
      <c r="AV814" s="390" t="s">
        <v>1087</v>
      </c>
      <c r="AW814" s="392"/>
      <c r="AX814" s="399"/>
      <c r="AY814" s="399"/>
      <c r="AZ814" s="399"/>
      <c r="BA814" s="399"/>
      <c r="BB814" s="399"/>
      <c r="BC814" s="399"/>
      <c r="BD814" s="399"/>
      <c r="BE814" s="399"/>
      <c r="BF814" s="399"/>
      <c r="BG814" s="399"/>
      <c r="BH814" s="399"/>
      <c r="BI814" s="399"/>
      <c r="BJ814" s="399"/>
      <c r="BK814" s="399"/>
      <c r="BL814" s="399"/>
      <c r="BM814" s="399"/>
      <c r="BN814" s="399"/>
      <c r="BO814" s="399"/>
      <c r="BP814" s="399"/>
      <c r="BQ814" s="399"/>
      <c r="BR814" s="399"/>
      <c r="BS814" s="399"/>
      <c r="BT814" s="399"/>
      <c r="BU814" s="399"/>
      <c r="BV814" s="399"/>
      <c r="BW814" s="399"/>
      <c r="BX814" s="399"/>
      <c r="BY814" s="399"/>
      <c r="BZ814" s="399"/>
      <c r="CA814" s="399"/>
      <c r="CB814" s="399"/>
      <c r="CC814" s="399"/>
      <c r="CD814" s="399"/>
      <c r="CE814" s="399"/>
      <c r="CF814" s="399"/>
      <c r="CG814" s="399"/>
      <c r="CH814" s="399"/>
      <c r="CI814" s="399"/>
      <c r="CJ814" s="399"/>
      <c r="CK814" s="399"/>
      <c r="CL814" s="399"/>
      <c r="CM814" s="399"/>
      <c r="CN814" s="399"/>
      <c r="CO814" s="399"/>
      <c r="CP814" s="399"/>
      <c r="CQ814" s="399"/>
      <c r="CR814" s="399"/>
      <c r="CS814" s="399"/>
      <c r="CT814" s="399"/>
      <c r="CU814" s="399"/>
      <c r="CV814" s="399"/>
      <c r="CW814" s="399"/>
      <c r="CX814" s="399"/>
      <c r="CY814" s="399"/>
      <c r="CZ814" s="399"/>
      <c r="DA814" s="399"/>
      <c r="DB814" s="399"/>
      <c r="DC814" s="399"/>
      <c r="DD814" s="399"/>
      <c r="DE814" s="399"/>
      <c r="DF814" s="399"/>
      <c r="DG814" s="399"/>
      <c r="DH814" s="399"/>
      <c r="DI814" s="399"/>
      <c r="DJ814" s="399"/>
      <c r="DK814" s="399"/>
      <c r="DL814" s="399"/>
      <c r="DM814" s="399"/>
      <c r="DN814" s="399"/>
      <c r="DO814" s="399"/>
      <c r="DP814" s="399"/>
      <c r="DQ814" s="399"/>
    </row>
    <row r="815" spans="1:121" s="760" customFormat="1" ht="14.45" customHeight="1" x14ac:dyDescent="0.25">
      <c r="A815" s="266">
        <f t="shared" si="12"/>
        <v>51.06666666666667</v>
      </c>
      <c r="B815" s="389">
        <v>41324</v>
      </c>
      <c r="C815" s="390" t="s">
        <v>451</v>
      </c>
      <c r="D815" s="391" t="s">
        <v>451</v>
      </c>
      <c r="E815" s="390" t="s">
        <v>380</v>
      </c>
      <c r="F815" s="262" t="s">
        <v>526</v>
      </c>
      <c r="G815" s="262" t="s">
        <v>48</v>
      </c>
      <c r="H815" s="261"/>
      <c r="I815" s="261"/>
      <c r="J815" s="261">
        <v>8</v>
      </c>
      <c r="K815" s="261">
        <v>16</v>
      </c>
      <c r="L815" s="261">
        <v>8</v>
      </c>
      <c r="M815" s="261">
        <v>16</v>
      </c>
      <c r="N815" s="261">
        <v>8</v>
      </c>
      <c r="O815" s="261">
        <v>8</v>
      </c>
      <c r="P815" s="261">
        <v>8</v>
      </c>
      <c r="Q815" s="261">
        <v>8</v>
      </c>
      <c r="R815" s="261"/>
      <c r="S815" s="261"/>
      <c r="T815" s="261"/>
      <c r="U815" s="261"/>
      <c r="V815" s="762"/>
      <c r="W815" s="261"/>
      <c r="X815" s="261"/>
      <c r="Y815" s="264">
        <f>IF(NFI_Expiration=1,IF($A815&lt;VLOOKUP(H$5,NFI,5,0),1,0)*Table_NFI[[#This Row],[Hygiene Kit]],Table_NFI[Hygiene Kit])</f>
        <v>0</v>
      </c>
      <c r="Z815" s="264">
        <f>IF(NFI_Expiration=1,IF($A815&lt;VLOOKUP(I$5,NFI,5,0),1,0)*Table_NFI[[#This Row],[NFI Core Kit]],Table_NFI[NFI Core Kit])</f>
        <v>0</v>
      </c>
      <c r="AA815" s="264">
        <f>IF(NFI_Expiration=1,IF($A815&lt;VLOOKUP(J$5,NFI,5,0),1,0)*Table_NFI[[#This Row],[Sanitary Kit]],Table_NFI[Sanitary Kit])</f>
        <v>0</v>
      </c>
      <c r="AB815" s="264">
        <f>IF(NFI_Expiration=1,IF($A815&lt;VLOOKUP(K$5,NFI,5,0),1,0)*Table_NFI[[#This Row],[Mosquito net]],Table_NFI[Mosquito net])</f>
        <v>0</v>
      </c>
      <c r="AC815" s="264">
        <f>IF(NFI_Expiration=1,IF($A815&lt;VLOOKUP(L$5,NFI,5,0),1,0)*Table_NFI[[#This Row],[Tarpaulin]],Table_NFI[[#This Row],[Tarpaulin]])</f>
        <v>0</v>
      </c>
      <c r="AD815" s="264">
        <f>IF(NFI_Expiration=1,IF($A815&lt;VLOOKUP(M$5,NFI,5,0),1,0)*Table_NFI[[#This Row],[Blanket]],Table_NFI[[#This Row],[Blanket]])</f>
        <v>0</v>
      </c>
      <c r="AE815" s="264">
        <f>IF(NFI_Expiration=1,IF($A815&lt;VLOOKUP(N$5,NFI,5,0),1,0)*Table_NFI[[#This Row],[Kitchen Set]],Table_NFI[Kitchen Set])</f>
        <v>0</v>
      </c>
      <c r="AF815" s="264">
        <f>IF(NFI_Expiration=1,IF($A815&lt;VLOOKUP(O$5,NFI,5,0),1,0)*Table_NFI[[#This Row],[Clothes Kit]],Table_NFI[Clothes Kit])</f>
        <v>0</v>
      </c>
      <c r="AG815" s="264">
        <f>IF(NFI_Expiration=1,IF($A815&lt;VLOOKUP(P$5,NFI,5,0),1,0)*Table_NFI[[#This Row],[Plastic Bucket]],Table_NFI[Plastic Bucket])</f>
        <v>0</v>
      </c>
      <c r="AH815" s="264">
        <f>IF(NFI_Expiration=1,IF($A815&lt;VLOOKUP(Q$5,NFI,5,0),1,0)*Table_NFI[[#This Row],[Plastic Mat]],Table_NFI[Plastic Mat])*IF(Table_NFI[[#This Row],[Distribution Date]]&gt;"2014-04-01",1,2.5)</f>
        <v>0</v>
      </c>
      <c r="AI815" s="264">
        <f>IF(NFI_Expiration=1,IF($A815&lt;VLOOKUP(R$5,NFI,5,0),1,0)*Table_NFI[[#This Row],[Winter Clothes Adult]],Table_NFI[Winter Clothes Adult])</f>
        <v>0</v>
      </c>
      <c r="AJ815" s="264">
        <f>IF(NFI_Expiration=1,IF($A815&lt;VLOOKUP(S$5,NFI,5,0),1,0)*Table_NFI[[#This Row],[Winter Clothes Children]],Table_NFI[Winter Clothes Children])</f>
        <v>0</v>
      </c>
      <c r="AK815" s="264">
        <f>IF(NFI_Expiration=1,IF($A815&lt;VLOOKUP(T$5,NFI,5,0),1,0)*Table_NFI[[#This Row],[Winter Items Other]],Table_NFI[Winter Items Other])</f>
        <v>0</v>
      </c>
      <c r="AL815" s="264">
        <f>IF(NFI_Expiration=1,IF($A815&lt;VLOOKUP(M$5,NFI,5,0),1,0)*Table_NFI[[#This Row],[Winter Blanket]],Table_NFI[[#This Row],[Winter Blanket]])</f>
        <v>0</v>
      </c>
      <c r="AM815" s="264">
        <f>IF(Table_NFI[[#This Row],[Winter Clothes Adult]]+Table_NFI[[#This Row],[Winter Clothes Children]]+Table_NFI[[#This Row],[Winter Items Other]]+Table_NFI[[#This Row],[Winter Blanket]]&gt;0,1,0)</f>
        <v>0</v>
      </c>
      <c r="AN815" s="296">
        <f>IF(NFI_Expiration=1,IF($A815&lt;VLOOKUP(V$5,NFI,5,0),1,0)*Table_NFI[[#This Row],[Jerry Can]],Table_NFI[Jerry Can])</f>
        <v>0</v>
      </c>
      <c r="AO815" s="296">
        <f>IF(NFI_Expiration=1,IF($A815&lt;VLOOKUP(V$5,NFI,5,0),1,0)*Table_NFI[[#This Row],[Shelter Tool kit]],Table_NFI[Shelter Tool kit])</f>
        <v>0</v>
      </c>
      <c r="AP815" s="296">
        <f>IF(NFI_Expiration=1,IF($A815&lt;VLOOKUP(V$5,NFI,5,0),1,0)*Table_NFI[[#This Row],[Tent]],Table_NFI[Tent])</f>
        <v>0</v>
      </c>
      <c r="AQ815" s="396" t="str">
        <f>IFERROR(VLOOKUP(Table_NFI[[#This Row],[Camp Name]],CL,2,0),"")</f>
        <v>MMR001CMP170</v>
      </c>
      <c r="AR815" s="702">
        <f ca="1">IF(Table_NFI[[#This Row],[Pcode]]="","",IF(OFFSET(CampList[Opening Date],MATCH(Table_NFI[[#This Row],[Pcode]],CampList[CP_Pcode],0)-1,0,1,1)&gt;=NFI_Monitor_Date,1,0))</f>
        <v>0</v>
      </c>
      <c r="AS815" s="396" t="str">
        <f>IFERROR(VLOOKUP(Table_NFI[[#This Row],[Camp Name]],CL,3,0),"")</f>
        <v>Closed</v>
      </c>
      <c r="AT815" s="264" t="str">
        <f ca="1">IF(Table_NFI[[#This Row],[Pcode]]="","",OFFSET(CampList[Priority],MATCH(Table_NFI[[#This Row],[Pcode]],CampList[CP_Pcode],0)-1,0,1,1))</f>
        <v/>
      </c>
      <c r="AU815" s="263" t="str">
        <f>IFERROR(Table_NFI[[#This Row],[Kitchen Set]]/VLOOKUP(Table_NFI[[#This Row],[Camp Name]],CL,4,0),"")</f>
        <v/>
      </c>
      <c r="AV815" s="390" t="s">
        <v>1087</v>
      </c>
      <c r="AW815" s="392"/>
      <c r="AX815" s="399"/>
      <c r="AY815" s="399"/>
      <c r="AZ815" s="399"/>
      <c r="BA815" s="399"/>
      <c r="BB815" s="399"/>
      <c r="BC815" s="399"/>
      <c r="BD815" s="399"/>
      <c r="BE815" s="399"/>
      <c r="BF815" s="399"/>
      <c r="BG815" s="399"/>
      <c r="BH815" s="399"/>
      <c r="BI815" s="399"/>
      <c r="BJ815" s="399"/>
      <c r="BK815" s="399"/>
      <c r="BL815" s="399"/>
      <c r="BM815" s="399"/>
      <c r="BN815" s="399"/>
      <c r="BO815" s="399"/>
      <c r="BP815" s="399"/>
      <c r="BQ815" s="399"/>
      <c r="BR815" s="399"/>
      <c r="BS815" s="399"/>
      <c r="BT815" s="399"/>
      <c r="BU815" s="399"/>
      <c r="BV815" s="399"/>
      <c r="BW815" s="399"/>
      <c r="BX815" s="399"/>
      <c r="BY815" s="399"/>
      <c r="BZ815" s="399"/>
      <c r="CA815" s="399"/>
      <c r="CB815" s="399"/>
      <c r="CC815" s="399"/>
      <c r="CD815" s="399"/>
      <c r="CE815" s="399"/>
      <c r="CF815" s="399"/>
      <c r="CG815" s="399"/>
      <c r="CH815" s="399"/>
      <c r="CI815" s="399"/>
      <c r="CJ815" s="399"/>
      <c r="CK815" s="399"/>
      <c r="CL815" s="399"/>
      <c r="CM815" s="399"/>
      <c r="CN815" s="399"/>
      <c r="CO815" s="399"/>
      <c r="CP815" s="399"/>
      <c r="CQ815" s="399"/>
      <c r="CR815" s="399"/>
      <c r="CS815" s="399"/>
      <c r="CT815" s="399"/>
      <c r="CU815" s="399"/>
      <c r="CV815" s="399"/>
      <c r="CW815" s="399"/>
      <c r="CX815" s="399"/>
      <c r="CY815" s="399"/>
      <c r="CZ815" s="399"/>
      <c r="DA815" s="399"/>
      <c r="DB815" s="399"/>
      <c r="DC815" s="399"/>
      <c r="DD815" s="399"/>
      <c r="DE815" s="399"/>
      <c r="DF815" s="399"/>
      <c r="DG815" s="399"/>
      <c r="DH815" s="399"/>
      <c r="DI815" s="399"/>
      <c r="DJ815" s="399"/>
      <c r="DK815" s="399"/>
      <c r="DL815" s="399"/>
      <c r="DM815" s="399"/>
      <c r="DN815" s="399"/>
      <c r="DO815" s="399"/>
      <c r="DP815" s="399"/>
      <c r="DQ815" s="399"/>
    </row>
    <row r="816" spans="1:121" s="760" customFormat="1" ht="14.45" customHeight="1" x14ac:dyDescent="0.25">
      <c r="A816" s="266">
        <f t="shared" si="12"/>
        <v>51.06666666666667</v>
      </c>
      <c r="B816" s="389">
        <v>41324</v>
      </c>
      <c r="C816" s="390" t="s">
        <v>451</v>
      </c>
      <c r="D816" s="391" t="s">
        <v>451</v>
      </c>
      <c r="E816" s="390" t="s">
        <v>380</v>
      </c>
      <c r="F816" s="262" t="s">
        <v>526</v>
      </c>
      <c r="G816" s="262" t="s">
        <v>98</v>
      </c>
      <c r="H816" s="261"/>
      <c r="I816" s="261"/>
      <c r="J816" s="261">
        <v>9</v>
      </c>
      <c r="K816" s="261">
        <v>21</v>
      </c>
      <c r="L816" s="261">
        <v>9</v>
      </c>
      <c r="M816" s="261">
        <v>21</v>
      </c>
      <c r="N816" s="261">
        <v>9</v>
      </c>
      <c r="O816" s="261">
        <v>9</v>
      </c>
      <c r="P816" s="261">
        <v>9</v>
      </c>
      <c r="Q816" s="261">
        <v>9</v>
      </c>
      <c r="R816" s="261"/>
      <c r="S816" s="261"/>
      <c r="T816" s="261"/>
      <c r="U816" s="261"/>
      <c r="V816" s="762"/>
      <c r="W816" s="261"/>
      <c r="X816" s="261"/>
      <c r="Y816" s="264">
        <f>IF(NFI_Expiration=1,IF($A816&lt;VLOOKUP(H$5,NFI,5,0),1,0)*Table_NFI[[#This Row],[Hygiene Kit]],Table_NFI[Hygiene Kit])</f>
        <v>0</v>
      </c>
      <c r="Z816" s="264">
        <f>IF(NFI_Expiration=1,IF($A816&lt;VLOOKUP(I$5,NFI,5,0),1,0)*Table_NFI[[#This Row],[NFI Core Kit]],Table_NFI[NFI Core Kit])</f>
        <v>0</v>
      </c>
      <c r="AA816" s="264">
        <f>IF(NFI_Expiration=1,IF($A816&lt;VLOOKUP(J$5,NFI,5,0),1,0)*Table_NFI[[#This Row],[Sanitary Kit]],Table_NFI[Sanitary Kit])</f>
        <v>0</v>
      </c>
      <c r="AB816" s="264">
        <f>IF(NFI_Expiration=1,IF($A816&lt;VLOOKUP(K$5,NFI,5,0),1,0)*Table_NFI[[#This Row],[Mosquito net]],Table_NFI[Mosquito net])</f>
        <v>0</v>
      </c>
      <c r="AC816" s="264">
        <f>IF(NFI_Expiration=1,IF($A816&lt;VLOOKUP(L$5,NFI,5,0),1,0)*Table_NFI[[#This Row],[Tarpaulin]],Table_NFI[[#This Row],[Tarpaulin]])</f>
        <v>0</v>
      </c>
      <c r="AD816" s="264">
        <f>IF(NFI_Expiration=1,IF($A816&lt;VLOOKUP(M$5,NFI,5,0),1,0)*Table_NFI[[#This Row],[Blanket]],Table_NFI[[#This Row],[Blanket]])</f>
        <v>0</v>
      </c>
      <c r="AE816" s="264">
        <f>IF(NFI_Expiration=1,IF($A816&lt;VLOOKUP(N$5,NFI,5,0),1,0)*Table_NFI[[#This Row],[Kitchen Set]],Table_NFI[Kitchen Set])</f>
        <v>0</v>
      </c>
      <c r="AF816" s="264">
        <f>IF(NFI_Expiration=1,IF($A816&lt;VLOOKUP(O$5,NFI,5,0),1,0)*Table_NFI[[#This Row],[Clothes Kit]],Table_NFI[Clothes Kit])</f>
        <v>0</v>
      </c>
      <c r="AG816" s="264">
        <f>IF(NFI_Expiration=1,IF($A816&lt;VLOOKUP(P$5,NFI,5,0),1,0)*Table_NFI[[#This Row],[Plastic Bucket]],Table_NFI[Plastic Bucket])</f>
        <v>0</v>
      </c>
      <c r="AH816" s="264">
        <f>IF(NFI_Expiration=1,IF($A816&lt;VLOOKUP(Q$5,NFI,5,0),1,0)*Table_NFI[[#This Row],[Plastic Mat]],Table_NFI[Plastic Mat])*IF(Table_NFI[[#This Row],[Distribution Date]]&gt;"2014-04-01",1,2.5)</f>
        <v>0</v>
      </c>
      <c r="AI816" s="264">
        <f>IF(NFI_Expiration=1,IF($A816&lt;VLOOKUP(R$5,NFI,5,0),1,0)*Table_NFI[[#This Row],[Winter Clothes Adult]],Table_NFI[Winter Clothes Adult])</f>
        <v>0</v>
      </c>
      <c r="AJ816" s="264">
        <f>IF(NFI_Expiration=1,IF($A816&lt;VLOOKUP(S$5,NFI,5,0),1,0)*Table_NFI[[#This Row],[Winter Clothes Children]],Table_NFI[Winter Clothes Children])</f>
        <v>0</v>
      </c>
      <c r="AK816" s="264">
        <f>IF(NFI_Expiration=1,IF($A816&lt;VLOOKUP(T$5,NFI,5,0),1,0)*Table_NFI[[#This Row],[Winter Items Other]],Table_NFI[Winter Items Other])</f>
        <v>0</v>
      </c>
      <c r="AL816" s="264">
        <f>IF(NFI_Expiration=1,IF($A816&lt;VLOOKUP(M$5,NFI,5,0),1,0)*Table_NFI[[#This Row],[Winter Blanket]],Table_NFI[[#This Row],[Winter Blanket]])</f>
        <v>0</v>
      </c>
      <c r="AM816" s="264">
        <f>IF(Table_NFI[[#This Row],[Winter Clothes Adult]]+Table_NFI[[#This Row],[Winter Clothes Children]]+Table_NFI[[#This Row],[Winter Items Other]]+Table_NFI[[#This Row],[Winter Blanket]]&gt;0,1,0)</f>
        <v>0</v>
      </c>
      <c r="AN816" s="296">
        <f>IF(NFI_Expiration=1,IF($A816&lt;VLOOKUP(V$5,NFI,5,0),1,0)*Table_NFI[[#This Row],[Jerry Can]],Table_NFI[Jerry Can])</f>
        <v>0</v>
      </c>
      <c r="AO816" s="296">
        <f>IF(NFI_Expiration=1,IF($A816&lt;VLOOKUP(V$5,NFI,5,0),1,0)*Table_NFI[[#This Row],[Shelter Tool kit]],Table_NFI[Shelter Tool kit])</f>
        <v>0</v>
      </c>
      <c r="AP816" s="296">
        <f>IF(NFI_Expiration=1,IF($A816&lt;VLOOKUP(V$5,NFI,5,0),1,0)*Table_NFI[[#This Row],[Tent]],Table_NFI[Tent])</f>
        <v>0</v>
      </c>
      <c r="AQ816" s="396" t="str">
        <f>IFERROR(VLOOKUP(Table_NFI[[#This Row],[Camp Name]],CL,2,0),"")</f>
        <v>MMR001CMP178</v>
      </c>
      <c r="AR816" s="702">
        <f ca="1">IF(Table_NFI[[#This Row],[Pcode]]="","",IF(OFFSET(CampList[Opening Date],MATCH(Table_NFI[[#This Row],[Pcode]],CampList[CP_Pcode],0)-1,0,1,1)&gt;=NFI_Monitor_Date,1,0))</f>
        <v>0</v>
      </c>
      <c r="AS816" s="396" t="str">
        <f>IFERROR(VLOOKUP(Table_NFI[[#This Row],[Camp Name]],CL,3,0),"")</f>
        <v>Closed</v>
      </c>
      <c r="AT816" s="264" t="str">
        <f ca="1">IF(Table_NFI[[#This Row],[Pcode]]="","",OFFSET(CampList[Priority],MATCH(Table_NFI[[#This Row],[Pcode]],CampList[CP_Pcode],0)-1,0,1,1))</f>
        <v/>
      </c>
      <c r="AU816" s="263" t="str">
        <f>IFERROR(Table_NFI[[#This Row],[Kitchen Set]]/VLOOKUP(Table_NFI[[#This Row],[Camp Name]],CL,4,0),"")</f>
        <v/>
      </c>
      <c r="AV816" s="390" t="s">
        <v>1087</v>
      </c>
      <c r="AW816" s="392"/>
      <c r="AX816" s="399"/>
      <c r="AY816" s="399"/>
      <c r="AZ816" s="399"/>
      <c r="BA816" s="399"/>
      <c r="BB816" s="399"/>
      <c r="BC816" s="399"/>
      <c r="BD816" s="399"/>
      <c r="BE816" s="399"/>
      <c r="BF816" s="399"/>
      <c r="BG816" s="399"/>
      <c r="BH816" s="399"/>
      <c r="BI816" s="399"/>
      <c r="BJ816" s="399"/>
      <c r="BK816" s="399"/>
      <c r="BL816" s="399"/>
      <c r="BM816" s="399"/>
      <c r="BN816" s="399"/>
      <c r="BO816" s="399"/>
      <c r="BP816" s="399"/>
      <c r="BQ816" s="399"/>
      <c r="BR816" s="399"/>
      <c r="BS816" s="399"/>
      <c r="BT816" s="399"/>
      <c r="BU816" s="399"/>
      <c r="BV816" s="399"/>
      <c r="BW816" s="399"/>
      <c r="BX816" s="399"/>
      <c r="BY816" s="399"/>
      <c r="BZ816" s="399"/>
      <c r="CA816" s="399"/>
      <c r="CB816" s="399"/>
      <c r="CC816" s="399"/>
      <c r="CD816" s="399"/>
      <c r="CE816" s="399"/>
      <c r="CF816" s="399"/>
      <c r="CG816" s="399"/>
      <c r="CH816" s="399"/>
      <c r="CI816" s="399"/>
      <c r="CJ816" s="399"/>
      <c r="CK816" s="399"/>
      <c r="CL816" s="399"/>
      <c r="CM816" s="399"/>
      <c r="CN816" s="399"/>
      <c r="CO816" s="399"/>
      <c r="CP816" s="399"/>
      <c r="CQ816" s="399"/>
      <c r="CR816" s="399"/>
      <c r="CS816" s="399"/>
      <c r="CT816" s="399"/>
      <c r="CU816" s="399"/>
      <c r="CV816" s="399"/>
      <c r="CW816" s="399"/>
      <c r="CX816" s="399"/>
      <c r="CY816" s="399"/>
      <c r="CZ816" s="399"/>
      <c r="DA816" s="399"/>
      <c r="DB816" s="399"/>
      <c r="DC816" s="399"/>
      <c r="DD816" s="399"/>
      <c r="DE816" s="399"/>
      <c r="DF816" s="399"/>
      <c r="DG816" s="399"/>
      <c r="DH816" s="399"/>
      <c r="DI816" s="399"/>
      <c r="DJ816" s="399"/>
      <c r="DK816" s="399"/>
      <c r="DL816" s="399"/>
      <c r="DM816" s="399"/>
      <c r="DN816" s="399"/>
      <c r="DO816" s="399"/>
      <c r="DP816" s="399"/>
      <c r="DQ816" s="399"/>
    </row>
    <row r="817" spans="1:121" s="760" customFormat="1" ht="15" customHeight="1" x14ac:dyDescent="0.25">
      <c r="A817" s="266">
        <f t="shared" si="12"/>
        <v>51.06666666666667</v>
      </c>
      <c r="B817" s="389">
        <v>41324</v>
      </c>
      <c r="C817" s="390" t="s">
        <v>451</v>
      </c>
      <c r="D817" s="391" t="s">
        <v>451</v>
      </c>
      <c r="E817" s="390" t="s">
        <v>380</v>
      </c>
      <c r="F817" s="262" t="s">
        <v>526</v>
      </c>
      <c r="G817" s="262" t="s">
        <v>74</v>
      </c>
      <c r="H817" s="261"/>
      <c r="I817" s="261"/>
      <c r="J817" s="261">
        <v>2</v>
      </c>
      <c r="K817" s="261">
        <v>3</v>
      </c>
      <c r="L817" s="261">
        <v>2</v>
      </c>
      <c r="M817" s="261">
        <v>7</v>
      </c>
      <c r="N817" s="261">
        <v>2</v>
      </c>
      <c r="O817" s="261">
        <v>2</v>
      </c>
      <c r="P817" s="261">
        <v>2</v>
      </c>
      <c r="Q817" s="261">
        <v>2</v>
      </c>
      <c r="R817" s="261"/>
      <c r="S817" s="261"/>
      <c r="T817" s="261"/>
      <c r="U817" s="261"/>
      <c r="V817" s="762"/>
      <c r="W817" s="261"/>
      <c r="X817" s="261"/>
      <c r="Y817" s="264">
        <f>IF(NFI_Expiration=1,IF($A817&lt;VLOOKUP(H$5,NFI,5,0),1,0)*Table_NFI[[#This Row],[Hygiene Kit]],Table_NFI[Hygiene Kit])</f>
        <v>0</v>
      </c>
      <c r="Z817" s="264">
        <f>IF(NFI_Expiration=1,IF($A817&lt;VLOOKUP(I$5,NFI,5,0),1,0)*Table_NFI[[#This Row],[NFI Core Kit]],Table_NFI[NFI Core Kit])</f>
        <v>0</v>
      </c>
      <c r="AA817" s="264">
        <f>IF(NFI_Expiration=1,IF($A817&lt;VLOOKUP(J$5,NFI,5,0),1,0)*Table_NFI[[#This Row],[Sanitary Kit]],Table_NFI[Sanitary Kit])</f>
        <v>0</v>
      </c>
      <c r="AB817" s="264">
        <f>IF(NFI_Expiration=1,IF($A817&lt;VLOOKUP(K$5,NFI,5,0),1,0)*Table_NFI[[#This Row],[Mosquito net]],Table_NFI[Mosquito net])</f>
        <v>0</v>
      </c>
      <c r="AC817" s="264">
        <f>IF(NFI_Expiration=1,IF($A817&lt;VLOOKUP(L$5,NFI,5,0),1,0)*Table_NFI[[#This Row],[Tarpaulin]],Table_NFI[[#This Row],[Tarpaulin]])</f>
        <v>0</v>
      </c>
      <c r="AD817" s="264">
        <f>IF(NFI_Expiration=1,IF($A817&lt;VLOOKUP(M$5,NFI,5,0),1,0)*Table_NFI[[#This Row],[Blanket]],Table_NFI[[#This Row],[Blanket]])</f>
        <v>0</v>
      </c>
      <c r="AE817" s="264">
        <f>IF(NFI_Expiration=1,IF($A817&lt;VLOOKUP(N$5,NFI,5,0),1,0)*Table_NFI[[#This Row],[Kitchen Set]],Table_NFI[Kitchen Set])</f>
        <v>0</v>
      </c>
      <c r="AF817" s="264">
        <f>IF(NFI_Expiration=1,IF($A817&lt;VLOOKUP(O$5,NFI,5,0),1,0)*Table_NFI[[#This Row],[Clothes Kit]],Table_NFI[Clothes Kit])</f>
        <v>0</v>
      </c>
      <c r="AG817" s="264">
        <f>IF(NFI_Expiration=1,IF($A817&lt;VLOOKUP(P$5,NFI,5,0),1,0)*Table_NFI[[#This Row],[Plastic Bucket]],Table_NFI[Plastic Bucket])</f>
        <v>0</v>
      </c>
      <c r="AH817" s="264">
        <f>IF(NFI_Expiration=1,IF($A817&lt;VLOOKUP(Q$5,NFI,5,0),1,0)*Table_NFI[[#This Row],[Plastic Mat]],Table_NFI[Plastic Mat])*IF(Table_NFI[[#This Row],[Distribution Date]]&gt;"2014-04-01",1,2.5)</f>
        <v>0</v>
      </c>
      <c r="AI817" s="264">
        <f>IF(NFI_Expiration=1,IF($A817&lt;VLOOKUP(R$5,NFI,5,0),1,0)*Table_NFI[[#This Row],[Winter Clothes Adult]],Table_NFI[Winter Clothes Adult])</f>
        <v>0</v>
      </c>
      <c r="AJ817" s="264">
        <f>IF(NFI_Expiration=1,IF($A817&lt;VLOOKUP(S$5,NFI,5,0),1,0)*Table_NFI[[#This Row],[Winter Clothes Children]],Table_NFI[Winter Clothes Children])</f>
        <v>0</v>
      </c>
      <c r="AK817" s="264">
        <f>IF(NFI_Expiration=1,IF($A817&lt;VLOOKUP(T$5,NFI,5,0),1,0)*Table_NFI[[#This Row],[Winter Items Other]],Table_NFI[Winter Items Other])</f>
        <v>0</v>
      </c>
      <c r="AL817" s="264">
        <f>IF(NFI_Expiration=1,IF($A817&lt;VLOOKUP(M$5,NFI,5,0),1,0)*Table_NFI[[#This Row],[Winter Blanket]],Table_NFI[[#This Row],[Winter Blanket]])</f>
        <v>0</v>
      </c>
      <c r="AM817" s="264">
        <f>IF(Table_NFI[[#This Row],[Winter Clothes Adult]]+Table_NFI[[#This Row],[Winter Clothes Children]]+Table_NFI[[#This Row],[Winter Items Other]]+Table_NFI[[#This Row],[Winter Blanket]]&gt;0,1,0)</f>
        <v>0</v>
      </c>
      <c r="AN817" s="296">
        <f>IF(NFI_Expiration=1,IF($A817&lt;VLOOKUP(V$5,NFI,5,0),1,0)*Table_NFI[[#This Row],[Jerry Can]],Table_NFI[Jerry Can])</f>
        <v>0</v>
      </c>
      <c r="AO817" s="296">
        <f>IF(NFI_Expiration=1,IF($A817&lt;VLOOKUP(V$5,NFI,5,0),1,0)*Table_NFI[[#This Row],[Shelter Tool kit]],Table_NFI[Shelter Tool kit])</f>
        <v>0</v>
      </c>
      <c r="AP817" s="296">
        <f>IF(NFI_Expiration=1,IF($A817&lt;VLOOKUP(V$5,NFI,5,0),1,0)*Table_NFI[[#This Row],[Tent]],Table_NFI[Tent])</f>
        <v>0</v>
      </c>
      <c r="AQ817" s="396" t="str">
        <f>IFERROR(VLOOKUP(Table_NFI[[#This Row],[Camp Name]],CL,2,0),"")</f>
        <v>MMR001CMP175</v>
      </c>
      <c r="AR817" s="702">
        <f ca="1">IF(Table_NFI[[#This Row],[Pcode]]="","",IF(OFFSET(CampList[Opening Date],MATCH(Table_NFI[[#This Row],[Pcode]],CampList[CP_Pcode],0)-1,0,1,1)&gt;=NFI_Monitor_Date,1,0))</f>
        <v>0</v>
      </c>
      <c r="AS817" s="396" t="str">
        <f>IFERROR(VLOOKUP(Table_NFI[[#This Row],[Camp Name]],CL,3,0),"")</f>
        <v>Closed</v>
      </c>
      <c r="AT817" s="264" t="str">
        <f ca="1">IF(Table_NFI[[#This Row],[Pcode]]="","",OFFSET(CampList[Priority],MATCH(Table_NFI[[#This Row],[Pcode]],CampList[CP_Pcode],0)-1,0,1,1))</f>
        <v/>
      </c>
      <c r="AU817" s="263" t="str">
        <f>IFERROR(Table_NFI[[#This Row],[Kitchen Set]]/VLOOKUP(Table_NFI[[#This Row],[Camp Name]],CL,4,0),"")</f>
        <v/>
      </c>
      <c r="AV817" s="390" t="s">
        <v>1087</v>
      </c>
      <c r="AW817" s="392"/>
      <c r="AX817" s="399"/>
      <c r="AY817" s="399"/>
      <c r="AZ817" s="399"/>
      <c r="BA817" s="399"/>
      <c r="BB817" s="399"/>
      <c r="BC817" s="399"/>
      <c r="BD817" s="399"/>
      <c r="BE817" s="399"/>
      <c r="BF817" s="399"/>
      <c r="BG817" s="399"/>
      <c r="BH817" s="399"/>
      <c r="BI817" s="399"/>
      <c r="BJ817" s="399"/>
      <c r="BK817" s="399"/>
      <c r="BL817" s="399"/>
      <c r="BM817" s="399"/>
      <c r="BN817" s="399"/>
      <c r="BO817" s="399"/>
      <c r="BP817" s="399"/>
      <c r="BQ817" s="399"/>
      <c r="BR817" s="399"/>
      <c r="BS817" s="399"/>
      <c r="BT817" s="399"/>
      <c r="BU817" s="399"/>
      <c r="BV817" s="399"/>
      <c r="BW817" s="399"/>
      <c r="BX817" s="399"/>
      <c r="BY817" s="399"/>
      <c r="BZ817" s="399"/>
      <c r="CA817" s="399"/>
      <c r="CB817" s="399"/>
      <c r="CC817" s="399"/>
      <c r="CD817" s="399"/>
      <c r="CE817" s="399"/>
      <c r="CF817" s="399"/>
      <c r="CG817" s="399"/>
      <c r="CH817" s="399"/>
      <c r="CI817" s="399"/>
      <c r="CJ817" s="399"/>
      <c r="CK817" s="399"/>
      <c r="CL817" s="399"/>
      <c r="CM817" s="399"/>
      <c r="CN817" s="399"/>
      <c r="CO817" s="399"/>
      <c r="CP817" s="399"/>
      <c r="CQ817" s="399"/>
      <c r="CR817" s="399"/>
      <c r="CS817" s="399"/>
      <c r="CT817" s="399"/>
      <c r="CU817" s="399"/>
      <c r="CV817" s="399"/>
      <c r="CW817" s="399"/>
      <c r="CX817" s="399"/>
      <c r="CY817" s="399"/>
      <c r="CZ817" s="399"/>
      <c r="DA817" s="399"/>
      <c r="DB817" s="399"/>
      <c r="DC817" s="399"/>
      <c r="DD817" s="399"/>
      <c r="DE817" s="399"/>
      <c r="DF817" s="399"/>
      <c r="DG817" s="399"/>
      <c r="DH817" s="399"/>
      <c r="DI817" s="399"/>
      <c r="DJ817" s="399"/>
      <c r="DK817" s="399"/>
      <c r="DL817" s="399"/>
      <c r="DM817" s="399"/>
      <c r="DN817" s="399"/>
      <c r="DO817" s="399"/>
      <c r="DP817" s="399"/>
      <c r="DQ817" s="399"/>
    </row>
    <row r="818" spans="1:121" s="760" customFormat="1" ht="15" customHeight="1" x14ac:dyDescent="0.25">
      <c r="A818" s="266">
        <f t="shared" si="12"/>
        <v>51.1</v>
      </c>
      <c r="B818" s="389">
        <v>41323</v>
      </c>
      <c r="C818" s="390" t="s">
        <v>451</v>
      </c>
      <c r="D818" s="391" t="s">
        <v>451</v>
      </c>
      <c r="E818" s="390" t="s">
        <v>380</v>
      </c>
      <c r="F818" s="262" t="s">
        <v>526</v>
      </c>
      <c r="G818" s="262" t="s">
        <v>88</v>
      </c>
      <c r="H818" s="261"/>
      <c r="I818" s="261"/>
      <c r="J818" s="261">
        <v>30</v>
      </c>
      <c r="K818" s="261">
        <v>0</v>
      </c>
      <c r="L818" s="261">
        <v>0</v>
      </c>
      <c r="M818" s="261">
        <v>0</v>
      </c>
      <c r="N818" s="261">
        <v>0</v>
      </c>
      <c r="O818" s="261">
        <v>0</v>
      </c>
      <c r="P818" s="261"/>
      <c r="Q818" s="261"/>
      <c r="R818" s="261"/>
      <c r="S818" s="261"/>
      <c r="T818" s="261"/>
      <c r="U818" s="261"/>
      <c r="V818" s="762"/>
      <c r="W818" s="261"/>
      <c r="X818" s="261"/>
      <c r="Y818" s="264">
        <f>IF(NFI_Expiration=1,IF($A818&lt;VLOOKUP(H$5,NFI,5,0),1,0)*Table_NFI[[#This Row],[Hygiene Kit]],Table_NFI[Hygiene Kit])</f>
        <v>0</v>
      </c>
      <c r="Z818" s="264">
        <f>IF(NFI_Expiration=1,IF($A818&lt;VLOOKUP(I$5,NFI,5,0),1,0)*Table_NFI[[#This Row],[NFI Core Kit]],Table_NFI[NFI Core Kit])</f>
        <v>0</v>
      </c>
      <c r="AA818" s="264">
        <f>IF(NFI_Expiration=1,IF($A818&lt;VLOOKUP(J$5,NFI,5,0),1,0)*Table_NFI[[#This Row],[Sanitary Kit]],Table_NFI[Sanitary Kit])</f>
        <v>0</v>
      </c>
      <c r="AB818" s="264">
        <f>IF(NFI_Expiration=1,IF($A818&lt;VLOOKUP(K$5,NFI,5,0),1,0)*Table_NFI[[#This Row],[Mosquito net]],Table_NFI[Mosquito net])</f>
        <v>0</v>
      </c>
      <c r="AC818" s="264">
        <f>IF(NFI_Expiration=1,IF($A818&lt;VLOOKUP(L$5,NFI,5,0),1,0)*Table_NFI[[#This Row],[Tarpaulin]],Table_NFI[[#This Row],[Tarpaulin]])</f>
        <v>0</v>
      </c>
      <c r="AD818" s="264">
        <f>IF(NFI_Expiration=1,IF($A818&lt;VLOOKUP(M$5,NFI,5,0),1,0)*Table_NFI[[#This Row],[Blanket]],Table_NFI[[#This Row],[Blanket]])</f>
        <v>0</v>
      </c>
      <c r="AE818" s="264">
        <f>IF(NFI_Expiration=1,IF($A818&lt;VLOOKUP(N$5,NFI,5,0),1,0)*Table_NFI[[#This Row],[Kitchen Set]],Table_NFI[Kitchen Set])</f>
        <v>0</v>
      </c>
      <c r="AF818" s="264">
        <f>IF(NFI_Expiration=1,IF($A818&lt;VLOOKUP(O$5,NFI,5,0),1,0)*Table_NFI[[#This Row],[Clothes Kit]],Table_NFI[Clothes Kit])</f>
        <v>0</v>
      </c>
      <c r="AG818" s="264">
        <f>IF(NFI_Expiration=1,IF($A818&lt;VLOOKUP(P$5,NFI,5,0),1,0)*Table_NFI[[#This Row],[Plastic Bucket]],Table_NFI[Plastic Bucket])</f>
        <v>0</v>
      </c>
      <c r="AH818" s="264">
        <f>IF(NFI_Expiration=1,IF($A818&lt;VLOOKUP(Q$5,NFI,5,0),1,0)*Table_NFI[[#This Row],[Plastic Mat]],Table_NFI[Plastic Mat])*IF(Table_NFI[[#This Row],[Distribution Date]]&gt;"2014-04-01",1,2.5)</f>
        <v>0</v>
      </c>
      <c r="AI818" s="264">
        <f>IF(NFI_Expiration=1,IF($A818&lt;VLOOKUP(R$5,NFI,5,0),1,0)*Table_NFI[[#This Row],[Winter Clothes Adult]],Table_NFI[Winter Clothes Adult])</f>
        <v>0</v>
      </c>
      <c r="AJ818" s="264">
        <f>IF(NFI_Expiration=1,IF($A818&lt;VLOOKUP(S$5,NFI,5,0),1,0)*Table_NFI[[#This Row],[Winter Clothes Children]],Table_NFI[Winter Clothes Children])</f>
        <v>0</v>
      </c>
      <c r="AK818" s="264">
        <f>IF(NFI_Expiration=1,IF($A818&lt;VLOOKUP(T$5,NFI,5,0),1,0)*Table_NFI[[#This Row],[Winter Items Other]],Table_NFI[Winter Items Other])</f>
        <v>0</v>
      </c>
      <c r="AL818" s="264">
        <f>IF(NFI_Expiration=1,IF($A818&lt;VLOOKUP(M$5,NFI,5,0),1,0)*Table_NFI[[#This Row],[Winter Blanket]],Table_NFI[[#This Row],[Winter Blanket]])</f>
        <v>0</v>
      </c>
      <c r="AM818" s="264">
        <f>IF(Table_NFI[[#This Row],[Winter Clothes Adult]]+Table_NFI[[#This Row],[Winter Clothes Children]]+Table_NFI[[#This Row],[Winter Items Other]]+Table_NFI[[#This Row],[Winter Blanket]]&gt;0,1,0)</f>
        <v>0</v>
      </c>
      <c r="AN818" s="296">
        <f>IF(NFI_Expiration=1,IF($A818&lt;VLOOKUP(V$5,NFI,5,0),1,0)*Table_NFI[[#This Row],[Jerry Can]],Table_NFI[Jerry Can])</f>
        <v>0</v>
      </c>
      <c r="AO818" s="296">
        <f>IF(NFI_Expiration=1,IF($A818&lt;VLOOKUP(V$5,NFI,5,0),1,0)*Table_NFI[[#This Row],[Shelter Tool kit]],Table_NFI[Shelter Tool kit])</f>
        <v>0</v>
      </c>
      <c r="AP818" s="296">
        <f>IF(NFI_Expiration=1,IF($A818&lt;VLOOKUP(V$5,NFI,5,0),1,0)*Table_NFI[[#This Row],[Tent]],Table_NFI[Tent])</f>
        <v>0</v>
      </c>
      <c r="AQ818" s="396" t="str">
        <f>IFERROR(VLOOKUP(Table_NFI[[#This Row],[Camp Name]],CL,2,0),"")</f>
        <v>MMR001CMP148</v>
      </c>
      <c r="AR818" s="702">
        <f ca="1">IF(Table_NFI[[#This Row],[Pcode]]="","",IF(OFFSET(CampList[Opening Date],MATCH(Table_NFI[[#This Row],[Pcode]],CampList[CP_Pcode],0)-1,0,1,1)&gt;=NFI_Monitor_Date,1,0))</f>
        <v>0</v>
      </c>
      <c r="AS818" s="396" t="str">
        <f>IFERROR(VLOOKUP(Table_NFI[[#This Row],[Camp Name]],CL,3,0),"")</f>
        <v>Open</v>
      </c>
      <c r="AT818" s="264" t="str">
        <f ca="1">IF(Table_NFI[[#This Row],[Pcode]]="","",OFFSET(CampList[Priority],MATCH(Table_NFI[[#This Row],[Pcode]],CampList[CP_Pcode],0)-1,0,1,1))</f>
        <v>P4</v>
      </c>
      <c r="AU818" s="263">
        <f>IFERROR(Table_NFI[[#This Row],[Kitchen Set]]/VLOOKUP(Table_NFI[[#This Row],[Camp Name]],CL,4,0),"")</f>
        <v>0</v>
      </c>
      <c r="AV818" s="390" t="s">
        <v>1087</v>
      </c>
      <c r="AW818" s="392"/>
      <c r="AX818" s="399"/>
      <c r="AY818" s="399"/>
      <c r="AZ818" s="399"/>
      <c r="BA818" s="399"/>
      <c r="BB818" s="399"/>
      <c r="BC818" s="399"/>
      <c r="BD818" s="399"/>
      <c r="BE818" s="399"/>
      <c r="BF818" s="399"/>
      <c r="BG818" s="399"/>
      <c r="BH818" s="399"/>
      <c r="BI818" s="399"/>
      <c r="BJ818" s="399"/>
      <c r="BK818" s="399"/>
      <c r="BL818" s="399"/>
      <c r="BM818" s="399"/>
      <c r="BN818" s="399"/>
      <c r="BO818" s="399"/>
      <c r="BP818" s="399"/>
      <c r="BQ818" s="399"/>
      <c r="BR818" s="399"/>
      <c r="BS818" s="399"/>
      <c r="BT818" s="399"/>
      <c r="BU818" s="399"/>
      <c r="BV818" s="399"/>
      <c r="BW818" s="399"/>
      <c r="BX818" s="399"/>
      <c r="BY818" s="399"/>
      <c r="BZ818" s="399"/>
      <c r="CA818" s="399"/>
      <c r="CB818" s="399"/>
      <c r="CC818" s="399"/>
      <c r="CD818" s="399"/>
      <c r="CE818" s="399"/>
      <c r="CF818" s="399"/>
      <c r="CG818" s="399"/>
      <c r="CH818" s="399"/>
      <c r="CI818" s="399"/>
      <c r="CJ818" s="399"/>
      <c r="CK818" s="399"/>
      <c r="CL818" s="399"/>
      <c r="CM818" s="399"/>
      <c r="CN818" s="399"/>
      <c r="CO818" s="399"/>
      <c r="CP818" s="399"/>
      <c r="CQ818" s="399"/>
      <c r="CR818" s="399"/>
      <c r="CS818" s="399"/>
      <c r="CT818" s="399"/>
      <c r="CU818" s="399"/>
      <c r="CV818" s="399"/>
      <c r="CW818" s="399"/>
      <c r="CX818" s="399"/>
      <c r="CY818" s="399"/>
      <c r="CZ818" s="399"/>
      <c r="DA818" s="399"/>
      <c r="DB818" s="399"/>
      <c r="DC818" s="399"/>
      <c r="DD818" s="399"/>
      <c r="DE818" s="399"/>
      <c r="DF818" s="399"/>
      <c r="DG818" s="399"/>
      <c r="DH818" s="399"/>
      <c r="DI818" s="399"/>
      <c r="DJ818" s="399"/>
      <c r="DK818" s="399"/>
      <c r="DL818" s="399"/>
      <c r="DM818" s="399"/>
      <c r="DN818" s="399"/>
      <c r="DO818" s="399"/>
      <c r="DP818" s="399"/>
      <c r="DQ818" s="399"/>
    </row>
    <row r="819" spans="1:121" s="760" customFormat="1" ht="14.45" customHeight="1" x14ac:dyDescent="0.25">
      <c r="A819" s="266">
        <f t="shared" si="12"/>
        <v>51.1</v>
      </c>
      <c r="B819" s="389">
        <v>41323</v>
      </c>
      <c r="C819" s="390" t="s">
        <v>451</v>
      </c>
      <c r="D819" s="391" t="s">
        <v>459</v>
      </c>
      <c r="E819" s="390" t="s">
        <v>552</v>
      </c>
      <c r="F819" s="262" t="s">
        <v>146</v>
      </c>
      <c r="G819" s="262" t="s">
        <v>369</v>
      </c>
      <c r="H819" s="261"/>
      <c r="I819" s="261"/>
      <c r="J819" s="261">
        <v>120</v>
      </c>
      <c r="K819" s="261">
        <v>120</v>
      </c>
      <c r="L819" s="261">
        <v>60</v>
      </c>
      <c r="M819" s="261">
        <v>120</v>
      </c>
      <c r="N819" s="261">
        <v>60</v>
      </c>
      <c r="O819" s="261">
        <v>60</v>
      </c>
      <c r="P819" s="261">
        <v>60</v>
      </c>
      <c r="Q819" s="261">
        <v>60</v>
      </c>
      <c r="R819" s="261"/>
      <c r="S819" s="261"/>
      <c r="T819" s="261"/>
      <c r="U819" s="261"/>
      <c r="V819" s="762"/>
      <c r="W819" s="261"/>
      <c r="X819" s="261"/>
      <c r="Y819" s="264">
        <f>IF(NFI_Expiration=1,IF($A819&lt;VLOOKUP(H$5,NFI,5,0),1,0)*Table_NFI[[#This Row],[Hygiene Kit]],Table_NFI[Hygiene Kit])</f>
        <v>0</v>
      </c>
      <c r="Z819" s="264">
        <f>IF(NFI_Expiration=1,IF($A819&lt;VLOOKUP(I$5,NFI,5,0),1,0)*Table_NFI[[#This Row],[NFI Core Kit]],Table_NFI[NFI Core Kit])</f>
        <v>0</v>
      </c>
      <c r="AA819" s="264">
        <f>IF(NFI_Expiration=1,IF($A819&lt;VLOOKUP(J$5,NFI,5,0),1,0)*Table_NFI[[#This Row],[Sanitary Kit]],Table_NFI[Sanitary Kit])</f>
        <v>0</v>
      </c>
      <c r="AB819" s="264">
        <f>IF(NFI_Expiration=1,IF($A819&lt;VLOOKUP(K$5,NFI,5,0),1,0)*Table_NFI[[#This Row],[Mosquito net]],Table_NFI[Mosquito net])</f>
        <v>0</v>
      </c>
      <c r="AC819" s="264">
        <f>IF(NFI_Expiration=1,IF($A819&lt;VLOOKUP(L$5,NFI,5,0),1,0)*Table_NFI[[#This Row],[Tarpaulin]],Table_NFI[[#This Row],[Tarpaulin]])</f>
        <v>0</v>
      </c>
      <c r="AD819" s="264">
        <f>IF(NFI_Expiration=1,IF($A819&lt;VLOOKUP(M$5,NFI,5,0),1,0)*Table_NFI[[#This Row],[Blanket]],Table_NFI[[#This Row],[Blanket]])</f>
        <v>0</v>
      </c>
      <c r="AE819" s="264">
        <f>IF(NFI_Expiration=1,IF($A819&lt;VLOOKUP(N$5,NFI,5,0),1,0)*Table_NFI[[#This Row],[Kitchen Set]],Table_NFI[Kitchen Set])</f>
        <v>0</v>
      </c>
      <c r="AF819" s="264">
        <f>IF(NFI_Expiration=1,IF($A819&lt;VLOOKUP(O$5,NFI,5,0),1,0)*Table_NFI[[#This Row],[Clothes Kit]],Table_NFI[Clothes Kit])</f>
        <v>0</v>
      </c>
      <c r="AG819" s="264">
        <f>IF(NFI_Expiration=1,IF($A819&lt;VLOOKUP(P$5,NFI,5,0),1,0)*Table_NFI[[#This Row],[Plastic Bucket]],Table_NFI[Plastic Bucket])</f>
        <v>0</v>
      </c>
      <c r="AH819" s="264">
        <f>IF(NFI_Expiration=1,IF($A819&lt;VLOOKUP(Q$5,NFI,5,0),1,0)*Table_NFI[[#This Row],[Plastic Mat]],Table_NFI[Plastic Mat])*IF(Table_NFI[[#This Row],[Distribution Date]]&gt;"2014-04-01",1,2.5)</f>
        <v>0</v>
      </c>
      <c r="AI819" s="264">
        <f>IF(NFI_Expiration=1,IF($A819&lt;VLOOKUP(R$5,NFI,5,0),1,0)*Table_NFI[[#This Row],[Winter Clothes Adult]],Table_NFI[Winter Clothes Adult])</f>
        <v>0</v>
      </c>
      <c r="AJ819" s="264">
        <f>IF(NFI_Expiration=1,IF($A819&lt;VLOOKUP(S$5,NFI,5,0),1,0)*Table_NFI[[#This Row],[Winter Clothes Children]],Table_NFI[Winter Clothes Children])</f>
        <v>0</v>
      </c>
      <c r="AK819" s="264">
        <f>IF(NFI_Expiration=1,IF($A819&lt;VLOOKUP(T$5,NFI,5,0),1,0)*Table_NFI[[#This Row],[Winter Items Other]],Table_NFI[Winter Items Other])</f>
        <v>0</v>
      </c>
      <c r="AL819" s="264">
        <f>IF(NFI_Expiration=1,IF($A819&lt;VLOOKUP(M$5,NFI,5,0),1,0)*Table_NFI[[#This Row],[Winter Blanket]],Table_NFI[[#This Row],[Winter Blanket]])</f>
        <v>0</v>
      </c>
      <c r="AM819" s="264">
        <f>IF(Table_NFI[[#This Row],[Winter Clothes Adult]]+Table_NFI[[#This Row],[Winter Clothes Children]]+Table_NFI[[#This Row],[Winter Items Other]]+Table_NFI[[#This Row],[Winter Blanket]]&gt;0,1,0)</f>
        <v>0</v>
      </c>
      <c r="AN819" s="296">
        <f>IF(NFI_Expiration=1,IF($A819&lt;VLOOKUP(V$5,NFI,5,0),1,0)*Table_NFI[[#This Row],[Jerry Can]],Table_NFI[Jerry Can])</f>
        <v>0</v>
      </c>
      <c r="AO819" s="296">
        <f>IF(NFI_Expiration=1,IF($A819&lt;VLOOKUP(V$5,NFI,5,0),1,0)*Table_NFI[[#This Row],[Shelter Tool kit]],Table_NFI[Shelter Tool kit])</f>
        <v>0</v>
      </c>
      <c r="AP819" s="296">
        <f>IF(NFI_Expiration=1,IF($A819&lt;VLOOKUP(V$5,NFI,5,0),1,0)*Table_NFI[[#This Row],[Tent]],Table_NFI[Tent])</f>
        <v>0</v>
      </c>
      <c r="AQ819" s="396" t="str">
        <f>IFERROR(VLOOKUP(Table_NFI[[#This Row],[Camp Name]],CL,2,0),"")</f>
        <v>MMR015CMP016</v>
      </c>
      <c r="AR819" s="702">
        <f ca="1">IF(Table_NFI[[#This Row],[Pcode]]="","",IF(OFFSET(CampList[Opening Date],MATCH(Table_NFI[[#This Row],[Pcode]],CampList[CP_Pcode],0)-1,0,1,1)&gt;=NFI_Monitor_Date,1,0))</f>
        <v>0</v>
      </c>
      <c r="AS819" s="396" t="str">
        <f>IFERROR(VLOOKUP(Table_NFI[[#This Row],[Camp Name]],CL,3,0),"")</f>
        <v>Open</v>
      </c>
      <c r="AT819" s="264" t="str">
        <f ca="1">IF(Table_NFI[[#This Row],[Pcode]]="","",OFFSET(CampList[Priority],MATCH(Table_NFI[[#This Row],[Pcode]],CampList[CP_Pcode],0)-1,0,1,1))</f>
        <v>P3</v>
      </c>
      <c r="AU819" s="263">
        <f>IFERROR(Table_NFI[[#This Row],[Kitchen Set]]/VLOOKUP(Table_NFI[[#This Row],[Camp Name]],CL,4,0),"")</f>
        <v>1.4547570555717194E-3</v>
      </c>
      <c r="AV819" s="390" t="s">
        <v>1087</v>
      </c>
      <c r="AW819" s="392"/>
      <c r="AX819" s="399"/>
      <c r="AY819" s="399"/>
      <c r="AZ819" s="399"/>
      <c r="BA819" s="399"/>
      <c r="BB819" s="399"/>
      <c r="BC819" s="399"/>
      <c r="BD819" s="399"/>
      <c r="BE819" s="399"/>
      <c r="BF819" s="399"/>
      <c r="BG819" s="399"/>
      <c r="BH819" s="399"/>
      <c r="BI819" s="399"/>
      <c r="BJ819" s="399"/>
      <c r="BK819" s="399"/>
      <c r="BL819" s="399"/>
      <c r="BM819" s="399"/>
      <c r="BN819" s="399"/>
      <c r="BO819" s="399"/>
      <c r="BP819" s="399"/>
      <c r="BQ819" s="399"/>
      <c r="BR819" s="399"/>
      <c r="BS819" s="399"/>
      <c r="BT819" s="399"/>
      <c r="BU819" s="399"/>
      <c r="BV819" s="399"/>
      <c r="BW819" s="399"/>
      <c r="BX819" s="399"/>
      <c r="BY819" s="399"/>
      <c r="BZ819" s="399"/>
      <c r="CA819" s="399"/>
      <c r="CB819" s="399"/>
      <c r="CC819" s="399"/>
      <c r="CD819" s="399"/>
      <c r="CE819" s="399"/>
      <c r="CF819" s="399"/>
      <c r="CG819" s="399"/>
      <c r="CH819" s="399"/>
      <c r="CI819" s="399"/>
      <c r="CJ819" s="399"/>
      <c r="CK819" s="399"/>
      <c r="CL819" s="399"/>
      <c r="CM819" s="399"/>
      <c r="CN819" s="399"/>
      <c r="CO819" s="399"/>
      <c r="CP819" s="399"/>
      <c r="CQ819" s="399"/>
      <c r="CR819" s="399"/>
      <c r="CS819" s="399"/>
      <c r="CT819" s="399"/>
      <c r="CU819" s="399"/>
      <c r="CV819" s="399"/>
      <c r="CW819" s="399"/>
      <c r="CX819" s="399"/>
      <c r="CY819" s="399"/>
      <c r="CZ819" s="399"/>
      <c r="DA819" s="399"/>
      <c r="DB819" s="399"/>
      <c r="DC819" s="399"/>
      <c r="DD819" s="399"/>
      <c r="DE819" s="399"/>
      <c r="DF819" s="399"/>
      <c r="DG819" s="399"/>
      <c r="DH819" s="399"/>
      <c r="DI819" s="399"/>
      <c r="DJ819" s="399"/>
      <c r="DK819" s="399"/>
      <c r="DL819" s="399"/>
      <c r="DM819" s="399"/>
      <c r="DN819" s="399"/>
      <c r="DO819" s="399"/>
      <c r="DP819" s="399"/>
      <c r="DQ819" s="399"/>
    </row>
    <row r="820" spans="1:121" s="760" customFormat="1" ht="14.45" customHeight="1" x14ac:dyDescent="0.25">
      <c r="A820" s="266">
        <f t="shared" si="12"/>
        <v>51.1</v>
      </c>
      <c r="B820" s="389">
        <v>41323</v>
      </c>
      <c r="C820" s="390" t="s">
        <v>451</v>
      </c>
      <c r="D820" s="390" t="s">
        <v>459</v>
      </c>
      <c r="E820" s="390" t="s">
        <v>380</v>
      </c>
      <c r="F820" s="262" t="s">
        <v>151</v>
      </c>
      <c r="G820" s="262" t="s">
        <v>160</v>
      </c>
      <c r="H820" s="261"/>
      <c r="I820" s="261"/>
      <c r="J820" s="261">
        <v>221</v>
      </c>
      <c r="K820" s="261">
        <v>221</v>
      </c>
      <c r="L820" s="261">
        <v>110</v>
      </c>
      <c r="M820" s="261">
        <v>221</v>
      </c>
      <c r="N820" s="261">
        <v>110</v>
      </c>
      <c r="O820" s="261">
        <v>110</v>
      </c>
      <c r="P820" s="261">
        <v>110</v>
      </c>
      <c r="Q820" s="261">
        <v>110</v>
      </c>
      <c r="R820" s="261"/>
      <c r="S820" s="261"/>
      <c r="T820" s="261"/>
      <c r="U820" s="261"/>
      <c r="V820" s="762"/>
      <c r="W820" s="261"/>
      <c r="X820" s="261"/>
      <c r="Y820" s="264">
        <f>IF(NFI_Expiration=1,IF($A820&lt;VLOOKUP(H$5,NFI,5,0),1,0)*Table_NFI[[#This Row],[Hygiene Kit]],Table_NFI[Hygiene Kit])</f>
        <v>0</v>
      </c>
      <c r="Z820" s="264">
        <f>IF(NFI_Expiration=1,IF($A820&lt;VLOOKUP(I$5,NFI,5,0),1,0)*Table_NFI[[#This Row],[NFI Core Kit]],Table_NFI[NFI Core Kit])</f>
        <v>0</v>
      </c>
      <c r="AA820" s="264">
        <f>IF(NFI_Expiration=1,IF($A820&lt;VLOOKUP(J$5,NFI,5,0),1,0)*Table_NFI[[#This Row],[Sanitary Kit]],Table_NFI[Sanitary Kit])</f>
        <v>0</v>
      </c>
      <c r="AB820" s="264">
        <f>IF(NFI_Expiration=1,IF($A820&lt;VLOOKUP(K$5,NFI,5,0),1,0)*Table_NFI[[#This Row],[Mosquito net]],Table_NFI[Mosquito net])</f>
        <v>0</v>
      </c>
      <c r="AC820" s="264">
        <f>IF(NFI_Expiration=1,IF($A820&lt;VLOOKUP(L$5,NFI,5,0),1,0)*Table_NFI[[#This Row],[Tarpaulin]],Table_NFI[[#This Row],[Tarpaulin]])</f>
        <v>0</v>
      </c>
      <c r="AD820" s="264">
        <f>IF(NFI_Expiration=1,IF($A820&lt;VLOOKUP(M$5,NFI,5,0),1,0)*Table_NFI[[#This Row],[Blanket]],Table_NFI[[#This Row],[Blanket]])</f>
        <v>0</v>
      </c>
      <c r="AE820" s="264">
        <f>IF(NFI_Expiration=1,IF($A820&lt;VLOOKUP(N$5,NFI,5,0),1,0)*Table_NFI[[#This Row],[Kitchen Set]],Table_NFI[Kitchen Set])</f>
        <v>0</v>
      </c>
      <c r="AF820" s="264">
        <f>IF(NFI_Expiration=1,IF($A820&lt;VLOOKUP(O$5,NFI,5,0),1,0)*Table_NFI[[#This Row],[Clothes Kit]],Table_NFI[Clothes Kit])</f>
        <v>0</v>
      </c>
      <c r="AG820" s="264">
        <f>IF(NFI_Expiration=1,IF($A820&lt;VLOOKUP(P$5,NFI,5,0),1,0)*Table_NFI[[#This Row],[Plastic Bucket]],Table_NFI[Plastic Bucket])</f>
        <v>0</v>
      </c>
      <c r="AH820" s="264">
        <f>IF(NFI_Expiration=1,IF($A820&lt;VLOOKUP(Q$5,NFI,5,0),1,0)*Table_NFI[[#This Row],[Plastic Mat]],Table_NFI[Plastic Mat])*IF(Table_NFI[[#This Row],[Distribution Date]]&gt;"2014-04-01",1,2.5)</f>
        <v>0</v>
      </c>
      <c r="AI820" s="264">
        <f>IF(NFI_Expiration=1,IF($A820&lt;VLOOKUP(R$5,NFI,5,0),1,0)*Table_NFI[[#This Row],[Winter Clothes Adult]],Table_NFI[Winter Clothes Adult])</f>
        <v>0</v>
      </c>
      <c r="AJ820" s="264">
        <f>IF(NFI_Expiration=1,IF($A820&lt;VLOOKUP(S$5,NFI,5,0),1,0)*Table_NFI[[#This Row],[Winter Clothes Children]],Table_NFI[Winter Clothes Children])</f>
        <v>0</v>
      </c>
      <c r="AK820" s="264">
        <f>IF(NFI_Expiration=1,IF($A820&lt;VLOOKUP(T$5,NFI,5,0),1,0)*Table_NFI[[#This Row],[Winter Items Other]],Table_NFI[Winter Items Other])</f>
        <v>0</v>
      </c>
      <c r="AL820" s="264">
        <f>IF(NFI_Expiration=1,IF($A820&lt;VLOOKUP(M$5,NFI,5,0),1,0)*Table_NFI[[#This Row],[Winter Blanket]],Table_NFI[[#This Row],[Winter Blanket]])</f>
        <v>0</v>
      </c>
      <c r="AM820" s="264">
        <f>IF(Table_NFI[[#This Row],[Winter Clothes Adult]]+Table_NFI[[#This Row],[Winter Clothes Children]]+Table_NFI[[#This Row],[Winter Items Other]]+Table_NFI[[#This Row],[Winter Blanket]]&gt;0,1,0)</f>
        <v>0</v>
      </c>
      <c r="AN820" s="296">
        <f>IF(NFI_Expiration=1,IF($A820&lt;VLOOKUP(V$5,NFI,5,0),1,0)*Table_NFI[[#This Row],[Jerry Can]],Table_NFI[Jerry Can])</f>
        <v>0</v>
      </c>
      <c r="AO820" s="296">
        <f>IF(NFI_Expiration=1,IF($A820&lt;VLOOKUP(V$5,NFI,5,0),1,0)*Table_NFI[[#This Row],[Shelter Tool kit]],Table_NFI[Shelter Tool kit])</f>
        <v>0</v>
      </c>
      <c r="AP820" s="296">
        <f>IF(NFI_Expiration=1,IF($A820&lt;VLOOKUP(V$5,NFI,5,0),1,0)*Table_NFI[[#This Row],[Tent]],Table_NFI[Tent])</f>
        <v>0</v>
      </c>
      <c r="AQ820" s="396" t="str">
        <f>IFERROR(VLOOKUP(Table_NFI[[#This Row],[Camp Name]],CL,2,0),"")</f>
        <v>MMR001CMP133</v>
      </c>
      <c r="AR820" s="702">
        <f ca="1">IF(Table_NFI[[#This Row],[Pcode]]="","",IF(OFFSET(CampList[Opening Date],MATCH(Table_NFI[[#This Row],[Pcode]],CampList[CP_Pcode],0)-1,0,1,1)&gt;=NFI_Monitor_Date,1,0))</f>
        <v>0</v>
      </c>
      <c r="AS820" s="396" t="str">
        <f>IFERROR(VLOOKUP(Table_NFI[[#This Row],[Camp Name]],CL,3,0),"")</f>
        <v>Open</v>
      </c>
      <c r="AT820" s="264" t="str">
        <f ca="1">IF(Table_NFI[[#This Row],[Pcode]]="","",OFFSET(CampList[Priority],MATCH(Table_NFI[[#This Row],[Pcode]],CampList[CP_Pcode],0)-1,0,1,1))</f>
        <v>P4</v>
      </c>
      <c r="AU820" s="263">
        <f>IFERROR(Table_NFI[[#This Row],[Kitchen Set]]/VLOOKUP(Table_NFI[[#This Row],[Camp Name]],CL,4,0),"")</f>
        <v>2.6868588177821201E-3</v>
      </c>
      <c r="AV820" s="390" t="s">
        <v>1087</v>
      </c>
      <c r="AW820" s="392"/>
      <c r="AX820" s="399"/>
      <c r="AY820" s="399"/>
      <c r="AZ820" s="399"/>
      <c r="BA820" s="399"/>
      <c r="BB820" s="399"/>
      <c r="BC820" s="399"/>
      <c r="BD820" s="399"/>
      <c r="BE820" s="399"/>
      <c r="BF820" s="399"/>
      <c r="BG820" s="399"/>
      <c r="BH820" s="399"/>
      <c r="BI820" s="399"/>
      <c r="BJ820" s="399"/>
      <c r="BK820" s="399"/>
      <c r="BL820" s="399"/>
      <c r="BM820" s="399"/>
      <c r="BN820" s="399"/>
      <c r="BO820" s="399"/>
      <c r="BP820" s="399"/>
      <c r="BQ820" s="399"/>
      <c r="BR820" s="399"/>
      <c r="BS820" s="399"/>
      <c r="BT820" s="399"/>
      <c r="BU820" s="399"/>
      <c r="BV820" s="399"/>
      <c r="BW820" s="399"/>
      <c r="BX820" s="399"/>
      <c r="BY820" s="399"/>
      <c r="BZ820" s="399"/>
      <c r="CA820" s="399"/>
      <c r="CB820" s="399"/>
      <c r="CC820" s="399"/>
      <c r="CD820" s="399"/>
      <c r="CE820" s="399"/>
      <c r="CF820" s="399"/>
      <c r="CG820" s="399"/>
      <c r="CH820" s="399"/>
      <c r="CI820" s="399"/>
      <c r="CJ820" s="399"/>
      <c r="CK820" s="399"/>
      <c r="CL820" s="399"/>
      <c r="CM820" s="399"/>
      <c r="CN820" s="399"/>
      <c r="CO820" s="399"/>
      <c r="CP820" s="399"/>
      <c r="CQ820" s="399"/>
      <c r="CR820" s="399"/>
      <c r="CS820" s="399"/>
      <c r="CT820" s="399"/>
      <c r="CU820" s="399"/>
      <c r="CV820" s="399"/>
      <c r="CW820" s="399"/>
      <c r="CX820" s="399"/>
      <c r="CY820" s="399"/>
      <c r="CZ820" s="399"/>
      <c r="DA820" s="399"/>
      <c r="DB820" s="399"/>
      <c r="DC820" s="399"/>
      <c r="DD820" s="399"/>
      <c r="DE820" s="399"/>
      <c r="DF820" s="399"/>
      <c r="DG820" s="399"/>
      <c r="DH820" s="399"/>
      <c r="DI820" s="399"/>
      <c r="DJ820" s="399"/>
      <c r="DK820" s="399"/>
      <c r="DL820" s="399"/>
      <c r="DM820" s="399"/>
      <c r="DN820" s="399"/>
      <c r="DO820" s="399"/>
      <c r="DP820" s="399"/>
      <c r="DQ820" s="399"/>
    </row>
    <row r="821" spans="1:121" s="760" customFormat="1" ht="14.45" customHeight="1" x14ac:dyDescent="0.25">
      <c r="A821" s="266">
        <f t="shared" si="12"/>
        <v>51.1</v>
      </c>
      <c r="B821" s="389">
        <v>41323</v>
      </c>
      <c r="C821" s="390" t="s">
        <v>451</v>
      </c>
      <c r="D821" s="391" t="s">
        <v>459</v>
      </c>
      <c r="E821" s="390" t="s">
        <v>552</v>
      </c>
      <c r="F821" s="262" t="s">
        <v>166</v>
      </c>
      <c r="G821" s="262" t="s">
        <v>167</v>
      </c>
      <c r="H821" s="261"/>
      <c r="I821" s="261"/>
      <c r="J821" s="261">
        <v>57</v>
      </c>
      <c r="K821" s="261">
        <v>57</v>
      </c>
      <c r="L821" s="261">
        <v>29</v>
      </c>
      <c r="M821" s="261">
        <v>57</v>
      </c>
      <c r="N821" s="261">
        <v>29</v>
      </c>
      <c r="O821" s="261">
        <v>29</v>
      </c>
      <c r="P821" s="261">
        <v>29</v>
      </c>
      <c r="Q821" s="261">
        <v>29</v>
      </c>
      <c r="R821" s="261"/>
      <c r="S821" s="261"/>
      <c r="T821" s="261"/>
      <c r="U821" s="261"/>
      <c r="V821" s="762"/>
      <c r="W821" s="261"/>
      <c r="X821" s="261"/>
      <c r="Y821" s="264">
        <f>IF(NFI_Expiration=1,IF($A821&lt;VLOOKUP(H$5,NFI,5,0),1,0)*Table_NFI[[#This Row],[Hygiene Kit]],Table_NFI[Hygiene Kit])</f>
        <v>0</v>
      </c>
      <c r="Z821" s="264">
        <f>IF(NFI_Expiration=1,IF($A821&lt;VLOOKUP(I$5,NFI,5,0),1,0)*Table_NFI[[#This Row],[NFI Core Kit]],Table_NFI[NFI Core Kit])</f>
        <v>0</v>
      </c>
      <c r="AA821" s="264">
        <f>IF(NFI_Expiration=1,IF($A821&lt;VLOOKUP(J$5,NFI,5,0),1,0)*Table_NFI[[#This Row],[Sanitary Kit]],Table_NFI[Sanitary Kit])</f>
        <v>0</v>
      </c>
      <c r="AB821" s="264">
        <f>IF(NFI_Expiration=1,IF($A821&lt;VLOOKUP(K$5,NFI,5,0),1,0)*Table_NFI[[#This Row],[Mosquito net]],Table_NFI[Mosquito net])</f>
        <v>0</v>
      </c>
      <c r="AC821" s="264">
        <f>IF(NFI_Expiration=1,IF($A821&lt;VLOOKUP(L$5,NFI,5,0),1,0)*Table_NFI[[#This Row],[Tarpaulin]],Table_NFI[[#This Row],[Tarpaulin]])</f>
        <v>0</v>
      </c>
      <c r="AD821" s="264">
        <f>IF(NFI_Expiration=1,IF($A821&lt;VLOOKUP(M$5,NFI,5,0),1,0)*Table_NFI[[#This Row],[Blanket]],Table_NFI[[#This Row],[Blanket]])</f>
        <v>0</v>
      </c>
      <c r="AE821" s="264">
        <f>IF(NFI_Expiration=1,IF($A821&lt;VLOOKUP(N$5,NFI,5,0),1,0)*Table_NFI[[#This Row],[Kitchen Set]],Table_NFI[Kitchen Set])</f>
        <v>0</v>
      </c>
      <c r="AF821" s="264">
        <f>IF(NFI_Expiration=1,IF($A821&lt;VLOOKUP(O$5,NFI,5,0),1,0)*Table_NFI[[#This Row],[Clothes Kit]],Table_NFI[Clothes Kit])</f>
        <v>0</v>
      </c>
      <c r="AG821" s="264">
        <f>IF(NFI_Expiration=1,IF($A821&lt;VLOOKUP(P$5,NFI,5,0),1,0)*Table_NFI[[#This Row],[Plastic Bucket]],Table_NFI[Plastic Bucket])</f>
        <v>0</v>
      </c>
      <c r="AH821" s="264">
        <f>IF(NFI_Expiration=1,IF($A821&lt;VLOOKUP(Q$5,NFI,5,0),1,0)*Table_NFI[[#This Row],[Plastic Mat]],Table_NFI[Plastic Mat])*IF(Table_NFI[[#This Row],[Distribution Date]]&gt;"2014-04-01",1,2.5)</f>
        <v>0</v>
      </c>
      <c r="AI821" s="264">
        <f>IF(NFI_Expiration=1,IF($A821&lt;VLOOKUP(R$5,NFI,5,0),1,0)*Table_NFI[[#This Row],[Winter Clothes Adult]],Table_NFI[Winter Clothes Adult])</f>
        <v>0</v>
      </c>
      <c r="AJ821" s="264">
        <f>IF(NFI_Expiration=1,IF($A821&lt;VLOOKUP(S$5,NFI,5,0),1,0)*Table_NFI[[#This Row],[Winter Clothes Children]],Table_NFI[Winter Clothes Children])</f>
        <v>0</v>
      </c>
      <c r="AK821" s="264">
        <f>IF(NFI_Expiration=1,IF($A821&lt;VLOOKUP(T$5,NFI,5,0),1,0)*Table_NFI[[#This Row],[Winter Items Other]],Table_NFI[Winter Items Other])</f>
        <v>0</v>
      </c>
      <c r="AL821" s="264">
        <f>IF(NFI_Expiration=1,IF($A821&lt;VLOOKUP(M$5,NFI,5,0),1,0)*Table_NFI[[#This Row],[Winter Blanket]],Table_NFI[[#This Row],[Winter Blanket]])</f>
        <v>0</v>
      </c>
      <c r="AM821" s="264">
        <f>IF(Table_NFI[[#This Row],[Winter Clothes Adult]]+Table_NFI[[#This Row],[Winter Clothes Children]]+Table_NFI[[#This Row],[Winter Items Other]]+Table_NFI[[#This Row],[Winter Blanket]]&gt;0,1,0)</f>
        <v>0</v>
      </c>
      <c r="AN821" s="296">
        <f>IF(NFI_Expiration=1,IF($A821&lt;VLOOKUP(V$5,NFI,5,0),1,0)*Table_NFI[[#This Row],[Jerry Can]],Table_NFI[Jerry Can])</f>
        <v>0</v>
      </c>
      <c r="AO821" s="296">
        <f>IF(NFI_Expiration=1,IF($A821&lt;VLOOKUP(V$5,NFI,5,0),1,0)*Table_NFI[[#This Row],[Shelter Tool kit]],Table_NFI[Shelter Tool kit])</f>
        <v>0</v>
      </c>
      <c r="AP821" s="296">
        <f>IF(NFI_Expiration=1,IF($A821&lt;VLOOKUP(V$5,NFI,5,0),1,0)*Table_NFI[[#This Row],[Tent]],Table_NFI[Tent])</f>
        <v>0</v>
      </c>
      <c r="AQ821" s="396" t="str">
        <f>IFERROR(VLOOKUP(Table_NFI[[#This Row],[Camp Name]],CL,2,0),"")</f>
        <v>MMR015CMP009</v>
      </c>
      <c r="AR821" s="702">
        <f ca="1">IF(Table_NFI[[#This Row],[Pcode]]="","",IF(OFFSET(CampList[Opening Date],MATCH(Table_NFI[[#This Row],[Pcode]],CampList[CP_Pcode],0)-1,0,1,1)&gt;=NFI_Monitor_Date,1,0))</f>
        <v>0</v>
      </c>
      <c r="AS821" s="396" t="str">
        <f>IFERROR(VLOOKUP(Table_NFI[[#This Row],[Camp Name]],CL,3,0),"")</f>
        <v>Open</v>
      </c>
      <c r="AT821" s="264" t="str">
        <f ca="1">IF(Table_NFI[[#This Row],[Pcode]]="","",OFFSET(CampList[Priority],MATCH(Table_NFI[[#This Row],[Pcode]],CampList[CP_Pcode],0)-1,0,1,1))</f>
        <v>P2</v>
      </c>
      <c r="AU821" s="263">
        <f>IFERROR(Table_NFI[[#This Row],[Kitchen Set]]/VLOOKUP(Table_NFI[[#This Row],[Camp Name]],CL,4,0),"")</f>
        <v>7.0731707317073169E-4</v>
      </c>
      <c r="AV821" s="390" t="s">
        <v>1087</v>
      </c>
      <c r="AW821" s="392"/>
      <c r="AX821" s="399"/>
      <c r="AY821" s="399"/>
      <c r="AZ821" s="399"/>
      <c r="BA821" s="399"/>
      <c r="BB821" s="399"/>
      <c r="BC821" s="399"/>
      <c r="BD821" s="399"/>
      <c r="BE821" s="399"/>
      <c r="BF821" s="399"/>
      <c r="BG821" s="399"/>
      <c r="BH821" s="399"/>
      <c r="BI821" s="399"/>
      <c r="BJ821" s="399"/>
      <c r="BK821" s="399"/>
      <c r="BL821" s="399"/>
      <c r="BM821" s="399"/>
      <c r="BN821" s="399"/>
      <c r="BO821" s="399"/>
      <c r="BP821" s="399"/>
      <c r="BQ821" s="399"/>
      <c r="BR821" s="399"/>
      <c r="BS821" s="399"/>
      <c r="BT821" s="399"/>
      <c r="BU821" s="399"/>
      <c r="BV821" s="399"/>
      <c r="BW821" s="399"/>
      <c r="BX821" s="399"/>
      <c r="BY821" s="399"/>
      <c r="BZ821" s="399"/>
      <c r="CA821" s="399"/>
      <c r="CB821" s="399"/>
      <c r="CC821" s="399"/>
      <c r="CD821" s="399"/>
      <c r="CE821" s="399"/>
      <c r="CF821" s="399"/>
      <c r="CG821" s="399"/>
      <c r="CH821" s="399"/>
      <c r="CI821" s="399"/>
      <c r="CJ821" s="399"/>
      <c r="CK821" s="399"/>
      <c r="CL821" s="399"/>
      <c r="CM821" s="399"/>
      <c r="CN821" s="399"/>
      <c r="CO821" s="399"/>
      <c r="CP821" s="399"/>
      <c r="CQ821" s="399"/>
      <c r="CR821" s="399"/>
      <c r="CS821" s="399"/>
      <c r="CT821" s="399"/>
      <c r="CU821" s="399"/>
      <c r="CV821" s="399"/>
      <c r="CW821" s="399"/>
      <c r="CX821" s="399"/>
      <c r="CY821" s="399"/>
      <c r="CZ821" s="399"/>
      <c r="DA821" s="399"/>
      <c r="DB821" s="399"/>
      <c r="DC821" s="399"/>
      <c r="DD821" s="399"/>
      <c r="DE821" s="399"/>
      <c r="DF821" s="399"/>
      <c r="DG821" s="399"/>
      <c r="DH821" s="399"/>
      <c r="DI821" s="399"/>
      <c r="DJ821" s="399"/>
      <c r="DK821" s="399"/>
      <c r="DL821" s="399"/>
      <c r="DM821" s="399"/>
      <c r="DN821" s="399"/>
      <c r="DO821" s="399"/>
      <c r="DP821" s="399"/>
      <c r="DQ821" s="399"/>
    </row>
    <row r="822" spans="1:121" s="760" customFormat="1" ht="14.45" customHeight="1" x14ac:dyDescent="0.25">
      <c r="A822" s="266">
        <f t="shared" si="12"/>
        <v>51.1</v>
      </c>
      <c r="B822" s="389">
        <v>41323</v>
      </c>
      <c r="C822" s="390" t="s">
        <v>451</v>
      </c>
      <c r="D822" s="391" t="s">
        <v>459</v>
      </c>
      <c r="E822" s="390" t="s">
        <v>552</v>
      </c>
      <c r="F822" s="262" t="s">
        <v>146</v>
      </c>
      <c r="G822" s="262" t="s">
        <v>371</v>
      </c>
      <c r="H822" s="261"/>
      <c r="I822" s="261"/>
      <c r="J822" s="261">
        <v>93</v>
      </c>
      <c r="K822" s="261">
        <v>93</v>
      </c>
      <c r="L822" s="261">
        <v>46</v>
      </c>
      <c r="M822" s="261">
        <v>93</v>
      </c>
      <c r="N822" s="261">
        <v>46</v>
      </c>
      <c r="O822" s="261">
        <v>46</v>
      </c>
      <c r="P822" s="261">
        <v>46</v>
      </c>
      <c r="Q822" s="261">
        <v>46</v>
      </c>
      <c r="R822" s="261"/>
      <c r="S822" s="261"/>
      <c r="T822" s="261"/>
      <c r="U822" s="261"/>
      <c r="V822" s="762"/>
      <c r="W822" s="261"/>
      <c r="X822" s="261"/>
      <c r="Y822" s="264">
        <f>IF(NFI_Expiration=1,IF($A822&lt;VLOOKUP(H$5,NFI,5,0),1,0)*Table_NFI[[#This Row],[Hygiene Kit]],Table_NFI[Hygiene Kit])</f>
        <v>0</v>
      </c>
      <c r="Z822" s="264">
        <f>IF(NFI_Expiration=1,IF($A822&lt;VLOOKUP(I$5,NFI,5,0),1,0)*Table_NFI[[#This Row],[NFI Core Kit]],Table_NFI[NFI Core Kit])</f>
        <v>0</v>
      </c>
      <c r="AA822" s="264">
        <f>IF(NFI_Expiration=1,IF($A822&lt;VLOOKUP(J$5,NFI,5,0),1,0)*Table_NFI[[#This Row],[Sanitary Kit]],Table_NFI[Sanitary Kit])</f>
        <v>0</v>
      </c>
      <c r="AB822" s="264">
        <f>IF(NFI_Expiration=1,IF($A822&lt;VLOOKUP(K$5,NFI,5,0),1,0)*Table_NFI[[#This Row],[Mosquito net]],Table_NFI[Mosquito net])</f>
        <v>0</v>
      </c>
      <c r="AC822" s="264">
        <f>IF(NFI_Expiration=1,IF($A822&lt;VLOOKUP(L$5,NFI,5,0),1,0)*Table_NFI[[#This Row],[Tarpaulin]],Table_NFI[[#This Row],[Tarpaulin]])</f>
        <v>0</v>
      </c>
      <c r="AD822" s="264">
        <f>IF(NFI_Expiration=1,IF($A822&lt;VLOOKUP(M$5,NFI,5,0),1,0)*Table_NFI[[#This Row],[Blanket]],Table_NFI[[#This Row],[Blanket]])</f>
        <v>0</v>
      </c>
      <c r="AE822" s="264">
        <f>IF(NFI_Expiration=1,IF($A822&lt;VLOOKUP(N$5,NFI,5,0),1,0)*Table_NFI[[#This Row],[Kitchen Set]],Table_NFI[Kitchen Set])</f>
        <v>0</v>
      </c>
      <c r="AF822" s="264">
        <f>IF(NFI_Expiration=1,IF($A822&lt;VLOOKUP(O$5,NFI,5,0),1,0)*Table_NFI[[#This Row],[Clothes Kit]],Table_NFI[Clothes Kit])</f>
        <v>0</v>
      </c>
      <c r="AG822" s="264">
        <f>IF(NFI_Expiration=1,IF($A822&lt;VLOOKUP(P$5,NFI,5,0),1,0)*Table_NFI[[#This Row],[Plastic Bucket]],Table_NFI[Plastic Bucket])</f>
        <v>0</v>
      </c>
      <c r="AH822" s="264">
        <f>IF(NFI_Expiration=1,IF($A822&lt;VLOOKUP(Q$5,NFI,5,0),1,0)*Table_NFI[[#This Row],[Plastic Mat]],Table_NFI[Plastic Mat])*IF(Table_NFI[[#This Row],[Distribution Date]]&gt;"2014-04-01",1,2.5)</f>
        <v>0</v>
      </c>
      <c r="AI822" s="264">
        <f>IF(NFI_Expiration=1,IF($A822&lt;VLOOKUP(R$5,NFI,5,0),1,0)*Table_NFI[[#This Row],[Winter Clothes Adult]],Table_NFI[Winter Clothes Adult])</f>
        <v>0</v>
      </c>
      <c r="AJ822" s="264">
        <f>IF(NFI_Expiration=1,IF($A822&lt;VLOOKUP(S$5,NFI,5,0),1,0)*Table_NFI[[#This Row],[Winter Clothes Children]],Table_NFI[Winter Clothes Children])</f>
        <v>0</v>
      </c>
      <c r="AK822" s="264">
        <f>IF(NFI_Expiration=1,IF($A822&lt;VLOOKUP(T$5,NFI,5,0),1,0)*Table_NFI[[#This Row],[Winter Items Other]],Table_NFI[Winter Items Other])</f>
        <v>0</v>
      </c>
      <c r="AL822" s="264">
        <f>IF(NFI_Expiration=1,IF($A822&lt;VLOOKUP(M$5,NFI,5,0),1,0)*Table_NFI[[#This Row],[Winter Blanket]],Table_NFI[[#This Row],[Winter Blanket]])</f>
        <v>0</v>
      </c>
      <c r="AM822" s="264">
        <f>IF(Table_NFI[[#This Row],[Winter Clothes Adult]]+Table_NFI[[#This Row],[Winter Clothes Children]]+Table_NFI[[#This Row],[Winter Items Other]]+Table_NFI[[#This Row],[Winter Blanket]]&gt;0,1,0)</f>
        <v>0</v>
      </c>
      <c r="AN822" s="296">
        <f>IF(NFI_Expiration=1,IF($A822&lt;VLOOKUP(V$5,NFI,5,0),1,0)*Table_NFI[[#This Row],[Jerry Can]],Table_NFI[Jerry Can])</f>
        <v>0</v>
      </c>
      <c r="AO822" s="296">
        <f>IF(NFI_Expiration=1,IF($A822&lt;VLOOKUP(V$5,NFI,5,0),1,0)*Table_NFI[[#This Row],[Shelter Tool kit]],Table_NFI[Shelter Tool kit])</f>
        <v>0</v>
      </c>
      <c r="AP822" s="296">
        <f>IF(NFI_Expiration=1,IF($A822&lt;VLOOKUP(V$5,NFI,5,0),1,0)*Table_NFI[[#This Row],[Tent]],Table_NFI[Tent])</f>
        <v>0</v>
      </c>
      <c r="AQ822" s="396" t="str">
        <f>IFERROR(VLOOKUP(Table_NFI[[#This Row],[Camp Name]],CL,2,0),"")</f>
        <v>MMR015CMP006</v>
      </c>
      <c r="AR822" s="702">
        <f ca="1">IF(Table_NFI[[#This Row],[Pcode]]="","",IF(OFFSET(CampList[Opening Date],MATCH(Table_NFI[[#This Row],[Pcode]],CampList[CP_Pcode],0)-1,0,1,1)&gt;=NFI_Monitor_Date,1,0))</f>
        <v>0</v>
      </c>
      <c r="AS822" s="396" t="str">
        <f>IFERROR(VLOOKUP(Table_NFI[[#This Row],[Camp Name]],CL,3,0),"")</f>
        <v>Open</v>
      </c>
      <c r="AT822" s="264" t="str">
        <f ca="1">IF(Table_NFI[[#This Row],[Pcode]]="","",OFFSET(CampList[Priority],MATCH(Table_NFI[[#This Row],[Pcode]],CampList[CP_Pcode],0)-1,0,1,1))</f>
        <v>P1</v>
      </c>
      <c r="AU822" s="263">
        <f>IFERROR(Table_NFI[[#This Row],[Kitchen Set]]/VLOOKUP(Table_NFI[[#This Row],[Camp Name]],CL,4,0),"")</f>
        <v>1.1278103317233432E-3</v>
      </c>
      <c r="AV822" s="390" t="s">
        <v>1087</v>
      </c>
      <c r="AW822" s="392"/>
      <c r="AX822" s="399"/>
      <c r="AY822" s="399"/>
      <c r="AZ822" s="399"/>
      <c r="BA822" s="399"/>
      <c r="BB822" s="399"/>
      <c r="BC822" s="399"/>
      <c r="BD822" s="399"/>
      <c r="BE822" s="399"/>
      <c r="BF822" s="399"/>
      <c r="BG822" s="399"/>
      <c r="BH822" s="399"/>
      <c r="BI822" s="399"/>
      <c r="BJ822" s="399"/>
      <c r="BK822" s="399"/>
      <c r="BL822" s="399"/>
      <c r="BM822" s="399"/>
      <c r="BN822" s="399"/>
      <c r="BO822" s="399"/>
      <c r="BP822" s="399"/>
      <c r="BQ822" s="399"/>
      <c r="BR822" s="399"/>
      <c r="BS822" s="399"/>
      <c r="BT822" s="399"/>
      <c r="BU822" s="399"/>
      <c r="BV822" s="399"/>
      <c r="BW822" s="399"/>
      <c r="BX822" s="399"/>
      <c r="BY822" s="399"/>
      <c r="BZ822" s="399"/>
      <c r="CA822" s="399"/>
      <c r="CB822" s="399"/>
      <c r="CC822" s="399"/>
      <c r="CD822" s="399"/>
      <c r="CE822" s="399"/>
      <c r="CF822" s="399"/>
      <c r="CG822" s="399"/>
      <c r="CH822" s="399"/>
      <c r="CI822" s="399"/>
      <c r="CJ822" s="399"/>
      <c r="CK822" s="399"/>
      <c r="CL822" s="399"/>
      <c r="CM822" s="399"/>
      <c r="CN822" s="399"/>
      <c r="CO822" s="399"/>
      <c r="CP822" s="399"/>
      <c r="CQ822" s="399"/>
      <c r="CR822" s="399"/>
      <c r="CS822" s="399"/>
      <c r="CT822" s="399"/>
      <c r="CU822" s="399"/>
      <c r="CV822" s="399"/>
      <c r="CW822" s="399"/>
      <c r="CX822" s="399"/>
      <c r="CY822" s="399"/>
      <c r="CZ822" s="399"/>
      <c r="DA822" s="399"/>
      <c r="DB822" s="399"/>
      <c r="DC822" s="399"/>
      <c r="DD822" s="399"/>
      <c r="DE822" s="399"/>
      <c r="DF822" s="399"/>
      <c r="DG822" s="399"/>
      <c r="DH822" s="399"/>
      <c r="DI822" s="399"/>
      <c r="DJ822" s="399"/>
      <c r="DK822" s="399"/>
      <c r="DL822" s="399"/>
      <c r="DM822" s="399"/>
      <c r="DN822" s="399"/>
      <c r="DO822" s="399"/>
      <c r="DP822" s="399"/>
      <c r="DQ822" s="399"/>
    </row>
    <row r="823" spans="1:121" s="760" customFormat="1" ht="14.45" customHeight="1" x14ac:dyDescent="0.25">
      <c r="A823" s="266">
        <f t="shared" si="12"/>
        <v>51.1</v>
      </c>
      <c r="B823" s="389">
        <v>41323</v>
      </c>
      <c r="C823" s="390" t="s">
        <v>451</v>
      </c>
      <c r="D823" s="391" t="s">
        <v>459</v>
      </c>
      <c r="E823" s="390" t="s">
        <v>552</v>
      </c>
      <c r="F823" s="262" t="s">
        <v>289</v>
      </c>
      <c r="G823" s="262" t="s">
        <v>292</v>
      </c>
      <c r="H823" s="261"/>
      <c r="I823" s="261"/>
      <c r="J823" s="261">
        <v>118</v>
      </c>
      <c r="K823" s="261">
        <v>118</v>
      </c>
      <c r="L823" s="261">
        <v>59</v>
      </c>
      <c r="M823" s="261">
        <v>118</v>
      </c>
      <c r="N823" s="261">
        <v>59</v>
      </c>
      <c r="O823" s="261">
        <v>59</v>
      </c>
      <c r="P823" s="261">
        <v>59</v>
      </c>
      <c r="Q823" s="261">
        <v>59</v>
      </c>
      <c r="R823" s="261"/>
      <c r="S823" s="261"/>
      <c r="T823" s="261"/>
      <c r="U823" s="261"/>
      <c r="V823" s="762"/>
      <c r="W823" s="261"/>
      <c r="X823" s="261"/>
      <c r="Y823" s="264">
        <f>IF(NFI_Expiration=1,IF($A823&lt;VLOOKUP(H$5,NFI,5,0),1,0)*Table_NFI[[#This Row],[Hygiene Kit]],Table_NFI[Hygiene Kit])</f>
        <v>0</v>
      </c>
      <c r="Z823" s="264">
        <f>IF(NFI_Expiration=1,IF($A823&lt;VLOOKUP(I$5,NFI,5,0),1,0)*Table_NFI[[#This Row],[NFI Core Kit]],Table_NFI[NFI Core Kit])</f>
        <v>0</v>
      </c>
      <c r="AA823" s="264">
        <f>IF(NFI_Expiration=1,IF($A823&lt;VLOOKUP(J$5,NFI,5,0),1,0)*Table_NFI[[#This Row],[Sanitary Kit]],Table_NFI[Sanitary Kit])</f>
        <v>0</v>
      </c>
      <c r="AB823" s="264">
        <f>IF(NFI_Expiration=1,IF($A823&lt;VLOOKUP(K$5,NFI,5,0),1,0)*Table_NFI[[#This Row],[Mosquito net]],Table_NFI[Mosquito net])</f>
        <v>0</v>
      </c>
      <c r="AC823" s="264">
        <f>IF(NFI_Expiration=1,IF($A823&lt;VLOOKUP(L$5,NFI,5,0),1,0)*Table_NFI[[#This Row],[Tarpaulin]],Table_NFI[[#This Row],[Tarpaulin]])</f>
        <v>0</v>
      </c>
      <c r="AD823" s="264">
        <f>IF(NFI_Expiration=1,IF($A823&lt;VLOOKUP(M$5,NFI,5,0),1,0)*Table_NFI[[#This Row],[Blanket]],Table_NFI[[#This Row],[Blanket]])</f>
        <v>0</v>
      </c>
      <c r="AE823" s="264">
        <f>IF(NFI_Expiration=1,IF($A823&lt;VLOOKUP(N$5,NFI,5,0),1,0)*Table_NFI[[#This Row],[Kitchen Set]],Table_NFI[Kitchen Set])</f>
        <v>0</v>
      </c>
      <c r="AF823" s="264">
        <f>IF(NFI_Expiration=1,IF($A823&lt;VLOOKUP(O$5,NFI,5,0),1,0)*Table_NFI[[#This Row],[Clothes Kit]],Table_NFI[Clothes Kit])</f>
        <v>0</v>
      </c>
      <c r="AG823" s="264">
        <f>IF(NFI_Expiration=1,IF($A823&lt;VLOOKUP(P$5,NFI,5,0),1,0)*Table_NFI[[#This Row],[Plastic Bucket]],Table_NFI[Plastic Bucket])</f>
        <v>0</v>
      </c>
      <c r="AH823" s="264">
        <f>IF(NFI_Expiration=1,IF($A823&lt;VLOOKUP(Q$5,NFI,5,0),1,0)*Table_NFI[[#This Row],[Plastic Mat]],Table_NFI[Plastic Mat])*IF(Table_NFI[[#This Row],[Distribution Date]]&gt;"2014-04-01",1,2.5)</f>
        <v>0</v>
      </c>
      <c r="AI823" s="264">
        <f>IF(NFI_Expiration=1,IF($A823&lt;VLOOKUP(R$5,NFI,5,0),1,0)*Table_NFI[[#This Row],[Winter Clothes Adult]],Table_NFI[Winter Clothes Adult])</f>
        <v>0</v>
      </c>
      <c r="AJ823" s="264">
        <f>IF(NFI_Expiration=1,IF($A823&lt;VLOOKUP(S$5,NFI,5,0),1,0)*Table_NFI[[#This Row],[Winter Clothes Children]],Table_NFI[Winter Clothes Children])</f>
        <v>0</v>
      </c>
      <c r="AK823" s="264">
        <f>IF(NFI_Expiration=1,IF($A823&lt;VLOOKUP(T$5,NFI,5,0),1,0)*Table_NFI[[#This Row],[Winter Items Other]],Table_NFI[Winter Items Other])</f>
        <v>0</v>
      </c>
      <c r="AL823" s="264">
        <f>IF(NFI_Expiration=1,IF($A823&lt;VLOOKUP(M$5,NFI,5,0),1,0)*Table_NFI[[#This Row],[Winter Blanket]],Table_NFI[[#This Row],[Winter Blanket]])</f>
        <v>0</v>
      </c>
      <c r="AM823" s="264">
        <f>IF(Table_NFI[[#This Row],[Winter Clothes Adult]]+Table_NFI[[#This Row],[Winter Clothes Children]]+Table_NFI[[#This Row],[Winter Items Other]]+Table_NFI[[#This Row],[Winter Blanket]]&gt;0,1,0)</f>
        <v>0</v>
      </c>
      <c r="AN823" s="296">
        <f>IF(NFI_Expiration=1,IF($A823&lt;VLOOKUP(V$5,NFI,5,0),1,0)*Table_NFI[[#This Row],[Jerry Can]],Table_NFI[Jerry Can])</f>
        <v>0</v>
      </c>
      <c r="AO823" s="296">
        <f>IF(NFI_Expiration=1,IF($A823&lt;VLOOKUP(V$5,NFI,5,0),1,0)*Table_NFI[[#This Row],[Shelter Tool kit]],Table_NFI[Shelter Tool kit])</f>
        <v>0</v>
      </c>
      <c r="AP823" s="296">
        <f>IF(NFI_Expiration=1,IF($A823&lt;VLOOKUP(V$5,NFI,5,0),1,0)*Table_NFI[[#This Row],[Tent]],Table_NFI[Tent])</f>
        <v>0</v>
      </c>
      <c r="AQ823" s="396" t="str">
        <f>IFERROR(VLOOKUP(Table_NFI[[#This Row],[Camp Name]],CL,2,0),"")</f>
        <v>MMR015CMP004</v>
      </c>
      <c r="AR823" s="702">
        <f ca="1">IF(Table_NFI[[#This Row],[Pcode]]="","",IF(OFFSET(CampList[Opening Date],MATCH(Table_NFI[[#This Row],[Pcode]],CampList[CP_Pcode],0)-1,0,1,1)&gt;=NFI_Monitor_Date,1,0))</f>
        <v>0</v>
      </c>
      <c r="AS823" s="396" t="str">
        <f>IFERROR(VLOOKUP(Table_NFI[[#This Row],[Camp Name]],CL,3,0),"")</f>
        <v>Open</v>
      </c>
      <c r="AT823" s="264" t="str">
        <f ca="1">IF(Table_NFI[[#This Row],[Pcode]]="","",OFFSET(CampList[Priority],MATCH(Table_NFI[[#This Row],[Pcode]],CampList[CP_Pcode],0)-1,0,1,1))</f>
        <v>P3</v>
      </c>
      <c r="AU823" s="263">
        <f>IFERROR(Table_NFI[[#This Row],[Kitchen Set]]/VLOOKUP(Table_NFI[[#This Row],[Camp Name]],CL,4,0),"")</f>
        <v>1.4179624600447018E-3</v>
      </c>
      <c r="AV823" s="390" t="s">
        <v>1087</v>
      </c>
      <c r="AW823" s="392"/>
      <c r="AX823" s="399"/>
      <c r="AY823" s="399"/>
      <c r="AZ823" s="399"/>
      <c r="BA823" s="399"/>
      <c r="BB823" s="399"/>
      <c r="BC823" s="399"/>
      <c r="BD823" s="399"/>
      <c r="BE823" s="399"/>
      <c r="BF823" s="399"/>
      <c r="BG823" s="399"/>
      <c r="BH823" s="399"/>
      <c r="BI823" s="399"/>
      <c r="BJ823" s="399"/>
      <c r="BK823" s="399"/>
      <c r="BL823" s="399"/>
      <c r="BM823" s="399"/>
      <c r="BN823" s="399"/>
      <c r="BO823" s="399"/>
      <c r="BP823" s="399"/>
      <c r="BQ823" s="399"/>
      <c r="BR823" s="399"/>
      <c r="BS823" s="399"/>
      <c r="BT823" s="399"/>
      <c r="BU823" s="399"/>
      <c r="BV823" s="399"/>
      <c r="BW823" s="399"/>
      <c r="BX823" s="399"/>
      <c r="BY823" s="399"/>
      <c r="BZ823" s="399"/>
      <c r="CA823" s="399"/>
      <c r="CB823" s="399"/>
      <c r="CC823" s="399"/>
      <c r="CD823" s="399"/>
      <c r="CE823" s="399"/>
      <c r="CF823" s="399"/>
      <c r="CG823" s="399"/>
      <c r="CH823" s="399"/>
      <c r="CI823" s="399"/>
      <c r="CJ823" s="399"/>
      <c r="CK823" s="399"/>
      <c r="CL823" s="399"/>
      <c r="CM823" s="399"/>
      <c r="CN823" s="399"/>
      <c r="CO823" s="399"/>
      <c r="CP823" s="399"/>
      <c r="CQ823" s="399"/>
      <c r="CR823" s="399"/>
      <c r="CS823" s="399"/>
      <c r="CT823" s="399"/>
      <c r="CU823" s="399"/>
      <c r="CV823" s="399"/>
      <c r="CW823" s="399"/>
      <c r="CX823" s="399"/>
      <c r="CY823" s="399"/>
      <c r="CZ823" s="399"/>
      <c r="DA823" s="399"/>
      <c r="DB823" s="399"/>
      <c r="DC823" s="399"/>
      <c r="DD823" s="399"/>
      <c r="DE823" s="399"/>
      <c r="DF823" s="399"/>
      <c r="DG823" s="399"/>
      <c r="DH823" s="399"/>
      <c r="DI823" s="399"/>
      <c r="DJ823" s="399"/>
      <c r="DK823" s="399"/>
      <c r="DL823" s="399"/>
      <c r="DM823" s="399"/>
      <c r="DN823" s="399"/>
      <c r="DO823" s="399"/>
      <c r="DP823" s="399"/>
      <c r="DQ823" s="399"/>
    </row>
    <row r="824" spans="1:121" s="760" customFormat="1" ht="14.45" customHeight="1" x14ac:dyDescent="0.25">
      <c r="A824" s="266">
        <f t="shared" si="12"/>
        <v>51.1</v>
      </c>
      <c r="B824" s="389">
        <v>41323</v>
      </c>
      <c r="C824" s="390" t="s">
        <v>451</v>
      </c>
      <c r="D824" s="391" t="s">
        <v>459</v>
      </c>
      <c r="E824" s="390" t="s">
        <v>552</v>
      </c>
      <c r="F824" s="262" t="s">
        <v>289</v>
      </c>
      <c r="G824" s="262" t="s">
        <v>290</v>
      </c>
      <c r="H824" s="261"/>
      <c r="I824" s="261"/>
      <c r="J824" s="261">
        <v>139</v>
      </c>
      <c r="K824" s="261">
        <v>139</v>
      </c>
      <c r="L824" s="261">
        <v>70</v>
      </c>
      <c r="M824" s="261">
        <v>139</v>
      </c>
      <c r="N824" s="261">
        <v>70</v>
      </c>
      <c r="O824" s="261">
        <v>70</v>
      </c>
      <c r="P824" s="261">
        <v>70</v>
      </c>
      <c r="Q824" s="261">
        <v>70</v>
      </c>
      <c r="R824" s="261"/>
      <c r="S824" s="261"/>
      <c r="T824" s="261"/>
      <c r="U824" s="261"/>
      <c r="V824" s="762"/>
      <c r="W824" s="762"/>
      <c r="X824" s="762"/>
      <c r="Y824" s="264">
        <f>IF(NFI_Expiration=1,IF($A824&lt;VLOOKUP(H$5,NFI,5,0),1,0)*Table_NFI[[#This Row],[Hygiene Kit]],Table_NFI[Hygiene Kit])</f>
        <v>0</v>
      </c>
      <c r="Z824" s="264">
        <f>IF(NFI_Expiration=1,IF($A824&lt;VLOOKUP(I$5,NFI,5,0),1,0)*Table_NFI[[#This Row],[NFI Core Kit]],Table_NFI[NFI Core Kit])</f>
        <v>0</v>
      </c>
      <c r="AA824" s="264">
        <f>IF(NFI_Expiration=1,IF($A824&lt;VLOOKUP(J$5,NFI,5,0),1,0)*Table_NFI[[#This Row],[Sanitary Kit]],Table_NFI[Sanitary Kit])</f>
        <v>0</v>
      </c>
      <c r="AB824" s="264">
        <f>IF(NFI_Expiration=1,IF($A824&lt;VLOOKUP(K$5,NFI,5,0),1,0)*Table_NFI[[#This Row],[Mosquito net]],Table_NFI[Mosquito net])</f>
        <v>0</v>
      </c>
      <c r="AC824" s="264">
        <f>IF(NFI_Expiration=1,IF($A824&lt;VLOOKUP(L$5,NFI,5,0),1,0)*Table_NFI[[#This Row],[Tarpaulin]],Table_NFI[[#This Row],[Tarpaulin]])</f>
        <v>0</v>
      </c>
      <c r="AD824" s="264">
        <f>IF(NFI_Expiration=1,IF($A824&lt;VLOOKUP(M$5,NFI,5,0),1,0)*Table_NFI[[#This Row],[Blanket]],Table_NFI[[#This Row],[Blanket]])</f>
        <v>0</v>
      </c>
      <c r="AE824" s="264">
        <f>IF(NFI_Expiration=1,IF($A824&lt;VLOOKUP(N$5,NFI,5,0),1,0)*Table_NFI[[#This Row],[Kitchen Set]],Table_NFI[Kitchen Set])</f>
        <v>0</v>
      </c>
      <c r="AF824" s="264">
        <f>IF(NFI_Expiration=1,IF($A824&lt;VLOOKUP(O$5,NFI,5,0),1,0)*Table_NFI[[#This Row],[Clothes Kit]],Table_NFI[Clothes Kit])</f>
        <v>0</v>
      </c>
      <c r="AG824" s="264">
        <f>IF(NFI_Expiration=1,IF($A824&lt;VLOOKUP(P$5,NFI,5,0),1,0)*Table_NFI[[#This Row],[Plastic Bucket]],Table_NFI[Plastic Bucket])</f>
        <v>0</v>
      </c>
      <c r="AH824" s="264">
        <f>IF(NFI_Expiration=1,IF($A824&lt;VLOOKUP(Q$5,NFI,5,0),1,0)*Table_NFI[[#This Row],[Plastic Mat]],Table_NFI[Plastic Mat])*IF(Table_NFI[[#This Row],[Distribution Date]]&gt;"2014-04-01",1,2.5)</f>
        <v>0</v>
      </c>
      <c r="AI824" s="264">
        <f>IF(NFI_Expiration=1,IF($A824&lt;VLOOKUP(R$5,NFI,5,0),1,0)*Table_NFI[[#This Row],[Winter Clothes Adult]],Table_NFI[Winter Clothes Adult])</f>
        <v>0</v>
      </c>
      <c r="AJ824" s="264">
        <f>IF(NFI_Expiration=1,IF($A824&lt;VLOOKUP(S$5,NFI,5,0),1,0)*Table_NFI[[#This Row],[Winter Clothes Children]],Table_NFI[Winter Clothes Children])</f>
        <v>0</v>
      </c>
      <c r="AK824" s="264">
        <f>IF(NFI_Expiration=1,IF($A824&lt;VLOOKUP(T$5,NFI,5,0),1,0)*Table_NFI[[#This Row],[Winter Items Other]],Table_NFI[Winter Items Other])</f>
        <v>0</v>
      </c>
      <c r="AL824" s="264">
        <f>IF(NFI_Expiration=1,IF($A824&lt;VLOOKUP(M$5,NFI,5,0),1,0)*Table_NFI[[#This Row],[Winter Blanket]],Table_NFI[[#This Row],[Winter Blanket]])</f>
        <v>0</v>
      </c>
      <c r="AM824" s="264">
        <f>IF(Table_NFI[[#This Row],[Winter Clothes Adult]]+Table_NFI[[#This Row],[Winter Clothes Children]]+Table_NFI[[#This Row],[Winter Items Other]]+Table_NFI[[#This Row],[Winter Blanket]]&gt;0,1,0)</f>
        <v>0</v>
      </c>
      <c r="AN824" s="296">
        <f>IF(NFI_Expiration=1,IF($A824&lt;VLOOKUP(V$5,NFI,5,0),1,0)*Table_NFI[[#This Row],[Jerry Can]],Table_NFI[Jerry Can])</f>
        <v>0</v>
      </c>
      <c r="AO824" s="296">
        <f>IF(NFI_Expiration=1,IF($A824&lt;VLOOKUP(V$5,NFI,5,0),1,0)*Table_NFI[[#This Row],[Shelter Tool kit]],Table_NFI[Shelter Tool kit])</f>
        <v>0</v>
      </c>
      <c r="AP824" s="296">
        <f>IF(NFI_Expiration=1,IF($A824&lt;VLOOKUP(V$5,NFI,5,0),1,0)*Table_NFI[[#This Row],[Tent]],Table_NFI[Tent])</f>
        <v>0</v>
      </c>
      <c r="AQ824" s="396" t="str">
        <f>IFERROR(VLOOKUP(Table_NFI[[#This Row],[Camp Name]],CL,2,0),"")</f>
        <v>MMR015CMP001</v>
      </c>
      <c r="AR824" s="702">
        <f ca="1">IF(Table_NFI[[#This Row],[Pcode]]="","",IF(OFFSET(CampList[Opening Date],MATCH(Table_NFI[[#This Row],[Pcode]],CampList[CP_Pcode],0)-1,0,1,1)&gt;=NFI_Monitor_Date,1,0))</f>
        <v>0</v>
      </c>
      <c r="AS824" s="396" t="str">
        <f>IFERROR(VLOOKUP(Table_NFI[[#This Row],[Camp Name]],CL,3,0),"")</f>
        <v>Open</v>
      </c>
      <c r="AT824" s="264" t="str">
        <f ca="1">IF(Table_NFI[[#This Row],[Pcode]]="","",OFFSET(CampList[Priority],MATCH(Table_NFI[[#This Row],[Pcode]],CampList[CP_Pcode],0)-1,0,1,1))</f>
        <v>P3</v>
      </c>
      <c r="AU824" s="263">
        <f>IFERROR(Table_NFI[[#This Row],[Kitchen Set]]/VLOOKUP(Table_NFI[[#This Row],[Camp Name]],CL,4,0),"")</f>
        <v>1.7124125446450413E-3</v>
      </c>
      <c r="AV824" s="390" t="s">
        <v>1087</v>
      </c>
      <c r="AW824" s="392"/>
      <c r="AX824" s="399"/>
      <c r="AY824" s="399"/>
      <c r="AZ824" s="399"/>
      <c r="BA824" s="399"/>
      <c r="BB824" s="399"/>
      <c r="BC824" s="399"/>
      <c r="BD824" s="399"/>
      <c r="BE824" s="399"/>
      <c r="BF824" s="399"/>
      <c r="BG824" s="399"/>
      <c r="BH824" s="399"/>
      <c r="BI824" s="399"/>
      <c r="BJ824" s="399"/>
      <c r="BK824" s="399"/>
      <c r="BL824" s="399"/>
      <c r="BM824" s="399"/>
      <c r="BN824" s="399"/>
      <c r="BO824" s="399"/>
      <c r="BP824" s="399"/>
      <c r="BQ824" s="399"/>
      <c r="BR824" s="399"/>
      <c r="BS824" s="399"/>
      <c r="BT824" s="399"/>
      <c r="BU824" s="399"/>
      <c r="BV824" s="399"/>
      <c r="BW824" s="399"/>
      <c r="BX824" s="399"/>
      <c r="BY824" s="399"/>
      <c r="BZ824" s="399"/>
      <c r="CA824" s="399"/>
      <c r="CB824" s="399"/>
      <c r="CC824" s="399"/>
      <c r="CD824" s="399"/>
      <c r="CE824" s="399"/>
      <c r="CF824" s="399"/>
      <c r="CG824" s="399"/>
      <c r="CH824" s="399"/>
      <c r="CI824" s="399"/>
      <c r="CJ824" s="399"/>
      <c r="CK824" s="399"/>
      <c r="CL824" s="399"/>
      <c r="CM824" s="399"/>
      <c r="CN824" s="399"/>
      <c r="CO824" s="399"/>
      <c r="CP824" s="399"/>
      <c r="CQ824" s="399"/>
      <c r="CR824" s="399"/>
      <c r="CS824" s="399"/>
      <c r="CT824" s="399"/>
      <c r="CU824" s="399"/>
      <c r="CV824" s="399"/>
      <c r="CW824" s="399"/>
      <c r="CX824" s="399"/>
      <c r="CY824" s="399"/>
      <c r="CZ824" s="399"/>
      <c r="DA824" s="399"/>
      <c r="DB824" s="399"/>
      <c r="DC824" s="399"/>
      <c r="DD824" s="399"/>
      <c r="DE824" s="399"/>
      <c r="DF824" s="399"/>
      <c r="DG824" s="399"/>
      <c r="DH824" s="399"/>
      <c r="DI824" s="399"/>
      <c r="DJ824" s="399"/>
      <c r="DK824" s="399"/>
      <c r="DL824" s="399"/>
      <c r="DM824" s="399"/>
      <c r="DN824" s="399"/>
      <c r="DO824" s="399"/>
      <c r="DP824" s="399"/>
      <c r="DQ824" s="399"/>
    </row>
    <row r="825" spans="1:121" s="760" customFormat="1" ht="14.45" customHeight="1" x14ac:dyDescent="0.25">
      <c r="A825" s="266">
        <f t="shared" si="12"/>
        <v>51.1</v>
      </c>
      <c r="B825" s="389">
        <v>41323</v>
      </c>
      <c r="C825" s="390" t="s">
        <v>451</v>
      </c>
      <c r="D825" s="391" t="s">
        <v>459</v>
      </c>
      <c r="E825" s="390" t="s">
        <v>552</v>
      </c>
      <c r="F825" s="262" t="s">
        <v>146</v>
      </c>
      <c r="G825" s="262" t="s">
        <v>149</v>
      </c>
      <c r="H825" s="261"/>
      <c r="I825" s="261"/>
      <c r="J825" s="261">
        <v>86</v>
      </c>
      <c r="K825" s="261">
        <v>86</v>
      </c>
      <c r="L825" s="261">
        <v>43</v>
      </c>
      <c r="M825" s="261">
        <v>86</v>
      </c>
      <c r="N825" s="261">
        <v>43</v>
      </c>
      <c r="O825" s="261">
        <v>43</v>
      </c>
      <c r="P825" s="261">
        <v>43</v>
      </c>
      <c r="Q825" s="261">
        <v>43</v>
      </c>
      <c r="R825" s="261"/>
      <c r="S825" s="261"/>
      <c r="T825" s="261"/>
      <c r="U825" s="261"/>
      <c r="V825" s="762"/>
      <c r="W825" s="261"/>
      <c r="X825" s="261"/>
      <c r="Y825" s="264">
        <f>IF(NFI_Expiration=1,IF($A825&lt;VLOOKUP(H$5,NFI,5,0),1,0)*Table_NFI[[#This Row],[Hygiene Kit]],Table_NFI[Hygiene Kit])</f>
        <v>0</v>
      </c>
      <c r="Z825" s="264">
        <f>IF(NFI_Expiration=1,IF($A825&lt;VLOOKUP(I$5,NFI,5,0),1,0)*Table_NFI[[#This Row],[NFI Core Kit]],Table_NFI[NFI Core Kit])</f>
        <v>0</v>
      </c>
      <c r="AA825" s="264">
        <f>IF(NFI_Expiration=1,IF($A825&lt;VLOOKUP(J$5,NFI,5,0),1,0)*Table_NFI[[#This Row],[Sanitary Kit]],Table_NFI[Sanitary Kit])</f>
        <v>0</v>
      </c>
      <c r="AB825" s="264">
        <f>IF(NFI_Expiration=1,IF($A825&lt;VLOOKUP(K$5,NFI,5,0),1,0)*Table_NFI[[#This Row],[Mosquito net]],Table_NFI[Mosquito net])</f>
        <v>0</v>
      </c>
      <c r="AC825" s="264">
        <f>IF(NFI_Expiration=1,IF($A825&lt;VLOOKUP(L$5,NFI,5,0),1,0)*Table_NFI[[#This Row],[Tarpaulin]],Table_NFI[[#This Row],[Tarpaulin]])</f>
        <v>0</v>
      </c>
      <c r="AD825" s="264">
        <f>IF(NFI_Expiration=1,IF($A825&lt;VLOOKUP(M$5,NFI,5,0),1,0)*Table_NFI[[#This Row],[Blanket]],Table_NFI[[#This Row],[Blanket]])</f>
        <v>0</v>
      </c>
      <c r="AE825" s="264">
        <f>IF(NFI_Expiration=1,IF($A825&lt;VLOOKUP(N$5,NFI,5,0),1,0)*Table_NFI[[#This Row],[Kitchen Set]],Table_NFI[Kitchen Set])</f>
        <v>0</v>
      </c>
      <c r="AF825" s="264">
        <f>IF(NFI_Expiration=1,IF($A825&lt;VLOOKUP(O$5,NFI,5,0),1,0)*Table_NFI[[#This Row],[Clothes Kit]],Table_NFI[Clothes Kit])</f>
        <v>0</v>
      </c>
      <c r="AG825" s="264">
        <f>IF(NFI_Expiration=1,IF($A825&lt;VLOOKUP(P$5,NFI,5,0),1,0)*Table_NFI[[#This Row],[Plastic Bucket]],Table_NFI[Plastic Bucket])</f>
        <v>0</v>
      </c>
      <c r="AH825" s="264">
        <f>IF(NFI_Expiration=1,IF($A825&lt;VLOOKUP(Q$5,NFI,5,0),1,0)*Table_NFI[[#This Row],[Plastic Mat]],Table_NFI[Plastic Mat])*IF(Table_NFI[[#This Row],[Distribution Date]]&gt;"2014-04-01",1,2.5)</f>
        <v>0</v>
      </c>
      <c r="AI825" s="264">
        <f>IF(NFI_Expiration=1,IF($A825&lt;VLOOKUP(R$5,NFI,5,0),1,0)*Table_NFI[[#This Row],[Winter Clothes Adult]],Table_NFI[Winter Clothes Adult])</f>
        <v>0</v>
      </c>
      <c r="AJ825" s="264">
        <f>IF(NFI_Expiration=1,IF($A825&lt;VLOOKUP(S$5,NFI,5,0),1,0)*Table_NFI[[#This Row],[Winter Clothes Children]],Table_NFI[Winter Clothes Children])</f>
        <v>0</v>
      </c>
      <c r="AK825" s="264">
        <f>IF(NFI_Expiration=1,IF($A825&lt;VLOOKUP(T$5,NFI,5,0),1,0)*Table_NFI[[#This Row],[Winter Items Other]],Table_NFI[Winter Items Other])</f>
        <v>0</v>
      </c>
      <c r="AL825" s="264">
        <f>IF(NFI_Expiration=1,IF($A825&lt;VLOOKUP(M$5,NFI,5,0),1,0)*Table_NFI[[#This Row],[Winter Blanket]],Table_NFI[[#This Row],[Winter Blanket]])</f>
        <v>0</v>
      </c>
      <c r="AM825" s="264">
        <f>IF(Table_NFI[[#This Row],[Winter Clothes Adult]]+Table_NFI[[#This Row],[Winter Clothes Children]]+Table_NFI[[#This Row],[Winter Items Other]]+Table_NFI[[#This Row],[Winter Blanket]]&gt;0,1,0)</f>
        <v>0</v>
      </c>
      <c r="AN825" s="296">
        <f>IF(NFI_Expiration=1,IF($A825&lt;VLOOKUP(V$5,NFI,5,0),1,0)*Table_NFI[[#This Row],[Jerry Can]],Table_NFI[Jerry Can])</f>
        <v>0</v>
      </c>
      <c r="AO825" s="296">
        <f>IF(NFI_Expiration=1,IF($A825&lt;VLOOKUP(V$5,NFI,5,0),1,0)*Table_NFI[[#This Row],[Shelter Tool kit]],Table_NFI[Shelter Tool kit])</f>
        <v>0</v>
      </c>
      <c r="AP825" s="296">
        <f>IF(NFI_Expiration=1,IF($A825&lt;VLOOKUP(V$5,NFI,5,0),1,0)*Table_NFI[[#This Row],[Tent]],Table_NFI[Tent])</f>
        <v>0</v>
      </c>
      <c r="AQ825" s="396" t="str">
        <f>IFERROR(VLOOKUP(Table_NFI[[#This Row],[Camp Name]],CL,2,0),"")</f>
        <v>MMR015CMP007</v>
      </c>
      <c r="AR825" s="702">
        <f ca="1">IF(Table_NFI[[#This Row],[Pcode]]="","",IF(OFFSET(CampList[Opening Date],MATCH(Table_NFI[[#This Row],[Pcode]],CampList[CP_Pcode],0)-1,0,1,1)&gt;=NFI_Monitor_Date,1,0))</f>
        <v>0</v>
      </c>
      <c r="AS825" s="396" t="str">
        <f>IFERROR(VLOOKUP(Table_NFI[[#This Row],[Camp Name]],CL,3,0),"")</f>
        <v>Open</v>
      </c>
      <c r="AT825" s="264" t="str">
        <f ca="1">IF(Table_NFI[[#This Row],[Pcode]]="","",OFFSET(CampList[Priority],MATCH(Table_NFI[[#This Row],[Pcode]],CampList[CP_Pcode],0)-1,0,1,1))</f>
        <v>P3</v>
      </c>
      <c r="AU825" s="263">
        <f>IFERROR(Table_NFI[[#This Row],[Kitchen Set]]/VLOOKUP(Table_NFI[[#This Row],[Camp Name]],CL,4,0),"")</f>
        <v>1.0519105631390969E-3</v>
      </c>
      <c r="AV825" s="390" t="s">
        <v>1087</v>
      </c>
      <c r="AW825" s="392"/>
      <c r="AX825" s="399"/>
      <c r="AY825" s="399"/>
      <c r="AZ825" s="399"/>
      <c r="BA825" s="399"/>
      <c r="BB825" s="399"/>
      <c r="BC825" s="399"/>
      <c r="BD825" s="399"/>
      <c r="BE825" s="399"/>
      <c r="BF825" s="399"/>
      <c r="BG825" s="399"/>
      <c r="BH825" s="399"/>
      <c r="BI825" s="399"/>
      <c r="BJ825" s="399"/>
      <c r="BK825" s="399"/>
      <c r="BL825" s="399"/>
      <c r="BM825" s="399"/>
      <c r="BN825" s="399"/>
      <c r="BO825" s="399"/>
      <c r="BP825" s="399"/>
      <c r="BQ825" s="399"/>
      <c r="BR825" s="399"/>
      <c r="BS825" s="399"/>
      <c r="BT825" s="399"/>
      <c r="BU825" s="399"/>
      <c r="BV825" s="399"/>
      <c r="BW825" s="399"/>
      <c r="BX825" s="399"/>
      <c r="BY825" s="399"/>
      <c r="BZ825" s="399"/>
      <c r="CA825" s="399"/>
      <c r="CB825" s="399"/>
      <c r="CC825" s="399"/>
      <c r="CD825" s="399"/>
      <c r="CE825" s="399"/>
      <c r="CF825" s="399"/>
      <c r="CG825" s="399"/>
      <c r="CH825" s="399"/>
      <c r="CI825" s="399"/>
      <c r="CJ825" s="399"/>
      <c r="CK825" s="399"/>
      <c r="CL825" s="399"/>
      <c r="CM825" s="399"/>
      <c r="CN825" s="399"/>
      <c r="CO825" s="399"/>
      <c r="CP825" s="399"/>
      <c r="CQ825" s="399"/>
      <c r="CR825" s="399"/>
      <c r="CS825" s="399"/>
      <c r="CT825" s="399"/>
      <c r="CU825" s="399"/>
      <c r="CV825" s="399"/>
      <c r="CW825" s="399"/>
      <c r="CX825" s="399"/>
      <c r="CY825" s="399"/>
      <c r="CZ825" s="399"/>
      <c r="DA825" s="399"/>
      <c r="DB825" s="399"/>
      <c r="DC825" s="399"/>
      <c r="DD825" s="399"/>
      <c r="DE825" s="399"/>
      <c r="DF825" s="399"/>
      <c r="DG825" s="399"/>
      <c r="DH825" s="399"/>
      <c r="DI825" s="399"/>
      <c r="DJ825" s="399"/>
      <c r="DK825" s="399"/>
      <c r="DL825" s="399"/>
      <c r="DM825" s="399"/>
      <c r="DN825" s="399"/>
      <c r="DO825" s="399"/>
      <c r="DP825" s="399"/>
      <c r="DQ825" s="399"/>
    </row>
    <row r="826" spans="1:121" s="760" customFormat="1" ht="14.45" customHeight="1" x14ac:dyDescent="0.25">
      <c r="A826" s="266">
        <f t="shared" si="12"/>
        <v>51.1</v>
      </c>
      <c r="B826" s="389">
        <v>41323</v>
      </c>
      <c r="C826" s="390" t="s">
        <v>451</v>
      </c>
      <c r="D826" s="391" t="s">
        <v>459</v>
      </c>
      <c r="E826" s="390" t="s">
        <v>552</v>
      </c>
      <c r="F826" s="262" t="s">
        <v>298</v>
      </c>
      <c r="G826" s="262" t="s">
        <v>592</v>
      </c>
      <c r="H826" s="261"/>
      <c r="I826" s="261"/>
      <c r="J826" s="261">
        <v>90</v>
      </c>
      <c r="K826" s="261">
        <v>90</v>
      </c>
      <c r="L826" s="261">
        <v>45</v>
      </c>
      <c r="M826" s="261">
        <v>90</v>
      </c>
      <c r="N826" s="261">
        <v>45</v>
      </c>
      <c r="O826" s="261">
        <v>45</v>
      </c>
      <c r="P826" s="261">
        <v>45</v>
      </c>
      <c r="Q826" s="261">
        <v>45</v>
      </c>
      <c r="R826" s="261"/>
      <c r="S826" s="261"/>
      <c r="T826" s="261"/>
      <c r="U826" s="261"/>
      <c r="V826" s="762"/>
      <c r="W826" s="261"/>
      <c r="X826" s="261"/>
      <c r="Y826" s="264">
        <f>IF(NFI_Expiration=1,IF($A826&lt;VLOOKUP(H$5,NFI,5,0),1,0)*Table_NFI[[#This Row],[Hygiene Kit]],Table_NFI[Hygiene Kit])</f>
        <v>0</v>
      </c>
      <c r="Z826" s="264">
        <f>IF(NFI_Expiration=1,IF($A826&lt;VLOOKUP(I$5,NFI,5,0),1,0)*Table_NFI[[#This Row],[NFI Core Kit]],Table_NFI[NFI Core Kit])</f>
        <v>0</v>
      </c>
      <c r="AA826" s="264">
        <f>IF(NFI_Expiration=1,IF($A826&lt;VLOOKUP(J$5,NFI,5,0),1,0)*Table_NFI[[#This Row],[Sanitary Kit]],Table_NFI[Sanitary Kit])</f>
        <v>0</v>
      </c>
      <c r="AB826" s="264">
        <f>IF(NFI_Expiration=1,IF($A826&lt;VLOOKUP(K$5,NFI,5,0),1,0)*Table_NFI[[#This Row],[Mosquito net]],Table_NFI[Mosquito net])</f>
        <v>0</v>
      </c>
      <c r="AC826" s="264">
        <f>IF(NFI_Expiration=1,IF($A826&lt;VLOOKUP(L$5,NFI,5,0),1,0)*Table_NFI[[#This Row],[Tarpaulin]],Table_NFI[[#This Row],[Tarpaulin]])</f>
        <v>0</v>
      </c>
      <c r="AD826" s="264">
        <f>IF(NFI_Expiration=1,IF($A826&lt;VLOOKUP(M$5,NFI,5,0),1,0)*Table_NFI[[#This Row],[Blanket]],Table_NFI[[#This Row],[Blanket]])</f>
        <v>0</v>
      </c>
      <c r="AE826" s="264">
        <f>IF(NFI_Expiration=1,IF($A826&lt;VLOOKUP(N$5,NFI,5,0),1,0)*Table_NFI[[#This Row],[Kitchen Set]],Table_NFI[Kitchen Set])</f>
        <v>0</v>
      </c>
      <c r="AF826" s="264">
        <f>IF(NFI_Expiration=1,IF($A826&lt;VLOOKUP(O$5,NFI,5,0),1,0)*Table_NFI[[#This Row],[Clothes Kit]],Table_NFI[Clothes Kit])</f>
        <v>0</v>
      </c>
      <c r="AG826" s="264">
        <f>IF(NFI_Expiration=1,IF($A826&lt;VLOOKUP(P$5,NFI,5,0),1,0)*Table_NFI[[#This Row],[Plastic Bucket]],Table_NFI[Plastic Bucket])</f>
        <v>0</v>
      </c>
      <c r="AH826" s="264">
        <f>IF(NFI_Expiration=1,IF($A826&lt;VLOOKUP(Q$5,NFI,5,0),1,0)*Table_NFI[[#This Row],[Plastic Mat]],Table_NFI[Plastic Mat])*IF(Table_NFI[[#This Row],[Distribution Date]]&gt;"2014-04-01",1,2.5)</f>
        <v>0</v>
      </c>
      <c r="AI826" s="264">
        <f>IF(NFI_Expiration=1,IF($A826&lt;VLOOKUP(R$5,NFI,5,0),1,0)*Table_NFI[[#This Row],[Winter Clothes Adult]],Table_NFI[Winter Clothes Adult])</f>
        <v>0</v>
      </c>
      <c r="AJ826" s="264">
        <f>IF(NFI_Expiration=1,IF($A826&lt;VLOOKUP(S$5,NFI,5,0),1,0)*Table_NFI[[#This Row],[Winter Clothes Children]],Table_NFI[Winter Clothes Children])</f>
        <v>0</v>
      </c>
      <c r="AK826" s="264">
        <f>IF(NFI_Expiration=1,IF($A826&lt;VLOOKUP(T$5,NFI,5,0),1,0)*Table_NFI[[#This Row],[Winter Items Other]],Table_NFI[Winter Items Other])</f>
        <v>0</v>
      </c>
      <c r="AL826" s="264">
        <f>IF(NFI_Expiration=1,IF($A826&lt;VLOOKUP(M$5,NFI,5,0),1,0)*Table_NFI[[#This Row],[Winter Blanket]],Table_NFI[[#This Row],[Winter Blanket]])</f>
        <v>0</v>
      </c>
      <c r="AM826" s="264">
        <f>IF(Table_NFI[[#This Row],[Winter Clothes Adult]]+Table_NFI[[#This Row],[Winter Clothes Children]]+Table_NFI[[#This Row],[Winter Items Other]]+Table_NFI[[#This Row],[Winter Blanket]]&gt;0,1,0)</f>
        <v>0</v>
      </c>
      <c r="AN826" s="296">
        <f>IF(NFI_Expiration=1,IF($A826&lt;VLOOKUP(V$5,NFI,5,0),1,0)*Table_NFI[[#This Row],[Jerry Can]],Table_NFI[Jerry Can])</f>
        <v>0</v>
      </c>
      <c r="AO826" s="296">
        <f>IF(NFI_Expiration=1,IF($A826&lt;VLOOKUP(V$5,NFI,5,0),1,0)*Table_NFI[[#This Row],[Shelter Tool kit]],Table_NFI[Shelter Tool kit])</f>
        <v>0</v>
      </c>
      <c r="AP826" s="296">
        <f>IF(NFI_Expiration=1,IF($A826&lt;VLOOKUP(V$5,NFI,5,0),1,0)*Table_NFI[[#This Row],[Tent]],Table_NFI[Tent])</f>
        <v>0</v>
      </c>
      <c r="AQ826" s="396" t="str">
        <f>IFERROR(VLOOKUP(Table_NFI[[#This Row],[Camp Name]],CL,2,0),"")</f>
        <v>MMR015CMP210</v>
      </c>
      <c r="AR826" s="702">
        <f ca="1">IF(Table_NFI[[#This Row],[Pcode]]="","",IF(OFFSET(CampList[Opening Date],MATCH(Table_NFI[[#This Row],[Pcode]],CampList[CP_Pcode],0)-1,0,1,1)&gt;=NFI_Monitor_Date,1,0))</f>
        <v>0</v>
      </c>
      <c r="AS826" s="396" t="str">
        <f>IFERROR(VLOOKUP(Table_NFI[[#This Row],[Camp Name]],CL,3,0),"")</f>
        <v>Open</v>
      </c>
      <c r="AT826" s="264" t="str">
        <f ca="1">IF(Table_NFI[[#This Row],[Pcode]]="","",OFFSET(CampList[Priority],MATCH(Table_NFI[[#This Row],[Pcode]],CampList[CP_Pcode],0)-1,0,1,1))</f>
        <v>P3</v>
      </c>
      <c r="AU826" s="263" t="str">
        <f>IFERROR(Table_NFI[[#This Row],[Kitchen Set]]/VLOOKUP(Table_NFI[[#This Row],[Camp Name]],CL,4,0),"")</f>
        <v/>
      </c>
      <c r="AV826" s="390" t="s">
        <v>1087</v>
      </c>
      <c r="AW826" s="392"/>
      <c r="AX826" s="399"/>
      <c r="AY826" s="399"/>
      <c r="AZ826" s="399"/>
      <c r="BA826" s="399"/>
      <c r="BB826" s="399"/>
      <c r="BC826" s="399"/>
      <c r="BD826" s="399"/>
      <c r="BE826" s="399"/>
      <c r="BF826" s="399"/>
      <c r="BG826" s="399"/>
      <c r="BH826" s="399"/>
      <c r="BI826" s="399"/>
      <c r="BJ826" s="399"/>
      <c r="BK826" s="399"/>
      <c r="BL826" s="399"/>
      <c r="BM826" s="399"/>
      <c r="BN826" s="399"/>
      <c r="BO826" s="399"/>
      <c r="BP826" s="399"/>
      <c r="BQ826" s="399"/>
      <c r="BR826" s="399"/>
      <c r="BS826" s="399"/>
      <c r="BT826" s="399"/>
      <c r="BU826" s="399"/>
      <c r="BV826" s="399"/>
      <c r="BW826" s="399"/>
      <c r="BX826" s="399"/>
      <c r="BY826" s="399"/>
      <c r="BZ826" s="399"/>
      <c r="CA826" s="399"/>
      <c r="CB826" s="399"/>
      <c r="CC826" s="399"/>
      <c r="CD826" s="399"/>
      <c r="CE826" s="399"/>
      <c r="CF826" s="399"/>
      <c r="CG826" s="399"/>
      <c r="CH826" s="399"/>
      <c r="CI826" s="399"/>
      <c r="CJ826" s="399"/>
      <c r="CK826" s="399"/>
      <c r="CL826" s="399"/>
      <c r="CM826" s="399"/>
      <c r="CN826" s="399"/>
      <c r="CO826" s="399"/>
      <c r="CP826" s="399"/>
      <c r="CQ826" s="399"/>
      <c r="CR826" s="399"/>
      <c r="CS826" s="399"/>
      <c r="CT826" s="399"/>
      <c r="CU826" s="399"/>
      <c r="CV826" s="399"/>
      <c r="CW826" s="399"/>
      <c r="CX826" s="399"/>
      <c r="CY826" s="399"/>
      <c r="CZ826" s="399"/>
      <c r="DA826" s="399"/>
      <c r="DB826" s="399"/>
      <c r="DC826" s="399"/>
      <c r="DD826" s="399"/>
      <c r="DE826" s="399"/>
      <c r="DF826" s="399"/>
      <c r="DG826" s="399"/>
      <c r="DH826" s="399"/>
      <c r="DI826" s="399"/>
      <c r="DJ826" s="399"/>
      <c r="DK826" s="399"/>
      <c r="DL826" s="399"/>
      <c r="DM826" s="399"/>
      <c r="DN826" s="399"/>
      <c r="DO826" s="399"/>
      <c r="DP826" s="399"/>
      <c r="DQ826" s="399"/>
    </row>
    <row r="827" spans="1:121" s="760" customFormat="1" ht="15" customHeight="1" x14ac:dyDescent="0.25">
      <c r="A827" s="266">
        <f t="shared" si="12"/>
        <v>51.1</v>
      </c>
      <c r="B827" s="389">
        <v>41323</v>
      </c>
      <c r="C827" s="390" t="s">
        <v>451</v>
      </c>
      <c r="D827" s="391" t="s">
        <v>459</v>
      </c>
      <c r="E827" s="390" t="s">
        <v>552</v>
      </c>
      <c r="F827" s="262" t="s">
        <v>230</v>
      </c>
      <c r="G827" s="262" t="s">
        <v>233</v>
      </c>
      <c r="H827" s="261"/>
      <c r="I827" s="261"/>
      <c r="J827" s="261">
        <v>60</v>
      </c>
      <c r="K827" s="261">
        <v>60</v>
      </c>
      <c r="L827" s="261">
        <v>30</v>
      </c>
      <c r="M827" s="261">
        <v>60</v>
      </c>
      <c r="N827" s="261">
        <v>30</v>
      </c>
      <c r="O827" s="261">
        <v>30</v>
      </c>
      <c r="P827" s="261">
        <v>30</v>
      </c>
      <c r="Q827" s="261">
        <v>30</v>
      </c>
      <c r="R827" s="261"/>
      <c r="S827" s="261"/>
      <c r="T827" s="261"/>
      <c r="U827" s="261"/>
      <c r="V827" s="762"/>
      <c r="W827" s="261"/>
      <c r="X827" s="261"/>
      <c r="Y827" s="264">
        <f>IF(NFI_Expiration=1,IF($A827&lt;VLOOKUP(H$5,NFI,5,0),1,0)*Table_NFI[[#This Row],[Hygiene Kit]],Table_NFI[Hygiene Kit])</f>
        <v>0</v>
      </c>
      <c r="Z827" s="264">
        <f>IF(NFI_Expiration=1,IF($A827&lt;VLOOKUP(I$5,NFI,5,0),1,0)*Table_NFI[[#This Row],[NFI Core Kit]],Table_NFI[NFI Core Kit])</f>
        <v>0</v>
      </c>
      <c r="AA827" s="264">
        <f>IF(NFI_Expiration=1,IF($A827&lt;VLOOKUP(J$5,NFI,5,0),1,0)*Table_NFI[[#This Row],[Sanitary Kit]],Table_NFI[Sanitary Kit])</f>
        <v>0</v>
      </c>
      <c r="AB827" s="264">
        <f>IF(NFI_Expiration=1,IF($A827&lt;VLOOKUP(K$5,NFI,5,0),1,0)*Table_NFI[[#This Row],[Mosquito net]],Table_NFI[Mosquito net])</f>
        <v>0</v>
      </c>
      <c r="AC827" s="264">
        <f>IF(NFI_Expiration=1,IF($A827&lt;VLOOKUP(L$5,NFI,5,0),1,0)*Table_NFI[[#This Row],[Tarpaulin]],Table_NFI[[#This Row],[Tarpaulin]])</f>
        <v>0</v>
      </c>
      <c r="AD827" s="264">
        <f>IF(NFI_Expiration=1,IF($A827&lt;VLOOKUP(M$5,NFI,5,0),1,0)*Table_NFI[[#This Row],[Blanket]],Table_NFI[[#This Row],[Blanket]])</f>
        <v>0</v>
      </c>
      <c r="AE827" s="264">
        <f>IF(NFI_Expiration=1,IF($A827&lt;VLOOKUP(N$5,NFI,5,0),1,0)*Table_NFI[[#This Row],[Kitchen Set]],Table_NFI[Kitchen Set])</f>
        <v>0</v>
      </c>
      <c r="AF827" s="264">
        <f>IF(NFI_Expiration=1,IF($A827&lt;VLOOKUP(O$5,NFI,5,0),1,0)*Table_NFI[[#This Row],[Clothes Kit]],Table_NFI[Clothes Kit])</f>
        <v>0</v>
      </c>
      <c r="AG827" s="264">
        <f>IF(NFI_Expiration=1,IF($A827&lt;VLOOKUP(P$5,NFI,5,0),1,0)*Table_NFI[[#This Row],[Plastic Bucket]],Table_NFI[Plastic Bucket])</f>
        <v>0</v>
      </c>
      <c r="AH827" s="264">
        <f>IF(NFI_Expiration=1,IF($A827&lt;VLOOKUP(Q$5,NFI,5,0),1,0)*Table_NFI[[#This Row],[Plastic Mat]],Table_NFI[Plastic Mat])*IF(Table_NFI[[#This Row],[Distribution Date]]&gt;"2014-04-01",1,2.5)</f>
        <v>0</v>
      </c>
      <c r="AI827" s="264">
        <f>IF(NFI_Expiration=1,IF($A827&lt;VLOOKUP(R$5,NFI,5,0),1,0)*Table_NFI[[#This Row],[Winter Clothes Adult]],Table_NFI[Winter Clothes Adult])</f>
        <v>0</v>
      </c>
      <c r="AJ827" s="264">
        <f>IF(NFI_Expiration=1,IF($A827&lt;VLOOKUP(S$5,NFI,5,0),1,0)*Table_NFI[[#This Row],[Winter Clothes Children]],Table_NFI[Winter Clothes Children])</f>
        <v>0</v>
      </c>
      <c r="AK827" s="264">
        <f>IF(NFI_Expiration=1,IF($A827&lt;VLOOKUP(T$5,NFI,5,0),1,0)*Table_NFI[[#This Row],[Winter Items Other]],Table_NFI[Winter Items Other])</f>
        <v>0</v>
      </c>
      <c r="AL827" s="264">
        <f>IF(NFI_Expiration=1,IF($A827&lt;VLOOKUP(M$5,NFI,5,0),1,0)*Table_NFI[[#This Row],[Winter Blanket]],Table_NFI[[#This Row],[Winter Blanket]])</f>
        <v>0</v>
      </c>
      <c r="AM827" s="264">
        <f>IF(Table_NFI[[#This Row],[Winter Clothes Adult]]+Table_NFI[[#This Row],[Winter Clothes Children]]+Table_NFI[[#This Row],[Winter Items Other]]+Table_NFI[[#This Row],[Winter Blanket]]&gt;0,1,0)</f>
        <v>0</v>
      </c>
      <c r="AN827" s="296">
        <f>IF(NFI_Expiration=1,IF($A827&lt;VLOOKUP(V$5,NFI,5,0),1,0)*Table_NFI[[#This Row],[Jerry Can]],Table_NFI[Jerry Can])</f>
        <v>0</v>
      </c>
      <c r="AO827" s="296">
        <f>IF(NFI_Expiration=1,IF($A827&lt;VLOOKUP(V$5,NFI,5,0),1,0)*Table_NFI[[#This Row],[Shelter Tool kit]],Table_NFI[Shelter Tool kit])</f>
        <v>0</v>
      </c>
      <c r="AP827" s="296">
        <f>IF(NFI_Expiration=1,IF($A827&lt;VLOOKUP(V$5,NFI,5,0),1,0)*Table_NFI[[#This Row],[Tent]],Table_NFI[Tent])</f>
        <v>0</v>
      </c>
      <c r="AQ827" s="396" t="str">
        <f>IFERROR(VLOOKUP(Table_NFI[[#This Row],[Camp Name]],CL,2,0),"")</f>
        <v>MMR015CMP012</v>
      </c>
      <c r="AR827" s="702">
        <f ca="1">IF(Table_NFI[[#This Row],[Pcode]]="","",IF(OFFSET(CampList[Opening Date],MATCH(Table_NFI[[#This Row],[Pcode]],CampList[CP_Pcode],0)-1,0,1,1)&gt;=NFI_Monitor_Date,1,0))</f>
        <v>0</v>
      </c>
      <c r="AS827" s="396" t="str">
        <f>IFERROR(VLOOKUP(Table_NFI[[#This Row],[Camp Name]],CL,3,0),"")</f>
        <v>Closed</v>
      </c>
      <c r="AT827" s="264" t="str">
        <f ca="1">IF(Table_NFI[[#This Row],[Pcode]]="","",OFFSET(CampList[Priority],MATCH(Table_NFI[[#This Row],[Pcode]],CampList[CP_Pcode],0)-1,0,1,1))</f>
        <v>P1</v>
      </c>
      <c r="AU827" s="263">
        <f>IFERROR(Table_NFI[[#This Row],[Kitchen Set]]/VLOOKUP(Table_NFI[[#This Row],[Camp Name]],CL,4,0),"")</f>
        <v>7.3008688033876035E-4</v>
      </c>
      <c r="AV827" s="390" t="s">
        <v>1087</v>
      </c>
      <c r="AW827" s="392"/>
      <c r="AX827" s="399"/>
      <c r="AY827" s="399"/>
      <c r="AZ827" s="399"/>
      <c r="BA827" s="399"/>
      <c r="BB827" s="399"/>
      <c r="BC827" s="399"/>
      <c r="BD827" s="399"/>
      <c r="BE827" s="399"/>
      <c r="BF827" s="399"/>
      <c r="BG827" s="399"/>
      <c r="BH827" s="399"/>
      <c r="BI827" s="399"/>
      <c r="BJ827" s="399"/>
      <c r="BK827" s="399"/>
      <c r="BL827" s="399"/>
      <c r="BM827" s="399"/>
      <c r="BN827" s="399"/>
      <c r="BO827" s="399"/>
      <c r="BP827" s="399"/>
      <c r="BQ827" s="399"/>
      <c r="BR827" s="399"/>
      <c r="BS827" s="399"/>
      <c r="BT827" s="399"/>
      <c r="BU827" s="399"/>
      <c r="BV827" s="399"/>
      <c r="BW827" s="399"/>
      <c r="BX827" s="399"/>
      <c r="BY827" s="399"/>
      <c r="BZ827" s="399"/>
      <c r="CA827" s="399"/>
      <c r="CB827" s="399"/>
      <c r="CC827" s="399"/>
      <c r="CD827" s="399"/>
      <c r="CE827" s="399"/>
      <c r="CF827" s="399"/>
      <c r="CG827" s="399"/>
      <c r="CH827" s="399"/>
      <c r="CI827" s="399"/>
      <c r="CJ827" s="399"/>
      <c r="CK827" s="399"/>
      <c r="CL827" s="399"/>
      <c r="CM827" s="399"/>
      <c r="CN827" s="399"/>
      <c r="CO827" s="399"/>
      <c r="CP827" s="399"/>
      <c r="CQ827" s="399"/>
      <c r="CR827" s="399"/>
      <c r="CS827" s="399"/>
      <c r="CT827" s="399"/>
      <c r="CU827" s="399"/>
      <c r="CV827" s="399"/>
      <c r="CW827" s="399"/>
      <c r="CX827" s="399"/>
      <c r="CY827" s="399"/>
      <c r="CZ827" s="399"/>
      <c r="DA827" s="399"/>
      <c r="DB827" s="399"/>
      <c r="DC827" s="399"/>
      <c r="DD827" s="399"/>
      <c r="DE827" s="399"/>
      <c r="DF827" s="399"/>
      <c r="DG827" s="399"/>
      <c r="DH827" s="399"/>
      <c r="DI827" s="399"/>
      <c r="DJ827" s="399"/>
      <c r="DK827" s="399"/>
      <c r="DL827" s="399"/>
      <c r="DM827" s="399"/>
      <c r="DN827" s="399"/>
      <c r="DO827" s="399"/>
      <c r="DP827" s="399"/>
      <c r="DQ827" s="399"/>
    </row>
    <row r="828" spans="1:121" s="760" customFormat="1" ht="15" customHeight="1" x14ac:dyDescent="0.25">
      <c r="A828" s="266">
        <f t="shared" si="12"/>
        <v>51.1</v>
      </c>
      <c r="B828" s="389">
        <v>41323</v>
      </c>
      <c r="C828" s="390" t="s">
        <v>451</v>
      </c>
      <c r="D828" s="391" t="s">
        <v>459</v>
      </c>
      <c r="E828" s="390" t="s">
        <v>552</v>
      </c>
      <c r="F828" s="262" t="s">
        <v>289</v>
      </c>
      <c r="G828" s="262" t="s">
        <v>361</v>
      </c>
      <c r="H828" s="261"/>
      <c r="I828" s="261"/>
      <c r="J828" s="261">
        <v>16</v>
      </c>
      <c r="K828" s="261">
        <v>16</v>
      </c>
      <c r="L828" s="261">
        <v>8</v>
      </c>
      <c r="M828" s="261">
        <v>16</v>
      </c>
      <c r="N828" s="261">
        <v>8</v>
      </c>
      <c r="O828" s="261">
        <v>8</v>
      </c>
      <c r="P828" s="261">
        <v>8</v>
      </c>
      <c r="Q828" s="261">
        <v>8</v>
      </c>
      <c r="R828" s="261"/>
      <c r="S828" s="261"/>
      <c r="T828" s="261"/>
      <c r="U828" s="261"/>
      <c r="V828" s="762"/>
      <c r="W828" s="261"/>
      <c r="X828" s="261"/>
      <c r="Y828" s="264">
        <f>IF(NFI_Expiration=1,IF($A828&lt;VLOOKUP(H$5,NFI,5,0),1,0)*Table_NFI[[#This Row],[Hygiene Kit]],Table_NFI[Hygiene Kit])</f>
        <v>0</v>
      </c>
      <c r="Z828" s="264">
        <f>IF(NFI_Expiration=1,IF($A828&lt;VLOOKUP(I$5,NFI,5,0),1,0)*Table_NFI[[#This Row],[NFI Core Kit]],Table_NFI[NFI Core Kit])</f>
        <v>0</v>
      </c>
      <c r="AA828" s="264">
        <f>IF(NFI_Expiration=1,IF($A828&lt;VLOOKUP(J$5,NFI,5,0),1,0)*Table_NFI[[#This Row],[Sanitary Kit]],Table_NFI[Sanitary Kit])</f>
        <v>0</v>
      </c>
      <c r="AB828" s="264">
        <f>IF(NFI_Expiration=1,IF($A828&lt;VLOOKUP(K$5,NFI,5,0),1,0)*Table_NFI[[#This Row],[Mosquito net]],Table_NFI[Mosquito net])</f>
        <v>0</v>
      </c>
      <c r="AC828" s="264">
        <f>IF(NFI_Expiration=1,IF($A828&lt;VLOOKUP(L$5,NFI,5,0),1,0)*Table_NFI[[#This Row],[Tarpaulin]],Table_NFI[[#This Row],[Tarpaulin]])</f>
        <v>0</v>
      </c>
      <c r="AD828" s="264">
        <f>IF(NFI_Expiration=1,IF($A828&lt;VLOOKUP(M$5,NFI,5,0),1,0)*Table_NFI[[#This Row],[Blanket]],Table_NFI[[#This Row],[Blanket]])</f>
        <v>0</v>
      </c>
      <c r="AE828" s="264">
        <f>IF(NFI_Expiration=1,IF($A828&lt;VLOOKUP(N$5,NFI,5,0),1,0)*Table_NFI[[#This Row],[Kitchen Set]],Table_NFI[Kitchen Set])</f>
        <v>0</v>
      </c>
      <c r="AF828" s="264">
        <f>IF(NFI_Expiration=1,IF($A828&lt;VLOOKUP(O$5,NFI,5,0),1,0)*Table_NFI[[#This Row],[Clothes Kit]],Table_NFI[Clothes Kit])</f>
        <v>0</v>
      </c>
      <c r="AG828" s="264">
        <f>IF(NFI_Expiration=1,IF($A828&lt;VLOOKUP(P$5,NFI,5,0),1,0)*Table_NFI[[#This Row],[Plastic Bucket]],Table_NFI[Plastic Bucket])</f>
        <v>0</v>
      </c>
      <c r="AH828" s="264">
        <f>IF(NFI_Expiration=1,IF($A828&lt;VLOOKUP(Q$5,NFI,5,0),1,0)*Table_NFI[[#This Row],[Plastic Mat]],Table_NFI[Plastic Mat])*IF(Table_NFI[[#This Row],[Distribution Date]]&gt;"2014-04-01",1,2.5)</f>
        <v>0</v>
      </c>
      <c r="AI828" s="264">
        <f>IF(NFI_Expiration=1,IF($A828&lt;VLOOKUP(R$5,NFI,5,0),1,0)*Table_NFI[[#This Row],[Winter Clothes Adult]],Table_NFI[Winter Clothes Adult])</f>
        <v>0</v>
      </c>
      <c r="AJ828" s="264">
        <f>IF(NFI_Expiration=1,IF($A828&lt;VLOOKUP(S$5,NFI,5,0),1,0)*Table_NFI[[#This Row],[Winter Clothes Children]],Table_NFI[Winter Clothes Children])</f>
        <v>0</v>
      </c>
      <c r="AK828" s="264">
        <f>IF(NFI_Expiration=1,IF($A828&lt;VLOOKUP(T$5,NFI,5,0),1,0)*Table_NFI[[#This Row],[Winter Items Other]],Table_NFI[Winter Items Other])</f>
        <v>0</v>
      </c>
      <c r="AL828" s="264">
        <f>IF(NFI_Expiration=1,IF($A828&lt;VLOOKUP(M$5,NFI,5,0),1,0)*Table_NFI[[#This Row],[Winter Blanket]],Table_NFI[[#This Row],[Winter Blanket]])</f>
        <v>0</v>
      </c>
      <c r="AM828" s="264">
        <f>IF(Table_NFI[[#This Row],[Winter Clothes Adult]]+Table_NFI[[#This Row],[Winter Clothes Children]]+Table_NFI[[#This Row],[Winter Items Other]]+Table_NFI[[#This Row],[Winter Blanket]]&gt;0,1,0)</f>
        <v>0</v>
      </c>
      <c r="AN828" s="296">
        <f>IF(NFI_Expiration=1,IF($A828&lt;VLOOKUP(V$5,NFI,5,0),1,0)*Table_NFI[[#This Row],[Jerry Can]],Table_NFI[Jerry Can])</f>
        <v>0</v>
      </c>
      <c r="AO828" s="296">
        <f>IF(NFI_Expiration=1,IF($A828&lt;VLOOKUP(V$5,NFI,5,0),1,0)*Table_NFI[[#This Row],[Shelter Tool kit]],Table_NFI[Shelter Tool kit])</f>
        <v>0</v>
      </c>
      <c r="AP828" s="296">
        <f>IF(NFI_Expiration=1,IF($A828&lt;VLOOKUP(V$5,NFI,5,0),1,0)*Table_NFI[[#This Row],[Tent]],Table_NFI[Tent])</f>
        <v>0</v>
      </c>
      <c r="AQ828" s="396" t="str">
        <f>IFERROR(VLOOKUP(Table_NFI[[#This Row],[Camp Name]],CL,2,0),"")</f>
        <v>MMR015CMP139</v>
      </c>
      <c r="AR828" s="702">
        <f ca="1">IF(Table_NFI[[#This Row],[Pcode]]="","",IF(OFFSET(CampList[Opening Date],MATCH(Table_NFI[[#This Row],[Pcode]],CampList[CP_Pcode],0)-1,0,1,1)&gt;=NFI_Monitor_Date,1,0))</f>
        <v>0</v>
      </c>
      <c r="AS828" s="396" t="str">
        <f>IFERROR(VLOOKUP(Table_NFI[[#This Row],[Camp Name]],CL,3,0),"")</f>
        <v>Open</v>
      </c>
      <c r="AT828" s="264" t="str">
        <f ca="1">IF(Table_NFI[[#This Row],[Pcode]]="","",OFFSET(CampList[Priority],MATCH(Table_NFI[[#This Row],[Pcode]],CampList[CP_Pcode],0)-1,0,1,1))</f>
        <v>P2</v>
      </c>
      <c r="AU828" s="263">
        <f>IFERROR(Table_NFI[[#This Row],[Kitchen Set]]/VLOOKUP(Table_NFI[[#This Row],[Camp Name]],CL,4,0),"")</f>
        <v>1.961409272562336E-4</v>
      </c>
      <c r="AV828" s="390" t="s">
        <v>1087</v>
      </c>
      <c r="AW828" s="392"/>
      <c r="AX828" s="399"/>
      <c r="AY828" s="399"/>
      <c r="AZ828" s="399"/>
      <c r="BA828" s="399"/>
      <c r="BB828" s="399"/>
      <c r="BC828" s="399"/>
      <c r="BD828" s="399"/>
      <c r="BE828" s="399"/>
      <c r="BF828" s="399"/>
      <c r="BG828" s="399"/>
      <c r="BH828" s="399"/>
      <c r="BI828" s="399"/>
      <c r="BJ828" s="399"/>
      <c r="BK828" s="399"/>
      <c r="BL828" s="399"/>
      <c r="BM828" s="399"/>
      <c r="BN828" s="399"/>
      <c r="BO828" s="399"/>
      <c r="BP828" s="399"/>
      <c r="BQ828" s="399"/>
      <c r="BR828" s="399"/>
      <c r="BS828" s="399"/>
      <c r="BT828" s="399"/>
      <c r="BU828" s="399"/>
      <c r="BV828" s="399"/>
      <c r="BW828" s="399"/>
      <c r="BX828" s="399"/>
      <c r="BY828" s="399"/>
      <c r="BZ828" s="399"/>
      <c r="CA828" s="399"/>
      <c r="CB828" s="399"/>
      <c r="CC828" s="399"/>
      <c r="CD828" s="399"/>
      <c r="CE828" s="399"/>
      <c r="CF828" s="399"/>
      <c r="CG828" s="399"/>
      <c r="CH828" s="399"/>
      <c r="CI828" s="399"/>
      <c r="CJ828" s="399"/>
      <c r="CK828" s="399"/>
      <c r="CL828" s="399"/>
      <c r="CM828" s="399"/>
      <c r="CN828" s="399"/>
      <c r="CO828" s="399"/>
      <c r="CP828" s="399"/>
      <c r="CQ828" s="399"/>
      <c r="CR828" s="399"/>
      <c r="CS828" s="399"/>
      <c r="CT828" s="399"/>
      <c r="CU828" s="399"/>
      <c r="CV828" s="399"/>
      <c r="CW828" s="399"/>
      <c r="CX828" s="399"/>
      <c r="CY828" s="399"/>
      <c r="CZ828" s="399"/>
      <c r="DA828" s="399"/>
      <c r="DB828" s="399"/>
      <c r="DC828" s="399"/>
      <c r="DD828" s="399"/>
      <c r="DE828" s="399"/>
      <c r="DF828" s="399"/>
      <c r="DG828" s="399"/>
      <c r="DH828" s="399"/>
      <c r="DI828" s="399"/>
      <c r="DJ828" s="399"/>
      <c r="DK828" s="399"/>
      <c r="DL828" s="399"/>
      <c r="DM828" s="399"/>
      <c r="DN828" s="399"/>
      <c r="DO828" s="399"/>
      <c r="DP828" s="399"/>
      <c r="DQ828" s="399"/>
    </row>
    <row r="829" spans="1:121" s="760" customFormat="1" ht="14.45" customHeight="1" x14ac:dyDescent="0.25">
      <c r="A829" s="266">
        <f t="shared" si="12"/>
        <v>51.366666666666667</v>
      </c>
      <c r="B829" s="389">
        <v>41315</v>
      </c>
      <c r="C829" s="390" t="s">
        <v>899</v>
      </c>
      <c r="D829" s="391" t="s">
        <v>899</v>
      </c>
      <c r="E829" s="390" t="s">
        <v>380</v>
      </c>
      <c r="F829" s="262" t="s">
        <v>180</v>
      </c>
      <c r="G829" s="262" t="s">
        <v>181</v>
      </c>
      <c r="H829" s="261"/>
      <c r="I829" s="261"/>
      <c r="J829" s="261"/>
      <c r="K829" s="261"/>
      <c r="L829" s="261">
        <v>20</v>
      </c>
      <c r="M829" s="261"/>
      <c r="N829" s="261">
        <v>12</v>
      </c>
      <c r="O829" s="261"/>
      <c r="P829" s="261">
        <v>0</v>
      </c>
      <c r="Q829" s="261">
        <v>0</v>
      </c>
      <c r="R829" s="261"/>
      <c r="S829" s="261"/>
      <c r="T829" s="261"/>
      <c r="U829" s="261"/>
      <c r="V829" s="762"/>
      <c r="W829" s="261"/>
      <c r="X829" s="261"/>
      <c r="Y829" s="264">
        <f>IF(NFI_Expiration=1,IF($A829&lt;VLOOKUP(H$5,NFI,5,0),1,0)*Table_NFI[[#This Row],[Hygiene Kit]],Table_NFI[Hygiene Kit])</f>
        <v>0</v>
      </c>
      <c r="Z829" s="264">
        <f>IF(NFI_Expiration=1,IF($A829&lt;VLOOKUP(I$5,NFI,5,0),1,0)*Table_NFI[[#This Row],[NFI Core Kit]],Table_NFI[NFI Core Kit])</f>
        <v>0</v>
      </c>
      <c r="AA829" s="264">
        <f>IF(NFI_Expiration=1,IF($A829&lt;VLOOKUP(J$5,NFI,5,0),1,0)*Table_NFI[[#This Row],[Sanitary Kit]],Table_NFI[Sanitary Kit])</f>
        <v>0</v>
      </c>
      <c r="AB829" s="264">
        <f>IF(NFI_Expiration=1,IF($A829&lt;VLOOKUP(K$5,NFI,5,0),1,0)*Table_NFI[[#This Row],[Mosquito net]],Table_NFI[Mosquito net])</f>
        <v>0</v>
      </c>
      <c r="AC829" s="264">
        <f>IF(NFI_Expiration=1,IF($A829&lt;VLOOKUP(L$5,NFI,5,0),1,0)*Table_NFI[[#This Row],[Tarpaulin]],Table_NFI[[#This Row],[Tarpaulin]])</f>
        <v>0</v>
      </c>
      <c r="AD829" s="264">
        <f>IF(NFI_Expiration=1,IF($A829&lt;VLOOKUP(M$5,NFI,5,0),1,0)*Table_NFI[[#This Row],[Blanket]],Table_NFI[[#This Row],[Blanket]])</f>
        <v>0</v>
      </c>
      <c r="AE829" s="264">
        <f>IF(NFI_Expiration=1,IF($A829&lt;VLOOKUP(N$5,NFI,5,0),1,0)*Table_NFI[[#This Row],[Kitchen Set]],Table_NFI[Kitchen Set])</f>
        <v>0</v>
      </c>
      <c r="AF829" s="264">
        <f>IF(NFI_Expiration=1,IF($A829&lt;VLOOKUP(O$5,NFI,5,0),1,0)*Table_NFI[[#This Row],[Clothes Kit]],Table_NFI[Clothes Kit])</f>
        <v>0</v>
      </c>
      <c r="AG829" s="264">
        <f>IF(NFI_Expiration=1,IF($A829&lt;VLOOKUP(P$5,NFI,5,0),1,0)*Table_NFI[[#This Row],[Plastic Bucket]],Table_NFI[Plastic Bucket])</f>
        <v>0</v>
      </c>
      <c r="AH829" s="264">
        <f>IF(NFI_Expiration=1,IF($A829&lt;VLOOKUP(Q$5,NFI,5,0),1,0)*Table_NFI[[#This Row],[Plastic Mat]],Table_NFI[Plastic Mat])*IF(Table_NFI[[#This Row],[Distribution Date]]&gt;"2014-04-01",1,2.5)</f>
        <v>0</v>
      </c>
      <c r="AI829" s="264">
        <f>IF(NFI_Expiration=1,IF($A829&lt;VLOOKUP(R$5,NFI,5,0),1,0)*Table_NFI[[#This Row],[Winter Clothes Adult]],Table_NFI[Winter Clothes Adult])</f>
        <v>0</v>
      </c>
      <c r="AJ829" s="264">
        <f>IF(NFI_Expiration=1,IF($A829&lt;VLOOKUP(S$5,NFI,5,0),1,0)*Table_NFI[[#This Row],[Winter Clothes Children]],Table_NFI[Winter Clothes Children])</f>
        <v>0</v>
      </c>
      <c r="AK829" s="264">
        <f>IF(NFI_Expiration=1,IF($A829&lt;VLOOKUP(T$5,NFI,5,0),1,0)*Table_NFI[[#This Row],[Winter Items Other]],Table_NFI[Winter Items Other])</f>
        <v>0</v>
      </c>
      <c r="AL829" s="264">
        <f>IF(NFI_Expiration=1,IF($A829&lt;VLOOKUP(M$5,NFI,5,0),1,0)*Table_NFI[[#This Row],[Winter Blanket]],Table_NFI[[#This Row],[Winter Blanket]])</f>
        <v>0</v>
      </c>
      <c r="AM829" s="264">
        <f>IF(Table_NFI[[#This Row],[Winter Clothes Adult]]+Table_NFI[[#This Row],[Winter Clothes Children]]+Table_NFI[[#This Row],[Winter Items Other]]+Table_NFI[[#This Row],[Winter Blanket]]&gt;0,1,0)</f>
        <v>0</v>
      </c>
      <c r="AN829" s="296">
        <f>IF(NFI_Expiration=1,IF($A829&lt;VLOOKUP(V$5,NFI,5,0),1,0)*Table_NFI[[#This Row],[Jerry Can]],Table_NFI[Jerry Can])</f>
        <v>0</v>
      </c>
      <c r="AO829" s="296">
        <f>IF(NFI_Expiration=1,IF($A829&lt;VLOOKUP(V$5,NFI,5,0),1,0)*Table_NFI[[#This Row],[Shelter Tool kit]],Table_NFI[Shelter Tool kit])</f>
        <v>0</v>
      </c>
      <c r="AP829" s="296">
        <f>IF(NFI_Expiration=1,IF($A829&lt;VLOOKUP(V$5,NFI,5,0),1,0)*Table_NFI[[#This Row],[Tent]],Table_NFI[Tent])</f>
        <v>0</v>
      </c>
      <c r="AQ829" s="396" t="str">
        <f>IFERROR(VLOOKUP(Table_NFI[[#This Row],[Camp Name]],CL,2,0),"")</f>
        <v>MMR001CMP080</v>
      </c>
      <c r="AR829" s="702">
        <f ca="1">IF(Table_NFI[[#This Row],[Pcode]]="","",IF(OFFSET(CampList[Opening Date],MATCH(Table_NFI[[#This Row],[Pcode]],CampList[CP_Pcode],0)-1,0,1,1)&gt;=NFI_Monitor_Date,1,0))</f>
        <v>0</v>
      </c>
      <c r="AS829" s="396" t="str">
        <f>IFERROR(VLOOKUP(Table_NFI[[#This Row],[Camp Name]],CL,3,0),"")</f>
        <v>Open</v>
      </c>
      <c r="AT829" s="264" t="str">
        <f ca="1">IF(Table_NFI[[#This Row],[Pcode]]="","",OFFSET(CampList[Priority],MATCH(Table_NFI[[#This Row],[Pcode]],CampList[CP_Pcode],0)-1,0,1,1))</f>
        <v>P4</v>
      </c>
      <c r="AU829" s="263">
        <f>IFERROR(Table_NFI[[#This Row],[Kitchen Set]]/VLOOKUP(Table_NFI[[#This Row],[Camp Name]],CL,4,0),"")</f>
        <v>2.9224811865273618E-4</v>
      </c>
      <c r="AV829" s="390" t="s">
        <v>1087</v>
      </c>
      <c r="AW829" s="392"/>
      <c r="AX829" s="399"/>
      <c r="AY829" s="399"/>
      <c r="AZ829" s="399"/>
      <c r="BA829" s="399"/>
      <c r="BB829" s="399"/>
      <c r="BC829" s="399"/>
      <c r="BD829" s="399"/>
      <c r="BE829" s="399"/>
      <c r="BF829" s="399"/>
      <c r="BG829" s="399"/>
      <c r="BH829" s="399"/>
      <c r="BI829" s="399"/>
      <c r="BJ829" s="399"/>
      <c r="BK829" s="399"/>
      <c r="BL829" s="399"/>
      <c r="BM829" s="399"/>
      <c r="BN829" s="399"/>
      <c r="BO829" s="399"/>
      <c r="BP829" s="399"/>
      <c r="BQ829" s="399"/>
      <c r="BR829" s="399"/>
      <c r="BS829" s="399"/>
      <c r="BT829" s="399"/>
      <c r="BU829" s="399"/>
      <c r="BV829" s="399"/>
      <c r="BW829" s="399"/>
      <c r="BX829" s="399"/>
      <c r="BY829" s="399"/>
      <c r="BZ829" s="399"/>
      <c r="CA829" s="399"/>
      <c r="CB829" s="399"/>
      <c r="CC829" s="399"/>
      <c r="CD829" s="399"/>
      <c r="CE829" s="399"/>
      <c r="CF829" s="399"/>
      <c r="CG829" s="399"/>
      <c r="CH829" s="399"/>
      <c r="CI829" s="399"/>
      <c r="CJ829" s="399"/>
      <c r="CK829" s="399"/>
      <c r="CL829" s="399"/>
      <c r="CM829" s="399"/>
      <c r="CN829" s="399"/>
      <c r="CO829" s="399"/>
      <c r="CP829" s="399"/>
      <c r="CQ829" s="399"/>
      <c r="CR829" s="399"/>
      <c r="CS829" s="399"/>
      <c r="CT829" s="399"/>
      <c r="CU829" s="399"/>
      <c r="CV829" s="399"/>
      <c r="CW829" s="399"/>
      <c r="CX829" s="399"/>
      <c r="CY829" s="399"/>
      <c r="CZ829" s="399"/>
      <c r="DA829" s="399"/>
      <c r="DB829" s="399"/>
      <c r="DC829" s="399"/>
      <c r="DD829" s="399"/>
      <c r="DE829" s="399"/>
      <c r="DF829" s="399"/>
      <c r="DG829" s="399"/>
      <c r="DH829" s="399"/>
      <c r="DI829" s="399"/>
      <c r="DJ829" s="399"/>
      <c r="DK829" s="399"/>
      <c r="DL829" s="399"/>
      <c r="DM829" s="399"/>
      <c r="DN829" s="399"/>
      <c r="DO829" s="399"/>
      <c r="DP829" s="399"/>
      <c r="DQ829" s="399"/>
    </row>
    <row r="830" spans="1:121" s="760" customFormat="1" ht="14.45" customHeight="1" x14ac:dyDescent="0.25">
      <c r="A830" s="266">
        <f t="shared" si="12"/>
        <v>51.366666666666667</v>
      </c>
      <c r="B830" s="389">
        <v>41315</v>
      </c>
      <c r="C830" s="390" t="s">
        <v>899</v>
      </c>
      <c r="D830" s="390" t="s">
        <v>899</v>
      </c>
      <c r="E830" s="390" t="s">
        <v>380</v>
      </c>
      <c r="F830" s="262" t="s">
        <v>180</v>
      </c>
      <c r="G830" s="262" t="s">
        <v>183</v>
      </c>
      <c r="H830" s="261"/>
      <c r="I830" s="261"/>
      <c r="J830" s="261"/>
      <c r="K830" s="261"/>
      <c r="L830" s="261">
        <v>36</v>
      </c>
      <c r="M830" s="261"/>
      <c r="N830" s="261">
        <v>22</v>
      </c>
      <c r="O830" s="261"/>
      <c r="P830" s="261">
        <v>0</v>
      </c>
      <c r="Q830" s="261">
        <v>0</v>
      </c>
      <c r="R830" s="261"/>
      <c r="S830" s="261"/>
      <c r="T830" s="261"/>
      <c r="U830" s="261"/>
      <c r="V830" s="762"/>
      <c r="W830" s="261"/>
      <c r="X830" s="261"/>
      <c r="Y830" s="264">
        <f>IF(NFI_Expiration=1,IF($A830&lt;VLOOKUP(H$5,NFI,5,0),1,0)*Table_NFI[[#This Row],[Hygiene Kit]],Table_NFI[Hygiene Kit])</f>
        <v>0</v>
      </c>
      <c r="Z830" s="264">
        <f>IF(NFI_Expiration=1,IF($A830&lt;VLOOKUP(I$5,NFI,5,0),1,0)*Table_NFI[[#This Row],[NFI Core Kit]],Table_NFI[NFI Core Kit])</f>
        <v>0</v>
      </c>
      <c r="AA830" s="264">
        <f>IF(NFI_Expiration=1,IF($A830&lt;VLOOKUP(J$5,NFI,5,0),1,0)*Table_NFI[[#This Row],[Sanitary Kit]],Table_NFI[Sanitary Kit])</f>
        <v>0</v>
      </c>
      <c r="AB830" s="264">
        <f>IF(NFI_Expiration=1,IF($A830&lt;VLOOKUP(K$5,NFI,5,0),1,0)*Table_NFI[[#This Row],[Mosquito net]],Table_NFI[Mosquito net])</f>
        <v>0</v>
      </c>
      <c r="AC830" s="264">
        <f>IF(NFI_Expiration=1,IF($A830&lt;VLOOKUP(L$5,NFI,5,0),1,0)*Table_NFI[[#This Row],[Tarpaulin]],Table_NFI[[#This Row],[Tarpaulin]])</f>
        <v>0</v>
      </c>
      <c r="AD830" s="264">
        <f>IF(NFI_Expiration=1,IF($A830&lt;VLOOKUP(M$5,NFI,5,0),1,0)*Table_NFI[[#This Row],[Blanket]],Table_NFI[[#This Row],[Blanket]])</f>
        <v>0</v>
      </c>
      <c r="AE830" s="264">
        <f>IF(NFI_Expiration=1,IF($A830&lt;VLOOKUP(N$5,NFI,5,0),1,0)*Table_NFI[[#This Row],[Kitchen Set]],Table_NFI[Kitchen Set])</f>
        <v>0</v>
      </c>
      <c r="AF830" s="264">
        <f>IF(NFI_Expiration=1,IF($A830&lt;VLOOKUP(O$5,NFI,5,0),1,0)*Table_NFI[[#This Row],[Clothes Kit]],Table_NFI[Clothes Kit])</f>
        <v>0</v>
      </c>
      <c r="AG830" s="264">
        <f>IF(NFI_Expiration=1,IF($A830&lt;VLOOKUP(P$5,NFI,5,0),1,0)*Table_NFI[[#This Row],[Plastic Bucket]],Table_NFI[Plastic Bucket])</f>
        <v>0</v>
      </c>
      <c r="AH830" s="264">
        <f>IF(NFI_Expiration=1,IF($A830&lt;VLOOKUP(Q$5,NFI,5,0),1,0)*Table_NFI[[#This Row],[Plastic Mat]],Table_NFI[Plastic Mat])*IF(Table_NFI[[#This Row],[Distribution Date]]&gt;"2014-04-01",1,2.5)</f>
        <v>0</v>
      </c>
      <c r="AI830" s="264">
        <f>IF(NFI_Expiration=1,IF($A830&lt;VLOOKUP(R$5,NFI,5,0),1,0)*Table_NFI[[#This Row],[Winter Clothes Adult]],Table_NFI[Winter Clothes Adult])</f>
        <v>0</v>
      </c>
      <c r="AJ830" s="264">
        <f>IF(NFI_Expiration=1,IF($A830&lt;VLOOKUP(S$5,NFI,5,0),1,0)*Table_NFI[[#This Row],[Winter Clothes Children]],Table_NFI[Winter Clothes Children])</f>
        <v>0</v>
      </c>
      <c r="AK830" s="264">
        <f>IF(NFI_Expiration=1,IF($A830&lt;VLOOKUP(T$5,NFI,5,0),1,0)*Table_NFI[[#This Row],[Winter Items Other]],Table_NFI[Winter Items Other])</f>
        <v>0</v>
      </c>
      <c r="AL830" s="264">
        <f>IF(NFI_Expiration=1,IF($A830&lt;VLOOKUP(M$5,NFI,5,0),1,0)*Table_NFI[[#This Row],[Winter Blanket]],Table_NFI[[#This Row],[Winter Blanket]])</f>
        <v>0</v>
      </c>
      <c r="AM830" s="264">
        <f>IF(Table_NFI[[#This Row],[Winter Clothes Adult]]+Table_NFI[[#This Row],[Winter Clothes Children]]+Table_NFI[[#This Row],[Winter Items Other]]+Table_NFI[[#This Row],[Winter Blanket]]&gt;0,1,0)</f>
        <v>0</v>
      </c>
      <c r="AN830" s="296">
        <f>IF(NFI_Expiration=1,IF($A830&lt;VLOOKUP(V$5,NFI,5,0),1,0)*Table_NFI[[#This Row],[Jerry Can]],Table_NFI[Jerry Can])</f>
        <v>0</v>
      </c>
      <c r="AO830" s="296">
        <f>IF(NFI_Expiration=1,IF($A830&lt;VLOOKUP(V$5,NFI,5,0),1,0)*Table_NFI[[#This Row],[Shelter Tool kit]],Table_NFI[Shelter Tool kit])</f>
        <v>0</v>
      </c>
      <c r="AP830" s="296">
        <f>IF(NFI_Expiration=1,IF($A830&lt;VLOOKUP(V$5,NFI,5,0),1,0)*Table_NFI[[#This Row],[Tent]],Table_NFI[Tent])</f>
        <v>0</v>
      </c>
      <c r="AQ830" s="396" t="str">
        <f>IFERROR(VLOOKUP(Table_NFI[[#This Row],[Camp Name]],CL,2,0),"")</f>
        <v>MMR001CMP081</v>
      </c>
      <c r="AR830" s="702">
        <f ca="1">IF(Table_NFI[[#This Row],[Pcode]]="","",IF(OFFSET(CampList[Opening Date],MATCH(Table_NFI[[#This Row],[Pcode]],CampList[CP_Pcode],0)-1,0,1,1)&gt;=NFI_Monitor_Date,1,0))</f>
        <v>0</v>
      </c>
      <c r="AS830" s="396" t="str">
        <f>IFERROR(VLOOKUP(Table_NFI[[#This Row],[Camp Name]],CL,3,0),"")</f>
        <v>Closed</v>
      </c>
      <c r="AT830" s="264" t="str">
        <f ca="1">IF(Table_NFI[[#This Row],[Pcode]]="","",OFFSET(CampList[Priority],MATCH(Table_NFI[[#This Row],[Pcode]],CampList[CP_Pcode],0)-1,0,1,1))</f>
        <v>P4</v>
      </c>
      <c r="AU830" s="263">
        <f>IFERROR(Table_NFI[[#This Row],[Kitchen Set]]/VLOOKUP(Table_NFI[[#This Row],[Camp Name]],CL,4,0),"")</f>
        <v>5.3699138372916109E-4</v>
      </c>
      <c r="AV830" s="390" t="s">
        <v>1087</v>
      </c>
      <c r="AW830" s="392"/>
      <c r="AX830" s="399"/>
      <c r="AY830" s="399"/>
      <c r="AZ830" s="399"/>
      <c r="BA830" s="399"/>
      <c r="BB830" s="399"/>
      <c r="BC830" s="399"/>
      <c r="BD830" s="399"/>
      <c r="BE830" s="399"/>
      <c r="BF830" s="399"/>
      <c r="BG830" s="399"/>
      <c r="BH830" s="399"/>
      <c r="BI830" s="399"/>
      <c r="BJ830" s="399"/>
      <c r="BK830" s="399"/>
      <c r="BL830" s="399"/>
      <c r="BM830" s="399"/>
      <c r="BN830" s="399"/>
      <c r="BO830" s="399"/>
      <c r="BP830" s="399"/>
      <c r="BQ830" s="399"/>
      <c r="BR830" s="399"/>
      <c r="BS830" s="399"/>
      <c r="BT830" s="399"/>
      <c r="BU830" s="399"/>
      <c r="BV830" s="399"/>
      <c r="BW830" s="399"/>
      <c r="BX830" s="399"/>
      <c r="BY830" s="399"/>
      <c r="BZ830" s="399"/>
      <c r="CA830" s="399"/>
      <c r="CB830" s="399"/>
      <c r="CC830" s="399"/>
      <c r="CD830" s="399"/>
      <c r="CE830" s="399"/>
      <c r="CF830" s="399"/>
      <c r="CG830" s="399"/>
      <c r="CH830" s="399"/>
      <c r="CI830" s="399"/>
      <c r="CJ830" s="399"/>
      <c r="CK830" s="399"/>
      <c r="CL830" s="399"/>
      <c r="CM830" s="399"/>
      <c r="CN830" s="399"/>
      <c r="CO830" s="399"/>
      <c r="CP830" s="399"/>
      <c r="CQ830" s="399"/>
      <c r="CR830" s="399"/>
      <c r="CS830" s="399"/>
      <c r="CT830" s="399"/>
      <c r="CU830" s="399"/>
      <c r="CV830" s="399"/>
      <c r="CW830" s="399"/>
      <c r="CX830" s="399"/>
      <c r="CY830" s="399"/>
      <c r="CZ830" s="399"/>
      <c r="DA830" s="399"/>
      <c r="DB830" s="399"/>
      <c r="DC830" s="399"/>
      <c r="DD830" s="399"/>
      <c r="DE830" s="399"/>
      <c r="DF830" s="399"/>
      <c r="DG830" s="399"/>
      <c r="DH830" s="399"/>
      <c r="DI830" s="399"/>
      <c r="DJ830" s="399"/>
      <c r="DK830" s="399"/>
      <c r="DL830" s="399"/>
      <c r="DM830" s="399"/>
      <c r="DN830" s="399"/>
      <c r="DO830" s="399"/>
      <c r="DP830" s="399"/>
      <c r="DQ830" s="399"/>
    </row>
    <row r="831" spans="1:121" s="760" customFormat="1" ht="14.45" customHeight="1" x14ac:dyDescent="0.25">
      <c r="A831" s="266">
        <f t="shared" si="12"/>
        <v>51.4</v>
      </c>
      <c r="B831" s="389">
        <v>41314</v>
      </c>
      <c r="C831" s="390" t="s">
        <v>899</v>
      </c>
      <c r="D831" s="390" t="s">
        <v>899</v>
      </c>
      <c r="E831" s="390" t="s">
        <v>380</v>
      </c>
      <c r="F831" s="390" t="s">
        <v>237</v>
      </c>
      <c r="G831" s="262" t="s">
        <v>253</v>
      </c>
      <c r="H831" s="261"/>
      <c r="I831" s="261"/>
      <c r="J831" s="261"/>
      <c r="K831" s="261"/>
      <c r="L831" s="261">
        <v>177</v>
      </c>
      <c r="M831" s="261">
        <v>10</v>
      </c>
      <c r="N831" s="261">
        <v>10</v>
      </c>
      <c r="O831" s="261"/>
      <c r="P831" s="261">
        <v>0</v>
      </c>
      <c r="Q831" s="261">
        <v>0</v>
      </c>
      <c r="R831" s="261"/>
      <c r="S831" s="261"/>
      <c r="T831" s="261"/>
      <c r="U831" s="261"/>
      <c r="V831" s="762"/>
      <c r="W831" s="261"/>
      <c r="X831" s="261"/>
      <c r="Y831" s="264">
        <f>IF(NFI_Expiration=1,IF($A831&lt;VLOOKUP(H$5,NFI,5,0),1,0)*Table_NFI[[#This Row],[Hygiene Kit]],Table_NFI[Hygiene Kit])</f>
        <v>0</v>
      </c>
      <c r="Z831" s="264">
        <f>IF(NFI_Expiration=1,IF($A831&lt;VLOOKUP(I$5,NFI,5,0),1,0)*Table_NFI[[#This Row],[NFI Core Kit]],Table_NFI[NFI Core Kit])</f>
        <v>0</v>
      </c>
      <c r="AA831" s="264">
        <f>IF(NFI_Expiration=1,IF($A831&lt;VLOOKUP(J$5,NFI,5,0),1,0)*Table_NFI[[#This Row],[Sanitary Kit]],Table_NFI[Sanitary Kit])</f>
        <v>0</v>
      </c>
      <c r="AB831" s="264">
        <f>IF(NFI_Expiration=1,IF($A831&lt;VLOOKUP(K$5,NFI,5,0),1,0)*Table_NFI[[#This Row],[Mosquito net]],Table_NFI[Mosquito net])</f>
        <v>0</v>
      </c>
      <c r="AC831" s="264">
        <f>IF(NFI_Expiration=1,IF($A831&lt;VLOOKUP(L$5,NFI,5,0),1,0)*Table_NFI[[#This Row],[Tarpaulin]],Table_NFI[[#This Row],[Tarpaulin]])</f>
        <v>0</v>
      </c>
      <c r="AD831" s="264">
        <f>IF(NFI_Expiration=1,IF($A831&lt;VLOOKUP(M$5,NFI,5,0),1,0)*Table_NFI[[#This Row],[Blanket]],Table_NFI[[#This Row],[Blanket]])</f>
        <v>0</v>
      </c>
      <c r="AE831" s="264">
        <f>IF(NFI_Expiration=1,IF($A831&lt;VLOOKUP(N$5,NFI,5,0),1,0)*Table_NFI[[#This Row],[Kitchen Set]],Table_NFI[Kitchen Set])</f>
        <v>0</v>
      </c>
      <c r="AF831" s="264">
        <f>IF(NFI_Expiration=1,IF($A831&lt;VLOOKUP(O$5,NFI,5,0),1,0)*Table_NFI[[#This Row],[Clothes Kit]],Table_NFI[Clothes Kit])</f>
        <v>0</v>
      </c>
      <c r="AG831" s="264">
        <f>IF(NFI_Expiration=1,IF($A831&lt;VLOOKUP(P$5,NFI,5,0),1,0)*Table_NFI[[#This Row],[Plastic Bucket]],Table_NFI[Plastic Bucket])</f>
        <v>0</v>
      </c>
      <c r="AH831" s="264">
        <f>IF(NFI_Expiration=1,IF($A831&lt;VLOOKUP(Q$5,NFI,5,0),1,0)*Table_NFI[[#This Row],[Plastic Mat]],Table_NFI[Plastic Mat])*IF(Table_NFI[[#This Row],[Distribution Date]]&gt;"2014-04-01",1,2.5)</f>
        <v>0</v>
      </c>
      <c r="AI831" s="264">
        <f>IF(NFI_Expiration=1,IF($A831&lt;VLOOKUP(R$5,NFI,5,0),1,0)*Table_NFI[[#This Row],[Winter Clothes Adult]],Table_NFI[Winter Clothes Adult])</f>
        <v>0</v>
      </c>
      <c r="AJ831" s="264">
        <f>IF(NFI_Expiration=1,IF($A831&lt;VLOOKUP(S$5,NFI,5,0),1,0)*Table_NFI[[#This Row],[Winter Clothes Children]],Table_NFI[Winter Clothes Children])</f>
        <v>0</v>
      </c>
      <c r="AK831" s="264">
        <f>IF(NFI_Expiration=1,IF($A831&lt;VLOOKUP(T$5,NFI,5,0),1,0)*Table_NFI[[#This Row],[Winter Items Other]],Table_NFI[Winter Items Other])</f>
        <v>0</v>
      </c>
      <c r="AL831" s="264">
        <f>IF(NFI_Expiration=1,IF($A831&lt;VLOOKUP(M$5,NFI,5,0),1,0)*Table_NFI[[#This Row],[Winter Blanket]],Table_NFI[[#This Row],[Winter Blanket]])</f>
        <v>0</v>
      </c>
      <c r="AM831" s="264">
        <f>IF(Table_NFI[[#This Row],[Winter Clothes Adult]]+Table_NFI[[#This Row],[Winter Clothes Children]]+Table_NFI[[#This Row],[Winter Items Other]]+Table_NFI[[#This Row],[Winter Blanket]]&gt;0,1,0)</f>
        <v>0</v>
      </c>
      <c r="AN831" s="296">
        <f>IF(NFI_Expiration=1,IF($A831&lt;VLOOKUP(V$5,NFI,5,0),1,0)*Table_NFI[[#This Row],[Jerry Can]],Table_NFI[Jerry Can])</f>
        <v>0</v>
      </c>
      <c r="AO831" s="296">
        <f>IF(NFI_Expiration=1,IF($A831&lt;VLOOKUP(V$5,NFI,5,0),1,0)*Table_NFI[[#This Row],[Shelter Tool kit]],Table_NFI[Shelter Tool kit])</f>
        <v>0</v>
      </c>
      <c r="AP831" s="296">
        <f>IF(NFI_Expiration=1,IF($A831&lt;VLOOKUP(V$5,NFI,5,0),1,0)*Table_NFI[[#This Row],[Tent]],Table_NFI[Tent])</f>
        <v>0</v>
      </c>
      <c r="AQ831" s="396" t="str">
        <f>IFERROR(VLOOKUP(Table_NFI[[#This Row],[Camp Name]],CL,2,0),"")</f>
        <v>MMR001CMP018</v>
      </c>
      <c r="AR831" s="702">
        <f ca="1">IF(Table_NFI[[#This Row],[Pcode]]="","",IF(OFFSET(CampList[Opening Date],MATCH(Table_NFI[[#This Row],[Pcode]],CampList[CP_Pcode],0)-1,0,1,1)&gt;=NFI_Monitor_Date,1,0))</f>
        <v>0</v>
      </c>
      <c r="AS831" s="396" t="str">
        <f>IFERROR(VLOOKUP(Table_NFI[[#This Row],[Camp Name]],CL,3,0),"")</f>
        <v>Open</v>
      </c>
      <c r="AT831" s="264" t="str">
        <f ca="1">IF(Table_NFI[[#This Row],[Pcode]]="","",OFFSET(CampList[Priority],MATCH(Table_NFI[[#This Row],[Pcode]],CampList[CP_Pcode],0)-1,0,1,1))</f>
        <v>P4</v>
      </c>
      <c r="AU831" s="263">
        <f>IFERROR(Table_NFI[[#This Row],[Kitchen Set]]/VLOOKUP(Table_NFI[[#This Row],[Camp Name]],CL,4,0),"")</f>
        <v>2.4554941682013506E-4</v>
      </c>
      <c r="AV831" s="390" t="s">
        <v>1087</v>
      </c>
      <c r="AW831" s="392"/>
      <c r="AX831" s="399"/>
      <c r="AY831" s="399"/>
      <c r="AZ831" s="399"/>
      <c r="BA831" s="399"/>
      <c r="BB831" s="399"/>
      <c r="BC831" s="399"/>
      <c r="BD831" s="399"/>
      <c r="BE831" s="399"/>
      <c r="BF831" s="399"/>
      <c r="BG831" s="399"/>
      <c r="BH831" s="399"/>
      <c r="BI831" s="399"/>
      <c r="BJ831" s="399"/>
      <c r="BK831" s="399"/>
      <c r="BL831" s="399"/>
      <c r="BM831" s="399"/>
      <c r="BN831" s="399"/>
      <c r="BO831" s="399"/>
      <c r="BP831" s="399"/>
      <c r="BQ831" s="399"/>
      <c r="BR831" s="399"/>
      <c r="BS831" s="399"/>
      <c r="BT831" s="399"/>
      <c r="BU831" s="399"/>
      <c r="BV831" s="399"/>
      <c r="BW831" s="399"/>
      <c r="BX831" s="399"/>
      <c r="BY831" s="399"/>
      <c r="BZ831" s="399"/>
      <c r="CA831" s="399"/>
      <c r="CB831" s="399"/>
      <c r="CC831" s="399"/>
      <c r="CD831" s="399"/>
      <c r="CE831" s="399"/>
      <c r="CF831" s="399"/>
      <c r="CG831" s="399"/>
      <c r="CH831" s="399"/>
      <c r="CI831" s="399"/>
      <c r="CJ831" s="399"/>
      <c r="CK831" s="399"/>
      <c r="CL831" s="399"/>
      <c r="CM831" s="399"/>
      <c r="CN831" s="399"/>
      <c r="CO831" s="399"/>
      <c r="CP831" s="399"/>
      <c r="CQ831" s="399"/>
      <c r="CR831" s="399"/>
      <c r="CS831" s="399"/>
      <c r="CT831" s="399"/>
      <c r="CU831" s="399"/>
      <c r="CV831" s="399"/>
      <c r="CW831" s="399"/>
      <c r="CX831" s="399"/>
      <c r="CY831" s="399"/>
      <c r="CZ831" s="399"/>
      <c r="DA831" s="399"/>
      <c r="DB831" s="399"/>
      <c r="DC831" s="399"/>
      <c r="DD831" s="399"/>
      <c r="DE831" s="399"/>
      <c r="DF831" s="399"/>
      <c r="DG831" s="399"/>
      <c r="DH831" s="399"/>
      <c r="DI831" s="399"/>
      <c r="DJ831" s="399"/>
      <c r="DK831" s="399"/>
      <c r="DL831" s="399"/>
      <c r="DM831" s="399"/>
      <c r="DN831" s="399"/>
      <c r="DO831" s="399"/>
      <c r="DP831" s="399"/>
      <c r="DQ831" s="399"/>
    </row>
    <row r="832" spans="1:121" s="760" customFormat="1" ht="14.45" customHeight="1" x14ac:dyDescent="0.25">
      <c r="A832" s="266">
        <f t="shared" si="12"/>
        <v>51.4</v>
      </c>
      <c r="B832" s="389">
        <v>41314</v>
      </c>
      <c r="C832" s="390" t="s">
        <v>899</v>
      </c>
      <c r="D832" s="391" t="s">
        <v>899</v>
      </c>
      <c r="E832" s="390" t="s">
        <v>380</v>
      </c>
      <c r="F832" s="262" t="s">
        <v>237</v>
      </c>
      <c r="G832" s="262" t="s">
        <v>277</v>
      </c>
      <c r="H832" s="261"/>
      <c r="I832" s="261"/>
      <c r="J832" s="261"/>
      <c r="K832" s="261"/>
      <c r="L832" s="261">
        <v>109</v>
      </c>
      <c r="M832" s="261">
        <v>10</v>
      </c>
      <c r="N832" s="261">
        <v>10</v>
      </c>
      <c r="O832" s="261"/>
      <c r="P832" s="261">
        <v>0</v>
      </c>
      <c r="Q832" s="261">
        <v>0</v>
      </c>
      <c r="R832" s="261"/>
      <c r="S832" s="261"/>
      <c r="T832" s="261"/>
      <c r="U832" s="261"/>
      <c r="V832" s="762"/>
      <c r="W832" s="261"/>
      <c r="X832" s="261"/>
      <c r="Y832" s="264">
        <f>IF(NFI_Expiration=1,IF($A832&lt;VLOOKUP(H$5,NFI,5,0),1,0)*Table_NFI[[#This Row],[Hygiene Kit]],Table_NFI[Hygiene Kit])</f>
        <v>0</v>
      </c>
      <c r="Z832" s="264">
        <f>IF(NFI_Expiration=1,IF($A832&lt;VLOOKUP(I$5,NFI,5,0),1,0)*Table_NFI[[#This Row],[NFI Core Kit]],Table_NFI[NFI Core Kit])</f>
        <v>0</v>
      </c>
      <c r="AA832" s="264">
        <f>IF(NFI_Expiration=1,IF($A832&lt;VLOOKUP(J$5,NFI,5,0),1,0)*Table_NFI[[#This Row],[Sanitary Kit]],Table_NFI[Sanitary Kit])</f>
        <v>0</v>
      </c>
      <c r="AB832" s="264">
        <f>IF(NFI_Expiration=1,IF($A832&lt;VLOOKUP(K$5,NFI,5,0),1,0)*Table_NFI[[#This Row],[Mosquito net]],Table_NFI[Mosquito net])</f>
        <v>0</v>
      </c>
      <c r="AC832" s="264">
        <f>IF(NFI_Expiration=1,IF($A832&lt;VLOOKUP(L$5,NFI,5,0),1,0)*Table_NFI[[#This Row],[Tarpaulin]],Table_NFI[[#This Row],[Tarpaulin]])</f>
        <v>0</v>
      </c>
      <c r="AD832" s="264">
        <f>IF(NFI_Expiration=1,IF($A832&lt;VLOOKUP(M$5,NFI,5,0),1,0)*Table_NFI[[#This Row],[Blanket]],Table_NFI[[#This Row],[Blanket]])</f>
        <v>0</v>
      </c>
      <c r="AE832" s="264">
        <f>IF(NFI_Expiration=1,IF($A832&lt;VLOOKUP(N$5,NFI,5,0),1,0)*Table_NFI[[#This Row],[Kitchen Set]],Table_NFI[Kitchen Set])</f>
        <v>0</v>
      </c>
      <c r="AF832" s="264">
        <f>IF(NFI_Expiration=1,IF($A832&lt;VLOOKUP(O$5,NFI,5,0),1,0)*Table_NFI[[#This Row],[Clothes Kit]],Table_NFI[Clothes Kit])</f>
        <v>0</v>
      </c>
      <c r="AG832" s="264">
        <f>IF(NFI_Expiration=1,IF($A832&lt;VLOOKUP(P$5,NFI,5,0),1,0)*Table_NFI[[#This Row],[Plastic Bucket]],Table_NFI[Plastic Bucket])</f>
        <v>0</v>
      </c>
      <c r="AH832" s="264">
        <f>IF(NFI_Expiration=1,IF($A832&lt;VLOOKUP(Q$5,NFI,5,0),1,0)*Table_NFI[[#This Row],[Plastic Mat]],Table_NFI[Plastic Mat])*IF(Table_NFI[[#This Row],[Distribution Date]]&gt;"2014-04-01",1,2.5)</f>
        <v>0</v>
      </c>
      <c r="AI832" s="264">
        <f>IF(NFI_Expiration=1,IF($A832&lt;VLOOKUP(R$5,NFI,5,0),1,0)*Table_NFI[[#This Row],[Winter Clothes Adult]],Table_NFI[Winter Clothes Adult])</f>
        <v>0</v>
      </c>
      <c r="AJ832" s="264">
        <f>IF(NFI_Expiration=1,IF($A832&lt;VLOOKUP(S$5,NFI,5,0),1,0)*Table_NFI[[#This Row],[Winter Clothes Children]],Table_NFI[Winter Clothes Children])</f>
        <v>0</v>
      </c>
      <c r="AK832" s="264">
        <f>IF(NFI_Expiration=1,IF($A832&lt;VLOOKUP(T$5,NFI,5,0),1,0)*Table_NFI[[#This Row],[Winter Items Other]],Table_NFI[Winter Items Other])</f>
        <v>0</v>
      </c>
      <c r="AL832" s="264">
        <f>IF(NFI_Expiration=1,IF($A832&lt;VLOOKUP(M$5,NFI,5,0),1,0)*Table_NFI[[#This Row],[Winter Blanket]],Table_NFI[[#This Row],[Winter Blanket]])</f>
        <v>0</v>
      </c>
      <c r="AM832" s="264">
        <f>IF(Table_NFI[[#This Row],[Winter Clothes Adult]]+Table_NFI[[#This Row],[Winter Clothes Children]]+Table_NFI[[#This Row],[Winter Items Other]]+Table_NFI[[#This Row],[Winter Blanket]]&gt;0,1,0)</f>
        <v>0</v>
      </c>
      <c r="AN832" s="296">
        <f>IF(NFI_Expiration=1,IF($A832&lt;VLOOKUP(V$5,NFI,5,0),1,0)*Table_NFI[[#This Row],[Jerry Can]],Table_NFI[Jerry Can])</f>
        <v>0</v>
      </c>
      <c r="AO832" s="296">
        <f>IF(NFI_Expiration=1,IF($A832&lt;VLOOKUP(V$5,NFI,5,0),1,0)*Table_NFI[[#This Row],[Shelter Tool kit]],Table_NFI[Shelter Tool kit])</f>
        <v>0</v>
      </c>
      <c r="AP832" s="296">
        <f>IF(NFI_Expiration=1,IF($A832&lt;VLOOKUP(V$5,NFI,5,0),1,0)*Table_NFI[[#This Row],[Tent]],Table_NFI[Tent])</f>
        <v>0</v>
      </c>
      <c r="AQ832" s="396" t="str">
        <f>IFERROR(VLOOKUP(Table_NFI[[#This Row],[Camp Name]],CL,2,0),"")</f>
        <v>MMR001CMP006</v>
      </c>
      <c r="AR832" s="702">
        <f ca="1">IF(Table_NFI[[#This Row],[Pcode]]="","",IF(OFFSET(CampList[Opening Date],MATCH(Table_NFI[[#This Row],[Pcode]],CampList[CP_Pcode],0)-1,0,1,1)&gt;=NFI_Monitor_Date,1,0))</f>
        <v>0</v>
      </c>
      <c r="AS832" s="396" t="str">
        <f>IFERROR(VLOOKUP(Table_NFI[[#This Row],[Camp Name]],CL,3,0),"")</f>
        <v>Open</v>
      </c>
      <c r="AT832" s="264" t="str">
        <f ca="1">IF(Table_NFI[[#This Row],[Pcode]]="","",OFFSET(CampList[Priority],MATCH(Table_NFI[[#This Row],[Pcode]],CampList[CP_Pcode],0)-1,0,1,1))</f>
        <v>P4</v>
      </c>
      <c r="AU832" s="263">
        <f>IFERROR(Table_NFI[[#This Row],[Kitchen Set]]/VLOOKUP(Table_NFI[[#This Row],[Camp Name]],CL,4,0),"")</f>
        <v>2.4536264599077438E-4</v>
      </c>
      <c r="AV832" s="390" t="s">
        <v>1087</v>
      </c>
      <c r="AW832" s="392"/>
      <c r="AX832" s="399"/>
      <c r="AY832" s="399"/>
      <c r="AZ832" s="399"/>
      <c r="BA832" s="399"/>
      <c r="BB832" s="399"/>
      <c r="BC832" s="399"/>
      <c r="BD832" s="399"/>
      <c r="BE832" s="399"/>
      <c r="BF832" s="399"/>
      <c r="BG832" s="399"/>
      <c r="BH832" s="399"/>
      <c r="BI832" s="399"/>
      <c r="BJ832" s="399"/>
      <c r="BK832" s="399"/>
      <c r="BL832" s="399"/>
      <c r="BM832" s="399"/>
      <c r="BN832" s="399"/>
      <c r="BO832" s="399"/>
      <c r="BP832" s="399"/>
      <c r="BQ832" s="399"/>
      <c r="BR832" s="399"/>
      <c r="BS832" s="399"/>
      <c r="BT832" s="399"/>
      <c r="BU832" s="399"/>
      <c r="BV832" s="399"/>
      <c r="BW832" s="399"/>
      <c r="BX832" s="399"/>
      <c r="BY832" s="399"/>
      <c r="BZ832" s="399"/>
      <c r="CA832" s="399"/>
      <c r="CB832" s="399"/>
      <c r="CC832" s="399"/>
      <c r="CD832" s="399"/>
      <c r="CE832" s="399"/>
      <c r="CF832" s="399"/>
      <c r="CG832" s="399"/>
      <c r="CH832" s="399"/>
      <c r="CI832" s="399"/>
      <c r="CJ832" s="399"/>
      <c r="CK832" s="399"/>
      <c r="CL832" s="399"/>
      <c r="CM832" s="399"/>
      <c r="CN832" s="399"/>
      <c r="CO832" s="399"/>
      <c r="CP832" s="399"/>
      <c r="CQ832" s="399"/>
      <c r="CR832" s="399"/>
      <c r="CS832" s="399"/>
      <c r="CT832" s="399"/>
      <c r="CU832" s="399"/>
      <c r="CV832" s="399"/>
      <c r="CW832" s="399"/>
      <c r="CX832" s="399"/>
      <c r="CY832" s="399"/>
      <c r="CZ832" s="399"/>
      <c r="DA832" s="399"/>
      <c r="DB832" s="399"/>
      <c r="DC832" s="399"/>
      <c r="DD832" s="399"/>
      <c r="DE832" s="399"/>
      <c r="DF832" s="399"/>
      <c r="DG832" s="399"/>
      <c r="DH832" s="399"/>
      <c r="DI832" s="399"/>
      <c r="DJ832" s="399"/>
      <c r="DK832" s="399"/>
      <c r="DL832" s="399"/>
      <c r="DM832" s="399"/>
      <c r="DN832" s="399"/>
      <c r="DO832" s="399"/>
      <c r="DP832" s="399"/>
      <c r="DQ832" s="399"/>
    </row>
    <row r="833" spans="1:121" s="760" customFormat="1" ht="14.45" customHeight="1" x14ac:dyDescent="0.25">
      <c r="A833" s="266">
        <f t="shared" si="12"/>
        <v>51.5</v>
      </c>
      <c r="B833" s="389">
        <v>41311</v>
      </c>
      <c r="C833" s="390" t="s">
        <v>451</v>
      </c>
      <c r="D833" s="391" t="s">
        <v>451</v>
      </c>
      <c r="E833" s="390" t="s">
        <v>380</v>
      </c>
      <c r="F833" s="262" t="s">
        <v>310</v>
      </c>
      <c r="G833" s="262" t="s">
        <v>318</v>
      </c>
      <c r="H833" s="261"/>
      <c r="I833" s="261"/>
      <c r="J833" s="261">
        <v>17</v>
      </c>
      <c r="K833" s="261">
        <v>20</v>
      </c>
      <c r="L833" s="261">
        <v>15</v>
      </c>
      <c r="M833" s="261">
        <v>20</v>
      </c>
      <c r="N833" s="261">
        <v>14</v>
      </c>
      <c r="O833" s="261">
        <v>11</v>
      </c>
      <c r="P833" s="261">
        <v>11</v>
      </c>
      <c r="Q833" s="261">
        <v>11</v>
      </c>
      <c r="R833" s="261"/>
      <c r="S833" s="261"/>
      <c r="T833" s="261"/>
      <c r="U833" s="261"/>
      <c r="V833" s="762"/>
      <c r="W833" s="261"/>
      <c r="X833" s="261"/>
      <c r="Y833" s="264">
        <f>IF(NFI_Expiration=1,IF($A833&lt;VLOOKUP(H$5,NFI,5,0),1,0)*Table_NFI[[#This Row],[Hygiene Kit]],Table_NFI[Hygiene Kit])</f>
        <v>0</v>
      </c>
      <c r="Z833" s="264">
        <f>IF(NFI_Expiration=1,IF($A833&lt;VLOOKUP(I$5,NFI,5,0),1,0)*Table_NFI[[#This Row],[NFI Core Kit]],Table_NFI[NFI Core Kit])</f>
        <v>0</v>
      </c>
      <c r="AA833" s="264">
        <f>IF(NFI_Expiration=1,IF($A833&lt;VLOOKUP(J$5,NFI,5,0),1,0)*Table_NFI[[#This Row],[Sanitary Kit]],Table_NFI[Sanitary Kit])</f>
        <v>0</v>
      </c>
      <c r="AB833" s="264">
        <f>IF(NFI_Expiration=1,IF($A833&lt;VLOOKUP(K$5,NFI,5,0),1,0)*Table_NFI[[#This Row],[Mosquito net]],Table_NFI[Mosquito net])</f>
        <v>0</v>
      </c>
      <c r="AC833" s="264">
        <f>IF(NFI_Expiration=1,IF($A833&lt;VLOOKUP(L$5,NFI,5,0),1,0)*Table_NFI[[#This Row],[Tarpaulin]],Table_NFI[[#This Row],[Tarpaulin]])</f>
        <v>0</v>
      </c>
      <c r="AD833" s="264">
        <f>IF(NFI_Expiration=1,IF($A833&lt;VLOOKUP(M$5,NFI,5,0),1,0)*Table_NFI[[#This Row],[Blanket]],Table_NFI[[#This Row],[Blanket]])</f>
        <v>0</v>
      </c>
      <c r="AE833" s="264">
        <f>IF(NFI_Expiration=1,IF($A833&lt;VLOOKUP(N$5,NFI,5,0),1,0)*Table_NFI[[#This Row],[Kitchen Set]],Table_NFI[Kitchen Set])</f>
        <v>0</v>
      </c>
      <c r="AF833" s="264">
        <f>IF(NFI_Expiration=1,IF($A833&lt;VLOOKUP(O$5,NFI,5,0),1,0)*Table_NFI[[#This Row],[Clothes Kit]],Table_NFI[Clothes Kit])</f>
        <v>0</v>
      </c>
      <c r="AG833" s="264">
        <f>IF(NFI_Expiration=1,IF($A833&lt;VLOOKUP(P$5,NFI,5,0),1,0)*Table_NFI[[#This Row],[Plastic Bucket]],Table_NFI[Plastic Bucket])</f>
        <v>0</v>
      </c>
      <c r="AH833" s="264">
        <f>IF(NFI_Expiration=1,IF($A833&lt;VLOOKUP(Q$5,NFI,5,0),1,0)*Table_NFI[[#This Row],[Plastic Mat]],Table_NFI[Plastic Mat])*IF(Table_NFI[[#This Row],[Distribution Date]]&gt;"2014-04-01",1,2.5)</f>
        <v>0</v>
      </c>
      <c r="AI833" s="264">
        <f>IF(NFI_Expiration=1,IF($A833&lt;VLOOKUP(R$5,NFI,5,0),1,0)*Table_NFI[[#This Row],[Winter Clothes Adult]],Table_NFI[Winter Clothes Adult])</f>
        <v>0</v>
      </c>
      <c r="AJ833" s="264">
        <f>IF(NFI_Expiration=1,IF($A833&lt;VLOOKUP(S$5,NFI,5,0),1,0)*Table_NFI[[#This Row],[Winter Clothes Children]],Table_NFI[Winter Clothes Children])</f>
        <v>0</v>
      </c>
      <c r="AK833" s="264">
        <f>IF(NFI_Expiration=1,IF($A833&lt;VLOOKUP(T$5,NFI,5,0),1,0)*Table_NFI[[#This Row],[Winter Items Other]],Table_NFI[Winter Items Other])</f>
        <v>0</v>
      </c>
      <c r="AL833" s="264">
        <f>IF(NFI_Expiration=1,IF($A833&lt;VLOOKUP(M$5,NFI,5,0),1,0)*Table_NFI[[#This Row],[Winter Blanket]],Table_NFI[[#This Row],[Winter Blanket]])</f>
        <v>0</v>
      </c>
      <c r="AM833" s="264">
        <f>IF(Table_NFI[[#This Row],[Winter Clothes Adult]]+Table_NFI[[#This Row],[Winter Clothes Children]]+Table_NFI[[#This Row],[Winter Items Other]]+Table_NFI[[#This Row],[Winter Blanket]]&gt;0,1,0)</f>
        <v>0</v>
      </c>
      <c r="AN833" s="296">
        <f>IF(NFI_Expiration=1,IF($A833&lt;VLOOKUP(V$5,NFI,5,0),1,0)*Table_NFI[[#This Row],[Jerry Can]],Table_NFI[Jerry Can])</f>
        <v>0</v>
      </c>
      <c r="AO833" s="296">
        <f>IF(NFI_Expiration=1,IF($A833&lt;VLOOKUP(V$5,NFI,5,0),1,0)*Table_NFI[[#This Row],[Shelter Tool kit]],Table_NFI[Shelter Tool kit])</f>
        <v>0</v>
      </c>
      <c r="AP833" s="296">
        <f>IF(NFI_Expiration=1,IF($A833&lt;VLOOKUP(V$5,NFI,5,0),1,0)*Table_NFI[[#This Row],[Tent]],Table_NFI[Tent])</f>
        <v>0</v>
      </c>
      <c r="AQ833" s="396" t="str">
        <f>IFERROR(VLOOKUP(Table_NFI[[#This Row],[Camp Name]],CL,2,0),"")</f>
        <v>MMR001CMP032</v>
      </c>
      <c r="AR833" s="702">
        <f ca="1">IF(Table_NFI[[#This Row],[Pcode]]="","",IF(OFFSET(CampList[Opening Date],MATCH(Table_NFI[[#This Row],[Pcode]],CampList[CP_Pcode],0)-1,0,1,1)&gt;=NFI_Monitor_Date,1,0))</f>
        <v>0</v>
      </c>
      <c r="AS833" s="396" t="str">
        <f>IFERROR(VLOOKUP(Table_NFI[[#This Row],[Camp Name]],CL,3,0),"")</f>
        <v>Open</v>
      </c>
      <c r="AT833" s="264" t="str">
        <f ca="1">IF(Table_NFI[[#This Row],[Pcode]]="","",OFFSET(CampList[Priority],MATCH(Table_NFI[[#This Row],[Pcode]],CampList[CP_Pcode],0)-1,0,1,1))</f>
        <v>P4</v>
      </c>
      <c r="AU833" s="263">
        <f>IFERROR(Table_NFI[[#This Row],[Kitchen Set]]/VLOOKUP(Table_NFI[[#This Row],[Camp Name]],CL,4,0),"")</f>
        <v>3.4376918354818908E-4</v>
      </c>
      <c r="AV833" s="390" t="s">
        <v>1087</v>
      </c>
      <c r="AW833" s="392"/>
      <c r="AX833" s="399"/>
      <c r="AY833" s="399"/>
      <c r="AZ833" s="399"/>
      <c r="BA833" s="399"/>
      <c r="BB833" s="399"/>
      <c r="BC833" s="399"/>
      <c r="BD833" s="399"/>
      <c r="BE833" s="399"/>
      <c r="BF833" s="399"/>
      <c r="BG833" s="399"/>
      <c r="BH833" s="399"/>
      <c r="BI833" s="399"/>
      <c r="BJ833" s="399"/>
      <c r="BK833" s="399"/>
      <c r="BL833" s="399"/>
      <c r="BM833" s="399"/>
      <c r="BN833" s="399"/>
      <c r="BO833" s="399"/>
      <c r="BP833" s="399"/>
      <c r="BQ833" s="399"/>
      <c r="BR833" s="399"/>
      <c r="BS833" s="399"/>
      <c r="BT833" s="399"/>
      <c r="BU833" s="399"/>
      <c r="BV833" s="399"/>
      <c r="BW833" s="399"/>
      <c r="BX833" s="399"/>
      <c r="BY833" s="399"/>
      <c r="BZ833" s="399"/>
      <c r="CA833" s="399"/>
      <c r="CB833" s="399"/>
      <c r="CC833" s="399"/>
      <c r="CD833" s="399"/>
      <c r="CE833" s="399"/>
      <c r="CF833" s="399"/>
      <c r="CG833" s="399"/>
      <c r="CH833" s="399"/>
      <c r="CI833" s="399"/>
      <c r="CJ833" s="399"/>
      <c r="CK833" s="399"/>
      <c r="CL833" s="399"/>
      <c r="CM833" s="399"/>
      <c r="CN833" s="399"/>
      <c r="CO833" s="399"/>
      <c r="CP833" s="399"/>
      <c r="CQ833" s="399"/>
      <c r="CR833" s="399"/>
      <c r="CS833" s="399"/>
      <c r="CT833" s="399"/>
      <c r="CU833" s="399"/>
      <c r="CV833" s="399"/>
      <c r="CW833" s="399"/>
      <c r="CX833" s="399"/>
      <c r="CY833" s="399"/>
      <c r="CZ833" s="399"/>
      <c r="DA833" s="399"/>
      <c r="DB833" s="399"/>
      <c r="DC833" s="399"/>
      <c r="DD833" s="399"/>
      <c r="DE833" s="399"/>
      <c r="DF833" s="399"/>
      <c r="DG833" s="399"/>
      <c r="DH833" s="399"/>
      <c r="DI833" s="399"/>
      <c r="DJ833" s="399"/>
      <c r="DK833" s="399"/>
      <c r="DL833" s="399"/>
      <c r="DM833" s="399"/>
      <c r="DN833" s="399"/>
      <c r="DO833" s="399"/>
      <c r="DP833" s="399"/>
      <c r="DQ833" s="399"/>
    </row>
    <row r="834" spans="1:121" s="760" customFormat="1" ht="14.45" customHeight="1" x14ac:dyDescent="0.25">
      <c r="A834" s="266">
        <f t="shared" si="12"/>
        <v>51.533333333333331</v>
      </c>
      <c r="B834" s="389">
        <v>41310</v>
      </c>
      <c r="C834" s="390" t="s">
        <v>899</v>
      </c>
      <c r="D834" s="390" t="s">
        <v>899</v>
      </c>
      <c r="E834" s="390" t="s">
        <v>380</v>
      </c>
      <c r="F834" s="390" t="s">
        <v>237</v>
      </c>
      <c r="G834" s="262" t="s">
        <v>253</v>
      </c>
      <c r="H834" s="261">
        <v>22</v>
      </c>
      <c r="I834" s="261"/>
      <c r="J834" s="261"/>
      <c r="K834" s="261"/>
      <c r="L834" s="261"/>
      <c r="M834" s="261"/>
      <c r="N834" s="261"/>
      <c r="O834" s="261"/>
      <c r="P834" s="261">
        <v>0</v>
      </c>
      <c r="Q834" s="261">
        <v>0</v>
      </c>
      <c r="R834" s="261"/>
      <c r="S834" s="261"/>
      <c r="T834" s="261"/>
      <c r="U834" s="261"/>
      <c r="V834" s="762"/>
      <c r="W834" s="261"/>
      <c r="X834" s="261"/>
      <c r="Y834" s="264">
        <f>IF(NFI_Expiration=1,IF($A834&lt;VLOOKUP(H$5,NFI,5,0),1,0)*Table_NFI[[#This Row],[Hygiene Kit]],Table_NFI[Hygiene Kit])</f>
        <v>0</v>
      </c>
      <c r="Z834" s="264">
        <f>IF(NFI_Expiration=1,IF($A834&lt;VLOOKUP(I$5,NFI,5,0),1,0)*Table_NFI[[#This Row],[NFI Core Kit]],Table_NFI[NFI Core Kit])</f>
        <v>0</v>
      </c>
      <c r="AA834" s="264">
        <f>IF(NFI_Expiration=1,IF($A834&lt;VLOOKUP(J$5,NFI,5,0),1,0)*Table_NFI[[#This Row],[Sanitary Kit]],Table_NFI[Sanitary Kit])</f>
        <v>0</v>
      </c>
      <c r="AB834" s="264">
        <f>IF(NFI_Expiration=1,IF($A834&lt;VLOOKUP(K$5,NFI,5,0),1,0)*Table_NFI[[#This Row],[Mosquito net]],Table_NFI[Mosquito net])</f>
        <v>0</v>
      </c>
      <c r="AC834" s="264">
        <f>IF(NFI_Expiration=1,IF($A834&lt;VLOOKUP(L$5,NFI,5,0),1,0)*Table_NFI[[#This Row],[Tarpaulin]],Table_NFI[[#This Row],[Tarpaulin]])</f>
        <v>0</v>
      </c>
      <c r="AD834" s="264">
        <f>IF(NFI_Expiration=1,IF($A834&lt;VLOOKUP(M$5,NFI,5,0),1,0)*Table_NFI[[#This Row],[Blanket]],Table_NFI[[#This Row],[Blanket]])</f>
        <v>0</v>
      </c>
      <c r="AE834" s="264">
        <f>IF(NFI_Expiration=1,IF($A834&lt;VLOOKUP(N$5,NFI,5,0),1,0)*Table_NFI[[#This Row],[Kitchen Set]],Table_NFI[Kitchen Set])</f>
        <v>0</v>
      </c>
      <c r="AF834" s="264">
        <f>IF(NFI_Expiration=1,IF($A834&lt;VLOOKUP(O$5,NFI,5,0),1,0)*Table_NFI[[#This Row],[Clothes Kit]],Table_NFI[Clothes Kit])</f>
        <v>0</v>
      </c>
      <c r="AG834" s="264">
        <f>IF(NFI_Expiration=1,IF($A834&lt;VLOOKUP(P$5,NFI,5,0),1,0)*Table_NFI[[#This Row],[Plastic Bucket]],Table_NFI[Plastic Bucket])</f>
        <v>0</v>
      </c>
      <c r="AH834" s="264">
        <f>IF(NFI_Expiration=1,IF($A834&lt;VLOOKUP(Q$5,NFI,5,0),1,0)*Table_NFI[[#This Row],[Plastic Mat]],Table_NFI[Plastic Mat])*IF(Table_NFI[[#This Row],[Distribution Date]]&gt;"2014-04-01",1,2.5)</f>
        <v>0</v>
      </c>
      <c r="AI834" s="264">
        <f>IF(NFI_Expiration=1,IF($A834&lt;VLOOKUP(R$5,NFI,5,0),1,0)*Table_NFI[[#This Row],[Winter Clothes Adult]],Table_NFI[Winter Clothes Adult])</f>
        <v>0</v>
      </c>
      <c r="AJ834" s="264">
        <f>IF(NFI_Expiration=1,IF($A834&lt;VLOOKUP(S$5,NFI,5,0),1,0)*Table_NFI[[#This Row],[Winter Clothes Children]],Table_NFI[Winter Clothes Children])</f>
        <v>0</v>
      </c>
      <c r="AK834" s="264">
        <f>IF(NFI_Expiration=1,IF($A834&lt;VLOOKUP(T$5,NFI,5,0),1,0)*Table_NFI[[#This Row],[Winter Items Other]],Table_NFI[Winter Items Other])</f>
        <v>0</v>
      </c>
      <c r="AL834" s="264">
        <f>IF(NFI_Expiration=1,IF($A834&lt;VLOOKUP(M$5,NFI,5,0),1,0)*Table_NFI[[#This Row],[Winter Blanket]],Table_NFI[[#This Row],[Winter Blanket]])</f>
        <v>0</v>
      </c>
      <c r="AM834" s="264">
        <f>IF(Table_NFI[[#This Row],[Winter Clothes Adult]]+Table_NFI[[#This Row],[Winter Clothes Children]]+Table_NFI[[#This Row],[Winter Items Other]]+Table_NFI[[#This Row],[Winter Blanket]]&gt;0,1,0)</f>
        <v>0</v>
      </c>
      <c r="AN834" s="296">
        <f>IF(NFI_Expiration=1,IF($A834&lt;VLOOKUP(V$5,NFI,5,0),1,0)*Table_NFI[[#This Row],[Jerry Can]],Table_NFI[Jerry Can])</f>
        <v>0</v>
      </c>
      <c r="AO834" s="296">
        <f>IF(NFI_Expiration=1,IF($A834&lt;VLOOKUP(V$5,NFI,5,0),1,0)*Table_NFI[[#This Row],[Shelter Tool kit]],Table_NFI[Shelter Tool kit])</f>
        <v>0</v>
      </c>
      <c r="AP834" s="296">
        <f>IF(NFI_Expiration=1,IF($A834&lt;VLOOKUP(V$5,NFI,5,0),1,0)*Table_NFI[[#This Row],[Tent]],Table_NFI[Tent])</f>
        <v>0</v>
      </c>
      <c r="AQ834" s="396" t="str">
        <f>IFERROR(VLOOKUP(Table_NFI[[#This Row],[Camp Name]],CL,2,0),"")</f>
        <v>MMR001CMP018</v>
      </c>
      <c r="AR834" s="702">
        <f ca="1">IF(Table_NFI[[#This Row],[Pcode]]="","",IF(OFFSET(CampList[Opening Date],MATCH(Table_NFI[[#This Row],[Pcode]],CampList[CP_Pcode],0)-1,0,1,1)&gt;=NFI_Monitor_Date,1,0))</f>
        <v>0</v>
      </c>
      <c r="AS834" s="396" t="str">
        <f>IFERROR(VLOOKUP(Table_NFI[[#This Row],[Camp Name]],CL,3,0),"")</f>
        <v>Open</v>
      </c>
      <c r="AT834" s="264" t="str">
        <f ca="1">IF(Table_NFI[[#This Row],[Pcode]]="","",OFFSET(CampList[Priority],MATCH(Table_NFI[[#This Row],[Pcode]],CampList[CP_Pcode],0)-1,0,1,1))</f>
        <v>P4</v>
      </c>
      <c r="AU834" s="263">
        <f>IFERROR(Table_NFI[[#This Row],[Kitchen Set]]/VLOOKUP(Table_NFI[[#This Row],[Camp Name]],CL,4,0),"")</f>
        <v>0</v>
      </c>
      <c r="AV834" s="390" t="s">
        <v>1087</v>
      </c>
      <c r="AW834" s="392"/>
      <c r="AX834" s="399"/>
      <c r="AY834" s="399"/>
      <c r="AZ834" s="399"/>
      <c r="BA834" s="399"/>
      <c r="BB834" s="399"/>
      <c r="BC834" s="399"/>
      <c r="BD834" s="399"/>
      <c r="BE834" s="399"/>
      <c r="BF834" s="399"/>
      <c r="BG834" s="399"/>
      <c r="BH834" s="399"/>
      <c r="BI834" s="399"/>
      <c r="BJ834" s="399"/>
      <c r="BK834" s="399"/>
      <c r="BL834" s="399"/>
      <c r="BM834" s="399"/>
      <c r="BN834" s="399"/>
      <c r="BO834" s="399"/>
      <c r="BP834" s="399"/>
      <c r="BQ834" s="399"/>
      <c r="BR834" s="399"/>
      <c r="BS834" s="399"/>
      <c r="BT834" s="399"/>
      <c r="BU834" s="399"/>
      <c r="BV834" s="399"/>
      <c r="BW834" s="399"/>
      <c r="BX834" s="399"/>
      <c r="BY834" s="399"/>
      <c r="BZ834" s="399"/>
      <c r="CA834" s="399"/>
      <c r="CB834" s="399"/>
      <c r="CC834" s="399"/>
      <c r="CD834" s="399"/>
      <c r="CE834" s="399"/>
      <c r="CF834" s="399"/>
      <c r="CG834" s="399"/>
      <c r="CH834" s="399"/>
      <c r="CI834" s="399"/>
      <c r="CJ834" s="399"/>
      <c r="CK834" s="399"/>
      <c r="CL834" s="399"/>
      <c r="CM834" s="399"/>
      <c r="CN834" s="399"/>
      <c r="CO834" s="399"/>
      <c r="CP834" s="399"/>
      <c r="CQ834" s="399"/>
      <c r="CR834" s="399"/>
      <c r="CS834" s="399"/>
      <c r="CT834" s="399"/>
      <c r="CU834" s="399"/>
      <c r="CV834" s="399"/>
      <c r="CW834" s="399"/>
      <c r="CX834" s="399"/>
      <c r="CY834" s="399"/>
      <c r="CZ834" s="399"/>
      <c r="DA834" s="399"/>
      <c r="DB834" s="399"/>
      <c r="DC834" s="399"/>
      <c r="DD834" s="399"/>
      <c r="DE834" s="399"/>
      <c r="DF834" s="399"/>
      <c r="DG834" s="399"/>
      <c r="DH834" s="399"/>
      <c r="DI834" s="399"/>
      <c r="DJ834" s="399"/>
      <c r="DK834" s="399"/>
      <c r="DL834" s="399"/>
      <c r="DM834" s="399"/>
      <c r="DN834" s="399"/>
      <c r="DO834" s="399"/>
      <c r="DP834" s="399"/>
      <c r="DQ834" s="399"/>
    </row>
    <row r="835" spans="1:121" s="760" customFormat="1" ht="14.45" customHeight="1" x14ac:dyDescent="0.25">
      <c r="A835" s="266">
        <f t="shared" si="12"/>
        <v>51.533333333333331</v>
      </c>
      <c r="B835" s="389">
        <v>41310</v>
      </c>
      <c r="C835" s="390" t="s">
        <v>451</v>
      </c>
      <c r="D835" s="390" t="s">
        <v>451</v>
      </c>
      <c r="E835" s="390" t="s">
        <v>380</v>
      </c>
      <c r="F835" s="262" t="s">
        <v>310</v>
      </c>
      <c r="G835" s="262" t="s">
        <v>328</v>
      </c>
      <c r="H835" s="261"/>
      <c r="I835" s="261"/>
      <c r="J835" s="261">
        <v>37</v>
      </c>
      <c r="K835" s="261">
        <v>70</v>
      </c>
      <c r="L835" s="261">
        <v>34</v>
      </c>
      <c r="M835" s="261">
        <v>70</v>
      </c>
      <c r="N835" s="261">
        <v>34</v>
      </c>
      <c r="O835" s="261">
        <v>34</v>
      </c>
      <c r="P835" s="261">
        <v>34</v>
      </c>
      <c r="Q835" s="261">
        <v>34</v>
      </c>
      <c r="R835" s="261"/>
      <c r="S835" s="261"/>
      <c r="T835" s="261"/>
      <c r="U835" s="261"/>
      <c r="V835" s="762"/>
      <c r="W835" s="261"/>
      <c r="X835" s="261"/>
      <c r="Y835" s="264">
        <f>IF(NFI_Expiration=1,IF($A835&lt;VLOOKUP(H$5,NFI,5,0),1,0)*Table_NFI[[#This Row],[Hygiene Kit]],Table_NFI[Hygiene Kit])</f>
        <v>0</v>
      </c>
      <c r="Z835" s="264">
        <f>IF(NFI_Expiration=1,IF($A835&lt;VLOOKUP(I$5,NFI,5,0),1,0)*Table_NFI[[#This Row],[NFI Core Kit]],Table_NFI[NFI Core Kit])</f>
        <v>0</v>
      </c>
      <c r="AA835" s="264">
        <f>IF(NFI_Expiration=1,IF($A835&lt;VLOOKUP(J$5,NFI,5,0),1,0)*Table_NFI[[#This Row],[Sanitary Kit]],Table_NFI[Sanitary Kit])</f>
        <v>0</v>
      </c>
      <c r="AB835" s="264">
        <f>IF(NFI_Expiration=1,IF($A835&lt;VLOOKUP(K$5,NFI,5,0),1,0)*Table_NFI[[#This Row],[Mosquito net]],Table_NFI[Mosquito net])</f>
        <v>0</v>
      </c>
      <c r="AC835" s="264">
        <f>IF(NFI_Expiration=1,IF($A835&lt;VLOOKUP(L$5,NFI,5,0),1,0)*Table_NFI[[#This Row],[Tarpaulin]],Table_NFI[[#This Row],[Tarpaulin]])</f>
        <v>0</v>
      </c>
      <c r="AD835" s="264">
        <f>IF(NFI_Expiration=1,IF($A835&lt;VLOOKUP(M$5,NFI,5,0),1,0)*Table_NFI[[#This Row],[Blanket]],Table_NFI[[#This Row],[Blanket]])</f>
        <v>0</v>
      </c>
      <c r="AE835" s="264">
        <f>IF(NFI_Expiration=1,IF($A835&lt;VLOOKUP(N$5,NFI,5,0),1,0)*Table_NFI[[#This Row],[Kitchen Set]],Table_NFI[Kitchen Set])</f>
        <v>0</v>
      </c>
      <c r="AF835" s="264">
        <f>IF(NFI_Expiration=1,IF($A835&lt;VLOOKUP(O$5,NFI,5,0),1,0)*Table_NFI[[#This Row],[Clothes Kit]],Table_NFI[Clothes Kit])</f>
        <v>0</v>
      </c>
      <c r="AG835" s="264">
        <f>IF(NFI_Expiration=1,IF($A835&lt;VLOOKUP(P$5,NFI,5,0),1,0)*Table_NFI[[#This Row],[Plastic Bucket]],Table_NFI[Plastic Bucket])</f>
        <v>0</v>
      </c>
      <c r="AH835" s="264">
        <f>IF(NFI_Expiration=1,IF($A835&lt;VLOOKUP(Q$5,NFI,5,0),1,0)*Table_NFI[[#This Row],[Plastic Mat]],Table_NFI[Plastic Mat])*IF(Table_NFI[[#This Row],[Distribution Date]]&gt;"2014-04-01",1,2.5)</f>
        <v>0</v>
      </c>
      <c r="AI835" s="264">
        <f>IF(NFI_Expiration=1,IF($A835&lt;VLOOKUP(R$5,NFI,5,0),1,0)*Table_NFI[[#This Row],[Winter Clothes Adult]],Table_NFI[Winter Clothes Adult])</f>
        <v>0</v>
      </c>
      <c r="AJ835" s="264">
        <f>IF(NFI_Expiration=1,IF($A835&lt;VLOOKUP(S$5,NFI,5,0),1,0)*Table_NFI[[#This Row],[Winter Clothes Children]],Table_NFI[Winter Clothes Children])</f>
        <v>0</v>
      </c>
      <c r="AK835" s="264">
        <f>IF(NFI_Expiration=1,IF($A835&lt;VLOOKUP(T$5,NFI,5,0),1,0)*Table_NFI[[#This Row],[Winter Items Other]],Table_NFI[Winter Items Other])</f>
        <v>0</v>
      </c>
      <c r="AL835" s="264">
        <f>IF(NFI_Expiration=1,IF($A835&lt;VLOOKUP(M$5,NFI,5,0),1,0)*Table_NFI[[#This Row],[Winter Blanket]],Table_NFI[[#This Row],[Winter Blanket]])</f>
        <v>0</v>
      </c>
      <c r="AM835" s="264">
        <f>IF(Table_NFI[[#This Row],[Winter Clothes Adult]]+Table_NFI[[#This Row],[Winter Clothes Children]]+Table_NFI[[#This Row],[Winter Items Other]]+Table_NFI[[#This Row],[Winter Blanket]]&gt;0,1,0)</f>
        <v>0</v>
      </c>
      <c r="AN835" s="296">
        <f>IF(NFI_Expiration=1,IF($A835&lt;VLOOKUP(V$5,NFI,5,0),1,0)*Table_NFI[[#This Row],[Jerry Can]],Table_NFI[Jerry Can])</f>
        <v>0</v>
      </c>
      <c r="AO835" s="296">
        <f>IF(NFI_Expiration=1,IF($A835&lt;VLOOKUP(V$5,NFI,5,0),1,0)*Table_NFI[[#This Row],[Shelter Tool kit]],Table_NFI[Shelter Tool kit])</f>
        <v>0</v>
      </c>
      <c r="AP835" s="296">
        <f>IF(NFI_Expiration=1,IF($A835&lt;VLOOKUP(V$5,NFI,5,0),1,0)*Table_NFI[[#This Row],[Tent]],Table_NFI[Tent])</f>
        <v>0</v>
      </c>
      <c r="AQ835" s="396" t="str">
        <f>IFERROR(VLOOKUP(Table_NFI[[#This Row],[Camp Name]],CL,2,0),"")</f>
        <v>MMR001CMP031</v>
      </c>
      <c r="AR835" s="702">
        <f ca="1">IF(Table_NFI[[#This Row],[Pcode]]="","",IF(OFFSET(CampList[Opening Date],MATCH(Table_NFI[[#This Row],[Pcode]],CampList[CP_Pcode],0)-1,0,1,1)&gt;=NFI_Monitor_Date,1,0))</f>
        <v>0</v>
      </c>
      <c r="AS835" s="396" t="str">
        <f>IFERROR(VLOOKUP(Table_NFI[[#This Row],[Camp Name]],CL,3,0),"")</f>
        <v>Open</v>
      </c>
      <c r="AT835" s="264" t="str">
        <f ca="1">IF(Table_NFI[[#This Row],[Pcode]]="","",OFFSET(CampList[Priority],MATCH(Table_NFI[[#This Row],[Pcode]],CampList[CP_Pcode],0)-1,0,1,1))</f>
        <v>P4</v>
      </c>
      <c r="AU835" s="263">
        <f>IFERROR(Table_NFI[[#This Row],[Kitchen Set]]/VLOOKUP(Table_NFI[[#This Row],[Camp Name]],CL,4,0),"")</f>
        <v>8.2014666152064838E-4</v>
      </c>
      <c r="AV835" s="390" t="s">
        <v>1087</v>
      </c>
      <c r="AW835" s="392"/>
      <c r="AX835" s="399"/>
      <c r="AY835" s="399"/>
      <c r="AZ835" s="399"/>
      <c r="BA835" s="399"/>
      <c r="BB835" s="399"/>
      <c r="BC835" s="399"/>
      <c r="BD835" s="399"/>
      <c r="BE835" s="399"/>
      <c r="BF835" s="399"/>
      <c r="BG835" s="399"/>
      <c r="BH835" s="399"/>
      <c r="BI835" s="399"/>
      <c r="BJ835" s="399"/>
      <c r="BK835" s="399"/>
      <c r="BL835" s="399"/>
      <c r="BM835" s="399"/>
      <c r="BN835" s="399"/>
      <c r="BO835" s="399"/>
      <c r="BP835" s="399"/>
      <c r="BQ835" s="399"/>
      <c r="BR835" s="399"/>
      <c r="BS835" s="399"/>
      <c r="BT835" s="399"/>
      <c r="BU835" s="399"/>
      <c r="BV835" s="399"/>
      <c r="BW835" s="399"/>
      <c r="BX835" s="399"/>
      <c r="BY835" s="399"/>
      <c r="BZ835" s="399"/>
      <c r="CA835" s="399"/>
      <c r="CB835" s="399"/>
      <c r="CC835" s="399"/>
      <c r="CD835" s="399"/>
      <c r="CE835" s="399"/>
      <c r="CF835" s="399"/>
      <c r="CG835" s="399"/>
      <c r="CH835" s="399"/>
      <c r="CI835" s="399"/>
      <c r="CJ835" s="399"/>
      <c r="CK835" s="399"/>
      <c r="CL835" s="399"/>
      <c r="CM835" s="399"/>
      <c r="CN835" s="399"/>
      <c r="CO835" s="399"/>
      <c r="CP835" s="399"/>
      <c r="CQ835" s="399"/>
      <c r="CR835" s="399"/>
      <c r="CS835" s="399"/>
      <c r="CT835" s="399"/>
      <c r="CU835" s="399"/>
      <c r="CV835" s="399"/>
      <c r="CW835" s="399"/>
      <c r="CX835" s="399"/>
      <c r="CY835" s="399"/>
      <c r="CZ835" s="399"/>
      <c r="DA835" s="399"/>
      <c r="DB835" s="399"/>
      <c r="DC835" s="399"/>
      <c r="DD835" s="399"/>
      <c r="DE835" s="399"/>
      <c r="DF835" s="399"/>
      <c r="DG835" s="399"/>
      <c r="DH835" s="399"/>
      <c r="DI835" s="399"/>
      <c r="DJ835" s="399"/>
      <c r="DK835" s="399"/>
      <c r="DL835" s="399"/>
      <c r="DM835" s="399"/>
      <c r="DN835" s="399"/>
      <c r="DO835" s="399"/>
      <c r="DP835" s="399"/>
      <c r="DQ835" s="399"/>
    </row>
    <row r="836" spans="1:121" s="760" customFormat="1" ht="14.45" customHeight="1" x14ac:dyDescent="0.25">
      <c r="A836" s="266">
        <f t="shared" si="12"/>
        <v>51.533333333333331</v>
      </c>
      <c r="B836" s="389">
        <v>41310</v>
      </c>
      <c r="C836" s="390" t="s">
        <v>899</v>
      </c>
      <c r="D836" s="390" t="s">
        <v>899</v>
      </c>
      <c r="E836" s="390" t="s">
        <v>380</v>
      </c>
      <c r="F836" s="390" t="s">
        <v>310</v>
      </c>
      <c r="G836" s="262" t="s">
        <v>330</v>
      </c>
      <c r="H836" s="261">
        <v>46</v>
      </c>
      <c r="I836" s="261"/>
      <c r="J836" s="261"/>
      <c r="K836" s="261"/>
      <c r="L836" s="261"/>
      <c r="M836" s="261"/>
      <c r="N836" s="261"/>
      <c r="O836" s="261"/>
      <c r="P836" s="261">
        <v>0</v>
      </c>
      <c r="Q836" s="261">
        <v>0</v>
      </c>
      <c r="R836" s="261"/>
      <c r="S836" s="261"/>
      <c r="T836" s="261"/>
      <c r="U836" s="261"/>
      <c r="V836" s="762"/>
      <c r="W836" s="261"/>
      <c r="X836" s="261"/>
      <c r="Y836" s="264">
        <f>IF(NFI_Expiration=1,IF($A836&lt;VLOOKUP(H$5,NFI,5,0),1,0)*Table_NFI[[#This Row],[Hygiene Kit]],Table_NFI[Hygiene Kit])</f>
        <v>0</v>
      </c>
      <c r="Z836" s="264">
        <f>IF(NFI_Expiration=1,IF($A836&lt;VLOOKUP(I$5,NFI,5,0),1,0)*Table_NFI[[#This Row],[NFI Core Kit]],Table_NFI[NFI Core Kit])</f>
        <v>0</v>
      </c>
      <c r="AA836" s="264">
        <f>IF(NFI_Expiration=1,IF($A836&lt;VLOOKUP(J$5,NFI,5,0),1,0)*Table_NFI[[#This Row],[Sanitary Kit]],Table_NFI[Sanitary Kit])</f>
        <v>0</v>
      </c>
      <c r="AB836" s="264">
        <f>IF(NFI_Expiration=1,IF($A836&lt;VLOOKUP(K$5,NFI,5,0),1,0)*Table_NFI[[#This Row],[Mosquito net]],Table_NFI[Mosquito net])</f>
        <v>0</v>
      </c>
      <c r="AC836" s="264">
        <f>IF(NFI_Expiration=1,IF($A836&lt;VLOOKUP(L$5,NFI,5,0),1,0)*Table_NFI[[#This Row],[Tarpaulin]],Table_NFI[[#This Row],[Tarpaulin]])</f>
        <v>0</v>
      </c>
      <c r="AD836" s="264">
        <f>IF(NFI_Expiration=1,IF($A836&lt;VLOOKUP(M$5,NFI,5,0),1,0)*Table_NFI[[#This Row],[Blanket]],Table_NFI[[#This Row],[Blanket]])</f>
        <v>0</v>
      </c>
      <c r="AE836" s="264">
        <f>IF(NFI_Expiration=1,IF($A836&lt;VLOOKUP(N$5,NFI,5,0),1,0)*Table_NFI[[#This Row],[Kitchen Set]],Table_NFI[Kitchen Set])</f>
        <v>0</v>
      </c>
      <c r="AF836" s="264">
        <f>IF(NFI_Expiration=1,IF($A836&lt;VLOOKUP(O$5,NFI,5,0),1,0)*Table_NFI[[#This Row],[Clothes Kit]],Table_NFI[Clothes Kit])</f>
        <v>0</v>
      </c>
      <c r="AG836" s="264">
        <f>IF(NFI_Expiration=1,IF($A836&lt;VLOOKUP(P$5,NFI,5,0),1,0)*Table_NFI[[#This Row],[Plastic Bucket]],Table_NFI[Plastic Bucket])</f>
        <v>0</v>
      </c>
      <c r="AH836" s="264">
        <f>IF(NFI_Expiration=1,IF($A836&lt;VLOOKUP(Q$5,NFI,5,0),1,0)*Table_NFI[[#This Row],[Plastic Mat]],Table_NFI[Plastic Mat])*IF(Table_NFI[[#This Row],[Distribution Date]]&gt;"2014-04-01",1,2.5)</f>
        <v>0</v>
      </c>
      <c r="AI836" s="264">
        <f>IF(NFI_Expiration=1,IF($A836&lt;VLOOKUP(R$5,NFI,5,0),1,0)*Table_NFI[[#This Row],[Winter Clothes Adult]],Table_NFI[Winter Clothes Adult])</f>
        <v>0</v>
      </c>
      <c r="AJ836" s="264">
        <f>IF(NFI_Expiration=1,IF($A836&lt;VLOOKUP(S$5,NFI,5,0),1,0)*Table_NFI[[#This Row],[Winter Clothes Children]],Table_NFI[Winter Clothes Children])</f>
        <v>0</v>
      </c>
      <c r="AK836" s="264">
        <f>IF(NFI_Expiration=1,IF($A836&lt;VLOOKUP(T$5,NFI,5,0),1,0)*Table_NFI[[#This Row],[Winter Items Other]],Table_NFI[Winter Items Other])</f>
        <v>0</v>
      </c>
      <c r="AL836" s="264">
        <f>IF(NFI_Expiration=1,IF($A836&lt;VLOOKUP(M$5,NFI,5,0),1,0)*Table_NFI[[#This Row],[Winter Blanket]],Table_NFI[[#This Row],[Winter Blanket]])</f>
        <v>0</v>
      </c>
      <c r="AM836" s="264">
        <f>IF(Table_NFI[[#This Row],[Winter Clothes Adult]]+Table_NFI[[#This Row],[Winter Clothes Children]]+Table_NFI[[#This Row],[Winter Items Other]]+Table_NFI[[#This Row],[Winter Blanket]]&gt;0,1,0)</f>
        <v>0</v>
      </c>
      <c r="AN836" s="296">
        <f>IF(NFI_Expiration=1,IF($A836&lt;VLOOKUP(V$5,NFI,5,0),1,0)*Table_NFI[[#This Row],[Jerry Can]],Table_NFI[Jerry Can])</f>
        <v>0</v>
      </c>
      <c r="AO836" s="296">
        <f>IF(NFI_Expiration=1,IF($A836&lt;VLOOKUP(V$5,NFI,5,0),1,0)*Table_NFI[[#This Row],[Shelter Tool kit]],Table_NFI[Shelter Tool kit])</f>
        <v>0</v>
      </c>
      <c r="AP836" s="296">
        <f>IF(NFI_Expiration=1,IF($A836&lt;VLOOKUP(V$5,NFI,5,0),1,0)*Table_NFI[[#This Row],[Tent]],Table_NFI[Tent])</f>
        <v>0</v>
      </c>
      <c r="AQ836" s="396" t="str">
        <f>IFERROR(VLOOKUP(Table_NFI[[#This Row],[Camp Name]],CL,2,0),"")</f>
        <v>MMR001CMP029</v>
      </c>
      <c r="AR836" s="702">
        <f ca="1">IF(Table_NFI[[#This Row],[Pcode]]="","",IF(OFFSET(CampList[Opening Date],MATCH(Table_NFI[[#This Row],[Pcode]],CampList[CP_Pcode],0)-1,0,1,1)&gt;=NFI_Monitor_Date,1,0))</f>
        <v>0</v>
      </c>
      <c r="AS836" s="396" t="str">
        <f>IFERROR(VLOOKUP(Table_NFI[[#This Row],[Camp Name]],CL,3,0),"")</f>
        <v>Open</v>
      </c>
      <c r="AT836" s="264" t="str">
        <f ca="1">IF(Table_NFI[[#This Row],[Pcode]]="","",OFFSET(CampList[Priority],MATCH(Table_NFI[[#This Row],[Pcode]],CampList[CP_Pcode],0)-1,0,1,1))</f>
        <v>P4</v>
      </c>
      <c r="AU836" s="263">
        <f>IFERROR(Table_NFI[[#This Row],[Kitchen Set]]/VLOOKUP(Table_NFI[[#This Row],[Camp Name]],CL,4,0),"")</f>
        <v>0</v>
      </c>
      <c r="AV836" s="390" t="s">
        <v>1087</v>
      </c>
      <c r="AW836" s="392"/>
      <c r="AX836" s="399"/>
      <c r="AY836" s="399"/>
      <c r="AZ836" s="399"/>
      <c r="BA836" s="399"/>
      <c r="BB836" s="399"/>
      <c r="BC836" s="399"/>
      <c r="BD836" s="399"/>
      <c r="BE836" s="399"/>
      <c r="BF836" s="399"/>
      <c r="BG836" s="399"/>
      <c r="BH836" s="399"/>
      <c r="BI836" s="399"/>
      <c r="BJ836" s="399"/>
      <c r="BK836" s="399"/>
      <c r="BL836" s="399"/>
      <c r="BM836" s="399"/>
      <c r="BN836" s="399"/>
      <c r="BO836" s="399"/>
      <c r="BP836" s="399"/>
      <c r="BQ836" s="399"/>
      <c r="BR836" s="399"/>
      <c r="BS836" s="399"/>
      <c r="BT836" s="399"/>
      <c r="BU836" s="399"/>
      <c r="BV836" s="399"/>
      <c r="BW836" s="399"/>
      <c r="BX836" s="399"/>
      <c r="BY836" s="399"/>
      <c r="BZ836" s="399"/>
      <c r="CA836" s="399"/>
      <c r="CB836" s="399"/>
      <c r="CC836" s="399"/>
      <c r="CD836" s="399"/>
      <c r="CE836" s="399"/>
      <c r="CF836" s="399"/>
      <c r="CG836" s="399"/>
      <c r="CH836" s="399"/>
      <c r="CI836" s="399"/>
      <c r="CJ836" s="399"/>
      <c r="CK836" s="399"/>
      <c r="CL836" s="399"/>
      <c r="CM836" s="399"/>
      <c r="CN836" s="399"/>
      <c r="CO836" s="399"/>
      <c r="CP836" s="399"/>
      <c r="CQ836" s="399"/>
      <c r="CR836" s="399"/>
      <c r="CS836" s="399"/>
      <c r="CT836" s="399"/>
      <c r="CU836" s="399"/>
      <c r="CV836" s="399"/>
      <c r="CW836" s="399"/>
      <c r="CX836" s="399"/>
      <c r="CY836" s="399"/>
      <c r="CZ836" s="399"/>
      <c r="DA836" s="399"/>
      <c r="DB836" s="399"/>
      <c r="DC836" s="399"/>
      <c r="DD836" s="399"/>
      <c r="DE836" s="399"/>
      <c r="DF836" s="399"/>
      <c r="DG836" s="399"/>
      <c r="DH836" s="399"/>
      <c r="DI836" s="399"/>
      <c r="DJ836" s="399"/>
      <c r="DK836" s="399"/>
      <c r="DL836" s="399"/>
      <c r="DM836" s="399"/>
      <c r="DN836" s="399"/>
      <c r="DO836" s="399"/>
      <c r="DP836" s="399"/>
      <c r="DQ836" s="399"/>
    </row>
    <row r="837" spans="1:121" s="760" customFormat="1" ht="14.45" customHeight="1" x14ac:dyDescent="0.25">
      <c r="A837" s="266">
        <f t="shared" si="12"/>
        <v>51.533333333333331</v>
      </c>
      <c r="B837" s="389">
        <v>41310</v>
      </c>
      <c r="C837" s="390" t="s">
        <v>451</v>
      </c>
      <c r="D837" s="391" t="s">
        <v>451</v>
      </c>
      <c r="E837" s="390" t="s">
        <v>380</v>
      </c>
      <c r="F837" s="262" t="s">
        <v>237</v>
      </c>
      <c r="G837" s="262" t="s">
        <v>265</v>
      </c>
      <c r="H837" s="261"/>
      <c r="I837" s="261"/>
      <c r="J837" s="261">
        <v>10</v>
      </c>
      <c r="K837" s="261">
        <v>16</v>
      </c>
      <c r="L837" s="261">
        <v>7</v>
      </c>
      <c r="M837" s="261">
        <v>16</v>
      </c>
      <c r="N837" s="261">
        <v>7</v>
      </c>
      <c r="O837" s="261">
        <v>7</v>
      </c>
      <c r="P837" s="261">
        <v>7</v>
      </c>
      <c r="Q837" s="261">
        <v>7</v>
      </c>
      <c r="R837" s="261"/>
      <c r="S837" s="261"/>
      <c r="T837" s="261"/>
      <c r="U837" s="261"/>
      <c r="V837" s="762"/>
      <c r="W837" s="261"/>
      <c r="X837" s="261"/>
      <c r="Y837" s="264">
        <f>IF(NFI_Expiration=1,IF($A837&lt;VLOOKUP(H$5,NFI,5,0),1,0)*Table_NFI[[#This Row],[Hygiene Kit]],Table_NFI[Hygiene Kit])</f>
        <v>0</v>
      </c>
      <c r="Z837" s="264">
        <f>IF(NFI_Expiration=1,IF($A837&lt;VLOOKUP(I$5,NFI,5,0),1,0)*Table_NFI[[#This Row],[NFI Core Kit]],Table_NFI[NFI Core Kit])</f>
        <v>0</v>
      </c>
      <c r="AA837" s="264">
        <f>IF(NFI_Expiration=1,IF($A837&lt;VLOOKUP(J$5,NFI,5,0),1,0)*Table_NFI[[#This Row],[Sanitary Kit]],Table_NFI[Sanitary Kit])</f>
        <v>0</v>
      </c>
      <c r="AB837" s="264">
        <f>IF(NFI_Expiration=1,IF($A837&lt;VLOOKUP(K$5,NFI,5,0),1,0)*Table_NFI[[#This Row],[Mosquito net]],Table_NFI[Mosquito net])</f>
        <v>0</v>
      </c>
      <c r="AC837" s="264">
        <f>IF(NFI_Expiration=1,IF($A837&lt;VLOOKUP(L$5,NFI,5,0),1,0)*Table_NFI[[#This Row],[Tarpaulin]],Table_NFI[[#This Row],[Tarpaulin]])</f>
        <v>0</v>
      </c>
      <c r="AD837" s="264">
        <f>IF(NFI_Expiration=1,IF($A837&lt;VLOOKUP(M$5,NFI,5,0),1,0)*Table_NFI[[#This Row],[Blanket]],Table_NFI[[#This Row],[Blanket]])</f>
        <v>0</v>
      </c>
      <c r="AE837" s="264">
        <f>IF(NFI_Expiration=1,IF($A837&lt;VLOOKUP(N$5,NFI,5,0),1,0)*Table_NFI[[#This Row],[Kitchen Set]],Table_NFI[Kitchen Set])</f>
        <v>0</v>
      </c>
      <c r="AF837" s="264">
        <f>IF(NFI_Expiration=1,IF($A837&lt;VLOOKUP(O$5,NFI,5,0),1,0)*Table_NFI[[#This Row],[Clothes Kit]],Table_NFI[Clothes Kit])</f>
        <v>0</v>
      </c>
      <c r="AG837" s="264">
        <f>IF(NFI_Expiration=1,IF($A837&lt;VLOOKUP(P$5,NFI,5,0),1,0)*Table_NFI[[#This Row],[Plastic Bucket]],Table_NFI[Plastic Bucket])</f>
        <v>0</v>
      </c>
      <c r="AH837" s="264">
        <f>IF(NFI_Expiration=1,IF($A837&lt;VLOOKUP(Q$5,NFI,5,0),1,0)*Table_NFI[[#This Row],[Plastic Mat]],Table_NFI[Plastic Mat])*IF(Table_NFI[[#This Row],[Distribution Date]]&gt;"2014-04-01",1,2.5)</f>
        <v>0</v>
      </c>
      <c r="AI837" s="264">
        <f>IF(NFI_Expiration=1,IF($A837&lt;VLOOKUP(R$5,NFI,5,0),1,0)*Table_NFI[[#This Row],[Winter Clothes Adult]],Table_NFI[Winter Clothes Adult])</f>
        <v>0</v>
      </c>
      <c r="AJ837" s="264">
        <f>IF(NFI_Expiration=1,IF($A837&lt;VLOOKUP(S$5,NFI,5,0),1,0)*Table_NFI[[#This Row],[Winter Clothes Children]],Table_NFI[Winter Clothes Children])</f>
        <v>0</v>
      </c>
      <c r="AK837" s="264">
        <f>IF(NFI_Expiration=1,IF($A837&lt;VLOOKUP(T$5,NFI,5,0),1,0)*Table_NFI[[#This Row],[Winter Items Other]],Table_NFI[Winter Items Other])</f>
        <v>0</v>
      </c>
      <c r="AL837" s="264">
        <f>IF(NFI_Expiration=1,IF($A837&lt;VLOOKUP(M$5,NFI,5,0),1,0)*Table_NFI[[#This Row],[Winter Blanket]],Table_NFI[[#This Row],[Winter Blanket]])</f>
        <v>0</v>
      </c>
      <c r="AM837" s="264">
        <f>IF(Table_NFI[[#This Row],[Winter Clothes Adult]]+Table_NFI[[#This Row],[Winter Clothes Children]]+Table_NFI[[#This Row],[Winter Items Other]]+Table_NFI[[#This Row],[Winter Blanket]]&gt;0,1,0)</f>
        <v>0</v>
      </c>
      <c r="AN837" s="296">
        <f>IF(NFI_Expiration=1,IF($A837&lt;VLOOKUP(V$5,NFI,5,0),1,0)*Table_NFI[[#This Row],[Jerry Can]],Table_NFI[Jerry Can])</f>
        <v>0</v>
      </c>
      <c r="AO837" s="296">
        <f>IF(NFI_Expiration=1,IF($A837&lt;VLOOKUP(V$5,NFI,5,0),1,0)*Table_NFI[[#This Row],[Shelter Tool kit]],Table_NFI[Shelter Tool kit])</f>
        <v>0</v>
      </c>
      <c r="AP837" s="296">
        <f>IF(NFI_Expiration=1,IF($A837&lt;VLOOKUP(V$5,NFI,5,0),1,0)*Table_NFI[[#This Row],[Tent]],Table_NFI[Tent])</f>
        <v>0</v>
      </c>
      <c r="AQ837" s="396" t="str">
        <f>IFERROR(VLOOKUP(Table_NFI[[#This Row],[Camp Name]],CL,2,0),"")</f>
        <v>MMR001CMP021</v>
      </c>
      <c r="AR837" s="702">
        <f ca="1">IF(Table_NFI[[#This Row],[Pcode]]="","",IF(OFFSET(CampList[Opening Date],MATCH(Table_NFI[[#This Row],[Pcode]],CampList[CP_Pcode],0)-1,0,1,1)&gt;=NFI_Monitor_Date,1,0))</f>
        <v>0</v>
      </c>
      <c r="AS837" s="396" t="str">
        <f>IFERROR(VLOOKUP(Table_NFI[[#This Row],[Camp Name]],CL,3,0),"")</f>
        <v>Open</v>
      </c>
      <c r="AT837" s="264" t="str">
        <f ca="1">IF(Table_NFI[[#This Row],[Pcode]]="","",OFFSET(CampList[Priority],MATCH(Table_NFI[[#This Row],[Pcode]],CampList[CP_Pcode],0)-1,0,1,1))</f>
        <v>P4</v>
      </c>
      <c r="AU837" s="263">
        <f>IFERROR(Table_NFI[[#This Row],[Kitchen Set]]/VLOOKUP(Table_NFI[[#This Row],[Camp Name]],CL,4,0),"")</f>
        <v>1.7149717029669011E-4</v>
      </c>
      <c r="AV837" s="390" t="s">
        <v>1087</v>
      </c>
      <c r="AW837" s="392"/>
      <c r="AX837" s="399"/>
      <c r="AY837" s="399"/>
      <c r="AZ837" s="399"/>
      <c r="BA837" s="399"/>
      <c r="BB837" s="399"/>
      <c r="BC837" s="399"/>
      <c r="BD837" s="399"/>
      <c r="BE837" s="399"/>
      <c r="BF837" s="399"/>
      <c r="BG837" s="399"/>
      <c r="BH837" s="399"/>
      <c r="BI837" s="399"/>
      <c r="BJ837" s="399"/>
      <c r="BK837" s="399"/>
      <c r="BL837" s="399"/>
      <c r="BM837" s="399"/>
      <c r="BN837" s="399"/>
      <c r="BO837" s="399"/>
      <c r="BP837" s="399"/>
      <c r="BQ837" s="399"/>
      <c r="BR837" s="399"/>
      <c r="BS837" s="399"/>
      <c r="BT837" s="399"/>
      <c r="BU837" s="399"/>
      <c r="BV837" s="399"/>
      <c r="BW837" s="399"/>
      <c r="BX837" s="399"/>
      <c r="BY837" s="399"/>
      <c r="BZ837" s="399"/>
      <c r="CA837" s="399"/>
      <c r="CB837" s="399"/>
      <c r="CC837" s="399"/>
      <c r="CD837" s="399"/>
      <c r="CE837" s="399"/>
      <c r="CF837" s="399"/>
      <c r="CG837" s="399"/>
      <c r="CH837" s="399"/>
      <c r="CI837" s="399"/>
      <c r="CJ837" s="399"/>
      <c r="CK837" s="399"/>
      <c r="CL837" s="399"/>
      <c r="CM837" s="399"/>
      <c r="CN837" s="399"/>
      <c r="CO837" s="399"/>
      <c r="CP837" s="399"/>
      <c r="CQ837" s="399"/>
      <c r="CR837" s="399"/>
      <c r="CS837" s="399"/>
      <c r="CT837" s="399"/>
      <c r="CU837" s="399"/>
      <c r="CV837" s="399"/>
      <c r="CW837" s="399"/>
      <c r="CX837" s="399"/>
      <c r="CY837" s="399"/>
      <c r="CZ837" s="399"/>
      <c r="DA837" s="399"/>
      <c r="DB837" s="399"/>
      <c r="DC837" s="399"/>
      <c r="DD837" s="399"/>
      <c r="DE837" s="399"/>
      <c r="DF837" s="399"/>
      <c r="DG837" s="399"/>
      <c r="DH837" s="399"/>
      <c r="DI837" s="399"/>
      <c r="DJ837" s="399"/>
      <c r="DK837" s="399"/>
      <c r="DL837" s="399"/>
      <c r="DM837" s="399"/>
      <c r="DN837" s="399"/>
      <c r="DO837" s="399"/>
      <c r="DP837" s="399"/>
      <c r="DQ837" s="399"/>
    </row>
    <row r="838" spans="1:121" s="760" customFormat="1" ht="14.45" customHeight="1" x14ac:dyDescent="0.25">
      <c r="A838" s="266">
        <f t="shared" ref="A838:A901" si="13">IF(ISBLANK(B838),"",(Report_Date-B838)/30)</f>
        <v>51.533333333333331</v>
      </c>
      <c r="B838" s="389">
        <v>41310</v>
      </c>
      <c r="C838" s="390" t="s">
        <v>899</v>
      </c>
      <c r="D838" s="390" t="s">
        <v>899</v>
      </c>
      <c r="E838" s="390" t="s">
        <v>380</v>
      </c>
      <c r="F838" s="262" t="s">
        <v>310</v>
      </c>
      <c r="G838" s="262" t="s">
        <v>351</v>
      </c>
      <c r="H838" s="261">
        <v>20</v>
      </c>
      <c r="I838" s="261"/>
      <c r="J838" s="261"/>
      <c r="K838" s="261"/>
      <c r="L838" s="261"/>
      <c r="M838" s="261"/>
      <c r="N838" s="261"/>
      <c r="O838" s="261"/>
      <c r="P838" s="261">
        <v>0</v>
      </c>
      <c r="Q838" s="261">
        <v>0</v>
      </c>
      <c r="R838" s="261"/>
      <c r="S838" s="261"/>
      <c r="T838" s="261"/>
      <c r="U838" s="261"/>
      <c r="V838" s="762"/>
      <c r="W838" s="261"/>
      <c r="X838" s="261"/>
      <c r="Y838" s="264">
        <f>IF(NFI_Expiration=1,IF($A838&lt;VLOOKUP(H$5,NFI,5,0),1,0)*Table_NFI[[#This Row],[Hygiene Kit]],Table_NFI[Hygiene Kit])</f>
        <v>0</v>
      </c>
      <c r="Z838" s="264">
        <f>IF(NFI_Expiration=1,IF($A838&lt;VLOOKUP(I$5,NFI,5,0),1,0)*Table_NFI[[#This Row],[NFI Core Kit]],Table_NFI[NFI Core Kit])</f>
        <v>0</v>
      </c>
      <c r="AA838" s="264">
        <f>IF(NFI_Expiration=1,IF($A838&lt;VLOOKUP(J$5,NFI,5,0),1,0)*Table_NFI[[#This Row],[Sanitary Kit]],Table_NFI[Sanitary Kit])</f>
        <v>0</v>
      </c>
      <c r="AB838" s="264">
        <f>IF(NFI_Expiration=1,IF($A838&lt;VLOOKUP(K$5,NFI,5,0),1,0)*Table_NFI[[#This Row],[Mosquito net]],Table_NFI[Mosquito net])</f>
        <v>0</v>
      </c>
      <c r="AC838" s="264">
        <f>IF(NFI_Expiration=1,IF($A838&lt;VLOOKUP(L$5,NFI,5,0),1,0)*Table_NFI[[#This Row],[Tarpaulin]],Table_NFI[[#This Row],[Tarpaulin]])</f>
        <v>0</v>
      </c>
      <c r="AD838" s="264">
        <f>IF(NFI_Expiration=1,IF($A838&lt;VLOOKUP(M$5,NFI,5,0),1,0)*Table_NFI[[#This Row],[Blanket]],Table_NFI[[#This Row],[Blanket]])</f>
        <v>0</v>
      </c>
      <c r="AE838" s="264">
        <f>IF(NFI_Expiration=1,IF($A838&lt;VLOOKUP(N$5,NFI,5,0),1,0)*Table_NFI[[#This Row],[Kitchen Set]],Table_NFI[Kitchen Set])</f>
        <v>0</v>
      </c>
      <c r="AF838" s="264">
        <f>IF(NFI_Expiration=1,IF($A838&lt;VLOOKUP(O$5,NFI,5,0),1,0)*Table_NFI[[#This Row],[Clothes Kit]],Table_NFI[Clothes Kit])</f>
        <v>0</v>
      </c>
      <c r="AG838" s="264">
        <f>IF(NFI_Expiration=1,IF($A838&lt;VLOOKUP(P$5,NFI,5,0),1,0)*Table_NFI[[#This Row],[Plastic Bucket]],Table_NFI[Plastic Bucket])</f>
        <v>0</v>
      </c>
      <c r="AH838" s="264">
        <f>IF(NFI_Expiration=1,IF($A838&lt;VLOOKUP(Q$5,NFI,5,0),1,0)*Table_NFI[[#This Row],[Plastic Mat]],Table_NFI[Plastic Mat])*IF(Table_NFI[[#This Row],[Distribution Date]]&gt;"2014-04-01",1,2.5)</f>
        <v>0</v>
      </c>
      <c r="AI838" s="264">
        <f>IF(NFI_Expiration=1,IF($A838&lt;VLOOKUP(R$5,NFI,5,0),1,0)*Table_NFI[[#This Row],[Winter Clothes Adult]],Table_NFI[Winter Clothes Adult])</f>
        <v>0</v>
      </c>
      <c r="AJ838" s="264">
        <f>IF(NFI_Expiration=1,IF($A838&lt;VLOOKUP(S$5,NFI,5,0),1,0)*Table_NFI[[#This Row],[Winter Clothes Children]],Table_NFI[Winter Clothes Children])</f>
        <v>0</v>
      </c>
      <c r="AK838" s="264">
        <f>IF(NFI_Expiration=1,IF($A838&lt;VLOOKUP(T$5,NFI,5,0),1,0)*Table_NFI[[#This Row],[Winter Items Other]],Table_NFI[Winter Items Other])</f>
        <v>0</v>
      </c>
      <c r="AL838" s="264">
        <f>IF(NFI_Expiration=1,IF($A838&lt;VLOOKUP(M$5,NFI,5,0),1,0)*Table_NFI[[#This Row],[Winter Blanket]],Table_NFI[[#This Row],[Winter Blanket]])</f>
        <v>0</v>
      </c>
      <c r="AM838" s="264">
        <f>IF(Table_NFI[[#This Row],[Winter Clothes Adult]]+Table_NFI[[#This Row],[Winter Clothes Children]]+Table_NFI[[#This Row],[Winter Items Other]]+Table_NFI[[#This Row],[Winter Blanket]]&gt;0,1,0)</f>
        <v>0</v>
      </c>
      <c r="AN838" s="296">
        <f>IF(NFI_Expiration=1,IF($A838&lt;VLOOKUP(V$5,NFI,5,0),1,0)*Table_NFI[[#This Row],[Jerry Can]],Table_NFI[Jerry Can])</f>
        <v>0</v>
      </c>
      <c r="AO838" s="296">
        <f>IF(NFI_Expiration=1,IF($A838&lt;VLOOKUP(V$5,NFI,5,0),1,0)*Table_NFI[[#This Row],[Shelter Tool kit]],Table_NFI[Shelter Tool kit])</f>
        <v>0</v>
      </c>
      <c r="AP838" s="296">
        <f>IF(NFI_Expiration=1,IF($A838&lt;VLOOKUP(V$5,NFI,5,0),1,0)*Table_NFI[[#This Row],[Tent]],Table_NFI[Tent])</f>
        <v>0</v>
      </c>
      <c r="AQ838" s="396" t="str">
        <f>IFERROR(VLOOKUP(Table_NFI[[#This Row],[Camp Name]],CL,2,0),"")</f>
        <v>MMR001CMP026</v>
      </c>
      <c r="AR838" s="702">
        <f ca="1">IF(Table_NFI[[#This Row],[Pcode]]="","",IF(OFFSET(CampList[Opening Date],MATCH(Table_NFI[[#This Row],[Pcode]],CampList[CP_Pcode],0)-1,0,1,1)&gt;=NFI_Monitor_Date,1,0))</f>
        <v>0</v>
      </c>
      <c r="AS838" s="396" t="str">
        <f>IFERROR(VLOOKUP(Table_NFI[[#This Row],[Camp Name]],CL,3,0),"")</f>
        <v>Open</v>
      </c>
      <c r="AT838" s="264" t="str">
        <f ca="1">IF(Table_NFI[[#This Row],[Pcode]]="","",OFFSET(CampList[Priority],MATCH(Table_NFI[[#This Row],[Pcode]],CampList[CP_Pcode],0)-1,0,1,1))</f>
        <v>P4</v>
      </c>
      <c r="AU838" s="263">
        <f>IFERROR(Table_NFI[[#This Row],[Kitchen Set]]/VLOOKUP(Table_NFI[[#This Row],[Camp Name]],CL,4,0),"")</f>
        <v>0</v>
      </c>
      <c r="AV838" s="390" t="s">
        <v>1087</v>
      </c>
      <c r="AW838" s="392"/>
      <c r="AX838" s="399"/>
      <c r="AY838" s="399"/>
      <c r="AZ838" s="399"/>
      <c r="BA838" s="399"/>
      <c r="BB838" s="399"/>
      <c r="BC838" s="399"/>
      <c r="BD838" s="399"/>
      <c r="BE838" s="399"/>
      <c r="BF838" s="399"/>
      <c r="BG838" s="399"/>
      <c r="BH838" s="399"/>
      <c r="BI838" s="399"/>
      <c r="BJ838" s="399"/>
      <c r="BK838" s="399"/>
      <c r="BL838" s="399"/>
      <c r="BM838" s="399"/>
      <c r="BN838" s="399"/>
      <c r="BO838" s="399"/>
      <c r="BP838" s="399"/>
      <c r="BQ838" s="399"/>
      <c r="BR838" s="399"/>
      <c r="BS838" s="399"/>
      <c r="BT838" s="399"/>
      <c r="BU838" s="399"/>
      <c r="BV838" s="399"/>
      <c r="BW838" s="399"/>
      <c r="BX838" s="399"/>
      <c r="BY838" s="399"/>
      <c r="BZ838" s="399"/>
      <c r="CA838" s="399"/>
      <c r="CB838" s="399"/>
      <c r="CC838" s="399"/>
      <c r="CD838" s="399"/>
      <c r="CE838" s="399"/>
      <c r="CF838" s="399"/>
      <c r="CG838" s="399"/>
      <c r="CH838" s="399"/>
      <c r="CI838" s="399"/>
      <c r="CJ838" s="399"/>
      <c r="CK838" s="399"/>
      <c r="CL838" s="399"/>
      <c r="CM838" s="399"/>
      <c r="CN838" s="399"/>
      <c r="CO838" s="399"/>
      <c r="CP838" s="399"/>
      <c r="CQ838" s="399"/>
      <c r="CR838" s="399"/>
      <c r="CS838" s="399"/>
      <c r="CT838" s="399"/>
      <c r="CU838" s="399"/>
      <c r="CV838" s="399"/>
      <c r="CW838" s="399"/>
      <c r="CX838" s="399"/>
      <c r="CY838" s="399"/>
      <c r="CZ838" s="399"/>
      <c r="DA838" s="399"/>
      <c r="DB838" s="399"/>
      <c r="DC838" s="399"/>
      <c r="DD838" s="399"/>
      <c r="DE838" s="399"/>
      <c r="DF838" s="399"/>
      <c r="DG838" s="399"/>
      <c r="DH838" s="399"/>
      <c r="DI838" s="399"/>
      <c r="DJ838" s="399"/>
      <c r="DK838" s="399"/>
      <c r="DL838" s="399"/>
      <c r="DM838" s="399"/>
      <c r="DN838" s="399"/>
      <c r="DO838" s="399"/>
      <c r="DP838" s="399"/>
      <c r="DQ838" s="399"/>
    </row>
    <row r="839" spans="1:121" s="760" customFormat="1" ht="14.45" customHeight="1" x14ac:dyDescent="0.25">
      <c r="A839" s="266">
        <f t="shared" si="13"/>
        <v>51.533333333333331</v>
      </c>
      <c r="B839" s="389">
        <v>41310</v>
      </c>
      <c r="C839" s="390" t="s">
        <v>899</v>
      </c>
      <c r="D839" s="390" t="s">
        <v>899</v>
      </c>
      <c r="E839" s="390" t="s">
        <v>380</v>
      </c>
      <c r="F839" s="262" t="s">
        <v>237</v>
      </c>
      <c r="G839" s="262" t="s">
        <v>277</v>
      </c>
      <c r="H839" s="261">
        <v>36</v>
      </c>
      <c r="I839" s="261"/>
      <c r="J839" s="261"/>
      <c r="K839" s="261"/>
      <c r="L839" s="261"/>
      <c r="M839" s="261"/>
      <c r="N839" s="261"/>
      <c r="O839" s="261"/>
      <c r="P839" s="261">
        <v>0</v>
      </c>
      <c r="Q839" s="261">
        <v>0</v>
      </c>
      <c r="R839" s="261"/>
      <c r="S839" s="261"/>
      <c r="T839" s="261"/>
      <c r="U839" s="261"/>
      <c r="V839" s="762"/>
      <c r="W839" s="261"/>
      <c r="X839" s="261"/>
      <c r="Y839" s="264">
        <f>IF(NFI_Expiration=1,IF($A839&lt;VLOOKUP(H$5,NFI,5,0),1,0)*Table_NFI[[#This Row],[Hygiene Kit]],Table_NFI[Hygiene Kit])</f>
        <v>0</v>
      </c>
      <c r="Z839" s="264">
        <f>IF(NFI_Expiration=1,IF($A839&lt;VLOOKUP(I$5,NFI,5,0),1,0)*Table_NFI[[#This Row],[NFI Core Kit]],Table_NFI[NFI Core Kit])</f>
        <v>0</v>
      </c>
      <c r="AA839" s="264">
        <f>IF(NFI_Expiration=1,IF($A839&lt;VLOOKUP(J$5,NFI,5,0),1,0)*Table_NFI[[#This Row],[Sanitary Kit]],Table_NFI[Sanitary Kit])</f>
        <v>0</v>
      </c>
      <c r="AB839" s="264">
        <f>IF(NFI_Expiration=1,IF($A839&lt;VLOOKUP(K$5,NFI,5,0),1,0)*Table_NFI[[#This Row],[Mosquito net]],Table_NFI[Mosquito net])</f>
        <v>0</v>
      </c>
      <c r="AC839" s="264">
        <f>IF(NFI_Expiration=1,IF($A839&lt;VLOOKUP(L$5,NFI,5,0),1,0)*Table_NFI[[#This Row],[Tarpaulin]],Table_NFI[[#This Row],[Tarpaulin]])</f>
        <v>0</v>
      </c>
      <c r="AD839" s="264">
        <f>IF(NFI_Expiration=1,IF($A839&lt;VLOOKUP(M$5,NFI,5,0),1,0)*Table_NFI[[#This Row],[Blanket]],Table_NFI[[#This Row],[Blanket]])</f>
        <v>0</v>
      </c>
      <c r="AE839" s="264">
        <f>IF(NFI_Expiration=1,IF($A839&lt;VLOOKUP(N$5,NFI,5,0),1,0)*Table_NFI[[#This Row],[Kitchen Set]],Table_NFI[Kitchen Set])</f>
        <v>0</v>
      </c>
      <c r="AF839" s="264">
        <f>IF(NFI_Expiration=1,IF($A839&lt;VLOOKUP(O$5,NFI,5,0),1,0)*Table_NFI[[#This Row],[Clothes Kit]],Table_NFI[Clothes Kit])</f>
        <v>0</v>
      </c>
      <c r="AG839" s="264">
        <f>IF(NFI_Expiration=1,IF($A839&lt;VLOOKUP(P$5,NFI,5,0),1,0)*Table_NFI[[#This Row],[Plastic Bucket]],Table_NFI[Plastic Bucket])</f>
        <v>0</v>
      </c>
      <c r="AH839" s="264">
        <f>IF(NFI_Expiration=1,IF($A839&lt;VLOOKUP(Q$5,NFI,5,0),1,0)*Table_NFI[[#This Row],[Plastic Mat]],Table_NFI[Plastic Mat])*IF(Table_NFI[[#This Row],[Distribution Date]]&gt;"2014-04-01",1,2.5)</f>
        <v>0</v>
      </c>
      <c r="AI839" s="264">
        <f>IF(NFI_Expiration=1,IF($A839&lt;VLOOKUP(R$5,NFI,5,0),1,0)*Table_NFI[[#This Row],[Winter Clothes Adult]],Table_NFI[Winter Clothes Adult])</f>
        <v>0</v>
      </c>
      <c r="AJ839" s="264">
        <f>IF(NFI_Expiration=1,IF($A839&lt;VLOOKUP(S$5,NFI,5,0),1,0)*Table_NFI[[#This Row],[Winter Clothes Children]],Table_NFI[Winter Clothes Children])</f>
        <v>0</v>
      </c>
      <c r="AK839" s="264">
        <f>IF(NFI_Expiration=1,IF($A839&lt;VLOOKUP(T$5,NFI,5,0),1,0)*Table_NFI[[#This Row],[Winter Items Other]],Table_NFI[Winter Items Other])</f>
        <v>0</v>
      </c>
      <c r="AL839" s="264">
        <f>IF(NFI_Expiration=1,IF($A839&lt;VLOOKUP(M$5,NFI,5,0),1,0)*Table_NFI[[#This Row],[Winter Blanket]],Table_NFI[[#This Row],[Winter Blanket]])</f>
        <v>0</v>
      </c>
      <c r="AM839" s="264">
        <f>IF(Table_NFI[[#This Row],[Winter Clothes Adult]]+Table_NFI[[#This Row],[Winter Clothes Children]]+Table_NFI[[#This Row],[Winter Items Other]]+Table_NFI[[#This Row],[Winter Blanket]]&gt;0,1,0)</f>
        <v>0</v>
      </c>
      <c r="AN839" s="296">
        <f>IF(NFI_Expiration=1,IF($A839&lt;VLOOKUP(V$5,NFI,5,0),1,0)*Table_NFI[[#This Row],[Jerry Can]],Table_NFI[Jerry Can])</f>
        <v>0</v>
      </c>
      <c r="AO839" s="296">
        <f>IF(NFI_Expiration=1,IF($A839&lt;VLOOKUP(V$5,NFI,5,0),1,0)*Table_NFI[[#This Row],[Shelter Tool kit]],Table_NFI[Shelter Tool kit])</f>
        <v>0</v>
      </c>
      <c r="AP839" s="296">
        <f>IF(NFI_Expiration=1,IF($A839&lt;VLOOKUP(V$5,NFI,5,0),1,0)*Table_NFI[[#This Row],[Tent]],Table_NFI[Tent])</f>
        <v>0</v>
      </c>
      <c r="AQ839" s="396" t="str">
        <f>IFERROR(VLOOKUP(Table_NFI[[#This Row],[Camp Name]],CL,2,0),"")</f>
        <v>MMR001CMP006</v>
      </c>
      <c r="AR839" s="702">
        <f ca="1">IF(Table_NFI[[#This Row],[Pcode]]="","",IF(OFFSET(CampList[Opening Date],MATCH(Table_NFI[[#This Row],[Pcode]],CampList[CP_Pcode],0)-1,0,1,1)&gt;=NFI_Monitor_Date,1,0))</f>
        <v>0</v>
      </c>
      <c r="AS839" s="396" t="str">
        <f>IFERROR(VLOOKUP(Table_NFI[[#This Row],[Camp Name]],CL,3,0),"")</f>
        <v>Open</v>
      </c>
      <c r="AT839" s="264" t="str">
        <f ca="1">IF(Table_NFI[[#This Row],[Pcode]]="","",OFFSET(CampList[Priority],MATCH(Table_NFI[[#This Row],[Pcode]],CampList[CP_Pcode],0)-1,0,1,1))</f>
        <v>P4</v>
      </c>
      <c r="AU839" s="263">
        <f>IFERROR(Table_NFI[[#This Row],[Kitchen Set]]/VLOOKUP(Table_NFI[[#This Row],[Camp Name]],CL,4,0),"")</f>
        <v>0</v>
      </c>
      <c r="AV839" s="390" t="s">
        <v>1087</v>
      </c>
      <c r="AW839" s="392"/>
      <c r="AX839" s="399"/>
      <c r="AY839" s="399"/>
      <c r="AZ839" s="399"/>
      <c r="BA839" s="399"/>
      <c r="BB839" s="399"/>
      <c r="BC839" s="399"/>
      <c r="BD839" s="399"/>
      <c r="BE839" s="399"/>
      <c r="BF839" s="399"/>
      <c r="BG839" s="399"/>
      <c r="BH839" s="399"/>
      <c r="BI839" s="399"/>
      <c r="BJ839" s="399"/>
      <c r="BK839" s="399"/>
      <c r="BL839" s="399"/>
      <c r="BM839" s="399"/>
      <c r="BN839" s="399"/>
      <c r="BO839" s="399"/>
      <c r="BP839" s="399"/>
      <c r="BQ839" s="399"/>
      <c r="BR839" s="399"/>
      <c r="BS839" s="399"/>
      <c r="BT839" s="399"/>
      <c r="BU839" s="399"/>
      <c r="BV839" s="399"/>
      <c r="BW839" s="399"/>
      <c r="BX839" s="399"/>
      <c r="BY839" s="399"/>
      <c r="BZ839" s="399"/>
      <c r="CA839" s="399"/>
      <c r="CB839" s="399"/>
      <c r="CC839" s="399"/>
      <c r="CD839" s="399"/>
      <c r="CE839" s="399"/>
      <c r="CF839" s="399"/>
      <c r="CG839" s="399"/>
      <c r="CH839" s="399"/>
      <c r="CI839" s="399"/>
      <c r="CJ839" s="399"/>
      <c r="CK839" s="399"/>
      <c r="CL839" s="399"/>
      <c r="CM839" s="399"/>
      <c r="CN839" s="399"/>
      <c r="CO839" s="399"/>
      <c r="CP839" s="399"/>
      <c r="CQ839" s="399"/>
      <c r="CR839" s="399"/>
      <c r="CS839" s="399"/>
      <c r="CT839" s="399"/>
      <c r="CU839" s="399"/>
      <c r="CV839" s="399"/>
      <c r="CW839" s="399"/>
      <c r="CX839" s="399"/>
      <c r="CY839" s="399"/>
      <c r="CZ839" s="399"/>
      <c r="DA839" s="399"/>
      <c r="DB839" s="399"/>
      <c r="DC839" s="399"/>
      <c r="DD839" s="399"/>
      <c r="DE839" s="399"/>
      <c r="DF839" s="399"/>
      <c r="DG839" s="399"/>
      <c r="DH839" s="399"/>
      <c r="DI839" s="399"/>
      <c r="DJ839" s="399"/>
      <c r="DK839" s="399"/>
      <c r="DL839" s="399"/>
      <c r="DM839" s="399"/>
      <c r="DN839" s="399"/>
      <c r="DO839" s="399"/>
      <c r="DP839" s="399"/>
      <c r="DQ839" s="399"/>
    </row>
    <row r="840" spans="1:121" s="760" customFormat="1" ht="14.45" customHeight="1" x14ac:dyDescent="0.25">
      <c r="A840" s="266">
        <f t="shared" si="13"/>
        <v>51.56666666666667</v>
      </c>
      <c r="B840" s="389">
        <v>41309</v>
      </c>
      <c r="C840" s="390" t="s">
        <v>899</v>
      </c>
      <c r="D840" s="390" t="s">
        <v>899</v>
      </c>
      <c r="E840" s="390" t="s">
        <v>380</v>
      </c>
      <c r="F840" s="390" t="s">
        <v>526</v>
      </c>
      <c r="G840" s="262" t="s">
        <v>62</v>
      </c>
      <c r="H840" s="261"/>
      <c r="I840" s="261"/>
      <c r="J840" s="261"/>
      <c r="K840" s="261"/>
      <c r="L840" s="261"/>
      <c r="M840" s="261"/>
      <c r="N840" s="261">
        <v>162</v>
      </c>
      <c r="O840" s="261"/>
      <c r="P840" s="261">
        <v>0</v>
      </c>
      <c r="Q840" s="261">
        <v>0</v>
      </c>
      <c r="R840" s="261"/>
      <c r="S840" s="261"/>
      <c r="T840" s="261"/>
      <c r="U840" s="261"/>
      <c r="V840" s="762"/>
      <c r="W840" s="261"/>
      <c r="X840" s="261"/>
      <c r="Y840" s="264">
        <f>IF(NFI_Expiration=1,IF($A840&lt;VLOOKUP(H$5,NFI,5,0),1,0)*Table_NFI[[#This Row],[Hygiene Kit]],Table_NFI[Hygiene Kit])</f>
        <v>0</v>
      </c>
      <c r="Z840" s="264">
        <f>IF(NFI_Expiration=1,IF($A840&lt;VLOOKUP(I$5,NFI,5,0),1,0)*Table_NFI[[#This Row],[NFI Core Kit]],Table_NFI[NFI Core Kit])</f>
        <v>0</v>
      </c>
      <c r="AA840" s="264">
        <f>IF(NFI_Expiration=1,IF($A840&lt;VLOOKUP(J$5,NFI,5,0),1,0)*Table_NFI[[#This Row],[Sanitary Kit]],Table_NFI[Sanitary Kit])</f>
        <v>0</v>
      </c>
      <c r="AB840" s="264">
        <f>IF(NFI_Expiration=1,IF($A840&lt;VLOOKUP(K$5,NFI,5,0),1,0)*Table_NFI[[#This Row],[Mosquito net]],Table_NFI[Mosquito net])</f>
        <v>0</v>
      </c>
      <c r="AC840" s="264">
        <f>IF(NFI_Expiration=1,IF($A840&lt;VLOOKUP(L$5,NFI,5,0),1,0)*Table_NFI[[#This Row],[Tarpaulin]],Table_NFI[[#This Row],[Tarpaulin]])</f>
        <v>0</v>
      </c>
      <c r="AD840" s="264">
        <f>IF(NFI_Expiration=1,IF($A840&lt;VLOOKUP(M$5,NFI,5,0),1,0)*Table_NFI[[#This Row],[Blanket]],Table_NFI[[#This Row],[Blanket]])</f>
        <v>0</v>
      </c>
      <c r="AE840" s="264">
        <f>IF(NFI_Expiration=1,IF($A840&lt;VLOOKUP(N$5,NFI,5,0),1,0)*Table_NFI[[#This Row],[Kitchen Set]],Table_NFI[Kitchen Set])</f>
        <v>0</v>
      </c>
      <c r="AF840" s="264">
        <f>IF(NFI_Expiration=1,IF($A840&lt;VLOOKUP(O$5,NFI,5,0),1,0)*Table_NFI[[#This Row],[Clothes Kit]],Table_NFI[Clothes Kit])</f>
        <v>0</v>
      </c>
      <c r="AG840" s="264">
        <f>IF(NFI_Expiration=1,IF($A840&lt;VLOOKUP(P$5,NFI,5,0),1,0)*Table_NFI[[#This Row],[Plastic Bucket]],Table_NFI[Plastic Bucket])</f>
        <v>0</v>
      </c>
      <c r="AH840" s="264">
        <f>IF(NFI_Expiration=1,IF($A840&lt;VLOOKUP(Q$5,NFI,5,0),1,0)*Table_NFI[[#This Row],[Plastic Mat]],Table_NFI[Plastic Mat])*IF(Table_NFI[[#This Row],[Distribution Date]]&gt;"2014-04-01",1,2.5)</f>
        <v>0</v>
      </c>
      <c r="AI840" s="264">
        <f>IF(NFI_Expiration=1,IF($A840&lt;VLOOKUP(R$5,NFI,5,0),1,0)*Table_NFI[[#This Row],[Winter Clothes Adult]],Table_NFI[Winter Clothes Adult])</f>
        <v>0</v>
      </c>
      <c r="AJ840" s="264">
        <f>IF(NFI_Expiration=1,IF($A840&lt;VLOOKUP(S$5,NFI,5,0),1,0)*Table_NFI[[#This Row],[Winter Clothes Children]],Table_NFI[Winter Clothes Children])</f>
        <v>0</v>
      </c>
      <c r="AK840" s="264">
        <f>IF(NFI_Expiration=1,IF($A840&lt;VLOOKUP(T$5,NFI,5,0),1,0)*Table_NFI[[#This Row],[Winter Items Other]],Table_NFI[Winter Items Other])</f>
        <v>0</v>
      </c>
      <c r="AL840" s="264">
        <f>IF(NFI_Expiration=1,IF($A840&lt;VLOOKUP(M$5,NFI,5,0),1,0)*Table_NFI[[#This Row],[Winter Blanket]],Table_NFI[[#This Row],[Winter Blanket]])</f>
        <v>0</v>
      </c>
      <c r="AM840" s="264">
        <f>IF(Table_NFI[[#This Row],[Winter Clothes Adult]]+Table_NFI[[#This Row],[Winter Clothes Children]]+Table_NFI[[#This Row],[Winter Items Other]]+Table_NFI[[#This Row],[Winter Blanket]]&gt;0,1,0)</f>
        <v>0</v>
      </c>
      <c r="AN840" s="296">
        <f>IF(NFI_Expiration=1,IF($A840&lt;VLOOKUP(V$5,NFI,5,0),1,0)*Table_NFI[[#This Row],[Jerry Can]],Table_NFI[Jerry Can])</f>
        <v>0</v>
      </c>
      <c r="AO840" s="296">
        <f>IF(NFI_Expiration=1,IF($A840&lt;VLOOKUP(V$5,NFI,5,0),1,0)*Table_NFI[[#This Row],[Shelter Tool kit]],Table_NFI[Shelter Tool kit])</f>
        <v>0</v>
      </c>
      <c r="AP840" s="296">
        <f>IF(NFI_Expiration=1,IF($A840&lt;VLOOKUP(V$5,NFI,5,0),1,0)*Table_NFI[[#This Row],[Tent]],Table_NFI[Tent])</f>
        <v>0</v>
      </c>
      <c r="AQ840" s="396" t="str">
        <f>IFERROR(VLOOKUP(Table_NFI[[#This Row],[Camp Name]],CL,2,0),"")</f>
        <v>MMR001CMP179</v>
      </c>
      <c r="AR840" s="702">
        <f ca="1">IF(Table_NFI[[#This Row],[Pcode]]="","",IF(OFFSET(CampList[Opening Date],MATCH(Table_NFI[[#This Row],[Pcode]],CampList[CP_Pcode],0)-1,0,1,1)&gt;=NFI_Monitor_Date,1,0))</f>
        <v>0</v>
      </c>
      <c r="AS840" s="396" t="str">
        <f>IFERROR(VLOOKUP(Table_NFI[[#This Row],[Camp Name]],CL,3,0),"")</f>
        <v>Closed</v>
      </c>
      <c r="AT840" s="264" t="str">
        <f ca="1">IF(Table_NFI[[#This Row],[Pcode]]="","",OFFSET(CampList[Priority],MATCH(Table_NFI[[#This Row],[Pcode]],CampList[CP_Pcode],0)-1,0,1,1))</f>
        <v>P4</v>
      </c>
      <c r="AU840" s="263">
        <f>IFERROR(Table_NFI[[#This Row],[Kitchen Set]]/VLOOKUP(Table_NFI[[#This Row],[Camp Name]],CL,4,0),"")</f>
        <v>3.9248940036341615E-3</v>
      </c>
      <c r="AV840" s="390" t="s">
        <v>1087</v>
      </c>
      <c r="AW840" s="392"/>
      <c r="AX840" s="399"/>
      <c r="AY840" s="399"/>
      <c r="AZ840" s="399"/>
      <c r="BA840" s="399"/>
      <c r="BB840" s="399"/>
      <c r="BC840" s="399"/>
      <c r="BD840" s="399"/>
      <c r="BE840" s="399"/>
      <c r="BF840" s="399"/>
      <c r="BG840" s="399"/>
      <c r="BH840" s="399"/>
      <c r="BI840" s="399"/>
      <c r="BJ840" s="399"/>
      <c r="BK840" s="399"/>
      <c r="BL840" s="399"/>
      <c r="BM840" s="399"/>
      <c r="BN840" s="399"/>
      <c r="BO840" s="399"/>
      <c r="BP840" s="399"/>
      <c r="BQ840" s="399"/>
      <c r="BR840" s="399"/>
      <c r="BS840" s="399"/>
      <c r="BT840" s="399"/>
      <c r="BU840" s="399"/>
      <c r="BV840" s="399"/>
      <c r="BW840" s="399"/>
      <c r="BX840" s="399"/>
      <c r="BY840" s="399"/>
      <c r="BZ840" s="399"/>
      <c r="CA840" s="399"/>
      <c r="CB840" s="399"/>
      <c r="CC840" s="399"/>
      <c r="CD840" s="399"/>
      <c r="CE840" s="399"/>
      <c r="CF840" s="399"/>
      <c r="CG840" s="399"/>
      <c r="CH840" s="399"/>
      <c r="CI840" s="399"/>
      <c r="CJ840" s="399"/>
      <c r="CK840" s="399"/>
      <c r="CL840" s="399"/>
      <c r="CM840" s="399"/>
      <c r="CN840" s="399"/>
      <c r="CO840" s="399"/>
      <c r="CP840" s="399"/>
      <c r="CQ840" s="399"/>
      <c r="CR840" s="399"/>
      <c r="CS840" s="399"/>
      <c r="CT840" s="399"/>
      <c r="CU840" s="399"/>
      <c r="CV840" s="399"/>
      <c r="CW840" s="399"/>
      <c r="CX840" s="399"/>
      <c r="CY840" s="399"/>
      <c r="CZ840" s="399"/>
      <c r="DA840" s="399"/>
      <c r="DB840" s="399"/>
      <c r="DC840" s="399"/>
      <c r="DD840" s="399"/>
      <c r="DE840" s="399"/>
      <c r="DF840" s="399"/>
      <c r="DG840" s="399"/>
      <c r="DH840" s="399"/>
      <c r="DI840" s="399"/>
      <c r="DJ840" s="399"/>
      <c r="DK840" s="399"/>
      <c r="DL840" s="399"/>
      <c r="DM840" s="399"/>
      <c r="DN840" s="399"/>
      <c r="DO840" s="399"/>
      <c r="DP840" s="399"/>
      <c r="DQ840" s="399"/>
    </row>
    <row r="841" spans="1:121" s="760" customFormat="1" ht="14.45" customHeight="1" x14ac:dyDescent="0.25">
      <c r="A841" s="266">
        <f t="shared" si="13"/>
        <v>51.56666666666667</v>
      </c>
      <c r="B841" s="389">
        <v>41309</v>
      </c>
      <c r="C841" s="390" t="s">
        <v>899</v>
      </c>
      <c r="D841" s="391" t="s">
        <v>899</v>
      </c>
      <c r="E841" s="390" t="s">
        <v>380</v>
      </c>
      <c r="F841" s="262" t="s">
        <v>526</v>
      </c>
      <c r="G841" s="262" t="s">
        <v>120</v>
      </c>
      <c r="H841" s="261"/>
      <c r="I841" s="261"/>
      <c r="J841" s="261"/>
      <c r="K841" s="261"/>
      <c r="L841" s="261"/>
      <c r="M841" s="261"/>
      <c r="N841" s="261">
        <v>117</v>
      </c>
      <c r="O841" s="261"/>
      <c r="P841" s="261">
        <v>0</v>
      </c>
      <c r="Q841" s="261">
        <v>0</v>
      </c>
      <c r="R841" s="261"/>
      <c r="S841" s="261"/>
      <c r="T841" s="261"/>
      <c r="U841" s="261"/>
      <c r="V841" s="762"/>
      <c r="W841" s="261"/>
      <c r="X841" s="261"/>
      <c r="Y841" s="264">
        <f>IF(NFI_Expiration=1,IF($A841&lt;VLOOKUP(H$5,NFI,5,0),1,0)*Table_NFI[[#This Row],[Hygiene Kit]],Table_NFI[Hygiene Kit])</f>
        <v>0</v>
      </c>
      <c r="Z841" s="264">
        <f>IF(NFI_Expiration=1,IF($A841&lt;VLOOKUP(I$5,NFI,5,0),1,0)*Table_NFI[[#This Row],[NFI Core Kit]],Table_NFI[NFI Core Kit])</f>
        <v>0</v>
      </c>
      <c r="AA841" s="264">
        <f>IF(NFI_Expiration=1,IF($A841&lt;VLOOKUP(J$5,NFI,5,0),1,0)*Table_NFI[[#This Row],[Sanitary Kit]],Table_NFI[Sanitary Kit])</f>
        <v>0</v>
      </c>
      <c r="AB841" s="264">
        <f>IF(NFI_Expiration=1,IF($A841&lt;VLOOKUP(K$5,NFI,5,0),1,0)*Table_NFI[[#This Row],[Mosquito net]],Table_NFI[Mosquito net])</f>
        <v>0</v>
      </c>
      <c r="AC841" s="264">
        <f>IF(NFI_Expiration=1,IF($A841&lt;VLOOKUP(L$5,NFI,5,0),1,0)*Table_NFI[[#This Row],[Tarpaulin]],Table_NFI[[#This Row],[Tarpaulin]])</f>
        <v>0</v>
      </c>
      <c r="AD841" s="264">
        <f>IF(NFI_Expiration=1,IF($A841&lt;VLOOKUP(M$5,NFI,5,0),1,0)*Table_NFI[[#This Row],[Blanket]],Table_NFI[[#This Row],[Blanket]])</f>
        <v>0</v>
      </c>
      <c r="AE841" s="264">
        <f>IF(NFI_Expiration=1,IF($A841&lt;VLOOKUP(N$5,NFI,5,0),1,0)*Table_NFI[[#This Row],[Kitchen Set]],Table_NFI[Kitchen Set])</f>
        <v>0</v>
      </c>
      <c r="AF841" s="264">
        <f>IF(NFI_Expiration=1,IF($A841&lt;VLOOKUP(O$5,NFI,5,0),1,0)*Table_NFI[[#This Row],[Clothes Kit]],Table_NFI[Clothes Kit])</f>
        <v>0</v>
      </c>
      <c r="AG841" s="264">
        <f>IF(NFI_Expiration=1,IF($A841&lt;VLOOKUP(P$5,NFI,5,0),1,0)*Table_NFI[[#This Row],[Plastic Bucket]],Table_NFI[Plastic Bucket])</f>
        <v>0</v>
      </c>
      <c r="AH841" s="264">
        <f>IF(NFI_Expiration=1,IF($A841&lt;VLOOKUP(Q$5,NFI,5,0),1,0)*Table_NFI[[#This Row],[Plastic Mat]],Table_NFI[Plastic Mat])*IF(Table_NFI[[#This Row],[Distribution Date]]&gt;"2014-04-01",1,2.5)</f>
        <v>0</v>
      </c>
      <c r="AI841" s="264">
        <f>IF(NFI_Expiration=1,IF($A841&lt;VLOOKUP(R$5,NFI,5,0),1,0)*Table_NFI[[#This Row],[Winter Clothes Adult]],Table_NFI[Winter Clothes Adult])</f>
        <v>0</v>
      </c>
      <c r="AJ841" s="264">
        <f>IF(NFI_Expiration=1,IF($A841&lt;VLOOKUP(S$5,NFI,5,0),1,0)*Table_NFI[[#This Row],[Winter Clothes Children]],Table_NFI[Winter Clothes Children])</f>
        <v>0</v>
      </c>
      <c r="AK841" s="264">
        <f>IF(NFI_Expiration=1,IF($A841&lt;VLOOKUP(T$5,NFI,5,0),1,0)*Table_NFI[[#This Row],[Winter Items Other]],Table_NFI[Winter Items Other])</f>
        <v>0</v>
      </c>
      <c r="AL841" s="264">
        <f>IF(NFI_Expiration=1,IF($A841&lt;VLOOKUP(M$5,NFI,5,0),1,0)*Table_NFI[[#This Row],[Winter Blanket]],Table_NFI[[#This Row],[Winter Blanket]])</f>
        <v>0</v>
      </c>
      <c r="AM841" s="264">
        <f>IF(Table_NFI[[#This Row],[Winter Clothes Adult]]+Table_NFI[[#This Row],[Winter Clothes Children]]+Table_NFI[[#This Row],[Winter Items Other]]+Table_NFI[[#This Row],[Winter Blanket]]&gt;0,1,0)</f>
        <v>0</v>
      </c>
      <c r="AN841" s="296">
        <f>IF(NFI_Expiration=1,IF($A841&lt;VLOOKUP(V$5,NFI,5,0),1,0)*Table_NFI[[#This Row],[Jerry Can]],Table_NFI[Jerry Can])</f>
        <v>0</v>
      </c>
      <c r="AO841" s="296">
        <f>IF(NFI_Expiration=1,IF($A841&lt;VLOOKUP(V$5,NFI,5,0),1,0)*Table_NFI[[#This Row],[Shelter Tool kit]],Table_NFI[Shelter Tool kit])</f>
        <v>0</v>
      </c>
      <c r="AP841" s="296">
        <f>IF(NFI_Expiration=1,IF($A841&lt;VLOOKUP(V$5,NFI,5,0),1,0)*Table_NFI[[#This Row],[Tent]],Table_NFI[Tent])</f>
        <v>0</v>
      </c>
      <c r="AQ841" s="396" t="str">
        <f>IFERROR(VLOOKUP(Table_NFI[[#This Row],[Camp Name]],CL,2,0),"")</f>
        <v>MMR001CMP168</v>
      </c>
      <c r="AR841" s="702">
        <f ca="1">IF(Table_NFI[[#This Row],[Pcode]]="","",IF(OFFSET(CampList[Opening Date],MATCH(Table_NFI[[#This Row],[Pcode]],CampList[CP_Pcode],0)-1,0,1,1)&gt;=NFI_Monitor_Date,1,0))</f>
        <v>0</v>
      </c>
      <c r="AS841" s="396" t="str">
        <f>IFERROR(VLOOKUP(Table_NFI[[#This Row],[Camp Name]],CL,3,0),"")</f>
        <v>Open</v>
      </c>
      <c r="AT841" s="264" t="str">
        <f ca="1">IF(Table_NFI[[#This Row],[Pcode]]="","",OFFSET(CampList[Priority],MATCH(Table_NFI[[#This Row],[Pcode]],CampList[CP_Pcode],0)-1,0,1,1))</f>
        <v>P4</v>
      </c>
      <c r="AU841" s="263">
        <f>IFERROR(Table_NFI[[#This Row],[Kitchen Set]]/VLOOKUP(Table_NFI[[#This Row],[Camp Name]],CL,4,0),"")</f>
        <v>2.8346456692913387E-3</v>
      </c>
      <c r="AV841" s="390" t="s">
        <v>1087</v>
      </c>
      <c r="AW841" s="392"/>
      <c r="AX841" s="399"/>
      <c r="AY841" s="399"/>
      <c r="AZ841" s="399"/>
      <c r="BA841" s="399"/>
      <c r="BB841" s="399"/>
      <c r="BC841" s="399"/>
      <c r="BD841" s="399"/>
      <c r="BE841" s="399"/>
      <c r="BF841" s="399"/>
      <c r="BG841" s="399"/>
      <c r="BH841" s="399"/>
      <c r="BI841" s="399"/>
      <c r="BJ841" s="399"/>
      <c r="BK841" s="399"/>
      <c r="BL841" s="399"/>
      <c r="BM841" s="399"/>
      <c r="BN841" s="399"/>
      <c r="BO841" s="399"/>
      <c r="BP841" s="399"/>
      <c r="BQ841" s="399"/>
      <c r="BR841" s="399"/>
      <c r="BS841" s="399"/>
      <c r="BT841" s="399"/>
      <c r="BU841" s="399"/>
      <c r="BV841" s="399"/>
      <c r="BW841" s="399"/>
      <c r="BX841" s="399"/>
      <c r="BY841" s="399"/>
      <c r="BZ841" s="399"/>
      <c r="CA841" s="399"/>
      <c r="CB841" s="399"/>
      <c r="CC841" s="399"/>
      <c r="CD841" s="399"/>
      <c r="CE841" s="399"/>
      <c r="CF841" s="399"/>
      <c r="CG841" s="399"/>
      <c r="CH841" s="399"/>
      <c r="CI841" s="399"/>
      <c r="CJ841" s="399"/>
      <c r="CK841" s="399"/>
      <c r="CL841" s="399"/>
      <c r="CM841" s="399"/>
      <c r="CN841" s="399"/>
      <c r="CO841" s="399"/>
      <c r="CP841" s="399"/>
      <c r="CQ841" s="399"/>
      <c r="CR841" s="399"/>
      <c r="CS841" s="399"/>
      <c r="CT841" s="399"/>
      <c r="CU841" s="399"/>
      <c r="CV841" s="399"/>
      <c r="CW841" s="399"/>
      <c r="CX841" s="399"/>
      <c r="CY841" s="399"/>
      <c r="CZ841" s="399"/>
      <c r="DA841" s="399"/>
      <c r="DB841" s="399"/>
      <c r="DC841" s="399"/>
      <c r="DD841" s="399"/>
      <c r="DE841" s="399"/>
      <c r="DF841" s="399"/>
      <c r="DG841" s="399"/>
      <c r="DH841" s="399"/>
      <c r="DI841" s="399"/>
      <c r="DJ841" s="399"/>
      <c r="DK841" s="399"/>
      <c r="DL841" s="399"/>
      <c r="DM841" s="399"/>
      <c r="DN841" s="399"/>
      <c r="DO841" s="399"/>
      <c r="DP841" s="399"/>
      <c r="DQ841" s="399"/>
    </row>
    <row r="842" spans="1:121" s="760" customFormat="1" ht="14.45" customHeight="1" x14ac:dyDescent="0.25">
      <c r="A842" s="266">
        <f t="shared" si="13"/>
        <v>51.56666666666667</v>
      </c>
      <c r="B842" s="389">
        <v>41309</v>
      </c>
      <c r="C842" s="390" t="s">
        <v>899</v>
      </c>
      <c r="D842" s="391" t="s">
        <v>899</v>
      </c>
      <c r="E842" s="390" t="s">
        <v>380</v>
      </c>
      <c r="F842" s="262" t="s">
        <v>526</v>
      </c>
      <c r="G842" s="262" t="s">
        <v>52</v>
      </c>
      <c r="H842" s="261"/>
      <c r="I842" s="261"/>
      <c r="J842" s="261"/>
      <c r="K842" s="261"/>
      <c r="L842" s="261"/>
      <c r="M842" s="261"/>
      <c r="N842" s="261">
        <v>106</v>
      </c>
      <c r="O842" s="261"/>
      <c r="P842" s="261">
        <v>0</v>
      </c>
      <c r="Q842" s="261">
        <v>0</v>
      </c>
      <c r="R842" s="261"/>
      <c r="S842" s="261"/>
      <c r="T842" s="261"/>
      <c r="U842" s="261"/>
      <c r="V842" s="762"/>
      <c r="W842" s="261"/>
      <c r="X842" s="261"/>
      <c r="Y842" s="264">
        <f>IF(NFI_Expiration=1,IF($A842&lt;VLOOKUP(H$5,NFI,5,0),1,0)*Table_NFI[[#This Row],[Hygiene Kit]],Table_NFI[Hygiene Kit])</f>
        <v>0</v>
      </c>
      <c r="Z842" s="264">
        <f>IF(NFI_Expiration=1,IF($A842&lt;VLOOKUP(I$5,NFI,5,0),1,0)*Table_NFI[[#This Row],[NFI Core Kit]],Table_NFI[NFI Core Kit])</f>
        <v>0</v>
      </c>
      <c r="AA842" s="264">
        <f>IF(NFI_Expiration=1,IF($A842&lt;VLOOKUP(J$5,NFI,5,0),1,0)*Table_NFI[[#This Row],[Sanitary Kit]],Table_NFI[Sanitary Kit])</f>
        <v>0</v>
      </c>
      <c r="AB842" s="264">
        <f>IF(NFI_Expiration=1,IF($A842&lt;VLOOKUP(K$5,NFI,5,0),1,0)*Table_NFI[[#This Row],[Mosquito net]],Table_NFI[Mosquito net])</f>
        <v>0</v>
      </c>
      <c r="AC842" s="264">
        <f>IF(NFI_Expiration=1,IF($A842&lt;VLOOKUP(L$5,NFI,5,0),1,0)*Table_NFI[[#This Row],[Tarpaulin]],Table_NFI[[#This Row],[Tarpaulin]])</f>
        <v>0</v>
      </c>
      <c r="AD842" s="264">
        <f>IF(NFI_Expiration=1,IF($A842&lt;VLOOKUP(M$5,NFI,5,0),1,0)*Table_NFI[[#This Row],[Blanket]],Table_NFI[[#This Row],[Blanket]])</f>
        <v>0</v>
      </c>
      <c r="AE842" s="264">
        <f>IF(NFI_Expiration=1,IF($A842&lt;VLOOKUP(N$5,NFI,5,0),1,0)*Table_NFI[[#This Row],[Kitchen Set]],Table_NFI[Kitchen Set])</f>
        <v>0</v>
      </c>
      <c r="AF842" s="264">
        <f>IF(NFI_Expiration=1,IF($A842&lt;VLOOKUP(O$5,NFI,5,0),1,0)*Table_NFI[[#This Row],[Clothes Kit]],Table_NFI[Clothes Kit])</f>
        <v>0</v>
      </c>
      <c r="AG842" s="264">
        <f>IF(NFI_Expiration=1,IF($A842&lt;VLOOKUP(P$5,NFI,5,0),1,0)*Table_NFI[[#This Row],[Plastic Bucket]],Table_NFI[Plastic Bucket])</f>
        <v>0</v>
      </c>
      <c r="AH842" s="264">
        <f>IF(NFI_Expiration=1,IF($A842&lt;VLOOKUP(Q$5,NFI,5,0),1,0)*Table_NFI[[#This Row],[Plastic Mat]],Table_NFI[Plastic Mat])*IF(Table_NFI[[#This Row],[Distribution Date]]&gt;"2014-04-01",1,2.5)</f>
        <v>0</v>
      </c>
      <c r="AI842" s="264">
        <f>IF(NFI_Expiration=1,IF($A842&lt;VLOOKUP(R$5,NFI,5,0),1,0)*Table_NFI[[#This Row],[Winter Clothes Adult]],Table_NFI[Winter Clothes Adult])</f>
        <v>0</v>
      </c>
      <c r="AJ842" s="264">
        <f>IF(NFI_Expiration=1,IF($A842&lt;VLOOKUP(S$5,NFI,5,0),1,0)*Table_NFI[[#This Row],[Winter Clothes Children]],Table_NFI[Winter Clothes Children])</f>
        <v>0</v>
      </c>
      <c r="AK842" s="264">
        <f>IF(NFI_Expiration=1,IF($A842&lt;VLOOKUP(T$5,NFI,5,0),1,0)*Table_NFI[[#This Row],[Winter Items Other]],Table_NFI[Winter Items Other])</f>
        <v>0</v>
      </c>
      <c r="AL842" s="264">
        <f>IF(NFI_Expiration=1,IF($A842&lt;VLOOKUP(M$5,NFI,5,0),1,0)*Table_NFI[[#This Row],[Winter Blanket]],Table_NFI[[#This Row],[Winter Blanket]])</f>
        <v>0</v>
      </c>
      <c r="AM842" s="264">
        <f>IF(Table_NFI[[#This Row],[Winter Clothes Adult]]+Table_NFI[[#This Row],[Winter Clothes Children]]+Table_NFI[[#This Row],[Winter Items Other]]+Table_NFI[[#This Row],[Winter Blanket]]&gt;0,1,0)</f>
        <v>0</v>
      </c>
      <c r="AN842" s="296">
        <f>IF(NFI_Expiration=1,IF($A842&lt;VLOOKUP(V$5,NFI,5,0),1,0)*Table_NFI[[#This Row],[Jerry Can]],Table_NFI[Jerry Can])</f>
        <v>0</v>
      </c>
      <c r="AO842" s="296">
        <f>IF(NFI_Expiration=1,IF($A842&lt;VLOOKUP(V$5,NFI,5,0),1,0)*Table_NFI[[#This Row],[Shelter Tool kit]],Table_NFI[Shelter Tool kit])</f>
        <v>0</v>
      </c>
      <c r="AP842" s="296">
        <f>IF(NFI_Expiration=1,IF($A842&lt;VLOOKUP(V$5,NFI,5,0),1,0)*Table_NFI[[#This Row],[Tent]],Table_NFI[Tent])</f>
        <v>0</v>
      </c>
      <c r="AQ842" s="396" t="str">
        <f>IFERROR(VLOOKUP(Table_NFI[[#This Row],[Camp Name]],CL,2,0),"")</f>
        <v>MMR001CMP169</v>
      </c>
      <c r="AR842" s="702">
        <f ca="1">IF(Table_NFI[[#This Row],[Pcode]]="","",IF(OFFSET(CampList[Opening Date],MATCH(Table_NFI[[#This Row],[Pcode]],CampList[CP_Pcode],0)-1,0,1,1)&gt;=NFI_Monitor_Date,1,0))</f>
        <v>0</v>
      </c>
      <c r="AS842" s="396" t="str">
        <f>IFERROR(VLOOKUP(Table_NFI[[#This Row],[Camp Name]],CL,3,0),"")</f>
        <v>Open</v>
      </c>
      <c r="AT842" s="264" t="str">
        <f ca="1">IF(Table_NFI[[#This Row],[Pcode]]="","",OFFSET(CampList[Priority],MATCH(Table_NFI[[#This Row],[Pcode]],CampList[CP_Pcode],0)-1,0,1,1))</f>
        <v>P4</v>
      </c>
      <c r="AU842" s="263">
        <f>IFERROR(Table_NFI[[#This Row],[Kitchen Set]]/VLOOKUP(Table_NFI[[#This Row],[Camp Name]],CL,4,0),"")</f>
        <v>2.5681405208964263E-3</v>
      </c>
      <c r="AV842" s="390" t="s">
        <v>1087</v>
      </c>
      <c r="AW842" s="392"/>
      <c r="AX842" s="399"/>
      <c r="AY842" s="399"/>
      <c r="AZ842" s="399"/>
      <c r="BA842" s="399"/>
      <c r="BB842" s="399"/>
      <c r="BC842" s="399"/>
      <c r="BD842" s="399"/>
      <c r="BE842" s="399"/>
      <c r="BF842" s="399"/>
      <c r="BG842" s="399"/>
      <c r="BH842" s="399"/>
      <c r="BI842" s="399"/>
      <c r="BJ842" s="399"/>
      <c r="BK842" s="399"/>
      <c r="BL842" s="399"/>
      <c r="BM842" s="399"/>
      <c r="BN842" s="399"/>
      <c r="BO842" s="399"/>
      <c r="BP842" s="399"/>
      <c r="BQ842" s="399"/>
      <c r="BR842" s="399"/>
      <c r="BS842" s="399"/>
      <c r="BT842" s="399"/>
      <c r="BU842" s="399"/>
      <c r="BV842" s="399"/>
      <c r="BW842" s="399"/>
      <c r="BX842" s="399"/>
      <c r="BY842" s="399"/>
      <c r="BZ842" s="399"/>
      <c r="CA842" s="399"/>
      <c r="CB842" s="399"/>
      <c r="CC842" s="399"/>
      <c r="CD842" s="399"/>
      <c r="CE842" s="399"/>
      <c r="CF842" s="399"/>
      <c r="CG842" s="399"/>
      <c r="CH842" s="399"/>
      <c r="CI842" s="399"/>
      <c r="CJ842" s="399"/>
      <c r="CK842" s="399"/>
      <c r="CL842" s="399"/>
      <c r="CM842" s="399"/>
      <c r="CN842" s="399"/>
      <c r="CO842" s="399"/>
      <c r="CP842" s="399"/>
      <c r="CQ842" s="399"/>
      <c r="CR842" s="399"/>
      <c r="CS842" s="399"/>
      <c r="CT842" s="399"/>
      <c r="CU842" s="399"/>
      <c r="CV842" s="399"/>
      <c r="CW842" s="399"/>
      <c r="CX842" s="399"/>
      <c r="CY842" s="399"/>
      <c r="CZ842" s="399"/>
      <c r="DA842" s="399"/>
      <c r="DB842" s="399"/>
      <c r="DC842" s="399"/>
      <c r="DD842" s="399"/>
      <c r="DE842" s="399"/>
      <c r="DF842" s="399"/>
      <c r="DG842" s="399"/>
      <c r="DH842" s="399"/>
      <c r="DI842" s="399"/>
      <c r="DJ842" s="399"/>
      <c r="DK842" s="399"/>
      <c r="DL842" s="399"/>
      <c r="DM842" s="399"/>
      <c r="DN842" s="399"/>
      <c r="DO842" s="399"/>
      <c r="DP842" s="399"/>
      <c r="DQ842" s="399"/>
    </row>
    <row r="843" spans="1:121" ht="14.45" customHeight="1" x14ac:dyDescent="0.25">
      <c r="A843" s="266">
        <f t="shared" si="13"/>
        <v>51.56666666666667</v>
      </c>
      <c r="B843" s="389">
        <v>41309</v>
      </c>
      <c r="C843" s="390" t="s">
        <v>899</v>
      </c>
      <c r="D843" s="390" t="s">
        <v>899</v>
      </c>
      <c r="E843" s="390" t="s">
        <v>380</v>
      </c>
      <c r="F843" s="390" t="s">
        <v>526</v>
      </c>
      <c r="G843" s="262" t="s">
        <v>76</v>
      </c>
      <c r="H843" s="261"/>
      <c r="I843" s="261"/>
      <c r="J843" s="261"/>
      <c r="K843" s="261"/>
      <c r="L843" s="261"/>
      <c r="M843" s="261"/>
      <c r="N843" s="261">
        <v>58</v>
      </c>
      <c r="O843" s="261"/>
      <c r="P843" s="261">
        <v>0</v>
      </c>
      <c r="Q843" s="261">
        <v>0</v>
      </c>
      <c r="R843" s="261"/>
      <c r="S843" s="261"/>
      <c r="T843" s="261"/>
      <c r="U843" s="261"/>
      <c r="V843" s="762"/>
      <c r="W843" s="261"/>
      <c r="X843" s="261"/>
      <c r="Y843" s="264">
        <f>IF(NFI_Expiration=1,IF($A843&lt;VLOOKUP(H$5,NFI,5,0),1,0)*Table_NFI[[#This Row],[Hygiene Kit]],Table_NFI[Hygiene Kit])</f>
        <v>0</v>
      </c>
      <c r="Z843" s="264">
        <f>IF(NFI_Expiration=1,IF($A843&lt;VLOOKUP(I$5,NFI,5,0),1,0)*Table_NFI[[#This Row],[NFI Core Kit]],Table_NFI[NFI Core Kit])</f>
        <v>0</v>
      </c>
      <c r="AA843" s="264">
        <f>IF(NFI_Expiration=1,IF($A843&lt;VLOOKUP(J$5,NFI,5,0),1,0)*Table_NFI[[#This Row],[Sanitary Kit]],Table_NFI[Sanitary Kit])</f>
        <v>0</v>
      </c>
      <c r="AB843" s="264">
        <f>IF(NFI_Expiration=1,IF($A843&lt;VLOOKUP(K$5,NFI,5,0),1,0)*Table_NFI[[#This Row],[Mosquito net]],Table_NFI[Mosquito net])</f>
        <v>0</v>
      </c>
      <c r="AC843" s="264">
        <f>IF(NFI_Expiration=1,IF($A843&lt;VLOOKUP(L$5,NFI,5,0),1,0)*Table_NFI[[#This Row],[Tarpaulin]],Table_NFI[[#This Row],[Tarpaulin]])</f>
        <v>0</v>
      </c>
      <c r="AD843" s="264">
        <f>IF(NFI_Expiration=1,IF($A843&lt;VLOOKUP(M$5,NFI,5,0),1,0)*Table_NFI[[#This Row],[Blanket]],Table_NFI[[#This Row],[Blanket]])</f>
        <v>0</v>
      </c>
      <c r="AE843" s="264">
        <f>IF(NFI_Expiration=1,IF($A843&lt;VLOOKUP(N$5,NFI,5,0),1,0)*Table_NFI[[#This Row],[Kitchen Set]],Table_NFI[Kitchen Set])</f>
        <v>0</v>
      </c>
      <c r="AF843" s="264">
        <f>IF(NFI_Expiration=1,IF($A843&lt;VLOOKUP(O$5,NFI,5,0),1,0)*Table_NFI[[#This Row],[Clothes Kit]],Table_NFI[Clothes Kit])</f>
        <v>0</v>
      </c>
      <c r="AG843" s="264">
        <f>IF(NFI_Expiration=1,IF($A843&lt;VLOOKUP(P$5,NFI,5,0),1,0)*Table_NFI[[#This Row],[Plastic Bucket]],Table_NFI[Plastic Bucket])</f>
        <v>0</v>
      </c>
      <c r="AH843" s="264">
        <f>IF(NFI_Expiration=1,IF($A843&lt;VLOOKUP(Q$5,NFI,5,0),1,0)*Table_NFI[[#This Row],[Plastic Mat]],Table_NFI[Plastic Mat])*IF(Table_NFI[[#This Row],[Distribution Date]]&gt;"2014-04-01",1,2.5)</f>
        <v>0</v>
      </c>
      <c r="AI843" s="264">
        <f>IF(NFI_Expiration=1,IF($A843&lt;VLOOKUP(R$5,NFI,5,0),1,0)*Table_NFI[[#This Row],[Winter Clothes Adult]],Table_NFI[Winter Clothes Adult])</f>
        <v>0</v>
      </c>
      <c r="AJ843" s="264">
        <f>IF(NFI_Expiration=1,IF($A843&lt;VLOOKUP(S$5,NFI,5,0),1,0)*Table_NFI[[#This Row],[Winter Clothes Children]],Table_NFI[Winter Clothes Children])</f>
        <v>0</v>
      </c>
      <c r="AK843" s="264">
        <f>IF(NFI_Expiration=1,IF($A843&lt;VLOOKUP(T$5,NFI,5,0),1,0)*Table_NFI[[#This Row],[Winter Items Other]],Table_NFI[Winter Items Other])</f>
        <v>0</v>
      </c>
      <c r="AL843" s="264">
        <f>IF(NFI_Expiration=1,IF($A843&lt;VLOOKUP(M$5,NFI,5,0),1,0)*Table_NFI[[#This Row],[Winter Blanket]],Table_NFI[[#This Row],[Winter Blanket]])</f>
        <v>0</v>
      </c>
      <c r="AM843" s="264">
        <f>IF(Table_NFI[[#This Row],[Winter Clothes Adult]]+Table_NFI[[#This Row],[Winter Clothes Children]]+Table_NFI[[#This Row],[Winter Items Other]]+Table_NFI[[#This Row],[Winter Blanket]]&gt;0,1,0)</f>
        <v>0</v>
      </c>
      <c r="AN843" s="296">
        <f>IF(NFI_Expiration=1,IF($A843&lt;VLOOKUP(V$5,NFI,5,0),1,0)*Table_NFI[[#This Row],[Jerry Can]],Table_NFI[Jerry Can])</f>
        <v>0</v>
      </c>
      <c r="AO843" s="296">
        <f>IF(NFI_Expiration=1,IF($A843&lt;VLOOKUP(V$5,NFI,5,0),1,0)*Table_NFI[[#This Row],[Shelter Tool kit]],Table_NFI[Shelter Tool kit])</f>
        <v>0</v>
      </c>
      <c r="AP843" s="296">
        <f>IF(NFI_Expiration=1,IF($A843&lt;VLOOKUP(V$5,NFI,5,0),1,0)*Table_NFI[[#This Row],[Tent]],Table_NFI[Tent])</f>
        <v>0</v>
      </c>
      <c r="AQ843" s="396" t="str">
        <f>IFERROR(VLOOKUP(Table_NFI[[#This Row],[Camp Name]],CL,2,0),"")</f>
        <v>MMR001CMP174</v>
      </c>
      <c r="AR843" s="702">
        <f ca="1">IF(Table_NFI[[#This Row],[Pcode]]="","",IF(OFFSET(CampList[Opening Date],MATCH(Table_NFI[[#This Row],[Pcode]],CampList[CP_Pcode],0)-1,0,1,1)&gt;=NFI_Monitor_Date,1,0))</f>
        <v>0</v>
      </c>
      <c r="AS843" s="396" t="str">
        <f>IFERROR(VLOOKUP(Table_NFI[[#This Row],[Camp Name]],CL,3,0),"")</f>
        <v>Open</v>
      </c>
      <c r="AT843" s="264" t="str">
        <f ca="1">IF(Table_NFI[[#This Row],[Pcode]]="","",OFFSET(CampList[Priority],MATCH(Table_NFI[[#This Row],[Pcode]],CampList[CP_Pcode],0)-1,0,1,1))</f>
        <v>P4</v>
      </c>
      <c r="AU843" s="263">
        <f>IFERROR(Table_NFI[[#This Row],[Kitchen Set]]/VLOOKUP(Table_NFI[[#This Row],[Camp Name]],CL,4,0),"")</f>
        <v>1.4052089642640824E-3</v>
      </c>
      <c r="AV843" s="390" t="s">
        <v>1087</v>
      </c>
      <c r="AW843" s="392"/>
    </row>
    <row r="844" spans="1:121" s="760" customFormat="1" ht="14.45" customHeight="1" x14ac:dyDescent="0.25">
      <c r="A844" s="266">
        <f t="shared" si="13"/>
        <v>51.56666666666667</v>
      </c>
      <c r="B844" s="389">
        <v>41309</v>
      </c>
      <c r="C844" s="390" t="s">
        <v>451</v>
      </c>
      <c r="D844" s="391" t="s">
        <v>451</v>
      </c>
      <c r="E844" s="390" t="s">
        <v>380</v>
      </c>
      <c r="F844" s="262" t="s">
        <v>237</v>
      </c>
      <c r="G844" s="262" t="s">
        <v>273</v>
      </c>
      <c r="H844" s="261"/>
      <c r="I844" s="261"/>
      <c r="J844" s="261">
        <v>5</v>
      </c>
      <c r="K844" s="261">
        <v>8</v>
      </c>
      <c r="L844" s="261">
        <v>5</v>
      </c>
      <c r="M844" s="261">
        <v>8</v>
      </c>
      <c r="N844" s="261">
        <v>5</v>
      </c>
      <c r="O844" s="261">
        <v>5</v>
      </c>
      <c r="P844" s="261">
        <v>5</v>
      </c>
      <c r="Q844" s="261">
        <v>5</v>
      </c>
      <c r="R844" s="261"/>
      <c r="S844" s="261"/>
      <c r="T844" s="261"/>
      <c r="U844" s="261"/>
      <c r="V844" s="762"/>
      <c r="W844" s="261"/>
      <c r="X844" s="261"/>
      <c r="Y844" s="264">
        <f>IF(NFI_Expiration=1,IF($A844&lt;VLOOKUP(H$5,NFI,5,0),1,0)*Table_NFI[[#This Row],[Hygiene Kit]],Table_NFI[Hygiene Kit])</f>
        <v>0</v>
      </c>
      <c r="Z844" s="264">
        <f>IF(NFI_Expiration=1,IF($A844&lt;VLOOKUP(I$5,NFI,5,0),1,0)*Table_NFI[[#This Row],[NFI Core Kit]],Table_NFI[NFI Core Kit])</f>
        <v>0</v>
      </c>
      <c r="AA844" s="264">
        <f>IF(NFI_Expiration=1,IF($A844&lt;VLOOKUP(J$5,NFI,5,0),1,0)*Table_NFI[[#This Row],[Sanitary Kit]],Table_NFI[Sanitary Kit])</f>
        <v>0</v>
      </c>
      <c r="AB844" s="264">
        <f>IF(NFI_Expiration=1,IF($A844&lt;VLOOKUP(K$5,NFI,5,0),1,0)*Table_NFI[[#This Row],[Mosquito net]],Table_NFI[Mosquito net])</f>
        <v>0</v>
      </c>
      <c r="AC844" s="264">
        <f>IF(NFI_Expiration=1,IF($A844&lt;VLOOKUP(L$5,NFI,5,0),1,0)*Table_NFI[[#This Row],[Tarpaulin]],Table_NFI[[#This Row],[Tarpaulin]])</f>
        <v>0</v>
      </c>
      <c r="AD844" s="264">
        <f>IF(NFI_Expiration=1,IF($A844&lt;VLOOKUP(M$5,NFI,5,0),1,0)*Table_NFI[[#This Row],[Blanket]],Table_NFI[[#This Row],[Blanket]])</f>
        <v>0</v>
      </c>
      <c r="AE844" s="264">
        <f>IF(NFI_Expiration=1,IF($A844&lt;VLOOKUP(N$5,NFI,5,0),1,0)*Table_NFI[[#This Row],[Kitchen Set]],Table_NFI[Kitchen Set])</f>
        <v>0</v>
      </c>
      <c r="AF844" s="264">
        <f>IF(NFI_Expiration=1,IF($A844&lt;VLOOKUP(O$5,NFI,5,0),1,0)*Table_NFI[[#This Row],[Clothes Kit]],Table_NFI[Clothes Kit])</f>
        <v>0</v>
      </c>
      <c r="AG844" s="264">
        <f>IF(NFI_Expiration=1,IF($A844&lt;VLOOKUP(P$5,NFI,5,0),1,0)*Table_NFI[[#This Row],[Plastic Bucket]],Table_NFI[Plastic Bucket])</f>
        <v>0</v>
      </c>
      <c r="AH844" s="264">
        <f>IF(NFI_Expiration=1,IF($A844&lt;VLOOKUP(Q$5,NFI,5,0),1,0)*Table_NFI[[#This Row],[Plastic Mat]],Table_NFI[Plastic Mat])*IF(Table_NFI[[#This Row],[Distribution Date]]&gt;"2014-04-01",1,2.5)</f>
        <v>0</v>
      </c>
      <c r="AI844" s="264">
        <f>IF(NFI_Expiration=1,IF($A844&lt;VLOOKUP(R$5,NFI,5,0),1,0)*Table_NFI[[#This Row],[Winter Clothes Adult]],Table_NFI[Winter Clothes Adult])</f>
        <v>0</v>
      </c>
      <c r="AJ844" s="264">
        <f>IF(NFI_Expiration=1,IF($A844&lt;VLOOKUP(S$5,NFI,5,0),1,0)*Table_NFI[[#This Row],[Winter Clothes Children]],Table_NFI[Winter Clothes Children])</f>
        <v>0</v>
      </c>
      <c r="AK844" s="264">
        <f>IF(NFI_Expiration=1,IF($A844&lt;VLOOKUP(T$5,NFI,5,0),1,0)*Table_NFI[[#This Row],[Winter Items Other]],Table_NFI[Winter Items Other])</f>
        <v>0</v>
      </c>
      <c r="AL844" s="264">
        <f>IF(NFI_Expiration=1,IF($A844&lt;VLOOKUP(M$5,NFI,5,0),1,0)*Table_NFI[[#This Row],[Winter Blanket]],Table_NFI[[#This Row],[Winter Blanket]])</f>
        <v>0</v>
      </c>
      <c r="AM844" s="264">
        <f>IF(Table_NFI[[#This Row],[Winter Clothes Adult]]+Table_NFI[[#This Row],[Winter Clothes Children]]+Table_NFI[[#This Row],[Winter Items Other]]+Table_NFI[[#This Row],[Winter Blanket]]&gt;0,1,0)</f>
        <v>0</v>
      </c>
      <c r="AN844" s="296">
        <f>IF(NFI_Expiration=1,IF($A844&lt;VLOOKUP(V$5,NFI,5,0),1,0)*Table_NFI[[#This Row],[Jerry Can]],Table_NFI[Jerry Can])</f>
        <v>0</v>
      </c>
      <c r="AO844" s="296">
        <f>IF(NFI_Expiration=1,IF($A844&lt;VLOOKUP(V$5,NFI,5,0),1,0)*Table_NFI[[#This Row],[Shelter Tool kit]],Table_NFI[Shelter Tool kit])</f>
        <v>0</v>
      </c>
      <c r="AP844" s="296">
        <f>IF(NFI_Expiration=1,IF($A844&lt;VLOOKUP(V$5,NFI,5,0),1,0)*Table_NFI[[#This Row],[Tent]],Table_NFI[Tent])</f>
        <v>0</v>
      </c>
      <c r="AQ844" s="396" t="str">
        <f>IFERROR(VLOOKUP(Table_NFI[[#This Row],[Camp Name]],CL,2,0),"")</f>
        <v>MMR001CMP162</v>
      </c>
      <c r="AR844" s="702">
        <f ca="1">IF(Table_NFI[[#This Row],[Pcode]]="","",IF(OFFSET(CampList[Opening Date],MATCH(Table_NFI[[#This Row],[Pcode]],CampList[CP_Pcode],0)-1,0,1,1)&gt;=NFI_Monitor_Date,1,0))</f>
        <v>0</v>
      </c>
      <c r="AS844" s="396" t="str">
        <f>IFERROR(VLOOKUP(Table_NFI[[#This Row],[Camp Name]],CL,3,0),"")</f>
        <v>Open</v>
      </c>
      <c r="AT844" s="264" t="str">
        <f ca="1">IF(Table_NFI[[#This Row],[Pcode]]="","",OFFSET(CampList[Priority],MATCH(Table_NFI[[#This Row],[Pcode]],CampList[CP_Pcode],0)-1,0,1,1))</f>
        <v>P4</v>
      </c>
      <c r="AU844" s="263">
        <f>IFERROR(Table_NFI[[#This Row],[Kitchen Set]]/VLOOKUP(Table_NFI[[#This Row],[Camp Name]],CL,4,0),"")</f>
        <v>1.2122975463097663E-4</v>
      </c>
      <c r="AV844" s="390" t="s">
        <v>1087</v>
      </c>
      <c r="AW844" s="392"/>
      <c r="AX844" s="399"/>
      <c r="AY844" s="399"/>
      <c r="AZ844" s="399"/>
      <c r="BA844" s="399"/>
      <c r="BB844" s="399"/>
      <c r="BC844" s="399"/>
      <c r="BD844" s="399"/>
      <c r="BE844" s="399"/>
      <c r="BF844" s="399"/>
      <c r="BG844" s="399"/>
      <c r="BH844" s="399"/>
      <c r="BI844" s="399"/>
      <c r="BJ844" s="399"/>
      <c r="BK844" s="399"/>
      <c r="BL844" s="399"/>
      <c r="BM844" s="399"/>
      <c r="BN844" s="399"/>
      <c r="BO844" s="399"/>
      <c r="BP844" s="399"/>
      <c r="BQ844" s="399"/>
      <c r="BR844" s="399"/>
      <c r="BS844" s="399"/>
      <c r="BT844" s="399"/>
      <c r="BU844" s="399"/>
      <c r="BV844" s="399"/>
      <c r="BW844" s="399"/>
      <c r="BX844" s="399"/>
      <c r="BY844" s="399"/>
      <c r="BZ844" s="399"/>
      <c r="CA844" s="399"/>
      <c r="CB844" s="399"/>
      <c r="CC844" s="399"/>
      <c r="CD844" s="399"/>
      <c r="CE844" s="399"/>
      <c r="CF844" s="399"/>
      <c r="CG844" s="399"/>
      <c r="CH844" s="399"/>
      <c r="CI844" s="399"/>
      <c r="CJ844" s="399"/>
      <c r="CK844" s="399"/>
      <c r="CL844" s="399"/>
      <c r="CM844" s="399"/>
      <c r="CN844" s="399"/>
      <c r="CO844" s="399"/>
      <c r="CP844" s="399"/>
      <c r="CQ844" s="399"/>
      <c r="CR844" s="399"/>
      <c r="CS844" s="399"/>
      <c r="CT844" s="399"/>
      <c r="CU844" s="399"/>
      <c r="CV844" s="399"/>
      <c r="CW844" s="399"/>
      <c r="CX844" s="399"/>
      <c r="CY844" s="399"/>
      <c r="CZ844" s="399"/>
      <c r="DA844" s="399"/>
      <c r="DB844" s="399"/>
      <c r="DC844" s="399"/>
      <c r="DD844" s="399"/>
      <c r="DE844" s="399"/>
      <c r="DF844" s="399"/>
      <c r="DG844" s="399"/>
      <c r="DH844" s="399"/>
      <c r="DI844" s="399"/>
      <c r="DJ844" s="399"/>
      <c r="DK844" s="399"/>
      <c r="DL844" s="399"/>
      <c r="DM844" s="399"/>
      <c r="DN844" s="399"/>
      <c r="DO844" s="399"/>
      <c r="DP844" s="399"/>
      <c r="DQ844" s="399"/>
    </row>
    <row r="845" spans="1:121" s="760" customFormat="1" ht="14.45" customHeight="1" x14ac:dyDescent="0.25">
      <c r="A845" s="266">
        <f t="shared" si="13"/>
        <v>51.7</v>
      </c>
      <c r="B845" s="389">
        <v>41305</v>
      </c>
      <c r="C845" s="390" t="s">
        <v>568</v>
      </c>
      <c r="D845" s="391" t="s">
        <v>568</v>
      </c>
      <c r="E845" s="390" t="s">
        <v>380</v>
      </c>
      <c r="F845" s="390" t="s">
        <v>310</v>
      </c>
      <c r="G845" s="262" t="s">
        <v>313</v>
      </c>
      <c r="H845" s="261"/>
      <c r="I845" s="261"/>
      <c r="J845" s="261"/>
      <c r="K845" s="261"/>
      <c r="L845" s="261"/>
      <c r="M845" s="261">
        <v>256</v>
      </c>
      <c r="N845" s="261"/>
      <c r="O845" s="261"/>
      <c r="P845" s="261">
        <v>0</v>
      </c>
      <c r="Q845" s="261">
        <v>0</v>
      </c>
      <c r="R845" s="261"/>
      <c r="S845" s="261"/>
      <c r="T845" s="261"/>
      <c r="U845" s="261"/>
      <c r="V845" s="762"/>
      <c r="W845" s="261"/>
      <c r="X845" s="261"/>
      <c r="Y845" s="264">
        <f>IF(NFI_Expiration=1,IF($A845&lt;VLOOKUP(H$5,NFI,5,0),1,0)*Table_NFI[[#This Row],[Hygiene Kit]],Table_NFI[Hygiene Kit])</f>
        <v>0</v>
      </c>
      <c r="Z845" s="264">
        <f>IF(NFI_Expiration=1,IF($A845&lt;VLOOKUP(I$5,NFI,5,0),1,0)*Table_NFI[[#This Row],[NFI Core Kit]],Table_NFI[NFI Core Kit])</f>
        <v>0</v>
      </c>
      <c r="AA845" s="264">
        <f>IF(NFI_Expiration=1,IF($A845&lt;VLOOKUP(J$5,NFI,5,0),1,0)*Table_NFI[[#This Row],[Sanitary Kit]],Table_NFI[Sanitary Kit])</f>
        <v>0</v>
      </c>
      <c r="AB845" s="264">
        <f>IF(NFI_Expiration=1,IF($A845&lt;VLOOKUP(K$5,NFI,5,0),1,0)*Table_NFI[[#This Row],[Mosquito net]],Table_NFI[Mosquito net])</f>
        <v>0</v>
      </c>
      <c r="AC845" s="264">
        <f>IF(NFI_Expiration=1,IF($A845&lt;VLOOKUP(L$5,NFI,5,0),1,0)*Table_NFI[[#This Row],[Tarpaulin]],Table_NFI[[#This Row],[Tarpaulin]])</f>
        <v>0</v>
      </c>
      <c r="AD845" s="264">
        <f>IF(NFI_Expiration=1,IF($A845&lt;VLOOKUP(M$5,NFI,5,0),1,0)*Table_NFI[[#This Row],[Blanket]],Table_NFI[[#This Row],[Blanket]])</f>
        <v>0</v>
      </c>
      <c r="AE845" s="264">
        <f>IF(NFI_Expiration=1,IF($A845&lt;VLOOKUP(N$5,NFI,5,0),1,0)*Table_NFI[[#This Row],[Kitchen Set]],Table_NFI[Kitchen Set])</f>
        <v>0</v>
      </c>
      <c r="AF845" s="264">
        <f>IF(NFI_Expiration=1,IF($A845&lt;VLOOKUP(O$5,NFI,5,0),1,0)*Table_NFI[[#This Row],[Clothes Kit]],Table_NFI[Clothes Kit])</f>
        <v>0</v>
      </c>
      <c r="AG845" s="264">
        <f>IF(NFI_Expiration=1,IF($A845&lt;VLOOKUP(P$5,NFI,5,0),1,0)*Table_NFI[[#This Row],[Plastic Bucket]],Table_NFI[Plastic Bucket])</f>
        <v>0</v>
      </c>
      <c r="AH845" s="264">
        <f>IF(NFI_Expiration=1,IF($A845&lt;VLOOKUP(Q$5,NFI,5,0),1,0)*Table_NFI[[#This Row],[Plastic Mat]],Table_NFI[Plastic Mat])*IF(Table_NFI[[#This Row],[Distribution Date]]&gt;"2014-04-01",1,2.5)</f>
        <v>0</v>
      </c>
      <c r="AI845" s="264">
        <f>IF(NFI_Expiration=1,IF($A845&lt;VLOOKUP(R$5,NFI,5,0),1,0)*Table_NFI[[#This Row],[Winter Clothes Adult]],Table_NFI[Winter Clothes Adult])</f>
        <v>0</v>
      </c>
      <c r="AJ845" s="264">
        <f>IF(NFI_Expiration=1,IF($A845&lt;VLOOKUP(S$5,NFI,5,0),1,0)*Table_NFI[[#This Row],[Winter Clothes Children]],Table_NFI[Winter Clothes Children])</f>
        <v>0</v>
      </c>
      <c r="AK845" s="264">
        <f>IF(NFI_Expiration=1,IF($A845&lt;VLOOKUP(T$5,NFI,5,0),1,0)*Table_NFI[[#This Row],[Winter Items Other]],Table_NFI[Winter Items Other])</f>
        <v>0</v>
      </c>
      <c r="AL845" s="264">
        <f>IF(NFI_Expiration=1,IF($A845&lt;VLOOKUP(M$5,NFI,5,0),1,0)*Table_NFI[[#This Row],[Winter Blanket]],Table_NFI[[#This Row],[Winter Blanket]])</f>
        <v>0</v>
      </c>
      <c r="AM845" s="264">
        <f>IF(Table_NFI[[#This Row],[Winter Clothes Adult]]+Table_NFI[[#This Row],[Winter Clothes Children]]+Table_NFI[[#This Row],[Winter Items Other]]+Table_NFI[[#This Row],[Winter Blanket]]&gt;0,1,0)</f>
        <v>0</v>
      </c>
      <c r="AN845" s="296">
        <f>IF(NFI_Expiration=1,IF($A845&lt;VLOOKUP(V$5,NFI,5,0),1,0)*Table_NFI[[#This Row],[Jerry Can]],Table_NFI[Jerry Can])</f>
        <v>0</v>
      </c>
      <c r="AO845" s="296">
        <f>IF(NFI_Expiration=1,IF($A845&lt;VLOOKUP(V$5,NFI,5,0),1,0)*Table_NFI[[#This Row],[Shelter Tool kit]],Table_NFI[Shelter Tool kit])</f>
        <v>0</v>
      </c>
      <c r="AP845" s="296">
        <f>IF(NFI_Expiration=1,IF($A845&lt;VLOOKUP(V$5,NFI,5,0),1,0)*Table_NFI[[#This Row],[Tent]],Table_NFI[Tent])</f>
        <v>0</v>
      </c>
      <c r="AQ845" s="396" t="str">
        <f>IFERROR(VLOOKUP(Table_NFI[[#This Row],[Camp Name]],CL,2,0),"")</f>
        <v>MMR001CMP028</v>
      </c>
      <c r="AR845" s="702">
        <f ca="1">IF(Table_NFI[[#This Row],[Pcode]]="","",IF(OFFSET(CampList[Opening Date],MATCH(Table_NFI[[#This Row],[Pcode]],CampList[CP_Pcode],0)-1,0,1,1)&gt;=NFI_Monitor_Date,1,0))</f>
        <v>0</v>
      </c>
      <c r="AS845" s="396" t="str">
        <f>IFERROR(VLOOKUP(Table_NFI[[#This Row],[Camp Name]],CL,3,0),"")</f>
        <v>Open</v>
      </c>
      <c r="AT845" s="264" t="str">
        <f ca="1">IF(Table_NFI[[#This Row],[Pcode]]="","",OFFSET(CampList[Priority],MATCH(Table_NFI[[#This Row],[Pcode]],CampList[CP_Pcode],0)-1,0,1,1))</f>
        <v>P4</v>
      </c>
      <c r="AU845" s="263">
        <f>IFERROR(Table_NFI[[#This Row],[Kitchen Set]]/VLOOKUP(Table_NFI[[#This Row],[Camp Name]],CL,4,0),"")</f>
        <v>0</v>
      </c>
      <c r="AV845" s="390" t="s">
        <v>1087</v>
      </c>
      <c r="AW845" s="392"/>
      <c r="AX845" s="399"/>
      <c r="AY845" s="399"/>
      <c r="AZ845" s="399"/>
      <c r="BA845" s="399"/>
      <c r="BB845" s="399"/>
      <c r="BC845" s="399"/>
      <c r="BD845" s="399"/>
      <c r="BE845" s="399"/>
      <c r="BF845" s="399"/>
      <c r="BG845" s="399"/>
      <c r="BH845" s="399"/>
      <c r="BI845" s="399"/>
      <c r="BJ845" s="399"/>
      <c r="BK845" s="399"/>
      <c r="BL845" s="399"/>
      <c r="BM845" s="399"/>
      <c r="BN845" s="399"/>
      <c r="BO845" s="399"/>
      <c r="BP845" s="399"/>
      <c r="BQ845" s="399"/>
      <c r="BR845" s="399"/>
      <c r="BS845" s="399"/>
      <c r="BT845" s="399"/>
      <c r="BU845" s="399"/>
      <c r="BV845" s="399"/>
      <c r="BW845" s="399"/>
      <c r="BX845" s="399"/>
      <c r="BY845" s="399"/>
      <c r="BZ845" s="399"/>
      <c r="CA845" s="399"/>
      <c r="CB845" s="399"/>
      <c r="CC845" s="399"/>
      <c r="CD845" s="399"/>
      <c r="CE845" s="399"/>
      <c r="CF845" s="399"/>
      <c r="CG845" s="399"/>
      <c r="CH845" s="399"/>
      <c r="CI845" s="399"/>
      <c r="CJ845" s="399"/>
      <c r="CK845" s="399"/>
      <c r="CL845" s="399"/>
      <c r="CM845" s="399"/>
      <c r="CN845" s="399"/>
      <c r="CO845" s="399"/>
      <c r="CP845" s="399"/>
      <c r="CQ845" s="399"/>
      <c r="CR845" s="399"/>
      <c r="CS845" s="399"/>
      <c r="CT845" s="399"/>
      <c r="CU845" s="399"/>
      <c r="CV845" s="399"/>
      <c r="CW845" s="399"/>
      <c r="CX845" s="399"/>
      <c r="CY845" s="399"/>
      <c r="CZ845" s="399"/>
      <c r="DA845" s="399"/>
      <c r="DB845" s="399"/>
      <c r="DC845" s="399"/>
      <c r="DD845" s="399"/>
      <c r="DE845" s="399"/>
      <c r="DF845" s="399"/>
      <c r="DG845" s="399"/>
      <c r="DH845" s="399"/>
      <c r="DI845" s="399"/>
      <c r="DJ845" s="399"/>
      <c r="DK845" s="399"/>
      <c r="DL845" s="399"/>
      <c r="DM845" s="399"/>
      <c r="DN845" s="399"/>
      <c r="DO845" s="399"/>
      <c r="DP845" s="399"/>
      <c r="DQ845" s="399"/>
    </row>
    <row r="846" spans="1:121" s="760" customFormat="1" ht="14.45" customHeight="1" x14ac:dyDescent="0.25">
      <c r="A846" s="266">
        <f t="shared" si="13"/>
        <v>51.7</v>
      </c>
      <c r="B846" s="389">
        <v>41305</v>
      </c>
      <c r="C846" s="390" t="s">
        <v>568</v>
      </c>
      <c r="D846" s="391" t="s">
        <v>568</v>
      </c>
      <c r="E846" s="390" t="s">
        <v>380</v>
      </c>
      <c r="F846" s="262" t="s">
        <v>310</v>
      </c>
      <c r="G846" s="262" t="s">
        <v>320</v>
      </c>
      <c r="H846" s="261"/>
      <c r="I846" s="261"/>
      <c r="J846" s="261"/>
      <c r="K846" s="261"/>
      <c r="L846" s="261"/>
      <c r="M846" s="261">
        <v>42</v>
      </c>
      <c r="N846" s="261"/>
      <c r="O846" s="261"/>
      <c r="P846" s="261">
        <v>0</v>
      </c>
      <c r="Q846" s="261">
        <v>0</v>
      </c>
      <c r="R846" s="261"/>
      <c r="S846" s="261"/>
      <c r="T846" s="261"/>
      <c r="U846" s="261"/>
      <c r="V846" s="762"/>
      <c r="W846" s="261"/>
      <c r="X846" s="261"/>
      <c r="Y846" s="264">
        <f>IF(NFI_Expiration=1,IF($A846&lt;VLOOKUP(H$5,NFI,5,0),1,0)*Table_NFI[[#This Row],[Hygiene Kit]],Table_NFI[Hygiene Kit])</f>
        <v>0</v>
      </c>
      <c r="Z846" s="264">
        <f>IF(NFI_Expiration=1,IF($A846&lt;VLOOKUP(I$5,NFI,5,0),1,0)*Table_NFI[[#This Row],[NFI Core Kit]],Table_NFI[NFI Core Kit])</f>
        <v>0</v>
      </c>
      <c r="AA846" s="264">
        <f>IF(NFI_Expiration=1,IF($A846&lt;VLOOKUP(J$5,NFI,5,0),1,0)*Table_NFI[[#This Row],[Sanitary Kit]],Table_NFI[Sanitary Kit])</f>
        <v>0</v>
      </c>
      <c r="AB846" s="264">
        <f>IF(NFI_Expiration=1,IF($A846&lt;VLOOKUP(K$5,NFI,5,0),1,0)*Table_NFI[[#This Row],[Mosquito net]],Table_NFI[Mosquito net])</f>
        <v>0</v>
      </c>
      <c r="AC846" s="264">
        <f>IF(NFI_Expiration=1,IF($A846&lt;VLOOKUP(L$5,NFI,5,0),1,0)*Table_NFI[[#This Row],[Tarpaulin]],Table_NFI[[#This Row],[Tarpaulin]])</f>
        <v>0</v>
      </c>
      <c r="AD846" s="264">
        <f>IF(NFI_Expiration=1,IF($A846&lt;VLOOKUP(M$5,NFI,5,0),1,0)*Table_NFI[[#This Row],[Blanket]],Table_NFI[[#This Row],[Blanket]])</f>
        <v>0</v>
      </c>
      <c r="AE846" s="264">
        <f>IF(NFI_Expiration=1,IF($A846&lt;VLOOKUP(N$5,NFI,5,0),1,0)*Table_NFI[[#This Row],[Kitchen Set]],Table_NFI[Kitchen Set])</f>
        <v>0</v>
      </c>
      <c r="AF846" s="264">
        <f>IF(NFI_Expiration=1,IF($A846&lt;VLOOKUP(O$5,NFI,5,0),1,0)*Table_NFI[[#This Row],[Clothes Kit]],Table_NFI[Clothes Kit])</f>
        <v>0</v>
      </c>
      <c r="AG846" s="264">
        <f>IF(NFI_Expiration=1,IF($A846&lt;VLOOKUP(P$5,NFI,5,0),1,0)*Table_NFI[[#This Row],[Plastic Bucket]],Table_NFI[Plastic Bucket])</f>
        <v>0</v>
      </c>
      <c r="AH846" s="264">
        <f>IF(NFI_Expiration=1,IF($A846&lt;VLOOKUP(Q$5,NFI,5,0),1,0)*Table_NFI[[#This Row],[Plastic Mat]],Table_NFI[Plastic Mat])*IF(Table_NFI[[#This Row],[Distribution Date]]&gt;"2014-04-01",1,2.5)</f>
        <v>0</v>
      </c>
      <c r="AI846" s="264">
        <f>IF(NFI_Expiration=1,IF($A846&lt;VLOOKUP(R$5,NFI,5,0),1,0)*Table_NFI[[#This Row],[Winter Clothes Adult]],Table_NFI[Winter Clothes Adult])</f>
        <v>0</v>
      </c>
      <c r="AJ846" s="264">
        <f>IF(NFI_Expiration=1,IF($A846&lt;VLOOKUP(S$5,NFI,5,0),1,0)*Table_NFI[[#This Row],[Winter Clothes Children]],Table_NFI[Winter Clothes Children])</f>
        <v>0</v>
      </c>
      <c r="AK846" s="264">
        <f>IF(NFI_Expiration=1,IF($A846&lt;VLOOKUP(T$5,NFI,5,0),1,0)*Table_NFI[[#This Row],[Winter Items Other]],Table_NFI[Winter Items Other])</f>
        <v>0</v>
      </c>
      <c r="AL846" s="264">
        <f>IF(NFI_Expiration=1,IF($A846&lt;VLOOKUP(M$5,NFI,5,0),1,0)*Table_NFI[[#This Row],[Winter Blanket]],Table_NFI[[#This Row],[Winter Blanket]])</f>
        <v>0</v>
      </c>
      <c r="AM846" s="264">
        <f>IF(Table_NFI[[#This Row],[Winter Clothes Adult]]+Table_NFI[[#This Row],[Winter Clothes Children]]+Table_NFI[[#This Row],[Winter Items Other]]+Table_NFI[[#This Row],[Winter Blanket]]&gt;0,1,0)</f>
        <v>0</v>
      </c>
      <c r="AN846" s="296">
        <f>IF(NFI_Expiration=1,IF($A846&lt;VLOOKUP(V$5,NFI,5,0),1,0)*Table_NFI[[#This Row],[Jerry Can]],Table_NFI[Jerry Can])</f>
        <v>0</v>
      </c>
      <c r="AO846" s="296">
        <f>IF(NFI_Expiration=1,IF($A846&lt;VLOOKUP(V$5,NFI,5,0),1,0)*Table_NFI[[#This Row],[Shelter Tool kit]],Table_NFI[Shelter Tool kit])</f>
        <v>0</v>
      </c>
      <c r="AP846" s="296">
        <f>IF(NFI_Expiration=1,IF($A846&lt;VLOOKUP(V$5,NFI,5,0),1,0)*Table_NFI[[#This Row],[Tent]],Table_NFI[Tent])</f>
        <v>0</v>
      </c>
      <c r="AQ846" s="396" t="str">
        <f>IFERROR(VLOOKUP(Table_NFI[[#This Row],[Camp Name]],CL,2,0),"")</f>
        <v>MMR001CMP027</v>
      </c>
      <c r="AR846" s="702">
        <f ca="1">IF(Table_NFI[[#This Row],[Pcode]]="","",IF(OFFSET(CampList[Opening Date],MATCH(Table_NFI[[#This Row],[Pcode]],CampList[CP_Pcode],0)-1,0,1,1)&gt;=NFI_Monitor_Date,1,0))</f>
        <v>0</v>
      </c>
      <c r="AS846" s="396" t="str">
        <f>IFERROR(VLOOKUP(Table_NFI[[#This Row],[Camp Name]],CL,3,0),"")</f>
        <v>Open</v>
      </c>
      <c r="AT846" s="264" t="str">
        <f ca="1">IF(Table_NFI[[#This Row],[Pcode]]="","",OFFSET(CampList[Priority],MATCH(Table_NFI[[#This Row],[Pcode]],CampList[CP_Pcode],0)-1,0,1,1))</f>
        <v>P4</v>
      </c>
      <c r="AU846" s="263">
        <f>IFERROR(Table_NFI[[#This Row],[Kitchen Set]]/VLOOKUP(Table_NFI[[#This Row],[Camp Name]],CL,4,0),"")</f>
        <v>0</v>
      </c>
      <c r="AV846" s="390" t="s">
        <v>1087</v>
      </c>
      <c r="AW846" s="392"/>
      <c r="AX846" s="399"/>
      <c r="AY846" s="399"/>
      <c r="AZ846" s="399"/>
      <c r="BA846" s="399"/>
      <c r="BB846" s="399"/>
      <c r="BC846" s="399"/>
      <c r="BD846" s="399"/>
      <c r="BE846" s="399"/>
      <c r="BF846" s="399"/>
      <c r="BG846" s="399"/>
      <c r="BH846" s="399"/>
      <c r="BI846" s="399"/>
      <c r="BJ846" s="399"/>
      <c r="BK846" s="399"/>
      <c r="BL846" s="399"/>
      <c r="BM846" s="399"/>
      <c r="BN846" s="399"/>
      <c r="BO846" s="399"/>
      <c r="BP846" s="399"/>
      <c r="BQ846" s="399"/>
      <c r="BR846" s="399"/>
      <c r="BS846" s="399"/>
      <c r="BT846" s="399"/>
      <c r="BU846" s="399"/>
      <c r="BV846" s="399"/>
      <c r="BW846" s="399"/>
      <c r="BX846" s="399"/>
      <c r="BY846" s="399"/>
      <c r="BZ846" s="399"/>
      <c r="CA846" s="399"/>
      <c r="CB846" s="399"/>
      <c r="CC846" s="399"/>
      <c r="CD846" s="399"/>
      <c r="CE846" s="399"/>
      <c r="CF846" s="399"/>
      <c r="CG846" s="399"/>
      <c r="CH846" s="399"/>
      <c r="CI846" s="399"/>
      <c r="CJ846" s="399"/>
      <c r="CK846" s="399"/>
      <c r="CL846" s="399"/>
      <c r="CM846" s="399"/>
      <c r="CN846" s="399"/>
      <c r="CO846" s="399"/>
      <c r="CP846" s="399"/>
      <c r="CQ846" s="399"/>
      <c r="CR846" s="399"/>
      <c r="CS846" s="399"/>
      <c r="CT846" s="399"/>
      <c r="CU846" s="399"/>
      <c r="CV846" s="399"/>
      <c r="CW846" s="399"/>
      <c r="CX846" s="399"/>
      <c r="CY846" s="399"/>
      <c r="CZ846" s="399"/>
      <c r="DA846" s="399"/>
      <c r="DB846" s="399"/>
      <c r="DC846" s="399"/>
      <c r="DD846" s="399"/>
      <c r="DE846" s="399"/>
      <c r="DF846" s="399"/>
      <c r="DG846" s="399"/>
      <c r="DH846" s="399"/>
      <c r="DI846" s="399"/>
      <c r="DJ846" s="399"/>
      <c r="DK846" s="399"/>
      <c r="DL846" s="399"/>
      <c r="DM846" s="399"/>
      <c r="DN846" s="399"/>
      <c r="DO846" s="399"/>
      <c r="DP846" s="399"/>
      <c r="DQ846" s="399"/>
    </row>
    <row r="847" spans="1:121" s="760" customFormat="1" ht="15" customHeight="1" x14ac:dyDescent="0.25">
      <c r="A847" s="266">
        <f t="shared" si="13"/>
        <v>51.7</v>
      </c>
      <c r="B847" s="389">
        <v>41305</v>
      </c>
      <c r="C847" s="390" t="s">
        <v>568</v>
      </c>
      <c r="D847" s="391" t="s">
        <v>568</v>
      </c>
      <c r="E847" s="390" t="s">
        <v>380</v>
      </c>
      <c r="F847" s="262" t="s">
        <v>310</v>
      </c>
      <c r="G847" s="262" t="s">
        <v>328</v>
      </c>
      <c r="H847" s="261"/>
      <c r="I847" s="261"/>
      <c r="J847" s="261"/>
      <c r="K847" s="261"/>
      <c r="L847" s="261"/>
      <c r="M847" s="261">
        <v>128</v>
      </c>
      <c r="N847" s="261"/>
      <c r="O847" s="261"/>
      <c r="P847" s="261">
        <v>0</v>
      </c>
      <c r="Q847" s="261">
        <v>0</v>
      </c>
      <c r="R847" s="261"/>
      <c r="S847" s="261"/>
      <c r="T847" s="261"/>
      <c r="U847" s="261"/>
      <c r="V847" s="762"/>
      <c r="W847" s="261"/>
      <c r="X847" s="261"/>
      <c r="Y847" s="264">
        <f>IF(NFI_Expiration=1,IF($A847&lt;VLOOKUP(H$5,NFI,5,0),1,0)*Table_NFI[[#This Row],[Hygiene Kit]],Table_NFI[Hygiene Kit])</f>
        <v>0</v>
      </c>
      <c r="Z847" s="264">
        <f>IF(NFI_Expiration=1,IF($A847&lt;VLOOKUP(I$5,NFI,5,0),1,0)*Table_NFI[[#This Row],[NFI Core Kit]],Table_NFI[NFI Core Kit])</f>
        <v>0</v>
      </c>
      <c r="AA847" s="264">
        <f>IF(NFI_Expiration=1,IF($A847&lt;VLOOKUP(J$5,NFI,5,0),1,0)*Table_NFI[[#This Row],[Sanitary Kit]],Table_NFI[Sanitary Kit])</f>
        <v>0</v>
      </c>
      <c r="AB847" s="264">
        <f>IF(NFI_Expiration=1,IF($A847&lt;VLOOKUP(K$5,NFI,5,0),1,0)*Table_NFI[[#This Row],[Mosquito net]],Table_NFI[Mosquito net])</f>
        <v>0</v>
      </c>
      <c r="AC847" s="264">
        <f>IF(NFI_Expiration=1,IF($A847&lt;VLOOKUP(L$5,NFI,5,0),1,0)*Table_NFI[[#This Row],[Tarpaulin]],Table_NFI[[#This Row],[Tarpaulin]])</f>
        <v>0</v>
      </c>
      <c r="AD847" s="264">
        <f>IF(NFI_Expiration=1,IF($A847&lt;VLOOKUP(M$5,NFI,5,0),1,0)*Table_NFI[[#This Row],[Blanket]],Table_NFI[[#This Row],[Blanket]])</f>
        <v>0</v>
      </c>
      <c r="AE847" s="264">
        <f>IF(NFI_Expiration=1,IF($A847&lt;VLOOKUP(N$5,NFI,5,0),1,0)*Table_NFI[[#This Row],[Kitchen Set]],Table_NFI[Kitchen Set])</f>
        <v>0</v>
      </c>
      <c r="AF847" s="264">
        <f>IF(NFI_Expiration=1,IF($A847&lt;VLOOKUP(O$5,NFI,5,0),1,0)*Table_NFI[[#This Row],[Clothes Kit]],Table_NFI[Clothes Kit])</f>
        <v>0</v>
      </c>
      <c r="AG847" s="264">
        <f>IF(NFI_Expiration=1,IF($A847&lt;VLOOKUP(P$5,NFI,5,0),1,0)*Table_NFI[[#This Row],[Plastic Bucket]],Table_NFI[Plastic Bucket])</f>
        <v>0</v>
      </c>
      <c r="AH847" s="264">
        <f>IF(NFI_Expiration=1,IF($A847&lt;VLOOKUP(Q$5,NFI,5,0),1,0)*Table_NFI[[#This Row],[Plastic Mat]],Table_NFI[Plastic Mat])*IF(Table_NFI[[#This Row],[Distribution Date]]&gt;"2014-04-01",1,2.5)</f>
        <v>0</v>
      </c>
      <c r="AI847" s="264">
        <f>IF(NFI_Expiration=1,IF($A847&lt;VLOOKUP(R$5,NFI,5,0),1,0)*Table_NFI[[#This Row],[Winter Clothes Adult]],Table_NFI[Winter Clothes Adult])</f>
        <v>0</v>
      </c>
      <c r="AJ847" s="264">
        <f>IF(NFI_Expiration=1,IF($A847&lt;VLOOKUP(S$5,NFI,5,0),1,0)*Table_NFI[[#This Row],[Winter Clothes Children]],Table_NFI[Winter Clothes Children])</f>
        <v>0</v>
      </c>
      <c r="AK847" s="264">
        <f>IF(NFI_Expiration=1,IF($A847&lt;VLOOKUP(T$5,NFI,5,0),1,0)*Table_NFI[[#This Row],[Winter Items Other]],Table_NFI[Winter Items Other])</f>
        <v>0</v>
      </c>
      <c r="AL847" s="264">
        <f>IF(NFI_Expiration=1,IF($A847&lt;VLOOKUP(M$5,NFI,5,0),1,0)*Table_NFI[[#This Row],[Winter Blanket]],Table_NFI[[#This Row],[Winter Blanket]])</f>
        <v>0</v>
      </c>
      <c r="AM847" s="264">
        <f>IF(Table_NFI[[#This Row],[Winter Clothes Adult]]+Table_NFI[[#This Row],[Winter Clothes Children]]+Table_NFI[[#This Row],[Winter Items Other]]+Table_NFI[[#This Row],[Winter Blanket]]&gt;0,1,0)</f>
        <v>0</v>
      </c>
      <c r="AN847" s="296">
        <f>IF(NFI_Expiration=1,IF($A847&lt;VLOOKUP(V$5,NFI,5,0),1,0)*Table_NFI[[#This Row],[Jerry Can]],Table_NFI[Jerry Can])</f>
        <v>0</v>
      </c>
      <c r="AO847" s="296">
        <f>IF(NFI_Expiration=1,IF($A847&lt;VLOOKUP(V$5,NFI,5,0),1,0)*Table_NFI[[#This Row],[Shelter Tool kit]],Table_NFI[Shelter Tool kit])</f>
        <v>0</v>
      </c>
      <c r="AP847" s="296">
        <f>IF(NFI_Expiration=1,IF($A847&lt;VLOOKUP(V$5,NFI,5,0),1,0)*Table_NFI[[#This Row],[Tent]],Table_NFI[Tent])</f>
        <v>0</v>
      </c>
      <c r="AQ847" s="396" t="str">
        <f>IFERROR(VLOOKUP(Table_NFI[[#This Row],[Camp Name]],CL,2,0),"")</f>
        <v>MMR001CMP031</v>
      </c>
      <c r="AR847" s="702">
        <f ca="1">IF(Table_NFI[[#This Row],[Pcode]]="","",IF(OFFSET(CampList[Opening Date],MATCH(Table_NFI[[#This Row],[Pcode]],CampList[CP_Pcode],0)-1,0,1,1)&gt;=NFI_Monitor_Date,1,0))</f>
        <v>0</v>
      </c>
      <c r="AS847" s="396" t="str">
        <f>IFERROR(VLOOKUP(Table_NFI[[#This Row],[Camp Name]],CL,3,0),"")</f>
        <v>Open</v>
      </c>
      <c r="AT847" s="264" t="str">
        <f ca="1">IF(Table_NFI[[#This Row],[Pcode]]="","",OFFSET(CampList[Priority],MATCH(Table_NFI[[#This Row],[Pcode]],CampList[CP_Pcode],0)-1,0,1,1))</f>
        <v>P4</v>
      </c>
      <c r="AU847" s="263">
        <f>IFERROR(Table_NFI[[#This Row],[Kitchen Set]]/VLOOKUP(Table_NFI[[#This Row],[Camp Name]],CL,4,0),"")</f>
        <v>0</v>
      </c>
      <c r="AV847" s="390" t="s">
        <v>1087</v>
      </c>
      <c r="AW847" s="392"/>
      <c r="AX847" s="399"/>
      <c r="AY847" s="399"/>
      <c r="AZ847" s="399"/>
      <c r="BA847" s="399"/>
      <c r="BB847" s="399"/>
      <c r="BC847" s="399"/>
      <c r="BD847" s="399"/>
      <c r="BE847" s="399"/>
      <c r="BF847" s="399"/>
      <c r="BG847" s="399"/>
      <c r="BH847" s="399"/>
      <c r="BI847" s="399"/>
      <c r="BJ847" s="399"/>
      <c r="BK847" s="399"/>
      <c r="BL847" s="399"/>
      <c r="BM847" s="399"/>
      <c r="BN847" s="399"/>
      <c r="BO847" s="399"/>
      <c r="BP847" s="399"/>
      <c r="BQ847" s="399"/>
      <c r="BR847" s="399"/>
      <c r="BS847" s="399"/>
      <c r="BT847" s="399"/>
      <c r="BU847" s="399"/>
      <c r="BV847" s="399"/>
      <c r="BW847" s="399"/>
      <c r="BX847" s="399"/>
      <c r="BY847" s="399"/>
      <c r="BZ847" s="399"/>
      <c r="CA847" s="399"/>
      <c r="CB847" s="399"/>
      <c r="CC847" s="399"/>
      <c r="CD847" s="399"/>
      <c r="CE847" s="399"/>
      <c r="CF847" s="399"/>
      <c r="CG847" s="399"/>
      <c r="CH847" s="399"/>
      <c r="CI847" s="399"/>
      <c r="CJ847" s="399"/>
      <c r="CK847" s="399"/>
      <c r="CL847" s="399"/>
      <c r="CM847" s="399"/>
      <c r="CN847" s="399"/>
      <c r="CO847" s="399"/>
      <c r="CP847" s="399"/>
      <c r="CQ847" s="399"/>
      <c r="CR847" s="399"/>
      <c r="CS847" s="399"/>
      <c r="CT847" s="399"/>
      <c r="CU847" s="399"/>
      <c r="CV847" s="399"/>
      <c r="CW847" s="399"/>
      <c r="CX847" s="399"/>
      <c r="CY847" s="399"/>
      <c r="CZ847" s="399"/>
      <c r="DA847" s="399"/>
      <c r="DB847" s="399"/>
      <c r="DC847" s="399"/>
      <c r="DD847" s="399"/>
      <c r="DE847" s="399"/>
      <c r="DF847" s="399"/>
      <c r="DG847" s="399"/>
      <c r="DH847" s="399"/>
      <c r="DI847" s="399"/>
      <c r="DJ847" s="399"/>
      <c r="DK847" s="399"/>
      <c r="DL847" s="399"/>
      <c r="DM847" s="399"/>
      <c r="DN847" s="399"/>
      <c r="DO847" s="399"/>
      <c r="DP847" s="399"/>
      <c r="DQ847" s="399"/>
    </row>
    <row r="848" spans="1:121" s="760" customFormat="1" ht="14.45" customHeight="1" x14ac:dyDescent="0.25">
      <c r="A848" s="266">
        <f t="shared" si="13"/>
        <v>51.7</v>
      </c>
      <c r="B848" s="389">
        <v>41305</v>
      </c>
      <c r="C848" s="390" t="s">
        <v>568</v>
      </c>
      <c r="D848" s="391" t="s">
        <v>568</v>
      </c>
      <c r="E848" s="390" t="s">
        <v>380</v>
      </c>
      <c r="F848" s="262" t="s">
        <v>310</v>
      </c>
      <c r="G848" s="262" t="s">
        <v>330</v>
      </c>
      <c r="H848" s="261"/>
      <c r="I848" s="261"/>
      <c r="J848" s="261"/>
      <c r="K848" s="261"/>
      <c r="L848" s="261"/>
      <c r="M848" s="261">
        <v>442</v>
      </c>
      <c r="N848" s="261"/>
      <c r="O848" s="261"/>
      <c r="P848" s="261">
        <v>0</v>
      </c>
      <c r="Q848" s="261">
        <v>0</v>
      </c>
      <c r="R848" s="261"/>
      <c r="S848" s="261"/>
      <c r="T848" s="261"/>
      <c r="U848" s="261"/>
      <c r="V848" s="762"/>
      <c r="W848" s="261"/>
      <c r="X848" s="261"/>
      <c r="Y848" s="264">
        <f>IF(NFI_Expiration=1,IF($A848&lt;VLOOKUP(H$5,NFI,5,0),1,0)*Table_NFI[[#This Row],[Hygiene Kit]],Table_NFI[Hygiene Kit])</f>
        <v>0</v>
      </c>
      <c r="Z848" s="264">
        <f>IF(NFI_Expiration=1,IF($A848&lt;VLOOKUP(I$5,NFI,5,0),1,0)*Table_NFI[[#This Row],[NFI Core Kit]],Table_NFI[NFI Core Kit])</f>
        <v>0</v>
      </c>
      <c r="AA848" s="264">
        <f>IF(NFI_Expiration=1,IF($A848&lt;VLOOKUP(J$5,NFI,5,0),1,0)*Table_NFI[[#This Row],[Sanitary Kit]],Table_NFI[Sanitary Kit])</f>
        <v>0</v>
      </c>
      <c r="AB848" s="264">
        <f>IF(NFI_Expiration=1,IF($A848&lt;VLOOKUP(K$5,NFI,5,0),1,0)*Table_NFI[[#This Row],[Mosquito net]],Table_NFI[Mosquito net])</f>
        <v>0</v>
      </c>
      <c r="AC848" s="264">
        <f>IF(NFI_Expiration=1,IF($A848&lt;VLOOKUP(L$5,NFI,5,0),1,0)*Table_NFI[[#This Row],[Tarpaulin]],Table_NFI[[#This Row],[Tarpaulin]])</f>
        <v>0</v>
      </c>
      <c r="AD848" s="264">
        <f>IF(NFI_Expiration=1,IF($A848&lt;VLOOKUP(M$5,NFI,5,0),1,0)*Table_NFI[[#This Row],[Blanket]],Table_NFI[[#This Row],[Blanket]])</f>
        <v>0</v>
      </c>
      <c r="AE848" s="264">
        <f>IF(NFI_Expiration=1,IF($A848&lt;VLOOKUP(N$5,NFI,5,0),1,0)*Table_NFI[[#This Row],[Kitchen Set]],Table_NFI[Kitchen Set])</f>
        <v>0</v>
      </c>
      <c r="AF848" s="264">
        <f>IF(NFI_Expiration=1,IF($A848&lt;VLOOKUP(O$5,NFI,5,0),1,0)*Table_NFI[[#This Row],[Clothes Kit]],Table_NFI[Clothes Kit])</f>
        <v>0</v>
      </c>
      <c r="AG848" s="264">
        <f>IF(NFI_Expiration=1,IF($A848&lt;VLOOKUP(P$5,NFI,5,0),1,0)*Table_NFI[[#This Row],[Plastic Bucket]],Table_NFI[Plastic Bucket])</f>
        <v>0</v>
      </c>
      <c r="AH848" s="264">
        <f>IF(NFI_Expiration=1,IF($A848&lt;VLOOKUP(Q$5,NFI,5,0),1,0)*Table_NFI[[#This Row],[Plastic Mat]],Table_NFI[Plastic Mat])*IF(Table_NFI[[#This Row],[Distribution Date]]&gt;"2014-04-01",1,2.5)</f>
        <v>0</v>
      </c>
      <c r="AI848" s="264">
        <f>IF(NFI_Expiration=1,IF($A848&lt;VLOOKUP(R$5,NFI,5,0),1,0)*Table_NFI[[#This Row],[Winter Clothes Adult]],Table_NFI[Winter Clothes Adult])</f>
        <v>0</v>
      </c>
      <c r="AJ848" s="264">
        <f>IF(NFI_Expiration=1,IF($A848&lt;VLOOKUP(S$5,NFI,5,0),1,0)*Table_NFI[[#This Row],[Winter Clothes Children]],Table_NFI[Winter Clothes Children])</f>
        <v>0</v>
      </c>
      <c r="AK848" s="264">
        <f>IF(NFI_Expiration=1,IF($A848&lt;VLOOKUP(T$5,NFI,5,0),1,0)*Table_NFI[[#This Row],[Winter Items Other]],Table_NFI[Winter Items Other])</f>
        <v>0</v>
      </c>
      <c r="AL848" s="264">
        <f>IF(NFI_Expiration=1,IF($A848&lt;VLOOKUP(M$5,NFI,5,0),1,0)*Table_NFI[[#This Row],[Winter Blanket]],Table_NFI[[#This Row],[Winter Blanket]])</f>
        <v>0</v>
      </c>
      <c r="AM848" s="264">
        <f>IF(Table_NFI[[#This Row],[Winter Clothes Adult]]+Table_NFI[[#This Row],[Winter Clothes Children]]+Table_NFI[[#This Row],[Winter Items Other]]+Table_NFI[[#This Row],[Winter Blanket]]&gt;0,1,0)</f>
        <v>0</v>
      </c>
      <c r="AN848" s="296">
        <f>IF(NFI_Expiration=1,IF($A848&lt;VLOOKUP(V$5,NFI,5,0),1,0)*Table_NFI[[#This Row],[Jerry Can]],Table_NFI[Jerry Can])</f>
        <v>0</v>
      </c>
      <c r="AO848" s="296">
        <f>IF(NFI_Expiration=1,IF($A848&lt;VLOOKUP(V$5,NFI,5,0),1,0)*Table_NFI[[#This Row],[Shelter Tool kit]],Table_NFI[Shelter Tool kit])</f>
        <v>0</v>
      </c>
      <c r="AP848" s="296">
        <f>IF(NFI_Expiration=1,IF($A848&lt;VLOOKUP(V$5,NFI,5,0),1,0)*Table_NFI[[#This Row],[Tent]],Table_NFI[Tent])</f>
        <v>0</v>
      </c>
      <c r="AQ848" s="396" t="str">
        <f>IFERROR(VLOOKUP(Table_NFI[[#This Row],[Camp Name]],CL,2,0),"")</f>
        <v>MMR001CMP029</v>
      </c>
      <c r="AR848" s="702">
        <f ca="1">IF(Table_NFI[[#This Row],[Pcode]]="","",IF(OFFSET(CampList[Opening Date],MATCH(Table_NFI[[#This Row],[Pcode]],CampList[CP_Pcode],0)-1,0,1,1)&gt;=NFI_Monitor_Date,1,0))</f>
        <v>0</v>
      </c>
      <c r="AS848" s="396" t="str">
        <f>IFERROR(VLOOKUP(Table_NFI[[#This Row],[Camp Name]],CL,3,0),"")</f>
        <v>Open</v>
      </c>
      <c r="AT848" s="264" t="str">
        <f ca="1">IF(Table_NFI[[#This Row],[Pcode]]="","",OFFSET(CampList[Priority],MATCH(Table_NFI[[#This Row],[Pcode]],CampList[CP_Pcode],0)-1,0,1,1))</f>
        <v>P4</v>
      </c>
      <c r="AU848" s="263">
        <f>IFERROR(Table_NFI[[#This Row],[Kitchen Set]]/VLOOKUP(Table_NFI[[#This Row],[Camp Name]],CL,4,0),"")</f>
        <v>0</v>
      </c>
      <c r="AV848" s="390" t="s">
        <v>1087</v>
      </c>
      <c r="AW848" s="392"/>
      <c r="AX848" s="399"/>
      <c r="AY848" s="399"/>
      <c r="AZ848" s="399"/>
      <c r="BA848" s="399"/>
      <c r="BB848" s="399"/>
      <c r="BC848" s="399"/>
      <c r="BD848" s="399"/>
      <c r="BE848" s="399"/>
      <c r="BF848" s="399"/>
      <c r="BG848" s="399"/>
      <c r="BH848" s="399"/>
      <c r="BI848" s="399"/>
      <c r="BJ848" s="399"/>
      <c r="BK848" s="399"/>
      <c r="BL848" s="399"/>
      <c r="BM848" s="399"/>
      <c r="BN848" s="399"/>
      <c r="BO848" s="399"/>
      <c r="BP848" s="399"/>
      <c r="BQ848" s="399"/>
      <c r="BR848" s="399"/>
      <c r="BS848" s="399"/>
      <c r="BT848" s="399"/>
      <c r="BU848" s="399"/>
      <c r="BV848" s="399"/>
      <c r="BW848" s="399"/>
      <c r="BX848" s="399"/>
      <c r="BY848" s="399"/>
      <c r="BZ848" s="399"/>
      <c r="CA848" s="399"/>
      <c r="CB848" s="399"/>
      <c r="CC848" s="399"/>
      <c r="CD848" s="399"/>
      <c r="CE848" s="399"/>
      <c r="CF848" s="399"/>
      <c r="CG848" s="399"/>
      <c r="CH848" s="399"/>
      <c r="CI848" s="399"/>
      <c r="CJ848" s="399"/>
      <c r="CK848" s="399"/>
      <c r="CL848" s="399"/>
      <c r="CM848" s="399"/>
      <c r="CN848" s="399"/>
      <c r="CO848" s="399"/>
      <c r="CP848" s="399"/>
      <c r="CQ848" s="399"/>
      <c r="CR848" s="399"/>
      <c r="CS848" s="399"/>
      <c r="CT848" s="399"/>
      <c r="CU848" s="399"/>
      <c r="CV848" s="399"/>
      <c r="CW848" s="399"/>
      <c r="CX848" s="399"/>
      <c r="CY848" s="399"/>
      <c r="CZ848" s="399"/>
      <c r="DA848" s="399"/>
      <c r="DB848" s="399"/>
      <c r="DC848" s="399"/>
      <c r="DD848" s="399"/>
      <c r="DE848" s="399"/>
      <c r="DF848" s="399"/>
      <c r="DG848" s="399"/>
      <c r="DH848" s="399"/>
      <c r="DI848" s="399"/>
      <c r="DJ848" s="399"/>
      <c r="DK848" s="399"/>
      <c r="DL848" s="399"/>
      <c r="DM848" s="399"/>
      <c r="DN848" s="399"/>
      <c r="DO848" s="399"/>
      <c r="DP848" s="399"/>
      <c r="DQ848" s="399"/>
    </row>
    <row r="849" spans="1:121" s="760" customFormat="1" ht="15" customHeight="1" x14ac:dyDescent="0.25">
      <c r="A849" s="266">
        <f t="shared" si="13"/>
        <v>51.7</v>
      </c>
      <c r="B849" s="389">
        <v>41305</v>
      </c>
      <c r="C849" s="390" t="s">
        <v>568</v>
      </c>
      <c r="D849" s="391" t="s">
        <v>568</v>
      </c>
      <c r="E849" s="390" t="s">
        <v>380</v>
      </c>
      <c r="F849" s="262" t="s">
        <v>310</v>
      </c>
      <c r="G849" s="262" t="s">
        <v>324</v>
      </c>
      <c r="H849" s="261"/>
      <c r="I849" s="261"/>
      <c r="J849" s="261"/>
      <c r="K849" s="261"/>
      <c r="L849" s="261"/>
      <c r="M849" s="261">
        <v>324</v>
      </c>
      <c r="N849" s="261"/>
      <c r="O849" s="261"/>
      <c r="P849" s="261">
        <v>0</v>
      </c>
      <c r="Q849" s="261">
        <v>0</v>
      </c>
      <c r="R849" s="261"/>
      <c r="S849" s="261"/>
      <c r="T849" s="261"/>
      <c r="U849" s="261"/>
      <c r="V849" s="762"/>
      <c r="W849" s="261"/>
      <c r="X849" s="261"/>
      <c r="Y849" s="264">
        <f>IF(NFI_Expiration=1,IF($A849&lt;VLOOKUP(H$5,NFI,5,0),1,0)*Table_NFI[[#This Row],[Hygiene Kit]],Table_NFI[Hygiene Kit])</f>
        <v>0</v>
      </c>
      <c r="Z849" s="264">
        <f>IF(NFI_Expiration=1,IF($A849&lt;VLOOKUP(I$5,NFI,5,0),1,0)*Table_NFI[[#This Row],[NFI Core Kit]],Table_NFI[NFI Core Kit])</f>
        <v>0</v>
      </c>
      <c r="AA849" s="264">
        <f>IF(NFI_Expiration=1,IF($A849&lt;VLOOKUP(J$5,NFI,5,0),1,0)*Table_NFI[[#This Row],[Sanitary Kit]],Table_NFI[Sanitary Kit])</f>
        <v>0</v>
      </c>
      <c r="AB849" s="264">
        <f>IF(NFI_Expiration=1,IF($A849&lt;VLOOKUP(K$5,NFI,5,0),1,0)*Table_NFI[[#This Row],[Mosquito net]],Table_NFI[Mosquito net])</f>
        <v>0</v>
      </c>
      <c r="AC849" s="264">
        <f>IF(NFI_Expiration=1,IF($A849&lt;VLOOKUP(L$5,NFI,5,0),1,0)*Table_NFI[[#This Row],[Tarpaulin]],Table_NFI[[#This Row],[Tarpaulin]])</f>
        <v>0</v>
      </c>
      <c r="AD849" s="264">
        <f>IF(NFI_Expiration=1,IF($A849&lt;VLOOKUP(M$5,NFI,5,0),1,0)*Table_NFI[[#This Row],[Blanket]],Table_NFI[[#This Row],[Blanket]])</f>
        <v>0</v>
      </c>
      <c r="AE849" s="264">
        <f>IF(NFI_Expiration=1,IF($A849&lt;VLOOKUP(N$5,NFI,5,0),1,0)*Table_NFI[[#This Row],[Kitchen Set]],Table_NFI[Kitchen Set])</f>
        <v>0</v>
      </c>
      <c r="AF849" s="264">
        <f>IF(NFI_Expiration=1,IF($A849&lt;VLOOKUP(O$5,NFI,5,0),1,0)*Table_NFI[[#This Row],[Clothes Kit]],Table_NFI[Clothes Kit])</f>
        <v>0</v>
      </c>
      <c r="AG849" s="264">
        <f>IF(NFI_Expiration=1,IF($A849&lt;VLOOKUP(P$5,NFI,5,0),1,0)*Table_NFI[[#This Row],[Plastic Bucket]],Table_NFI[Plastic Bucket])</f>
        <v>0</v>
      </c>
      <c r="AH849" s="264">
        <f>IF(NFI_Expiration=1,IF($A849&lt;VLOOKUP(Q$5,NFI,5,0),1,0)*Table_NFI[[#This Row],[Plastic Mat]],Table_NFI[Plastic Mat])*IF(Table_NFI[[#This Row],[Distribution Date]]&gt;"2014-04-01",1,2.5)</f>
        <v>0</v>
      </c>
      <c r="AI849" s="264">
        <f>IF(NFI_Expiration=1,IF($A849&lt;VLOOKUP(R$5,NFI,5,0),1,0)*Table_NFI[[#This Row],[Winter Clothes Adult]],Table_NFI[Winter Clothes Adult])</f>
        <v>0</v>
      </c>
      <c r="AJ849" s="264">
        <f>IF(NFI_Expiration=1,IF($A849&lt;VLOOKUP(S$5,NFI,5,0),1,0)*Table_NFI[[#This Row],[Winter Clothes Children]],Table_NFI[Winter Clothes Children])</f>
        <v>0</v>
      </c>
      <c r="AK849" s="264">
        <f>IF(NFI_Expiration=1,IF($A849&lt;VLOOKUP(T$5,NFI,5,0),1,0)*Table_NFI[[#This Row],[Winter Items Other]],Table_NFI[Winter Items Other])</f>
        <v>0</v>
      </c>
      <c r="AL849" s="264">
        <f>IF(NFI_Expiration=1,IF($A849&lt;VLOOKUP(M$5,NFI,5,0),1,0)*Table_NFI[[#This Row],[Winter Blanket]],Table_NFI[[#This Row],[Winter Blanket]])</f>
        <v>0</v>
      </c>
      <c r="AM849" s="264">
        <f>IF(Table_NFI[[#This Row],[Winter Clothes Adult]]+Table_NFI[[#This Row],[Winter Clothes Children]]+Table_NFI[[#This Row],[Winter Items Other]]+Table_NFI[[#This Row],[Winter Blanket]]&gt;0,1,0)</f>
        <v>0</v>
      </c>
      <c r="AN849" s="296">
        <f>IF(NFI_Expiration=1,IF($A849&lt;VLOOKUP(V$5,NFI,5,0),1,0)*Table_NFI[[#This Row],[Jerry Can]],Table_NFI[Jerry Can])</f>
        <v>0</v>
      </c>
      <c r="AO849" s="296">
        <f>IF(NFI_Expiration=1,IF($A849&lt;VLOOKUP(V$5,NFI,5,0),1,0)*Table_NFI[[#This Row],[Shelter Tool kit]],Table_NFI[Shelter Tool kit])</f>
        <v>0</v>
      </c>
      <c r="AP849" s="296">
        <f>IF(NFI_Expiration=1,IF($A849&lt;VLOOKUP(V$5,NFI,5,0),1,0)*Table_NFI[[#This Row],[Tent]],Table_NFI[Tent])</f>
        <v>0</v>
      </c>
      <c r="AQ849" s="396" t="str">
        <f>IFERROR(VLOOKUP(Table_NFI[[#This Row],[Camp Name]],CL,2,0),"")</f>
        <v>MMR001CMP040</v>
      </c>
      <c r="AR849" s="702">
        <f ca="1">IF(Table_NFI[[#This Row],[Pcode]]="","",IF(OFFSET(CampList[Opening Date],MATCH(Table_NFI[[#This Row],[Pcode]],CampList[CP_Pcode],0)-1,0,1,1)&gt;=NFI_Monitor_Date,1,0))</f>
        <v>0</v>
      </c>
      <c r="AS849" s="396" t="str">
        <f>IFERROR(VLOOKUP(Table_NFI[[#This Row],[Camp Name]],CL,3,0),"")</f>
        <v>Open</v>
      </c>
      <c r="AT849" s="264" t="str">
        <f ca="1">IF(Table_NFI[[#This Row],[Pcode]]="","",OFFSET(CampList[Priority],MATCH(Table_NFI[[#This Row],[Pcode]],CampList[CP_Pcode],0)-1,0,1,1))</f>
        <v>P4</v>
      </c>
      <c r="AU849" s="263">
        <f>IFERROR(Table_NFI[[#This Row],[Kitchen Set]]/VLOOKUP(Table_NFI[[#This Row],[Camp Name]],CL,4,0),"")</f>
        <v>0</v>
      </c>
      <c r="AV849" s="390" t="s">
        <v>1087</v>
      </c>
      <c r="AW849" s="392"/>
      <c r="AX849" s="399"/>
      <c r="AY849" s="399"/>
      <c r="AZ849" s="399"/>
      <c r="BA849" s="399"/>
      <c r="BB849" s="399"/>
      <c r="BC849" s="399"/>
      <c r="BD849" s="399"/>
      <c r="BE849" s="399"/>
      <c r="BF849" s="399"/>
      <c r="BG849" s="399"/>
      <c r="BH849" s="399"/>
      <c r="BI849" s="399"/>
      <c r="BJ849" s="399"/>
      <c r="BK849" s="399"/>
      <c r="BL849" s="399"/>
      <c r="BM849" s="399"/>
      <c r="BN849" s="399"/>
      <c r="BO849" s="399"/>
      <c r="BP849" s="399"/>
      <c r="BQ849" s="399"/>
      <c r="BR849" s="399"/>
      <c r="BS849" s="399"/>
      <c r="BT849" s="399"/>
      <c r="BU849" s="399"/>
      <c r="BV849" s="399"/>
      <c r="BW849" s="399"/>
      <c r="BX849" s="399"/>
      <c r="BY849" s="399"/>
      <c r="BZ849" s="399"/>
      <c r="CA849" s="399"/>
      <c r="CB849" s="399"/>
      <c r="CC849" s="399"/>
      <c r="CD849" s="399"/>
      <c r="CE849" s="399"/>
      <c r="CF849" s="399"/>
      <c r="CG849" s="399"/>
      <c r="CH849" s="399"/>
      <c r="CI849" s="399"/>
      <c r="CJ849" s="399"/>
      <c r="CK849" s="399"/>
      <c r="CL849" s="399"/>
      <c r="CM849" s="399"/>
      <c r="CN849" s="399"/>
      <c r="CO849" s="399"/>
      <c r="CP849" s="399"/>
      <c r="CQ849" s="399"/>
      <c r="CR849" s="399"/>
      <c r="CS849" s="399"/>
      <c r="CT849" s="399"/>
      <c r="CU849" s="399"/>
      <c r="CV849" s="399"/>
      <c r="CW849" s="399"/>
      <c r="CX849" s="399"/>
      <c r="CY849" s="399"/>
      <c r="CZ849" s="399"/>
      <c r="DA849" s="399"/>
      <c r="DB849" s="399"/>
      <c r="DC849" s="399"/>
      <c r="DD849" s="399"/>
      <c r="DE849" s="399"/>
      <c r="DF849" s="399"/>
      <c r="DG849" s="399"/>
      <c r="DH849" s="399"/>
      <c r="DI849" s="399"/>
      <c r="DJ849" s="399"/>
      <c r="DK849" s="399"/>
      <c r="DL849" s="399"/>
      <c r="DM849" s="399"/>
      <c r="DN849" s="399"/>
      <c r="DO849" s="399"/>
      <c r="DP849" s="399"/>
      <c r="DQ849" s="399"/>
    </row>
    <row r="850" spans="1:121" s="760" customFormat="1" ht="14.45" customHeight="1" x14ac:dyDescent="0.25">
      <c r="A850" s="266">
        <f t="shared" si="13"/>
        <v>51.7</v>
      </c>
      <c r="B850" s="389">
        <v>41305</v>
      </c>
      <c r="C850" s="390" t="s">
        <v>568</v>
      </c>
      <c r="D850" s="391" t="s">
        <v>568</v>
      </c>
      <c r="E850" s="390" t="s">
        <v>380</v>
      </c>
      <c r="F850" s="262" t="s">
        <v>310</v>
      </c>
      <c r="G850" s="262" t="s">
        <v>326</v>
      </c>
      <c r="H850" s="261"/>
      <c r="I850" s="261"/>
      <c r="J850" s="261"/>
      <c r="K850" s="261"/>
      <c r="L850" s="261"/>
      <c r="M850" s="261">
        <v>94</v>
      </c>
      <c r="N850" s="261"/>
      <c r="O850" s="261"/>
      <c r="P850" s="261">
        <v>0</v>
      </c>
      <c r="Q850" s="261">
        <v>0</v>
      </c>
      <c r="R850" s="261"/>
      <c r="S850" s="261"/>
      <c r="T850" s="261"/>
      <c r="U850" s="261"/>
      <c r="V850" s="762"/>
      <c r="W850" s="261"/>
      <c r="X850" s="261"/>
      <c r="Y850" s="264">
        <f>IF(NFI_Expiration=1,IF($A850&lt;VLOOKUP(H$5,NFI,5,0),1,0)*Table_NFI[[#This Row],[Hygiene Kit]],Table_NFI[Hygiene Kit])</f>
        <v>0</v>
      </c>
      <c r="Z850" s="264">
        <f>IF(NFI_Expiration=1,IF($A850&lt;VLOOKUP(I$5,NFI,5,0),1,0)*Table_NFI[[#This Row],[NFI Core Kit]],Table_NFI[NFI Core Kit])</f>
        <v>0</v>
      </c>
      <c r="AA850" s="264">
        <f>IF(NFI_Expiration=1,IF($A850&lt;VLOOKUP(J$5,NFI,5,0),1,0)*Table_NFI[[#This Row],[Sanitary Kit]],Table_NFI[Sanitary Kit])</f>
        <v>0</v>
      </c>
      <c r="AB850" s="264">
        <f>IF(NFI_Expiration=1,IF($A850&lt;VLOOKUP(K$5,NFI,5,0),1,0)*Table_NFI[[#This Row],[Mosquito net]],Table_NFI[Mosquito net])</f>
        <v>0</v>
      </c>
      <c r="AC850" s="264">
        <f>IF(NFI_Expiration=1,IF($A850&lt;VLOOKUP(L$5,NFI,5,0),1,0)*Table_NFI[[#This Row],[Tarpaulin]],Table_NFI[[#This Row],[Tarpaulin]])</f>
        <v>0</v>
      </c>
      <c r="AD850" s="264">
        <f>IF(NFI_Expiration=1,IF($A850&lt;VLOOKUP(M$5,NFI,5,0),1,0)*Table_NFI[[#This Row],[Blanket]],Table_NFI[[#This Row],[Blanket]])</f>
        <v>0</v>
      </c>
      <c r="AE850" s="264">
        <f>IF(NFI_Expiration=1,IF($A850&lt;VLOOKUP(N$5,NFI,5,0),1,0)*Table_NFI[[#This Row],[Kitchen Set]],Table_NFI[Kitchen Set])</f>
        <v>0</v>
      </c>
      <c r="AF850" s="264">
        <f>IF(NFI_Expiration=1,IF($A850&lt;VLOOKUP(O$5,NFI,5,0),1,0)*Table_NFI[[#This Row],[Clothes Kit]],Table_NFI[Clothes Kit])</f>
        <v>0</v>
      </c>
      <c r="AG850" s="264">
        <f>IF(NFI_Expiration=1,IF($A850&lt;VLOOKUP(P$5,NFI,5,0),1,0)*Table_NFI[[#This Row],[Plastic Bucket]],Table_NFI[Plastic Bucket])</f>
        <v>0</v>
      </c>
      <c r="AH850" s="264">
        <f>IF(NFI_Expiration=1,IF($A850&lt;VLOOKUP(Q$5,NFI,5,0),1,0)*Table_NFI[[#This Row],[Plastic Mat]],Table_NFI[Plastic Mat])*IF(Table_NFI[[#This Row],[Distribution Date]]&gt;"2014-04-01",1,2.5)</f>
        <v>0</v>
      </c>
      <c r="AI850" s="264">
        <f>IF(NFI_Expiration=1,IF($A850&lt;VLOOKUP(R$5,NFI,5,0),1,0)*Table_NFI[[#This Row],[Winter Clothes Adult]],Table_NFI[Winter Clothes Adult])</f>
        <v>0</v>
      </c>
      <c r="AJ850" s="264">
        <f>IF(NFI_Expiration=1,IF($A850&lt;VLOOKUP(S$5,NFI,5,0),1,0)*Table_NFI[[#This Row],[Winter Clothes Children]],Table_NFI[Winter Clothes Children])</f>
        <v>0</v>
      </c>
      <c r="AK850" s="264">
        <f>IF(NFI_Expiration=1,IF($A850&lt;VLOOKUP(T$5,NFI,5,0),1,0)*Table_NFI[[#This Row],[Winter Items Other]],Table_NFI[Winter Items Other])</f>
        <v>0</v>
      </c>
      <c r="AL850" s="264">
        <f>IF(NFI_Expiration=1,IF($A850&lt;VLOOKUP(M$5,NFI,5,0),1,0)*Table_NFI[[#This Row],[Winter Blanket]],Table_NFI[[#This Row],[Winter Blanket]])</f>
        <v>0</v>
      </c>
      <c r="AM850" s="264">
        <f>IF(Table_NFI[[#This Row],[Winter Clothes Adult]]+Table_NFI[[#This Row],[Winter Clothes Children]]+Table_NFI[[#This Row],[Winter Items Other]]+Table_NFI[[#This Row],[Winter Blanket]]&gt;0,1,0)</f>
        <v>0</v>
      </c>
      <c r="AN850" s="296">
        <f>IF(NFI_Expiration=1,IF($A850&lt;VLOOKUP(V$5,NFI,5,0),1,0)*Table_NFI[[#This Row],[Jerry Can]],Table_NFI[Jerry Can])</f>
        <v>0</v>
      </c>
      <c r="AO850" s="296">
        <f>IF(NFI_Expiration=1,IF($A850&lt;VLOOKUP(V$5,NFI,5,0),1,0)*Table_NFI[[#This Row],[Shelter Tool kit]],Table_NFI[Shelter Tool kit])</f>
        <v>0</v>
      </c>
      <c r="AP850" s="296">
        <f>IF(NFI_Expiration=1,IF($A850&lt;VLOOKUP(V$5,NFI,5,0),1,0)*Table_NFI[[#This Row],[Tent]],Table_NFI[Tent])</f>
        <v>0</v>
      </c>
      <c r="AQ850" s="396" t="str">
        <f>IFERROR(VLOOKUP(Table_NFI[[#This Row],[Camp Name]],CL,2,0),"")</f>
        <v>MMR001CMP039</v>
      </c>
      <c r="AR850" s="702">
        <f ca="1">IF(Table_NFI[[#This Row],[Pcode]]="","",IF(OFFSET(CampList[Opening Date],MATCH(Table_NFI[[#This Row],[Pcode]],CampList[CP_Pcode],0)-1,0,1,1)&gt;=NFI_Monitor_Date,1,0))</f>
        <v>0</v>
      </c>
      <c r="AS850" s="396" t="str">
        <f>IFERROR(VLOOKUP(Table_NFI[[#This Row],[Camp Name]],CL,3,0),"")</f>
        <v>Open</v>
      </c>
      <c r="AT850" s="264" t="str">
        <f ca="1">IF(Table_NFI[[#This Row],[Pcode]]="","",OFFSET(CampList[Priority],MATCH(Table_NFI[[#This Row],[Pcode]],CampList[CP_Pcode],0)-1,0,1,1))</f>
        <v>P4</v>
      </c>
      <c r="AU850" s="263">
        <f>IFERROR(Table_NFI[[#This Row],[Kitchen Set]]/VLOOKUP(Table_NFI[[#This Row],[Camp Name]],CL,4,0),"")</f>
        <v>0</v>
      </c>
      <c r="AV850" s="390" t="s">
        <v>1087</v>
      </c>
      <c r="AW850" s="392"/>
      <c r="AX850" s="399"/>
      <c r="AY850" s="399"/>
      <c r="AZ850" s="399"/>
      <c r="BA850" s="399"/>
      <c r="BB850" s="399"/>
      <c r="BC850" s="399"/>
      <c r="BD850" s="399"/>
      <c r="BE850" s="399"/>
      <c r="BF850" s="399"/>
      <c r="BG850" s="399"/>
      <c r="BH850" s="399"/>
      <c r="BI850" s="399"/>
      <c r="BJ850" s="399"/>
      <c r="BK850" s="399"/>
      <c r="BL850" s="399"/>
      <c r="BM850" s="399"/>
      <c r="BN850" s="399"/>
      <c r="BO850" s="399"/>
      <c r="BP850" s="399"/>
      <c r="BQ850" s="399"/>
      <c r="BR850" s="399"/>
      <c r="BS850" s="399"/>
      <c r="BT850" s="399"/>
      <c r="BU850" s="399"/>
      <c r="BV850" s="399"/>
      <c r="BW850" s="399"/>
      <c r="BX850" s="399"/>
      <c r="BY850" s="399"/>
      <c r="BZ850" s="399"/>
      <c r="CA850" s="399"/>
      <c r="CB850" s="399"/>
      <c r="CC850" s="399"/>
      <c r="CD850" s="399"/>
      <c r="CE850" s="399"/>
      <c r="CF850" s="399"/>
      <c r="CG850" s="399"/>
      <c r="CH850" s="399"/>
      <c r="CI850" s="399"/>
      <c r="CJ850" s="399"/>
      <c r="CK850" s="399"/>
      <c r="CL850" s="399"/>
      <c r="CM850" s="399"/>
      <c r="CN850" s="399"/>
      <c r="CO850" s="399"/>
      <c r="CP850" s="399"/>
      <c r="CQ850" s="399"/>
      <c r="CR850" s="399"/>
      <c r="CS850" s="399"/>
      <c r="CT850" s="399"/>
      <c r="CU850" s="399"/>
      <c r="CV850" s="399"/>
      <c r="CW850" s="399"/>
      <c r="CX850" s="399"/>
      <c r="CY850" s="399"/>
      <c r="CZ850" s="399"/>
      <c r="DA850" s="399"/>
      <c r="DB850" s="399"/>
      <c r="DC850" s="399"/>
      <c r="DD850" s="399"/>
      <c r="DE850" s="399"/>
      <c r="DF850" s="399"/>
      <c r="DG850" s="399"/>
      <c r="DH850" s="399"/>
      <c r="DI850" s="399"/>
      <c r="DJ850" s="399"/>
      <c r="DK850" s="399"/>
      <c r="DL850" s="399"/>
      <c r="DM850" s="399"/>
      <c r="DN850" s="399"/>
      <c r="DO850" s="399"/>
      <c r="DP850" s="399"/>
      <c r="DQ850" s="399"/>
    </row>
    <row r="851" spans="1:121" s="760" customFormat="1" ht="14.45" customHeight="1" x14ac:dyDescent="0.25">
      <c r="A851" s="266">
        <f t="shared" si="13"/>
        <v>51.7</v>
      </c>
      <c r="B851" s="389">
        <v>41305</v>
      </c>
      <c r="C851" s="390" t="s">
        <v>568</v>
      </c>
      <c r="D851" s="391" t="s">
        <v>568</v>
      </c>
      <c r="E851" s="390" t="s">
        <v>380</v>
      </c>
      <c r="F851" s="262" t="s">
        <v>310</v>
      </c>
      <c r="G851" s="262" t="s">
        <v>318</v>
      </c>
      <c r="H851" s="261"/>
      <c r="I851" s="261"/>
      <c r="J851" s="261"/>
      <c r="K851" s="261"/>
      <c r="L851" s="261"/>
      <c r="M851" s="261">
        <v>184</v>
      </c>
      <c r="N851" s="261"/>
      <c r="O851" s="261"/>
      <c r="P851" s="261">
        <v>0</v>
      </c>
      <c r="Q851" s="261">
        <v>0</v>
      </c>
      <c r="R851" s="261"/>
      <c r="S851" s="261"/>
      <c r="T851" s="261"/>
      <c r="U851" s="261"/>
      <c r="V851" s="762"/>
      <c r="W851" s="261"/>
      <c r="X851" s="261"/>
      <c r="Y851" s="264">
        <f>IF(NFI_Expiration=1,IF($A851&lt;VLOOKUP(H$5,NFI,5,0),1,0)*Table_NFI[[#This Row],[Hygiene Kit]],Table_NFI[Hygiene Kit])</f>
        <v>0</v>
      </c>
      <c r="Z851" s="264">
        <f>IF(NFI_Expiration=1,IF($A851&lt;VLOOKUP(I$5,NFI,5,0),1,0)*Table_NFI[[#This Row],[NFI Core Kit]],Table_NFI[NFI Core Kit])</f>
        <v>0</v>
      </c>
      <c r="AA851" s="264">
        <f>IF(NFI_Expiration=1,IF($A851&lt;VLOOKUP(J$5,NFI,5,0),1,0)*Table_NFI[[#This Row],[Sanitary Kit]],Table_NFI[Sanitary Kit])</f>
        <v>0</v>
      </c>
      <c r="AB851" s="264">
        <f>IF(NFI_Expiration=1,IF($A851&lt;VLOOKUP(K$5,NFI,5,0),1,0)*Table_NFI[[#This Row],[Mosquito net]],Table_NFI[Mosquito net])</f>
        <v>0</v>
      </c>
      <c r="AC851" s="264">
        <f>IF(NFI_Expiration=1,IF($A851&lt;VLOOKUP(L$5,NFI,5,0),1,0)*Table_NFI[[#This Row],[Tarpaulin]],Table_NFI[[#This Row],[Tarpaulin]])</f>
        <v>0</v>
      </c>
      <c r="AD851" s="264">
        <f>IF(NFI_Expiration=1,IF($A851&lt;VLOOKUP(M$5,NFI,5,0),1,0)*Table_NFI[[#This Row],[Blanket]],Table_NFI[[#This Row],[Blanket]])</f>
        <v>0</v>
      </c>
      <c r="AE851" s="264">
        <f>IF(NFI_Expiration=1,IF($A851&lt;VLOOKUP(N$5,NFI,5,0),1,0)*Table_NFI[[#This Row],[Kitchen Set]],Table_NFI[Kitchen Set])</f>
        <v>0</v>
      </c>
      <c r="AF851" s="264">
        <f>IF(NFI_Expiration=1,IF($A851&lt;VLOOKUP(O$5,NFI,5,0),1,0)*Table_NFI[[#This Row],[Clothes Kit]],Table_NFI[Clothes Kit])</f>
        <v>0</v>
      </c>
      <c r="AG851" s="264">
        <f>IF(NFI_Expiration=1,IF($A851&lt;VLOOKUP(P$5,NFI,5,0),1,0)*Table_NFI[[#This Row],[Plastic Bucket]],Table_NFI[Plastic Bucket])</f>
        <v>0</v>
      </c>
      <c r="AH851" s="264">
        <f>IF(NFI_Expiration=1,IF($A851&lt;VLOOKUP(Q$5,NFI,5,0),1,0)*Table_NFI[[#This Row],[Plastic Mat]],Table_NFI[Plastic Mat])*IF(Table_NFI[[#This Row],[Distribution Date]]&gt;"2014-04-01",1,2.5)</f>
        <v>0</v>
      </c>
      <c r="AI851" s="264">
        <f>IF(NFI_Expiration=1,IF($A851&lt;VLOOKUP(R$5,NFI,5,0),1,0)*Table_NFI[[#This Row],[Winter Clothes Adult]],Table_NFI[Winter Clothes Adult])</f>
        <v>0</v>
      </c>
      <c r="AJ851" s="264">
        <f>IF(NFI_Expiration=1,IF($A851&lt;VLOOKUP(S$5,NFI,5,0),1,0)*Table_NFI[[#This Row],[Winter Clothes Children]],Table_NFI[Winter Clothes Children])</f>
        <v>0</v>
      </c>
      <c r="AK851" s="264">
        <f>IF(NFI_Expiration=1,IF($A851&lt;VLOOKUP(T$5,NFI,5,0),1,0)*Table_NFI[[#This Row],[Winter Items Other]],Table_NFI[Winter Items Other])</f>
        <v>0</v>
      </c>
      <c r="AL851" s="264">
        <f>IF(NFI_Expiration=1,IF($A851&lt;VLOOKUP(M$5,NFI,5,0),1,0)*Table_NFI[[#This Row],[Winter Blanket]],Table_NFI[[#This Row],[Winter Blanket]])</f>
        <v>0</v>
      </c>
      <c r="AM851" s="264">
        <f>IF(Table_NFI[[#This Row],[Winter Clothes Adult]]+Table_NFI[[#This Row],[Winter Clothes Children]]+Table_NFI[[#This Row],[Winter Items Other]]+Table_NFI[[#This Row],[Winter Blanket]]&gt;0,1,0)</f>
        <v>0</v>
      </c>
      <c r="AN851" s="296">
        <f>IF(NFI_Expiration=1,IF($A851&lt;VLOOKUP(V$5,NFI,5,0),1,0)*Table_NFI[[#This Row],[Jerry Can]],Table_NFI[Jerry Can])</f>
        <v>0</v>
      </c>
      <c r="AO851" s="296">
        <f>IF(NFI_Expiration=1,IF($A851&lt;VLOOKUP(V$5,NFI,5,0),1,0)*Table_NFI[[#This Row],[Shelter Tool kit]],Table_NFI[Shelter Tool kit])</f>
        <v>0</v>
      </c>
      <c r="AP851" s="296">
        <f>IF(NFI_Expiration=1,IF($A851&lt;VLOOKUP(V$5,NFI,5,0),1,0)*Table_NFI[[#This Row],[Tent]],Table_NFI[Tent])</f>
        <v>0</v>
      </c>
      <c r="AQ851" s="396" t="str">
        <f>IFERROR(VLOOKUP(Table_NFI[[#This Row],[Camp Name]],CL,2,0),"")</f>
        <v>MMR001CMP032</v>
      </c>
      <c r="AR851" s="702">
        <f ca="1">IF(Table_NFI[[#This Row],[Pcode]]="","",IF(OFFSET(CampList[Opening Date],MATCH(Table_NFI[[#This Row],[Pcode]],CampList[CP_Pcode],0)-1,0,1,1)&gt;=NFI_Monitor_Date,1,0))</f>
        <v>0</v>
      </c>
      <c r="AS851" s="396" t="str">
        <f>IFERROR(VLOOKUP(Table_NFI[[#This Row],[Camp Name]],CL,3,0),"")</f>
        <v>Open</v>
      </c>
      <c r="AT851" s="264" t="str">
        <f ca="1">IF(Table_NFI[[#This Row],[Pcode]]="","",OFFSET(CampList[Priority],MATCH(Table_NFI[[#This Row],[Pcode]],CampList[CP_Pcode],0)-1,0,1,1))</f>
        <v>P4</v>
      </c>
      <c r="AU851" s="263">
        <f>IFERROR(Table_NFI[[#This Row],[Kitchen Set]]/VLOOKUP(Table_NFI[[#This Row],[Camp Name]],CL,4,0),"")</f>
        <v>0</v>
      </c>
      <c r="AV851" s="390" t="s">
        <v>1087</v>
      </c>
      <c r="AW851" s="392"/>
      <c r="AX851" s="399"/>
      <c r="AY851" s="399"/>
      <c r="AZ851" s="399"/>
      <c r="BA851" s="399"/>
      <c r="BB851" s="399"/>
      <c r="BC851" s="399"/>
      <c r="BD851" s="399"/>
      <c r="BE851" s="399"/>
      <c r="BF851" s="399"/>
      <c r="BG851" s="399"/>
      <c r="BH851" s="399"/>
      <c r="BI851" s="399"/>
      <c r="BJ851" s="399"/>
      <c r="BK851" s="399"/>
      <c r="BL851" s="399"/>
      <c r="BM851" s="399"/>
      <c r="BN851" s="399"/>
      <c r="BO851" s="399"/>
      <c r="BP851" s="399"/>
      <c r="BQ851" s="399"/>
      <c r="BR851" s="399"/>
      <c r="BS851" s="399"/>
      <c r="BT851" s="399"/>
      <c r="BU851" s="399"/>
      <c r="BV851" s="399"/>
      <c r="BW851" s="399"/>
      <c r="BX851" s="399"/>
      <c r="BY851" s="399"/>
      <c r="BZ851" s="399"/>
      <c r="CA851" s="399"/>
      <c r="CB851" s="399"/>
      <c r="CC851" s="399"/>
      <c r="CD851" s="399"/>
      <c r="CE851" s="399"/>
      <c r="CF851" s="399"/>
      <c r="CG851" s="399"/>
      <c r="CH851" s="399"/>
      <c r="CI851" s="399"/>
      <c r="CJ851" s="399"/>
      <c r="CK851" s="399"/>
      <c r="CL851" s="399"/>
      <c r="CM851" s="399"/>
      <c r="CN851" s="399"/>
      <c r="CO851" s="399"/>
      <c r="CP851" s="399"/>
      <c r="CQ851" s="399"/>
      <c r="CR851" s="399"/>
      <c r="CS851" s="399"/>
      <c r="CT851" s="399"/>
      <c r="CU851" s="399"/>
      <c r="CV851" s="399"/>
      <c r="CW851" s="399"/>
      <c r="CX851" s="399"/>
      <c r="CY851" s="399"/>
      <c r="CZ851" s="399"/>
      <c r="DA851" s="399"/>
      <c r="DB851" s="399"/>
      <c r="DC851" s="399"/>
      <c r="DD851" s="399"/>
      <c r="DE851" s="399"/>
      <c r="DF851" s="399"/>
      <c r="DG851" s="399"/>
      <c r="DH851" s="399"/>
      <c r="DI851" s="399"/>
      <c r="DJ851" s="399"/>
      <c r="DK851" s="399"/>
      <c r="DL851" s="399"/>
      <c r="DM851" s="399"/>
      <c r="DN851" s="399"/>
      <c r="DO851" s="399"/>
      <c r="DP851" s="399"/>
      <c r="DQ851" s="399"/>
    </row>
    <row r="852" spans="1:121" s="760" customFormat="1" ht="14.45" customHeight="1" x14ac:dyDescent="0.25">
      <c r="A852" s="266">
        <f t="shared" si="13"/>
        <v>51.7</v>
      </c>
      <c r="B852" s="389">
        <v>41305</v>
      </c>
      <c r="C852" s="390" t="s">
        <v>568</v>
      </c>
      <c r="D852" s="391" t="s">
        <v>568</v>
      </c>
      <c r="E852" s="390" t="s">
        <v>380</v>
      </c>
      <c r="F852" s="262" t="s">
        <v>310</v>
      </c>
      <c r="G852" s="262" t="s">
        <v>342</v>
      </c>
      <c r="H852" s="261"/>
      <c r="I852" s="261"/>
      <c r="J852" s="261"/>
      <c r="K852" s="261"/>
      <c r="L852" s="261"/>
      <c r="M852" s="261">
        <v>242</v>
      </c>
      <c r="N852" s="261"/>
      <c r="O852" s="261"/>
      <c r="P852" s="261">
        <v>0</v>
      </c>
      <c r="Q852" s="261">
        <v>0</v>
      </c>
      <c r="R852" s="261"/>
      <c r="S852" s="261"/>
      <c r="T852" s="261"/>
      <c r="U852" s="261"/>
      <c r="V852" s="762"/>
      <c r="W852" s="261"/>
      <c r="X852" s="261"/>
      <c r="Y852" s="264">
        <f>IF(NFI_Expiration=1,IF($A852&lt;VLOOKUP(H$5,NFI,5,0),1,0)*Table_NFI[[#This Row],[Hygiene Kit]],Table_NFI[Hygiene Kit])</f>
        <v>0</v>
      </c>
      <c r="Z852" s="264">
        <f>IF(NFI_Expiration=1,IF($A852&lt;VLOOKUP(I$5,NFI,5,0),1,0)*Table_NFI[[#This Row],[NFI Core Kit]],Table_NFI[NFI Core Kit])</f>
        <v>0</v>
      </c>
      <c r="AA852" s="264">
        <f>IF(NFI_Expiration=1,IF($A852&lt;VLOOKUP(J$5,NFI,5,0),1,0)*Table_NFI[[#This Row],[Sanitary Kit]],Table_NFI[Sanitary Kit])</f>
        <v>0</v>
      </c>
      <c r="AB852" s="264">
        <f>IF(NFI_Expiration=1,IF($A852&lt;VLOOKUP(K$5,NFI,5,0),1,0)*Table_NFI[[#This Row],[Mosquito net]],Table_NFI[Mosquito net])</f>
        <v>0</v>
      </c>
      <c r="AC852" s="264">
        <f>IF(NFI_Expiration=1,IF($A852&lt;VLOOKUP(L$5,NFI,5,0),1,0)*Table_NFI[[#This Row],[Tarpaulin]],Table_NFI[[#This Row],[Tarpaulin]])</f>
        <v>0</v>
      </c>
      <c r="AD852" s="264">
        <f>IF(NFI_Expiration=1,IF($A852&lt;VLOOKUP(M$5,NFI,5,0),1,0)*Table_NFI[[#This Row],[Blanket]],Table_NFI[[#This Row],[Blanket]])</f>
        <v>0</v>
      </c>
      <c r="AE852" s="264">
        <f>IF(NFI_Expiration=1,IF($A852&lt;VLOOKUP(N$5,NFI,5,0),1,0)*Table_NFI[[#This Row],[Kitchen Set]],Table_NFI[Kitchen Set])</f>
        <v>0</v>
      </c>
      <c r="AF852" s="264">
        <f>IF(NFI_Expiration=1,IF($A852&lt;VLOOKUP(O$5,NFI,5,0),1,0)*Table_NFI[[#This Row],[Clothes Kit]],Table_NFI[Clothes Kit])</f>
        <v>0</v>
      </c>
      <c r="AG852" s="264">
        <f>IF(NFI_Expiration=1,IF($A852&lt;VLOOKUP(P$5,NFI,5,0),1,0)*Table_NFI[[#This Row],[Plastic Bucket]],Table_NFI[Plastic Bucket])</f>
        <v>0</v>
      </c>
      <c r="AH852" s="264">
        <f>IF(NFI_Expiration=1,IF($A852&lt;VLOOKUP(Q$5,NFI,5,0),1,0)*Table_NFI[[#This Row],[Plastic Mat]],Table_NFI[Plastic Mat])*IF(Table_NFI[[#This Row],[Distribution Date]]&gt;"2014-04-01",1,2.5)</f>
        <v>0</v>
      </c>
      <c r="AI852" s="264">
        <f>IF(NFI_Expiration=1,IF($A852&lt;VLOOKUP(R$5,NFI,5,0),1,0)*Table_NFI[[#This Row],[Winter Clothes Adult]],Table_NFI[Winter Clothes Adult])</f>
        <v>0</v>
      </c>
      <c r="AJ852" s="264">
        <f>IF(NFI_Expiration=1,IF($A852&lt;VLOOKUP(S$5,NFI,5,0),1,0)*Table_NFI[[#This Row],[Winter Clothes Children]],Table_NFI[Winter Clothes Children])</f>
        <v>0</v>
      </c>
      <c r="AK852" s="264">
        <f>IF(NFI_Expiration=1,IF($A852&lt;VLOOKUP(T$5,NFI,5,0),1,0)*Table_NFI[[#This Row],[Winter Items Other]],Table_NFI[Winter Items Other])</f>
        <v>0</v>
      </c>
      <c r="AL852" s="264">
        <f>IF(NFI_Expiration=1,IF($A852&lt;VLOOKUP(M$5,NFI,5,0),1,0)*Table_NFI[[#This Row],[Winter Blanket]],Table_NFI[[#This Row],[Winter Blanket]])</f>
        <v>0</v>
      </c>
      <c r="AM852" s="264">
        <f>IF(Table_NFI[[#This Row],[Winter Clothes Adult]]+Table_NFI[[#This Row],[Winter Clothes Children]]+Table_NFI[[#This Row],[Winter Items Other]]+Table_NFI[[#This Row],[Winter Blanket]]&gt;0,1,0)</f>
        <v>0</v>
      </c>
      <c r="AN852" s="296">
        <f>IF(NFI_Expiration=1,IF($A852&lt;VLOOKUP(V$5,NFI,5,0),1,0)*Table_NFI[[#This Row],[Jerry Can]],Table_NFI[Jerry Can])</f>
        <v>0</v>
      </c>
      <c r="AO852" s="296">
        <f>IF(NFI_Expiration=1,IF($A852&lt;VLOOKUP(V$5,NFI,5,0),1,0)*Table_NFI[[#This Row],[Shelter Tool kit]],Table_NFI[Shelter Tool kit])</f>
        <v>0</v>
      </c>
      <c r="AP852" s="296">
        <f>IF(NFI_Expiration=1,IF($A852&lt;VLOOKUP(V$5,NFI,5,0),1,0)*Table_NFI[[#This Row],[Tent]],Table_NFI[Tent])</f>
        <v>0</v>
      </c>
      <c r="AQ852" s="396" t="str">
        <f>IFERROR(VLOOKUP(Table_NFI[[#This Row],[Camp Name]],CL,2,0),"")</f>
        <v>MMR001CMP025</v>
      </c>
      <c r="AR852" s="702">
        <f ca="1">IF(Table_NFI[[#This Row],[Pcode]]="","",IF(OFFSET(CampList[Opening Date],MATCH(Table_NFI[[#This Row],[Pcode]],CampList[CP_Pcode],0)-1,0,1,1)&gt;=NFI_Monitor_Date,1,0))</f>
        <v>0</v>
      </c>
      <c r="AS852" s="396" t="str">
        <f>IFERROR(VLOOKUP(Table_NFI[[#This Row],[Camp Name]],CL,3,0),"")</f>
        <v>Open</v>
      </c>
      <c r="AT852" s="264" t="str">
        <f ca="1">IF(Table_NFI[[#This Row],[Pcode]]="","",OFFSET(CampList[Priority],MATCH(Table_NFI[[#This Row],[Pcode]],CampList[CP_Pcode],0)-1,0,1,1))</f>
        <v>P4</v>
      </c>
      <c r="AU852" s="263">
        <f>IFERROR(Table_NFI[[#This Row],[Kitchen Set]]/VLOOKUP(Table_NFI[[#This Row],[Camp Name]],CL,4,0),"")</f>
        <v>0</v>
      </c>
      <c r="AV852" s="390" t="s">
        <v>1087</v>
      </c>
      <c r="AW852" s="392"/>
      <c r="AX852" s="399"/>
      <c r="AY852" s="399"/>
      <c r="AZ852" s="399"/>
      <c r="BA852" s="399"/>
      <c r="BB852" s="399"/>
      <c r="BC852" s="399"/>
      <c r="BD852" s="399"/>
      <c r="BE852" s="399"/>
      <c r="BF852" s="399"/>
      <c r="BG852" s="399"/>
      <c r="BH852" s="399"/>
      <c r="BI852" s="399"/>
      <c r="BJ852" s="399"/>
      <c r="BK852" s="399"/>
      <c r="BL852" s="399"/>
      <c r="BM852" s="399"/>
      <c r="BN852" s="399"/>
      <c r="BO852" s="399"/>
      <c r="BP852" s="399"/>
      <c r="BQ852" s="399"/>
      <c r="BR852" s="399"/>
      <c r="BS852" s="399"/>
      <c r="BT852" s="399"/>
      <c r="BU852" s="399"/>
      <c r="BV852" s="399"/>
      <c r="BW852" s="399"/>
      <c r="BX852" s="399"/>
      <c r="BY852" s="399"/>
      <c r="BZ852" s="399"/>
      <c r="CA852" s="399"/>
      <c r="CB852" s="399"/>
      <c r="CC852" s="399"/>
      <c r="CD852" s="399"/>
      <c r="CE852" s="399"/>
      <c r="CF852" s="399"/>
      <c r="CG852" s="399"/>
      <c r="CH852" s="399"/>
      <c r="CI852" s="399"/>
      <c r="CJ852" s="399"/>
      <c r="CK852" s="399"/>
      <c r="CL852" s="399"/>
      <c r="CM852" s="399"/>
      <c r="CN852" s="399"/>
      <c r="CO852" s="399"/>
      <c r="CP852" s="399"/>
      <c r="CQ852" s="399"/>
      <c r="CR852" s="399"/>
      <c r="CS852" s="399"/>
      <c r="CT852" s="399"/>
      <c r="CU852" s="399"/>
      <c r="CV852" s="399"/>
      <c r="CW852" s="399"/>
      <c r="CX852" s="399"/>
      <c r="CY852" s="399"/>
      <c r="CZ852" s="399"/>
      <c r="DA852" s="399"/>
      <c r="DB852" s="399"/>
      <c r="DC852" s="399"/>
      <c r="DD852" s="399"/>
      <c r="DE852" s="399"/>
      <c r="DF852" s="399"/>
      <c r="DG852" s="399"/>
      <c r="DH852" s="399"/>
      <c r="DI852" s="399"/>
      <c r="DJ852" s="399"/>
      <c r="DK852" s="399"/>
      <c r="DL852" s="399"/>
      <c r="DM852" s="399"/>
      <c r="DN852" s="399"/>
      <c r="DO852" s="399"/>
      <c r="DP852" s="399"/>
      <c r="DQ852" s="399"/>
    </row>
    <row r="853" spans="1:121" s="760" customFormat="1" ht="15" customHeight="1" x14ac:dyDescent="0.25">
      <c r="A853" s="266">
        <f t="shared" si="13"/>
        <v>51.7</v>
      </c>
      <c r="B853" s="389">
        <v>41305</v>
      </c>
      <c r="C853" s="390" t="s">
        <v>568</v>
      </c>
      <c r="D853" s="391" t="s">
        <v>568</v>
      </c>
      <c r="E853" s="390" t="s">
        <v>380</v>
      </c>
      <c r="F853" s="262" t="s">
        <v>310</v>
      </c>
      <c r="G853" s="262" t="s">
        <v>338</v>
      </c>
      <c r="H853" s="261"/>
      <c r="I853" s="261"/>
      <c r="J853" s="261"/>
      <c r="K853" s="261"/>
      <c r="L853" s="261"/>
      <c r="M853" s="261">
        <v>54</v>
      </c>
      <c r="N853" s="261"/>
      <c r="O853" s="261"/>
      <c r="P853" s="261">
        <v>0</v>
      </c>
      <c r="Q853" s="261">
        <v>0</v>
      </c>
      <c r="R853" s="261"/>
      <c r="S853" s="261"/>
      <c r="T853" s="261"/>
      <c r="U853" s="261"/>
      <c r="V853" s="765"/>
      <c r="W853" s="261"/>
      <c r="X853" s="261"/>
      <c r="Y853" s="264">
        <f>IF(NFI_Expiration=1,IF($A853&lt;VLOOKUP(H$5,NFI,5,0),1,0)*Table_NFI[[#This Row],[Hygiene Kit]],Table_NFI[Hygiene Kit])</f>
        <v>0</v>
      </c>
      <c r="Z853" s="264">
        <f>IF(NFI_Expiration=1,IF($A853&lt;VLOOKUP(I$5,NFI,5,0),1,0)*Table_NFI[[#This Row],[NFI Core Kit]],Table_NFI[NFI Core Kit])</f>
        <v>0</v>
      </c>
      <c r="AA853" s="264">
        <f>IF(NFI_Expiration=1,IF($A853&lt;VLOOKUP(J$5,NFI,5,0),1,0)*Table_NFI[[#This Row],[Sanitary Kit]],Table_NFI[Sanitary Kit])</f>
        <v>0</v>
      </c>
      <c r="AB853" s="264">
        <f>IF(NFI_Expiration=1,IF($A853&lt;VLOOKUP(K$5,NFI,5,0),1,0)*Table_NFI[[#This Row],[Mosquito net]],Table_NFI[Mosquito net])</f>
        <v>0</v>
      </c>
      <c r="AC853" s="264">
        <f>IF(NFI_Expiration=1,IF($A853&lt;VLOOKUP(L$5,NFI,5,0),1,0)*Table_NFI[[#This Row],[Tarpaulin]],Table_NFI[[#This Row],[Tarpaulin]])</f>
        <v>0</v>
      </c>
      <c r="AD853" s="264">
        <f>IF(NFI_Expiration=1,IF($A853&lt;VLOOKUP(M$5,NFI,5,0),1,0)*Table_NFI[[#This Row],[Blanket]],Table_NFI[[#This Row],[Blanket]])</f>
        <v>0</v>
      </c>
      <c r="AE853" s="264">
        <f>IF(NFI_Expiration=1,IF($A853&lt;VLOOKUP(N$5,NFI,5,0),1,0)*Table_NFI[[#This Row],[Kitchen Set]],Table_NFI[Kitchen Set])</f>
        <v>0</v>
      </c>
      <c r="AF853" s="264">
        <f>IF(NFI_Expiration=1,IF($A853&lt;VLOOKUP(O$5,NFI,5,0),1,0)*Table_NFI[[#This Row],[Clothes Kit]],Table_NFI[Clothes Kit])</f>
        <v>0</v>
      </c>
      <c r="AG853" s="264">
        <f>IF(NFI_Expiration=1,IF($A853&lt;VLOOKUP(P$5,NFI,5,0),1,0)*Table_NFI[[#This Row],[Plastic Bucket]],Table_NFI[Plastic Bucket])</f>
        <v>0</v>
      </c>
      <c r="AH853" s="264">
        <f>IF(NFI_Expiration=1,IF($A853&lt;VLOOKUP(Q$5,NFI,5,0),1,0)*Table_NFI[[#This Row],[Plastic Mat]],Table_NFI[Plastic Mat])*IF(Table_NFI[[#This Row],[Distribution Date]]&gt;"2014-04-01",1,2.5)</f>
        <v>0</v>
      </c>
      <c r="AI853" s="264">
        <f>IF(NFI_Expiration=1,IF($A853&lt;VLOOKUP(R$5,NFI,5,0),1,0)*Table_NFI[[#This Row],[Winter Clothes Adult]],Table_NFI[Winter Clothes Adult])</f>
        <v>0</v>
      </c>
      <c r="AJ853" s="264">
        <f>IF(NFI_Expiration=1,IF($A853&lt;VLOOKUP(S$5,NFI,5,0),1,0)*Table_NFI[[#This Row],[Winter Clothes Children]],Table_NFI[Winter Clothes Children])</f>
        <v>0</v>
      </c>
      <c r="AK853" s="264">
        <f>IF(NFI_Expiration=1,IF($A853&lt;VLOOKUP(T$5,NFI,5,0),1,0)*Table_NFI[[#This Row],[Winter Items Other]],Table_NFI[Winter Items Other])</f>
        <v>0</v>
      </c>
      <c r="AL853" s="264">
        <f>IF(NFI_Expiration=1,IF($A853&lt;VLOOKUP(M$5,NFI,5,0),1,0)*Table_NFI[[#This Row],[Winter Blanket]],Table_NFI[[#This Row],[Winter Blanket]])</f>
        <v>0</v>
      </c>
      <c r="AM853" s="264">
        <f>IF(Table_NFI[[#This Row],[Winter Clothes Adult]]+Table_NFI[[#This Row],[Winter Clothes Children]]+Table_NFI[[#This Row],[Winter Items Other]]+Table_NFI[[#This Row],[Winter Blanket]]&gt;0,1,0)</f>
        <v>0</v>
      </c>
      <c r="AN853" s="296">
        <f>IF(NFI_Expiration=1,IF($A853&lt;VLOOKUP(V$5,NFI,5,0),1,0)*Table_NFI[[#This Row],[Jerry Can]],Table_NFI[Jerry Can])</f>
        <v>0</v>
      </c>
      <c r="AO853" s="296">
        <f>IF(NFI_Expiration=1,IF($A853&lt;VLOOKUP(V$5,NFI,5,0),1,0)*Table_NFI[[#This Row],[Shelter Tool kit]],Table_NFI[Shelter Tool kit])</f>
        <v>0</v>
      </c>
      <c r="AP853" s="296">
        <f>IF(NFI_Expiration=1,IF($A853&lt;VLOOKUP(V$5,NFI,5,0),1,0)*Table_NFI[[#This Row],[Tent]],Table_NFI[Tent])</f>
        <v>0</v>
      </c>
      <c r="AQ853" s="396" t="str">
        <f>IFERROR(VLOOKUP(Table_NFI[[#This Row],[Camp Name]],CL,2,0),"")</f>
        <v>MMR001CMP030</v>
      </c>
      <c r="AR853" s="702">
        <f ca="1">IF(Table_NFI[[#This Row],[Pcode]]="","",IF(OFFSET(CampList[Opening Date],MATCH(Table_NFI[[#This Row],[Pcode]],CampList[CP_Pcode],0)-1,0,1,1)&gt;=NFI_Monitor_Date,1,0))</f>
        <v>0</v>
      </c>
      <c r="AS853" s="396" t="str">
        <f>IFERROR(VLOOKUP(Table_NFI[[#This Row],[Camp Name]],CL,3,0),"")</f>
        <v>Open</v>
      </c>
      <c r="AT853" s="264" t="str">
        <f ca="1">IF(Table_NFI[[#This Row],[Pcode]]="","",OFFSET(CampList[Priority],MATCH(Table_NFI[[#This Row],[Pcode]],CampList[CP_Pcode],0)-1,0,1,1))</f>
        <v>P4</v>
      </c>
      <c r="AU853" s="263">
        <f>IFERROR(Table_NFI[[#This Row],[Kitchen Set]]/VLOOKUP(Table_NFI[[#This Row],[Camp Name]],CL,4,0),"")</f>
        <v>0</v>
      </c>
      <c r="AV853" s="390" t="s">
        <v>1087</v>
      </c>
      <c r="AW853" s="392"/>
      <c r="AX853" s="399"/>
      <c r="AY853" s="399"/>
      <c r="AZ853" s="399"/>
      <c r="BA853" s="399"/>
      <c r="BB853" s="399"/>
      <c r="BC853" s="399"/>
      <c r="BD853" s="399"/>
      <c r="BE853" s="399"/>
      <c r="BF853" s="399"/>
      <c r="BG853" s="399"/>
      <c r="BH853" s="399"/>
      <c r="BI853" s="399"/>
      <c r="BJ853" s="399"/>
      <c r="BK853" s="399"/>
      <c r="BL853" s="399"/>
      <c r="BM853" s="399"/>
      <c r="BN853" s="399"/>
      <c r="BO853" s="399"/>
      <c r="BP853" s="399"/>
      <c r="BQ853" s="399"/>
      <c r="BR853" s="399"/>
      <c r="BS853" s="399"/>
      <c r="BT853" s="399"/>
      <c r="BU853" s="399"/>
      <c r="BV853" s="399"/>
      <c r="BW853" s="399"/>
      <c r="BX853" s="399"/>
      <c r="BY853" s="399"/>
      <c r="BZ853" s="399"/>
      <c r="CA853" s="399"/>
      <c r="CB853" s="399"/>
      <c r="CC853" s="399"/>
      <c r="CD853" s="399"/>
      <c r="CE853" s="399"/>
      <c r="CF853" s="399"/>
      <c r="CG853" s="399"/>
      <c r="CH853" s="399"/>
      <c r="CI853" s="399"/>
      <c r="CJ853" s="399"/>
      <c r="CK853" s="399"/>
      <c r="CL853" s="399"/>
      <c r="CM853" s="399"/>
      <c r="CN853" s="399"/>
      <c r="CO853" s="399"/>
      <c r="CP853" s="399"/>
      <c r="CQ853" s="399"/>
      <c r="CR853" s="399"/>
      <c r="CS853" s="399"/>
      <c r="CT853" s="399"/>
      <c r="CU853" s="399"/>
      <c r="CV853" s="399"/>
      <c r="CW853" s="399"/>
      <c r="CX853" s="399"/>
      <c r="CY853" s="399"/>
      <c r="CZ853" s="399"/>
      <c r="DA853" s="399"/>
      <c r="DB853" s="399"/>
      <c r="DC853" s="399"/>
      <c r="DD853" s="399"/>
      <c r="DE853" s="399"/>
      <c r="DF853" s="399"/>
      <c r="DG853" s="399"/>
      <c r="DH853" s="399"/>
      <c r="DI853" s="399"/>
      <c r="DJ853" s="399"/>
      <c r="DK853" s="399"/>
      <c r="DL853" s="399"/>
      <c r="DM853" s="399"/>
      <c r="DN853" s="399"/>
      <c r="DO853" s="399"/>
      <c r="DP853" s="399"/>
      <c r="DQ853" s="399"/>
    </row>
    <row r="854" spans="1:121" s="760" customFormat="1" ht="15" customHeight="1" x14ac:dyDescent="0.25">
      <c r="A854" s="266">
        <f t="shared" si="13"/>
        <v>51.7</v>
      </c>
      <c r="B854" s="389">
        <v>41305</v>
      </c>
      <c r="C854" s="390" t="s">
        <v>568</v>
      </c>
      <c r="D854" s="391" t="s">
        <v>568</v>
      </c>
      <c r="E854" s="390" t="s">
        <v>380</v>
      </c>
      <c r="F854" s="262" t="s">
        <v>310</v>
      </c>
      <c r="G854" s="262" t="s">
        <v>351</v>
      </c>
      <c r="H854" s="261"/>
      <c r="I854" s="261"/>
      <c r="J854" s="261"/>
      <c r="K854" s="261"/>
      <c r="L854" s="261"/>
      <c r="M854" s="261">
        <v>188</v>
      </c>
      <c r="N854" s="261"/>
      <c r="O854" s="261"/>
      <c r="P854" s="261">
        <v>0</v>
      </c>
      <c r="Q854" s="261">
        <v>0</v>
      </c>
      <c r="R854" s="261"/>
      <c r="S854" s="261"/>
      <c r="T854" s="261"/>
      <c r="U854" s="261"/>
      <c r="V854" s="762"/>
      <c r="W854" s="261"/>
      <c r="X854" s="261"/>
      <c r="Y854" s="264">
        <f>IF(NFI_Expiration=1,IF($A854&lt;VLOOKUP(H$5,NFI,5,0),1,0)*Table_NFI[[#This Row],[Hygiene Kit]],Table_NFI[Hygiene Kit])</f>
        <v>0</v>
      </c>
      <c r="Z854" s="264">
        <f>IF(NFI_Expiration=1,IF($A854&lt;VLOOKUP(I$5,NFI,5,0),1,0)*Table_NFI[[#This Row],[NFI Core Kit]],Table_NFI[NFI Core Kit])</f>
        <v>0</v>
      </c>
      <c r="AA854" s="264">
        <f>IF(NFI_Expiration=1,IF($A854&lt;VLOOKUP(J$5,NFI,5,0),1,0)*Table_NFI[[#This Row],[Sanitary Kit]],Table_NFI[Sanitary Kit])</f>
        <v>0</v>
      </c>
      <c r="AB854" s="264">
        <f>IF(NFI_Expiration=1,IF($A854&lt;VLOOKUP(K$5,NFI,5,0),1,0)*Table_NFI[[#This Row],[Mosquito net]],Table_NFI[Mosquito net])</f>
        <v>0</v>
      </c>
      <c r="AC854" s="264">
        <f>IF(NFI_Expiration=1,IF($A854&lt;VLOOKUP(L$5,NFI,5,0),1,0)*Table_NFI[[#This Row],[Tarpaulin]],Table_NFI[[#This Row],[Tarpaulin]])</f>
        <v>0</v>
      </c>
      <c r="AD854" s="264">
        <f>IF(NFI_Expiration=1,IF($A854&lt;VLOOKUP(M$5,NFI,5,0),1,0)*Table_NFI[[#This Row],[Blanket]],Table_NFI[[#This Row],[Blanket]])</f>
        <v>0</v>
      </c>
      <c r="AE854" s="264">
        <f>IF(NFI_Expiration=1,IF($A854&lt;VLOOKUP(N$5,NFI,5,0),1,0)*Table_NFI[[#This Row],[Kitchen Set]],Table_NFI[Kitchen Set])</f>
        <v>0</v>
      </c>
      <c r="AF854" s="264">
        <f>IF(NFI_Expiration=1,IF($A854&lt;VLOOKUP(O$5,NFI,5,0),1,0)*Table_NFI[[#This Row],[Clothes Kit]],Table_NFI[Clothes Kit])</f>
        <v>0</v>
      </c>
      <c r="AG854" s="264">
        <f>IF(NFI_Expiration=1,IF($A854&lt;VLOOKUP(P$5,NFI,5,0),1,0)*Table_NFI[[#This Row],[Plastic Bucket]],Table_NFI[Plastic Bucket])</f>
        <v>0</v>
      </c>
      <c r="AH854" s="264">
        <f>IF(NFI_Expiration=1,IF($A854&lt;VLOOKUP(Q$5,NFI,5,0),1,0)*Table_NFI[[#This Row],[Plastic Mat]],Table_NFI[Plastic Mat])*IF(Table_NFI[[#This Row],[Distribution Date]]&gt;"2014-04-01",1,2.5)</f>
        <v>0</v>
      </c>
      <c r="AI854" s="264">
        <f>IF(NFI_Expiration=1,IF($A854&lt;VLOOKUP(R$5,NFI,5,0),1,0)*Table_NFI[[#This Row],[Winter Clothes Adult]],Table_NFI[Winter Clothes Adult])</f>
        <v>0</v>
      </c>
      <c r="AJ854" s="264">
        <f>IF(NFI_Expiration=1,IF($A854&lt;VLOOKUP(S$5,NFI,5,0),1,0)*Table_NFI[[#This Row],[Winter Clothes Children]],Table_NFI[Winter Clothes Children])</f>
        <v>0</v>
      </c>
      <c r="AK854" s="264">
        <f>IF(NFI_Expiration=1,IF($A854&lt;VLOOKUP(T$5,NFI,5,0),1,0)*Table_NFI[[#This Row],[Winter Items Other]],Table_NFI[Winter Items Other])</f>
        <v>0</v>
      </c>
      <c r="AL854" s="264">
        <f>IF(NFI_Expiration=1,IF($A854&lt;VLOOKUP(M$5,NFI,5,0),1,0)*Table_NFI[[#This Row],[Winter Blanket]],Table_NFI[[#This Row],[Winter Blanket]])</f>
        <v>0</v>
      </c>
      <c r="AM854" s="264">
        <f>IF(Table_NFI[[#This Row],[Winter Clothes Adult]]+Table_NFI[[#This Row],[Winter Clothes Children]]+Table_NFI[[#This Row],[Winter Items Other]]+Table_NFI[[#This Row],[Winter Blanket]]&gt;0,1,0)</f>
        <v>0</v>
      </c>
      <c r="AN854" s="296">
        <f>IF(NFI_Expiration=1,IF($A854&lt;VLOOKUP(V$5,NFI,5,0),1,0)*Table_NFI[[#This Row],[Jerry Can]],Table_NFI[Jerry Can])</f>
        <v>0</v>
      </c>
      <c r="AO854" s="296">
        <f>IF(NFI_Expiration=1,IF($A854&lt;VLOOKUP(V$5,NFI,5,0),1,0)*Table_NFI[[#This Row],[Shelter Tool kit]],Table_NFI[Shelter Tool kit])</f>
        <v>0</v>
      </c>
      <c r="AP854" s="296">
        <f>IF(NFI_Expiration=1,IF($A854&lt;VLOOKUP(V$5,NFI,5,0),1,0)*Table_NFI[[#This Row],[Tent]],Table_NFI[Tent])</f>
        <v>0</v>
      </c>
      <c r="AQ854" s="396" t="str">
        <f>IFERROR(VLOOKUP(Table_NFI[[#This Row],[Camp Name]],CL,2,0),"")</f>
        <v>MMR001CMP026</v>
      </c>
      <c r="AR854" s="702">
        <f ca="1">IF(Table_NFI[[#This Row],[Pcode]]="","",IF(OFFSET(CampList[Opening Date],MATCH(Table_NFI[[#This Row],[Pcode]],CampList[CP_Pcode],0)-1,0,1,1)&gt;=NFI_Monitor_Date,1,0))</f>
        <v>0</v>
      </c>
      <c r="AS854" s="396" t="str">
        <f>IFERROR(VLOOKUP(Table_NFI[[#This Row],[Camp Name]],CL,3,0),"")</f>
        <v>Open</v>
      </c>
      <c r="AT854" s="264" t="str">
        <f ca="1">IF(Table_NFI[[#This Row],[Pcode]]="","",OFFSET(CampList[Priority],MATCH(Table_NFI[[#This Row],[Pcode]],CampList[CP_Pcode],0)-1,0,1,1))</f>
        <v>P4</v>
      </c>
      <c r="AU854" s="263">
        <f>IFERROR(Table_NFI[[#This Row],[Kitchen Set]]/VLOOKUP(Table_NFI[[#This Row],[Camp Name]],CL,4,0),"")</f>
        <v>0</v>
      </c>
      <c r="AV854" s="390" t="s">
        <v>1087</v>
      </c>
      <c r="AW854" s="392"/>
      <c r="AX854" s="399"/>
      <c r="AY854" s="399"/>
      <c r="AZ854" s="399"/>
      <c r="BA854" s="399"/>
      <c r="BB854" s="399"/>
      <c r="BC854" s="399"/>
      <c r="BD854" s="399"/>
      <c r="BE854" s="399"/>
      <c r="BF854" s="399"/>
      <c r="BG854" s="399"/>
      <c r="BH854" s="399"/>
      <c r="BI854" s="399"/>
      <c r="BJ854" s="399"/>
      <c r="BK854" s="399"/>
      <c r="BL854" s="399"/>
      <c r="BM854" s="399"/>
      <c r="BN854" s="399"/>
      <c r="BO854" s="399"/>
      <c r="BP854" s="399"/>
      <c r="BQ854" s="399"/>
      <c r="BR854" s="399"/>
      <c r="BS854" s="399"/>
      <c r="BT854" s="399"/>
      <c r="BU854" s="399"/>
      <c r="BV854" s="399"/>
      <c r="BW854" s="399"/>
      <c r="BX854" s="399"/>
      <c r="BY854" s="399"/>
      <c r="BZ854" s="399"/>
      <c r="CA854" s="399"/>
      <c r="CB854" s="399"/>
      <c r="CC854" s="399"/>
      <c r="CD854" s="399"/>
      <c r="CE854" s="399"/>
      <c r="CF854" s="399"/>
      <c r="CG854" s="399"/>
      <c r="CH854" s="399"/>
      <c r="CI854" s="399"/>
      <c r="CJ854" s="399"/>
      <c r="CK854" s="399"/>
      <c r="CL854" s="399"/>
      <c r="CM854" s="399"/>
      <c r="CN854" s="399"/>
      <c r="CO854" s="399"/>
      <c r="CP854" s="399"/>
      <c r="CQ854" s="399"/>
      <c r="CR854" s="399"/>
      <c r="CS854" s="399"/>
      <c r="CT854" s="399"/>
      <c r="CU854" s="399"/>
      <c r="CV854" s="399"/>
      <c r="CW854" s="399"/>
      <c r="CX854" s="399"/>
      <c r="CY854" s="399"/>
      <c r="CZ854" s="399"/>
      <c r="DA854" s="399"/>
      <c r="DB854" s="399"/>
      <c r="DC854" s="399"/>
      <c r="DD854" s="399"/>
      <c r="DE854" s="399"/>
      <c r="DF854" s="399"/>
      <c r="DG854" s="399"/>
      <c r="DH854" s="399"/>
      <c r="DI854" s="399"/>
      <c r="DJ854" s="399"/>
      <c r="DK854" s="399"/>
      <c r="DL854" s="399"/>
      <c r="DM854" s="399"/>
      <c r="DN854" s="399"/>
      <c r="DO854" s="399"/>
      <c r="DP854" s="399"/>
      <c r="DQ854" s="399"/>
    </row>
    <row r="855" spans="1:121" s="760" customFormat="1" ht="15" customHeight="1" x14ac:dyDescent="0.25">
      <c r="A855" s="266">
        <f t="shared" si="13"/>
        <v>51.7</v>
      </c>
      <c r="B855" s="389">
        <v>41305</v>
      </c>
      <c r="C855" s="390" t="s">
        <v>568</v>
      </c>
      <c r="D855" s="391" t="s">
        <v>568</v>
      </c>
      <c r="E855" s="390" t="s">
        <v>380</v>
      </c>
      <c r="F855" s="262" t="s">
        <v>310</v>
      </c>
      <c r="G855" s="262" t="s">
        <v>347</v>
      </c>
      <c r="H855" s="261"/>
      <c r="I855" s="261"/>
      <c r="J855" s="261"/>
      <c r="K855" s="261"/>
      <c r="L855" s="261"/>
      <c r="M855" s="261">
        <v>358</v>
      </c>
      <c r="N855" s="261"/>
      <c r="O855" s="261"/>
      <c r="P855" s="261">
        <v>0</v>
      </c>
      <c r="Q855" s="261">
        <v>0</v>
      </c>
      <c r="R855" s="261"/>
      <c r="S855" s="261"/>
      <c r="T855" s="261"/>
      <c r="U855" s="261"/>
      <c r="V855" s="762"/>
      <c r="W855" s="261"/>
      <c r="X855" s="261"/>
      <c r="Y855" s="264">
        <f>IF(NFI_Expiration=1,IF($A855&lt;VLOOKUP(H$5,NFI,5,0),1,0)*Table_NFI[[#This Row],[Hygiene Kit]],Table_NFI[Hygiene Kit])</f>
        <v>0</v>
      </c>
      <c r="Z855" s="264">
        <f>IF(NFI_Expiration=1,IF($A855&lt;VLOOKUP(I$5,NFI,5,0),1,0)*Table_NFI[[#This Row],[NFI Core Kit]],Table_NFI[NFI Core Kit])</f>
        <v>0</v>
      </c>
      <c r="AA855" s="264">
        <f>IF(NFI_Expiration=1,IF($A855&lt;VLOOKUP(J$5,NFI,5,0),1,0)*Table_NFI[[#This Row],[Sanitary Kit]],Table_NFI[Sanitary Kit])</f>
        <v>0</v>
      </c>
      <c r="AB855" s="264">
        <f>IF(NFI_Expiration=1,IF($A855&lt;VLOOKUP(K$5,NFI,5,0),1,0)*Table_NFI[[#This Row],[Mosquito net]],Table_NFI[Mosquito net])</f>
        <v>0</v>
      </c>
      <c r="AC855" s="264">
        <f>IF(NFI_Expiration=1,IF($A855&lt;VLOOKUP(L$5,NFI,5,0),1,0)*Table_NFI[[#This Row],[Tarpaulin]],Table_NFI[[#This Row],[Tarpaulin]])</f>
        <v>0</v>
      </c>
      <c r="AD855" s="264">
        <f>IF(NFI_Expiration=1,IF($A855&lt;VLOOKUP(M$5,NFI,5,0),1,0)*Table_NFI[[#This Row],[Blanket]],Table_NFI[[#This Row],[Blanket]])</f>
        <v>0</v>
      </c>
      <c r="AE855" s="264">
        <f>IF(NFI_Expiration=1,IF($A855&lt;VLOOKUP(N$5,NFI,5,0),1,0)*Table_NFI[[#This Row],[Kitchen Set]],Table_NFI[Kitchen Set])</f>
        <v>0</v>
      </c>
      <c r="AF855" s="264">
        <f>IF(NFI_Expiration=1,IF($A855&lt;VLOOKUP(O$5,NFI,5,0),1,0)*Table_NFI[[#This Row],[Clothes Kit]],Table_NFI[Clothes Kit])</f>
        <v>0</v>
      </c>
      <c r="AG855" s="264">
        <f>IF(NFI_Expiration=1,IF($A855&lt;VLOOKUP(P$5,NFI,5,0),1,0)*Table_NFI[[#This Row],[Plastic Bucket]],Table_NFI[Plastic Bucket])</f>
        <v>0</v>
      </c>
      <c r="AH855" s="264">
        <f>IF(NFI_Expiration=1,IF($A855&lt;VLOOKUP(Q$5,NFI,5,0),1,0)*Table_NFI[[#This Row],[Plastic Mat]],Table_NFI[Plastic Mat])*IF(Table_NFI[[#This Row],[Distribution Date]]&gt;"2014-04-01",1,2.5)</f>
        <v>0</v>
      </c>
      <c r="AI855" s="264">
        <f>IF(NFI_Expiration=1,IF($A855&lt;VLOOKUP(R$5,NFI,5,0),1,0)*Table_NFI[[#This Row],[Winter Clothes Adult]],Table_NFI[Winter Clothes Adult])</f>
        <v>0</v>
      </c>
      <c r="AJ855" s="264">
        <f>IF(NFI_Expiration=1,IF($A855&lt;VLOOKUP(S$5,NFI,5,0),1,0)*Table_NFI[[#This Row],[Winter Clothes Children]],Table_NFI[Winter Clothes Children])</f>
        <v>0</v>
      </c>
      <c r="AK855" s="264">
        <f>IF(NFI_Expiration=1,IF($A855&lt;VLOOKUP(T$5,NFI,5,0),1,0)*Table_NFI[[#This Row],[Winter Items Other]],Table_NFI[Winter Items Other])</f>
        <v>0</v>
      </c>
      <c r="AL855" s="264">
        <f>IF(NFI_Expiration=1,IF($A855&lt;VLOOKUP(M$5,NFI,5,0),1,0)*Table_NFI[[#This Row],[Winter Blanket]],Table_NFI[[#This Row],[Winter Blanket]])</f>
        <v>0</v>
      </c>
      <c r="AM855" s="264">
        <f>IF(Table_NFI[[#This Row],[Winter Clothes Adult]]+Table_NFI[[#This Row],[Winter Clothes Children]]+Table_NFI[[#This Row],[Winter Items Other]]+Table_NFI[[#This Row],[Winter Blanket]]&gt;0,1,0)</f>
        <v>0</v>
      </c>
      <c r="AN855" s="296">
        <f>IF(NFI_Expiration=1,IF($A855&lt;VLOOKUP(V$5,NFI,5,0),1,0)*Table_NFI[[#This Row],[Jerry Can]],Table_NFI[Jerry Can])</f>
        <v>0</v>
      </c>
      <c r="AO855" s="296">
        <f>IF(NFI_Expiration=1,IF($A855&lt;VLOOKUP(V$5,NFI,5,0),1,0)*Table_NFI[[#This Row],[Shelter Tool kit]],Table_NFI[Shelter Tool kit])</f>
        <v>0</v>
      </c>
      <c r="AP855" s="296">
        <f>IF(NFI_Expiration=1,IF($A855&lt;VLOOKUP(V$5,NFI,5,0),1,0)*Table_NFI[[#This Row],[Tent]],Table_NFI[Tent])</f>
        <v>0</v>
      </c>
      <c r="AQ855" s="396" t="str">
        <f>IFERROR(VLOOKUP(Table_NFI[[#This Row],[Camp Name]],CL,2,0),"")</f>
        <v>MMR001CMP041</v>
      </c>
      <c r="AR855" s="702">
        <f ca="1">IF(Table_NFI[[#This Row],[Pcode]]="","",IF(OFFSET(CampList[Opening Date],MATCH(Table_NFI[[#This Row],[Pcode]],CampList[CP_Pcode],0)-1,0,1,1)&gt;=NFI_Monitor_Date,1,0))</f>
        <v>0</v>
      </c>
      <c r="AS855" s="396" t="str">
        <f>IFERROR(VLOOKUP(Table_NFI[[#This Row],[Camp Name]],CL,3,0),"")</f>
        <v>Open</v>
      </c>
      <c r="AT855" s="264" t="str">
        <f ca="1">IF(Table_NFI[[#This Row],[Pcode]]="","",OFFSET(CampList[Priority],MATCH(Table_NFI[[#This Row],[Pcode]],CampList[CP_Pcode],0)-1,0,1,1))</f>
        <v>P1</v>
      </c>
      <c r="AU855" s="263">
        <f>IFERROR(Table_NFI[[#This Row],[Kitchen Set]]/VLOOKUP(Table_NFI[[#This Row],[Camp Name]],CL,4,0),"")</f>
        <v>0</v>
      </c>
      <c r="AV855" s="390" t="s">
        <v>1087</v>
      </c>
      <c r="AW855" s="392"/>
      <c r="AX855" s="399"/>
      <c r="AY855" s="399"/>
      <c r="AZ855" s="399"/>
      <c r="BA855" s="399"/>
      <c r="BB855" s="399"/>
      <c r="BC855" s="399"/>
      <c r="BD855" s="399"/>
      <c r="BE855" s="399"/>
      <c r="BF855" s="399"/>
      <c r="BG855" s="399"/>
      <c r="BH855" s="399"/>
      <c r="BI855" s="399"/>
      <c r="BJ855" s="399"/>
      <c r="BK855" s="399"/>
      <c r="BL855" s="399"/>
      <c r="BM855" s="399"/>
      <c r="BN855" s="399"/>
      <c r="BO855" s="399"/>
      <c r="BP855" s="399"/>
      <c r="BQ855" s="399"/>
      <c r="BR855" s="399"/>
      <c r="BS855" s="399"/>
      <c r="BT855" s="399"/>
      <c r="BU855" s="399"/>
      <c r="BV855" s="399"/>
      <c r="BW855" s="399"/>
      <c r="BX855" s="399"/>
      <c r="BY855" s="399"/>
      <c r="BZ855" s="399"/>
      <c r="CA855" s="399"/>
      <c r="CB855" s="399"/>
      <c r="CC855" s="399"/>
      <c r="CD855" s="399"/>
      <c r="CE855" s="399"/>
      <c r="CF855" s="399"/>
      <c r="CG855" s="399"/>
      <c r="CH855" s="399"/>
      <c r="CI855" s="399"/>
      <c r="CJ855" s="399"/>
      <c r="CK855" s="399"/>
      <c r="CL855" s="399"/>
      <c r="CM855" s="399"/>
      <c r="CN855" s="399"/>
      <c r="CO855" s="399"/>
      <c r="CP855" s="399"/>
      <c r="CQ855" s="399"/>
      <c r="CR855" s="399"/>
      <c r="CS855" s="399"/>
      <c r="CT855" s="399"/>
      <c r="CU855" s="399"/>
      <c r="CV855" s="399"/>
      <c r="CW855" s="399"/>
      <c r="CX855" s="399"/>
      <c r="CY855" s="399"/>
      <c r="CZ855" s="399"/>
      <c r="DA855" s="399"/>
      <c r="DB855" s="399"/>
      <c r="DC855" s="399"/>
      <c r="DD855" s="399"/>
      <c r="DE855" s="399"/>
      <c r="DF855" s="399"/>
      <c r="DG855" s="399"/>
      <c r="DH855" s="399"/>
      <c r="DI855" s="399"/>
      <c r="DJ855" s="399"/>
      <c r="DK855" s="399"/>
      <c r="DL855" s="399"/>
      <c r="DM855" s="399"/>
      <c r="DN855" s="399"/>
      <c r="DO855" s="399"/>
      <c r="DP855" s="399"/>
      <c r="DQ855" s="399"/>
    </row>
    <row r="856" spans="1:121" s="760" customFormat="1" ht="15" customHeight="1" x14ac:dyDescent="0.25">
      <c r="A856" s="266">
        <f t="shared" si="13"/>
        <v>51.7</v>
      </c>
      <c r="B856" s="389">
        <v>41305</v>
      </c>
      <c r="C856" s="390" t="s">
        <v>568</v>
      </c>
      <c r="D856" s="391" t="s">
        <v>568</v>
      </c>
      <c r="E856" s="390" t="s">
        <v>380</v>
      </c>
      <c r="F856" s="262" t="s">
        <v>310</v>
      </c>
      <c r="G856" s="262" t="s">
        <v>349</v>
      </c>
      <c r="H856" s="261"/>
      <c r="I856" s="261"/>
      <c r="J856" s="261"/>
      <c r="K856" s="261"/>
      <c r="L856" s="261"/>
      <c r="M856" s="261">
        <v>122</v>
      </c>
      <c r="N856" s="261"/>
      <c r="O856" s="261"/>
      <c r="P856" s="261">
        <v>0</v>
      </c>
      <c r="Q856" s="261">
        <v>0</v>
      </c>
      <c r="R856" s="261"/>
      <c r="S856" s="261"/>
      <c r="T856" s="261"/>
      <c r="U856" s="261"/>
      <c r="V856" s="762"/>
      <c r="W856" s="261"/>
      <c r="X856" s="261"/>
      <c r="Y856" s="264">
        <f>IF(NFI_Expiration=1,IF($A856&lt;VLOOKUP(H$5,NFI,5,0),1,0)*Table_NFI[[#This Row],[Hygiene Kit]],Table_NFI[Hygiene Kit])</f>
        <v>0</v>
      </c>
      <c r="Z856" s="264">
        <f>IF(NFI_Expiration=1,IF($A856&lt;VLOOKUP(I$5,NFI,5,0),1,0)*Table_NFI[[#This Row],[NFI Core Kit]],Table_NFI[NFI Core Kit])</f>
        <v>0</v>
      </c>
      <c r="AA856" s="264">
        <f>IF(NFI_Expiration=1,IF($A856&lt;VLOOKUP(J$5,NFI,5,0),1,0)*Table_NFI[[#This Row],[Sanitary Kit]],Table_NFI[Sanitary Kit])</f>
        <v>0</v>
      </c>
      <c r="AB856" s="264">
        <f>IF(NFI_Expiration=1,IF($A856&lt;VLOOKUP(K$5,NFI,5,0),1,0)*Table_NFI[[#This Row],[Mosquito net]],Table_NFI[Mosquito net])</f>
        <v>0</v>
      </c>
      <c r="AC856" s="264">
        <f>IF(NFI_Expiration=1,IF($A856&lt;VLOOKUP(L$5,NFI,5,0),1,0)*Table_NFI[[#This Row],[Tarpaulin]],Table_NFI[[#This Row],[Tarpaulin]])</f>
        <v>0</v>
      </c>
      <c r="AD856" s="264">
        <f>IF(NFI_Expiration=1,IF($A856&lt;VLOOKUP(M$5,NFI,5,0),1,0)*Table_NFI[[#This Row],[Blanket]],Table_NFI[[#This Row],[Blanket]])</f>
        <v>0</v>
      </c>
      <c r="AE856" s="264">
        <f>IF(NFI_Expiration=1,IF($A856&lt;VLOOKUP(N$5,NFI,5,0),1,0)*Table_NFI[[#This Row],[Kitchen Set]],Table_NFI[Kitchen Set])</f>
        <v>0</v>
      </c>
      <c r="AF856" s="264">
        <f>IF(NFI_Expiration=1,IF($A856&lt;VLOOKUP(O$5,NFI,5,0),1,0)*Table_NFI[[#This Row],[Clothes Kit]],Table_NFI[Clothes Kit])</f>
        <v>0</v>
      </c>
      <c r="AG856" s="264">
        <f>IF(NFI_Expiration=1,IF($A856&lt;VLOOKUP(P$5,NFI,5,0),1,0)*Table_NFI[[#This Row],[Plastic Bucket]],Table_NFI[Plastic Bucket])</f>
        <v>0</v>
      </c>
      <c r="AH856" s="264">
        <f>IF(NFI_Expiration=1,IF($A856&lt;VLOOKUP(Q$5,NFI,5,0),1,0)*Table_NFI[[#This Row],[Plastic Mat]],Table_NFI[Plastic Mat])*IF(Table_NFI[[#This Row],[Distribution Date]]&gt;"2014-04-01",1,2.5)</f>
        <v>0</v>
      </c>
      <c r="AI856" s="264">
        <f>IF(NFI_Expiration=1,IF($A856&lt;VLOOKUP(R$5,NFI,5,0),1,0)*Table_NFI[[#This Row],[Winter Clothes Adult]],Table_NFI[Winter Clothes Adult])</f>
        <v>0</v>
      </c>
      <c r="AJ856" s="264">
        <f>IF(NFI_Expiration=1,IF($A856&lt;VLOOKUP(S$5,NFI,5,0),1,0)*Table_NFI[[#This Row],[Winter Clothes Children]],Table_NFI[Winter Clothes Children])</f>
        <v>0</v>
      </c>
      <c r="AK856" s="264">
        <f>IF(NFI_Expiration=1,IF($A856&lt;VLOOKUP(T$5,NFI,5,0),1,0)*Table_NFI[[#This Row],[Winter Items Other]],Table_NFI[Winter Items Other])</f>
        <v>0</v>
      </c>
      <c r="AL856" s="264">
        <f>IF(NFI_Expiration=1,IF($A856&lt;VLOOKUP(M$5,NFI,5,0),1,0)*Table_NFI[[#This Row],[Winter Blanket]],Table_NFI[[#This Row],[Winter Blanket]])</f>
        <v>0</v>
      </c>
      <c r="AM856" s="264">
        <f>IF(Table_NFI[[#This Row],[Winter Clothes Adult]]+Table_NFI[[#This Row],[Winter Clothes Children]]+Table_NFI[[#This Row],[Winter Items Other]]+Table_NFI[[#This Row],[Winter Blanket]]&gt;0,1,0)</f>
        <v>0</v>
      </c>
      <c r="AN856" s="296">
        <f>IF(NFI_Expiration=1,IF($A856&lt;VLOOKUP(V$5,NFI,5,0),1,0)*Table_NFI[[#This Row],[Jerry Can]],Table_NFI[Jerry Can])</f>
        <v>0</v>
      </c>
      <c r="AO856" s="296">
        <f>IF(NFI_Expiration=1,IF($A856&lt;VLOOKUP(V$5,NFI,5,0),1,0)*Table_NFI[[#This Row],[Shelter Tool kit]],Table_NFI[Shelter Tool kit])</f>
        <v>0</v>
      </c>
      <c r="AP856" s="296">
        <f>IF(NFI_Expiration=1,IF($A856&lt;VLOOKUP(V$5,NFI,5,0),1,0)*Table_NFI[[#This Row],[Tent]],Table_NFI[Tent])</f>
        <v>0</v>
      </c>
      <c r="AQ856" s="396" t="str">
        <f>IFERROR(VLOOKUP(Table_NFI[[#This Row],[Camp Name]],CL,2,0),"")</f>
        <v>MMR001CMP037</v>
      </c>
      <c r="AR856" s="702">
        <f ca="1">IF(Table_NFI[[#This Row],[Pcode]]="","",IF(OFFSET(CampList[Opening Date],MATCH(Table_NFI[[#This Row],[Pcode]],CampList[CP_Pcode],0)-1,0,1,1)&gt;=NFI_Monitor_Date,1,0))</f>
        <v>0</v>
      </c>
      <c r="AS856" s="396" t="str">
        <f>IFERROR(VLOOKUP(Table_NFI[[#This Row],[Camp Name]],CL,3,0),"")</f>
        <v>Open</v>
      </c>
      <c r="AT856" s="264" t="str">
        <f ca="1">IF(Table_NFI[[#This Row],[Pcode]]="","",OFFSET(CampList[Priority],MATCH(Table_NFI[[#This Row],[Pcode]],CampList[CP_Pcode],0)-1,0,1,1))</f>
        <v>P4</v>
      </c>
      <c r="AU856" s="263">
        <f>IFERROR(Table_NFI[[#This Row],[Kitchen Set]]/VLOOKUP(Table_NFI[[#This Row],[Camp Name]],CL,4,0),"")</f>
        <v>0</v>
      </c>
      <c r="AV856" s="390" t="s">
        <v>1087</v>
      </c>
      <c r="AW856" s="392"/>
      <c r="AX856" s="399"/>
      <c r="AY856" s="399"/>
      <c r="AZ856" s="399"/>
      <c r="BA856" s="399"/>
      <c r="BB856" s="399"/>
      <c r="BC856" s="399"/>
      <c r="BD856" s="399"/>
      <c r="BE856" s="399"/>
      <c r="BF856" s="399"/>
      <c r="BG856" s="399"/>
      <c r="BH856" s="399"/>
      <c r="BI856" s="399"/>
      <c r="BJ856" s="399"/>
      <c r="BK856" s="399"/>
      <c r="BL856" s="399"/>
      <c r="BM856" s="399"/>
      <c r="BN856" s="399"/>
      <c r="BO856" s="399"/>
      <c r="BP856" s="399"/>
      <c r="BQ856" s="399"/>
      <c r="BR856" s="399"/>
      <c r="BS856" s="399"/>
      <c r="BT856" s="399"/>
      <c r="BU856" s="399"/>
      <c r="BV856" s="399"/>
      <c r="BW856" s="399"/>
      <c r="BX856" s="399"/>
      <c r="BY856" s="399"/>
      <c r="BZ856" s="399"/>
      <c r="CA856" s="399"/>
      <c r="CB856" s="399"/>
      <c r="CC856" s="399"/>
      <c r="CD856" s="399"/>
      <c r="CE856" s="399"/>
      <c r="CF856" s="399"/>
      <c r="CG856" s="399"/>
      <c r="CH856" s="399"/>
      <c r="CI856" s="399"/>
      <c r="CJ856" s="399"/>
      <c r="CK856" s="399"/>
      <c r="CL856" s="399"/>
      <c r="CM856" s="399"/>
      <c r="CN856" s="399"/>
      <c r="CO856" s="399"/>
      <c r="CP856" s="399"/>
      <c r="CQ856" s="399"/>
      <c r="CR856" s="399"/>
      <c r="CS856" s="399"/>
      <c r="CT856" s="399"/>
      <c r="CU856" s="399"/>
      <c r="CV856" s="399"/>
      <c r="CW856" s="399"/>
      <c r="CX856" s="399"/>
      <c r="CY856" s="399"/>
      <c r="CZ856" s="399"/>
      <c r="DA856" s="399"/>
      <c r="DB856" s="399"/>
      <c r="DC856" s="399"/>
      <c r="DD856" s="399"/>
      <c r="DE856" s="399"/>
      <c r="DF856" s="399"/>
      <c r="DG856" s="399"/>
      <c r="DH856" s="399"/>
      <c r="DI856" s="399"/>
      <c r="DJ856" s="399"/>
      <c r="DK856" s="399"/>
      <c r="DL856" s="399"/>
      <c r="DM856" s="399"/>
      <c r="DN856" s="399"/>
      <c r="DO856" s="399"/>
      <c r="DP856" s="399"/>
      <c r="DQ856" s="399"/>
    </row>
    <row r="857" spans="1:121" s="760" customFormat="1" ht="15" customHeight="1" x14ac:dyDescent="0.25">
      <c r="A857" s="266">
        <f t="shared" si="13"/>
        <v>51.7</v>
      </c>
      <c r="B857" s="389">
        <v>41305</v>
      </c>
      <c r="C857" s="390" t="s">
        <v>568</v>
      </c>
      <c r="D857" s="391" t="s">
        <v>568</v>
      </c>
      <c r="E857" s="390" t="s">
        <v>380</v>
      </c>
      <c r="F857" s="262" t="s">
        <v>310</v>
      </c>
      <c r="G857" s="262" t="s">
        <v>316</v>
      </c>
      <c r="H857" s="261"/>
      <c r="I857" s="261"/>
      <c r="J857" s="261"/>
      <c r="K857" s="261"/>
      <c r="L857" s="261"/>
      <c r="M857" s="261">
        <v>104</v>
      </c>
      <c r="N857" s="261"/>
      <c r="O857" s="261"/>
      <c r="P857" s="261">
        <v>0</v>
      </c>
      <c r="Q857" s="261">
        <v>0</v>
      </c>
      <c r="R857" s="261"/>
      <c r="S857" s="261"/>
      <c r="T857" s="261"/>
      <c r="U857" s="261"/>
      <c r="V857" s="762"/>
      <c r="W857" s="261"/>
      <c r="X857" s="261"/>
      <c r="Y857" s="264">
        <f>IF(NFI_Expiration=1,IF($A857&lt;VLOOKUP(H$5,NFI,5,0),1,0)*Table_NFI[[#This Row],[Hygiene Kit]],Table_NFI[Hygiene Kit])</f>
        <v>0</v>
      </c>
      <c r="Z857" s="264">
        <f>IF(NFI_Expiration=1,IF($A857&lt;VLOOKUP(I$5,NFI,5,0),1,0)*Table_NFI[[#This Row],[NFI Core Kit]],Table_NFI[NFI Core Kit])</f>
        <v>0</v>
      </c>
      <c r="AA857" s="264">
        <f>IF(NFI_Expiration=1,IF($A857&lt;VLOOKUP(J$5,NFI,5,0),1,0)*Table_NFI[[#This Row],[Sanitary Kit]],Table_NFI[Sanitary Kit])</f>
        <v>0</v>
      </c>
      <c r="AB857" s="264">
        <f>IF(NFI_Expiration=1,IF($A857&lt;VLOOKUP(K$5,NFI,5,0),1,0)*Table_NFI[[#This Row],[Mosquito net]],Table_NFI[Mosquito net])</f>
        <v>0</v>
      </c>
      <c r="AC857" s="264">
        <f>IF(NFI_Expiration=1,IF($A857&lt;VLOOKUP(L$5,NFI,5,0),1,0)*Table_NFI[[#This Row],[Tarpaulin]],Table_NFI[[#This Row],[Tarpaulin]])</f>
        <v>0</v>
      </c>
      <c r="AD857" s="264">
        <f>IF(NFI_Expiration=1,IF($A857&lt;VLOOKUP(M$5,NFI,5,0),1,0)*Table_NFI[[#This Row],[Blanket]],Table_NFI[[#This Row],[Blanket]])</f>
        <v>0</v>
      </c>
      <c r="AE857" s="264">
        <f>IF(NFI_Expiration=1,IF($A857&lt;VLOOKUP(N$5,NFI,5,0),1,0)*Table_NFI[[#This Row],[Kitchen Set]],Table_NFI[Kitchen Set])</f>
        <v>0</v>
      </c>
      <c r="AF857" s="264">
        <f>IF(NFI_Expiration=1,IF($A857&lt;VLOOKUP(O$5,NFI,5,0),1,0)*Table_NFI[[#This Row],[Clothes Kit]],Table_NFI[Clothes Kit])</f>
        <v>0</v>
      </c>
      <c r="AG857" s="264">
        <f>IF(NFI_Expiration=1,IF($A857&lt;VLOOKUP(P$5,NFI,5,0),1,0)*Table_NFI[[#This Row],[Plastic Bucket]],Table_NFI[Plastic Bucket])</f>
        <v>0</v>
      </c>
      <c r="AH857" s="264">
        <f>IF(NFI_Expiration=1,IF($A857&lt;VLOOKUP(Q$5,NFI,5,0),1,0)*Table_NFI[[#This Row],[Plastic Mat]],Table_NFI[Plastic Mat])*IF(Table_NFI[[#This Row],[Distribution Date]]&gt;"2014-04-01",1,2.5)</f>
        <v>0</v>
      </c>
      <c r="AI857" s="264">
        <f>IF(NFI_Expiration=1,IF($A857&lt;VLOOKUP(R$5,NFI,5,0),1,0)*Table_NFI[[#This Row],[Winter Clothes Adult]],Table_NFI[Winter Clothes Adult])</f>
        <v>0</v>
      </c>
      <c r="AJ857" s="264">
        <f>IF(NFI_Expiration=1,IF($A857&lt;VLOOKUP(S$5,NFI,5,0),1,0)*Table_NFI[[#This Row],[Winter Clothes Children]],Table_NFI[Winter Clothes Children])</f>
        <v>0</v>
      </c>
      <c r="AK857" s="264">
        <f>IF(NFI_Expiration=1,IF($A857&lt;VLOOKUP(T$5,NFI,5,0),1,0)*Table_NFI[[#This Row],[Winter Items Other]],Table_NFI[Winter Items Other])</f>
        <v>0</v>
      </c>
      <c r="AL857" s="264">
        <f>IF(NFI_Expiration=1,IF($A857&lt;VLOOKUP(M$5,NFI,5,0),1,0)*Table_NFI[[#This Row],[Winter Blanket]],Table_NFI[[#This Row],[Winter Blanket]])</f>
        <v>0</v>
      </c>
      <c r="AM857" s="264">
        <f>IF(Table_NFI[[#This Row],[Winter Clothes Adult]]+Table_NFI[[#This Row],[Winter Clothes Children]]+Table_NFI[[#This Row],[Winter Items Other]]+Table_NFI[[#This Row],[Winter Blanket]]&gt;0,1,0)</f>
        <v>0</v>
      </c>
      <c r="AN857" s="296">
        <f>IF(NFI_Expiration=1,IF($A857&lt;VLOOKUP(V$5,NFI,5,0),1,0)*Table_NFI[[#This Row],[Jerry Can]],Table_NFI[Jerry Can])</f>
        <v>0</v>
      </c>
      <c r="AO857" s="296">
        <f>IF(NFI_Expiration=1,IF($A857&lt;VLOOKUP(V$5,NFI,5,0),1,0)*Table_NFI[[#This Row],[Shelter Tool kit]],Table_NFI[Shelter Tool kit])</f>
        <v>0</v>
      </c>
      <c r="AP857" s="296">
        <f>IF(NFI_Expiration=1,IF($A857&lt;VLOOKUP(V$5,NFI,5,0),1,0)*Table_NFI[[#This Row],[Tent]],Table_NFI[Tent])</f>
        <v>0</v>
      </c>
      <c r="AQ857" s="396" t="str">
        <f>IFERROR(VLOOKUP(Table_NFI[[#This Row],[Camp Name]],CL,2,0),"")</f>
        <v>MMR001CMP038</v>
      </c>
      <c r="AR857" s="702">
        <f ca="1">IF(Table_NFI[[#This Row],[Pcode]]="","",IF(OFFSET(CampList[Opening Date],MATCH(Table_NFI[[#This Row],[Pcode]],CampList[CP_Pcode],0)-1,0,1,1)&gt;=NFI_Monitor_Date,1,0))</f>
        <v>0</v>
      </c>
      <c r="AS857" s="396" t="str">
        <f>IFERROR(VLOOKUP(Table_NFI[[#This Row],[Camp Name]],CL,3,0),"")</f>
        <v>Open</v>
      </c>
      <c r="AT857" s="264" t="str">
        <f ca="1">IF(Table_NFI[[#This Row],[Pcode]]="","",OFFSET(CampList[Priority],MATCH(Table_NFI[[#This Row],[Pcode]],CampList[CP_Pcode],0)-1,0,1,1))</f>
        <v>P4</v>
      </c>
      <c r="AU857" s="263">
        <f>IFERROR(Table_NFI[[#This Row],[Kitchen Set]]/VLOOKUP(Table_NFI[[#This Row],[Camp Name]],CL,4,0),"")</f>
        <v>0</v>
      </c>
      <c r="AV857" s="390" t="s">
        <v>1087</v>
      </c>
      <c r="AW857" s="392"/>
      <c r="AX857" s="399"/>
      <c r="AY857" s="399"/>
      <c r="AZ857" s="399"/>
      <c r="BA857" s="399"/>
      <c r="BB857" s="399"/>
      <c r="BC857" s="399"/>
      <c r="BD857" s="399"/>
      <c r="BE857" s="399"/>
      <c r="BF857" s="399"/>
      <c r="BG857" s="399"/>
      <c r="BH857" s="399"/>
      <c r="BI857" s="399"/>
      <c r="BJ857" s="399"/>
      <c r="BK857" s="399"/>
      <c r="BL857" s="399"/>
      <c r="BM857" s="399"/>
      <c r="BN857" s="399"/>
      <c r="BO857" s="399"/>
      <c r="BP857" s="399"/>
      <c r="BQ857" s="399"/>
      <c r="BR857" s="399"/>
      <c r="BS857" s="399"/>
      <c r="BT857" s="399"/>
      <c r="BU857" s="399"/>
      <c r="BV857" s="399"/>
      <c r="BW857" s="399"/>
      <c r="BX857" s="399"/>
      <c r="BY857" s="399"/>
      <c r="BZ857" s="399"/>
      <c r="CA857" s="399"/>
      <c r="CB857" s="399"/>
      <c r="CC857" s="399"/>
      <c r="CD857" s="399"/>
      <c r="CE857" s="399"/>
      <c r="CF857" s="399"/>
      <c r="CG857" s="399"/>
      <c r="CH857" s="399"/>
      <c r="CI857" s="399"/>
      <c r="CJ857" s="399"/>
      <c r="CK857" s="399"/>
      <c r="CL857" s="399"/>
      <c r="CM857" s="399"/>
      <c r="CN857" s="399"/>
      <c r="CO857" s="399"/>
      <c r="CP857" s="399"/>
      <c r="CQ857" s="399"/>
      <c r="CR857" s="399"/>
      <c r="CS857" s="399"/>
      <c r="CT857" s="399"/>
      <c r="CU857" s="399"/>
      <c r="CV857" s="399"/>
      <c r="CW857" s="399"/>
      <c r="CX857" s="399"/>
      <c r="CY857" s="399"/>
      <c r="CZ857" s="399"/>
      <c r="DA857" s="399"/>
      <c r="DB857" s="399"/>
      <c r="DC857" s="399"/>
      <c r="DD857" s="399"/>
      <c r="DE857" s="399"/>
      <c r="DF857" s="399"/>
      <c r="DG857" s="399"/>
      <c r="DH857" s="399"/>
      <c r="DI857" s="399"/>
      <c r="DJ857" s="399"/>
      <c r="DK857" s="399"/>
      <c r="DL857" s="399"/>
      <c r="DM857" s="399"/>
      <c r="DN857" s="399"/>
      <c r="DO857" s="399"/>
      <c r="DP857" s="399"/>
      <c r="DQ857" s="399"/>
    </row>
    <row r="858" spans="1:121" s="760" customFormat="1" ht="15" customHeight="1" x14ac:dyDescent="0.25">
      <c r="A858" s="266">
        <f t="shared" si="13"/>
        <v>51.7</v>
      </c>
      <c r="B858" s="389">
        <v>41305</v>
      </c>
      <c r="C858" s="390" t="s">
        <v>568</v>
      </c>
      <c r="D858" s="391" t="s">
        <v>568</v>
      </c>
      <c r="E858" s="390" t="s">
        <v>380</v>
      </c>
      <c r="F858" s="390" t="s">
        <v>526</v>
      </c>
      <c r="G858" s="262" t="s">
        <v>58</v>
      </c>
      <c r="H858" s="261"/>
      <c r="I858" s="261"/>
      <c r="J858" s="261"/>
      <c r="K858" s="261"/>
      <c r="L858" s="261"/>
      <c r="M858" s="261">
        <v>26</v>
      </c>
      <c r="N858" s="261"/>
      <c r="O858" s="261"/>
      <c r="P858" s="261">
        <v>0</v>
      </c>
      <c r="Q858" s="261">
        <v>0</v>
      </c>
      <c r="R858" s="261"/>
      <c r="S858" s="261"/>
      <c r="T858" s="261"/>
      <c r="U858" s="261"/>
      <c r="V858" s="762"/>
      <c r="W858" s="261"/>
      <c r="X858" s="261"/>
      <c r="Y858" s="264">
        <f>IF(NFI_Expiration=1,IF($A858&lt;VLOOKUP(H$5,NFI,5,0),1,0)*Table_NFI[[#This Row],[Hygiene Kit]],Table_NFI[Hygiene Kit])</f>
        <v>0</v>
      </c>
      <c r="Z858" s="264">
        <f>IF(NFI_Expiration=1,IF($A858&lt;VLOOKUP(I$5,NFI,5,0),1,0)*Table_NFI[[#This Row],[NFI Core Kit]],Table_NFI[NFI Core Kit])</f>
        <v>0</v>
      </c>
      <c r="AA858" s="264">
        <f>IF(NFI_Expiration=1,IF($A858&lt;VLOOKUP(J$5,NFI,5,0),1,0)*Table_NFI[[#This Row],[Sanitary Kit]],Table_NFI[Sanitary Kit])</f>
        <v>0</v>
      </c>
      <c r="AB858" s="264">
        <f>IF(NFI_Expiration=1,IF($A858&lt;VLOOKUP(K$5,NFI,5,0),1,0)*Table_NFI[[#This Row],[Mosquito net]],Table_NFI[Mosquito net])</f>
        <v>0</v>
      </c>
      <c r="AC858" s="264">
        <f>IF(NFI_Expiration=1,IF($A858&lt;VLOOKUP(L$5,NFI,5,0),1,0)*Table_NFI[[#This Row],[Tarpaulin]],Table_NFI[[#This Row],[Tarpaulin]])</f>
        <v>0</v>
      </c>
      <c r="AD858" s="264">
        <f>IF(NFI_Expiration=1,IF($A858&lt;VLOOKUP(M$5,NFI,5,0),1,0)*Table_NFI[[#This Row],[Blanket]],Table_NFI[[#This Row],[Blanket]])</f>
        <v>0</v>
      </c>
      <c r="AE858" s="264">
        <f>IF(NFI_Expiration=1,IF($A858&lt;VLOOKUP(N$5,NFI,5,0),1,0)*Table_NFI[[#This Row],[Kitchen Set]],Table_NFI[Kitchen Set])</f>
        <v>0</v>
      </c>
      <c r="AF858" s="264">
        <f>IF(NFI_Expiration=1,IF($A858&lt;VLOOKUP(O$5,NFI,5,0),1,0)*Table_NFI[[#This Row],[Clothes Kit]],Table_NFI[Clothes Kit])</f>
        <v>0</v>
      </c>
      <c r="AG858" s="264">
        <f>IF(NFI_Expiration=1,IF($A858&lt;VLOOKUP(P$5,NFI,5,0),1,0)*Table_NFI[[#This Row],[Plastic Bucket]],Table_NFI[Plastic Bucket])</f>
        <v>0</v>
      </c>
      <c r="AH858" s="264">
        <f>IF(NFI_Expiration=1,IF($A858&lt;VLOOKUP(Q$5,NFI,5,0),1,0)*Table_NFI[[#This Row],[Plastic Mat]],Table_NFI[Plastic Mat])*IF(Table_NFI[[#This Row],[Distribution Date]]&gt;"2014-04-01",1,2.5)</f>
        <v>0</v>
      </c>
      <c r="AI858" s="264">
        <f>IF(NFI_Expiration=1,IF($A858&lt;VLOOKUP(R$5,NFI,5,0),1,0)*Table_NFI[[#This Row],[Winter Clothes Adult]],Table_NFI[Winter Clothes Adult])</f>
        <v>0</v>
      </c>
      <c r="AJ858" s="264">
        <f>IF(NFI_Expiration=1,IF($A858&lt;VLOOKUP(S$5,NFI,5,0),1,0)*Table_NFI[[#This Row],[Winter Clothes Children]],Table_NFI[Winter Clothes Children])</f>
        <v>0</v>
      </c>
      <c r="AK858" s="264">
        <f>IF(NFI_Expiration=1,IF($A858&lt;VLOOKUP(T$5,NFI,5,0),1,0)*Table_NFI[[#This Row],[Winter Items Other]],Table_NFI[Winter Items Other])</f>
        <v>0</v>
      </c>
      <c r="AL858" s="264">
        <f>IF(NFI_Expiration=1,IF($A858&lt;VLOOKUP(M$5,NFI,5,0),1,0)*Table_NFI[[#This Row],[Winter Blanket]],Table_NFI[[#This Row],[Winter Blanket]])</f>
        <v>0</v>
      </c>
      <c r="AM858" s="264">
        <f>IF(Table_NFI[[#This Row],[Winter Clothes Adult]]+Table_NFI[[#This Row],[Winter Clothes Children]]+Table_NFI[[#This Row],[Winter Items Other]]+Table_NFI[[#This Row],[Winter Blanket]]&gt;0,1,0)</f>
        <v>0</v>
      </c>
      <c r="AN858" s="296">
        <f>IF(NFI_Expiration=1,IF($A858&lt;VLOOKUP(V$5,NFI,5,0),1,0)*Table_NFI[[#This Row],[Jerry Can]],Table_NFI[Jerry Can])</f>
        <v>0</v>
      </c>
      <c r="AO858" s="296">
        <f>IF(NFI_Expiration=1,IF($A858&lt;VLOOKUP(V$5,NFI,5,0),1,0)*Table_NFI[[#This Row],[Shelter Tool kit]],Table_NFI[Shelter Tool kit])</f>
        <v>0</v>
      </c>
      <c r="AP858" s="296">
        <f>IF(NFI_Expiration=1,IF($A858&lt;VLOOKUP(V$5,NFI,5,0),1,0)*Table_NFI[[#This Row],[Tent]],Table_NFI[Tent])</f>
        <v>0</v>
      </c>
      <c r="AQ858" s="396" t="str">
        <f>IFERROR(VLOOKUP(Table_NFI[[#This Row],[Camp Name]],CL,2,0),"")</f>
        <v>MMR001CMP188</v>
      </c>
      <c r="AR858" s="702">
        <f ca="1">IF(Table_NFI[[#This Row],[Pcode]]="","",IF(OFFSET(CampList[Opening Date],MATCH(Table_NFI[[#This Row],[Pcode]],CampList[CP_Pcode],0)-1,0,1,1)&gt;=NFI_Monitor_Date,1,0))</f>
        <v>0</v>
      </c>
      <c r="AS858" s="396" t="str">
        <f>IFERROR(VLOOKUP(Table_NFI[[#This Row],[Camp Name]],CL,3,0),"")</f>
        <v>Closed</v>
      </c>
      <c r="AT858" s="264" t="str">
        <f ca="1">IF(Table_NFI[[#This Row],[Pcode]]="","",OFFSET(CampList[Priority],MATCH(Table_NFI[[#This Row],[Pcode]],CampList[CP_Pcode],0)-1,0,1,1))</f>
        <v>P4</v>
      </c>
      <c r="AU858" s="263" t="str">
        <f>IFERROR(Table_NFI[[#This Row],[Kitchen Set]]/VLOOKUP(Table_NFI[[#This Row],[Camp Name]],CL,4,0),"")</f>
        <v/>
      </c>
      <c r="AV858" s="390" t="s">
        <v>1087</v>
      </c>
      <c r="AW858" s="392"/>
      <c r="AX858" s="399"/>
      <c r="AY858" s="399"/>
      <c r="AZ858" s="399"/>
      <c r="BA858" s="399"/>
      <c r="BB858" s="399"/>
      <c r="BC858" s="399"/>
      <c r="BD858" s="399"/>
      <c r="BE858" s="399"/>
      <c r="BF858" s="399"/>
      <c r="BG858" s="399"/>
      <c r="BH858" s="399"/>
      <c r="BI858" s="399"/>
      <c r="BJ858" s="399"/>
      <c r="BK858" s="399"/>
      <c r="BL858" s="399"/>
      <c r="BM858" s="399"/>
      <c r="BN858" s="399"/>
      <c r="BO858" s="399"/>
      <c r="BP858" s="399"/>
      <c r="BQ858" s="399"/>
      <c r="BR858" s="399"/>
      <c r="BS858" s="399"/>
      <c r="BT858" s="399"/>
      <c r="BU858" s="399"/>
      <c r="BV858" s="399"/>
      <c r="BW858" s="399"/>
      <c r="BX858" s="399"/>
      <c r="BY858" s="399"/>
      <c r="BZ858" s="399"/>
      <c r="CA858" s="399"/>
      <c r="CB858" s="399"/>
      <c r="CC858" s="399"/>
      <c r="CD858" s="399"/>
      <c r="CE858" s="399"/>
      <c r="CF858" s="399"/>
      <c r="CG858" s="399"/>
      <c r="CH858" s="399"/>
      <c r="CI858" s="399"/>
      <c r="CJ858" s="399"/>
      <c r="CK858" s="399"/>
      <c r="CL858" s="399"/>
      <c r="CM858" s="399"/>
      <c r="CN858" s="399"/>
      <c r="CO858" s="399"/>
      <c r="CP858" s="399"/>
      <c r="CQ858" s="399"/>
      <c r="CR858" s="399"/>
      <c r="CS858" s="399"/>
      <c r="CT858" s="399"/>
      <c r="CU858" s="399"/>
      <c r="CV858" s="399"/>
      <c r="CW858" s="399"/>
      <c r="CX858" s="399"/>
      <c r="CY858" s="399"/>
      <c r="CZ858" s="399"/>
      <c r="DA858" s="399"/>
      <c r="DB858" s="399"/>
      <c r="DC858" s="399"/>
      <c r="DD858" s="399"/>
      <c r="DE858" s="399"/>
      <c r="DF858" s="399"/>
      <c r="DG858" s="399"/>
      <c r="DH858" s="399"/>
      <c r="DI858" s="399"/>
      <c r="DJ858" s="399"/>
      <c r="DK858" s="399"/>
      <c r="DL858" s="399"/>
      <c r="DM858" s="399"/>
      <c r="DN858" s="399"/>
      <c r="DO858" s="399"/>
      <c r="DP858" s="399"/>
      <c r="DQ858" s="399"/>
    </row>
    <row r="859" spans="1:121" s="760" customFormat="1" ht="15" customHeight="1" x14ac:dyDescent="0.25">
      <c r="A859" s="266">
        <f t="shared" si="13"/>
        <v>51.7</v>
      </c>
      <c r="B859" s="389">
        <v>41305</v>
      </c>
      <c r="C859" s="390" t="s">
        <v>568</v>
      </c>
      <c r="D859" s="391" t="s">
        <v>568</v>
      </c>
      <c r="E859" s="390" t="s">
        <v>380</v>
      </c>
      <c r="F859" s="390" t="s">
        <v>310</v>
      </c>
      <c r="G859" s="262" t="s">
        <v>311</v>
      </c>
      <c r="H859" s="261"/>
      <c r="I859" s="261"/>
      <c r="J859" s="261"/>
      <c r="K859" s="261"/>
      <c r="L859" s="261"/>
      <c r="M859" s="261">
        <v>224</v>
      </c>
      <c r="N859" s="261"/>
      <c r="O859" s="261"/>
      <c r="P859" s="261">
        <v>0</v>
      </c>
      <c r="Q859" s="261">
        <v>0</v>
      </c>
      <c r="R859" s="261"/>
      <c r="S859" s="261"/>
      <c r="T859" s="261"/>
      <c r="U859" s="261"/>
      <c r="V859" s="762"/>
      <c r="W859" s="261"/>
      <c r="X859" s="261"/>
      <c r="Y859" s="264">
        <f>IF(NFI_Expiration=1,IF($A859&lt;VLOOKUP(H$5,NFI,5,0),1,0)*Table_NFI[[#This Row],[Hygiene Kit]],Table_NFI[Hygiene Kit])</f>
        <v>0</v>
      </c>
      <c r="Z859" s="264">
        <f>IF(NFI_Expiration=1,IF($A859&lt;VLOOKUP(I$5,NFI,5,0),1,0)*Table_NFI[[#This Row],[NFI Core Kit]],Table_NFI[NFI Core Kit])</f>
        <v>0</v>
      </c>
      <c r="AA859" s="264">
        <f>IF(NFI_Expiration=1,IF($A859&lt;VLOOKUP(J$5,NFI,5,0),1,0)*Table_NFI[[#This Row],[Sanitary Kit]],Table_NFI[Sanitary Kit])</f>
        <v>0</v>
      </c>
      <c r="AB859" s="264">
        <f>IF(NFI_Expiration=1,IF($A859&lt;VLOOKUP(K$5,NFI,5,0),1,0)*Table_NFI[[#This Row],[Mosquito net]],Table_NFI[Mosquito net])</f>
        <v>0</v>
      </c>
      <c r="AC859" s="264">
        <f>IF(NFI_Expiration=1,IF($A859&lt;VLOOKUP(L$5,NFI,5,0),1,0)*Table_NFI[[#This Row],[Tarpaulin]],Table_NFI[[#This Row],[Tarpaulin]])</f>
        <v>0</v>
      </c>
      <c r="AD859" s="264">
        <f>IF(NFI_Expiration=1,IF($A859&lt;VLOOKUP(M$5,NFI,5,0),1,0)*Table_NFI[[#This Row],[Blanket]],Table_NFI[[#This Row],[Blanket]])</f>
        <v>0</v>
      </c>
      <c r="AE859" s="264">
        <f>IF(NFI_Expiration=1,IF($A859&lt;VLOOKUP(N$5,NFI,5,0),1,0)*Table_NFI[[#This Row],[Kitchen Set]],Table_NFI[Kitchen Set])</f>
        <v>0</v>
      </c>
      <c r="AF859" s="264">
        <f>IF(NFI_Expiration=1,IF($A859&lt;VLOOKUP(O$5,NFI,5,0),1,0)*Table_NFI[[#This Row],[Clothes Kit]],Table_NFI[Clothes Kit])</f>
        <v>0</v>
      </c>
      <c r="AG859" s="264">
        <f>IF(NFI_Expiration=1,IF($A859&lt;VLOOKUP(P$5,NFI,5,0),1,0)*Table_NFI[[#This Row],[Plastic Bucket]],Table_NFI[Plastic Bucket])</f>
        <v>0</v>
      </c>
      <c r="AH859" s="264">
        <f>IF(NFI_Expiration=1,IF($A859&lt;VLOOKUP(Q$5,NFI,5,0),1,0)*Table_NFI[[#This Row],[Plastic Mat]],Table_NFI[Plastic Mat])*IF(Table_NFI[[#This Row],[Distribution Date]]&gt;"2014-04-01",1,2.5)</f>
        <v>0</v>
      </c>
      <c r="AI859" s="264">
        <f>IF(NFI_Expiration=1,IF($A859&lt;VLOOKUP(R$5,NFI,5,0),1,0)*Table_NFI[[#This Row],[Winter Clothes Adult]],Table_NFI[Winter Clothes Adult])</f>
        <v>0</v>
      </c>
      <c r="AJ859" s="264">
        <f>IF(NFI_Expiration=1,IF($A859&lt;VLOOKUP(S$5,NFI,5,0),1,0)*Table_NFI[[#This Row],[Winter Clothes Children]],Table_NFI[Winter Clothes Children])</f>
        <v>0</v>
      </c>
      <c r="AK859" s="264">
        <f>IF(NFI_Expiration=1,IF($A859&lt;VLOOKUP(T$5,NFI,5,0),1,0)*Table_NFI[[#This Row],[Winter Items Other]],Table_NFI[Winter Items Other])</f>
        <v>0</v>
      </c>
      <c r="AL859" s="264">
        <f>IF(NFI_Expiration=1,IF($A859&lt;VLOOKUP(M$5,NFI,5,0),1,0)*Table_NFI[[#This Row],[Winter Blanket]],Table_NFI[[#This Row],[Winter Blanket]])</f>
        <v>0</v>
      </c>
      <c r="AM859" s="264">
        <f>IF(Table_NFI[[#This Row],[Winter Clothes Adult]]+Table_NFI[[#This Row],[Winter Clothes Children]]+Table_NFI[[#This Row],[Winter Items Other]]+Table_NFI[[#This Row],[Winter Blanket]]&gt;0,1,0)</f>
        <v>0</v>
      </c>
      <c r="AN859" s="296">
        <f>IF(NFI_Expiration=1,IF($A859&lt;VLOOKUP(V$5,NFI,5,0),1,0)*Table_NFI[[#This Row],[Jerry Can]],Table_NFI[Jerry Can])</f>
        <v>0</v>
      </c>
      <c r="AO859" s="296">
        <f>IF(NFI_Expiration=1,IF($A859&lt;VLOOKUP(V$5,NFI,5,0),1,0)*Table_NFI[[#This Row],[Shelter Tool kit]],Table_NFI[Shelter Tool kit])</f>
        <v>0</v>
      </c>
      <c r="AP859" s="296">
        <f>IF(NFI_Expiration=1,IF($A859&lt;VLOOKUP(V$5,NFI,5,0),1,0)*Table_NFI[[#This Row],[Tent]],Table_NFI[Tent])</f>
        <v>0</v>
      </c>
      <c r="AQ859" s="396" t="str">
        <f>IFERROR(VLOOKUP(Table_NFI[[#This Row],[Camp Name]],CL,2,0),"")</f>
        <v>MMR001CMP036</v>
      </c>
      <c r="AR859" s="702">
        <f ca="1">IF(Table_NFI[[#This Row],[Pcode]]="","",IF(OFFSET(CampList[Opening Date],MATCH(Table_NFI[[#This Row],[Pcode]],CampList[CP_Pcode],0)-1,0,1,1)&gt;=NFI_Monitor_Date,1,0))</f>
        <v>0</v>
      </c>
      <c r="AS859" s="396" t="str">
        <f>IFERROR(VLOOKUP(Table_NFI[[#This Row],[Camp Name]],CL,3,0),"")</f>
        <v>Closed</v>
      </c>
      <c r="AT859" s="264" t="str">
        <f ca="1">IF(Table_NFI[[#This Row],[Pcode]]="","",OFFSET(CampList[Priority],MATCH(Table_NFI[[#This Row],[Pcode]],CampList[CP_Pcode],0)-1,0,1,1))</f>
        <v>P4</v>
      </c>
      <c r="AU859" s="263">
        <f>IFERROR(Table_NFI[[#This Row],[Kitchen Set]]/VLOOKUP(Table_NFI[[#This Row],[Camp Name]],CL,4,0),"")</f>
        <v>0</v>
      </c>
      <c r="AV859" s="390" t="s">
        <v>1087</v>
      </c>
      <c r="AW859" s="392"/>
      <c r="AX859" s="399"/>
      <c r="AY859" s="399"/>
      <c r="AZ859" s="399"/>
      <c r="BA859" s="399"/>
      <c r="BB859" s="399"/>
      <c r="BC859" s="399"/>
      <c r="BD859" s="399"/>
      <c r="BE859" s="399"/>
      <c r="BF859" s="399"/>
      <c r="BG859" s="399"/>
      <c r="BH859" s="399"/>
      <c r="BI859" s="399"/>
      <c r="BJ859" s="399"/>
      <c r="BK859" s="399"/>
      <c r="BL859" s="399"/>
      <c r="BM859" s="399"/>
      <c r="BN859" s="399"/>
      <c r="BO859" s="399"/>
      <c r="BP859" s="399"/>
      <c r="BQ859" s="399"/>
      <c r="BR859" s="399"/>
      <c r="BS859" s="399"/>
      <c r="BT859" s="399"/>
      <c r="BU859" s="399"/>
      <c r="BV859" s="399"/>
      <c r="BW859" s="399"/>
      <c r="BX859" s="399"/>
      <c r="BY859" s="399"/>
      <c r="BZ859" s="399"/>
      <c r="CA859" s="399"/>
      <c r="CB859" s="399"/>
      <c r="CC859" s="399"/>
      <c r="CD859" s="399"/>
      <c r="CE859" s="399"/>
      <c r="CF859" s="399"/>
      <c r="CG859" s="399"/>
      <c r="CH859" s="399"/>
      <c r="CI859" s="399"/>
      <c r="CJ859" s="399"/>
      <c r="CK859" s="399"/>
      <c r="CL859" s="399"/>
      <c r="CM859" s="399"/>
      <c r="CN859" s="399"/>
      <c r="CO859" s="399"/>
      <c r="CP859" s="399"/>
      <c r="CQ859" s="399"/>
      <c r="CR859" s="399"/>
      <c r="CS859" s="399"/>
      <c r="CT859" s="399"/>
      <c r="CU859" s="399"/>
      <c r="CV859" s="399"/>
      <c r="CW859" s="399"/>
      <c r="CX859" s="399"/>
      <c r="CY859" s="399"/>
      <c r="CZ859" s="399"/>
      <c r="DA859" s="399"/>
      <c r="DB859" s="399"/>
      <c r="DC859" s="399"/>
      <c r="DD859" s="399"/>
      <c r="DE859" s="399"/>
      <c r="DF859" s="399"/>
      <c r="DG859" s="399"/>
      <c r="DH859" s="399"/>
      <c r="DI859" s="399"/>
      <c r="DJ859" s="399"/>
      <c r="DK859" s="399"/>
      <c r="DL859" s="399"/>
      <c r="DM859" s="399"/>
      <c r="DN859" s="399"/>
      <c r="DO859" s="399"/>
      <c r="DP859" s="399"/>
      <c r="DQ859" s="399"/>
    </row>
    <row r="860" spans="1:121" ht="15" customHeight="1" x14ac:dyDescent="0.25">
      <c r="A860" s="266">
        <f t="shared" si="13"/>
        <v>51.733333333333334</v>
      </c>
      <c r="B860" s="389">
        <v>41304</v>
      </c>
      <c r="C860" s="390" t="s">
        <v>904</v>
      </c>
      <c r="D860" s="390" t="s">
        <v>1001</v>
      </c>
      <c r="E860" s="390" t="s">
        <v>380</v>
      </c>
      <c r="F860" s="262" t="s">
        <v>302</v>
      </c>
      <c r="G860" s="262" t="s">
        <v>306</v>
      </c>
      <c r="H860" s="261">
        <v>272</v>
      </c>
      <c r="I860" s="261"/>
      <c r="J860" s="261"/>
      <c r="K860" s="261"/>
      <c r="L860" s="261"/>
      <c r="M860" s="261"/>
      <c r="N860" s="261"/>
      <c r="O860" s="261"/>
      <c r="P860" s="261">
        <v>0</v>
      </c>
      <c r="Q860" s="261">
        <v>0</v>
      </c>
      <c r="R860" s="261"/>
      <c r="S860" s="261"/>
      <c r="T860" s="261"/>
      <c r="U860" s="261"/>
      <c r="V860" s="762"/>
      <c r="W860" s="762"/>
      <c r="X860" s="762"/>
      <c r="Y860" s="264">
        <f>IF(NFI_Expiration=1,IF($A860&lt;VLOOKUP(H$5,NFI,5,0),1,0)*Table_NFI[[#This Row],[Hygiene Kit]],Table_NFI[Hygiene Kit])</f>
        <v>0</v>
      </c>
      <c r="Z860" s="264">
        <f>IF(NFI_Expiration=1,IF($A860&lt;VLOOKUP(I$5,NFI,5,0),1,0)*Table_NFI[[#This Row],[NFI Core Kit]],Table_NFI[NFI Core Kit])</f>
        <v>0</v>
      </c>
      <c r="AA860" s="264">
        <f>IF(NFI_Expiration=1,IF($A860&lt;VLOOKUP(J$5,NFI,5,0),1,0)*Table_NFI[[#This Row],[Sanitary Kit]],Table_NFI[Sanitary Kit])</f>
        <v>0</v>
      </c>
      <c r="AB860" s="264">
        <f>IF(NFI_Expiration=1,IF($A860&lt;VLOOKUP(K$5,NFI,5,0),1,0)*Table_NFI[[#This Row],[Mosquito net]],Table_NFI[Mosquito net])</f>
        <v>0</v>
      </c>
      <c r="AC860" s="264">
        <f>IF(NFI_Expiration=1,IF($A860&lt;VLOOKUP(L$5,NFI,5,0),1,0)*Table_NFI[[#This Row],[Tarpaulin]],Table_NFI[[#This Row],[Tarpaulin]])</f>
        <v>0</v>
      </c>
      <c r="AD860" s="264">
        <f>IF(NFI_Expiration=1,IF($A860&lt;VLOOKUP(M$5,NFI,5,0),1,0)*Table_NFI[[#This Row],[Blanket]],Table_NFI[[#This Row],[Blanket]])</f>
        <v>0</v>
      </c>
      <c r="AE860" s="264">
        <f>IF(NFI_Expiration=1,IF($A860&lt;VLOOKUP(N$5,NFI,5,0),1,0)*Table_NFI[[#This Row],[Kitchen Set]],Table_NFI[Kitchen Set])</f>
        <v>0</v>
      </c>
      <c r="AF860" s="264">
        <f>IF(NFI_Expiration=1,IF($A860&lt;VLOOKUP(O$5,NFI,5,0),1,0)*Table_NFI[[#This Row],[Clothes Kit]],Table_NFI[Clothes Kit])</f>
        <v>0</v>
      </c>
      <c r="AG860" s="264">
        <f>IF(NFI_Expiration=1,IF($A860&lt;VLOOKUP(P$5,NFI,5,0),1,0)*Table_NFI[[#This Row],[Plastic Bucket]],Table_NFI[Plastic Bucket])</f>
        <v>0</v>
      </c>
      <c r="AH860" s="264">
        <f>IF(NFI_Expiration=1,IF($A860&lt;VLOOKUP(Q$5,NFI,5,0),1,0)*Table_NFI[[#This Row],[Plastic Mat]],Table_NFI[Plastic Mat])*IF(Table_NFI[[#This Row],[Distribution Date]]&gt;"2014-04-01",1,2.5)</f>
        <v>0</v>
      </c>
      <c r="AI860" s="264">
        <f>IF(NFI_Expiration=1,IF($A860&lt;VLOOKUP(R$5,NFI,5,0),1,0)*Table_NFI[[#This Row],[Winter Clothes Adult]],Table_NFI[Winter Clothes Adult])</f>
        <v>0</v>
      </c>
      <c r="AJ860" s="264">
        <f>IF(NFI_Expiration=1,IF($A860&lt;VLOOKUP(S$5,NFI,5,0),1,0)*Table_NFI[[#This Row],[Winter Clothes Children]],Table_NFI[Winter Clothes Children])</f>
        <v>0</v>
      </c>
      <c r="AK860" s="264">
        <f>IF(NFI_Expiration=1,IF($A860&lt;VLOOKUP(T$5,NFI,5,0),1,0)*Table_NFI[[#This Row],[Winter Items Other]],Table_NFI[Winter Items Other])</f>
        <v>0</v>
      </c>
      <c r="AL860" s="264">
        <f>IF(NFI_Expiration=1,IF($A860&lt;VLOOKUP(M$5,NFI,5,0),1,0)*Table_NFI[[#This Row],[Winter Blanket]],Table_NFI[[#This Row],[Winter Blanket]])</f>
        <v>0</v>
      </c>
      <c r="AM860" s="264">
        <f>IF(Table_NFI[[#This Row],[Winter Clothes Adult]]+Table_NFI[[#This Row],[Winter Clothes Children]]+Table_NFI[[#This Row],[Winter Items Other]]+Table_NFI[[#This Row],[Winter Blanket]]&gt;0,1,0)</f>
        <v>0</v>
      </c>
      <c r="AN860" s="296">
        <f>IF(NFI_Expiration=1,IF($A860&lt;VLOOKUP(V$5,NFI,5,0),1,0)*Table_NFI[[#This Row],[Jerry Can]],Table_NFI[Jerry Can])</f>
        <v>0</v>
      </c>
      <c r="AO860" s="296">
        <f>IF(NFI_Expiration=1,IF($A860&lt;VLOOKUP(V$5,NFI,5,0),1,0)*Table_NFI[[#This Row],[Shelter Tool kit]],Table_NFI[Shelter Tool kit])</f>
        <v>0</v>
      </c>
      <c r="AP860" s="296">
        <f>IF(NFI_Expiration=1,IF($A860&lt;VLOOKUP(V$5,NFI,5,0),1,0)*Table_NFI[[#This Row],[Tent]],Table_NFI[Tent])</f>
        <v>0</v>
      </c>
      <c r="AQ860" s="396" t="str">
        <f>IFERROR(VLOOKUP(Table_NFI[[#This Row],[Camp Name]],CL,2,0),"")</f>
        <v>MMR001CMP067</v>
      </c>
      <c r="AR860" s="702">
        <f ca="1">IF(Table_NFI[[#This Row],[Pcode]]="","",IF(OFFSET(CampList[Opening Date],MATCH(Table_NFI[[#This Row],[Pcode]],CampList[CP_Pcode],0)-1,0,1,1)&gt;=NFI_Monitor_Date,1,0))</f>
        <v>0</v>
      </c>
      <c r="AS860" s="396" t="str">
        <f>IFERROR(VLOOKUP(Table_NFI[[#This Row],[Camp Name]],CL,3,0),"")</f>
        <v>Open</v>
      </c>
      <c r="AT860" s="264" t="str">
        <f ca="1">IF(Table_NFI[[#This Row],[Pcode]]="","",OFFSET(CampList[Priority],MATCH(Table_NFI[[#This Row],[Pcode]],CampList[CP_Pcode],0)-1,0,1,1))</f>
        <v>P4</v>
      </c>
      <c r="AU860" s="263">
        <f>IFERROR(Table_NFI[[#This Row],[Kitchen Set]]/VLOOKUP(Table_NFI[[#This Row],[Camp Name]],CL,4,0),"")</f>
        <v>0</v>
      </c>
      <c r="AV860" s="390" t="s">
        <v>1087</v>
      </c>
      <c r="AW860" s="392"/>
    </row>
    <row r="861" spans="1:121" s="760" customFormat="1" ht="15" customHeight="1" x14ac:dyDescent="0.25">
      <c r="A861" s="266">
        <f t="shared" si="13"/>
        <v>51.766666666666666</v>
      </c>
      <c r="B861" s="389">
        <v>41303</v>
      </c>
      <c r="C861" s="390" t="s">
        <v>904</v>
      </c>
      <c r="D861" s="391" t="s">
        <v>1001</v>
      </c>
      <c r="E861" s="390" t="s">
        <v>380</v>
      </c>
      <c r="F861" s="262" t="s">
        <v>302</v>
      </c>
      <c r="G861" s="262" t="s">
        <v>308</v>
      </c>
      <c r="H861" s="261">
        <v>177</v>
      </c>
      <c r="I861" s="261"/>
      <c r="J861" s="261"/>
      <c r="K861" s="261"/>
      <c r="L861" s="261"/>
      <c r="M861" s="261"/>
      <c r="N861" s="261"/>
      <c r="O861" s="261"/>
      <c r="P861" s="261">
        <v>0</v>
      </c>
      <c r="Q861" s="261">
        <v>0</v>
      </c>
      <c r="R861" s="261"/>
      <c r="S861" s="261"/>
      <c r="T861" s="261"/>
      <c r="U861" s="261"/>
      <c r="V861" s="762"/>
      <c r="W861" s="762"/>
      <c r="X861" s="762"/>
      <c r="Y861" s="264">
        <f>IF(NFI_Expiration=1,IF($A861&lt;VLOOKUP(H$5,NFI,5,0),1,0)*Table_NFI[[#This Row],[Hygiene Kit]],Table_NFI[Hygiene Kit])</f>
        <v>0</v>
      </c>
      <c r="Z861" s="264">
        <f>IF(NFI_Expiration=1,IF($A861&lt;VLOOKUP(I$5,NFI,5,0),1,0)*Table_NFI[[#This Row],[NFI Core Kit]],Table_NFI[NFI Core Kit])</f>
        <v>0</v>
      </c>
      <c r="AA861" s="264">
        <f>IF(NFI_Expiration=1,IF($A861&lt;VLOOKUP(J$5,NFI,5,0),1,0)*Table_NFI[[#This Row],[Sanitary Kit]],Table_NFI[Sanitary Kit])</f>
        <v>0</v>
      </c>
      <c r="AB861" s="264">
        <f>IF(NFI_Expiration=1,IF($A861&lt;VLOOKUP(K$5,NFI,5,0),1,0)*Table_NFI[[#This Row],[Mosquito net]],Table_NFI[Mosquito net])</f>
        <v>0</v>
      </c>
      <c r="AC861" s="264">
        <f>IF(NFI_Expiration=1,IF($A861&lt;VLOOKUP(L$5,NFI,5,0),1,0)*Table_NFI[[#This Row],[Tarpaulin]],Table_NFI[[#This Row],[Tarpaulin]])</f>
        <v>0</v>
      </c>
      <c r="AD861" s="264">
        <f>IF(NFI_Expiration=1,IF($A861&lt;VLOOKUP(M$5,NFI,5,0),1,0)*Table_NFI[[#This Row],[Blanket]],Table_NFI[[#This Row],[Blanket]])</f>
        <v>0</v>
      </c>
      <c r="AE861" s="264">
        <f>IF(NFI_Expiration=1,IF($A861&lt;VLOOKUP(N$5,NFI,5,0),1,0)*Table_NFI[[#This Row],[Kitchen Set]],Table_NFI[Kitchen Set])</f>
        <v>0</v>
      </c>
      <c r="AF861" s="264">
        <f>IF(NFI_Expiration=1,IF($A861&lt;VLOOKUP(O$5,NFI,5,0),1,0)*Table_NFI[[#This Row],[Clothes Kit]],Table_NFI[Clothes Kit])</f>
        <v>0</v>
      </c>
      <c r="AG861" s="264">
        <f>IF(NFI_Expiration=1,IF($A861&lt;VLOOKUP(P$5,NFI,5,0),1,0)*Table_NFI[[#This Row],[Plastic Bucket]],Table_NFI[Plastic Bucket])</f>
        <v>0</v>
      </c>
      <c r="AH861" s="264">
        <f>IF(NFI_Expiration=1,IF($A861&lt;VLOOKUP(Q$5,NFI,5,0),1,0)*Table_NFI[[#This Row],[Plastic Mat]],Table_NFI[Plastic Mat])*IF(Table_NFI[[#This Row],[Distribution Date]]&gt;"2014-04-01",1,2.5)</f>
        <v>0</v>
      </c>
      <c r="AI861" s="264">
        <f>IF(NFI_Expiration=1,IF($A861&lt;VLOOKUP(R$5,NFI,5,0),1,0)*Table_NFI[[#This Row],[Winter Clothes Adult]],Table_NFI[Winter Clothes Adult])</f>
        <v>0</v>
      </c>
      <c r="AJ861" s="264">
        <f>IF(NFI_Expiration=1,IF($A861&lt;VLOOKUP(S$5,NFI,5,0),1,0)*Table_NFI[[#This Row],[Winter Clothes Children]],Table_NFI[Winter Clothes Children])</f>
        <v>0</v>
      </c>
      <c r="AK861" s="264">
        <f>IF(NFI_Expiration=1,IF($A861&lt;VLOOKUP(T$5,NFI,5,0),1,0)*Table_NFI[[#This Row],[Winter Items Other]],Table_NFI[Winter Items Other])</f>
        <v>0</v>
      </c>
      <c r="AL861" s="264">
        <f>IF(NFI_Expiration=1,IF($A861&lt;VLOOKUP(M$5,NFI,5,0),1,0)*Table_NFI[[#This Row],[Winter Blanket]],Table_NFI[[#This Row],[Winter Blanket]])</f>
        <v>0</v>
      </c>
      <c r="AM861" s="264">
        <f>IF(Table_NFI[[#This Row],[Winter Clothes Adult]]+Table_NFI[[#This Row],[Winter Clothes Children]]+Table_NFI[[#This Row],[Winter Items Other]]+Table_NFI[[#This Row],[Winter Blanket]]&gt;0,1,0)</f>
        <v>0</v>
      </c>
      <c r="AN861" s="296">
        <f>IF(NFI_Expiration=1,IF($A861&lt;VLOOKUP(V$5,NFI,5,0),1,0)*Table_NFI[[#This Row],[Jerry Can]],Table_NFI[Jerry Can])</f>
        <v>0</v>
      </c>
      <c r="AO861" s="296">
        <f>IF(NFI_Expiration=1,IF($A861&lt;VLOOKUP(V$5,NFI,5,0),1,0)*Table_NFI[[#This Row],[Shelter Tool kit]],Table_NFI[Shelter Tool kit])</f>
        <v>0</v>
      </c>
      <c r="AP861" s="296">
        <f>IF(NFI_Expiration=1,IF($A861&lt;VLOOKUP(V$5,NFI,5,0),1,0)*Table_NFI[[#This Row],[Tent]],Table_NFI[Tent])</f>
        <v>0</v>
      </c>
      <c r="AQ861" s="396" t="str">
        <f>IFERROR(VLOOKUP(Table_NFI[[#This Row],[Camp Name]],CL,2,0),"")</f>
        <v>MMR001CMP068</v>
      </c>
      <c r="AR861" s="702">
        <f ca="1">IF(Table_NFI[[#This Row],[Pcode]]="","",IF(OFFSET(CampList[Opening Date],MATCH(Table_NFI[[#This Row],[Pcode]],CampList[CP_Pcode],0)-1,0,1,1)&gt;=NFI_Monitor_Date,1,0))</f>
        <v>0</v>
      </c>
      <c r="AS861" s="396" t="str">
        <f>IFERROR(VLOOKUP(Table_NFI[[#This Row],[Camp Name]],CL,3,0),"")</f>
        <v>Open</v>
      </c>
      <c r="AT861" s="264" t="str">
        <f ca="1">IF(Table_NFI[[#This Row],[Pcode]]="","",OFFSET(CampList[Priority],MATCH(Table_NFI[[#This Row],[Pcode]],CampList[CP_Pcode],0)-1,0,1,1))</f>
        <v>P4</v>
      </c>
      <c r="AU861" s="263">
        <f>IFERROR(Table_NFI[[#This Row],[Kitchen Set]]/VLOOKUP(Table_NFI[[#This Row],[Camp Name]],CL,4,0),"")</f>
        <v>0</v>
      </c>
      <c r="AV861" s="390" t="s">
        <v>1087</v>
      </c>
      <c r="AW861" s="392"/>
      <c r="AX861" s="399"/>
      <c r="AY861" s="399"/>
      <c r="AZ861" s="399"/>
      <c r="BA861" s="399"/>
      <c r="BB861" s="399"/>
      <c r="BC861" s="399"/>
      <c r="BD861" s="399"/>
      <c r="BE861" s="399"/>
      <c r="BF861" s="399"/>
      <c r="BG861" s="399"/>
      <c r="BH861" s="399"/>
      <c r="BI861" s="399"/>
      <c r="BJ861" s="399"/>
      <c r="BK861" s="399"/>
      <c r="BL861" s="399"/>
      <c r="BM861" s="399"/>
      <c r="BN861" s="399"/>
      <c r="BO861" s="399"/>
      <c r="BP861" s="399"/>
      <c r="BQ861" s="399"/>
      <c r="BR861" s="399"/>
      <c r="BS861" s="399"/>
      <c r="BT861" s="399"/>
      <c r="BU861" s="399"/>
      <c r="BV861" s="399"/>
      <c r="BW861" s="399"/>
      <c r="BX861" s="399"/>
      <c r="BY861" s="399"/>
      <c r="BZ861" s="399"/>
      <c r="CA861" s="399"/>
      <c r="CB861" s="399"/>
      <c r="CC861" s="399"/>
      <c r="CD861" s="399"/>
      <c r="CE861" s="399"/>
      <c r="CF861" s="399"/>
      <c r="CG861" s="399"/>
      <c r="CH861" s="399"/>
      <c r="CI861" s="399"/>
      <c r="CJ861" s="399"/>
      <c r="CK861" s="399"/>
      <c r="CL861" s="399"/>
      <c r="CM861" s="399"/>
      <c r="CN861" s="399"/>
      <c r="CO861" s="399"/>
      <c r="CP861" s="399"/>
      <c r="CQ861" s="399"/>
      <c r="CR861" s="399"/>
      <c r="CS861" s="399"/>
      <c r="CT861" s="399"/>
      <c r="CU861" s="399"/>
      <c r="CV861" s="399"/>
      <c r="CW861" s="399"/>
      <c r="CX861" s="399"/>
      <c r="CY861" s="399"/>
      <c r="CZ861" s="399"/>
      <c r="DA861" s="399"/>
      <c r="DB861" s="399"/>
      <c r="DC861" s="399"/>
      <c r="DD861" s="399"/>
      <c r="DE861" s="399"/>
      <c r="DF861" s="399"/>
      <c r="DG861" s="399"/>
      <c r="DH861" s="399"/>
      <c r="DI861" s="399"/>
      <c r="DJ861" s="399"/>
      <c r="DK861" s="399"/>
      <c r="DL861" s="399"/>
      <c r="DM861" s="399"/>
      <c r="DN861" s="399"/>
      <c r="DO861" s="399"/>
      <c r="DP861" s="399"/>
      <c r="DQ861" s="399"/>
    </row>
    <row r="862" spans="1:121" s="760" customFormat="1" ht="15" customHeight="1" x14ac:dyDescent="0.25">
      <c r="A862" s="266">
        <f t="shared" si="13"/>
        <v>51.9</v>
      </c>
      <c r="B862" s="389">
        <v>41299</v>
      </c>
      <c r="C862" s="390" t="s">
        <v>904</v>
      </c>
      <c r="D862" s="390" t="s">
        <v>904</v>
      </c>
      <c r="E862" s="390" t="s">
        <v>380</v>
      </c>
      <c r="F862" s="390" t="s">
        <v>185</v>
      </c>
      <c r="G862" s="262" t="s">
        <v>217</v>
      </c>
      <c r="H862" s="261">
        <v>75</v>
      </c>
      <c r="I862" s="261"/>
      <c r="J862" s="261"/>
      <c r="K862" s="261"/>
      <c r="L862" s="261"/>
      <c r="M862" s="261"/>
      <c r="N862" s="261"/>
      <c r="O862" s="261"/>
      <c r="P862" s="261">
        <v>0</v>
      </c>
      <c r="Q862" s="261">
        <v>0</v>
      </c>
      <c r="R862" s="261"/>
      <c r="S862" s="261"/>
      <c r="T862" s="261"/>
      <c r="U862" s="261"/>
      <c r="V862" s="762"/>
      <c r="W862" s="762"/>
      <c r="X862" s="762"/>
      <c r="Y862" s="264">
        <f>IF(NFI_Expiration=1,IF($A862&lt;VLOOKUP(H$5,NFI,5,0),1,0)*Table_NFI[[#This Row],[Hygiene Kit]],Table_NFI[Hygiene Kit])</f>
        <v>0</v>
      </c>
      <c r="Z862" s="264">
        <f>IF(NFI_Expiration=1,IF($A862&lt;VLOOKUP(I$5,NFI,5,0),1,0)*Table_NFI[[#This Row],[NFI Core Kit]],Table_NFI[NFI Core Kit])</f>
        <v>0</v>
      </c>
      <c r="AA862" s="264">
        <f>IF(NFI_Expiration=1,IF($A862&lt;VLOOKUP(J$5,NFI,5,0),1,0)*Table_NFI[[#This Row],[Sanitary Kit]],Table_NFI[Sanitary Kit])</f>
        <v>0</v>
      </c>
      <c r="AB862" s="264">
        <f>IF(NFI_Expiration=1,IF($A862&lt;VLOOKUP(K$5,NFI,5,0),1,0)*Table_NFI[[#This Row],[Mosquito net]],Table_NFI[Mosquito net])</f>
        <v>0</v>
      </c>
      <c r="AC862" s="264">
        <f>IF(NFI_Expiration=1,IF($A862&lt;VLOOKUP(L$5,NFI,5,0),1,0)*Table_NFI[[#This Row],[Tarpaulin]],Table_NFI[[#This Row],[Tarpaulin]])</f>
        <v>0</v>
      </c>
      <c r="AD862" s="264">
        <f>IF(NFI_Expiration=1,IF($A862&lt;VLOOKUP(M$5,NFI,5,0),1,0)*Table_NFI[[#This Row],[Blanket]],Table_NFI[[#This Row],[Blanket]])</f>
        <v>0</v>
      </c>
      <c r="AE862" s="264">
        <f>IF(NFI_Expiration=1,IF($A862&lt;VLOOKUP(N$5,NFI,5,0),1,0)*Table_NFI[[#This Row],[Kitchen Set]],Table_NFI[Kitchen Set])</f>
        <v>0</v>
      </c>
      <c r="AF862" s="264">
        <f>IF(NFI_Expiration=1,IF($A862&lt;VLOOKUP(O$5,NFI,5,0),1,0)*Table_NFI[[#This Row],[Clothes Kit]],Table_NFI[Clothes Kit])</f>
        <v>0</v>
      </c>
      <c r="AG862" s="264">
        <f>IF(NFI_Expiration=1,IF($A862&lt;VLOOKUP(P$5,NFI,5,0),1,0)*Table_NFI[[#This Row],[Plastic Bucket]],Table_NFI[Plastic Bucket])</f>
        <v>0</v>
      </c>
      <c r="AH862" s="264">
        <f>IF(NFI_Expiration=1,IF($A862&lt;VLOOKUP(Q$5,NFI,5,0),1,0)*Table_NFI[[#This Row],[Plastic Mat]],Table_NFI[Plastic Mat])*IF(Table_NFI[[#This Row],[Distribution Date]]&gt;"2014-04-01",1,2.5)</f>
        <v>0</v>
      </c>
      <c r="AI862" s="264">
        <f>IF(NFI_Expiration=1,IF($A862&lt;VLOOKUP(R$5,NFI,5,0),1,0)*Table_NFI[[#This Row],[Winter Clothes Adult]],Table_NFI[Winter Clothes Adult])</f>
        <v>0</v>
      </c>
      <c r="AJ862" s="264">
        <f>IF(NFI_Expiration=1,IF($A862&lt;VLOOKUP(S$5,NFI,5,0),1,0)*Table_NFI[[#This Row],[Winter Clothes Children]],Table_NFI[Winter Clothes Children])</f>
        <v>0</v>
      </c>
      <c r="AK862" s="264">
        <f>IF(NFI_Expiration=1,IF($A862&lt;VLOOKUP(T$5,NFI,5,0),1,0)*Table_NFI[[#This Row],[Winter Items Other]],Table_NFI[Winter Items Other])</f>
        <v>0</v>
      </c>
      <c r="AL862" s="264">
        <f>IF(NFI_Expiration=1,IF($A862&lt;VLOOKUP(M$5,NFI,5,0),1,0)*Table_NFI[[#This Row],[Winter Blanket]],Table_NFI[[#This Row],[Winter Blanket]])</f>
        <v>0</v>
      </c>
      <c r="AM862" s="264">
        <f>IF(Table_NFI[[#This Row],[Winter Clothes Adult]]+Table_NFI[[#This Row],[Winter Clothes Children]]+Table_NFI[[#This Row],[Winter Items Other]]+Table_NFI[[#This Row],[Winter Blanket]]&gt;0,1,0)</f>
        <v>0</v>
      </c>
      <c r="AN862" s="296">
        <f>IF(NFI_Expiration=1,IF($A862&lt;VLOOKUP(V$5,NFI,5,0),1,0)*Table_NFI[[#This Row],[Jerry Can]],Table_NFI[Jerry Can])</f>
        <v>0</v>
      </c>
      <c r="AO862" s="296">
        <f>IF(NFI_Expiration=1,IF($A862&lt;VLOOKUP(V$5,NFI,5,0),1,0)*Table_NFI[[#This Row],[Shelter Tool kit]],Table_NFI[Shelter Tool kit])</f>
        <v>0</v>
      </c>
      <c r="AP862" s="296">
        <f>IF(NFI_Expiration=1,IF($A862&lt;VLOOKUP(V$5,NFI,5,0),1,0)*Table_NFI[[#This Row],[Tent]],Table_NFI[Tent])</f>
        <v>0</v>
      </c>
      <c r="AQ862" s="396" t="str">
        <f>IFERROR(VLOOKUP(Table_NFI[[#This Row],[Camp Name]],CL,2,0),"")</f>
        <v>MMR001CMP059</v>
      </c>
      <c r="AR862" s="702">
        <f ca="1">IF(Table_NFI[[#This Row],[Pcode]]="","",IF(OFFSET(CampList[Opening Date],MATCH(Table_NFI[[#This Row],[Pcode]],CampList[CP_Pcode],0)-1,0,1,1)&gt;=NFI_Monitor_Date,1,0))</f>
        <v>0</v>
      </c>
      <c r="AS862" s="396" t="str">
        <f>IFERROR(VLOOKUP(Table_NFI[[#This Row],[Camp Name]],CL,3,0),"")</f>
        <v>Closed</v>
      </c>
      <c r="AT862" s="264" t="str">
        <f ca="1">IF(Table_NFI[[#This Row],[Pcode]]="","",OFFSET(CampList[Priority],MATCH(Table_NFI[[#This Row],[Pcode]],CampList[CP_Pcode],0)-1,0,1,1))</f>
        <v>P4</v>
      </c>
      <c r="AU862" s="263">
        <f>IFERROR(Table_NFI[[#This Row],[Kitchen Set]]/VLOOKUP(Table_NFI[[#This Row],[Camp Name]],CL,4,0),"")</f>
        <v>0</v>
      </c>
      <c r="AV862" s="390" t="s">
        <v>1087</v>
      </c>
      <c r="AW862" s="392"/>
      <c r="AX862" s="399"/>
      <c r="AY862" s="399"/>
      <c r="AZ862" s="399"/>
      <c r="BA862" s="399"/>
      <c r="BB862" s="399"/>
      <c r="BC862" s="399"/>
      <c r="BD862" s="399"/>
      <c r="BE862" s="399"/>
      <c r="BF862" s="399"/>
      <c r="BG862" s="399"/>
      <c r="BH862" s="399"/>
      <c r="BI862" s="399"/>
      <c r="BJ862" s="399"/>
      <c r="BK862" s="399"/>
      <c r="BL862" s="399"/>
      <c r="BM862" s="399"/>
      <c r="BN862" s="399"/>
      <c r="BO862" s="399"/>
      <c r="BP862" s="399"/>
      <c r="BQ862" s="399"/>
      <c r="BR862" s="399"/>
      <c r="BS862" s="399"/>
      <c r="BT862" s="399"/>
      <c r="BU862" s="399"/>
      <c r="BV862" s="399"/>
      <c r="BW862" s="399"/>
      <c r="BX862" s="399"/>
      <c r="BY862" s="399"/>
      <c r="BZ862" s="399"/>
      <c r="CA862" s="399"/>
      <c r="CB862" s="399"/>
      <c r="CC862" s="399"/>
      <c r="CD862" s="399"/>
      <c r="CE862" s="399"/>
      <c r="CF862" s="399"/>
      <c r="CG862" s="399"/>
      <c r="CH862" s="399"/>
      <c r="CI862" s="399"/>
      <c r="CJ862" s="399"/>
      <c r="CK862" s="399"/>
      <c r="CL862" s="399"/>
      <c r="CM862" s="399"/>
      <c r="CN862" s="399"/>
      <c r="CO862" s="399"/>
      <c r="CP862" s="399"/>
      <c r="CQ862" s="399"/>
      <c r="CR862" s="399"/>
      <c r="CS862" s="399"/>
      <c r="CT862" s="399"/>
      <c r="CU862" s="399"/>
      <c r="CV862" s="399"/>
      <c r="CW862" s="399"/>
      <c r="CX862" s="399"/>
      <c r="CY862" s="399"/>
      <c r="CZ862" s="399"/>
      <c r="DA862" s="399"/>
      <c r="DB862" s="399"/>
      <c r="DC862" s="399"/>
      <c r="DD862" s="399"/>
      <c r="DE862" s="399"/>
      <c r="DF862" s="399"/>
      <c r="DG862" s="399"/>
      <c r="DH862" s="399"/>
      <c r="DI862" s="399"/>
      <c r="DJ862" s="399"/>
      <c r="DK862" s="399"/>
      <c r="DL862" s="399"/>
      <c r="DM862" s="399"/>
      <c r="DN862" s="399"/>
      <c r="DO862" s="399"/>
      <c r="DP862" s="399"/>
      <c r="DQ862" s="399"/>
    </row>
    <row r="863" spans="1:121" s="760" customFormat="1" ht="15" customHeight="1" x14ac:dyDescent="0.25">
      <c r="A863" s="266">
        <f t="shared" si="13"/>
        <v>51.93333333333333</v>
      </c>
      <c r="B863" s="389">
        <v>41298</v>
      </c>
      <c r="C863" s="390" t="s">
        <v>904</v>
      </c>
      <c r="D863" s="391" t="s">
        <v>904</v>
      </c>
      <c r="E863" s="390" t="s">
        <v>380</v>
      </c>
      <c r="F863" s="262" t="s">
        <v>185</v>
      </c>
      <c r="G863" s="262" t="s">
        <v>202</v>
      </c>
      <c r="H863" s="261">
        <v>200</v>
      </c>
      <c r="I863" s="261"/>
      <c r="J863" s="261"/>
      <c r="K863" s="261"/>
      <c r="L863" s="261"/>
      <c r="M863" s="261"/>
      <c r="N863" s="261"/>
      <c r="O863" s="261"/>
      <c r="P863" s="261">
        <v>0</v>
      </c>
      <c r="Q863" s="261">
        <v>0</v>
      </c>
      <c r="R863" s="261"/>
      <c r="S863" s="261"/>
      <c r="T863" s="261"/>
      <c r="U863" s="261"/>
      <c r="V863" s="762"/>
      <c r="W863" s="762"/>
      <c r="X863" s="762"/>
      <c r="Y863" s="264">
        <f>IF(NFI_Expiration=1,IF($A863&lt;VLOOKUP(H$5,NFI,5,0),1,0)*Table_NFI[[#This Row],[Hygiene Kit]],Table_NFI[Hygiene Kit])</f>
        <v>0</v>
      </c>
      <c r="Z863" s="264">
        <f>IF(NFI_Expiration=1,IF($A863&lt;VLOOKUP(I$5,NFI,5,0),1,0)*Table_NFI[[#This Row],[NFI Core Kit]],Table_NFI[NFI Core Kit])</f>
        <v>0</v>
      </c>
      <c r="AA863" s="264">
        <f>IF(NFI_Expiration=1,IF($A863&lt;VLOOKUP(J$5,NFI,5,0),1,0)*Table_NFI[[#This Row],[Sanitary Kit]],Table_NFI[Sanitary Kit])</f>
        <v>0</v>
      </c>
      <c r="AB863" s="264">
        <f>IF(NFI_Expiration=1,IF($A863&lt;VLOOKUP(K$5,NFI,5,0),1,0)*Table_NFI[[#This Row],[Mosquito net]],Table_NFI[Mosquito net])</f>
        <v>0</v>
      </c>
      <c r="AC863" s="264">
        <f>IF(NFI_Expiration=1,IF($A863&lt;VLOOKUP(L$5,NFI,5,0),1,0)*Table_NFI[[#This Row],[Tarpaulin]],Table_NFI[[#This Row],[Tarpaulin]])</f>
        <v>0</v>
      </c>
      <c r="AD863" s="264">
        <f>IF(NFI_Expiration=1,IF($A863&lt;VLOOKUP(M$5,NFI,5,0),1,0)*Table_NFI[[#This Row],[Blanket]],Table_NFI[[#This Row],[Blanket]])</f>
        <v>0</v>
      </c>
      <c r="AE863" s="264">
        <f>IF(NFI_Expiration=1,IF($A863&lt;VLOOKUP(N$5,NFI,5,0),1,0)*Table_NFI[[#This Row],[Kitchen Set]],Table_NFI[Kitchen Set])</f>
        <v>0</v>
      </c>
      <c r="AF863" s="264">
        <f>IF(NFI_Expiration=1,IF($A863&lt;VLOOKUP(O$5,NFI,5,0),1,0)*Table_NFI[[#This Row],[Clothes Kit]],Table_NFI[Clothes Kit])</f>
        <v>0</v>
      </c>
      <c r="AG863" s="264">
        <f>IF(NFI_Expiration=1,IF($A863&lt;VLOOKUP(P$5,NFI,5,0),1,0)*Table_NFI[[#This Row],[Plastic Bucket]],Table_NFI[Plastic Bucket])</f>
        <v>0</v>
      </c>
      <c r="AH863" s="264">
        <f>IF(NFI_Expiration=1,IF($A863&lt;VLOOKUP(Q$5,NFI,5,0),1,0)*Table_NFI[[#This Row],[Plastic Mat]],Table_NFI[Plastic Mat])*IF(Table_NFI[[#This Row],[Distribution Date]]&gt;"2014-04-01",1,2.5)</f>
        <v>0</v>
      </c>
      <c r="AI863" s="264">
        <f>IF(NFI_Expiration=1,IF($A863&lt;VLOOKUP(R$5,NFI,5,0),1,0)*Table_NFI[[#This Row],[Winter Clothes Adult]],Table_NFI[Winter Clothes Adult])</f>
        <v>0</v>
      </c>
      <c r="AJ863" s="264">
        <f>IF(NFI_Expiration=1,IF($A863&lt;VLOOKUP(S$5,NFI,5,0),1,0)*Table_NFI[[#This Row],[Winter Clothes Children]],Table_NFI[Winter Clothes Children])</f>
        <v>0</v>
      </c>
      <c r="AK863" s="264">
        <f>IF(NFI_Expiration=1,IF($A863&lt;VLOOKUP(T$5,NFI,5,0),1,0)*Table_NFI[[#This Row],[Winter Items Other]],Table_NFI[Winter Items Other])</f>
        <v>0</v>
      </c>
      <c r="AL863" s="264">
        <f>IF(NFI_Expiration=1,IF($A863&lt;VLOOKUP(M$5,NFI,5,0),1,0)*Table_NFI[[#This Row],[Winter Blanket]],Table_NFI[[#This Row],[Winter Blanket]])</f>
        <v>0</v>
      </c>
      <c r="AM863" s="264">
        <f>IF(Table_NFI[[#This Row],[Winter Clothes Adult]]+Table_NFI[[#This Row],[Winter Clothes Children]]+Table_NFI[[#This Row],[Winter Items Other]]+Table_NFI[[#This Row],[Winter Blanket]]&gt;0,1,0)</f>
        <v>0</v>
      </c>
      <c r="AN863" s="296">
        <f>IF(NFI_Expiration=1,IF($A863&lt;VLOOKUP(V$5,NFI,5,0),1,0)*Table_NFI[[#This Row],[Jerry Can]],Table_NFI[Jerry Can])</f>
        <v>0</v>
      </c>
      <c r="AO863" s="296">
        <f>IF(NFI_Expiration=1,IF($A863&lt;VLOOKUP(V$5,NFI,5,0),1,0)*Table_NFI[[#This Row],[Shelter Tool kit]],Table_NFI[Shelter Tool kit])</f>
        <v>0</v>
      </c>
      <c r="AP863" s="296">
        <f>IF(NFI_Expiration=1,IF($A863&lt;VLOOKUP(V$5,NFI,5,0),1,0)*Table_NFI[[#This Row],[Tent]],Table_NFI[Tent])</f>
        <v>0</v>
      </c>
      <c r="AQ863" s="396" t="str">
        <f>IFERROR(VLOOKUP(Table_NFI[[#This Row],[Camp Name]],CL,2,0),"")</f>
        <v>MMR001CMP062</v>
      </c>
      <c r="AR863" s="702">
        <f ca="1">IF(Table_NFI[[#This Row],[Pcode]]="","",IF(OFFSET(CampList[Opening Date],MATCH(Table_NFI[[#This Row],[Pcode]],CampList[CP_Pcode],0)-1,0,1,1)&gt;=NFI_Monitor_Date,1,0))</f>
        <v>0</v>
      </c>
      <c r="AS863" s="396" t="str">
        <f>IFERROR(VLOOKUP(Table_NFI[[#This Row],[Camp Name]],CL,3,0),"")</f>
        <v>Open</v>
      </c>
      <c r="AT863" s="264" t="str">
        <f ca="1">IF(Table_NFI[[#This Row],[Pcode]]="","",OFFSET(CampList[Priority],MATCH(Table_NFI[[#This Row],[Pcode]],CampList[CP_Pcode],0)-1,0,1,1))</f>
        <v>P4</v>
      </c>
      <c r="AU863" s="263">
        <f>IFERROR(Table_NFI[[#This Row],[Kitchen Set]]/VLOOKUP(Table_NFI[[#This Row],[Camp Name]],CL,4,0),"")</f>
        <v>0</v>
      </c>
      <c r="AV863" s="390" t="s">
        <v>1087</v>
      </c>
      <c r="AW863" s="392"/>
      <c r="AX863" s="399"/>
      <c r="AY863" s="399"/>
      <c r="AZ863" s="399"/>
      <c r="BA863" s="399"/>
      <c r="BB863" s="399"/>
      <c r="BC863" s="399"/>
      <c r="BD863" s="399"/>
      <c r="BE863" s="399"/>
      <c r="BF863" s="399"/>
      <c r="BG863" s="399"/>
      <c r="BH863" s="399"/>
      <c r="BI863" s="399"/>
      <c r="BJ863" s="399"/>
      <c r="BK863" s="399"/>
      <c r="BL863" s="399"/>
      <c r="BM863" s="399"/>
      <c r="BN863" s="399"/>
      <c r="BO863" s="399"/>
      <c r="BP863" s="399"/>
      <c r="BQ863" s="399"/>
      <c r="BR863" s="399"/>
      <c r="BS863" s="399"/>
      <c r="BT863" s="399"/>
      <c r="BU863" s="399"/>
      <c r="BV863" s="399"/>
      <c r="BW863" s="399"/>
      <c r="BX863" s="399"/>
      <c r="BY863" s="399"/>
      <c r="BZ863" s="399"/>
      <c r="CA863" s="399"/>
      <c r="CB863" s="399"/>
      <c r="CC863" s="399"/>
      <c r="CD863" s="399"/>
      <c r="CE863" s="399"/>
      <c r="CF863" s="399"/>
      <c r="CG863" s="399"/>
      <c r="CH863" s="399"/>
      <c r="CI863" s="399"/>
      <c r="CJ863" s="399"/>
      <c r="CK863" s="399"/>
      <c r="CL863" s="399"/>
      <c r="CM863" s="399"/>
      <c r="CN863" s="399"/>
      <c r="CO863" s="399"/>
      <c r="CP863" s="399"/>
      <c r="CQ863" s="399"/>
      <c r="CR863" s="399"/>
      <c r="CS863" s="399"/>
      <c r="CT863" s="399"/>
      <c r="CU863" s="399"/>
      <c r="CV863" s="399"/>
      <c r="CW863" s="399"/>
      <c r="CX863" s="399"/>
      <c r="CY863" s="399"/>
      <c r="CZ863" s="399"/>
      <c r="DA863" s="399"/>
      <c r="DB863" s="399"/>
      <c r="DC863" s="399"/>
      <c r="DD863" s="399"/>
      <c r="DE863" s="399"/>
      <c r="DF863" s="399"/>
      <c r="DG863" s="399"/>
      <c r="DH863" s="399"/>
      <c r="DI863" s="399"/>
      <c r="DJ863" s="399"/>
      <c r="DK863" s="399"/>
      <c r="DL863" s="399"/>
      <c r="DM863" s="399"/>
      <c r="DN863" s="399"/>
      <c r="DO863" s="399"/>
      <c r="DP863" s="399"/>
      <c r="DQ863" s="399"/>
    </row>
    <row r="864" spans="1:121" s="760" customFormat="1" ht="15" customHeight="1" x14ac:dyDescent="0.25">
      <c r="A864" s="266">
        <f t="shared" si="13"/>
        <v>51.93333333333333</v>
      </c>
      <c r="B864" s="389">
        <v>41298</v>
      </c>
      <c r="C864" s="390" t="s">
        <v>904</v>
      </c>
      <c r="D864" s="391" t="s">
        <v>904</v>
      </c>
      <c r="E864" s="390" t="s">
        <v>380</v>
      </c>
      <c r="F864" s="262" t="s">
        <v>185</v>
      </c>
      <c r="G864" s="262" t="s">
        <v>211</v>
      </c>
      <c r="H864" s="261">
        <v>793</v>
      </c>
      <c r="I864" s="261"/>
      <c r="J864" s="261"/>
      <c r="K864" s="261"/>
      <c r="L864" s="261"/>
      <c r="M864" s="261"/>
      <c r="N864" s="261"/>
      <c r="O864" s="261"/>
      <c r="P864" s="261">
        <v>0</v>
      </c>
      <c r="Q864" s="261">
        <v>0</v>
      </c>
      <c r="R864" s="261"/>
      <c r="S864" s="261"/>
      <c r="T864" s="261"/>
      <c r="U864" s="261"/>
      <c r="V864" s="762"/>
      <c r="W864" s="762"/>
      <c r="X864" s="762"/>
      <c r="Y864" s="264">
        <f>IF(NFI_Expiration=1,IF($A864&lt;VLOOKUP(H$5,NFI,5,0),1,0)*Table_NFI[[#This Row],[Hygiene Kit]],Table_NFI[Hygiene Kit])</f>
        <v>0</v>
      </c>
      <c r="Z864" s="264">
        <f>IF(NFI_Expiration=1,IF($A864&lt;VLOOKUP(I$5,NFI,5,0),1,0)*Table_NFI[[#This Row],[NFI Core Kit]],Table_NFI[NFI Core Kit])</f>
        <v>0</v>
      </c>
      <c r="AA864" s="264">
        <f>IF(NFI_Expiration=1,IF($A864&lt;VLOOKUP(J$5,NFI,5,0),1,0)*Table_NFI[[#This Row],[Sanitary Kit]],Table_NFI[Sanitary Kit])</f>
        <v>0</v>
      </c>
      <c r="AB864" s="264">
        <f>IF(NFI_Expiration=1,IF($A864&lt;VLOOKUP(K$5,NFI,5,0),1,0)*Table_NFI[[#This Row],[Mosquito net]],Table_NFI[Mosquito net])</f>
        <v>0</v>
      </c>
      <c r="AC864" s="264">
        <f>IF(NFI_Expiration=1,IF($A864&lt;VLOOKUP(L$5,NFI,5,0),1,0)*Table_NFI[[#This Row],[Tarpaulin]],Table_NFI[[#This Row],[Tarpaulin]])</f>
        <v>0</v>
      </c>
      <c r="AD864" s="264">
        <f>IF(NFI_Expiration=1,IF($A864&lt;VLOOKUP(M$5,NFI,5,0),1,0)*Table_NFI[[#This Row],[Blanket]],Table_NFI[[#This Row],[Blanket]])</f>
        <v>0</v>
      </c>
      <c r="AE864" s="264">
        <f>IF(NFI_Expiration=1,IF($A864&lt;VLOOKUP(N$5,NFI,5,0),1,0)*Table_NFI[[#This Row],[Kitchen Set]],Table_NFI[Kitchen Set])</f>
        <v>0</v>
      </c>
      <c r="AF864" s="264">
        <f>IF(NFI_Expiration=1,IF($A864&lt;VLOOKUP(O$5,NFI,5,0),1,0)*Table_NFI[[#This Row],[Clothes Kit]],Table_NFI[Clothes Kit])</f>
        <v>0</v>
      </c>
      <c r="AG864" s="264">
        <f>IF(NFI_Expiration=1,IF($A864&lt;VLOOKUP(P$5,NFI,5,0),1,0)*Table_NFI[[#This Row],[Plastic Bucket]],Table_NFI[Plastic Bucket])</f>
        <v>0</v>
      </c>
      <c r="AH864" s="264">
        <f>IF(NFI_Expiration=1,IF($A864&lt;VLOOKUP(Q$5,NFI,5,0),1,0)*Table_NFI[[#This Row],[Plastic Mat]],Table_NFI[Plastic Mat])*IF(Table_NFI[[#This Row],[Distribution Date]]&gt;"2014-04-01",1,2.5)</f>
        <v>0</v>
      </c>
      <c r="AI864" s="264">
        <f>IF(NFI_Expiration=1,IF($A864&lt;VLOOKUP(R$5,NFI,5,0),1,0)*Table_NFI[[#This Row],[Winter Clothes Adult]],Table_NFI[Winter Clothes Adult])</f>
        <v>0</v>
      </c>
      <c r="AJ864" s="264">
        <f>IF(NFI_Expiration=1,IF($A864&lt;VLOOKUP(S$5,NFI,5,0),1,0)*Table_NFI[[#This Row],[Winter Clothes Children]],Table_NFI[Winter Clothes Children])</f>
        <v>0</v>
      </c>
      <c r="AK864" s="264">
        <f>IF(NFI_Expiration=1,IF($A864&lt;VLOOKUP(T$5,NFI,5,0),1,0)*Table_NFI[[#This Row],[Winter Items Other]],Table_NFI[Winter Items Other])</f>
        <v>0</v>
      </c>
      <c r="AL864" s="264">
        <f>IF(NFI_Expiration=1,IF($A864&lt;VLOOKUP(M$5,NFI,5,0),1,0)*Table_NFI[[#This Row],[Winter Blanket]],Table_NFI[[#This Row],[Winter Blanket]])</f>
        <v>0</v>
      </c>
      <c r="AM864" s="264">
        <f>IF(Table_NFI[[#This Row],[Winter Clothes Adult]]+Table_NFI[[#This Row],[Winter Clothes Children]]+Table_NFI[[#This Row],[Winter Items Other]]+Table_NFI[[#This Row],[Winter Blanket]]&gt;0,1,0)</f>
        <v>0</v>
      </c>
      <c r="AN864" s="296">
        <f>IF(NFI_Expiration=1,IF($A864&lt;VLOOKUP(V$5,NFI,5,0),1,0)*Table_NFI[[#This Row],[Jerry Can]],Table_NFI[Jerry Can])</f>
        <v>0</v>
      </c>
      <c r="AO864" s="296">
        <f>IF(NFI_Expiration=1,IF($A864&lt;VLOOKUP(V$5,NFI,5,0),1,0)*Table_NFI[[#This Row],[Shelter Tool kit]],Table_NFI[Shelter Tool kit])</f>
        <v>0</v>
      </c>
      <c r="AP864" s="296">
        <f>IF(NFI_Expiration=1,IF($A864&lt;VLOOKUP(V$5,NFI,5,0),1,0)*Table_NFI[[#This Row],[Tent]],Table_NFI[Tent])</f>
        <v>0</v>
      </c>
      <c r="AQ864" s="396" t="str">
        <f>IFERROR(VLOOKUP(Table_NFI[[#This Row],[Camp Name]],CL,2,0),"")</f>
        <v>MMR001CMP057</v>
      </c>
      <c r="AR864" s="702">
        <f ca="1">IF(Table_NFI[[#This Row],[Pcode]]="","",IF(OFFSET(CampList[Opening Date],MATCH(Table_NFI[[#This Row],[Pcode]],CampList[CP_Pcode],0)-1,0,1,1)&gt;=NFI_Monitor_Date,1,0))</f>
        <v>0</v>
      </c>
      <c r="AS864" s="396" t="str">
        <f>IFERROR(VLOOKUP(Table_NFI[[#This Row],[Camp Name]],CL,3,0),"")</f>
        <v>Closed</v>
      </c>
      <c r="AT864" s="264" t="str">
        <f ca="1">IF(Table_NFI[[#This Row],[Pcode]]="","",OFFSET(CampList[Priority],MATCH(Table_NFI[[#This Row],[Pcode]],CampList[CP_Pcode],0)-1,0,1,1))</f>
        <v>P4</v>
      </c>
      <c r="AU864" s="263">
        <f>IFERROR(Table_NFI[[#This Row],[Kitchen Set]]/VLOOKUP(Table_NFI[[#This Row],[Camp Name]],CL,4,0),"")</f>
        <v>0</v>
      </c>
      <c r="AV864" s="390" t="s">
        <v>1087</v>
      </c>
      <c r="AW864" s="392"/>
      <c r="AX864" s="399"/>
      <c r="AY864" s="399"/>
      <c r="AZ864" s="399"/>
      <c r="BA864" s="399"/>
      <c r="BB864" s="399"/>
      <c r="BC864" s="399"/>
      <c r="BD864" s="399"/>
      <c r="BE864" s="399"/>
      <c r="BF864" s="399"/>
      <c r="BG864" s="399"/>
      <c r="BH864" s="399"/>
      <c r="BI864" s="399"/>
      <c r="BJ864" s="399"/>
      <c r="BK864" s="399"/>
      <c r="BL864" s="399"/>
      <c r="BM864" s="399"/>
      <c r="BN864" s="399"/>
      <c r="BO864" s="399"/>
      <c r="BP864" s="399"/>
      <c r="BQ864" s="399"/>
      <c r="BR864" s="399"/>
      <c r="BS864" s="399"/>
      <c r="BT864" s="399"/>
      <c r="BU864" s="399"/>
      <c r="BV864" s="399"/>
      <c r="BW864" s="399"/>
      <c r="BX864" s="399"/>
      <c r="BY864" s="399"/>
      <c r="BZ864" s="399"/>
      <c r="CA864" s="399"/>
      <c r="CB864" s="399"/>
      <c r="CC864" s="399"/>
      <c r="CD864" s="399"/>
      <c r="CE864" s="399"/>
      <c r="CF864" s="399"/>
      <c r="CG864" s="399"/>
      <c r="CH864" s="399"/>
      <c r="CI864" s="399"/>
      <c r="CJ864" s="399"/>
      <c r="CK864" s="399"/>
      <c r="CL864" s="399"/>
      <c r="CM864" s="399"/>
      <c r="CN864" s="399"/>
      <c r="CO864" s="399"/>
      <c r="CP864" s="399"/>
      <c r="CQ864" s="399"/>
      <c r="CR864" s="399"/>
      <c r="CS864" s="399"/>
      <c r="CT864" s="399"/>
      <c r="CU864" s="399"/>
      <c r="CV864" s="399"/>
      <c r="CW864" s="399"/>
      <c r="CX864" s="399"/>
      <c r="CY864" s="399"/>
      <c r="CZ864" s="399"/>
      <c r="DA864" s="399"/>
      <c r="DB864" s="399"/>
      <c r="DC864" s="399"/>
      <c r="DD864" s="399"/>
      <c r="DE864" s="399"/>
      <c r="DF864" s="399"/>
      <c r="DG864" s="399"/>
      <c r="DH864" s="399"/>
      <c r="DI864" s="399"/>
      <c r="DJ864" s="399"/>
      <c r="DK864" s="399"/>
      <c r="DL864" s="399"/>
      <c r="DM864" s="399"/>
      <c r="DN864" s="399"/>
      <c r="DO864" s="399"/>
      <c r="DP864" s="399"/>
      <c r="DQ864" s="399"/>
    </row>
    <row r="865" spans="1:121" s="760" customFormat="1" ht="15" customHeight="1" x14ac:dyDescent="0.25">
      <c r="A865" s="266">
        <f t="shared" si="13"/>
        <v>52</v>
      </c>
      <c r="B865" s="389">
        <v>41296</v>
      </c>
      <c r="C865" s="390" t="s">
        <v>904</v>
      </c>
      <c r="D865" s="391" t="s">
        <v>904</v>
      </c>
      <c r="E865" s="390" t="s">
        <v>380</v>
      </c>
      <c r="F865" s="262" t="s">
        <v>5</v>
      </c>
      <c r="G865" s="262" t="s">
        <v>22</v>
      </c>
      <c r="H865" s="261">
        <v>1824</v>
      </c>
      <c r="I865" s="261"/>
      <c r="J865" s="261"/>
      <c r="K865" s="261"/>
      <c r="L865" s="261"/>
      <c r="M865" s="261"/>
      <c r="N865" s="261"/>
      <c r="O865" s="261"/>
      <c r="P865" s="261">
        <v>0</v>
      </c>
      <c r="Q865" s="261">
        <v>0</v>
      </c>
      <c r="R865" s="261"/>
      <c r="S865" s="261"/>
      <c r="T865" s="261"/>
      <c r="U865" s="261"/>
      <c r="V865" s="762"/>
      <c r="W865" s="762"/>
      <c r="X865" s="762"/>
      <c r="Y865" s="264">
        <f>IF(NFI_Expiration=1,IF($A865&lt;VLOOKUP(H$5,NFI,5,0),1,0)*Table_NFI[[#This Row],[Hygiene Kit]],Table_NFI[Hygiene Kit])</f>
        <v>0</v>
      </c>
      <c r="Z865" s="264">
        <f>IF(NFI_Expiration=1,IF($A865&lt;VLOOKUP(I$5,NFI,5,0),1,0)*Table_NFI[[#This Row],[NFI Core Kit]],Table_NFI[NFI Core Kit])</f>
        <v>0</v>
      </c>
      <c r="AA865" s="264">
        <f>IF(NFI_Expiration=1,IF($A865&lt;VLOOKUP(J$5,NFI,5,0),1,0)*Table_NFI[[#This Row],[Sanitary Kit]],Table_NFI[Sanitary Kit])</f>
        <v>0</v>
      </c>
      <c r="AB865" s="264">
        <f>IF(NFI_Expiration=1,IF($A865&lt;VLOOKUP(K$5,NFI,5,0),1,0)*Table_NFI[[#This Row],[Mosquito net]],Table_NFI[Mosquito net])</f>
        <v>0</v>
      </c>
      <c r="AC865" s="264">
        <f>IF(NFI_Expiration=1,IF($A865&lt;VLOOKUP(L$5,NFI,5,0),1,0)*Table_NFI[[#This Row],[Tarpaulin]],Table_NFI[[#This Row],[Tarpaulin]])</f>
        <v>0</v>
      </c>
      <c r="AD865" s="264">
        <f>IF(NFI_Expiration=1,IF($A865&lt;VLOOKUP(M$5,NFI,5,0),1,0)*Table_NFI[[#This Row],[Blanket]],Table_NFI[[#This Row],[Blanket]])</f>
        <v>0</v>
      </c>
      <c r="AE865" s="264">
        <f>IF(NFI_Expiration=1,IF($A865&lt;VLOOKUP(N$5,NFI,5,0),1,0)*Table_NFI[[#This Row],[Kitchen Set]],Table_NFI[Kitchen Set])</f>
        <v>0</v>
      </c>
      <c r="AF865" s="264">
        <f>IF(NFI_Expiration=1,IF($A865&lt;VLOOKUP(O$5,NFI,5,0),1,0)*Table_NFI[[#This Row],[Clothes Kit]],Table_NFI[Clothes Kit])</f>
        <v>0</v>
      </c>
      <c r="AG865" s="264">
        <f>IF(NFI_Expiration=1,IF($A865&lt;VLOOKUP(P$5,NFI,5,0),1,0)*Table_NFI[[#This Row],[Plastic Bucket]],Table_NFI[Plastic Bucket])</f>
        <v>0</v>
      </c>
      <c r="AH865" s="264">
        <f>IF(NFI_Expiration=1,IF($A865&lt;VLOOKUP(Q$5,NFI,5,0),1,0)*Table_NFI[[#This Row],[Plastic Mat]],Table_NFI[Plastic Mat])*IF(Table_NFI[[#This Row],[Distribution Date]]&gt;"2014-04-01",1,2.5)</f>
        <v>0</v>
      </c>
      <c r="AI865" s="264">
        <f>IF(NFI_Expiration=1,IF($A865&lt;VLOOKUP(R$5,NFI,5,0),1,0)*Table_NFI[[#This Row],[Winter Clothes Adult]],Table_NFI[Winter Clothes Adult])</f>
        <v>0</v>
      </c>
      <c r="AJ865" s="264">
        <f>IF(NFI_Expiration=1,IF($A865&lt;VLOOKUP(S$5,NFI,5,0),1,0)*Table_NFI[[#This Row],[Winter Clothes Children]],Table_NFI[Winter Clothes Children])</f>
        <v>0</v>
      </c>
      <c r="AK865" s="264">
        <f>IF(NFI_Expiration=1,IF($A865&lt;VLOOKUP(T$5,NFI,5,0),1,0)*Table_NFI[[#This Row],[Winter Items Other]],Table_NFI[Winter Items Other])</f>
        <v>0</v>
      </c>
      <c r="AL865" s="264">
        <f>IF(NFI_Expiration=1,IF($A865&lt;VLOOKUP(M$5,NFI,5,0),1,0)*Table_NFI[[#This Row],[Winter Blanket]],Table_NFI[[#This Row],[Winter Blanket]])</f>
        <v>0</v>
      </c>
      <c r="AM865" s="264">
        <f>IF(Table_NFI[[#This Row],[Winter Clothes Adult]]+Table_NFI[[#This Row],[Winter Clothes Children]]+Table_NFI[[#This Row],[Winter Items Other]]+Table_NFI[[#This Row],[Winter Blanket]]&gt;0,1,0)</f>
        <v>0</v>
      </c>
      <c r="AN865" s="296">
        <f>IF(NFI_Expiration=1,IF($A865&lt;VLOOKUP(V$5,NFI,5,0),1,0)*Table_NFI[[#This Row],[Jerry Can]],Table_NFI[Jerry Can])</f>
        <v>0</v>
      </c>
      <c r="AO865" s="296">
        <f>IF(NFI_Expiration=1,IF($A865&lt;VLOOKUP(V$5,NFI,5,0),1,0)*Table_NFI[[#This Row],[Shelter Tool kit]],Table_NFI[Shelter Tool kit])</f>
        <v>0</v>
      </c>
      <c r="AP865" s="296">
        <f>IF(NFI_Expiration=1,IF($A865&lt;VLOOKUP(V$5,NFI,5,0),1,0)*Table_NFI[[#This Row],[Tent]],Table_NFI[Tent])</f>
        <v>0</v>
      </c>
      <c r="AQ865" s="396" t="str">
        <f>IFERROR(VLOOKUP(Table_NFI[[#This Row],[Camp Name]],CL,2,0),"")</f>
        <v>MMR001CMP047</v>
      </c>
      <c r="AR865" s="702">
        <f ca="1">IF(Table_NFI[[#This Row],[Pcode]]="","",IF(OFFSET(CampList[Opening Date],MATCH(Table_NFI[[#This Row],[Pcode]],CampList[CP_Pcode],0)-1,0,1,1)&gt;=NFI_Monitor_Date,1,0))</f>
        <v>0</v>
      </c>
      <c r="AS865" s="396" t="str">
        <f>IFERROR(VLOOKUP(Table_NFI[[#This Row],[Camp Name]],CL,3,0),"")</f>
        <v>Open</v>
      </c>
      <c r="AT865" s="264" t="str">
        <f ca="1">IF(Table_NFI[[#This Row],[Pcode]]="","",OFFSET(CampList[Priority],MATCH(Table_NFI[[#This Row],[Pcode]],CampList[CP_Pcode],0)-1,0,1,1))</f>
        <v>P4</v>
      </c>
      <c r="AU865" s="263">
        <f>IFERROR(Table_NFI[[#This Row],[Kitchen Set]]/VLOOKUP(Table_NFI[[#This Row],[Camp Name]],CL,4,0),"")</f>
        <v>0</v>
      </c>
      <c r="AV865" s="390" t="s">
        <v>1087</v>
      </c>
      <c r="AW865" s="392"/>
      <c r="AX865" s="399"/>
      <c r="AY865" s="399"/>
      <c r="AZ865" s="399"/>
      <c r="BA865" s="399"/>
      <c r="BB865" s="399"/>
      <c r="BC865" s="399"/>
      <c r="BD865" s="399"/>
      <c r="BE865" s="399"/>
      <c r="BF865" s="399"/>
      <c r="BG865" s="399"/>
      <c r="BH865" s="399"/>
      <c r="BI865" s="399"/>
      <c r="BJ865" s="399"/>
      <c r="BK865" s="399"/>
      <c r="BL865" s="399"/>
      <c r="BM865" s="399"/>
      <c r="BN865" s="399"/>
      <c r="BO865" s="399"/>
      <c r="BP865" s="399"/>
      <c r="BQ865" s="399"/>
      <c r="BR865" s="399"/>
      <c r="BS865" s="399"/>
      <c r="BT865" s="399"/>
      <c r="BU865" s="399"/>
      <c r="BV865" s="399"/>
      <c r="BW865" s="399"/>
      <c r="BX865" s="399"/>
      <c r="BY865" s="399"/>
      <c r="BZ865" s="399"/>
      <c r="CA865" s="399"/>
      <c r="CB865" s="399"/>
      <c r="CC865" s="399"/>
      <c r="CD865" s="399"/>
      <c r="CE865" s="399"/>
      <c r="CF865" s="399"/>
      <c r="CG865" s="399"/>
      <c r="CH865" s="399"/>
      <c r="CI865" s="399"/>
      <c r="CJ865" s="399"/>
      <c r="CK865" s="399"/>
      <c r="CL865" s="399"/>
      <c r="CM865" s="399"/>
      <c r="CN865" s="399"/>
      <c r="CO865" s="399"/>
      <c r="CP865" s="399"/>
      <c r="CQ865" s="399"/>
      <c r="CR865" s="399"/>
      <c r="CS865" s="399"/>
      <c r="CT865" s="399"/>
      <c r="CU865" s="399"/>
      <c r="CV865" s="399"/>
      <c r="CW865" s="399"/>
      <c r="CX865" s="399"/>
      <c r="CY865" s="399"/>
      <c r="CZ865" s="399"/>
      <c r="DA865" s="399"/>
      <c r="DB865" s="399"/>
      <c r="DC865" s="399"/>
      <c r="DD865" s="399"/>
      <c r="DE865" s="399"/>
      <c r="DF865" s="399"/>
      <c r="DG865" s="399"/>
      <c r="DH865" s="399"/>
      <c r="DI865" s="399"/>
      <c r="DJ865" s="399"/>
      <c r="DK865" s="399"/>
      <c r="DL865" s="399"/>
      <c r="DM865" s="399"/>
      <c r="DN865" s="399"/>
      <c r="DO865" s="399"/>
      <c r="DP865" s="399"/>
      <c r="DQ865" s="399"/>
    </row>
    <row r="866" spans="1:121" s="760" customFormat="1" ht="15" customHeight="1" x14ac:dyDescent="0.25">
      <c r="A866" s="266">
        <f t="shared" si="13"/>
        <v>52.033333333333331</v>
      </c>
      <c r="B866" s="389">
        <v>41295</v>
      </c>
      <c r="C866" s="390" t="s">
        <v>904</v>
      </c>
      <c r="D866" s="390" t="s">
        <v>904</v>
      </c>
      <c r="E866" s="390" t="s">
        <v>380</v>
      </c>
      <c r="F866" s="262" t="s">
        <v>5</v>
      </c>
      <c r="G866" s="262" t="s">
        <v>20</v>
      </c>
      <c r="H866" s="261">
        <v>85</v>
      </c>
      <c r="I866" s="261"/>
      <c r="J866" s="261"/>
      <c r="K866" s="261"/>
      <c r="L866" s="261"/>
      <c r="M866" s="261"/>
      <c r="N866" s="261"/>
      <c r="O866" s="261"/>
      <c r="P866" s="261">
        <v>0</v>
      </c>
      <c r="Q866" s="261">
        <v>0</v>
      </c>
      <c r="R866" s="261"/>
      <c r="S866" s="261"/>
      <c r="T866" s="261"/>
      <c r="U866" s="261"/>
      <c r="V866" s="762"/>
      <c r="W866" s="261"/>
      <c r="X866" s="261"/>
      <c r="Y866" s="264">
        <f>IF(NFI_Expiration=1,IF($A866&lt;VLOOKUP(H$5,NFI,5,0),1,0)*Table_NFI[[#This Row],[Hygiene Kit]],Table_NFI[Hygiene Kit])</f>
        <v>0</v>
      </c>
      <c r="Z866" s="264">
        <f>IF(NFI_Expiration=1,IF($A866&lt;VLOOKUP(I$5,NFI,5,0),1,0)*Table_NFI[[#This Row],[NFI Core Kit]],Table_NFI[NFI Core Kit])</f>
        <v>0</v>
      </c>
      <c r="AA866" s="264">
        <f>IF(NFI_Expiration=1,IF($A866&lt;VLOOKUP(J$5,NFI,5,0),1,0)*Table_NFI[[#This Row],[Sanitary Kit]],Table_NFI[Sanitary Kit])</f>
        <v>0</v>
      </c>
      <c r="AB866" s="264">
        <f>IF(NFI_Expiration=1,IF($A866&lt;VLOOKUP(K$5,NFI,5,0),1,0)*Table_NFI[[#This Row],[Mosquito net]],Table_NFI[Mosquito net])</f>
        <v>0</v>
      </c>
      <c r="AC866" s="264">
        <f>IF(NFI_Expiration=1,IF($A866&lt;VLOOKUP(L$5,NFI,5,0),1,0)*Table_NFI[[#This Row],[Tarpaulin]],Table_NFI[[#This Row],[Tarpaulin]])</f>
        <v>0</v>
      </c>
      <c r="AD866" s="264">
        <f>IF(NFI_Expiration=1,IF($A866&lt;VLOOKUP(M$5,NFI,5,0),1,0)*Table_NFI[[#This Row],[Blanket]],Table_NFI[[#This Row],[Blanket]])</f>
        <v>0</v>
      </c>
      <c r="AE866" s="264">
        <f>IF(NFI_Expiration=1,IF($A866&lt;VLOOKUP(N$5,NFI,5,0),1,0)*Table_NFI[[#This Row],[Kitchen Set]],Table_NFI[Kitchen Set])</f>
        <v>0</v>
      </c>
      <c r="AF866" s="264">
        <f>IF(NFI_Expiration=1,IF($A866&lt;VLOOKUP(O$5,NFI,5,0),1,0)*Table_NFI[[#This Row],[Clothes Kit]],Table_NFI[Clothes Kit])</f>
        <v>0</v>
      </c>
      <c r="AG866" s="264">
        <f>IF(NFI_Expiration=1,IF($A866&lt;VLOOKUP(P$5,NFI,5,0),1,0)*Table_NFI[[#This Row],[Plastic Bucket]],Table_NFI[Plastic Bucket])</f>
        <v>0</v>
      </c>
      <c r="AH866" s="264">
        <f>IF(NFI_Expiration=1,IF($A866&lt;VLOOKUP(Q$5,NFI,5,0),1,0)*Table_NFI[[#This Row],[Plastic Mat]],Table_NFI[Plastic Mat])*IF(Table_NFI[[#This Row],[Distribution Date]]&gt;"2014-04-01",1,2.5)</f>
        <v>0</v>
      </c>
      <c r="AI866" s="264">
        <f>IF(NFI_Expiration=1,IF($A866&lt;VLOOKUP(R$5,NFI,5,0),1,0)*Table_NFI[[#This Row],[Winter Clothes Adult]],Table_NFI[Winter Clothes Adult])</f>
        <v>0</v>
      </c>
      <c r="AJ866" s="264">
        <f>IF(NFI_Expiration=1,IF($A866&lt;VLOOKUP(S$5,NFI,5,0),1,0)*Table_NFI[[#This Row],[Winter Clothes Children]],Table_NFI[Winter Clothes Children])</f>
        <v>0</v>
      </c>
      <c r="AK866" s="264">
        <f>IF(NFI_Expiration=1,IF($A866&lt;VLOOKUP(T$5,NFI,5,0),1,0)*Table_NFI[[#This Row],[Winter Items Other]],Table_NFI[Winter Items Other])</f>
        <v>0</v>
      </c>
      <c r="AL866" s="264">
        <f>IF(NFI_Expiration=1,IF($A866&lt;VLOOKUP(M$5,NFI,5,0),1,0)*Table_NFI[[#This Row],[Winter Blanket]],Table_NFI[[#This Row],[Winter Blanket]])</f>
        <v>0</v>
      </c>
      <c r="AM866" s="264">
        <f>IF(Table_NFI[[#This Row],[Winter Clothes Adult]]+Table_NFI[[#This Row],[Winter Clothes Children]]+Table_NFI[[#This Row],[Winter Items Other]]+Table_NFI[[#This Row],[Winter Blanket]]&gt;0,1,0)</f>
        <v>0</v>
      </c>
      <c r="AN866" s="296">
        <f>IF(NFI_Expiration=1,IF($A866&lt;VLOOKUP(V$5,NFI,5,0),1,0)*Table_NFI[[#This Row],[Jerry Can]],Table_NFI[Jerry Can])</f>
        <v>0</v>
      </c>
      <c r="AO866" s="296">
        <f>IF(NFI_Expiration=1,IF($A866&lt;VLOOKUP(V$5,NFI,5,0),1,0)*Table_NFI[[#This Row],[Shelter Tool kit]],Table_NFI[Shelter Tool kit])</f>
        <v>0</v>
      </c>
      <c r="AP866" s="296">
        <f>IF(NFI_Expiration=1,IF($A866&lt;VLOOKUP(V$5,NFI,5,0),1,0)*Table_NFI[[#This Row],[Tent]],Table_NFI[Tent])</f>
        <v>0</v>
      </c>
      <c r="AQ866" s="396" t="str">
        <f>IFERROR(VLOOKUP(Table_NFI[[#This Row],[Camp Name]],CL,2,0),"")</f>
        <v>MMR001CMP054</v>
      </c>
      <c r="AR866" s="702">
        <f ca="1">IF(Table_NFI[[#This Row],[Pcode]]="","",IF(OFFSET(CampList[Opening Date],MATCH(Table_NFI[[#This Row],[Pcode]],CampList[CP_Pcode],0)-1,0,1,1)&gt;=NFI_Monitor_Date,1,0))</f>
        <v>0</v>
      </c>
      <c r="AS866" s="396" t="str">
        <f>IFERROR(VLOOKUP(Table_NFI[[#This Row],[Camp Name]],CL,3,0),"")</f>
        <v>Open</v>
      </c>
      <c r="AT866" s="264" t="str">
        <f ca="1">IF(Table_NFI[[#This Row],[Pcode]]="","",OFFSET(CampList[Priority],MATCH(Table_NFI[[#This Row],[Pcode]],CampList[CP_Pcode],0)-1,0,1,1))</f>
        <v>P4</v>
      </c>
      <c r="AU866" s="263">
        <f>IFERROR(Table_NFI[[#This Row],[Kitchen Set]]/VLOOKUP(Table_NFI[[#This Row],[Camp Name]],CL,4,0),"")</f>
        <v>0</v>
      </c>
      <c r="AV866" s="390" t="s">
        <v>1087</v>
      </c>
      <c r="AW866" s="392"/>
      <c r="AX866" s="399"/>
      <c r="AY866" s="399"/>
      <c r="AZ866" s="399"/>
      <c r="BA866" s="399"/>
      <c r="BB866" s="399"/>
      <c r="BC866" s="399"/>
      <c r="BD866" s="399"/>
      <c r="BE866" s="399"/>
      <c r="BF866" s="399"/>
      <c r="BG866" s="399"/>
      <c r="BH866" s="399"/>
      <c r="BI866" s="399"/>
      <c r="BJ866" s="399"/>
      <c r="BK866" s="399"/>
      <c r="BL866" s="399"/>
      <c r="BM866" s="399"/>
      <c r="BN866" s="399"/>
      <c r="BO866" s="399"/>
      <c r="BP866" s="399"/>
      <c r="BQ866" s="399"/>
      <c r="BR866" s="399"/>
      <c r="BS866" s="399"/>
      <c r="BT866" s="399"/>
      <c r="BU866" s="399"/>
      <c r="BV866" s="399"/>
      <c r="BW866" s="399"/>
      <c r="BX866" s="399"/>
      <c r="BY866" s="399"/>
      <c r="BZ866" s="399"/>
      <c r="CA866" s="399"/>
      <c r="CB866" s="399"/>
      <c r="CC866" s="399"/>
      <c r="CD866" s="399"/>
      <c r="CE866" s="399"/>
      <c r="CF866" s="399"/>
      <c r="CG866" s="399"/>
      <c r="CH866" s="399"/>
      <c r="CI866" s="399"/>
      <c r="CJ866" s="399"/>
      <c r="CK866" s="399"/>
      <c r="CL866" s="399"/>
      <c r="CM866" s="399"/>
      <c r="CN866" s="399"/>
      <c r="CO866" s="399"/>
      <c r="CP866" s="399"/>
      <c r="CQ866" s="399"/>
      <c r="CR866" s="399"/>
      <c r="CS866" s="399"/>
      <c r="CT866" s="399"/>
      <c r="CU866" s="399"/>
      <c r="CV866" s="399"/>
      <c r="CW866" s="399"/>
      <c r="CX866" s="399"/>
      <c r="CY866" s="399"/>
      <c r="CZ866" s="399"/>
      <c r="DA866" s="399"/>
      <c r="DB866" s="399"/>
      <c r="DC866" s="399"/>
      <c r="DD866" s="399"/>
      <c r="DE866" s="399"/>
      <c r="DF866" s="399"/>
      <c r="DG866" s="399"/>
      <c r="DH866" s="399"/>
      <c r="DI866" s="399"/>
      <c r="DJ866" s="399"/>
      <c r="DK866" s="399"/>
      <c r="DL866" s="399"/>
      <c r="DM866" s="399"/>
      <c r="DN866" s="399"/>
      <c r="DO866" s="399"/>
      <c r="DP866" s="399"/>
      <c r="DQ866" s="399"/>
    </row>
    <row r="867" spans="1:121" s="760" customFormat="1" ht="14.45" customHeight="1" x14ac:dyDescent="0.25">
      <c r="A867" s="266">
        <f t="shared" si="13"/>
        <v>52.2</v>
      </c>
      <c r="B867" s="389">
        <v>41290</v>
      </c>
      <c r="C867" s="390" t="s">
        <v>904</v>
      </c>
      <c r="D867" s="391" t="s">
        <v>904</v>
      </c>
      <c r="E867" s="390" t="s">
        <v>380</v>
      </c>
      <c r="F867" s="262" t="s">
        <v>185</v>
      </c>
      <c r="G867" s="262" t="s">
        <v>209</v>
      </c>
      <c r="H867" s="261">
        <v>1215</v>
      </c>
      <c r="I867" s="261"/>
      <c r="J867" s="261"/>
      <c r="K867" s="261"/>
      <c r="L867" s="261"/>
      <c r="M867" s="261"/>
      <c r="N867" s="261"/>
      <c r="O867" s="261"/>
      <c r="P867" s="261">
        <v>0</v>
      </c>
      <c r="Q867" s="261">
        <v>0</v>
      </c>
      <c r="R867" s="261"/>
      <c r="S867" s="261"/>
      <c r="T867" s="261"/>
      <c r="U867" s="261"/>
      <c r="V867" s="762"/>
      <c r="W867" s="261"/>
      <c r="X867" s="261"/>
      <c r="Y867" s="264">
        <f>IF(NFI_Expiration=1,IF($A867&lt;VLOOKUP(H$5,NFI,5,0),1,0)*Table_NFI[[#This Row],[Hygiene Kit]],Table_NFI[Hygiene Kit])</f>
        <v>0</v>
      </c>
      <c r="Z867" s="264">
        <f>IF(NFI_Expiration=1,IF($A867&lt;VLOOKUP(I$5,NFI,5,0),1,0)*Table_NFI[[#This Row],[NFI Core Kit]],Table_NFI[NFI Core Kit])</f>
        <v>0</v>
      </c>
      <c r="AA867" s="264">
        <f>IF(NFI_Expiration=1,IF($A867&lt;VLOOKUP(J$5,NFI,5,0),1,0)*Table_NFI[[#This Row],[Sanitary Kit]],Table_NFI[Sanitary Kit])</f>
        <v>0</v>
      </c>
      <c r="AB867" s="264">
        <f>IF(NFI_Expiration=1,IF($A867&lt;VLOOKUP(K$5,NFI,5,0),1,0)*Table_NFI[[#This Row],[Mosquito net]],Table_NFI[Mosquito net])</f>
        <v>0</v>
      </c>
      <c r="AC867" s="264">
        <f>IF(NFI_Expiration=1,IF($A867&lt;VLOOKUP(L$5,NFI,5,0),1,0)*Table_NFI[[#This Row],[Tarpaulin]],Table_NFI[[#This Row],[Tarpaulin]])</f>
        <v>0</v>
      </c>
      <c r="AD867" s="264">
        <f>IF(NFI_Expiration=1,IF($A867&lt;VLOOKUP(M$5,NFI,5,0),1,0)*Table_NFI[[#This Row],[Blanket]],Table_NFI[[#This Row],[Blanket]])</f>
        <v>0</v>
      </c>
      <c r="AE867" s="264">
        <f>IF(NFI_Expiration=1,IF($A867&lt;VLOOKUP(N$5,NFI,5,0),1,0)*Table_NFI[[#This Row],[Kitchen Set]],Table_NFI[Kitchen Set])</f>
        <v>0</v>
      </c>
      <c r="AF867" s="264">
        <f>IF(NFI_Expiration=1,IF($A867&lt;VLOOKUP(O$5,NFI,5,0),1,0)*Table_NFI[[#This Row],[Clothes Kit]],Table_NFI[Clothes Kit])</f>
        <v>0</v>
      </c>
      <c r="AG867" s="264">
        <f>IF(NFI_Expiration=1,IF($A867&lt;VLOOKUP(P$5,NFI,5,0),1,0)*Table_NFI[[#This Row],[Plastic Bucket]],Table_NFI[Plastic Bucket])</f>
        <v>0</v>
      </c>
      <c r="AH867" s="264">
        <f>IF(NFI_Expiration=1,IF($A867&lt;VLOOKUP(Q$5,NFI,5,0),1,0)*Table_NFI[[#This Row],[Plastic Mat]],Table_NFI[Plastic Mat])*IF(Table_NFI[[#This Row],[Distribution Date]]&gt;"2014-04-01",1,2.5)</f>
        <v>0</v>
      </c>
      <c r="AI867" s="264">
        <f>IF(NFI_Expiration=1,IF($A867&lt;VLOOKUP(R$5,NFI,5,0),1,0)*Table_NFI[[#This Row],[Winter Clothes Adult]],Table_NFI[Winter Clothes Adult])</f>
        <v>0</v>
      </c>
      <c r="AJ867" s="264">
        <f>IF(NFI_Expiration=1,IF($A867&lt;VLOOKUP(S$5,NFI,5,0),1,0)*Table_NFI[[#This Row],[Winter Clothes Children]],Table_NFI[Winter Clothes Children])</f>
        <v>0</v>
      </c>
      <c r="AK867" s="264">
        <f>IF(NFI_Expiration=1,IF($A867&lt;VLOOKUP(T$5,NFI,5,0),1,0)*Table_NFI[[#This Row],[Winter Items Other]],Table_NFI[Winter Items Other])</f>
        <v>0</v>
      </c>
      <c r="AL867" s="264">
        <f>IF(NFI_Expiration=1,IF($A867&lt;VLOOKUP(M$5,NFI,5,0),1,0)*Table_NFI[[#This Row],[Winter Blanket]],Table_NFI[[#This Row],[Winter Blanket]])</f>
        <v>0</v>
      </c>
      <c r="AM867" s="264">
        <f>IF(Table_NFI[[#This Row],[Winter Clothes Adult]]+Table_NFI[[#This Row],[Winter Clothes Children]]+Table_NFI[[#This Row],[Winter Items Other]]+Table_NFI[[#This Row],[Winter Blanket]]&gt;0,1,0)</f>
        <v>0</v>
      </c>
      <c r="AN867" s="296">
        <f>IF(NFI_Expiration=1,IF($A867&lt;VLOOKUP(V$5,NFI,5,0),1,0)*Table_NFI[[#This Row],[Jerry Can]],Table_NFI[Jerry Can])</f>
        <v>0</v>
      </c>
      <c r="AO867" s="296">
        <f>IF(NFI_Expiration=1,IF($A867&lt;VLOOKUP(V$5,NFI,5,0),1,0)*Table_NFI[[#This Row],[Shelter Tool kit]],Table_NFI[Shelter Tool kit])</f>
        <v>0</v>
      </c>
      <c r="AP867" s="296">
        <f>IF(NFI_Expiration=1,IF($A867&lt;VLOOKUP(V$5,NFI,5,0),1,0)*Table_NFI[[#This Row],[Tent]],Table_NFI[Tent])</f>
        <v>0</v>
      </c>
      <c r="AQ867" s="396" t="str">
        <f>IFERROR(VLOOKUP(Table_NFI[[#This Row],[Camp Name]],CL,2,0),"")</f>
        <v>MMR001CMP056</v>
      </c>
      <c r="AR867" s="702">
        <f ca="1">IF(Table_NFI[[#This Row],[Pcode]]="","",IF(OFFSET(CampList[Opening Date],MATCH(Table_NFI[[#This Row],[Pcode]],CampList[CP_Pcode],0)-1,0,1,1)&gt;=NFI_Monitor_Date,1,0))</f>
        <v>0</v>
      </c>
      <c r="AS867" s="396" t="str">
        <f>IFERROR(VLOOKUP(Table_NFI[[#This Row],[Camp Name]],CL,3,0),"")</f>
        <v>Open</v>
      </c>
      <c r="AT867" s="264" t="str">
        <f ca="1">IF(Table_NFI[[#This Row],[Pcode]]="","",OFFSET(CampList[Priority],MATCH(Table_NFI[[#This Row],[Pcode]],CampList[CP_Pcode],0)-1,0,1,1))</f>
        <v>P4</v>
      </c>
      <c r="AU867" s="263">
        <f>IFERROR(Table_NFI[[#This Row],[Kitchen Set]]/VLOOKUP(Table_NFI[[#This Row],[Camp Name]],CL,4,0),"")</f>
        <v>0</v>
      </c>
      <c r="AV867" s="390" t="s">
        <v>1087</v>
      </c>
      <c r="AW867" s="392"/>
      <c r="AX867" s="399"/>
      <c r="AY867" s="399"/>
      <c r="AZ867" s="399"/>
      <c r="BA867" s="399"/>
      <c r="BB867" s="399"/>
      <c r="BC867" s="399"/>
      <c r="BD867" s="399"/>
      <c r="BE867" s="399"/>
      <c r="BF867" s="399"/>
      <c r="BG867" s="399"/>
      <c r="BH867" s="399"/>
      <c r="BI867" s="399"/>
      <c r="BJ867" s="399"/>
      <c r="BK867" s="399"/>
      <c r="BL867" s="399"/>
      <c r="BM867" s="399"/>
      <c r="BN867" s="399"/>
      <c r="BO867" s="399"/>
      <c r="BP867" s="399"/>
      <c r="BQ867" s="399"/>
      <c r="BR867" s="399"/>
      <c r="BS867" s="399"/>
      <c r="BT867" s="399"/>
      <c r="BU867" s="399"/>
      <c r="BV867" s="399"/>
      <c r="BW867" s="399"/>
      <c r="BX867" s="399"/>
      <c r="BY867" s="399"/>
      <c r="BZ867" s="399"/>
      <c r="CA867" s="399"/>
      <c r="CB867" s="399"/>
      <c r="CC867" s="399"/>
      <c r="CD867" s="399"/>
      <c r="CE867" s="399"/>
      <c r="CF867" s="399"/>
      <c r="CG867" s="399"/>
      <c r="CH867" s="399"/>
      <c r="CI867" s="399"/>
      <c r="CJ867" s="399"/>
      <c r="CK867" s="399"/>
      <c r="CL867" s="399"/>
      <c r="CM867" s="399"/>
      <c r="CN867" s="399"/>
      <c r="CO867" s="399"/>
      <c r="CP867" s="399"/>
      <c r="CQ867" s="399"/>
      <c r="CR867" s="399"/>
      <c r="CS867" s="399"/>
      <c r="CT867" s="399"/>
      <c r="CU867" s="399"/>
      <c r="CV867" s="399"/>
      <c r="CW867" s="399"/>
      <c r="CX867" s="399"/>
      <c r="CY867" s="399"/>
      <c r="CZ867" s="399"/>
      <c r="DA867" s="399"/>
      <c r="DB867" s="399"/>
      <c r="DC867" s="399"/>
      <c r="DD867" s="399"/>
      <c r="DE867" s="399"/>
      <c r="DF867" s="399"/>
      <c r="DG867" s="399"/>
      <c r="DH867" s="399"/>
      <c r="DI867" s="399"/>
      <c r="DJ867" s="399"/>
      <c r="DK867" s="399"/>
      <c r="DL867" s="399"/>
      <c r="DM867" s="399"/>
      <c r="DN867" s="399"/>
      <c r="DO867" s="399"/>
      <c r="DP867" s="399"/>
      <c r="DQ867" s="399"/>
    </row>
    <row r="868" spans="1:121" s="760" customFormat="1" ht="14.45" customHeight="1" x14ac:dyDescent="0.25">
      <c r="A868" s="266">
        <f t="shared" si="13"/>
        <v>52.266666666666666</v>
      </c>
      <c r="B868" s="389">
        <v>41288</v>
      </c>
      <c r="C868" s="390" t="s">
        <v>904</v>
      </c>
      <c r="D868" s="390" t="s">
        <v>904</v>
      </c>
      <c r="E868" s="390" t="s">
        <v>380</v>
      </c>
      <c r="F868" s="262" t="s">
        <v>5</v>
      </c>
      <c r="G868" s="262" t="s">
        <v>6</v>
      </c>
      <c r="H868" s="261">
        <v>940</v>
      </c>
      <c r="I868" s="261"/>
      <c r="J868" s="261"/>
      <c r="K868" s="261"/>
      <c r="L868" s="261"/>
      <c r="M868" s="261"/>
      <c r="N868" s="261"/>
      <c r="O868" s="261"/>
      <c r="P868" s="261">
        <v>0</v>
      </c>
      <c r="Q868" s="261">
        <v>0</v>
      </c>
      <c r="R868" s="261"/>
      <c r="S868" s="261"/>
      <c r="T868" s="261"/>
      <c r="U868" s="261"/>
      <c r="V868" s="762"/>
      <c r="W868" s="261"/>
      <c r="X868" s="261"/>
      <c r="Y868" s="264">
        <f>IF(NFI_Expiration=1,IF($A868&lt;VLOOKUP(H$5,NFI,5,0),1,0)*Table_NFI[[#This Row],[Hygiene Kit]],Table_NFI[Hygiene Kit])</f>
        <v>0</v>
      </c>
      <c r="Z868" s="264">
        <f>IF(NFI_Expiration=1,IF($A868&lt;VLOOKUP(I$5,NFI,5,0),1,0)*Table_NFI[[#This Row],[NFI Core Kit]],Table_NFI[NFI Core Kit])</f>
        <v>0</v>
      </c>
      <c r="AA868" s="264">
        <f>IF(NFI_Expiration=1,IF($A868&lt;VLOOKUP(J$5,NFI,5,0),1,0)*Table_NFI[[#This Row],[Sanitary Kit]],Table_NFI[Sanitary Kit])</f>
        <v>0</v>
      </c>
      <c r="AB868" s="264">
        <f>IF(NFI_Expiration=1,IF($A868&lt;VLOOKUP(K$5,NFI,5,0),1,0)*Table_NFI[[#This Row],[Mosquito net]],Table_NFI[Mosquito net])</f>
        <v>0</v>
      </c>
      <c r="AC868" s="264">
        <f>IF(NFI_Expiration=1,IF($A868&lt;VLOOKUP(L$5,NFI,5,0),1,0)*Table_NFI[[#This Row],[Tarpaulin]],Table_NFI[[#This Row],[Tarpaulin]])</f>
        <v>0</v>
      </c>
      <c r="AD868" s="264">
        <f>IF(NFI_Expiration=1,IF($A868&lt;VLOOKUP(M$5,NFI,5,0),1,0)*Table_NFI[[#This Row],[Blanket]],Table_NFI[[#This Row],[Blanket]])</f>
        <v>0</v>
      </c>
      <c r="AE868" s="264">
        <f>IF(NFI_Expiration=1,IF($A868&lt;VLOOKUP(N$5,NFI,5,0),1,0)*Table_NFI[[#This Row],[Kitchen Set]],Table_NFI[Kitchen Set])</f>
        <v>0</v>
      </c>
      <c r="AF868" s="264">
        <f>IF(NFI_Expiration=1,IF($A868&lt;VLOOKUP(O$5,NFI,5,0),1,0)*Table_NFI[[#This Row],[Clothes Kit]],Table_NFI[Clothes Kit])</f>
        <v>0</v>
      </c>
      <c r="AG868" s="264">
        <f>IF(NFI_Expiration=1,IF($A868&lt;VLOOKUP(P$5,NFI,5,0),1,0)*Table_NFI[[#This Row],[Plastic Bucket]],Table_NFI[Plastic Bucket])</f>
        <v>0</v>
      </c>
      <c r="AH868" s="264">
        <f>IF(NFI_Expiration=1,IF($A868&lt;VLOOKUP(Q$5,NFI,5,0),1,0)*Table_NFI[[#This Row],[Plastic Mat]],Table_NFI[Plastic Mat])*IF(Table_NFI[[#This Row],[Distribution Date]]&gt;"2014-04-01",1,2.5)</f>
        <v>0</v>
      </c>
      <c r="AI868" s="264">
        <f>IF(NFI_Expiration=1,IF($A868&lt;VLOOKUP(R$5,NFI,5,0),1,0)*Table_NFI[[#This Row],[Winter Clothes Adult]],Table_NFI[Winter Clothes Adult])</f>
        <v>0</v>
      </c>
      <c r="AJ868" s="264">
        <f>IF(NFI_Expiration=1,IF($A868&lt;VLOOKUP(S$5,NFI,5,0),1,0)*Table_NFI[[#This Row],[Winter Clothes Children]],Table_NFI[Winter Clothes Children])</f>
        <v>0</v>
      </c>
      <c r="AK868" s="264">
        <f>IF(NFI_Expiration=1,IF($A868&lt;VLOOKUP(T$5,NFI,5,0),1,0)*Table_NFI[[#This Row],[Winter Items Other]],Table_NFI[Winter Items Other])</f>
        <v>0</v>
      </c>
      <c r="AL868" s="264">
        <f>IF(NFI_Expiration=1,IF($A868&lt;VLOOKUP(M$5,NFI,5,0),1,0)*Table_NFI[[#This Row],[Winter Blanket]],Table_NFI[[#This Row],[Winter Blanket]])</f>
        <v>0</v>
      </c>
      <c r="AM868" s="264">
        <f>IF(Table_NFI[[#This Row],[Winter Clothes Adult]]+Table_NFI[[#This Row],[Winter Clothes Children]]+Table_NFI[[#This Row],[Winter Items Other]]+Table_NFI[[#This Row],[Winter Blanket]]&gt;0,1,0)</f>
        <v>0</v>
      </c>
      <c r="AN868" s="296">
        <f>IF(NFI_Expiration=1,IF($A868&lt;VLOOKUP(V$5,NFI,5,0),1,0)*Table_NFI[[#This Row],[Jerry Can]],Table_NFI[Jerry Can])</f>
        <v>0</v>
      </c>
      <c r="AO868" s="296">
        <f>IF(NFI_Expiration=1,IF($A868&lt;VLOOKUP(V$5,NFI,5,0),1,0)*Table_NFI[[#This Row],[Shelter Tool kit]],Table_NFI[Shelter Tool kit])</f>
        <v>0</v>
      </c>
      <c r="AP868" s="296">
        <f>IF(NFI_Expiration=1,IF($A868&lt;VLOOKUP(V$5,NFI,5,0),1,0)*Table_NFI[[#This Row],[Tent]],Table_NFI[Tent])</f>
        <v>0</v>
      </c>
      <c r="AQ868" s="396" t="str">
        <f>IFERROR(VLOOKUP(Table_NFI[[#This Row],[Camp Name]],CL,2,0),"")</f>
        <v>MMR001CMP050</v>
      </c>
      <c r="AR868" s="702">
        <f ca="1">IF(Table_NFI[[#This Row],[Pcode]]="","",IF(OFFSET(CampList[Opening Date],MATCH(Table_NFI[[#This Row],[Pcode]],CampList[CP_Pcode],0)-1,0,1,1)&gt;=NFI_Monitor_Date,1,0))</f>
        <v>0</v>
      </c>
      <c r="AS868" s="396" t="str">
        <f>IFERROR(VLOOKUP(Table_NFI[[#This Row],[Camp Name]],CL,3,0),"")</f>
        <v>Open</v>
      </c>
      <c r="AT868" s="264" t="str">
        <f ca="1">IF(Table_NFI[[#This Row],[Pcode]]="","",OFFSET(CampList[Priority],MATCH(Table_NFI[[#This Row],[Pcode]],CampList[CP_Pcode],0)-1,0,1,1))</f>
        <v>P4</v>
      </c>
      <c r="AU868" s="263">
        <f>IFERROR(Table_NFI[[#This Row],[Kitchen Set]]/VLOOKUP(Table_NFI[[#This Row],[Camp Name]],CL,4,0),"")</f>
        <v>0</v>
      </c>
      <c r="AV868" s="390" t="s">
        <v>1087</v>
      </c>
      <c r="AW868" s="392"/>
      <c r="AX868" s="399"/>
      <c r="AY868" s="399"/>
      <c r="AZ868" s="399"/>
      <c r="BA868" s="399"/>
      <c r="BB868" s="399"/>
      <c r="BC868" s="399"/>
      <c r="BD868" s="399"/>
      <c r="BE868" s="399"/>
      <c r="BF868" s="399"/>
      <c r="BG868" s="399"/>
      <c r="BH868" s="399"/>
      <c r="BI868" s="399"/>
      <c r="BJ868" s="399"/>
      <c r="BK868" s="399"/>
      <c r="BL868" s="399"/>
      <c r="BM868" s="399"/>
      <c r="BN868" s="399"/>
      <c r="BO868" s="399"/>
      <c r="BP868" s="399"/>
      <c r="BQ868" s="399"/>
      <c r="BR868" s="399"/>
      <c r="BS868" s="399"/>
      <c r="BT868" s="399"/>
      <c r="BU868" s="399"/>
      <c r="BV868" s="399"/>
      <c r="BW868" s="399"/>
      <c r="BX868" s="399"/>
      <c r="BY868" s="399"/>
      <c r="BZ868" s="399"/>
      <c r="CA868" s="399"/>
      <c r="CB868" s="399"/>
      <c r="CC868" s="399"/>
      <c r="CD868" s="399"/>
      <c r="CE868" s="399"/>
      <c r="CF868" s="399"/>
      <c r="CG868" s="399"/>
      <c r="CH868" s="399"/>
      <c r="CI868" s="399"/>
      <c r="CJ868" s="399"/>
      <c r="CK868" s="399"/>
      <c r="CL868" s="399"/>
      <c r="CM868" s="399"/>
      <c r="CN868" s="399"/>
      <c r="CO868" s="399"/>
      <c r="CP868" s="399"/>
      <c r="CQ868" s="399"/>
      <c r="CR868" s="399"/>
      <c r="CS868" s="399"/>
      <c r="CT868" s="399"/>
      <c r="CU868" s="399"/>
      <c r="CV868" s="399"/>
      <c r="CW868" s="399"/>
      <c r="CX868" s="399"/>
      <c r="CY868" s="399"/>
      <c r="CZ868" s="399"/>
      <c r="DA868" s="399"/>
      <c r="DB868" s="399"/>
      <c r="DC868" s="399"/>
      <c r="DD868" s="399"/>
      <c r="DE868" s="399"/>
      <c r="DF868" s="399"/>
      <c r="DG868" s="399"/>
      <c r="DH868" s="399"/>
      <c r="DI868" s="399"/>
      <c r="DJ868" s="399"/>
      <c r="DK868" s="399"/>
      <c r="DL868" s="399"/>
      <c r="DM868" s="399"/>
      <c r="DN868" s="399"/>
      <c r="DO868" s="399"/>
      <c r="DP868" s="399"/>
      <c r="DQ868" s="399"/>
    </row>
    <row r="869" spans="1:121" s="760" customFormat="1" ht="14.45" customHeight="1" x14ac:dyDescent="0.25">
      <c r="A869" s="266">
        <f t="shared" si="13"/>
        <v>52.4</v>
      </c>
      <c r="B869" s="389">
        <v>41284</v>
      </c>
      <c r="C869" s="390" t="s">
        <v>904</v>
      </c>
      <c r="D869" s="391" t="s">
        <v>904</v>
      </c>
      <c r="E869" s="390" t="s">
        <v>380</v>
      </c>
      <c r="F869" s="262" t="s">
        <v>5</v>
      </c>
      <c r="G869" s="262" t="s">
        <v>14</v>
      </c>
      <c r="H869" s="261">
        <v>212</v>
      </c>
      <c r="I869" s="261"/>
      <c r="J869" s="261"/>
      <c r="K869" s="261"/>
      <c r="L869" s="261"/>
      <c r="M869" s="261"/>
      <c r="N869" s="261"/>
      <c r="O869" s="261"/>
      <c r="P869" s="261">
        <v>0</v>
      </c>
      <c r="Q869" s="261">
        <v>0</v>
      </c>
      <c r="R869" s="261"/>
      <c r="S869" s="261"/>
      <c r="T869" s="261"/>
      <c r="U869" s="261"/>
      <c r="V869" s="762"/>
      <c r="W869" s="261"/>
      <c r="X869" s="261"/>
      <c r="Y869" s="264">
        <f>IF(NFI_Expiration=1,IF($A869&lt;VLOOKUP(H$5,NFI,5,0),1,0)*Table_NFI[[#This Row],[Hygiene Kit]],Table_NFI[Hygiene Kit])</f>
        <v>0</v>
      </c>
      <c r="Z869" s="264">
        <f>IF(NFI_Expiration=1,IF($A869&lt;VLOOKUP(I$5,NFI,5,0),1,0)*Table_NFI[[#This Row],[NFI Core Kit]],Table_NFI[NFI Core Kit])</f>
        <v>0</v>
      </c>
      <c r="AA869" s="264">
        <f>IF(NFI_Expiration=1,IF($A869&lt;VLOOKUP(J$5,NFI,5,0),1,0)*Table_NFI[[#This Row],[Sanitary Kit]],Table_NFI[Sanitary Kit])</f>
        <v>0</v>
      </c>
      <c r="AB869" s="264">
        <f>IF(NFI_Expiration=1,IF($A869&lt;VLOOKUP(K$5,NFI,5,0),1,0)*Table_NFI[[#This Row],[Mosquito net]],Table_NFI[Mosquito net])</f>
        <v>0</v>
      </c>
      <c r="AC869" s="264">
        <f>IF(NFI_Expiration=1,IF($A869&lt;VLOOKUP(L$5,NFI,5,0),1,0)*Table_NFI[[#This Row],[Tarpaulin]],Table_NFI[[#This Row],[Tarpaulin]])</f>
        <v>0</v>
      </c>
      <c r="AD869" s="264">
        <f>IF(NFI_Expiration=1,IF($A869&lt;VLOOKUP(M$5,NFI,5,0),1,0)*Table_NFI[[#This Row],[Blanket]],Table_NFI[[#This Row],[Blanket]])</f>
        <v>0</v>
      </c>
      <c r="AE869" s="264">
        <f>IF(NFI_Expiration=1,IF($A869&lt;VLOOKUP(N$5,NFI,5,0),1,0)*Table_NFI[[#This Row],[Kitchen Set]],Table_NFI[Kitchen Set])</f>
        <v>0</v>
      </c>
      <c r="AF869" s="264">
        <f>IF(NFI_Expiration=1,IF($A869&lt;VLOOKUP(O$5,NFI,5,0),1,0)*Table_NFI[[#This Row],[Clothes Kit]],Table_NFI[Clothes Kit])</f>
        <v>0</v>
      </c>
      <c r="AG869" s="264">
        <f>IF(NFI_Expiration=1,IF($A869&lt;VLOOKUP(P$5,NFI,5,0),1,0)*Table_NFI[[#This Row],[Plastic Bucket]],Table_NFI[Plastic Bucket])</f>
        <v>0</v>
      </c>
      <c r="AH869" s="264">
        <f>IF(NFI_Expiration=1,IF($A869&lt;VLOOKUP(Q$5,NFI,5,0),1,0)*Table_NFI[[#This Row],[Plastic Mat]],Table_NFI[Plastic Mat])*IF(Table_NFI[[#This Row],[Distribution Date]]&gt;"2014-04-01",1,2.5)</f>
        <v>0</v>
      </c>
      <c r="AI869" s="264">
        <f>IF(NFI_Expiration=1,IF($A869&lt;VLOOKUP(R$5,NFI,5,0),1,0)*Table_NFI[[#This Row],[Winter Clothes Adult]],Table_NFI[Winter Clothes Adult])</f>
        <v>0</v>
      </c>
      <c r="AJ869" s="264">
        <f>IF(NFI_Expiration=1,IF($A869&lt;VLOOKUP(S$5,NFI,5,0),1,0)*Table_NFI[[#This Row],[Winter Clothes Children]],Table_NFI[Winter Clothes Children])</f>
        <v>0</v>
      </c>
      <c r="AK869" s="264">
        <f>IF(NFI_Expiration=1,IF($A869&lt;VLOOKUP(T$5,NFI,5,0),1,0)*Table_NFI[[#This Row],[Winter Items Other]],Table_NFI[Winter Items Other])</f>
        <v>0</v>
      </c>
      <c r="AL869" s="264">
        <f>IF(NFI_Expiration=1,IF($A869&lt;VLOOKUP(M$5,NFI,5,0),1,0)*Table_NFI[[#This Row],[Winter Blanket]],Table_NFI[[#This Row],[Winter Blanket]])</f>
        <v>0</v>
      </c>
      <c r="AM869" s="264">
        <f>IF(Table_NFI[[#This Row],[Winter Clothes Adult]]+Table_NFI[[#This Row],[Winter Clothes Children]]+Table_NFI[[#This Row],[Winter Items Other]]+Table_NFI[[#This Row],[Winter Blanket]]&gt;0,1,0)</f>
        <v>0</v>
      </c>
      <c r="AN869" s="296">
        <f>IF(NFI_Expiration=1,IF($A869&lt;VLOOKUP(V$5,NFI,5,0),1,0)*Table_NFI[[#This Row],[Jerry Can]],Table_NFI[Jerry Can])</f>
        <v>0</v>
      </c>
      <c r="AO869" s="296">
        <f>IF(NFI_Expiration=1,IF($A869&lt;VLOOKUP(V$5,NFI,5,0),1,0)*Table_NFI[[#This Row],[Shelter Tool kit]],Table_NFI[Shelter Tool kit])</f>
        <v>0</v>
      </c>
      <c r="AP869" s="296">
        <f>IF(NFI_Expiration=1,IF($A869&lt;VLOOKUP(V$5,NFI,5,0),1,0)*Table_NFI[[#This Row],[Tent]],Table_NFI[Tent])</f>
        <v>0</v>
      </c>
      <c r="AQ869" s="396" t="str">
        <f>IFERROR(VLOOKUP(Table_NFI[[#This Row],[Camp Name]],CL,2,0),"")</f>
        <v>MMR001CMP052</v>
      </c>
      <c r="AR869" s="702">
        <f ca="1">IF(Table_NFI[[#This Row],[Pcode]]="","",IF(OFFSET(CampList[Opening Date],MATCH(Table_NFI[[#This Row],[Pcode]],CampList[CP_Pcode],0)-1,0,1,1)&gt;=NFI_Monitor_Date,1,0))</f>
        <v>0</v>
      </c>
      <c r="AS869" s="396" t="str">
        <f>IFERROR(VLOOKUP(Table_NFI[[#This Row],[Camp Name]],CL,3,0),"")</f>
        <v>Open</v>
      </c>
      <c r="AT869" s="264" t="str">
        <f ca="1">IF(Table_NFI[[#This Row],[Pcode]]="","",OFFSET(CampList[Priority],MATCH(Table_NFI[[#This Row],[Pcode]],CampList[CP_Pcode],0)-1,0,1,1))</f>
        <v>P4</v>
      </c>
      <c r="AU869" s="263">
        <f>IFERROR(Table_NFI[[#This Row],[Kitchen Set]]/VLOOKUP(Table_NFI[[#This Row],[Camp Name]],CL,4,0),"")</f>
        <v>0</v>
      </c>
      <c r="AV869" s="390" t="s">
        <v>1087</v>
      </c>
      <c r="AW869" s="392"/>
      <c r="AX869" s="399"/>
      <c r="AY869" s="399"/>
      <c r="AZ869" s="399"/>
      <c r="BA869" s="399"/>
      <c r="BB869" s="399"/>
      <c r="BC869" s="399"/>
      <c r="BD869" s="399"/>
      <c r="BE869" s="399"/>
      <c r="BF869" s="399"/>
      <c r="BG869" s="399"/>
      <c r="BH869" s="399"/>
      <c r="BI869" s="399"/>
      <c r="BJ869" s="399"/>
      <c r="BK869" s="399"/>
      <c r="BL869" s="399"/>
      <c r="BM869" s="399"/>
      <c r="BN869" s="399"/>
      <c r="BO869" s="399"/>
      <c r="BP869" s="399"/>
      <c r="BQ869" s="399"/>
      <c r="BR869" s="399"/>
      <c r="BS869" s="399"/>
      <c r="BT869" s="399"/>
      <c r="BU869" s="399"/>
      <c r="BV869" s="399"/>
      <c r="BW869" s="399"/>
      <c r="BX869" s="399"/>
      <c r="BY869" s="399"/>
      <c r="BZ869" s="399"/>
      <c r="CA869" s="399"/>
      <c r="CB869" s="399"/>
      <c r="CC869" s="399"/>
      <c r="CD869" s="399"/>
      <c r="CE869" s="399"/>
      <c r="CF869" s="399"/>
      <c r="CG869" s="399"/>
      <c r="CH869" s="399"/>
      <c r="CI869" s="399"/>
      <c r="CJ869" s="399"/>
      <c r="CK869" s="399"/>
      <c r="CL869" s="399"/>
      <c r="CM869" s="399"/>
      <c r="CN869" s="399"/>
      <c r="CO869" s="399"/>
      <c r="CP869" s="399"/>
      <c r="CQ869" s="399"/>
      <c r="CR869" s="399"/>
      <c r="CS869" s="399"/>
      <c r="CT869" s="399"/>
      <c r="CU869" s="399"/>
      <c r="CV869" s="399"/>
      <c r="CW869" s="399"/>
      <c r="CX869" s="399"/>
      <c r="CY869" s="399"/>
      <c r="CZ869" s="399"/>
      <c r="DA869" s="399"/>
      <c r="DB869" s="399"/>
      <c r="DC869" s="399"/>
      <c r="DD869" s="399"/>
      <c r="DE869" s="399"/>
      <c r="DF869" s="399"/>
      <c r="DG869" s="399"/>
      <c r="DH869" s="399"/>
      <c r="DI869" s="399"/>
      <c r="DJ869" s="399"/>
      <c r="DK869" s="399"/>
      <c r="DL869" s="399"/>
      <c r="DM869" s="399"/>
      <c r="DN869" s="399"/>
      <c r="DO869" s="399"/>
      <c r="DP869" s="399"/>
      <c r="DQ869" s="399"/>
    </row>
    <row r="870" spans="1:121" s="760" customFormat="1" ht="14.45" customHeight="1" x14ac:dyDescent="0.25">
      <c r="A870" s="266">
        <f t="shared" si="13"/>
        <v>52.43333333333333</v>
      </c>
      <c r="B870" s="389">
        <v>41283</v>
      </c>
      <c r="C870" s="390" t="s">
        <v>904</v>
      </c>
      <c r="D870" s="391" t="s">
        <v>904</v>
      </c>
      <c r="E870" s="390" t="s">
        <v>380</v>
      </c>
      <c r="F870" s="262" t="s">
        <v>5</v>
      </c>
      <c r="G870" s="262" t="s">
        <v>18</v>
      </c>
      <c r="H870" s="261">
        <v>205</v>
      </c>
      <c r="I870" s="261"/>
      <c r="J870" s="261"/>
      <c r="K870" s="261"/>
      <c r="L870" s="261"/>
      <c r="M870" s="261"/>
      <c r="N870" s="261"/>
      <c r="O870" s="261"/>
      <c r="P870" s="261">
        <v>0</v>
      </c>
      <c r="Q870" s="261">
        <v>0</v>
      </c>
      <c r="R870" s="261"/>
      <c r="S870" s="261"/>
      <c r="T870" s="261"/>
      <c r="U870" s="261"/>
      <c r="V870" s="762"/>
      <c r="W870" s="261"/>
      <c r="X870" s="261"/>
      <c r="Y870" s="264">
        <f>IF(NFI_Expiration=1,IF($A870&lt;VLOOKUP(H$5,NFI,5,0),1,0)*Table_NFI[[#This Row],[Hygiene Kit]],Table_NFI[Hygiene Kit])</f>
        <v>0</v>
      </c>
      <c r="Z870" s="264">
        <f>IF(NFI_Expiration=1,IF($A870&lt;VLOOKUP(I$5,NFI,5,0),1,0)*Table_NFI[[#This Row],[NFI Core Kit]],Table_NFI[NFI Core Kit])</f>
        <v>0</v>
      </c>
      <c r="AA870" s="264">
        <f>IF(NFI_Expiration=1,IF($A870&lt;VLOOKUP(J$5,NFI,5,0),1,0)*Table_NFI[[#This Row],[Sanitary Kit]],Table_NFI[Sanitary Kit])</f>
        <v>0</v>
      </c>
      <c r="AB870" s="264">
        <f>IF(NFI_Expiration=1,IF($A870&lt;VLOOKUP(K$5,NFI,5,0),1,0)*Table_NFI[[#This Row],[Mosquito net]],Table_NFI[Mosquito net])</f>
        <v>0</v>
      </c>
      <c r="AC870" s="264">
        <f>IF(NFI_Expiration=1,IF($A870&lt;VLOOKUP(L$5,NFI,5,0),1,0)*Table_NFI[[#This Row],[Tarpaulin]],Table_NFI[[#This Row],[Tarpaulin]])</f>
        <v>0</v>
      </c>
      <c r="AD870" s="264">
        <f>IF(NFI_Expiration=1,IF($A870&lt;VLOOKUP(M$5,NFI,5,0),1,0)*Table_NFI[[#This Row],[Blanket]],Table_NFI[[#This Row],[Blanket]])</f>
        <v>0</v>
      </c>
      <c r="AE870" s="264">
        <f>IF(NFI_Expiration=1,IF($A870&lt;VLOOKUP(N$5,NFI,5,0),1,0)*Table_NFI[[#This Row],[Kitchen Set]],Table_NFI[Kitchen Set])</f>
        <v>0</v>
      </c>
      <c r="AF870" s="264">
        <f>IF(NFI_Expiration=1,IF($A870&lt;VLOOKUP(O$5,NFI,5,0),1,0)*Table_NFI[[#This Row],[Clothes Kit]],Table_NFI[Clothes Kit])</f>
        <v>0</v>
      </c>
      <c r="AG870" s="264">
        <f>IF(NFI_Expiration=1,IF($A870&lt;VLOOKUP(P$5,NFI,5,0),1,0)*Table_NFI[[#This Row],[Plastic Bucket]],Table_NFI[Plastic Bucket])</f>
        <v>0</v>
      </c>
      <c r="AH870" s="264">
        <f>IF(NFI_Expiration=1,IF($A870&lt;VLOOKUP(Q$5,NFI,5,0),1,0)*Table_NFI[[#This Row],[Plastic Mat]],Table_NFI[Plastic Mat])*IF(Table_NFI[[#This Row],[Distribution Date]]&gt;"2014-04-01",1,2.5)</f>
        <v>0</v>
      </c>
      <c r="AI870" s="264">
        <f>IF(NFI_Expiration=1,IF($A870&lt;VLOOKUP(R$5,NFI,5,0),1,0)*Table_NFI[[#This Row],[Winter Clothes Adult]],Table_NFI[Winter Clothes Adult])</f>
        <v>0</v>
      </c>
      <c r="AJ870" s="264">
        <f>IF(NFI_Expiration=1,IF($A870&lt;VLOOKUP(S$5,NFI,5,0),1,0)*Table_NFI[[#This Row],[Winter Clothes Children]],Table_NFI[Winter Clothes Children])</f>
        <v>0</v>
      </c>
      <c r="AK870" s="264">
        <f>IF(NFI_Expiration=1,IF($A870&lt;VLOOKUP(T$5,NFI,5,0),1,0)*Table_NFI[[#This Row],[Winter Items Other]],Table_NFI[Winter Items Other])</f>
        <v>0</v>
      </c>
      <c r="AL870" s="264">
        <f>IF(NFI_Expiration=1,IF($A870&lt;VLOOKUP(M$5,NFI,5,0),1,0)*Table_NFI[[#This Row],[Winter Blanket]],Table_NFI[[#This Row],[Winter Blanket]])</f>
        <v>0</v>
      </c>
      <c r="AM870" s="264">
        <f>IF(Table_NFI[[#This Row],[Winter Clothes Adult]]+Table_NFI[[#This Row],[Winter Clothes Children]]+Table_NFI[[#This Row],[Winter Items Other]]+Table_NFI[[#This Row],[Winter Blanket]]&gt;0,1,0)</f>
        <v>0</v>
      </c>
      <c r="AN870" s="296">
        <f>IF(NFI_Expiration=1,IF($A870&lt;VLOOKUP(V$5,NFI,5,0),1,0)*Table_NFI[[#This Row],[Jerry Can]],Table_NFI[Jerry Can])</f>
        <v>0</v>
      </c>
      <c r="AO870" s="296">
        <f>IF(NFI_Expiration=1,IF($A870&lt;VLOOKUP(V$5,NFI,5,0),1,0)*Table_NFI[[#This Row],[Shelter Tool kit]],Table_NFI[Shelter Tool kit])</f>
        <v>0</v>
      </c>
      <c r="AP870" s="296">
        <f>IF(NFI_Expiration=1,IF($A870&lt;VLOOKUP(V$5,NFI,5,0),1,0)*Table_NFI[[#This Row],[Tent]],Table_NFI[Tent])</f>
        <v>0</v>
      </c>
      <c r="AQ870" s="396" t="str">
        <f>IFERROR(VLOOKUP(Table_NFI[[#This Row],[Camp Name]],CL,2,0),"")</f>
        <v>MMR001CMP049</v>
      </c>
      <c r="AR870" s="702">
        <f ca="1">IF(Table_NFI[[#This Row],[Pcode]]="","",IF(OFFSET(CampList[Opening Date],MATCH(Table_NFI[[#This Row],[Pcode]],CampList[CP_Pcode],0)-1,0,1,1)&gt;=NFI_Monitor_Date,1,0))</f>
        <v>0</v>
      </c>
      <c r="AS870" s="396" t="str">
        <f>IFERROR(VLOOKUP(Table_NFI[[#This Row],[Camp Name]],CL,3,0),"")</f>
        <v>Open</v>
      </c>
      <c r="AT870" s="264" t="str">
        <f ca="1">IF(Table_NFI[[#This Row],[Pcode]]="","",OFFSET(CampList[Priority],MATCH(Table_NFI[[#This Row],[Pcode]],CampList[CP_Pcode],0)-1,0,1,1))</f>
        <v>P4</v>
      </c>
      <c r="AU870" s="263">
        <f>IFERROR(Table_NFI[[#This Row],[Kitchen Set]]/VLOOKUP(Table_NFI[[#This Row],[Camp Name]],CL,4,0),"")</f>
        <v>0</v>
      </c>
      <c r="AV870" s="390" t="s">
        <v>1087</v>
      </c>
      <c r="AW870" s="392"/>
      <c r="AX870" s="399"/>
      <c r="AY870" s="399"/>
      <c r="AZ870" s="399"/>
      <c r="BA870" s="399"/>
      <c r="BB870" s="399"/>
      <c r="BC870" s="399"/>
      <c r="BD870" s="399"/>
      <c r="BE870" s="399"/>
      <c r="BF870" s="399"/>
      <c r="BG870" s="399"/>
      <c r="BH870" s="399"/>
      <c r="BI870" s="399"/>
      <c r="BJ870" s="399"/>
      <c r="BK870" s="399"/>
      <c r="BL870" s="399"/>
      <c r="BM870" s="399"/>
      <c r="BN870" s="399"/>
      <c r="BO870" s="399"/>
      <c r="BP870" s="399"/>
      <c r="BQ870" s="399"/>
      <c r="BR870" s="399"/>
      <c r="BS870" s="399"/>
      <c r="BT870" s="399"/>
      <c r="BU870" s="399"/>
      <c r="BV870" s="399"/>
      <c r="BW870" s="399"/>
      <c r="BX870" s="399"/>
      <c r="BY870" s="399"/>
      <c r="BZ870" s="399"/>
      <c r="CA870" s="399"/>
      <c r="CB870" s="399"/>
      <c r="CC870" s="399"/>
      <c r="CD870" s="399"/>
      <c r="CE870" s="399"/>
      <c r="CF870" s="399"/>
      <c r="CG870" s="399"/>
      <c r="CH870" s="399"/>
      <c r="CI870" s="399"/>
      <c r="CJ870" s="399"/>
      <c r="CK870" s="399"/>
      <c r="CL870" s="399"/>
      <c r="CM870" s="399"/>
      <c r="CN870" s="399"/>
      <c r="CO870" s="399"/>
      <c r="CP870" s="399"/>
      <c r="CQ870" s="399"/>
      <c r="CR870" s="399"/>
      <c r="CS870" s="399"/>
      <c r="CT870" s="399"/>
      <c r="CU870" s="399"/>
      <c r="CV870" s="399"/>
      <c r="CW870" s="399"/>
      <c r="CX870" s="399"/>
      <c r="CY870" s="399"/>
      <c r="CZ870" s="399"/>
      <c r="DA870" s="399"/>
      <c r="DB870" s="399"/>
      <c r="DC870" s="399"/>
      <c r="DD870" s="399"/>
      <c r="DE870" s="399"/>
      <c r="DF870" s="399"/>
      <c r="DG870" s="399"/>
      <c r="DH870" s="399"/>
      <c r="DI870" s="399"/>
      <c r="DJ870" s="399"/>
      <c r="DK870" s="399"/>
      <c r="DL870" s="399"/>
      <c r="DM870" s="399"/>
      <c r="DN870" s="399"/>
      <c r="DO870" s="399"/>
      <c r="DP870" s="399"/>
      <c r="DQ870" s="399"/>
    </row>
    <row r="871" spans="1:121" s="760" customFormat="1" ht="14.45" customHeight="1" x14ac:dyDescent="0.25">
      <c r="A871" s="266">
        <f t="shared" si="13"/>
        <v>52.466666666666669</v>
      </c>
      <c r="B871" s="389">
        <v>41282</v>
      </c>
      <c r="C871" s="390" t="s">
        <v>904</v>
      </c>
      <c r="D871" s="390" t="s">
        <v>904</v>
      </c>
      <c r="E871" s="390" t="s">
        <v>380</v>
      </c>
      <c r="F871" s="390" t="s">
        <v>185</v>
      </c>
      <c r="G871" s="262" t="s">
        <v>223</v>
      </c>
      <c r="H871" s="261">
        <v>353</v>
      </c>
      <c r="I871" s="261"/>
      <c r="J871" s="261"/>
      <c r="K871" s="261"/>
      <c r="L871" s="261"/>
      <c r="M871" s="261"/>
      <c r="N871" s="261"/>
      <c r="O871" s="261"/>
      <c r="P871" s="261">
        <v>0</v>
      </c>
      <c r="Q871" s="261">
        <v>0</v>
      </c>
      <c r="R871" s="261"/>
      <c r="S871" s="261"/>
      <c r="T871" s="261"/>
      <c r="U871" s="261"/>
      <c r="V871" s="762"/>
      <c r="W871" s="261"/>
      <c r="X871" s="261"/>
      <c r="Y871" s="264">
        <f>IF(NFI_Expiration=1,IF($A871&lt;VLOOKUP(H$5,NFI,5,0),1,0)*Table_NFI[[#This Row],[Hygiene Kit]],Table_NFI[Hygiene Kit])</f>
        <v>0</v>
      </c>
      <c r="Z871" s="264">
        <f>IF(NFI_Expiration=1,IF($A871&lt;VLOOKUP(I$5,NFI,5,0),1,0)*Table_NFI[[#This Row],[NFI Core Kit]],Table_NFI[NFI Core Kit])</f>
        <v>0</v>
      </c>
      <c r="AA871" s="264">
        <f>IF(NFI_Expiration=1,IF($A871&lt;VLOOKUP(J$5,NFI,5,0),1,0)*Table_NFI[[#This Row],[Sanitary Kit]],Table_NFI[Sanitary Kit])</f>
        <v>0</v>
      </c>
      <c r="AB871" s="264">
        <f>IF(NFI_Expiration=1,IF($A871&lt;VLOOKUP(K$5,NFI,5,0),1,0)*Table_NFI[[#This Row],[Mosquito net]],Table_NFI[Mosquito net])</f>
        <v>0</v>
      </c>
      <c r="AC871" s="264">
        <f>IF(NFI_Expiration=1,IF($A871&lt;VLOOKUP(L$5,NFI,5,0),1,0)*Table_NFI[[#This Row],[Tarpaulin]],Table_NFI[[#This Row],[Tarpaulin]])</f>
        <v>0</v>
      </c>
      <c r="AD871" s="264">
        <f>IF(NFI_Expiration=1,IF($A871&lt;VLOOKUP(M$5,NFI,5,0),1,0)*Table_NFI[[#This Row],[Blanket]],Table_NFI[[#This Row],[Blanket]])</f>
        <v>0</v>
      </c>
      <c r="AE871" s="264">
        <f>IF(NFI_Expiration=1,IF($A871&lt;VLOOKUP(N$5,NFI,5,0),1,0)*Table_NFI[[#This Row],[Kitchen Set]],Table_NFI[Kitchen Set])</f>
        <v>0</v>
      </c>
      <c r="AF871" s="264">
        <f>IF(NFI_Expiration=1,IF($A871&lt;VLOOKUP(O$5,NFI,5,0),1,0)*Table_NFI[[#This Row],[Clothes Kit]],Table_NFI[Clothes Kit])</f>
        <v>0</v>
      </c>
      <c r="AG871" s="264">
        <f>IF(NFI_Expiration=1,IF($A871&lt;VLOOKUP(P$5,NFI,5,0),1,0)*Table_NFI[[#This Row],[Plastic Bucket]],Table_NFI[Plastic Bucket])</f>
        <v>0</v>
      </c>
      <c r="AH871" s="264">
        <f>IF(NFI_Expiration=1,IF($A871&lt;VLOOKUP(Q$5,NFI,5,0),1,0)*Table_NFI[[#This Row],[Plastic Mat]],Table_NFI[Plastic Mat])*IF(Table_NFI[[#This Row],[Distribution Date]]&gt;"2014-04-01",1,2.5)</f>
        <v>0</v>
      </c>
      <c r="AI871" s="264">
        <f>IF(NFI_Expiration=1,IF($A871&lt;VLOOKUP(R$5,NFI,5,0),1,0)*Table_NFI[[#This Row],[Winter Clothes Adult]],Table_NFI[Winter Clothes Adult])</f>
        <v>0</v>
      </c>
      <c r="AJ871" s="264">
        <f>IF(NFI_Expiration=1,IF($A871&lt;VLOOKUP(S$5,NFI,5,0),1,0)*Table_NFI[[#This Row],[Winter Clothes Children]],Table_NFI[Winter Clothes Children])</f>
        <v>0</v>
      </c>
      <c r="AK871" s="264">
        <f>IF(NFI_Expiration=1,IF($A871&lt;VLOOKUP(T$5,NFI,5,0),1,0)*Table_NFI[[#This Row],[Winter Items Other]],Table_NFI[Winter Items Other])</f>
        <v>0</v>
      </c>
      <c r="AL871" s="264">
        <f>IF(NFI_Expiration=1,IF($A871&lt;VLOOKUP(M$5,NFI,5,0),1,0)*Table_NFI[[#This Row],[Winter Blanket]],Table_NFI[[#This Row],[Winter Blanket]])</f>
        <v>0</v>
      </c>
      <c r="AM871" s="264">
        <f>IF(Table_NFI[[#This Row],[Winter Clothes Adult]]+Table_NFI[[#This Row],[Winter Clothes Children]]+Table_NFI[[#This Row],[Winter Items Other]]+Table_NFI[[#This Row],[Winter Blanket]]&gt;0,1,0)</f>
        <v>0</v>
      </c>
      <c r="AN871" s="296">
        <f>IF(NFI_Expiration=1,IF($A871&lt;VLOOKUP(V$5,NFI,5,0),1,0)*Table_NFI[[#This Row],[Jerry Can]],Table_NFI[Jerry Can])</f>
        <v>0</v>
      </c>
      <c r="AO871" s="296">
        <f>IF(NFI_Expiration=1,IF($A871&lt;VLOOKUP(V$5,NFI,5,0),1,0)*Table_NFI[[#This Row],[Shelter Tool kit]],Table_NFI[Shelter Tool kit])</f>
        <v>0</v>
      </c>
      <c r="AP871" s="296">
        <f>IF(NFI_Expiration=1,IF($A871&lt;VLOOKUP(V$5,NFI,5,0),1,0)*Table_NFI[[#This Row],[Tent]],Table_NFI[Tent])</f>
        <v>0</v>
      </c>
      <c r="AQ871" s="396" t="str">
        <f>IFERROR(VLOOKUP(Table_NFI[[#This Row],[Camp Name]],CL,2,0),"")</f>
        <v>MMR001CMP069</v>
      </c>
      <c r="AR871" s="702">
        <f ca="1">IF(Table_NFI[[#This Row],[Pcode]]="","",IF(OFFSET(CampList[Opening Date],MATCH(Table_NFI[[#This Row],[Pcode]],CampList[CP_Pcode],0)-1,0,1,1)&gt;=NFI_Monitor_Date,1,0))</f>
        <v>0</v>
      </c>
      <c r="AS871" s="396" t="str">
        <f>IFERROR(VLOOKUP(Table_NFI[[#This Row],[Camp Name]],CL,3,0),"")</f>
        <v>Open</v>
      </c>
      <c r="AT871" s="264" t="str">
        <f ca="1">IF(Table_NFI[[#This Row],[Pcode]]="","",OFFSET(CampList[Priority],MATCH(Table_NFI[[#This Row],[Pcode]],CampList[CP_Pcode],0)-1,0,1,1))</f>
        <v>P3</v>
      </c>
      <c r="AU871" s="263">
        <f>IFERROR(Table_NFI[[#This Row],[Kitchen Set]]/VLOOKUP(Table_NFI[[#This Row],[Camp Name]],CL,4,0),"")</f>
        <v>0</v>
      </c>
      <c r="AV871" s="390" t="s">
        <v>1087</v>
      </c>
      <c r="AW871" s="392"/>
      <c r="AX871" s="399"/>
      <c r="AY871" s="399"/>
      <c r="AZ871" s="399"/>
      <c r="BA871" s="399"/>
      <c r="BB871" s="399"/>
      <c r="BC871" s="399"/>
      <c r="BD871" s="399"/>
      <c r="BE871" s="399"/>
      <c r="BF871" s="399"/>
      <c r="BG871" s="399"/>
      <c r="BH871" s="399"/>
      <c r="BI871" s="399"/>
      <c r="BJ871" s="399"/>
      <c r="BK871" s="399"/>
      <c r="BL871" s="399"/>
      <c r="BM871" s="399"/>
      <c r="BN871" s="399"/>
      <c r="BO871" s="399"/>
      <c r="BP871" s="399"/>
      <c r="BQ871" s="399"/>
      <c r="BR871" s="399"/>
      <c r="BS871" s="399"/>
      <c r="BT871" s="399"/>
      <c r="BU871" s="399"/>
      <c r="BV871" s="399"/>
      <c r="BW871" s="399"/>
      <c r="BX871" s="399"/>
      <c r="BY871" s="399"/>
      <c r="BZ871" s="399"/>
      <c r="CA871" s="399"/>
      <c r="CB871" s="399"/>
      <c r="CC871" s="399"/>
      <c r="CD871" s="399"/>
      <c r="CE871" s="399"/>
      <c r="CF871" s="399"/>
      <c r="CG871" s="399"/>
      <c r="CH871" s="399"/>
      <c r="CI871" s="399"/>
      <c r="CJ871" s="399"/>
      <c r="CK871" s="399"/>
      <c r="CL871" s="399"/>
      <c r="CM871" s="399"/>
      <c r="CN871" s="399"/>
      <c r="CO871" s="399"/>
      <c r="CP871" s="399"/>
      <c r="CQ871" s="399"/>
      <c r="CR871" s="399"/>
      <c r="CS871" s="399"/>
      <c r="CT871" s="399"/>
      <c r="CU871" s="399"/>
      <c r="CV871" s="399"/>
      <c r="CW871" s="399"/>
      <c r="CX871" s="399"/>
      <c r="CY871" s="399"/>
      <c r="CZ871" s="399"/>
      <c r="DA871" s="399"/>
      <c r="DB871" s="399"/>
      <c r="DC871" s="399"/>
      <c r="DD871" s="399"/>
      <c r="DE871" s="399"/>
      <c r="DF871" s="399"/>
      <c r="DG871" s="399"/>
      <c r="DH871" s="399"/>
      <c r="DI871" s="399"/>
      <c r="DJ871" s="399"/>
      <c r="DK871" s="399"/>
      <c r="DL871" s="399"/>
      <c r="DM871" s="399"/>
      <c r="DN871" s="399"/>
      <c r="DO871" s="399"/>
      <c r="DP871" s="399"/>
      <c r="DQ871" s="399"/>
    </row>
    <row r="872" spans="1:121" s="760" customFormat="1" ht="14.45" customHeight="1" x14ac:dyDescent="0.25">
      <c r="A872" s="266">
        <f t="shared" si="13"/>
        <v>52.466666666666669</v>
      </c>
      <c r="B872" s="389">
        <v>41282</v>
      </c>
      <c r="C872" s="390" t="s">
        <v>904</v>
      </c>
      <c r="D872" s="390" t="s">
        <v>904</v>
      </c>
      <c r="E872" s="390" t="s">
        <v>380</v>
      </c>
      <c r="F872" s="390" t="s">
        <v>5</v>
      </c>
      <c r="G872" s="262" t="s">
        <v>26</v>
      </c>
      <c r="H872" s="261">
        <v>132</v>
      </c>
      <c r="I872" s="261"/>
      <c r="J872" s="261"/>
      <c r="K872" s="261"/>
      <c r="L872" s="261"/>
      <c r="M872" s="261"/>
      <c r="N872" s="261"/>
      <c r="O872" s="261"/>
      <c r="P872" s="261">
        <v>0</v>
      </c>
      <c r="Q872" s="261">
        <v>0</v>
      </c>
      <c r="R872" s="261"/>
      <c r="S872" s="261"/>
      <c r="T872" s="261"/>
      <c r="U872" s="261"/>
      <c r="V872" s="762"/>
      <c r="W872" s="261"/>
      <c r="X872" s="261"/>
      <c r="Y872" s="264">
        <f>IF(NFI_Expiration=1,IF($A872&lt;VLOOKUP(H$5,NFI,5,0),1,0)*Table_NFI[[#This Row],[Hygiene Kit]],Table_NFI[Hygiene Kit])</f>
        <v>0</v>
      </c>
      <c r="Z872" s="264">
        <f>IF(NFI_Expiration=1,IF($A872&lt;VLOOKUP(I$5,NFI,5,0),1,0)*Table_NFI[[#This Row],[NFI Core Kit]],Table_NFI[NFI Core Kit])</f>
        <v>0</v>
      </c>
      <c r="AA872" s="264">
        <f>IF(NFI_Expiration=1,IF($A872&lt;VLOOKUP(J$5,NFI,5,0),1,0)*Table_NFI[[#This Row],[Sanitary Kit]],Table_NFI[Sanitary Kit])</f>
        <v>0</v>
      </c>
      <c r="AB872" s="264">
        <f>IF(NFI_Expiration=1,IF($A872&lt;VLOOKUP(K$5,NFI,5,0),1,0)*Table_NFI[[#This Row],[Mosquito net]],Table_NFI[Mosquito net])</f>
        <v>0</v>
      </c>
      <c r="AC872" s="264">
        <f>IF(NFI_Expiration=1,IF($A872&lt;VLOOKUP(L$5,NFI,5,0),1,0)*Table_NFI[[#This Row],[Tarpaulin]],Table_NFI[[#This Row],[Tarpaulin]])</f>
        <v>0</v>
      </c>
      <c r="AD872" s="264">
        <f>IF(NFI_Expiration=1,IF($A872&lt;VLOOKUP(M$5,NFI,5,0),1,0)*Table_NFI[[#This Row],[Blanket]],Table_NFI[[#This Row],[Blanket]])</f>
        <v>0</v>
      </c>
      <c r="AE872" s="264">
        <f>IF(NFI_Expiration=1,IF($A872&lt;VLOOKUP(N$5,NFI,5,0),1,0)*Table_NFI[[#This Row],[Kitchen Set]],Table_NFI[Kitchen Set])</f>
        <v>0</v>
      </c>
      <c r="AF872" s="264">
        <f>IF(NFI_Expiration=1,IF($A872&lt;VLOOKUP(O$5,NFI,5,0),1,0)*Table_NFI[[#This Row],[Clothes Kit]],Table_NFI[Clothes Kit])</f>
        <v>0</v>
      </c>
      <c r="AG872" s="264">
        <f>IF(NFI_Expiration=1,IF($A872&lt;VLOOKUP(P$5,NFI,5,0),1,0)*Table_NFI[[#This Row],[Plastic Bucket]],Table_NFI[Plastic Bucket])</f>
        <v>0</v>
      </c>
      <c r="AH872" s="264">
        <f>IF(NFI_Expiration=1,IF($A872&lt;VLOOKUP(Q$5,NFI,5,0),1,0)*Table_NFI[[#This Row],[Plastic Mat]],Table_NFI[Plastic Mat])*IF(Table_NFI[[#This Row],[Distribution Date]]&gt;"2014-04-01",1,2.5)</f>
        <v>0</v>
      </c>
      <c r="AI872" s="264">
        <f>IF(NFI_Expiration=1,IF($A872&lt;VLOOKUP(R$5,NFI,5,0),1,0)*Table_NFI[[#This Row],[Winter Clothes Adult]],Table_NFI[Winter Clothes Adult])</f>
        <v>0</v>
      </c>
      <c r="AJ872" s="264">
        <f>IF(NFI_Expiration=1,IF($A872&lt;VLOOKUP(S$5,NFI,5,0),1,0)*Table_NFI[[#This Row],[Winter Clothes Children]],Table_NFI[Winter Clothes Children])</f>
        <v>0</v>
      </c>
      <c r="AK872" s="264">
        <f>IF(NFI_Expiration=1,IF($A872&lt;VLOOKUP(T$5,NFI,5,0),1,0)*Table_NFI[[#This Row],[Winter Items Other]],Table_NFI[Winter Items Other])</f>
        <v>0</v>
      </c>
      <c r="AL872" s="264">
        <f>IF(NFI_Expiration=1,IF($A872&lt;VLOOKUP(M$5,NFI,5,0),1,0)*Table_NFI[[#This Row],[Winter Blanket]],Table_NFI[[#This Row],[Winter Blanket]])</f>
        <v>0</v>
      </c>
      <c r="AM872" s="264">
        <f>IF(Table_NFI[[#This Row],[Winter Clothes Adult]]+Table_NFI[[#This Row],[Winter Clothes Children]]+Table_NFI[[#This Row],[Winter Items Other]]+Table_NFI[[#This Row],[Winter Blanket]]&gt;0,1,0)</f>
        <v>0</v>
      </c>
      <c r="AN872" s="296">
        <f>IF(NFI_Expiration=1,IF($A872&lt;VLOOKUP(V$5,NFI,5,0),1,0)*Table_NFI[[#This Row],[Jerry Can]],Table_NFI[Jerry Can])</f>
        <v>0</v>
      </c>
      <c r="AO872" s="296">
        <f>IF(NFI_Expiration=1,IF($A872&lt;VLOOKUP(V$5,NFI,5,0),1,0)*Table_NFI[[#This Row],[Shelter Tool kit]],Table_NFI[Shelter Tool kit])</f>
        <v>0</v>
      </c>
      <c r="AP872" s="296">
        <f>IF(NFI_Expiration=1,IF($A872&lt;VLOOKUP(V$5,NFI,5,0),1,0)*Table_NFI[[#This Row],[Tent]],Table_NFI[Tent])</f>
        <v>0</v>
      </c>
      <c r="AQ872" s="396" t="str">
        <f>IFERROR(VLOOKUP(Table_NFI[[#This Row],[Camp Name]],CL,2,0),"")</f>
        <v>MMR001CMP053</v>
      </c>
      <c r="AR872" s="702">
        <f ca="1">IF(Table_NFI[[#This Row],[Pcode]]="","",IF(OFFSET(CampList[Opening Date],MATCH(Table_NFI[[#This Row],[Pcode]],CampList[CP_Pcode],0)-1,0,1,1)&gt;=NFI_Monitor_Date,1,0))</f>
        <v>0</v>
      </c>
      <c r="AS872" s="396" t="str">
        <f>IFERROR(VLOOKUP(Table_NFI[[#This Row],[Camp Name]],CL,3,0),"")</f>
        <v>Open</v>
      </c>
      <c r="AT872" s="264" t="str">
        <f ca="1">IF(Table_NFI[[#This Row],[Pcode]]="","",OFFSET(CampList[Priority],MATCH(Table_NFI[[#This Row],[Pcode]],CampList[CP_Pcode],0)-1,0,1,1))</f>
        <v>P4</v>
      </c>
      <c r="AU872" s="263">
        <f>IFERROR(Table_NFI[[#This Row],[Kitchen Set]]/VLOOKUP(Table_NFI[[#This Row],[Camp Name]],CL,4,0),"")</f>
        <v>0</v>
      </c>
      <c r="AV872" s="390" t="s">
        <v>1087</v>
      </c>
      <c r="AW872" s="392"/>
      <c r="AX872" s="399"/>
      <c r="AY872" s="399"/>
      <c r="AZ872" s="399"/>
      <c r="BA872" s="399"/>
      <c r="BB872" s="399"/>
      <c r="BC872" s="399"/>
      <c r="BD872" s="399"/>
      <c r="BE872" s="399"/>
      <c r="BF872" s="399"/>
      <c r="BG872" s="399"/>
      <c r="BH872" s="399"/>
      <c r="BI872" s="399"/>
      <c r="BJ872" s="399"/>
      <c r="BK872" s="399"/>
      <c r="BL872" s="399"/>
      <c r="BM872" s="399"/>
      <c r="BN872" s="399"/>
      <c r="BO872" s="399"/>
      <c r="BP872" s="399"/>
      <c r="BQ872" s="399"/>
      <c r="BR872" s="399"/>
      <c r="BS872" s="399"/>
      <c r="BT872" s="399"/>
      <c r="BU872" s="399"/>
      <c r="BV872" s="399"/>
      <c r="BW872" s="399"/>
      <c r="BX872" s="399"/>
      <c r="BY872" s="399"/>
      <c r="BZ872" s="399"/>
      <c r="CA872" s="399"/>
      <c r="CB872" s="399"/>
      <c r="CC872" s="399"/>
      <c r="CD872" s="399"/>
      <c r="CE872" s="399"/>
      <c r="CF872" s="399"/>
      <c r="CG872" s="399"/>
      <c r="CH872" s="399"/>
      <c r="CI872" s="399"/>
      <c r="CJ872" s="399"/>
      <c r="CK872" s="399"/>
      <c r="CL872" s="399"/>
      <c r="CM872" s="399"/>
      <c r="CN872" s="399"/>
      <c r="CO872" s="399"/>
      <c r="CP872" s="399"/>
      <c r="CQ872" s="399"/>
      <c r="CR872" s="399"/>
      <c r="CS872" s="399"/>
      <c r="CT872" s="399"/>
      <c r="CU872" s="399"/>
      <c r="CV872" s="399"/>
      <c r="CW872" s="399"/>
      <c r="CX872" s="399"/>
      <c r="CY872" s="399"/>
      <c r="CZ872" s="399"/>
      <c r="DA872" s="399"/>
      <c r="DB872" s="399"/>
      <c r="DC872" s="399"/>
      <c r="DD872" s="399"/>
      <c r="DE872" s="399"/>
      <c r="DF872" s="399"/>
      <c r="DG872" s="399"/>
      <c r="DH872" s="399"/>
      <c r="DI872" s="399"/>
      <c r="DJ872" s="399"/>
      <c r="DK872" s="399"/>
      <c r="DL872" s="399"/>
      <c r="DM872" s="399"/>
      <c r="DN872" s="399"/>
      <c r="DO872" s="399"/>
      <c r="DP872" s="399"/>
      <c r="DQ872" s="399"/>
    </row>
    <row r="873" spans="1:121" s="760" customFormat="1" ht="14.45" customHeight="1" x14ac:dyDescent="0.25">
      <c r="A873" s="266">
        <f t="shared" si="13"/>
        <v>52.533333333333331</v>
      </c>
      <c r="B873" s="389">
        <v>41280</v>
      </c>
      <c r="C873" s="390" t="s">
        <v>904</v>
      </c>
      <c r="D873" s="391" t="s">
        <v>904</v>
      </c>
      <c r="E873" s="390" t="s">
        <v>380</v>
      </c>
      <c r="F873" s="262" t="s">
        <v>151</v>
      </c>
      <c r="G873" s="262" t="s">
        <v>152</v>
      </c>
      <c r="H873" s="261">
        <v>351</v>
      </c>
      <c r="I873" s="261"/>
      <c r="J873" s="261"/>
      <c r="K873" s="261"/>
      <c r="L873" s="261"/>
      <c r="M873" s="261"/>
      <c r="N873" s="261"/>
      <c r="O873" s="261"/>
      <c r="P873" s="261">
        <v>0</v>
      </c>
      <c r="Q873" s="261">
        <v>0</v>
      </c>
      <c r="R873" s="261"/>
      <c r="S873" s="261"/>
      <c r="T873" s="261"/>
      <c r="U873" s="261"/>
      <c r="V873" s="762"/>
      <c r="W873" s="261"/>
      <c r="X873" s="261"/>
      <c r="Y873" s="264">
        <f>IF(NFI_Expiration=1,IF($A873&lt;VLOOKUP(H$5,NFI,5,0),1,0)*Table_NFI[[#This Row],[Hygiene Kit]],Table_NFI[Hygiene Kit])</f>
        <v>0</v>
      </c>
      <c r="Z873" s="264">
        <f>IF(NFI_Expiration=1,IF($A873&lt;VLOOKUP(I$5,NFI,5,0),1,0)*Table_NFI[[#This Row],[NFI Core Kit]],Table_NFI[NFI Core Kit])</f>
        <v>0</v>
      </c>
      <c r="AA873" s="264">
        <f>IF(NFI_Expiration=1,IF($A873&lt;VLOOKUP(J$5,NFI,5,0),1,0)*Table_NFI[[#This Row],[Sanitary Kit]],Table_NFI[Sanitary Kit])</f>
        <v>0</v>
      </c>
      <c r="AB873" s="264">
        <f>IF(NFI_Expiration=1,IF($A873&lt;VLOOKUP(K$5,NFI,5,0),1,0)*Table_NFI[[#This Row],[Mosquito net]],Table_NFI[Mosquito net])</f>
        <v>0</v>
      </c>
      <c r="AC873" s="264">
        <f>IF(NFI_Expiration=1,IF($A873&lt;VLOOKUP(L$5,NFI,5,0),1,0)*Table_NFI[[#This Row],[Tarpaulin]],Table_NFI[[#This Row],[Tarpaulin]])</f>
        <v>0</v>
      </c>
      <c r="AD873" s="264">
        <f>IF(NFI_Expiration=1,IF($A873&lt;VLOOKUP(M$5,NFI,5,0),1,0)*Table_NFI[[#This Row],[Blanket]],Table_NFI[[#This Row],[Blanket]])</f>
        <v>0</v>
      </c>
      <c r="AE873" s="264">
        <f>IF(NFI_Expiration=1,IF($A873&lt;VLOOKUP(N$5,NFI,5,0),1,0)*Table_NFI[[#This Row],[Kitchen Set]],Table_NFI[Kitchen Set])</f>
        <v>0</v>
      </c>
      <c r="AF873" s="264">
        <f>IF(NFI_Expiration=1,IF($A873&lt;VLOOKUP(O$5,NFI,5,0),1,0)*Table_NFI[[#This Row],[Clothes Kit]],Table_NFI[Clothes Kit])</f>
        <v>0</v>
      </c>
      <c r="AG873" s="264">
        <f>IF(NFI_Expiration=1,IF($A873&lt;VLOOKUP(P$5,NFI,5,0),1,0)*Table_NFI[[#This Row],[Plastic Bucket]],Table_NFI[Plastic Bucket])</f>
        <v>0</v>
      </c>
      <c r="AH873" s="264">
        <f>IF(NFI_Expiration=1,IF($A873&lt;VLOOKUP(Q$5,NFI,5,0),1,0)*Table_NFI[[#This Row],[Plastic Mat]],Table_NFI[Plastic Mat])*IF(Table_NFI[[#This Row],[Distribution Date]]&gt;"2014-04-01",1,2.5)</f>
        <v>0</v>
      </c>
      <c r="AI873" s="264">
        <f>IF(NFI_Expiration=1,IF($A873&lt;VLOOKUP(R$5,NFI,5,0),1,0)*Table_NFI[[#This Row],[Winter Clothes Adult]],Table_NFI[Winter Clothes Adult])</f>
        <v>0</v>
      </c>
      <c r="AJ873" s="264">
        <f>IF(NFI_Expiration=1,IF($A873&lt;VLOOKUP(S$5,NFI,5,0),1,0)*Table_NFI[[#This Row],[Winter Clothes Children]],Table_NFI[Winter Clothes Children])</f>
        <v>0</v>
      </c>
      <c r="AK873" s="264">
        <f>IF(NFI_Expiration=1,IF($A873&lt;VLOOKUP(T$5,NFI,5,0),1,0)*Table_NFI[[#This Row],[Winter Items Other]],Table_NFI[Winter Items Other])</f>
        <v>0</v>
      </c>
      <c r="AL873" s="264">
        <f>IF(NFI_Expiration=1,IF($A873&lt;VLOOKUP(M$5,NFI,5,0),1,0)*Table_NFI[[#This Row],[Winter Blanket]],Table_NFI[[#This Row],[Winter Blanket]])</f>
        <v>0</v>
      </c>
      <c r="AM873" s="264">
        <f>IF(Table_NFI[[#This Row],[Winter Clothes Adult]]+Table_NFI[[#This Row],[Winter Clothes Children]]+Table_NFI[[#This Row],[Winter Items Other]]+Table_NFI[[#This Row],[Winter Blanket]]&gt;0,1,0)</f>
        <v>0</v>
      </c>
      <c r="AN873" s="296">
        <f>IF(NFI_Expiration=1,IF($A873&lt;VLOOKUP(V$5,NFI,5,0),1,0)*Table_NFI[[#This Row],[Jerry Can]],Table_NFI[Jerry Can])</f>
        <v>0</v>
      </c>
      <c r="AO873" s="296">
        <f>IF(NFI_Expiration=1,IF($A873&lt;VLOOKUP(V$5,NFI,5,0),1,0)*Table_NFI[[#This Row],[Shelter Tool kit]],Table_NFI[Shelter Tool kit])</f>
        <v>0</v>
      </c>
      <c r="AP873" s="296">
        <f>IF(NFI_Expiration=1,IF($A873&lt;VLOOKUP(V$5,NFI,5,0),1,0)*Table_NFI[[#This Row],[Tent]],Table_NFI[Tent])</f>
        <v>0</v>
      </c>
      <c r="AQ873" s="396" t="str">
        <f>IFERROR(VLOOKUP(Table_NFI[[#This Row],[Camp Name]],CL,2,0),"")</f>
        <v>MMR001CMP066</v>
      </c>
      <c r="AR873" s="702">
        <f ca="1">IF(Table_NFI[[#This Row],[Pcode]]="","",IF(OFFSET(CampList[Opening Date],MATCH(Table_NFI[[#This Row],[Pcode]],CampList[CP_Pcode],0)-1,0,1,1)&gt;=NFI_Monitor_Date,1,0))</f>
        <v>0</v>
      </c>
      <c r="AS873" s="396" t="str">
        <f>IFERROR(VLOOKUP(Table_NFI[[#This Row],[Camp Name]],CL,3,0),"")</f>
        <v>Open</v>
      </c>
      <c r="AT873" s="264" t="str">
        <f ca="1">IF(Table_NFI[[#This Row],[Pcode]]="","",OFFSET(CampList[Priority],MATCH(Table_NFI[[#This Row],[Pcode]],CampList[CP_Pcode],0)-1,0,1,1))</f>
        <v>P4</v>
      </c>
      <c r="AU873" s="263">
        <f>IFERROR(Table_NFI[[#This Row],[Kitchen Set]]/VLOOKUP(Table_NFI[[#This Row],[Camp Name]],CL,4,0),"")</f>
        <v>0</v>
      </c>
      <c r="AV873" s="390" t="s">
        <v>1087</v>
      </c>
      <c r="AW873" s="392"/>
      <c r="AX873" s="399"/>
      <c r="AY873" s="399"/>
      <c r="AZ873" s="399"/>
      <c r="BA873" s="399"/>
      <c r="BB873" s="399"/>
      <c r="BC873" s="399"/>
      <c r="BD873" s="399"/>
      <c r="BE873" s="399"/>
      <c r="BF873" s="399"/>
      <c r="BG873" s="399"/>
      <c r="BH873" s="399"/>
      <c r="BI873" s="399"/>
      <c r="BJ873" s="399"/>
      <c r="BK873" s="399"/>
      <c r="BL873" s="399"/>
      <c r="BM873" s="399"/>
      <c r="BN873" s="399"/>
      <c r="BO873" s="399"/>
      <c r="BP873" s="399"/>
      <c r="BQ873" s="399"/>
      <c r="BR873" s="399"/>
      <c r="BS873" s="399"/>
      <c r="BT873" s="399"/>
      <c r="BU873" s="399"/>
      <c r="BV873" s="399"/>
      <c r="BW873" s="399"/>
      <c r="BX873" s="399"/>
      <c r="BY873" s="399"/>
      <c r="BZ873" s="399"/>
      <c r="CA873" s="399"/>
      <c r="CB873" s="399"/>
      <c r="CC873" s="399"/>
      <c r="CD873" s="399"/>
      <c r="CE873" s="399"/>
      <c r="CF873" s="399"/>
      <c r="CG873" s="399"/>
      <c r="CH873" s="399"/>
      <c r="CI873" s="399"/>
      <c r="CJ873" s="399"/>
      <c r="CK873" s="399"/>
      <c r="CL873" s="399"/>
      <c r="CM873" s="399"/>
      <c r="CN873" s="399"/>
      <c r="CO873" s="399"/>
      <c r="CP873" s="399"/>
      <c r="CQ873" s="399"/>
      <c r="CR873" s="399"/>
      <c r="CS873" s="399"/>
      <c r="CT873" s="399"/>
      <c r="CU873" s="399"/>
      <c r="CV873" s="399"/>
      <c r="CW873" s="399"/>
      <c r="CX873" s="399"/>
      <c r="CY873" s="399"/>
      <c r="CZ873" s="399"/>
      <c r="DA873" s="399"/>
      <c r="DB873" s="399"/>
      <c r="DC873" s="399"/>
      <c r="DD873" s="399"/>
      <c r="DE873" s="399"/>
      <c r="DF873" s="399"/>
      <c r="DG873" s="399"/>
      <c r="DH873" s="399"/>
      <c r="DI873" s="399"/>
      <c r="DJ873" s="399"/>
      <c r="DK873" s="399"/>
      <c r="DL873" s="399"/>
      <c r="DM873" s="399"/>
      <c r="DN873" s="399"/>
      <c r="DO873" s="399"/>
      <c r="DP873" s="399"/>
      <c r="DQ873" s="399"/>
    </row>
    <row r="874" spans="1:121" s="760" customFormat="1" ht="14.45" customHeight="1" x14ac:dyDescent="0.25">
      <c r="A874" s="266">
        <f t="shared" si="13"/>
        <v>52.733333333333334</v>
      </c>
      <c r="B874" s="389">
        <v>41274</v>
      </c>
      <c r="C874" s="390" t="s">
        <v>452</v>
      </c>
      <c r="D874" s="391" t="s">
        <v>452</v>
      </c>
      <c r="E874" s="390" t="s">
        <v>380</v>
      </c>
      <c r="F874" s="262" t="s">
        <v>526</v>
      </c>
      <c r="G874" s="262" t="s">
        <v>62</v>
      </c>
      <c r="H874" s="261">
        <v>12</v>
      </c>
      <c r="I874" s="261"/>
      <c r="J874" s="261"/>
      <c r="K874" s="261"/>
      <c r="L874" s="261"/>
      <c r="M874" s="261"/>
      <c r="N874" s="261"/>
      <c r="O874" s="261"/>
      <c r="P874" s="261">
        <v>0</v>
      </c>
      <c r="Q874" s="261">
        <v>0</v>
      </c>
      <c r="R874" s="261"/>
      <c r="S874" s="261"/>
      <c r="T874" s="261"/>
      <c r="U874" s="261"/>
      <c r="V874" s="762"/>
      <c r="W874" s="261"/>
      <c r="X874" s="261"/>
      <c r="Y874" s="264">
        <f>IF(NFI_Expiration=1,IF($A874&lt;VLOOKUP(H$5,NFI,5,0),1,0)*Table_NFI[[#This Row],[Hygiene Kit]],Table_NFI[Hygiene Kit])</f>
        <v>0</v>
      </c>
      <c r="Z874" s="264">
        <f>IF(NFI_Expiration=1,IF($A874&lt;VLOOKUP(I$5,NFI,5,0),1,0)*Table_NFI[[#This Row],[NFI Core Kit]],Table_NFI[NFI Core Kit])</f>
        <v>0</v>
      </c>
      <c r="AA874" s="264">
        <f>IF(NFI_Expiration=1,IF($A874&lt;VLOOKUP(J$5,NFI,5,0),1,0)*Table_NFI[[#This Row],[Sanitary Kit]],Table_NFI[Sanitary Kit])</f>
        <v>0</v>
      </c>
      <c r="AB874" s="264">
        <f>IF(NFI_Expiration=1,IF($A874&lt;VLOOKUP(K$5,NFI,5,0),1,0)*Table_NFI[[#This Row],[Mosquito net]],Table_NFI[Mosquito net])</f>
        <v>0</v>
      </c>
      <c r="AC874" s="264">
        <f>IF(NFI_Expiration=1,IF($A874&lt;VLOOKUP(L$5,NFI,5,0),1,0)*Table_NFI[[#This Row],[Tarpaulin]],Table_NFI[[#This Row],[Tarpaulin]])</f>
        <v>0</v>
      </c>
      <c r="AD874" s="264">
        <f>IF(NFI_Expiration=1,IF($A874&lt;VLOOKUP(M$5,NFI,5,0),1,0)*Table_NFI[[#This Row],[Blanket]],Table_NFI[[#This Row],[Blanket]])</f>
        <v>0</v>
      </c>
      <c r="AE874" s="264">
        <f>IF(NFI_Expiration=1,IF($A874&lt;VLOOKUP(N$5,NFI,5,0),1,0)*Table_NFI[[#This Row],[Kitchen Set]],Table_NFI[Kitchen Set])</f>
        <v>0</v>
      </c>
      <c r="AF874" s="264">
        <f>IF(NFI_Expiration=1,IF($A874&lt;VLOOKUP(O$5,NFI,5,0),1,0)*Table_NFI[[#This Row],[Clothes Kit]],Table_NFI[Clothes Kit])</f>
        <v>0</v>
      </c>
      <c r="AG874" s="264">
        <f>IF(NFI_Expiration=1,IF($A874&lt;VLOOKUP(P$5,NFI,5,0),1,0)*Table_NFI[[#This Row],[Plastic Bucket]],Table_NFI[Plastic Bucket])</f>
        <v>0</v>
      </c>
      <c r="AH874" s="264">
        <f>IF(NFI_Expiration=1,IF($A874&lt;VLOOKUP(Q$5,NFI,5,0),1,0)*Table_NFI[[#This Row],[Plastic Mat]],Table_NFI[Plastic Mat])*IF(Table_NFI[[#This Row],[Distribution Date]]&gt;"2014-04-01",1,2.5)</f>
        <v>0</v>
      </c>
      <c r="AI874" s="264">
        <f>IF(NFI_Expiration=1,IF($A874&lt;VLOOKUP(R$5,NFI,5,0),1,0)*Table_NFI[[#This Row],[Winter Clothes Adult]],Table_NFI[Winter Clothes Adult])</f>
        <v>0</v>
      </c>
      <c r="AJ874" s="264">
        <f>IF(NFI_Expiration=1,IF($A874&lt;VLOOKUP(S$5,NFI,5,0),1,0)*Table_NFI[[#This Row],[Winter Clothes Children]],Table_NFI[Winter Clothes Children])</f>
        <v>0</v>
      </c>
      <c r="AK874" s="264">
        <f>IF(NFI_Expiration=1,IF($A874&lt;VLOOKUP(T$5,NFI,5,0),1,0)*Table_NFI[[#This Row],[Winter Items Other]],Table_NFI[Winter Items Other])</f>
        <v>0</v>
      </c>
      <c r="AL874" s="264">
        <f>IF(NFI_Expiration=1,IF($A874&lt;VLOOKUP(M$5,NFI,5,0),1,0)*Table_NFI[[#This Row],[Winter Blanket]],Table_NFI[[#This Row],[Winter Blanket]])</f>
        <v>0</v>
      </c>
      <c r="AM874" s="264">
        <f>IF(Table_NFI[[#This Row],[Winter Clothes Adult]]+Table_NFI[[#This Row],[Winter Clothes Children]]+Table_NFI[[#This Row],[Winter Items Other]]+Table_NFI[[#This Row],[Winter Blanket]]&gt;0,1,0)</f>
        <v>0</v>
      </c>
      <c r="AN874" s="296">
        <f>IF(NFI_Expiration=1,IF($A874&lt;VLOOKUP(V$5,NFI,5,0),1,0)*Table_NFI[[#This Row],[Jerry Can]],Table_NFI[Jerry Can])</f>
        <v>0</v>
      </c>
      <c r="AO874" s="296">
        <f>IF(NFI_Expiration=1,IF($A874&lt;VLOOKUP(V$5,NFI,5,0),1,0)*Table_NFI[[#This Row],[Shelter Tool kit]],Table_NFI[Shelter Tool kit])</f>
        <v>0</v>
      </c>
      <c r="AP874" s="296">
        <f>IF(NFI_Expiration=1,IF($A874&lt;VLOOKUP(V$5,NFI,5,0),1,0)*Table_NFI[[#This Row],[Tent]],Table_NFI[Tent])</f>
        <v>0</v>
      </c>
      <c r="AQ874" s="396" t="str">
        <f>IFERROR(VLOOKUP(Table_NFI[[#This Row],[Camp Name]],CL,2,0),"")</f>
        <v>MMR001CMP179</v>
      </c>
      <c r="AR874" s="702">
        <f ca="1">IF(Table_NFI[[#This Row],[Pcode]]="","",IF(OFFSET(CampList[Opening Date],MATCH(Table_NFI[[#This Row],[Pcode]],CampList[CP_Pcode],0)-1,0,1,1)&gt;=NFI_Monitor_Date,1,0))</f>
        <v>0</v>
      </c>
      <c r="AS874" s="396" t="str">
        <f>IFERROR(VLOOKUP(Table_NFI[[#This Row],[Camp Name]],CL,3,0),"")</f>
        <v>Closed</v>
      </c>
      <c r="AT874" s="264" t="str">
        <f ca="1">IF(Table_NFI[[#This Row],[Pcode]]="","",OFFSET(CampList[Priority],MATCH(Table_NFI[[#This Row],[Pcode]],CampList[CP_Pcode],0)-1,0,1,1))</f>
        <v>P4</v>
      </c>
      <c r="AU874" s="263">
        <f>IFERROR(Table_NFI[[#This Row],[Kitchen Set]]/VLOOKUP(Table_NFI[[#This Row],[Camp Name]],CL,4,0),"")</f>
        <v>0</v>
      </c>
      <c r="AV874" s="390" t="s">
        <v>1087</v>
      </c>
      <c r="AW874" s="392"/>
      <c r="AX874" s="399"/>
      <c r="AY874" s="399"/>
      <c r="AZ874" s="399"/>
      <c r="BA874" s="399"/>
      <c r="BB874" s="399"/>
      <c r="BC874" s="399"/>
      <c r="BD874" s="399"/>
      <c r="BE874" s="399"/>
      <c r="BF874" s="399"/>
      <c r="BG874" s="399"/>
      <c r="BH874" s="399"/>
      <c r="BI874" s="399"/>
      <c r="BJ874" s="399"/>
      <c r="BK874" s="399"/>
      <c r="BL874" s="399"/>
      <c r="BM874" s="399"/>
      <c r="BN874" s="399"/>
      <c r="BO874" s="399"/>
      <c r="BP874" s="399"/>
      <c r="BQ874" s="399"/>
      <c r="BR874" s="399"/>
      <c r="BS874" s="399"/>
      <c r="BT874" s="399"/>
      <c r="BU874" s="399"/>
      <c r="BV874" s="399"/>
      <c r="BW874" s="399"/>
      <c r="BX874" s="399"/>
      <c r="BY874" s="399"/>
      <c r="BZ874" s="399"/>
      <c r="CA874" s="399"/>
      <c r="CB874" s="399"/>
      <c r="CC874" s="399"/>
      <c r="CD874" s="399"/>
      <c r="CE874" s="399"/>
      <c r="CF874" s="399"/>
      <c r="CG874" s="399"/>
      <c r="CH874" s="399"/>
      <c r="CI874" s="399"/>
      <c r="CJ874" s="399"/>
      <c r="CK874" s="399"/>
      <c r="CL874" s="399"/>
      <c r="CM874" s="399"/>
      <c r="CN874" s="399"/>
      <c r="CO874" s="399"/>
      <c r="CP874" s="399"/>
      <c r="CQ874" s="399"/>
      <c r="CR874" s="399"/>
      <c r="CS874" s="399"/>
      <c r="CT874" s="399"/>
      <c r="CU874" s="399"/>
      <c r="CV874" s="399"/>
      <c r="CW874" s="399"/>
      <c r="CX874" s="399"/>
      <c r="CY874" s="399"/>
      <c r="CZ874" s="399"/>
      <c r="DA874" s="399"/>
      <c r="DB874" s="399"/>
      <c r="DC874" s="399"/>
      <c r="DD874" s="399"/>
      <c r="DE874" s="399"/>
      <c r="DF874" s="399"/>
      <c r="DG874" s="399"/>
      <c r="DH874" s="399"/>
      <c r="DI874" s="399"/>
      <c r="DJ874" s="399"/>
      <c r="DK874" s="399"/>
      <c r="DL874" s="399"/>
      <c r="DM874" s="399"/>
      <c r="DN874" s="399"/>
      <c r="DO874" s="399"/>
      <c r="DP874" s="399"/>
      <c r="DQ874" s="399"/>
    </row>
    <row r="875" spans="1:121" s="760" customFormat="1" ht="14.45" customHeight="1" x14ac:dyDescent="0.25">
      <c r="A875" s="266">
        <f t="shared" si="13"/>
        <v>52.733333333333334</v>
      </c>
      <c r="B875" s="389">
        <v>41274</v>
      </c>
      <c r="C875" s="390" t="s">
        <v>452</v>
      </c>
      <c r="D875" s="391" t="s">
        <v>452</v>
      </c>
      <c r="E875" s="390" t="s">
        <v>380</v>
      </c>
      <c r="F875" s="262" t="s">
        <v>526</v>
      </c>
      <c r="G875" s="262" t="s">
        <v>120</v>
      </c>
      <c r="H875" s="261">
        <v>19</v>
      </c>
      <c r="I875" s="261"/>
      <c r="J875" s="261"/>
      <c r="K875" s="261"/>
      <c r="L875" s="261"/>
      <c r="M875" s="261"/>
      <c r="N875" s="261"/>
      <c r="O875" s="261"/>
      <c r="P875" s="261">
        <v>0</v>
      </c>
      <c r="Q875" s="261">
        <v>0</v>
      </c>
      <c r="R875" s="261"/>
      <c r="S875" s="261"/>
      <c r="T875" s="261"/>
      <c r="U875" s="261"/>
      <c r="V875" s="762"/>
      <c r="W875" s="261"/>
      <c r="X875" s="261"/>
      <c r="Y875" s="264">
        <f>IF(NFI_Expiration=1,IF($A875&lt;VLOOKUP(H$5,NFI,5,0),1,0)*Table_NFI[[#This Row],[Hygiene Kit]],Table_NFI[Hygiene Kit])</f>
        <v>0</v>
      </c>
      <c r="Z875" s="264">
        <f>IF(NFI_Expiration=1,IF($A875&lt;VLOOKUP(I$5,NFI,5,0),1,0)*Table_NFI[[#This Row],[NFI Core Kit]],Table_NFI[NFI Core Kit])</f>
        <v>0</v>
      </c>
      <c r="AA875" s="264">
        <f>IF(NFI_Expiration=1,IF($A875&lt;VLOOKUP(J$5,NFI,5,0),1,0)*Table_NFI[[#This Row],[Sanitary Kit]],Table_NFI[Sanitary Kit])</f>
        <v>0</v>
      </c>
      <c r="AB875" s="264">
        <f>IF(NFI_Expiration=1,IF($A875&lt;VLOOKUP(K$5,NFI,5,0),1,0)*Table_NFI[[#This Row],[Mosquito net]],Table_NFI[Mosquito net])</f>
        <v>0</v>
      </c>
      <c r="AC875" s="264">
        <f>IF(NFI_Expiration=1,IF($A875&lt;VLOOKUP(L$5,NFI,5,0),1,0)*Table_NFI[[#This Row],[Tarpaulin]],Table_NFI[[#This Row],[Tarpaulin]])</f>
        <v>0</v>
      </c>
      <c r="AD875" s="264">
        <f>IF(NFI_Expiration=1,IF($A875&lt;VLOOKUP(M$5,NFI,5,0),1,0)*Table_NFI[[#This Row],[Blanket]],Table_NFI[[#This Row],[Blanket]])</f>
        <v>0</v>
      </c>
      <c r="AE875" s="264">
        <f>IF(NFI_Expiration=1,IF($A875&lt;VLOOKUP(N$5,NFI,5,0),1,0)*Table_NFI[[#This Row],[Kitchen Set]],Table_NFI[Kitchen Set])</f>
        <v>0</v>
      </c>
      <c r="AF875" s="264">
        <f>IF(NFI_Expiration=1,IF($A875&lt;VLOOKUP(O$5,NFI,5,0),1,0)*Table_NFI[[#This Row],[Clothes Kit]],Table_NFI[Clothes Kit])</f>
        <v>0</v>
      </c>
      <c r="AG875" s="264">
        <f>IF(NFI_Expiration=1,IF($A875&lt;VLOOKUP(P$5,NFI,5,0),1,0)*Table_NFI[[#This Row],[Plastic Bucket]],Table_NFI[Plastic Bucket])</f>
        <v>0</v>
      </c>
      <c r="AH875" s="264">
        <f>IF(NFI_Expiration=1,IF($A875&lt;VLOOKUP(Q$5,NFI,5,0),1,0)*Table_NFI[[#This Row],[Plastic Mat]],Table_NFI[Plastic Mat])*IF(Table_NFI[[#This Row],[Distribution Date]]&gt;"2014-04-01",1,2.5)</f>
        <v>0</v>
      </c>
      <c r="AI875" s="264">
        <f>IF(NFI_Expiration=1,IF($A875&lt;VLOOKUP(R$5,NFI,5,0),1,0)*Table_NFI[[#This Row],[Winter Clothes Adult]],Table_NFI[Winter Clothes Adult])</f>
        <v>0</v>
      </c>
      <c r="AJ875" s="264">
        <f>IF(NFI_Expiration=1,IF($A875&lt;VLOOKUP(S$5,NFI,5,0),1,0)*Table_NFI[[#This Row],[Winter Clothes Children]],Table_NFI[Winter Clothes Children])</f>
        <v>0</v>
      </c>
      <c r="AK875" s="264">
        <f>IF(NFI_Expiration=1,IF($A875&lt;VLOOKUP(T$5,NFI,5,0),1,0)*Table_NFI[[#This Row],[Winter Items Other]],Table_NFI[Winter Items Other])</f>
        <v>0</v>
      </c>
      <c r="AL875" s="264">
        <f>IF(NFI_Expiration=1,IF($A875&lt;VLOOKUP(M$5,NFI,5,0),1,0)*Table_NFI[[#This Row],[Winter Blanket]],Table_NFI[[#This Row],[Winter Blanket]])</f>
        <v>0</v>
      </c>
      <c r="AM875" s="264">
        <f>IF(Table_NFI[[#This Row],[Winter Clothes Adult]]+Table_NFI[[#This Row],[Winter Clothes Children]]+Table_NFI[[#This Row],[Winter Items Other]]+Table_NFI[[#This Row],[Winter Blanket]]&gt;0,1,0)</f>
        <v>0</v>
      </c>
      <c r="AN875" s="296">
        <f>IF(NFI_Expiration=1,IF($A875&lt;VLOOKUP(V$5,NFI,5,0),1,0)*Table_NFI[[#This Row],[Jerry Can]],Table_NFI[Jerry Can])</f>
        <v>0</v>
      </c>
      <c r="AO875" s="296">
        <f>IF(NFI_Expiration=1,IF($A875&lt;VLOOKUP(V$5,NFI,5,0),1,0)*Table_NFI[[#This Row],[Shelter Tool kit]],Table_NFI[Shelter Tool kit])</f>
        <v>0</v>
      </c>
      <c r="AP875" s="296">
        <f>IF(NFI_Expiration=1,IF($A875&lt;VLOOKUP(V$5,NFI,5,0),1,0)*Table_NFI[[#This Row],[Tent]],Table_NFI[Tent])</f>
        <v>0</v>
      </c>
      <c r="AQ875" s="396" t="str">
        <f>IFERROR(VLOOKUP(Table_NFI[[#This Row],[Camp Name]],CL,2,0),"")</f>
        <v>MMR001CMP168</v>
      </c>
      <c r="AR875" s="702">
        <f ca="1">IF(Table_NFI[[#This Row],[Pcode]]="","",IF(OFFSET(CampList[Opening Date],MATCH(Table_NFI[[#This Row],[Pcode]],CampList[CP_Pcode],0)-1,0,1,1)&gt;=NFI_Monitor_Date,1,0))</f>
        <v>0</v>
      </c>
      <c r="AS875" s="396" t="str">
        <f>IFERROR(VLOOKUP(Table_NFI[[#This Row],[Camp Name]],CL,3,0),"")</f>
        <v>Open</v>
      </c>
      <c r="AT875" s="264" t="str">
        <f ca="1">IF(Table_NFI[[#This Row],[Pcode]]="","",OFFSET(CampList[Priority],MATCH(Table_NFI[[#This Row],[Pcode]],CampList[CP_Pcode],0)-1,0,1,1))</f>
        <v>P4</v>
      </c>
      <c r="AU875" s="263">
        <f>IFERROR(Table_NFI[[#This Row],[Kitchen Set]]/VLOOKUP(Table_NFI[[#This Row],[Camp Name]],CL,4,0),"")</f>
        <v>0</v>
      </c>
      <c r="AV875" s="390" t="s">
        <v>1087</v>
      </c>
      <c r="AW875" s="392"/>
      <c r="AX875" s="399"/>
      <c r="AY875" s="399"/>
      <c r="AZ875" s="399"/>
      <c r="BA875" s="399"/>
      <c r="BB875" s="399"/>
      <c r="BC875" s="399"/>
      <c r="BD875" s="399"/>
      <c r="BE875" s="399"/>
      <c r="BF875" s="399"/>
      <c r="BG875" s="399"/>
      <c r="BH875" s="399"/>
      <c r="BI875" s="399"/>
      <c r="BJ875" s="399"/>
      <c r="BK875" s="399"/>
      <c r="BL875" s="399"/>
      <c r="BM875" s="399"/>
      <c r="BN875" s="399"/>
      <c r="BO875" s="399"/>
      <c r="BP875" s="399"/>
      <c r="BQ875" s="399"/>
      <c r="BR875" s="399"/>
      <c r="BS875" s="399"/>
      <c r="BT875" s="399"/>
      <c r="BU875" s="399"/>
      <c r="BV875" s="399"/>
      <c r="BW875" s="399"/>
      <c r="BX875" s="399"/>
      <c r="BY875" s="399"/>
      <c r="BZ875" s="399"/>
      <c r="CA875" s="399"/>
      <c r="CB875" s="399"/>
      <c r="CC875" s="399"/>
      <c r="CD875" s="399"/>
      <c r="CE875" s="399"/>
      <c r="CF875" s="399"/>
      <c r="CG875" s="399"/>
      <c r="CH875" s="399"/>
      <c r="CI875" s="399"/>
      <c r="CJ875" s="399"/>
      <c r="CK875" s="399"/>
      <c r="CL875" s="399"/>
      <c r="CM875" s="399"/>
      <c r="CN875" s="399"/>
      <c r="CO875" s="399"/>
      <c r="CP875" s="399"/>
      <c r="CQ875" s="399"/>
      <c r="CR875" s="399"/>
      <c r="CS875" s="399"/>
      <c r="CT875" s="399"/>
      <c r="CU875" s="399"/>
      <c r="CV875" s="399"/>
      <c r="CW875" s="399"/>
      <c r="CX875" s="399"/>
      <c r="CY875" s="399"/>
      <c r="CZ875" s="399"/>
      <c r="DA875" s="399"/>
      <c r="DB875" s="399"/>
      <c r="DC875" s="399"/>
      <c r="DD875" s="399"/>
      <c r="DE875" s="399"/>
      <c r="DF875" s="399"/>
      <c r="DG875" s="399"/>
      <c r="DH875" s="399"/>
      <c r="DI875" s="399"/>
      <c r="DJ875" s="399"/>
      <c r="DK875" s="399"/>
      <c r="DL875" s="399"/>
      <c r="DM875" s="399"/>
      <c r="DN875" s="399"/>
      <c r="DO875" s="399"/>
      <c r="DP875" s="399"/>
      <c r="DQ875" s="399"/>
    </row>
    <row r="876" spans="1:121" s="760" customFormat="1" ht="14.45" customHeight="1" x14ac:dyDescent="0.25">
      <c r="A876" s="266">
        <f t="shared" si="13"/>
        <v>52.733333333333334</v>
      </c>
      <c r="B876" s="389">
        <v>41274</v>
      </c>
      <c r="C876" s="390" t="s">
        <v>452</v>
      </c>
      <c r="D876" s="390" t="s">
        <v>452</v>
      </c>
      <c r="E876" s="390" t="s">
        <v>380</v>
      </c>
      <c r="F876" s="390" t="s">
        <v>526</v>
      </c>
      <c r="G876" s="262" t="s">
        <v>41</v>
      </c>
      <c r="H876" s="261">
        <v>7</v>
      </c>
      <c r="I876" s="261"/>
      <c r="J876" s="261"/>
      <c r="K876" s="261"/>
      <c r="L876" s="261"/>
      <c r="M876" s="261"/>
      <c r="N876" s="261"/>
      <c r="O876" s="261"/>
      <c r="P876" s="261">
        <v>0</v>
      </c>
      <c r="Q876" s="261">
        <v>0</v>
      </c>
      <c r="R876" s="261"/>
      <c r="S876" s="261"/>
      <c r="T876" s="261"/>
      <c r="U876" s="261"/>
      <c r="V876" s="762"/>
      <c r="W876" s="261"/>
      <c r="X876" s="261"/>
      <c r="Y876" s="264">
        <f>IF(NFI_Expiration=1,IF($A876&lt;VLOOKUP(H$5,NFI,5,0),1,0)*Table_NFI[[#This Row],[Hygiene Kit]],Table_NFI[Hygiene Kit])</f>
        <v>0</v>
      </c>
      <c r="Z876" s="264">
        <f>IF(NFI_Expiration=1,IF($A876&lt;VLOOKUP(I$5,NFI,5,0),1,0)*Table_NFI[[#This Row],[NFI Core Kit]],Table_NFI[NFI Core Kit])</f>
        <v>0</v>
      </c>
      <c r="AA876" s="264">
        <f>IF(NFI_Expiration=1,IF($A876&lt;VLOOKUP(J$5,NFI,5,0),1,0)*Table_NFI[[#This Row],[Sanitary Kit]],Table_NFI[Sanitary Kit])</f>
        <v>0</v>
      </c>
      <c r="AB876" s="264">
        <f>IF(NFI_Expiration=1,IF($A876&lt;VLOOKUP(K$5,NFI,5,0),1,0)*Table_NFI[[#This Row],[Mosquito net]],Table_NFI[Mosquito net])</f>
        <v>0</v>
      </c>
      <c r="AC876" s="264">
        <f>IF(NFI_Expiration=1,IF($A876&lt;VLOOKUP(L$5,NFI,5,0),1,0)*Table_NFI[[#This Row],[Tarpaulin]],Table_NFI[[#This Row],[Tarpaulin]])</f>
        <v>0</v>
      </c>
      <c r="AD876" s="264">
        <f>IF(NFI_Expiration=1,IF($A876&lt;VLOOKUP(M$5,NFI,5,0),1,0)*Table_NFI[[#This Row],[Blanket]],Table_NFI[[#This Row],[Blanket]])</f>
        <v>0</v>
      </c>
      <c r="AE876" s="264">
        <f>IF(NFI_Expiration=1,IF($A876&lt;VLOOKUP(N$5,NFI,5,0),1,0)*Table_NFI[[#This Row],[Kitchen Set]],Table_NFI[Kitchen Set])</f>
        <v>0</v>
      </c>
      <c r="AF876" s="264">
        <f>IF(NFI_Expiration=1,IF($A876&lt;VLOOKUP(O$5,NFI,5,0),1,0)*Table_NFI[[#This Row],[Clothes Kit]],Table_NFI[Clothes Kit])</f>
        <v>0</v>
      </c>
      <c r="AG876" s="264">
        <f>IF(NFI_Expiration=1,IF($A876&lt;VLOOKUP(P$5,NFI,5,0),1,0)*Table_NFI[[#This Row],[Plastic Bucket]],Table_NFI[Plastic Bucket])</f>
        <v>0</v>
      </c>
      <c r="AH876" s="264">
        <f>IF(NFI_Expiration=1,IF($A876&lt;VLOOKUP(Q$5,NFI,5,0),1,0)*Table_NFI[[#This Row],[Plastic Mat]],Table_NFI[Plastic Mat])*IF(Table_NFI[[#This Row],[Distribution Date]]&gt;"2014-04-01",1,2.5)</f>
        <v>0</v>
      </c>
      <c r="AI876" s="264">
        <f>IF(NFI_Expiration=1,IF($A876&lt;VLOOKUP(R$5,NFI,5,0),1,0)*Table_NFI[[#This Row],[Winter Clothes Adult]],Table_NFI[Winter Clothes Adult])</f>
        <v>0</v>
      </c>
      <c r="AJ876" s="264">
        <f>IF(NFI_Expiration=1,IF($A876&lt;VLOOKUP(S$5,NFI,5,0),1,0)*Table_NFI[[#This Row],[Winter Clothes Children]],Table_NFI[Winter Clothes Children])</f>
        <v>0</v>
      </c>
      <c r="AK876" s="264">
        <f>IF(NFI_Expiration=1,IF($A876&lt;VLOOKUP(T$5,NFI,5,0),1,0)*Table_NFI[[#This Row],[Winter Items Other]],Table_NFI[Winter Items Other])</f>
        <v>0</v>
      </c>
      <c r="AL876" s="264">
        <f>IF(NFI_Expiration=1,IF($A876&lt;VLOOKUP(M$5,NFI,5,0),1,0)*Table_NFI[[#This Row],[Winter Blanket]],Table_NFI[[#This Row],[Winter Blanket]])</f>
        <v>0</v>
      </c>
      <c r="AM876" s="264">
        <f>IF(Table_NFI[[#This Row],[Winter Clothes Adult]]+Table_NFI[[#This Row],[Winter Clothes Children]]+Table_NFI[[#This Row],[Winter Items Other]]+Table_NFI[[#This Row],[Winter Blanket]]&gt;0,1,0)</f>
        <v>0</v>
      </c>
      <c r="AN876" s="296">
        <f>IF(NFI_Expiration=1,IF($A876&lt;VLOOKUP(V$5,NFI,5,0),1,0)*Table_NFI[[#This Row],[Jerry Can]],Table_NFI[Jerry Can])</f>
        <v>0</v>
      </c>
      <c r="AO876" s="296">
        <f>IF(NFI_Expiration=1,IF($A876&lt;VLOOKUP(V$5,NFI,5,0),1,0)*Table_NFI[[#This Row],[Shelter Tool kit]],Table_NFI[Shelter Tool kit])</f>
        <v>0</v>
      </c>
      <c r="AP876" s="296">
        <f>IF(NFI_Expiration=1,IF($A876&lt;VLOOKUP(V$5,NFI,5,0),1,0)*Table_NFI[[#This Row],[Tent]],Table_NFI[Tent])</f>
        <v>0</v>
      </c>
      <c r="AQ876" s="396" t="str">
        <f>IFERROR(VLOOKUP(Table_NFI[[#This Row],[Camp Name]],CL,2,0),"")</f>
        <v>MMR001CMP176</v>
      </c>
      <c r="AR876" s="702">
        <f ca="1">IF(Table_NFI[[#This Row],[Pcode]]="","",IF(OFFSET(CampList[Opening Date],MATCH(Table_NFI[[#This Row],[Pcode]],CampList[CP_Pcode],0)-1,0,1,1)&gt;=NFI_Monitor_Date,1,0))</f>
        <v>0</v>
      </c>
      <c r="AS876" s="396" t="str">
        <f>IFERROR(VLOOKUP(Table_NFI[[#This Row],[Camp Name]],CL,3,0),"")</f>
        <v>Open</v>
      </c>
      <c r="AT876" s="264" t="str">
        <f ca="1">IF(Table_NFI[[#This Row],[Pcode]]="","",OFFSET(CampList[Priority],MATCH(Table_NFI[[#This Row],[Pcode]],CampList[CP_Pcode],0)-1,0,1,1))</f>
        <v>P4</v>
      </c>
      <c r="AU876" s="263">
        <f>IFERROR(Table_NFI[[#This Row],[Kitchen Set]]/VLOOKUP(Table_NFI[[#This Row],[Camp Name]],CL,4,0),"")</f>
        <v>0</v>
      </c>
      <c r="AV876" s="390" t="s">
        <v>1087</v>
      </c>
      <c r="AW876" s="392"/>
      <c r="AX876" s="399"/>
      <c r="AY876" s="399"/>
      <c r="AZ876" s="399"/>
      <c r="BA876" s="399"/>
      <c r="BB876" s="399"/>
      <c r="BC876" s="399"/>
      <c r="BD876" s="399"/>
      <c r="BE876" s="399"/>
      <c r="BF876" s="399"/>
      <c r="BG876" s="399"/>
      <c r="BH876" s="399"/>
      <c r="BI876" s="399"/>
      <c r="BJ876" s="399"/>
      <c r="BK876" s="399"/>
      <c r="BL876" s="399"/>
      <c r="BM876" s="399"/>
      <c r="BN876" s="399"/>
      <c r="BO876" s="399"/>
      <c r="BP876" s="399"/>
      <c r="BQ876" s="399"/>
      <c r="BR876" s="399"/>
      <c r="BS876" s="399"/>
      <c r="BT876" s="399"/>
      <c r="BU876" s="399"/>
      <c r="BV876" s="399"/>
      <c r="BW876" s="399"/>
      <c r="BX876" s="399"/>
      <c r="BY876" s="399"/>
      <c r="BZ876" s="399"/>
      <c r="CA876" s="399"/>
      <c r="CB876" s="399"/>
      <c r="CC876" s="399"/>
      <c r="CD876" s="399"/>
      <c r="CE876" s="399"/>
      <c r="CF876" s="399"/>
      <c r="CG876" s="399"/>
      <c r="CH876" s="399"/>
      <c r="CI876" s="399"/>
      <c r="CJ876" s="399"/>
      <c r="CK876" s="399"/>
      <c r="CL876" s="399"/>
      <c r="CM876" s="399"/>
      <c r="CN876" s="399"/>
      <c r="CO876" s="399"/>
      <c r="CP876" s="399"/>
      <c r="CQ876" s="399"/>
      <c r="CR876" s="399"/>
      <c r="CS876" s="399"/>
      <c r="CT876" s="399"/>
      <c r="CU876" s="399"/>
      <c r="CV876" s="399"/>
      <c r="CW876" s="399"/>
      <c r="CX876" s="399"/>
      <c r="CY876" s="399"/>
      <c r="CZ876" s="399"/>
      <c r="DA876" s="399"/>
      <c r="DB876" s="399"/>
      <c r="DC876" s="399"/>
      <c r="DD876" s="399"/>
      <c r="DE876" s="399"/>
      <c r="DF876" s="399"/>
      <c r="DG876" s="399"/>
      <c r="DH876" s="399"/>
      <c r="DI876" s="399"/>
      <c r="DJ876" s="399"/>
      <c r="DK876" s="399"/>
      <c r="DL876" s="399"/>
      <c r="DM876" s="399"/>
      <c r="DN876" s="399"/>
      <c r="DO876" s="399"/>
      <c r="DP876" s="399"/>
      <c r="DQ876" s="399"/>
    </row>
    <row r="877" spans="1:121" s="760" customFormat="1" ht="14.45" customHeight="1" x14ac:dyDescent="0.25">
      <c r="A877" s="266">
        <f t="shared" si="13"/>
        <v>52.733333333333334</v>
      </c>
      <c r="B877" s="389">
        <v>41274</v>
      </c>
      <c r="C877" s="390" t="s">
        <v>452</v>
      </c>
      <c r="D877" s="391" t="s">
        <v>452</v>
      </c>
      <c r="E877" s="390" t="s">
        <v>380</v>
      </c>
      <c r="F877" s="262" t="s">
        <v>526</v>
      </c>
      <c r="G877" s="262" t="s">
        <v>43</v>
      </c>
      <c r="H877" s="261">
        <v>4</v>
      </c>
      <c r="I877" s="261"/>
      <c r="J877" s="261"/>
      <c r="K877" s="261"/>
      <c r="L877" s="261"/>
      <c r="M877" s="261"/>
      <c r="N877" s="261"/>
      <c r="O877" s="261"/>
      <c r="P877" s="261">
        <v>0</v>
      </c>
      <c r="Q877" s="261">
        <v>0</v>
      </c>
      <c r="R877" s="261"/>
      <c r="S877" s="261"/>
      <c r="T877" s="261"/>
      <c r="U877" s="261"/>
      <c r="V877" s="762"/>
      <c r="W877" s="261"/>
      <c r="X877" s="261"/>
      <c r="Y877" s="264">
        <f>IF(NFI_Expiration=1,IF($A877&lt;VLOOKUP(H$5,NFI,5,0),1,0)*Table_NFI[[#This Row],[Hygiene Kit]],Table_NFI[Hygiene Kit])</f>
        <v>0</v>
      </c>
      <c r="Z877" s="264">
        <f>IF(NFI_Expiration=1,IF($A877&lt;VLOOKUP(I$5,NFI,5,0),1,0)*Table_NFI[[#This Row],[NFI Core Kit]],Table_NFI[NFI Core Kit])</f>
        <v>0</v>
      </c>
      <c r="AA877" s="264">
        <f>IF(NFI_Expiration=1,IF($A877&lt;VLOOKUP(J$5,NFI,5,0),1,0)*Table_NFI[[#This Row],[Sanitary Kit]],Table_NFI[Sanitary Kit])</f>
        <v>0</v>
      </c>
      <c r="AB877" s="264">
        <f>IF(NFI_Expiration=1,IF($A877&lt;VLOOKUP(K$5,NFI,5,0),1,0)*Table_NFI[[#This Row],[Mosquito net]],Table_NFI[Mosquito net])</f>
        <v>0</v>
      </c>
      <c r="AC877" s="264">
        <f>IF(NFI_Expiration=1,IF($A877&lt;VLOOKUP(L$5,NFI,5,0),1,0)*Table_NFI[[#This Row],[Tarpaulin]],Table_NFI[[#This Row],[Tarpaulin]])</f>
        <v>0</v>
      </c>
      <c r="AD877" s="264">
        <f>IF(NFI_Expiration=1,IF($A877&lt;VLOOKUP(M$5,NFI,5,0),1,0)*Table_NFI[[#This Row],[Blanket]],Table_NFI[[#This Row],[Blanket]])</f>
        <v>0</v>
      </c>
      <c r="AE877" s="264">
        <f>IF(NFI_Expiration=1,IF($A877&lt;VLOOKUP(N$5,NFI,5,0),1,0)*Table_NFI[[#This Row],[Kitchen Set]],Table_NFI[Kitchen Set])</f>
        <v>0</v>
      </c>
      <c r="AF877" s="264">
        <f>IF(NFI_Expiration=1,IF($A877&lt;VLOOKUP(O$5,NFI,5,0),1,0)*Table_NFI[[#This Row],[Clothes Kit]],Table_NFI[Clothes Kit])</f>
        <v>0</v>
      </c>
      <c r="AG877" s="264">
        <f>IF(NFI_Expiration=1,IF($A877&lt;VLOOKUP(P$5,NFI,5,0),1,0)*Table_NFI[[#This Row],[Plastic Bucket]],Table_NFI[Plastic Bucket])</f>
        <v>0</v>
      </c>
      <c r="AH877" s="264">
        <f>IF(NFI_Expiration=1,IF($A877&lt;VLOOKUP(Q$5,NFI,5,0),1,0)*Table_NFI[[#This Row],[Plastic Mat]],Table_NFI[Plastic Mat])*IF(Table_NFI[[#This Row],[Distribution Date]]&gt;"2014-04-01",1,2.5)</f>
        <v>0</v>
      </c>
      <c r="AI877" s="264">
        <f>IF(NFI_Expiration=1,IF($A877&lt;VLOOKUP(R$5,NFI,5,0),1,0)*Table_NFI[[#This Row],[Winter Clothes Adult]],Table_NFI[Winter Clothes Adult])</f>
        <v>0</v>
      </c>
      <c r="AJ877" s="264">
        <f>IF(NFI_Expiration=1,IF($A877&lt;VLOOKUP(S$5,NFI,5,0),1,0)*Table_NFI[[#This Row],[Winter Clothes Children]],Table_NFI[Winter Clothes Children])</f>
        <v>0</v>
      </c>
      <c r="AK877" s="264">
        <f>IF(NFI_Expiration=1,IF($A877&lt;VLOOKUP(T$5,NFI,5,0),1,0)*Table_NFI[[#This Row],[Winter Items Other]],Table_NFI[Winter Items Other])</f>
        <v>0</v>
      </c>
      <c r="AL877" s="264">
        <f>IF(NFI_Expiration=1,IF($A877&lt;VLOOKUP(M$5,NFI,5,0),1,0)*Table_NFI[[#This Row],[Winter Blanket]],Table_NFI[[#This Row],[Winter Blanket]])</f>
        <v>0</v>
      </c>
      <c r="AM877" s="264">
        <f>IF(Table_NFI[[#This Row],[Winter Clothes Adult]]+Table_NFI[[#This Row],[Winter Clothes Children]]+Table_NFI[[#This Row],[Winter Items Other]]+Table_NFI[[#This Row],[Winter Blanket]]&gt;0,1,0)</f>
        <v>0</v>
      </c>
      <c r="AN877" s="296">
        <f>IF(NFI_Expiration=1,IF($A877&lt;VLOOKUP(V$5,NFI,5,0),1,0)*Table_NFI[[#This Row],[Jerry Can]],Table_NFI[Jerry Can])</f>
        <v>0</v>
      </c>
      <c r="AO877" s="296">
        <f>IF(NFI_Expiration=1,IF($A877&lt;VLOOKUP(V$5,NFI,5,0),1,0)*Table_NFI[[#This Row],[Shelter Tool kit]],Table_NFI[Shelter Tool kit])</f>
        <v>0</v>
      </c>
      <c r="AP877" s="296">
        <f>IF(NFI_Expiration=1,IF($A877&lt;VLOOKUP(V$5,NFI,5,0),1,0)*Table_NFI[[#This Row],[Tent]],Table_NFI[Tent])</f>
        <v>0</v>
      </c>
      <c r="AQ877" s="396" t="str">
        <f>IFERROR(VLOOKUP(Table_NFI[[#This Row],[Camp Name]],CL,2,0),"")</f>
        <v>MMR001CMP190</v>
      </c>
      <c r="AR877" s="702">
        <f ca="1">IF(Table_NFI[[#This Row],[Pcode]]="","",IF(OFFSET(CampList[Opening Date],MATCH(Table_NFI[[#This Row],[Pcode]],CampList[CP_Pcode],0)-1,0,1,1)&gt;=NFI_Monitor_Date,1,0))</f>
        <v>0</v>
      </c>
      <c r="AS877" s="396" t="str">
        <f>IFERROR(VLOOKUP(Table_NFI[[#This Row],[Camp Name]],CL,3,0),"")</f>
        <v>Open</v>
      </c>
      <c r="AT877" s="264" t="str">
        <f ca="1">IF(Table_NFI[[#This Row],[Pcode]]="","",OFFSET(CampList[Priority],MATCH(Table_NFI[[#This Row],[Pcode]],CampList[CP_Pcode],0)-1,0,1,1))</f>
        <v>P4</v>
      </c>
      <c r="AU877" s="263">
        <f>IFERROR(Table_NFI[[#This Row],[Kitchen Set]]/VLOOKUP(Table_NFI[[#This Row],[Camp Name]],CL,4,0),"")</f>
        <v>0</v>
      </c>
      <c r="AV877" s="390" t="s">
        <v>1087</v>
      </c>
      <c r="AW877" s="392"/>
      <c r="AX877" s="399"/>
      <c r="AY877" s="399"/>
      <c r="AZ877" s="399"/>
      <c r="BA877" s="399"/>
      <c r="BB877" s="399"/>
      <c r="BC877" s="399"/>
      <c r="BD877" s="399"/>
      <c r="BE877" s="399"/>
      <c r="BF877" s="399"/>
      <c r="BG877" s="399"/>
      <c r="BH877" s="399"/>
      <c r="BI877" s="399"/>
      <c r="BJ877" s="399"/>
      <c r="BK877" s="399"/>
      <c r="BL877" s="399"/>
      <c r="BM877" s="399"/>
      <c r="BN877" s="399"/>
      <c r="BO877" s="399"/>
      <c r="BP877" s="399"/>
      <c r="BQ877" s="399"/>
      <c r="BR877" s="399"/>
      <c r="BS877" s="399"/>
      <c r="BT877" s="399"/>
      <c r="BU877" s="399"/>
      <c r="BV877" s="399"/>
      <c r="BW877" s="399"/>
      <c r="BX877" s="399"/>
      <c r="BY877" s="399"/>
      <c r="BZ877" s="399"/>
      <c r="CA877" s="399"/>
      <c r="CB877" s="399"/>
      <c r="CC877" s="399"/>
      <c r="CD877" s="399"/>
      <c r="CE877" s="399"/>
      <c r="CF877" s="399"/>
      <c r="CG877" s="399"/>
      <c r="CH877" s="399"/>
      <c r="CI877" s="399"/>
      <c r="CJ877" s="399"/>
      <c r="CK877" s="399"/>
      <c r="CL877" s="399"/>
      <c r="CM877" s="399"/>
      <c r="CN877" s="399"/>
      <c r="CO877" s="399"/>
      <c r="CP877" s="399"/>
      <c r="CQ877" s="399"/>
      <c r="CR877" s="399"/>
      <c r="CS877" s="399"/>
      <c r="CT877" s="399"/>
      <c r="CU877" s="399"/>
      <c r="CV877" s="399"/>
      <c r="CW877" s="399"/>
      <c r="CX877" s="399"/>
      <c r="CY877" s="399"/>
      <c r="CZ877" s="399"/>
      <c r="DA877" s="399"/>
      <c r="DB877" s="399"/>
      <c r="DC877" s="399"/>
      <c r="DD877" s="399"/>
      <c r="DE877" s="399"/>
      <c r="DF877" s="399"/>
      <c r="DG877" s="399"/>
      <c r="DH877" s="399"/>
      <c r="DI877" s="399"/>
      <c r="DJ877" s="399"/>
      <c r="DK877" s="399"/>
      <c r="DL877" s="399"/>
      <c r="DM877" s="399"/>
      <c r="DN877" s="399"/>
      <c r="DO877" s="399"/>
      <c r="DP877" s="399"/>
      <c r="DQ877" s="399"/>
    </row>
    <row r="878" spans="1:121" s="760" customFormat="1" ht="14.45" customHeight="1" x14ac:dyDescent="0.25">
      <c r="A878" s="266">
        <f t="shared" si="13"/>
        <v>52.733333333333334</v>
      </c>
      <c r="B878" s="389">
        <v>41274</v>
      </c>
      <c r="C878" s="390" t="s">
        <v>452</v>
      </c>
      <c r="D878" s="391" t="s">
        <v>452</v>
      </c>
      <c r="E878" s="390" t="s">
        <v>380</v>
      </c>
      <c r="F878" s="262" t="s">
        <v>526</v>
      </c>
      <c r="G878" s="262" t="s">
        <v>52</v>
      </c>
      <c r="H878" s="261">
        <v>20</v>
      </c>
      <c r="I878" s="261"/>
      <c r="J878" s="261"/>
      <c r="K878" s="261"/>
      <c r="L878" s="261"/>
      <c r="M878" s="261"/>
      <c r="N878" s="261"/>
      <c r="O878" s="261"/>
      <c r="P878" s="261">
        <v>0</v>
      </c>
      <c r="Q878" s="261">
        <v>0</v>
      </c>
      <c r="R878" s="261"/>
      <c r="S878" s="261"/>
      <c r="T878" s="261"/>
      <c r="U878" s="261"/>
      <c r="V878" s="762"/>
      <c r="W878" s="261"/>
      <c r="X878" s="261"/>
      <c r="Y878" s="264">
        <f>IF(NFI_Expiration=1,IF($A878&lt;VLOOKUP(H$5,NFI,5,0),1,0)*Table_NFI[[#This Row],[Hygiene Kit]],Table_NFI[Hygiene Kit])</f>
        <v>0</v>
      </c>
      <c r="Z878" s="264">
        <f>IF(NFI_Expiration=1,IF($A878&lt;VLOOKUP(I$5,NFI,5,0),1,0)*Table_NFI[[#This Row],[NFI Core Kit]],Table_NFI[NFI Core Kit])</f>
        <v>0</v>
      </c>
      <c r="AA878" s="264">
        <f>IF(NFI_Expiration=1,IF($A878&lt;VLOOKUP(J$5,NFI,5,0),1,0)*Table_NFI[[#This Row],[Sanitary Kit]],Table_NFI[Sanitary Kit])</f>
        <v>0</v>
      </c>
      <c r="AB878" s="264">
        <f>IF(NFI_Expiration=1,IF($A878&lt;VLOOKUP(K$5,NFI,5,0),1,0)*Table_NFI[[#This Row],[Mosquito net]],Table_NFI[Mosquito net])</f>
        <v>0</v>
      </c>
      <c r="AC878" s="264">
        <f>IF(NFI_Expiration=1,IF($A878&lt;VLOOKUP(L$5,NFI,5,0),1,0)*Table_NFI[[#This Row],[Tarpaulin]],Table_NFI[[#This Row],[Tarpaulin]])</f>
        <v>0</v>
      </c>
      <c r="AD878" s="264">
        <f>IF(NFI_Expiration=1,IF($A878&lt;VLOOKUP(M$5,NFI,5,0),1,0)*Table_NFI[[#This Row],[Blanket]],Table_NFI[[#This Row],[Blanket]])</f>
        <v>0</v>
      </c>
      <c r="AE878" s="264">
        <f>IF(NFI_Expiration=1,IF($A878&lt;VLOOKUP(N$5,NFI,5,0),1,0)*Table_NFI[[#This Row],[Kitchen Set]],Table_NFI[Kitchen Set])</f>
        <v>0</v>
      </c>
      <c r="AF878" s="264">
        <f>IF(NFI_Expiration=1,IF($A878&lt;VLOOKUP(O$5,NFI,5,0),1,0)*Table_NFI[[#This Row],[Clothes Kit]],Table_NFI[Clothes Kit])</f>
        <v>0</v>
      </c>
      <c r="AG878" s="264">
        <f>IF(NFI_Expiration=1,IF($A878&lt;VLOOKUP(P$5,NFI,5,0),1,0)*Table_NFI[[#This Row],[Plastic Bucket]],Table_NFI[Plastic Bucket])</f>
        <v>0</v>
      </c>
      <c r="AH878" s="264">
        <f>IF(NFI_Expiration=1,IF($A878&lt;VLOOKUP(Q$5,NFI,5,0),1,0)*Table_NFI[[#This Row],[Plastic Mat]],Table_NFI[Plastic Mat])*IF(Table_NFI[[#This Row],[Distribution Date]]&gt;"2014-04-01",1,2.5)</f>
        <v>0</v>
      </c>
      <c r="AI878" s="264">
        <f>IF(NFI_Expiration=1,IF($A878&lt;VLOOKUP(R$5,NFI,5,0),1,0)*Table_NFI[[#This Row],[Winter Clothes Adult]],Table_NFI[Winter Clothes Adult])</f>
        <v>0</v>
      </c>
      <c r="AJ878" s="264">
        <f>IF(NFI_Expiration=1,IF($A878&lt;VLOOKUP(S$5,NFI,5,0),1,0)*Table_NFI[[#This Row],[Winter Clothes Children]],Table_NFI[Winter Clothes Children])</f>
        <v>0</v>
      </c>
      <c r="AK878" s="264">
        <f>IF(NFI_Expiration=1,IF($A878&lt;VLOOKUP(T$5,NFI,5,0),1,0)*Table_NFI[[#This Row],[Winter Items Other]],Table_NFI[Winter Items Other])</f>
        <v>0</v>
      </c>
      <c r="AL878" s="264">
        <f>IF(NFI_Expiration=1,IF($A878&lt;VLOOKUP(M$5,NFI,5,0),1,0)*Table_NFI[[#This Row],[Winter Blanket]],Table_NFI[[#This Row],[Winter Blanket]])</f>
        <v>0</v>
      </c>
      <c r="AM878" s="264">
        <f>IF(Table_NFI[[#This Row],[Winter Clothes Adult]]+Table_NFI[[#This Row],[Winter Clothes Children]]+Table_NFI[[#This Row],[Winter Items Other]]+Table_NFI[[#This Row],[Winter Blanket]]&gt;0,1,0)</f>
        <v>0</v>
      </c>
      <c r="AN878" s="296">
        <f>IF(NFI_Expiration=1,IF($A878&lt;VLOOKUP(V$5,NFI,5,0),1,0)*Table_NFI[[#This Row],[Jerry Can]],Table_NFI[Jerry Can])</f>
        <v>0</v>
      </c>
      <c r="AO878" s="296">
        <f>IF(NFI_Expiration=1,IF($A878&lt;VLOOKUP(V$5,NFI,5,0),1,0)*Table_NFI[[#This Row],[Shelter Tool kit]],Table_NFI[Shelter Tool kit])</f>
        <v>0</v>
      </c>
      <c r="AP878" s="296">
        <f>IF(NFI_Expiration=1,IF($A878&lt;VLOOKUP(V$5,NFI,5,0),1,0)*Table_NFI[[#This Row],[Tent]],Table_NFI[Tent])</f>
        <v>0</v>
      </c>
      <c r="AQ878" s="396" t="str">
        <f>IFERROR(VLOOKUP(Table_NFI[[#This Row],[Camp Name]],CL,2,0),"")</f>
        <v>MMR001CMP169</v>
      </c>
      <c r="AR878" s="702">
        <f ca="1">IF(Table_NFI[[#This Row],[Pcode]]="","",IF(OFFSET(CampList[Opening Date],MATCH(Table_NFI[[#This Row],[Pcode]],CampList[CP_Pcode],0)-1,0,1,1)&gt;=NFI_Monitor_Date,1,0))</f>
        <v>0</v>
      </c>
      <c r="AS878" s="396" t="str">
        <f>IFERROR(VLOOKUP(Table_NFI[[#This Row],[Camp Name]],CL,3,0),"")</f>
        <v>Open</v>
      </c>
      <c r="AT878" s="264" t="str">
        <f ca="1">IF(Table_NFI[[#This Row],[Pcode]]="","",OFFSET(CampList[Priority],MATCH(Table_NFI[[#This Row],[Pcode]],CampList[CP_Pcode],0)-1,0,1,1))</f>
        <v>P4</v>
      </c>
      <c r="AU878" s="263">
        <f>IFERROR(Table_NFI[[#This Row],[Kitchen Set]]/VLOOKUP(Table_NFI[[#This Row],[Camp Name]],CL,4,0),"")</f>
        <v>0</v>
      </c>
      <c r="AV878" s="390" t="s">
        <v>1087</v>
      </c>
      <c r="AW878" s="392"/>
      <c r="AX878" s="399"/>
      <c r="AY878" s="399"/>
      <c r="AZ878" s="399"/>
      <c r="BA878" s="399"/>
      <c r="BB878" s="399"/>
      <c r="BC878" s="399"/>
      <c r="BD878" s="399"/>
      <c r="BE878" s="399"/>
      <c r="BF878" s="399"/>
      <c r="BG878" s="399"/>
      <c r="BH878" s="399"/>
      <c r="BI878" s="399"/>
      <c r="BJ878" s="399"/>
      <c r="BK878" s="399"/>
      <c r="BL878" s="399"/>
      <c r="BM878" s="399"/>
      <c r="BN878" s="399"/>
      <c r="BO878" s="399"/>
      <c r="BP878" s="399"/>
      <c r="BQ878" s="399"/>
      <c r="BR878" s="399"/>
      <c r="BS878" s="399"/>
      <c r="BT878" s="399"/>
      <c r="BU878" s="399"/>
      <c r="BV878" s="399"/>
      <c r="BW878" s="399"/>
      <c r="BX878" s="399"/>
      <c r="BY878" s="399"/>
      <c r="BZ878" s="399"/>
      <c r="CA878" s="399"/>
      <c r="CB878" s="399"/>
      <c r="CC878" s="399"/>
      <c r="CD878" s="399"/>
      <c r="CE878" s="399"/>
      <c r="CF878" s="399"/>
      <c r="CG878" s="399"/>
      <c r="CH878" s="399"/>
      <c r="CI878" s="399"/>
      <c r="CJ878" s="399"/>
      <c r="CK878" s="399"/>
      <c r="CL878" s="399"/>
      <c r="CM878" s="399"/>
      <c r="CN878" s="399"/>
      <c r="CO878" s="399"/>
      <c r="CP878" s="399"/>
      <c r="CQ878" s="399"/>
      <c r="CR878" s="399"/>
      <c r="CS878" s="399"/>
      <c r="CT878" s="399"/>
      <c r="CU878" s="399"/>
      <c r="CV878" s="399"/>
      <c r="CW878" s="399"/>
      <c r="CX878" s="399"/>
      <c r="CY878" s="399"/>
      <c r="CZ878" s="399"/>
      <c r="DA878" s="399"/>
      <c r="DB878" s="399"/>
      <c r="DC878" s="399"/>
      <c r="DD878" s="399"/>
      <c r="DE878" s="399"/>
      <c r="DF878" s="399"/>
      <c r="DG878" s="399"/>
      <c r="DH878" s="399"/>
      <c r="DI878" s="399"/>
      <c r="DJ878" s="399"/>
      <c r="DK878" s="399"/>
      <c r="DL878" s="399"/>
      <c r="DM878" s="399"/>
      <c r="DN878" s="399"/>
      <c r="DO878" s="399"/>
      <c r="DP878" s="399"/>
      <c r="DQ878" s="399"/>
    </row>
    <row r="879" spans="1:121" s="760" customFormat="1" ht="15" customHeight="1" x14ac:dyDescent="0.25">
      <c r="A879" s="266">
        <f t="shared" si="13"/>
        <v>52.733333333333334</v>
      </c>
      <c r="B879" s="389">
        <v>41274</v>
      </c>
      <c r="C879" s="390" t="s">
        <v>452</v>
      </c>
      <c r="D879" s="391" t="s">
        <v>452</v>
      </c>
      <c r="E879" s="390" t="s">
        <v>380</v>
      </c>
      <c r="F879" s="262" t="s">
        <v>526</v>
      </c>
      <c r="G879" s="262" t="s">
        <v>76</v>
      </c>
      <c r="H879" s="261">
        <v>6</v>
      </c>
      <c r="I879" s="261"/>
      <c r="J879" s="261"/>
      <c r="K879" s="261"/>
      <c r="L879" s="261"/>
      <c r="M879" s="261"/>
      <c r="N879" s="261"/>
      <c r="O879" s="261"/>
      <c r="P879" s="261">
        <v>0</v>
      </c>
      <c r="Q879" s="261">
        <v>0</v>
      </c>
      <c r="R879" s="261"/>
      <c r="S879" s="261"/>
      <c r="T879" s="261"/>
      <c r="U879" s="261"/>
      <c r="V879" s="762"/>
      <c r="W879" s="762"/>
      <c r="X879" s="762"/>
      <c r="Y879" s="264">
        <f>IF(NFI_Expiration=1,IF($A879&lt;VLOOKUP(H$5,NFI,5,0),1,0)*Table_NFI[[#This Row],[Hygiene Kit]],Table_NFI[Hygiene Kit])</f>
        <v>0</v>
      </c>
      <c r="Z879" s="264">
        <f>IF(NFI_Expiration=1,IF($A879&lt;VLOOKUP(I$5,NFI,5,0),1,0)*Table_NFI[[#This Row],[NFI Core Kit]],Table_NFI[NFI Core Kit])</f>
        <v>0</v>
      </c>
      <c r="AA879" s="264">
        <f>IF(NFI_Expiration=1,IF($A879&lt;VLOOKUP(J$5,NFI,5,0),1,0)*Table_NFI[[#This Row],[Sanitary Kit]],Table_NFI[Sanitary Kit])</f>
        <v>0</v>
      </c>
      <c r="AB879" s="264">
        <f>IF(NFI_Expiration=1,IF($A879&lt;VLOOKUP(K$5,NFI,5,0),1,0)*Table_NFI[[#This Row],[Mosquito net]],Table_NFI[Mosquito net])</f>
        <v>0</v>
      </c>
      <c r="AC879" s="264">
        <f>IF(NFI_Expiration=1,IF($A879&lt;VLOOKUP(L$5,NFI,5,0),1,0)*Table_NFI[[#This Row],[Tarpaulin]],Table_NFI[[#This Row],[Tarpaulin]])</f>
        <v>0</v>
      </c>
      <c r="AD879" s="264">
        <f>IF(NFI_Expiration=1,IF($A879&lt;VLOOKUP(M$5,NFI,5,0),1,0)*Table_NFI[[#This Row],[Blanket]],Table_NFI[[#This Row],[Blanket]])</f>
        <v>0</v>
      </c>
      <c r="AE879" s="264">
        <f>IF(NFI_Expiration=1,IF($A879&lt;VLOOKUP(N$5,NFI,5,0),1,0)*Table_NFI[[#This Row],[Kitchen Set]],Table_NFI[Kitchen Set])</f>
        <v>0</v>
      </c>
      <c r="AF879" s="264">
        <f>IF(NFI_Expiration=1,IF($A879&lt;VLOOKUP(O$5,NFI,5,0),1,0)*Table_NFI[[#This Row],[Clothes Kit]],Table_NFI[Clothes Kit])</f>
        <v>0</v>
      </c>
      <c r="AG879" s="264">
        <f>IF(NFI_Expiration=1,IF($A879&lt;VLOOKUP(P$5,NFI,5,0),1,0)*Table_NFI[[#This Row],[Plastic Bucket]],Table_NFI[Plastic Bucket])</f>
        <v>0</v>
      </c>
      <c r="AH879" s="264">
        <f>IF(NFI_Expiration=1,IF($A879&lt;VLOOKUP(Q$5,NFI,5,0),1,0)*Table_NFI[[#This Row],[Plastic Mat]],Table_NFI[Plastic Mat])*IF(Table_NFI[[#This Row],[Distribution Date]]&gt;"2014-04-01",1,2.5)</f>
        <v>0</v>
      </c>
      <c r="AI879" s="264">
        <f>IF(NFI_Expiration=1,IF($A879&lt;VLOOKUP(R$5,NFI,5,0),1,0)*Table_NFI[[#This Row],[Winter Clothes Adult]],Table_NFI[Winter Clothes Adult])</f>
        <v>0</v>
      </c>
      <c r="AJ879" s="264">
        <f>IF(NFI_Expiration=1,IF($A879&lt;VLOOKUP(S$5,NFI,5,0),1,0)*Table_NFI[[#This Row],[Winter Clothes Children]],Table_NFI[Winter Clothes Children])</f>
        <v>0</v>
      </c>
      <c r="AK879" s="264">
        <f>IF(NFI_Expiration=1,IF($A879&lt;VLOOKUP(T$5,NFI,5,0),1,0)*Table_NFI[[#This Row],[Winter Items Other]],Table_NFI[Winter Items Other])</f>
        <v>0</v>
      </c>
      <c r="AL879" s="264">
        <f>IF(NFI_Expiration=1,IF($A879&lt;VLOOKUP(M$5,NFI,5,0),1,0)*Table_NFI[[#This Row],[Winter Blanket]],Table_NFI[[#This Row],[Winter Blanket]])</f>
        <v>0</v>
      </c>
      <c r="AM879" s="264">
        <f>IF(Table_NFI[[#This Row],[Winter Clothes Adult]]+Table_NFI[[#This Row],[Winter Clothes Children]]+Table_NFI[[#This Row],[Winter Items Other]]+Table_NFI[[#This Row],[Winter Blanket]]&gt;0,1,0)</f>
        <v>0</v>
      </c>
      <c r="AN879" s="296">
        <f>IF(NFI_Expiration=1,IF($A879&lt;VLOOKUP(V$5,NFI,5,0),1,0)*Table_NFI[[#This Row],[Jerry Can]],Table_NFI[Jerry Can])</f>
        <v>0</v>
      </c>
      <c r="AO879" s="296">
        <f>IF(NFI_Expiration=1,IF($A879&lt;VLOOKUP(V$5,NFI,5,0),1,0)*Table_NFI[[#This Row],[Shelter Tool kit]],Table_NFI[Shelter Tool kit])</f>
        <v>0</v>
      </c>
      <c r="AP879" s="296">
        <f>IF(NFI_Expiration=1,IF($A879&lt;VLOOKUP(V$5,NFI,5,0),1,0)*Table_NFI[[#This Row],[Tent]],Table_NFI[Tent])</f>
        <v>0</v>
      </c>
      <c r="AQ879" s="396" t="str">
        <f>IFERROR(VLOOKUP(Table_NFI[[#This Row],[Camp Name]],CL,2,0),"")</f>
        <v>MMR001CMP174</v>
      </c>
      <c r="AR879" s="702">
        <f ca="1">IF(Table_NFI[[#This Row],[Pcode]]="","",IF(OFFSET(CampList[Opening Date],MATCH(Table_NFI[[#This Row],[Pcode]],CampList[CP_Pcode],0)-1,0,1,1)&gt;=NFI_Monitor_Date,1,0))</f>
        <v>0</v>
      </c>
      <c r="AS879" s="396" t="str">
        <f>IFERROR(VLOOKUP(Table_NFI[[#This Row],[Camp Name]],CL,3,0),"")</f>
        <v>Open</v>
      </c>
      <c r="AT879" s="264" t="str">
        <f ca="1">IF(Table_NFI[[#This Row],[Pcode]]="","",OFFSET(CampList[Priority],MATCH(Table_NFI[[#This Row],[Pcode]],CampList[CP_Pcode],0)-1,0,1,1))</f>
        <v>P4</v>
      </c>
      <c r="AU879" s="263">
        <f>IFERROR(Table_NFI[[#This Row],[Kitchen Set]]/VLOOKUP(Table_NFI[[#This Row],[Camp Name]],CL,4,0),"")</f>
        <v>0</v>
      </c>
      <c r="AV879" s="390" t="s">
        <v>1087</v>
      </c>
      <c r="AW879" s="392"/>
      <c r="AX879" s="399"/>
      <c r="AY879" s="399"/>
      <c r="AZ879" s="399"/>
      <c r="BA879" s="399"/>
      <c r="BB879" s="399"/>
      <c r="BC879" s="399"/>
      <c r="BD879" s="399"/>
      <c r="BE879" s="399"/>
      <c r="BF879" s="399"/>
      <c r="BG879" s="399"/>
      <c r="BH879" s="399"/>
      <c r="BI879" s="399"/>
      <c r="BJ879" s="399"/>
      <c r="BK879" s="399"/>
      <c r="BL879" s="399"/>
      <c r="BM879" s="399"/>
      <c r="BN879" s="399"/>
      <c r="BO879" s="399"/>
      <c r="BP879" s="399"/>
      <c r="BQ879" s="399"/>
      <c r="BR879" s="399"/>
      <c r="BS879" s="399"/>
      <c r="BT879" s="399"/>
      <c r="BU879" s="399"/>
      <c r="BV879" s="399"/>
      <c r="BW879" s="399"/>
      <c r="BX879" s="399"/>
      <c r="BY879" s="399"/>
      <c r="BZ879" s="399"/>
      <c r="CA879" s="399"/>
      <c r="CB879" s="399"/>
      <c r="CC879" s="399"/>
      <c r="CD879" s="399"/>
      <c r="CE879" s="399"/>
      <c r="CF879" s="399"/>
      <c r="CG879" s="399"/>
      <c r="CH879" s="399"/>
      <c r="CI879" s="399"/>
      <c r="CJ879" s="399"/>
      <c r="CK879" s="399"/>
      <c r="CL879" s="399"/>
      <c r="CM879" s="399"/>
      <c r="CN879" s="399"/>
      <c r="CO879" s="399"/>
      <c r="CP879" s="399"/>
      <c r="CQ879" s="399"/>
      <c r="CR879" s="399"/>
      <c r="CS879" s="399"/>
      <c r="CT879" s="399"/>
      <c r="CU879" s="399"/>
      <c r="CV879" s="399"/>
      <c r="CW879" s="399"/>
      <c r="CX879" s="399"/>
      <c r="CY879" s="399"/>
      <c r="CZ879" s="399"/>
      <c r="DA879" s="399"/>
      <c r="DB879" s="399"/>
      <c r="DC879" s="399"/>
      <c r="DD879" s="399"/>
      <c r="DE879" s="399"/>
      <c r="DF879" s="399"/>
      <c r="DG879" s="399"/>
      <c r="DH879" s="399"/>
      <c r="DI879" s="399"/>
      <c r="DJ879" s="399"/>
      <c r="DK879" s="399"/>
      <c r="DL879" s="399"/>
      <c r="DM879" s="399"/>
      <c r="DN879" s="399"/>
      <c r="DO879" s="399"/>
      <c r="DP879" s="399"/>
      <c r="DQ879" s="399"/>
    </row>
    <row r="880" spans="1:121" s="760" customFormat="1" ht="15" customHeight="1" x14ac:dyDescent="0.25">
      <c r="A880" s="266">
        <f t="shared" si="13"/>
        <v>52.733333333333334</v>
      </c>
      <c r="B880" s="389">
        <v>41274</v>
      </c>
      <c r="C880" s="390" t="s">
        <v>452</v>
      </c>
      <c r="D880" s="391" t="s">
        <v>452</v>
      </c>
      <c r="E880" s="390" t="s">
        <v>380</v>
      </c>
      <c r="F880" s="390" t="s">
        <v>310</v>
      </c>
      <c r="G880" s="262" t="s">
        <v>313</v>
      </c>
      <c r="H880" s="261">
        <v>136</v>
      </c>
      <c r="I880" s="261"/>
      <c r="J880" s="261"/>
      <c r="K880" s="261"/>
      <c r="L880" s="261"/>
      <c r="M880" s="261"/>
      <c r="N880" s="261"/>
      <c r="O880" s="261"/>
      <c r="P880" s="261">
        <v>0</v>
      </c>
      <c r="Q880" s="261">
        <v>0</v>
      </c>
      <c r="R880" s="261"/>
      <c r="S880" s="261"/>
      <c r="T880" s="261"/>
      <c r="U880" s="261"/>
      <c r="V880" s="765"/>
      <c r="W880" s="762"/>
      <c r="X880" s="762"/>
      <c r="Y880" s="264">
        <f>IF(NFI_Expiration=1,IF($A880&lt;VLOOKUP(H$5,NFI,5,0),1,0)*Table_NFI[[#This Row],[Hygiene Kit]],Table_NFI[Hygiene Kit])</f>
        <v>0</v>
      </c>
      <c r="Z880" s="264">
        <f>IF(NFI_Expiration=1,IF($A880&lt;VLOOKUP(I$5,NFI,5,0),1,0)*Table_NFI[[#This Row],[NFI Core Kit]],Table_NFI[NFI Core Kit])</f>
        <v>0</v>
      </c>
      <c r="AA880" s="264">
        <f>IF(NFI_Expiration=1,IF($A880&lt;VLOOKUP(J$5,NFI,5,0),1,0)*Table_NFI[[#This Row],[Sanitary Kit]],Table_NFI[Sanitary Kit])</f>
        <v>0</v>
      </c>
      <c r="AB880" s="264">
        <f>IF(NFI_Expiration=1,IF($A880&lt;VLOOKUP(K$5,NFI,5,0),1,0)*Table_NFI[[#This Row],[Mosquito net]],Table_NFI[Mosquito net])</f>
        <v>0</v>
      </c>
      <c r="AC880" s="264">
        <f>IF(NFI_Expiration=1,IF($A880&lt;VLOOKUP(L$5,NFI,5,0),1,0)*Table_NFI[[#This Row],[Tarpaulin]],Table_NFI[[#This Row],[Tarpaulin]])</f>
        <v>0</v>
      </c>
      <c r="AD880" s="264">
        <f>IF(NFI_Expiration=1,IF($A880&lt;VLOOKUP(M$5,NFI,5,0),1,0)*Table_NFI[[#This Row],[Blanket]],Table_NFI[[#This Row],[Blanket]])</f>
        <v>0</v>
      </c>
      <c r="AE880" s="264">
        <f>IF(NFI_Expiration=1,IF($A880&lt;VLOOKUP(N$5,NFI,5,0),1,0)*Table_NFI[[#This Row],[Kitchen Set]],Table_NFI[Kitchen Set])</f>
        <v>0</v>
      </c>
      <c r="AF880" s="264">
        <f>IF(NFI_Expiration=1,IF($A880&lt;VLOOKUP(O$5,NFI,5,0),1,0)*Table_NFI[[#This Row],[Clothes Kit]],Table_NFI[Clothes Kit])</f>
        <v>0</v>
      </c>
      <c r="AG880" s="264">
        <f>IF(NFI_Expiration=1,IF($A880&lt;VLOOKUP(P$5,NFI,5,0),1,0)*Table_NFI[[#This Row],[Plastic Bucket]],Table_NFI[Plastic Bucket])</f>
        <v>0</v>
      </c>
      <c r="AH880" s="264">
        <f>IF(NFI_Expiration=1,IF($A880&lt;VLOOKUP(Q$5,NFI,5,0),1,0)*Table_NFI[[#This Row],[Plastic Mat]],Table_NFI[Plastic Mat])*IF(Table_NFI[[#This Row],[Distribution Date]]&gt;"2014-04-01",1,2.5)</f>
        <v>0</v>
      </c>
      <c r="AI880" s="264">
        <f>IF(NFI_Expiration=1,IF($A880&lt;VLOOKUP(R$5,NFI,5,0),1,0)*Table_NFI[[#This Row],[Winter Clothes Adult]],Table_NFI[Winter Clothes Adult])</f>
        <v>0</v>
      </c>
      <c r="AJ880" s="264">
        <f>IF(NFI_Expiration=1,IF($A880&lt;VLOOKUP(S$5,NFI,5,0),1,0)*Table_NFI[[#This Row],[Winter Clothes Children]],Table_NFI[Winter Clothes Children])</f>
        <v>0</v>
      </c>
      <c r="AK880" s="264">
        <f>IF(NFI_Expiration=1,IF($A880&lt;VLOOKUP(T$5,NFI,5,0),1,0)*Table_NFI[[#This Row],[Winter Items Other]],Table_NFI[Winter Items Other])</f>
        <v>0</v>
      </c>
      <c r="AL880" s="264">
        <f>IF(NFI_Expiration=1,IF($A880&lt;VLOOKUP(M$5,NFI,5,0),1,0)*Table_NFI[[#This Row],[Winter Blanket]],Table_NFI[[#This Row],[Winter Blanket]])</f>
        <v>0</v>
      </c>
      <c r="AM880" s="264">
        <f>IF(Table_NFI[[#This Row],[Winter Clothes Adult]]+Table_NFI[[#This Row],[Winter Clothes Children]]+Table_NFI[[#This Row],[Winter Items Other]]+Table_NFI[[#This Row],[Winter Blanket]]&gt;0,1,0)</f>
        <v>0</v>
      </c>
      <c r="AN880" s="296">
        <f>IF(NFI_Expiration=1,IF($A880&lt;VLOOKUP(V$5,NFI,5,0),1,0)*Table_NFI[[#This Row],[Jerry Can]],Table_NFI[Jerry Can])</f>
        <v>0</v>
      </c>
      <c r="AO880" s="296">
        <f>IF(NFI_Expiration=1,IF($A880&lt;VLOOKUP(V$5,NFI,5,0),1,0)*Table_NFI[[#This Row],[Shelter Tool kit]],Table_NFI[Shelter Tool kit])</f>
        <v>0</v>
      </c>
      <c r="AP880" s="296">
        <f>IF(NFI_Expiration=1,IF($A880&lt;VLOOKUP(V$5,NFI,5,0),1,0)*Table_NFI[[#This Row],[Tent]],Table_NFI[Tent])</f>
        <v>0</v>
      </c>
      <c r="AQ880" s="396" t="str">
        <f>IFERROR(VLOOKUP(Table_NFI[[#This Row],[Camp Name]],CL,2,0),"")</f>
        <v>MMR001CMP028</v>
      </c>
      <c r="AR880" s="702">
        <f ca="1">IF(Table_NFI[[#This Row],[Pcode]]="","",IF(OFFSET(CampList[Opening Date],MATCH(Table_NFI[[#This Row],[Pcode]],CampList[CP_Pcode],0)-1,0,1,1)&gt;=NFI_Monitor_Date,1,0))</f>
        <v>0</v>
      </c>
      <c r="AS880" s="396" t="str">
        <f>IFERROR(VLOOKUP(Table_NFI[[#This Row],[Camp Name]],CL,3,0),"")</f>
        <v>Open</v>
      </c>
      <c r="AT880" s="264" t="str">
        <f ca="1">IF(Table_NFI[[#This Row],[Pcode]]="","",OFFSET(CampList[Priority],MATCH(Table_NFI[[#This Row],[Pcode]],CampList[CP_Pcode],0)-1,0,1,1))</f>
        <v>P4</v>
      </c>
      <c r="AU880" s="263">
        <f>IFERROR(Table_NFI[[#This Row],[Kitchen Set]]/VLOOKUP(Table_NFI[[#This Row],[Camp Name]],CL,4,0),"")</f>
        <v>0</v>
      </c>
      <c r="AV880" s="390" t="s">
        <v>1087</v>
      </c>
      <c r="AW880" s="392"/>
      <c r="AX880" s="399"/>
      <c r="AY880" s="399"/>
      <c r="AZ880" s="399"/>
      <c r="BA880" s="399"/>
      <c r="BB880" s="399"/>
      <c r="BC880" s="399"/>
      <c r="BD880" s="399"/>
      <c r="BE880" s="399"/>
      <c r="BF880" s="399"/>
      <c r="BG880" s="399"/>
      <c r="BH880" s="399"/>
      <c r="BI880" s="399"/>
      <c r="BJ880" s="399"/>
      <c r="BK880" s="399"/>
      <c r="BL880" s="399"/>
      <c r="BM880" s="399"/>
      <c r="BN880" s="399"/>
      <c r="BO880" s="399"/>
      <c r="BP880" s="399"/>
      <c r="BQ880" s="399"/>
      <c r="BR880" s="399"/>
      <c r="BS880" s="399"/>
      <c r="BT880" s="399"/>
      <c r="BU880" s="399"/>
      <c r="BV880" s="399"/>
      <c r="BW880" s="399"/>
      <c r="BX880" s="399"/>
      <c r="BY880" s="399"/>
      <c r="BZ880" s="399"/>
      <c r="CA880" s="399"/>
      <c r="CB880" s="399"/>
      <c r="CC880" s="399"/>
      <c r="CD880" s="399"/>
      <c r="CE880" s="399"/>
      <c r="CF880" s="399"/>
      <c r="CG880" s="399"/>
      <c r="CH880" s="399"/>
      <c r="CI880" s="399"/>
      <c r="CJ880" s="399"/>
      <c r="CK880" s="399"/>
      <c r="CL880" s="399"/>
      <c r="CM880" s="399"/>
      <c r="CN880" s="399"/>
      <c r="CO880" s="399"/>
      <c r="CP880" s="399"/>
      <c r="CQ880" s="399"/>
      <c r="CR880" s="399"/>
      <c r="CS880" s="399"/>
      <c r="CT880" s="399"/>
      <c r="CU880" s="399"/>
      <c r="CV880" s="399"/>
      <c r="CW880" s="399"/>
      <c r="CX880" s="399"/>
      <c r="CY880" s="399"/>
      <c r="CZ880" s="399"/>
      <c r="DA880" s="399"/>
      <c r="DB880" s="399"/>
      <c r="DC880" s="399"/>
      <c r="DD880" s="399"/>
      <c r="DE880" s="399"/>
      <c r="DF880" s="399"/>
      <c r="DG880" s="399"/>
      <c r="DH880" s="399"/>
      <c r="DI880" s="399"/>
      <c r="DJ880" s="399"/>
      <c r="DK880" s="399"/>
      <c r="DL880" s="399"/>
      <c r="DM880" s="399"/>
      <c r="DN880" s="399"/>
      <c r="DO880" s="399"/>
      <c r="DP880" s="399"/>
      <c r="DQ880" s="399"/>
    </row>
    <row r="881" spans="1:121" ht="15" customHeight="1" x14ac:dyDescent="0.25">
      <c r="A881" s="266">
        <f t="shared" si="13"/>
        <v>52.733333333333334</v>
      </c>
      <c r="B881" s="389">
        <v>41274</v>
      </c>
      <c r="C881" s="390" t="s">
        <v>452</v>
      </c>
      <c r="D881" s="390" t="s">
        <v>452</v>
      </c>
      <c r="E881" s="390" t="s">
        <v>380</v>
      </c>
      <c r="F881" s="390" t="s">
        <v>526</v>
      </c>
      <c r="G881" s="262" t="s">
        <v>88</v>
      </c>
      <c r="H881" s="261">
        <v>4</v>
      </c>
      <c r="I881" s="261"/>
      <c r="J881" s="261"/>
      <c r="K881" s="261"/>
      <c r="L881" s="261"/>
      <c r="M881" s="261"/>
      <c r="N881" s="261"/>
      <c r="O881" s="261"/>
      <c r="P881" s="261">
        <v>0</v>
      </c>
      <c r="Q881" s="261">
        <v>0</v>
      </c>
      <c r="R881" s="261"/>
      <c r="S881" s="261"/>
      <c r="T881" s="261"/>
      <c r="U881" s="261"/>
      <c r="V881" s="762"/>
      <c r="W881" s="762"/>
      <c r="X881" s="762"/>
      <c r="Y881" s="264">
        <f>IF(NFI_Expiration=1,IF($A881&lt;VLOOKUP(H$5,NFI,5,0),1,0)*Table_NFI[[#This Row],[Hygiene Kit]],Table_NFI[Hygiene Kit])</f>
        <v>0</v>
      </c>
      <c r="Z881" s="264">
        <f>IF(NFI_Expiration=1,IF($A881&lt;VLOOKUP(I$5,NFI,5,0),1,0)*Table_NFI[[#This Row],[NFI Core Kit]],Table_NFI[NFI Core Kit])</f>
        <v>0</v>
      </c>
      <c r="AA881" s="264">
        <f>IF(NFI_Expiration=1,IF($A881&lt;VLOOKUP(J$5,NFI,5,0),1,0)*Table_NFI[[#This Row],[Sanitary Kit]],Table_NFI[Sanitary Kit])</f>
        <v>0</v>
      </c>
      <c r="AB881" s="264">
        <f>IF(NFI_Expiration=1,IF($A881&lt;VLOOKUP(K$5,NFI,5,0),1,0)*Table_NFI[[#This Row],[Mosquito net]],Table_NFI[Mosquito net])</f>
        <v>0</v>
      </c>
      <c r="AC881" s="264">
        <f>IF(NFI_Expiration=1,IF($A881&lt;VLOOKUP(L$5,NFI,5,0),1,0)*Table_NFI[[#This Row],[Tarpaulin]],Table_NFI[[#This Row],[Tarpaulin]])</f>
        <v>0</v>
      </c>
      <c r="AD881" s="264">
        <f>IF(NFI_Expiration=1,IF($A881&lt;VLOOKUP(M$5,NFI,5,0),1,0)*Table_NFI[[#This Row],[Blanket]],Table_NFI[[#This Row],[Blanket]])</f>
        <v>0</v>
      </c>
      <c r="AE881" s="264">
        <f>IF(NFI_Expiration=1,IF($A881&lt;VLOOKUP(N$5,NFI,5,0),1,0)*Table_NFI[[#This Row],[Kitchen Set]],Table_NFI[Kitchen Set])</f>
        <v>0</v>
      </c>
      <c r="AF881" s="264">
        <f>IF(NFI_Expiration=1,IF($A881&lt;VLOOKUP(O$5,NFI,5,0),1,0)*Table_NFI[[#This Row],[Clothes Kit]],Table_NFI[Clothes Kit])</f>
        <v>0</v>
      </c>
      <c r="AG881" s="264">
        <f>IF(NFI_Expiration=1,IF($A881&lt;VLOOKUP(P$5,NFI,5,0),1,0)*Table_NFI[[#This Row],[Plastic Bucket]],Table_NFI[Plastic Bucket])</f>
        <v>0</v>
      </c>
      <c r="AH881" s="264">
        <f>IF(NFI_Expiration=1,IF($A881&lt;VLOOKUP(Q$5,NFI,5,0),1,0)*Table_NFI[[#This Row],[Plastic Mat]],Table_NFI[Plastic Mat])*IF(Table_NFI[[#This Row],[Distribution Date]]&gt;"2014-04-01",1,2.5)</f>
        <v>0</v>
      </c>
      <c r="AI881" s="264">
        <f>IF(NFI_Expiration=1,IF($A881&lt;VLOOKUP(R$5,NFI,5,0),1,0)*Table_NFI[[#This Row],[Winter Clothes Adult]],Table_NFI[Winter Clothes Adult])</f>
        <v>0</v>
      </c>
      <c r="AJ881" s="264">
        <f>IF(NFI_Expiration=1,IF($A881&lt;VLOOKUP(S$5,NFI,5,0),1,0)*Table_NFI[[#This Row],[Winter Clothes Children]],Table_NFI[Winter Clothes Children])</f>
        <v>0</v>
      </c>
      <c r="AK881" s="264">
        <f>IF(NFI_Expiration=1,IF($A881&lt;VLOOKUP(T$5,NFI,5,0),1,0)*Table_NFI[[#This Row],[Winter Items Other]],Table_NFI[Winter Items Other])</f>
        <v>0</v>
      </c>
      <c r="AL881" s="264">
        <f>IF(NFI_Expiration=1,IF($A881&lt;VLOOKUP(M$5,NFI,5,0),1,0)*Table_NFI[[#This Row],[Winter Blanket]],Table_NFI[[#This Row],[Winter Blanket]])</f>
        <v>0</v>
      </c>
      <c r="AM881" s="264">
        <f>IF(Table_NFI[[#This Row],[Winter Clothes Adult]]+Table_NFI[[#This Row],[Winter Clothes Children]]+Table_NFI[[#This Row],[Winter Items Other]]+Table_NFI[[#This Row],[Winter Blanket]]&gt;0,1,0)</f>
        <v>0</v>
      </c>
      <c r="AN881" s="296">
        <f>IF(NFI_Expiration=1,IF($A881&lt;VLOOKUP(V$5,NFI,5,0),1,0)*Table_NFI[[#This Row],[Jerry Can]],Table_NFI[Jerry Can])</f>
        <v>0</v>
      </c>
      <c r="AO881" s="296">
        <f>IF(NFI_Expiration=1,IF($A881&lt;VLOOKUP(V$5,NFI,5,0),1,0)*Table_NFI[[#This Row],[Shelter Tool kit]],Table_NFI[Shelter Tool kit])</f>
        <v>0</v>
      </c>
      <c r="AP881" s="296">
        <f>IF(NFI_Expiration=1,IF($A881&lt;VLOOKUP(V$5,NFI,5,0),1,0)*Table_NFI[[#This Row],[Tent]],Table_NFI[Tent])</f>
        <v>0</v>
      </c>
      <c r="AQ881" s="396" t="str">
        <f>IFERROR(VLOOKUP(Table_NFI[[#This Row],[Camp Name]],CL,2,0),"")</f>
        <v>MMR001CMP148</v>
      </c>
      <c r="AR881" s="702">
        <f ca="1">IF(Table_NFI[[#This Row],[Pcode]]="","",IF(OFFSET(CampList[Opening Date],MATCH(Table_NFI[[#This Row],[Pcode]],CampList[CP_Pcode],0)-1,0,1,1)&gt;=NFI_Monitor_Date,1,0))</f>
        <v>0</v>
      </c>
      <c r="AS881" s="396" t="str">
        <f>IFERROR(VLOOKUP(Table_NFI[[#This Row],[Camp Name]],CL,3,0),"")</f>
        <v>Open</v>
      </c>
      <c r="AT881" s="264" t="str">
        <f ca="1">IF(Table_NFI[[#This Row],[Pcode]]="","",OFFSET(CampList[Priority],MATCH(Table_NFI[[#This Row],[Pcode]],CampList[CP_Pcode],0)-1,0,1,1))</f>
        <v>P4</v>
      </c>
      <c r="AU881" s="263">
        <f>IFERROR(Table_NFI[[#This Row],[Kitchen Set]]/VLOOKUP(Table_NFI[[#This Row],[Camp Name]],CL,4,0),"")</f>
        <v>0</v>
      </c>
      <c r="AV881" s="390" t="s">
        <v>1087</v>
      </c>
      <c r="AW881" s="392"/>
    </row>
    <row r="882" spans="1:121" s="760" customFormat="1" ht="15" customHeight="1" x14ac:dyDescent="0.25">
      <c r="A882" s="266">
        <f t="shared" si="13"/>
        <v>52.733333333333334</v>
      </c>
      <c r="B882" s="389">
        <v>41274</v>
      </c>
      <c r="C882" s="390" t="s">
        <v>452</v>
      </c>
      <c r="D882" s="391" t="s">
        <v>452</v>
      </c>
      <c r="E882" s="390" t="s">
        <v>380</v>
      </c>
      <c r="F882" s="262" t="s">
        <v>526</v>
      </c>
      <c r="G882" s="262" t="s">
        <v>44</v>
      </c>
      <c r="H882" s="261">
        <v>3</v>
      </c>
      <c r="I882" s="261"/>
      <c r="J882" s="261"/>
      <c r="K882" s="261"/>
      <c r="L882" s="261"/>
      <c r="M882" s="261"/>
      <c r="N882" s="261"/>
      <c r="O882" s="261"/>
      <c r="P882" s="261">
        <v>0</v>
      </c>
      <c r="Q882" s="261">
        <v>0</v>
      </c>
      <c r="R882" s="261"/>
      <c r="S882" s="261"/>
      <c r="T882" s="261"/>
      <c r="U882" s="261"/>
      <c r="V882" s="762"/>
      <c r="W882" s="762"/>
      <c r="X882" s="762"/>
      <c r="Y882" s="264">
        <f>IF(NFI_Expiration=1,IF($A882&lt;VLOOKUP(H$5,NFI,5,0),1,0)*Table_NFI[[#This Row],[Hygiene Kit]],Table_NFI[Hygiene Kit])</f>
        <v>0</v>
      </c>
      <c r="Z882" s="264">
        <f>IF(NFI_Expiration=1,IF($A882&lt;VLOOKUP(I$5,NFI,5,0),1,0)*Table_NFI[[#This Row],[NFI Core Kit]],Table_NFI[NFI Core Kit])</f>
        <v>0</v>
      </c>
      <c r="AA882" s="264">
        <f>IF(NFI_Expiration=1,IF($A882&lt;VLOOKUP(J$5,NFI,5,0),1,0)*Table_NFI[[#This Row],[Sanitary Kit]],Table_NFI[Sanitary Kit])</f>
        <v>0</v>
      </c>
      <c r="AB882" s="264">
        <f>IF(NFI_Expiration=1,IF($A882&lt;VLOOKUP(K$5,NFI,5,0),1,0)*Table_NFI[[#This Row],[Mosquito net]],Table_NFI[Mosquito net])</f>
        <v>0</v>
      </c>
      <c r="AC882" s="264">
        <f>IF(NFI_Expiration=1,IF($A882&lt;VLOOKUP(L$5,NFI,5,0),1,0)*Table_NFI[[#This Row],[Tarpaulin]],Table_NFI[[#This Row],[Tarpaulin]])</f>
        <v>0</v>
      </c>
      <c r="AD882" s="264">
        <f>IF(NFI_Expiration=1,IF($A882&lt;VLOOKUP(M$5,NFI,5,0),1,0)*Table_NFI[[#This Row],[Blanket]],Table_NFI[[#This Row],[Blanket]])</f>
        <v>0</v>
      </c>
      <c r="AE882" s="264">
        <f>IF(NFI_Expiration=1,IF($A882&lt;VLOOKUP(N$5,NFI,5,0),1,0)*Table_NFI[[#This Row],[Kitchen Set]],Table_NFI[Kitchen Set])</f>
        <v>0</v>
      </c>
      <c r="AF882" s="264">
        <f>IF(NFI_Expiration=1,IF($A882&lt;VLOOKUP(O$5,NFI,5,0),1,0)*Table_NFI[[#This Row],[Clothes Kit]],Table_NFI[Clothes Kit])</f>
        <v>0</v>
      </c>
      <c r="AG882" s="264">
        <f>IF(NFI_Expiration=1,IF($A882&lt;VLOOKUP(P$5,NFI,5,0),1,0)*Table_NFI[[#This Row],[Plastic Bucket]],Table_NFI[Plastic Bucket])</f>
        <v>0</v>
      </c>
      <c r="AH882" s="264">
        <f>IF(NFI_Expiration=1,IF($A882&lt;VLOOKUP(Q$5,NFI,5,0),1,0)*Table_NFI[[#This Row],[Plastic Mat]],Table_NFI[Plastic Mat])*IF(Table_NFI[[#This Row],[Distribution Date]]&gt;"2014-04-01",1,2.5)</f>
        <v>0</v>
      </c>
      <c r="AI882" s="264">
        <f>IF(NFI_Expiration=1,IF($A882&lt;VLOOKUP(R$5,NFI,5,0),1,0)*Table_NFI[[#This Row],[Winter Clothes Adult]],Table_NFI[Winter Clothes Adult])</f>
        <v>0</v>
      </c>
      <c r="AJ882" s="264">
        <f>IF(NFI_Expiration=1,IF($A882&lt;VLOOKUP(S$5,NFI,5,0),1,0)*Table_NFI[[#This Row],[Winter Clothes Children]],Table_NFI[Winter Clothes Children])</f>
        <v>0</v>
      </c>
      <c r="AK882" s="264">
        <f>IF(NFI_Expiration=1,IF($A882&lt;VLOOKUP(T$5,NFI,5,0),1,0)*Table_NFI[[#This Row],[Winter Items Other]],Table_NFI[Winter Items Other])</f>
        <v>0</v>
      </c>
      <c r="AL882" s="264">
        <f>IF(NFI_Expiration=1,IF($A882&lt;VLOOKUP(M$5,NFI,5,0),1,0)*Table_NFI[[#This Row],[Winter Blanket]],Table_NFI[[#This Row],[Winter Blanket]])</f>
        <v>0</v>
      </c>
      <c r="AM882" s="264">
        <f>IF(Table_NFI[[#This Row],[Winter Clothes Adult]]+Table_NFI[[#This Row],[Winter Clothes Children]]+Table_NFI[[#This Row],[Winter Items Other]]+Table_NFI[[#This Row],[Winter Blanket]]&gt;0,1,0)</f>
        <v>0</v>
      </c>
      <c r="AN882" s="296">
        <f>IF(NFI_Expiration=1,IF($A882&lt;VLOOKUP(V$5,NFI,5,0),1,0)*Table_NFI[[#This Row],[Jerry Can]],Table_NFI[Jerry Can])</f>
        <v>0</v>
      </c>
      <c r="AO882" s="296">
        <f>IF(NFI_Expiration=1,IF($A882&lt;VLOOKUP(V$5,NFI,5,0),1,0)*Table_NFI[[#This Row],[Shelter Tool kit]],Table_NFI[Shelter Tool kit])</f>
        <v>0</v>
      </c>
      <c r="AP882" s="296">
        <f>IF(NFI_Expiration=1,IF($A882&lt;VLOOKUP(V$5,NFI,5,0),1,0)*Table_NFI[[#This Row],[Tent]],Table_NFI[Tent])</f>
        <v>0</v>
      </c>
      <c r="AQ882" s="396" t="str">
        <f>IFERROR(VLOOKUP(Table_NFI[[#This Row],[Camp Name]],CL,2,0),"")</f>
        <v>MMR001CMP191</v>
      </c>
      <c r="AR882" s="702">
        <f ca="1">IF(Table_NFI[[#This Row],[Pcode]]="","",IF(OFFSET(CampList[Opening Date],MATCH(Table_NFI[[#This Row],[Pcode]],CampList[CP_Pcode],0)-1,0,1,1)&gt;=NFI_Monitor_Date,1,0))</f>
        <v>0</v>
      </c>
      <c r="AS882" s="396" t="str">
        <f>IFERROR(VLOOKUP(Table_NFI[[#This Row],[Camp Name]],CL,3,0),"")</f>
        <v>Open</v>
      </c>
      <c r="AT882" s="264" t="str">
        <f ca="1">IF(Table_NFI[[#This Row],[Pcode]]="","",OFFSET(CampList[Priority],MATCH(Table_NFI[[#This Row],[Pcode]],CampList[CP_Pcode],0)-1,0,1,1))</f>
        <v>P4</v>
      </c>
      <c r="AU882" s="263">
        <f>IFERROR(Table_NFI[[#This Row],[Kitchen Set]]/VLOOKUP(Table_NFI[[#This Row],[Camp Name]],CL,4,0),"")</f>
        <v>0</v>
      </c>
      <c r="AV882" s="390" t="s">
        <v>1087</v>
      </c>
      <c r="AW882" s="392"/>
      <c r="AX882" s="399"/>
      <c r="AY882" s="399"/>
      <c r="AZ882" s="399"/>
      <c r="BA882" s="399"/>
      <c r="BB882" s="399"/>
      <c r="BC882" s="399"/>
      <c r="BD882" s="399"/>
      <c r="BE882" s="399"/>
      <c r="BF882" s="399"/>
      <c r="BG882" s="399"/>
      <c r="BH882" s="399"/>
      <c r="BI882" s="399"/>
      <c r="BJ882" s="399"/>
      <c r="BK882" s="399"/>
      <c r="BL882" s="399"/>
      <c r="BM882" s="399"/>
      <c r="BN882" s="399"/>
      <c r="BO882" s="399"/>
      <c r="BP882" s="399"/>
      <c r="BQ882" s="399"/>
      <c r="BR882" s="399"/>
      <c r="BS882" s="399"/>
      <c r="BT882" s="399"/>
      <c r="BU882" s="399"/>
      <c r="BV882" s="399"/>
      <c r="BW882" s="399"/>
      <c r="BX882" s="399"/>
      <c r="BY882" s="399"/>
      <c r="BZ882" s="399"/>
      <c r="CA882" s="399"/>
      <c r="CB882" s="399"/>
      <c r="CC882" s="399"/>
      <c r="CD882" s="399"/>
      <c r="CE882" s="399"/>
      <c r="CF882" s="399"/>
      <c r="CG882" s="399"/>
      <c r="CH882" s="399"/>
      <c r="CI882" s="399"/>
      <c r="CJ882" s="399"/>
      <c r="CK882" s="399"/>
      <c r="CL882" s="399"/>
      <c r="CM882" s="399"/>
      <c r="CN882" s="399"/>
      <c r="CO882" s="399"/>
      <c r="CP882" s="399"/>
      <c r="CQ882" s="399"/>
      <c r="CR882" s="399"/>
      <c r="CS882" s="399"/>
      <c r="CT882" s="399"/>
      <c r="CU882" s="399"/>
      <c r="CV882" s="399"/>
      <c r="CW882" s="399"/>
      <c r="CX882" s="399"/>
      <c r="CY882" s="399"/>
      <c r="CZ882" s="399"/>
      <c r="DA882" s="399"/>
      <c r="DB882" s="399"/>
      <c r="DC882" s="399"/>
      <c r="DD882" s="399"/>
      <c r="DE882" s="399"/>
      <c r="DF882" s="399"/>
      <c r="DG882" s="399"/>
      <c r="DH882" s="399"/>
      <c r="DI882" s="399"/>
      <c r="DJ882" s="399"/>
      <c r="DK882" s="399"/>
      <c r="DL882" s="399"/>
      <c r="DM882" s="399"/>
      <c r="DN882" s="399"/>
      <c r="DO882" s="399"/>
      <c r="DP882" s="399"/>
      <c r="DQ882" s="399"/>
    </row>
    <row r="883" spans="1:121" s="760" customFormat="1" ht="15" customHeight="1" x14ac:dyDescent="0.25">
      <c r="A883" s="266">
        <f t="shared" si="13"/>
        <v>52.733333333333334</v>
      </c>
      <c r="B883" s="389">
        <v>41274</v>
      </c>
      <c r="C883" s="390" t="s">
        <v>452</v>
      </c>
      <c r="D883" s="391" t="s">
        <v>452</v>
      </c>
      <c r="E883" s="390" t="s">
        <v>380</v>
      </c>
      <c r="F883" s="262" t="s">
        <v>526</v>
      </c>
      <c r="G883" s="262" t="s">
        <v>92</v>
      </c>
      <c r="H883" s="261">
        <v>1</v>
      </c>
      <c r="I883" s="261"/>
      <c r="J883" s="261"/>
      <c r="K883" s="261"/>
      <c r="L883" s="261"/>
      <c r="M883" s="261"/>
      <c r="N883" s="261"/>
      <c r="O883" s="261"/>
      <c r="P883" s="261">
        <v>0</v>
      </c>
      <c r="Q883" s="261">
        <v>0</v>
      </c>
      <c r="R883" s="261"/>
      <c r="S883" s="261"/>
      <c r="T883" s="261"/>
      <c r="U883" s="261"/>
      <c r="V883" s="762"/>
      <c r="W883" s="762"/>
      <c r="X883" s="762"/>
      <c r="Y883" s="264">
        <f>IF(NFI_Expiration=1,IF($A883&lt;VLOOKUP(H$5,NFI,5,0),1,0)*Table_NFI[[#This Row],[Hygiene Kit]],Table_NFI[Hygiene Kit])</f>
        <v>0</v>
      </c>
      <c r="Z883" s="264">
        <f>IF(NFI_Expiration=1,IF($A883&lt;VLOOKUP(I$5,NFI,5,0),1,0)*Table_NFI[[#This Row],[NFI Core Kit]],Table_NFI[NFI Core Kit])</f>
        <v>0</v>
      </c>
      <c r="AA883" s="264">
        <f>IF(NFI_Expiration=1,IF($A883&lt;VLOOKUP(J$5,NFI,5,0),1,0)*Table_NFI[[#This Row],[Sanitary Kit]],Table_NFI[Sanitary Kit])</f>
        <v>0</v>
      </c>
      <c r="AB883" s="264">
        <f>IF(NFI_Expiration=1,IF($A883&lt;VLOOKUP(K$5,NFI,5,0),1,0)*Table_NFI[[#This Row],[Mosquito net]],Table_NFI[Mosquito net])</f>
        <v>0</v>
      </c>
      <c r="AC883" s="264">
        <f>IF(NFI_Expiration=1,IF($A883&lt;VLOOKUP(L$5,NFI,5,0),1,0)*Table_NFI[[#This Row],[Tarpaulin]],Table_NFI[[#This Row],[Tarpaulin]])</f>
        <v>0</v>
      </c>
      <c r="AD883" s="264">
        <f>IF(NFI_Expiration=1,IF($A883&lt;VLOOKUP(M$5,NFI,5,0),1,0)*Table_NFI[[#This Row],[Blanket]],Table_NFI[[#This Row],[Blanket]])</f>
        <v>0</v>
      </c>
      <c r="AE883" s="264">
        <f>IF(NFI_Expiration=1,IF($A883&lt;VLOOKUP(N$5,NFI,5,0),1,0)*Table_NFI[[#This Row],[Kitchen Set]],Table_NFI[Kitchen Set])</f>
        <v>0</v>
      </c>
      <c r="AF883" s="264">
        <f>IF(NFI_Expiration=1,IF($A883&lt;VLOOKUP(O$5,NFI,5,0),1,0)*Table_NFI[[#This Row],[Clothes Kit]],Table_NFI[Clothes Kit])</f>
        <v>0</v>
      </c>
      <c r="AG883" s="264">
        <f>IF(NFI_Expiration=1,IF($A883&lt;VLOOKUP(P$5,NFI,5,0),1,0)*Table_NFI[[#This Row],[Plastic Bucket]],Table_NFI[Plastic Bucket])</f>
        <v>0</v>
      </c>
      <c r="AH883" s="264">
        <f>IF(NFI_Expiration=1,IF($A883&lt;VLOOKUP(Q$5,NFI,5,0),1,0)*Table_NFI[[#This Row],[Plastic Mat]],Table_NFI[Plastic Mat])*IF(Table_NFI[[#This Row],[Distribution Date]]&gt;"2014-04-01",1,2.5)</f>
        <v>0</v>
      </c>
      <c r="AI883" s="264">
        <f>IF(NFI_Expiration=1,IF($A883&lt;VLOOKUP(R$5,NFI,5,0),1,0)*Table_NFI[[#This Row],[Winter Clothes Adult]],Table_NFI[Winter Clothes Adult])</f>
        <v>0</v>
      </c>
      <c r="AJ883" s="264">
        <f>IF(NFI_Expiration=1,IF($A883&lt;VLOOKUP(S$5,NFI,5,0),1,0)*Table_NFI[[#This Row],[Winter Clothes Children]],Table_NFI[Winter Clothes Children])</f>
        <v>0</v>
      </c>
      <c r="AK883" s="264">
        <f>IF(NFI_Expiration=1,IF($A883&lt;VLOOKUP(T$5,NFI,5,0),1,0)*Table_NFI[[#This Row],[Winter Items Other]],Table_NFI[Winter Items Other])</f>
        <v>0</v>
      </c>
      <c r="AL883" s="264">
        <f>IF(NFI_Expiration=1,IF($A883&lt;VLOOKUP(M$5,NFI,5,0),1,0)*Table_NFI[[#This Row],[Winter Blanket]],Table_NFI[[#This Row],[Winter Blanket]])</f>
        <v>0</v>
      </c>
      <c r="AM883" s="264">
        <f>IF(Table_NFI[[#This Row],[Winter Clothes Adult]]+Table_NFI[[#This Row],[Winter Clothes Children]]+Table_NFI[[#This Row],[Winter Items Other]]+Table_NFI[[#This Row],[Winter Blanket]]&gt;0,1,0)</f>
        <v>0</v>
      </c>
      <c r="AN883" s="296">
        <f>IF(NFI_Expiration=1,IF($A883&lt;VLOOKUP(V$5,NFI,5,0),1,0)*Table_NFI[[#This Row],[Jerry Can]],Table_NFI[Jerry Can])</f>
        <v>0</v>
      </c>
      <c r="AO883" s="296">
        <f>IF(NFI_Expiration=1,IF($A883&lt;VLOOKUP(V$5,NFI,5,0),1,0)*Table_NFI[[#This Row],[Shelter Tool kit]],Table_NFI[Shelter Tool kit])</f>
        <v>0</v>
      </c>
      <c r="AP883" s="296">
        <f>IF(NFI_Expiration=1,IF($A883&lt;VLOOKUP(V$5,NFI,5,0),1,0)*Table_NFI[[#This Row],[Tent]],Table_NFI[Tent])</f>
        <v>0</v>
      </c>
      <c r="AQ883" s="396" t="str">
        <f>IFERROR(VLOOKUP(Table_NFI[[#This Row],[Camp Name]],CL,2,0),"")</f>
        <v>MMR001CMP167</v>
      </c>
      <c r="AR883" s="702">
        <f ca="1">IF(Table_NFI[[#This Row],[Pcode]]="","",IF(OFFSET(CampList[Opening Date],MATCH(Table_NFI[[#This Row],[Pcode]],CampList[CP_Pcode],0)-1,0,1,1)&gt;=NFI_Monitor_Date,1,0))</f>
        <v>0</v>
      </c>
      <c r="AS883" s="396" t="str">
        <f>IFERROR(VLOOKUP(Table_NFI[[#This Row],[Camp Name]],CL,3,0),"")</f>
        <v>Open</v>
      </c>
      <c r="AT883" s="264" t="str">
        <f ca="1">IF(Table_NFI[[#This Row],[Pcode]]="","",OFFSET(CampList[Priority],MATCH(Table_NFI[[#This Row],[Pcode]],CampList[CP_Pcode],0)-1,0,1,1))</f>
        <v>P4</v>
      </c>
      <c r="AU883" s="263">
        <f>IFERROR(Table_NFI[[#This Row],[Kitchen Set]]/VLOOKUP(Table_NFI[[#This Row],[Camp Name]],CL,4,0),"")</f>
        <v>0</v>
      </c>
      <c r="AV883" s="390" t="s">
        <v>1087</v>
      </c>
      <c r="AW883" s="392"/>
      <c r="AX883" s="399"/>
      <c r="AY883" s="399"/>
      <c r="AZ883" s="399"/>
      <c r="BA883" s="399"/>
      <c r="BB883" s="399"/>
      <c r="BC883" s="399"/>
      <c r="BD883" s="399"/>
      <c r="BE883" s="399"/>
      <c r="BF883" s="399"/>
      <c r="BG883" s="399"/>
      <c r="BH883" s="399"/>
      <c r="BI883" s="399"/>
      <c r="BJ883" s="399"/>
      <c r="BK883" s="399"/>
      <c r="BL883" s="399"/>
      <c r="BM883" s="399"/>
      <c r="BN883" s="399"/>
      <c r="BO883" s="399"/>
      <c r="BP883" s="399"/>
      <c r="BQ883" s="399"/>
      <c r="BR883" s="399"/>
      <c r="BS883" s="399"/>
      <c r="BT883" s="399"/>
      <c r="BU883" s="399"/>
      <c r="BV883" s="399"/>
      <c r="BW883" s="399"/>
      <c r="BX883" s="399"/>
      <c r="BY883" s="399"/>
      <c r="BZ883" s="399"/>
      <c r="CA883" s="399"/>
      <c r="CB883" s="399"/>
      <c r="CC883" s="399"/>
      <c r="CD883" s="399"/>
      <c r="CE883" s="399"/>
      <c r="CF883" s="399"/>
      <c r="CG883" s="399"/>
      <c r="CH883" s="399"/>
      <c r="CI883" s="399"/>
      <c r="CJ883" s="399"/>
      <c r="CK883" s="399"/>
      <c r="CL883" s="399"/>
      <c r="CM883" s="399"/>
      <c r="CN883" s="399"/>
      <c r="CO883" s="399"/>
      <c r="CP883" s="399"/>
      <c r="CQ883" s="399"/>
      <c r="CR883" s="399"/>
      <c r="CS883" s="399"/>
      <c r="CT883" s="399"/>
      <c r="CU883" s="399"/>
      <c r="CV883" s="399"/>
      <c r="CW883" s="399"/>
      <c r="CX883" s="399"/>
      <c r="CY883" s="399"/>
      <c r="CZ883" s="399"/>
      <c r="DA883" s="399"/>
      <c r="DB883" s="399"/>
      <c r="DC883" s="399"/>
      <c r="DD883" s="399"/>
      <c r="DE883" s="399"/>
      <c r="DF883" s="399"/>
      <c r="DG883" s="399"/>
      <c r="DH883" s="399"/>
      <c r="DI883" s="399"/>
      <c r="DJ883" s="399"/>
      <c r="DK883" s="399"/>
      <c r="DL883" s="399"/>
      <c r="DM883" s="399"/>
      <c r="DN883" s="399"/>
      <c r="DO883" s="399"/>
      <c r="DP883" s="399"/>
      <c r="DQ883" s="399"/>
    </row>
    <row r="884" spans="1:121" s="760" customFormat="1" ht="15" customHeight="1" x14ac:dyDescent="0.25">
      <c r="A884" s="266">
        <f t="shared" si="13"/>
        <v>52.733333333333334</v>
      </c>
      <c r="B884" s="389">
        <v>41274</v>
      </c>
      <c r="C884" s="390" t="s">
        <v>452</v>
      </c>
      <c r="D884" s="390" t="s">
        <v>452</v>
      </c>
      <c r="E884" s="390" t="s">
        <v>380</v>
      </c>
      <c r="F884" s="262" t="s">
        <v>310</v>
      </c>
      <c r="G884" s="262" t="s">
        <v>320</v>
      </c>
      <c r="H884" s="261">
        <v>23</v>
      </c>
      <c r="I884" s="261"/>
      <c r="J884" s="261"/>
      <c r="K884" s="261"/>
      <c r="L884" s="261"/>
      <c r="M884" s="261"/>
      <c r="N884" s="261"/>
      <c r="O884" s="261"/>
      <c r="P884" s="261">
        <v>0</v>
      </c>
      <c r="Q884" s="261">
        <v>0</v>
      </c>
      <c r="R884" s="261"/>
      <c r="S884" s="261"/>
      <c r="T884" s="261"/>
      <c r="U884" s="261"/>
      <c r="V884" s="765"/>
      <c r="W884" s="762"/>
      <c r="X884" s="762"/>
      <c r="Y884" s="264">
        <f>IF(NFI_Expiration=1,IF($A884&lt;VLOOKUP(H$5,NFI,5,0),1,0)*Table_NFI[[#This Row],[Hygiene Kit]],Table_NFI[Hygiene Kit])</f>
        <v>0</v>
      </c>
      <c r="Z884" s="264">
        <f>IF(NFI_Expiration=1,IF($A884&lt;VLOOKUP(I$5,NFI,5,0),1,0)*Table_NFI[[#This Row],[NFI Core Kit]],Table_NFI[NFI Core Kit])</f>
        <v>0</v>
      </c>
      <c r="AA884" s="264">
        <f>IF(NFI_Expiration=1,IF($A884&lt;VLOOKUP(J$5,NFI,5,0),1,0)*Table_NFI[[#This Row],[Sanitary Kit]],Table_NFI[Sanitary Kit])</f>
        <v>0</v>
      </c>
      <c r="AB884" s="264">
        <f>IF(NFI_Expiration=1,IF($A884&lt;VLOOKUP(K$5,NFI,5,0),1,0)*Table_NFI[[#This Row],[Mosquito net]],Table_NFI[Mosquito net])</f>
        <v>0</v>
      </c>
      <c r="AC884" s="264">
        <f>IF(NFI_Expiration=1,IF($A884&lt;VLOOKUP(L$5,NFI,5,0),1,0)*Table_NFI[[#This Row],[Tarpaulin]],Table_NFI[[#This Row],[Tarpaulin]])</f>
        <v>0</v>
      </c>
      <c r="AD884" s="264">
        <f>IF(NFI_Expiration=1,IF($A884&lt;VLOOKUP(M$5,NFI,5,0),1,0)*Table_NFI[[#This Row],[Blanket]],Table_NFI[[#This Row],[Blanket]])</f>
        <v>0</v>
      </c>
      <c r="AE884" s="264">
        <f>IF(NFI_Expiration=1,IF($A884&lt;VLOOKUP(N$5,NFI,5,0),1,0)*Table_NFI[[#This Row],[Kitchen Set]],Table_NFI[Kitchen Set])</f>
        <v>0</v>
      </c>
      <c r="AF884" s="264">
        <f>IF(NFI_Expiration=1,IF($A884&lt;VLOOKUP(O$5,NFI,5,0),1,0)*Table_NFI[[#This Row],[Clothes Kit]],Table_NFI[Clothes Kit])</f>
        <v>0</v>
      </c>
      <c r="AG884" s="264">
        <f>IF(NFI_Expiration=1,IF($A884&lt;VLOOKUP(P$5,NFI,5,0),1,0)*Table_NFI[[#This Row],[Plastic Bucket]],Table_NFI[Plastic Bucket])</f>
        <v>0</v>
      </c>
      <c r="AH884" s="264">
        <f>IF(NFI_Expiration=1,IF($A884&lt;VLOOKUP(Q$5,NFI,5,0),1,0)*Table_NFI[[#This Row],[Plastic Mat]],Table_NFI[Plastic Mat])*IF(Table_NFI[[#This Row],[Distribution Date]]&gt;"2014-04-01",1,2.5)</f>
        <v>0</v>
      </c>
      <c r="AI884" s="264">
        <f>IF(NFI_Expiration=1,IF($A884&lt;VLOOKUP(R$5,NFI,5,0),1,0)*Table_NFI[[#This Row],[Winter Clothes Adult]],Table_NFI[Winter Clothes Adult])</f>
        <v>0</v>
      </c>
      <c r="AJ884" s="264">
        <f>IF(NFI_Expiration=1,IF($A884&lt;VLOOKUP(S$5,NFI,5,0),1,0)*Table_NFI[[#This Row],[Winter Clothes Children]],Table_NFI[Winter Clothes Children])</f>
        <v>0</v>
      </c>
      <c r="AK884" s="264">
        <f>IF(NFI_Expiration=1,IF($A884&lt;VLOOKUP(T$5,NFI,5,0),1,0)*Table_NFI[[#This Row],[Winter Items Other]],Table_NFI[Winter Items Other])</f>
        <v>0</v>
      </c>
      <c r="AL884" s="264">
        <f>IF(NFI_Expiration=1,IF($A884&lt;VLOOKUP(M$5,NFI,5,0),1,0)*Table_NFI[[#This Row],[Winter Blanket]],Table_NFI[[#This Row],[Winter Blanket]])</f>
        <v>0</v>
      </c>
      <c r="AM884" s="264">
        <f>IF(Table_NFI[[#This Row],[Winter Clothes Adult]]+Table_NFI[[#This Row],[Winter Clothes Children]]+Table_NFI[[#This Row],[Winter Items Other]]+Table_NFI[[#This Row],[Winter Blanket]]&gt;0,1,0)</f>
        <v>0</v>
      </c>
      <c r="AN884" s="296">
        <f>IF(NFI_Expiration=1,IF($A884&lt;VLOOKUP(V$5,NFI,5,0),1,0)*Table_NFI[[#This Row],[Jerry Can]],Table_NFI[Jerry Can])</f>
        <v>0</v>
      </c>
      <c r="AO884" s="296">
        <f>IF(NFI_Expiration=1,IF($A884&lt;VLOOKUP(V$5,NFI,5,0),1,0)*Table_NFI[[#This Row],[Shelter Tool kit]],Table_NFI[Shelter Tool kit])</f>
        <v>0</v>
      </c>
      <c r="AP884" s="296">
        <f>IF(NFI_Expiration=1,IF($A884&lt;VLOOKUP(V$5,NFI,5,0),1,0)*Table_NFI[[#This Row],[Tent]],Table_NFI[Tent])</f>
        <v>0</v>
      </c>
      <c r="AQ884" s="396" t="str">
        <f>IFERROR(VLOOKUP(Table_NFI[[#This Row],[Camp Name]],CL,2,0),"")</f>
        <v>MMR001CMP027</v>
      </c>
      <c r="AR884" s="702">
        <f ca="1">IF(Table_NFI[[#This Row],[Pcode]]="","",IF(OFFSET(CampList[Opening Date],MATCH(Table_NFI[[#This Row],[Pcode]],CampList[CP_Pcode],0)-1,0,1,1)&gt;=NFI_Monitor_Date,1,0))</f>
        <v>0</v>
      </c>
      <c r="AS884" s="396" t="str">
        <f>IFERROR(VLOOKUP(Table_NFI[[#This Row],[Camp Name]],CL,3,0),"")</f>
        <v>Open</v>
      </c>
      <c r="AT884" s="264" t="str">
        <f ca="1">IF(Table_NFI[[#This Row],[Pcode]]="","",OFFSET(CampList[Priority],MATCH(Table_NFI[[#This Row],[Pcode]],CampList[CP_Pcode],0)-1,0,1,1))</f>
        <v>P4</v>
      </c>
      <c r="AU884" s="263">
        <f>IFERROR(Table_NFI[[#This Row],[Kitchen Set]]/VLOOKUP(Table_NFI[[#This Row],[Camp Name]],CL,4,0),"")</f>
        <v>0</v>
      </c>
      <c r="AV884" s="390" t="s">
        <v>1087</v>
      </c>
      <c r="AW884" s="392"/>
      <c r="AX884" s="399"/>
      <c r="AY884" s="399"/>
      <c r="AZ884" s="399"/>
      <c r="BA884" s="399"/>
      <c r="BB884" s="399"/>
      <c r="BC884" s="399"/>
      <c r="BD884" s="399"/>
      <c r="BE884" s="399"/>
      <c r="BF884" s="399"/>
      <c r="BG884" s="399"/>
      <c r="BH884" s="399"/>
      <c r="BI884" s="399"/>
      <c r="BJ884" s="399"/>
      <c r="BK884" s="399"/>
      <c r="BL884" s="399"/>
      <c r="BM884" s="399"/>
      <c r="BN884" s="399"/>
      <c r="BO884" s="399"/>
      <c r="BP884" s="399"/>
      <c r="BQ884" s="399"/>
      <c r="BR884" s="399"/>
      <c r="BS884" s="399"/>
      <c r="BT884" s="399"/>
      <c r="BU884" s="399"/>
      <c r="BV884" s="399"/>
      <c r="BW884" s="399"/>
      <c r="BX884" s="399"/>
      <c r="BY884" s="399"/>
      <c r="BZ884" s="399"/>
      <c r="CA884" s="399"/>
      <c r="CB884" s="399"/>
      <c r="CC884" s="399"/>
      <c r="CD884" s="399"/>
      <c r="CE884" s="399"/>
      <c r="CF884" s="399"/>
      <c r="CG884" s="399"/>
      <c r="CH884" s="399"/>
      <c r="CI884" s="399"/>
      <c r="CJ884" s="399"/>
      <c r="CK884" s="399"/>
      <c r="CL884" s="399"/>
      <c r="CM884" s="399"/>
      <c r="CN884" s="399"/>
      <c r="CO884" s="399"/>
      <c r="CP884" s="399"/>
      <c r="CQ884" s="399"/>
      <c r="CR884" s="399"/>
      <c r="CS884" s="399"/>
      <c r="CT884" s="399"/>
      <c r="CU884" s="399"/>
      <c r="CV884" s="399"/>
      <c r="CW884" s="399"/>
      <c r="CX884" s="399"/>
      <c r="CY884" s="399"/>
      <c r="CZ884" s="399"/>
      <c r="DA884" s="399"/>
      <c r="DB884" s="399"/>
      <c r="DC884" s="399"/>
      <c r="DD884" s="399"/>
      <c r="DE884" s="399"/>
      <c r="DF884" s="399"/>
      <c r="DG884" s="399"/>
      <c r="DH884" s="399"/>
      <c r="DI884" s="399"/>
      <c r="DJ884" s="399"/>
      <c r="DK884" s="399"/>
      <c r="DL884" s="399"/>
      <c r="DM884" s="399"/>
      <c r="DN884" s="399"/>
      <c r="DO884" s="399"/>
      <c r="DP884" s="399"/>
      <c r="DQ884" s="399"/>
    </row>
    <row r="885" spans="1:121" s="760" customFormat="1" ht="15" customHeight="1" x14ac:dyDescent="0.25">
      <c r="A885" s="266">
        <f t="shared" si="13"/>
        <v>52.733333333333334</v>
      </c>
      <c r="B885" s="389">
        <v>41274</v>
      </c>
      <c r="C885" s="390" t="s">
        <v>452</v>
      </c>
      <c r="D885" s="391" t="s">
        <v>452</v>
      </c>
      <c r="E885" s="390" t="s">
        <v>380</v>
      </c>
      <c r="F885" s="262" t="s">
        <v>310</v>
      </c>
      <c r="G885" s="262" t="s">
        <v>328</v>
      </c>
      <c r="H885" s="261">
        <v>79</v>
      </c>
      <c r="I885" s="261"/>
      <c r="J885" s="261"/>
      <c r="K885" s="261"/>
      <c r="L885" s="261"/>
      <c r="M885" s="261"/>
      <c r="N885" s="261"/>
      <c r="O885" s="261"/>
      <c r="P885" s="261">
        <v>0</v>
      </c>
      <c r="Q885" s="261">
        <v>0</v>
      </c>
      <c r="R885" s="261"/>
      <c r="S885" s="261"/>
      <c r="T885" s="261"/>
      <c r="U885" s="261"/>
      <c r="V885" s="762"/>
      <c r="W885" s="762"/>
      <c r="X885" s="762"/>
      <c r="Y885" s="264">
        <f>IF(NFI_Expiration=1,IF($A885&lt;VLOOKUP(H$5,NFI,5,0),1,0)*Table_NFI[[#This Row],[Hygiene Kit]],Table_NFI[Hygiene Kit])</f>
        <v>0</v>
      </c>
      <c r="Z885" s="264">
        <f>IF(NFI_Expiration=1,IF($A885&lt;VLOOKUP(I$5,NFI,5,0),1,0)*Table_NFI[[#This Row],[NFI Core Kit]],Table_NFI[NFI Core Kit])</f>
        <v>0</v>
      </c>
      <c r="AA885" s="264">
        <f>IF(NFI_Expiration=1,IF($A885&lt;VLOOKUP(J$5,NFI,5,0),1,0)*Table_NFI[[#This Row],[Sanitary Kit]],Table_NFI[Sanitary Kit])</f>
        <v>0</v>
      </c>
      <c r="AB885" s="264">
        <f>IF(NFI_Expiration=1,IF($A885&lt;VLOOKUP(K$5,NFI,5,0),1,0)*Table_NFI[[#This Row],[Mosquito net]],Table_NFI[Mosquito net])</f>
        <v>0</v>
      </c>
      <c r="AC885" s="264">
        <f>IF(NFI_Expiration=1,IF($A885&lt;VLOOKUP(L$5,NFI,5,0),1,0)*Table_NFI[[#This Row],[Tarpaulin]],Table_NFI[[#This Row],[Tarpaulin]])</f>
        <v>0</v>
      </c>
      <c r="AD885" s="264">
        <f>IF(NFI_Expiration=1,IF($A885&lt;VLOOKUP(M$5,NFI,5,0),1,0)*Table_NFI[[#This Row],[Blanket]],Table_NFI[[#This Row],[Blanket]])</f>
        <v>0</v>
      </c>
      <c r="AE885" s="264">
        <f>IF(NFI_Expiration=1,IF($A885&lt;VLOOKUP(N$5,NFI,5,0),1,0)*Table_NFI[[#This Row],[Kitchen Set]],Table_NFI[Kitchen Set])</f>
        <v>0</v>
      </c>
      <c r="AF885" s="264">
        <f>IF(NFI_Expiration=1,IF($A885&lt;VLOOKUP(O$5,NFI,5,0),1,0)*Table_NFI[[#This Row],[Clothes Kit]],Table_NFI[Clothes Kit])</f>
        <v>0</v>
      </c>
      <c r="AG885" s="264">
        <f>IF(NFI_Expiration=1,IF($A885&lt;VLOOKUP(P$5,NFI,5,0),1,0)*Table_NFI[[#This Row],[Plastic Bucket]],Table_NFI[Plastic Bucket])</f>
        <v>0</v>
      </c>
      <c r="AH885" s="264">
        <f>IF(NFI_Expiration=1,IF($A885&lt;VLOOKUP(Q$5,NFI,5,0),1,0)*Table_NFI[[#This Row],[Plastic Mat]],Table_NFI[Plastic Mat])*IF(Table_NFI[[#This Row],[Distribution Date]]&gt;"2014-04-01",1,2.5)</f>
        <v>0</v>
      </c>
      <c r="AI885" s="264">
        <f>IF(NFI_Expiration=1,IF($A885&lt;VLOOKUP(R$5,NFI,5,0),1,0)*Table_NFI[[#This Row],[Winter Clothes Adult]],Table_NFI[Winter Clothes Adult])</f>
        <v>0</v>
      </c>
      <c r="AJ885" s="264">
        <f>IF(NFI_Expiration=1,IF($A885&lt;VLOOKUP(S$5,NFI,5,0),1,0)*Table_NFI[[#This Row],[Winter Clothes Children]],Table_NFI[Winter Clothes Children])</f>
        <v>0</v>
      </c>
      <c r="AK885" s="264">
        <f>IF(NFI_Expiration=1,IF($A885&lt;VLOOKUP(T$5,NFI,5,0),1,0)*Table_NFI[[#This Row],[Winter Items Other]],Table_NFI[Winter Items Other])</f>
        <v>0</v>
      </c>
      <c r="AL885" s="264">
        <f>IF(NFI_Expiration=1,IF($A885&lt;VLOOKUP(M$5,NFI,5,0),1,0)*Table_NFI[[#This Row],[Winter Blanket]],Table_NFI[[#This Row],[Winter Blanket]])</f>
        <v>0</v>
      </c>
      <c r="AM885" s="264">
        <f>IF(Table_NFI[[#This Row],[Winter Clothes Adult]]+Table_NFI[[#This Row],[Winter Clothes Children]]+Table_NFI[[#This Row],[Winter Items Other]]+Table_NFI[[#This Row],[Winter Blanket]]&gt;0,1,0)</f>
        <v>0</v>
      </c>
      <c r="AN885" s="296">
        <f>IF(NFI_Expiration=1,IF($A885&lt;VLOOKUP(V$5,NFI,5,0),1,0)*Table_NFI[[#This Row],[Jerry Can]],Table_NFI[Jerry Can])</f>
        <v>0</v>
      </c>
      <c r="AO885" s="296">
        <f>IF(NFI_Expiration=1,IF($A885&lt;VLOOKUP(V$5,NFI,5,0),1,0)*Table_NFI[[#This Row],[Shelter Tool kit]],Table_NFI[Shelter Tool kit])</f>
        <v>0</v>
      </c>
      <c r="AP885" s="296">
        <f>IF(NFI_Expiration=1,IF($A885&lt;VLOOKUP(V$5,NFI,5,0),1,0)*Table_NFI[[#This Row],[Tent]],Table_NFI[Tent])</f>
        <v>0</v>
      </c>
      <c r="AQ885" s="396" t="str">
        <f>IFERROR(VLOOKUP(Table_NFI[[#This Row],[Camp Name]],CL,2,0),"")</f>
        <v>MMR001CMP031</v>
      </c>
      <c r="AR885" s="702">
        <f ca="1">IF(Table_NFI[[#This Row],[Pcode]]="","",IF(OFFSET(CampList[Opening Date],MATCH(Table_NFI[[#This Row],[Pcode]],CampList[CP_Pcode],0)-1,0,1,1)&gt;=NFI_Monitor_Date,1,0))</f>
        <v>0</v>
      </c>
      <c r="AS885" s="396" t="str">
        <f>IFERROR(VLOOKUP(Table_NFI[[#This Row],[Camp Name]],CL,3,0),"")</f>
        <v>Open</v>
      </c>
      <c r="AT885" s="264" t="str">
        <f ca="1">IF(Table_NFI[[#This Row],[Pcode]]="","",OFFSET(CampList[Priority],MATCH(Table_NFI[[#This Row],[Pcode]],CampList[CP_Pcode],0)-1,0,1,1))</f>
        <v>P4</v>
      </c>
      <c r="AU885" s="263">
        <f>IFERROR(Table_NFI[[#This Row],[Kitchen Set]]/VLOOKUP(Table_NFI[[#This Row],[Camp Name]],CL,4,0),"")</f>
        <v>0</v>
      </c>
      <c r="AV885" s="390" t="s">
        <v>1087</v>
      </c>
      <c r="AW885" s="392"/>
      <c r="AX885" s="399"/>
      <c r="AY885" s="399"/>
      <c r="AZ885" s="399"/>
      <c r="BA885" s="399"/>
      <c r="BB885" s="399"/>
      <c r="BC885" s="399"/>
      <c r="BD885" s="399"/>
      <c r="BE885" s="399"/>
      <c r="BF885" s="399"/>
      <c r="BG885" s="399"/>
      <c r="BH885" s="399"/>
      <c r="BI885" s="399"/>
      <c r="BJ885" s="399"/>
      <c r="BK885" s="399"/>
      <c r="BL885" s="399"/>
      <c r="BM885" s="399"/>
      <c r="BN885" s="399"/>
      <c r="BO885" s="399"/>
      <c r="BP885" s="399"/>
      <c r="BQ885" s="399"/>
      <c r="BR885" s="399"/>
      <c r="BS885" s="399"/>
      <c r="BT885" s="399"/>
      <c r="BU885" s="399"/>
      <c r="BV885" s="399"/>
      <c r="BW885" s="399"/>
      <c r="BX885" s="399"/>
      <c r="BY885" s="399"/>
      <c r="BZ885" s="399"/>
      <c r="CA885" s="399"/>
      <c r="CB885" s="399"/>
      <c r="CC885" s="399"/>
      <c r="CD885" s="399"/>
      <c r="CE885" s="399"/>
      <c r="CF885" s="399"/>
      <c r="CG885" s="399"/>
      <c r="CH885" s="399"/>
      <c r="CI885" s="399"/>
      <c r="CJ885" s="399"/>
      <c r="CK885" s="399"/>
      <c r="CL885" s="399"/>
      <c r="CM885" s="399"/>
      <c r="CN885" s="399"/>
      <c r="CO885" s="399"/>
      <c r="CP885" s="399"/>
      <c r="CQ885" s="399"/>
      <c r="CR885" s="399"/>
      <c r="CS885" s="399"/>
      <c r="CT885" s="399"/>
      <c r="CU885" s="399"/>
      <c r="CV885" s="399"/>
      <c r="CW885" s="399"/>
      <c r="CX885" s="399"/>
      <c r="CY885" s="399"/>
      <c r="CZ885" s="399"/>
      <c r="DA885" s="399"/>
      <c r="DB885" s="399"/>
      <c r="DC885" s="399"/>
      <c r="DD885" s="399"/>
      <c r="DE885" s="399"/>
      <c r="DF885" s="399"/>
      <c r="DG885" s="399"/>
      <c r="DH885" s="399"/>
      <c r="DI885" s="399"/>
      <c r="DJ885" s="399"/>
      <c r="DK885" s="399"/>
      <c r="DL885" s="399"/>
      <c r="DM885" s="399"/>
      <c r="DN885" s="399"/>
      <c r="DO885" s="399"/>
      <c r="DP885" s="399"/>
      <c r="DQ885" s="399"/>
    </row>
    <row r="886" spans="1:121" s="760" customFormat="1" ht="15" customHeight="1" x14ac:dyDescent="0.25">
      <c r="A886" s="266">
        <f t="shared" si="13"/>
        <v>52.733333333333334</v>
      </c>
      <c r="B886" s="389">
        <v>41274</v>
      </c>
      <c r="C886" s="390" t="s">
        <v>452</v>
      </c>
      <c r="D886" s="391" t="s">
        <v>452</v>
      </c>
      <c r="E886" s="390" t="s">
        <v>380</v>
      </c>
      <c r="F886" s="262" t="s">
        <v>237</v>
      </c>
      <c r="G886" s="262" t="s">
        <v>263</v>
      </c>
      <c r="H886" s="261">
        <v>14</v>
      </c>
      <c r="I886" s="261"/>
      <c r="J886" s="261"/>
      <c r="K886" s="261"/>
      <c r="L886" s="261"/>
      <c r="M886" s="261"/>
      <c r="N886" s="261"/>
      <c r="O886" s="261"/>
      <c r="P886" s="261">
        <v>0</v>
      </c>
      <c r="Q886" s="261">
        <v>0</v>
      </c>
      <c r="R886" s="261"/>
      <c r="S886" s="261"/>
      <c r="T886" s="261"/>
      <c r="U886" s="261"/>
      <c r="V886" s="762"/>
      <c r="W886" s="762"/>
      <c r="X886" s="762"/>
      <c r="Y886" s="264">
        <f>IF(NFI_Expiration=1,IF($A886&lt;VLOOKUP(H$5,NFI,5,0),1,0)*Table_NFI[[#This Row],[Hygiene Kit]],Table_NFI[Hygiene Kit])</f>
        <v>0</v>
      </c>
      <c r="Z886" s="264">
        <f>IF(NFI_Expiration=1,IF($A886&lt;VLOOKUP(I$5,NFI,5,0),1,0)*Table_NFI[[#This Row],[NFI Core Kit]],Table_NFI[NFI Core Kit])</f>
        <v>0</v>
      </c>
      <c r="AA886" s="264">
        <f>IF(NFI_Expiration=1,IF($A886&lt;VLOOKUP(J$5,NFI,5,0),1,0)*Table_NFI[[#This Row],[Sanitary Kit]],Table_NFI[Sanitary Kit])</f>
        <v>0</v>
      </c>
      <c r="AB886" s="264">
        <f>IF(NFI_Expiration=1,IF($A886&lt;VLOOKUP(K$5,NFI,5,0),1,0)*Table_NFI[[#This Row],[Mosquito net]],Table_NFI[Mosquito net])</f>
        <v>0</v>
      </c>
      <c r="AC886" s="264">
        <f>IF(NFI_Expiration=1,IF($A886&lt;VLOOKUP(L$5,NFI,5,0),1,0)*Table_NFI[[#This Row],[Tarpaulin]],Table_NFI[[#This Row],[Tarpaulin]])</f>
        <v>0</v>
      </c>
      <c r="AD886" s="264">
        <f>IF(NFI_Expiration=1,IF($A886&lt;VLOOKUP(M$5,NFI,5,0),1,0)*Table_NFI[[#This Row],[Blanket]],Table_NFI[[#This Row],[Blanket]])</f>
        <v>0</v>
      </c>
      <c r="AE886" s="264">
        <f>IF(NFI_Expiration=1,IF($A886&lt;VLOOKUP(N$5,NFI,5,0),1,0)*Table_NFI[[#This Row],[Kitchen Set]],Table_NFI[Kitchen Set])</f>
        <v>0</v>
      </c>
      <c r="AF886" s="264">
        <f>IF(NFI_Expiration=1,IF($A886&lt;VLOOKUP(O$5,NFI,5,0),1,0)*Table_NFI[[#This Row],[Clothes Kit]],Table_NFI[Clothes Kit])</f>
        <v>0</v>
      </c>
      <c r="AG886" s="264">
        <f>IF(NFI_Expiration=1,IF($A886&lt;VLOOKUP(P$5,NFI,5,0),1,0)*Table_NFI[[#This Row],[Plastic Bucket]],Table_NFI[Plastic Bucket])</f>
        <v>0</v>
      </c>
      <c r="AH886" s="264">
        <f>IF(NFI_Expiration=1,IF($A886&lt;VLOOKUP(Q$5,NFI,5,0),1,0)*Table_NFI[[#This Row],[Plastic Mat]],Table_NFI[Plastic Mat])*IF(Table_NFI[[#This Row],[Distribution Date]]&gt;"2014-04-01",1,2.5)</f>
        <v>0</v>
      </c>
      <c r="AI886" s="264">
        <f>IF(NFI_Expiration=1,IF($A886&lt;VLOOKUP(R$5,NFI,5,0),1,0)*Table_NFI[[#This Row],[Winter Clothes Adult]],Table_NFI[Winter Clothes Adult])</f>
        <v>0</v>
      </c>
      <c r="AJ886" s="264">
        <f>IF(NFI_Expiration=1,IF($A886&lt;VLOOKUP(S$5,NFI,5,0),1,0)*Table_NFI[[#This Row],[Winter Clothes Children]],Table_NFI[Winter Clothes Children])</f>
        <v>0</v>
      </c>
      <c r="AK886" s="264">
        <f>IF(NFI_Expiration=1,IF($A886&lt;VLOOKUP(T$5,NFI,5,0),1,0)*Table_NFI[[#This Row],[Winter Items Other]],Table_NFI[Winter Items Other])</f>
        <v>0</v>
      </c>
      <c r="AL886" s="264">
        <f>IF(NFI_Expiration=1,IF($A886&lt;VLOOKUP(M$5,NFI,5,0),1,0)*Table_NFI[[#This Row],[Winter Blanket]],Table_NFI[[#This Row],[Winter Blanket]])</f>
        <v>0</v>
      </c>
      <c r="AM886" s="264">
        <f>IF(Table_NFI[[#This Row],[Winter Clothes Adult]]+Table_NFI[[#This Row],[Winter Clothes Children]]+Table_NFI[[#This Row],[Winter Items Other]]+Table_NFI[[#This Row],[Winter Blanket]]&gt;0,1,0)</f>
        <v>0</v>
      </c>
      <c r="AN886" s="296">
        <f>IF(NFI_Expiration=1,IF($A886&lt;VLOOKUP(V$5,NFI,5,0),1,0)*Table_NFI[[#This Row],[Jerry Can]],Table_NFI[Jerry Can])</f>
        <v>0</v>
      </c>
      <c r="AO886" s="296">
        <f>IF(NFI_Expiration=1,IF($A886&lt;VLOOKUP(V$5,NFI,5,0),1,0)*Table_NFI[[#This Row],[Shelter Tool kit]],Table_NFI[Shelter Tool kit])</f>
        <v>0</v>
      </c>
      <c r="AP886" s="296">
        <f>IF(NFI_Expiration=1,IF($A886&lt;VLOOKUP(V$5,NFI,5,0),1,0)*Table_NFI[[#This Row],[Tent]],Table_NFI[Tent])</f>
        <v>0</v>
      </c>
      <c r="AQ886" s="396" t="str">
        <f>IFERROR(VLOOKUP(Table_NFI[[#This Row],[Camp Name]],CL,2,0),"")</f>
        <v>MMR001CMP020</v>
      </c>
      <c r="AR886" s="702">
        <f ca="1">IF(Table_NFI[[#This Row],[Pcode]]="","",IF(OFFSET(CampList[Opening Date],MATCH(Table_NFI[[#This Row],[Pcode]],CampList[CP_Pcode],0)-1,0,1,1)&gt;=NFI_Monitor_Date,1,0))</f>
        <v>0</v>
      </c>
      <c r="AS886" s="396" t="str">
        <f>IFERROR(VLOOKUP(Table_NFI[[#This Row],[Camp Name]],CL,3,0),"")</f>
        <v>Open</v>
      </c>
      <c r="AT886" s="264" t="str">
        <f ca="1">IF(Table_NFI[[#This Row],[Pcode]]="","",OFFSET(CampList[Priority],MATCH(Table_NFI[[#This Row],[Pcode]],CampList[CP_Pcode],0)-1,0,1,1))</f>
        <v>P4</v>
      </c>
      <c r="AU886" s="263">
        <f>IFERROR(Table_NFI[[#This Row],[Kitchen Set]]/VLOOKUP(Table_NFI[[#This Row],[Camp Name]],CL,4,0),"")</f>
        <v>0</v>
      </c>
      <c r="AV886" s="390" t="s">
        <v>1087</v>
      </c>
      <c r="AW886" s="392"/>
      <c r="AX886" s="399"/>
      <c r="AY886" s="399"/>
      <c r="AZ886" s="399"/>
      <c r="BA886" s="399"/>
      <c r="BB886" s="399"/>
      <c r="BC886" s="399"/>
      <c r="BD886" s="399"/>
      <c r="BE886" s="399"/>
      <c r="BF886" s="399"/>
      <c r="BG886" s="399"/>
      <c r="BH886" s="399"/>
      <c r="BI886" s="399"/>
      <c r="BJ886" s="399"/>
      <c r="BK886" s="399"/>
      <c r="BL886" s="399"/>
      <c r="BM886" s="399"/>
      <c r="BN886" s="399"/>
      <c r="BO886" s="399"/>
      <c r="BP886" s="399"/>
      <c r="BQ886" s="399"/>
      <c r="BR886" s="399"/>
      <c r="BS886" s="399"/>
      <c r="BT886" s="399"/>
      <c r="BU886" s="399"/>
      <c r="BV886" s="399"/>
      <c r="BW886" s="399"/>
      <c r="BX886" s="399"/>
      <c r="BY886" s="399"/>
      <c r="BZ886" s="399"/>
      <c r="CA886" s="399"/>
      <c r="CB886" s="399"/>
      <c r="CC886" s="399"/>
      <c r="CD886" s="399"/>
      <c r="CE886" s="399"/>
      <c r="CF886" s="399"/>
      <c r="CG886" s="399"/>
      <c r="CH886" s="399"/>
      <c r="CI886" s="399"/>
      <c r="CJ886" s="399"/>
      <c r="CK886" s="399"/>
      <c r="CL886" s="399"/>
      <c r="CM886" s="399"/>
      <c r="CN886" s="399"/>
      <c r="CO886" s="399"/>
      <c r="CP886" s="399"/>
      <c r="CQ886" s="399"/>
      <c r="CR886" s="399"/>
      <c r="CS886" s="399"/>
      <c r="CT886" s="399"/>
      <c r="CU886" s="399"/>
      <c r="CV886" s="399"/>
      <c r="CW886" s="399"/>
      <c r="CX886" s="399"/>
      <c r="CY886" s="399"/>
      <c r="CZ886" s="399"/>
      <c r="DA886" s="399"/>
      <c r="DB886" s="399"/>
      <c r="DC886" s="399"/>
      <c r="DD886" s="399"/>
      <c r="DE886" s="399"/>
      <c r="DF886" s="399"/>
      <c r="DG886" s="399"/>
      <c r="DH886" s="399"/>
      <c r="DI886" s="399"/>
      <c r="DJ886" s="399"/>
      <c r="DK886" s="399"/>
      <c r="DL886" s="399"/>
      <c r="DM886" s="399"/>
      <c r="DN886" s="399"/>
      <c r="DO886" s="399"/>
      <c r="DP886" s="399"/>
      <c r="DQ886" s="399"/>
    </row>
    <row r="887" spans="1:121" s="760" customFormat="1" ht="15" customHeight="1" x14ac:dyDescent="0.25">
      <c r="A887" s="266">
        <f t="shared" si="13"/>
        <v>52.733333333333334</v>
      </c>
      <c r="B887" s="389">
        <v>41274</v>
      </c>
      <c r="C887" s="390" t="s">
        <v>452</v>
      </c>
      <c r="D887" s="390" t="s">
        <v>452</v>
      </c>
      <c r="E887" s="390" t="s">
        <v>380</v>
      </c>
      <c r="F887" s="390" t="s">
        <v>237</v>
      </c>
      <c r="G887" s="262" t="s">
        <v>265</v>
      </c>
      <c r="H887" s="261">
        <v>23</v>
      </c>
      <c r="I887" s="261"/>
      <c r="J887" s="261"/>
      <c r="K887" s="261"/>
      <c r="L887" s="261"/>
      <c r="M887" s="261"/>
      <c r="N887" s="261"/>
      <c r="O887" s="261"/>
      <c r="P887" s="261">
        <v>0</v>
      </c>
      <c r="Q887" s="261">
        <v>0</v>
      </c>
      <c r="R887" s="261"/>
      <c r="S887" s="261"/>
      <c r="T887" s="261"/>
      <c r="U887" s="261"/>
      <c r="V887" s="762"/>
      <c r="W887" s="261"/>
      <c r="X887" s="261"/>
      <c r="Y887" s="264">
        <f>IF(NFI_Expiration=1,IF($A887&lt;VLOOKUP(H$5,NFI,5,0),1,0)*Table_NFI[[#This Row],[Hygiene Kit]],Table_NFI[Hygiene Kit])</f>
        <v>0</v>
      </c>
      <c r="Z887" s="264">
        <f>IF(NFI_Expiration=1,IF($A887&lt;VLOOKUP(I$5,NFI,5,0),1,0)*Table_NFI[[#This Row],[NFI Core Kit]],Table_NFI[NFI Core Kit])</f>
        <v>0</v>
      </c>
      <c r="AA887" s="264">
        <f>IF(NFI_Expiration=1,IF($A887&lt;VLOOKUP(J$5,NFI,5,0),1,0)*Table_NFI[[#This Row],[Sanitary Kit]],Table_NFI[Sanitary Kit])</f>
        <v>0</v>
      </c>
      <c r="AB887" s="264">
        <f>IF(NFI_Expiration=1,IF($A887&lt;VLOOKUP(K$5,NFI,5,0),1,0)*Table_NFI[[#This Row],[Mosquito net]],Table_NFI[Mosquito net])</f>
        <v>0</v>
      </c>
      <c r="AC887" s="264">
        <f>IF(NFI_Expiration=1,IF($A887&lt;VLOOKUP(L$5,NFI,5,0),1,0)*Table_NFI[[#This Row],[Tarpaulin]],Table_NFI[[#This Row],[Tarpaulin]])</f>
        <v>0</v>
      </c>
      <c r="AD887" s="264">
        <f>IF(NFI_Expiration=1,IF($A887&lt;VLOOKUP(M$5,NFI,5,0),1,0)*Table_NFI[[#This Row],[Blanket]],Table_NFI[[#This Row],[Blanket]])</f>
        <v>0</v>
      </c>
      <c r="AE887" s="264">
        <f>IF(NFI_Expiration=1,IF($A887&lt;VLOOKUP(N$5,NFI,5,0),1,0)*Table_NFI[[#This Row],[Kitchen Set]],Table_NFI[Kitchen Set])</f>
        <v>0</v>
      </c>
      <c r="AF887" s="264">
        <f>IF(NFI_Expiration=1,IF($A887&lt;VLOOKUP(O$5,NFI,5,0),1,0)*Table_NFI[[#This Row],[Clothes Kit]],Table_NFI[Clothes Kit])</f>
        <v>0</v>
      </c>
      <c r="AG887" s="264">
        <f>IF(NFI_Expiration=1,IF($A887&lt;VLOOKUP(P$5,NFI,5,0),1,0)*Table_NFI[[#This Row],[Plastic Bucket]],Table_NFI[Plastic Bucket])</f>
        <v>0</v>
      </c>
      <c r="AH887" s="264">
        <f>IF(NFI_Expiration=1,IF($A887&lt;VLOOKUP(Q$5,NFI,5,0),1,0)*Table_NFI[[#This Row],[Plastic Mat]],Table_NFI[Plastic Mat])*IF(Table_NFI[[#This Row],[Distribution Date]]&gt;"2014-04-01",1,2.5)</f>
        <v>0</v>
      </c>
      <c r="AI887" s="264">
        <f>IF(NFI_Expiration=1,IF($A887&lt;VLOOKUP(R$5,NFI,5,0),1,0)*Table_NFI[[#This Row],[Winter Clothes Adult]],Table_NFI[Winter Clothes Adult])</f>
        <v>0</v>
      </c>
      <c r="AJ887" s="264">
        <f>IF(NFI_Expiration=1,IF($A887&lt;VLOOKUP(S$5,NFI,5,0),1,0)*Table_NFI[[#This Row],[Winter Clothes Children]],Table_NFI[Winter Clothes Children])</f>
        <v>0</v>
      </c>
      <c r="AK887" s="264">
        <f>IF(NFI_Expiration=1,IF($A887&lt;VLOOKUP(T$5,NFI,5,0),1,0)*Table_NFI[[#This Row],[Winter Items Other]],Table_NFI[Winter Items Other])</f>
        <v>0</v>
      </c>
      <c r="AL887" s="264">
        <f>IF(NFI_Expiration=1,IF($A887&lt;VLOOKUP(M$5,NFI,5,0),1,0)*Table_NFI[[#This Row],[Winter Blanket]],Table_NFI[[#This Row],[Winter Blanket]])</f>
        <v>0</v>
      </c>
      <c r="AM887" s="264">
        <f>IF(Table_NFI[[#This Row],[Winter Clothes Adult]]+Table_NFI[[#This Row],[Winter Clothes Children]]+Table_NFI[[#This Row],[Winter Items Other]]+Table_NFI[[#This Row],[Winter Blanket]]&gt;0,1,0)</f>
        <v>0</v>
      </c>
      <c r="AN887" s="296">
        <f>IF(NFI_Expiration=1,IF($A887&lt;VLOOKUP(V$5,NFI,5,0),1,0)*Table_NFI[[#This Row],[Jerry Can]],Table_NFI[Jerry Can])</f>
        <v>0</v>
      </c>
      <c r="AO887" s="296">
        <f>IF(NFI_Expiration=1,IF($A887&lt;VLOOKUP(V$5,NFI,5,0),1,0)*Table_NFI[[#This Row],[Shelter Tool kit]],Table_NFI[Shelter Tool kit])</f>
        <v>0</v>
      </c>
      <c r="AP887" s="296">
        <f>IF(NFI_Expiration=1,IF($A887&lt;VLOOKUP(V$5,NFI,5,0),1,0)*Table_NFI[[#This Row],[Tent]],Table_NFI[Tent])</f>
        <v>0</v>
      </c>
      <c r="AQ887" s="396" t="str">
        <f>IFERROR(VLOOKUP(Table_NFI[[#This Row],[Camp Name]],CL,2,0),"")</f>
        <v>MMR001CMP021</v>
      </c>
      <c r="AR887" s="702">
        <f ca="1">IF(Table_NFI[[#This Row],[Pcode]]="","",IF(OFFSET(CampList[Opening Date],MATCH(Table_NFI[[#This Row],[Pcode]],CampList[CP_Pcode],0)-1,0,1,1)&gt;=NFI_Monitor_Date,1,0))</f>
        <v>0</v>
      </c>
      <c r="AS887" s="396" t="str">
        <f>IFERROR(VLOOKUP(Table_NFI[[#This Row],[Camp Name]],CL,3,0),"")</f>
        <v>Open</v>
      </c>
      <c r="AT887" s="264" t="str">
        <f ca="1">IF(Table_NFI[[#This Row],[Pcode]]="","",OFFSET(CampList[Priority],MATCH(Table_NFI[[#This Row],[Pcode]],CampList[CP_Pcode],0)-1,0,1,1))</f>
        <v>P4</v>
      </c>
      <c r="AU887" s="263">
        <f>IFERROR(Table_NFI[[#This Row],[Kitchen Set]]/VLOOKUP(Table_NFI[[#This Row],[Camp Name]],CL,4,0),"")</f>
        <v>0</v>
      </c>
      <c r="AV887" s="390" t="s">
        <v>1087</v>
      </c>
      <c r="AW887" s="392"/>
      <c r="AX887" s="399"/>
      <c r="AY887" s="399"/>
      <c r="AZ887" s="399"/>
      <c r="BA887" s="399"/>
      <c r="BB887" s="399"/>
      <c r="BC887" s="399"/>
      <c r="BD887" s="399"/>
      <c r="BE887" s="399"/>
      <c r="BF887" s="399"/>
      <c r="BG887" s="399"/>
      <c r="BH887" s="399"/>
      <c r="BI887" s="399"/>
      <c r="BJ887" s="399"/>
      <c r="BK887" s="399"/>
      <c r="BL887" s="399"/>
      <c r="BM887" s="399"/>
      <c r="BN887" s="399"/>
      <c r="BO887" s="399"/>
      <c r="BP887" s="399"/>
      <c r="BQ887" s="399"/>
      <c r="BR887" s="399"/>
      <c r="BS887" s="399"/>
      <c r="BT887" s="399"/>
      <c r="BU887" s="399"/>
      <c r="BV887" s="399"/>
      <c r="BW887" s="399"/>
      <c r="BX887" s="399"/>
      <c r="BY887" s="399"/>
      <c r="BZ887" s="399"/>
      <c r="CA887" s="399"/>
      <c r="CB887" s="399"/>
      <c r="CC887" s="399"/>
      <c r="CD887" s="399"/>
      <c r="CE887" s="399"/>
      <c r="CF887" s="399"/>
      <c r="CG887" s="399"/>
      <c r="CH887" s="399"/>
      <c r="CI887" s="399"/>
      <c r="CJ887" s="399"/>
      <c r="CK887" s="399"/>
      <c r="CL887" s="399"/>
      <c r="CM887" s="399"/>
      <c r="CN887" s="399"/>
      <c r="CO887" s="399"/>
      <c r="CP887" s="399"/>
      <c r="CQ887" s="399"/>
      <c r="CR887" s="399"/>
      <c r="CS887" s="399"/>
      <c r="CT887" s="399"/>
      <c r="CU887" s="399"/>
      <c r="CV887" s="399"/>
      <c r="CW887" s="399"/>
      <c r="CX887" s="399"/>
      <c r="CY887" s="399"/>
      <c r="CZ887" s="399"/>
      <c r="DA887" s="399"/>
      <c r="DB887" s="399"/>
      <c r="DC887" s="399"/>
      <c r="DD887" s="399"/>
      <c r="DE887" s="399"/>
      <c r="DF887" s="399"/>
      <c r="DG887" s="399"/>
      <c r="DH887" s="399"/>
      <c r="DI887" s="399"/>
      <c r="DJ887" s="399"/>
      <c r="DK887" s="399"/>
      <c r="DL887" s="399"/>
      <c r="DM887" s="399"/>
      <c r="DN887" s="399"/>
      <c r="DO887" s="399"/>
      <c r="DP887" s="399"/>
      <c r="DQ887" s="399"/>
    </row>
    <row r="888" spans="1:121" s="760" customFormat="1" ht="14.45" customHeight="1" x14ac:dyDescent="0.25">
      <c r="A888" s="266">
        <f t="shared" si="13"/>
        <v>52.733333333333334</v>
      </c>
      <c r="B888" s="389">
        <v>41274</v>
      </c>
      <c r="C888" s="390" t="s">
        <v>452</v>
      </c>
      <c r="D888" s="391" t="s">
        <v>452</v>
      </c>
      <c r="E888" s="390" t="s">
        <v>380</v>
      </c>
      <c r="F888" s="262" t="s">
        <v>526</v>
      </c>
      <c r="G888" s="262" t="s">
        <v>100</v>
      </c>
      <c r="H888" s="261">
        <v>2</v>
      </c>
      <c r="I888" s="261"/>
      <c r="J888" s="261"/>
      <c r="K888" s="261"/>
      <c r="L888" s="261"/>
      <c r="M888" s="261"/>
      <c r="N888" s="261"/>
      <c r="O888" s="261"/>
      <c r="P888" s="261">
        <v>0</v>
      </c>
      <c r="Q888" s="261">
        <v>0</v>
      </c>
      <c r="R888" s="261"/>
      <c r="S888" s="261"/>
      <c r="T888" s="261"/>
      <c r="U888" s="261"/>
      <c r="V888" s="762"/>
      <c r="W888" s="261"/>
      <c r="X888" s="261"/>
      <c r="Y888" s="264">
        <f>IF(NFI_Expiration=1,IF($A888&lt;VLOOKUP(H$5,NFI,5,0),1,0)*Table_NFI[[#This Row],[Hygiene Kit]],Table_NFI[Hygiene Kit])</f>
        <v>0</v>
      </c>
      <c r="Z888" s="264">
        <f>IF(NFI_Expiration=1,IF($A888&lt;VLOOKUP(I$5,NFI,5,0),1,0)*Table_NFI[[#This Row],[NFI Core Kit]],Table_NFI[NFI Core Kit])</f>
        <v>0</v>
      </c>
      <c r="AA888" s="264">
        <f>IF(NFI_Expiration=1,IF($A888&lt;VLOOKUP(J$5,NFI,5,0),1,0)*Table_NFI[[#This Row],[Sanitary Kit]],Table_NFI[Sanitary Kit])</f>
        <v>0</v>
      </c>
      <c r="AB888" s="264">
        <f>IF(NFI_Expiration=1,IF($A888&lt;VLOOKUP(K$5,NFI,5,0),1,0)*Table_NFI[[#This Row],[Mosquito net]],Table_NFI[Mosquito net])</f>
        <v>0</v>
      </c>
      <c r="AC888" s="264">
        <f>IF(NFI_Expiration=1,IF($A888&lt;VLOOKUP(L$5,NFI,5,0),1,0)*Table_NFI[[#This Row],[Tarpaulin]],Table_NFI[[#This Row],[Tarpaulin]])</f>
        <v>0</v>
      </c>
      <c r="AD888" s="264">
        <f>IF(NFI_Expiration=1,IF($A888&lt;VLOOKUP(M$5,NFI,5,0),1,0)*Table_NFI[[#This Row],[Blanket]],Table_NFI[[#This Row],[Blanket]])</f>
        <v>0</v>
      </c>
      <c r="AE888" s="264">
        <f>IF(NFI_Expiration=1,IF($A888&lt;VLOOKUP(N$5,NFI,5,0),1,0)*Table_NFI[[#This Row],[Kitchen Set]],Table_NFI[Kitchen Set])</f>
        <v>0</v>
      </c>
      <c r="AF888" s="264">
        <f>IF(NFI_Expiration=1,IF($A888&lt;VLOOKUP(O$5,NFI,5,0),1,0)*Table_NFI[[#This Row],[Clothes Kit]],Table_NFI[Clothes Kit])</f>
        <v>0</v>
      </c>
      <c r="AG888" s="264">
        <f>IF(NFI_Expiration=1,IF($A888&lt;VLOOKUP(P$5,NFI,5,0),1,0)*Table_NFI[[#This Row],[Plastic Bucket]],Table_NFI[Plastic Bucket])</f>
        <v>0</v>
      </c>
      <c r="AH888" s="264">
        <f>IF(NFI_Expiration=1,IF($A888&lt;VLOOKUP(Q$5,NFI,5,0),1,0)*Table_NFI[[#This Row],[Plastic Mat]],Table_NFI[Plastic Mat])*IF(Table_NFI[[#This Row],[Distribution Date]]&gt;"2014-04-01",1,2.5)</f>
        <v>0</v>
      </c>
      <c r="AI888" s="264">
        <f>IF(NFI_Expiration=1,IF($A888&lt;VLOOKUP(R$5,NFI,5,0),1,0)*Table_NFI[[#This Row],[Winter Clothes Adult]],Table_NFI[Winter Clothes Adult])</f>
        <v>0</v>
      </c>
      <c r="AJ888" s="264">
        <f>IF(NFI_Expiration=1,IF($A888&lt;VLOOKUP(S$5,NFI,5,0),1,0)*Table_NFI[[#This Row],[Winter Clothes Children]],Table_NFI[Winter Clothes Children])</f>
        <v>0</v>
      </c>
      <c r="AK888" s="264">
        <f>IF(NFI_Expiration=1,IF($A888&lt;VLOOKUP(T$5,NFI,5,0),1,0)*Table_NFI[[#This Row],[Winter Items Other]],Table_NFI[Winter Items Other])</f>
        <v>0</v>
      </c>
      <c r="AL888" s="264">
        <f>IF(NFI_Expiration=1,IF($A888&lt;VLOOKUP(M$5,NFI,5,0),1,0)*Table_NFI[[#This Row],[Winter Blanket]],Table_NFI[[#This Row],[Winter Blanket]])</f>
        <v>0</v>
      </c>
      <c r="AM888" s="264">
        <f>IF(Table_NFI[[#This Row],[Winter Clothes Adult]]+Table_NFI[[#This Row],[Winter Clothes Children]]+Table_NFI[[#This Row],[Winter Items Other]]+Table_NFI[[#This Row],[Winter Blanket]]&gt;0,1,0)</f>
        <v>0</v>
      </c>
      <c r="AN888" s="296">
        <f>IF(NFI_Expiration=1,IF($A888&lt;VLOOKUP(V$5,NFI,5,0),1,0)*Table_NFI[[#This Row],[Jerry Can]],Table_NFI[Jerry Can])</f>
        <v>0</v>
      </c>
      <c r="AO888" s="296">
        <f>IF(NFI_Expiration=1,IF($A888&lt;VLOOKUP(V$5,NFI,5,0),1,0)*Table_NFI[[#This Row],[Shelter Tool kit]],Table_NFI[Shelter Tool kit])</f>
        <v>0</v>
      </c>
      <c r="AP888" s="296">
        <f>IF(NFI_Expiration=1,IF($A888&lt;VLOOKUP(V$5,NFI,5,0),1,0)*Table_NFI[[#This Row],[Tent]],Table_NFI[Tent])</f>
        <v>0</v>
      </c>
      <c r="AQ888" s="396" t="str">
        <f>IFERROR(VLOOKUP(Table_NFI[[#This Row],[Camp Name]],CL,2,0),"")</f>
        <v>MMR001CMP091</v>
      </c>
      <c r="AR888" s="702">
        <f ca="1">IF(Table_NFI[[#This Row],[Pcode]]="","",IF(OFFSET(CampList[Opening Date],MATCH(Table_NFI[[#This Row],[Pcode]],CampList[CP_Pcode],0)-1,0,1,1)&gt;=NFI_Monitor_Date,1,0))</f>
        <v>0</v>
      </c>
      <c r="AS888" s="396" t="str">
        <f>IFERROR(VLOOKUP(Table_NFI[[#This Row],[Camp Name]],CL,3,0),"")</f>
        <v>Open</v>
      </c>
      <c r="AT888" s="264" t="str">
        <f ca="1">IF(Table_NFI[[#This Row],[Pcode]]="","",OFFSET(CampList[Priority],MATCH(Table_NFI[[#This Row],[Pcode]],CampList[CP_Pcode],0)-1,0,1,1))</f>
        <v>P4</v>
      </c>
      <c r="AU888" s="263">
        <f>IFERROR(Table_NFI[[#This Row],[Kitchen Set]]/VLOOKUP(Table_NFI[[#This Row],[Camp Name]],CL,4,0),"")</f>
        <v>0</v>
      </c>
      <c r="AV888" s="390" t="s">
        <v>1087</v>
      </c>
      <c r="AW888" s="392"/>
      <c r="AX888" s="399"/>
      <c r="AY888" s="399"/>
      <c r="AZ888" s="399"/>
      <c r="BA888" s="399"/>
      <c r="BB888" s="399"/>
      <c r="BC888" s="399"/>
      <c r="BD888" s="399"/>
      <c r="BE888" s="399"/>
      <c r="BF888" s="399"/>
      <c r="BG888" s="399"/>
      <c r="BH888" s="399"/>
      <c r="BI888" s="399"/>
      <c r="BJ888" s="399"/>
      <c r="BK888" s="399"/>
      <c r="BL888" s="399"/>
      <c r="BM888" s="399"/>
      <c r="BN888" s="399"/>
      <c r="BO888" s="399"/>
      <c r="BP888" s="399"/>
      <c r="BQ888" s="399"/>
      <c r="BR888" s="399"/>
      <c r="BS888" s="399"/>
      <c r="BT888" s="399"/>
      <c r="BU888" s="399"/>
      <c r="BV888" s="399"/>
      <c r="BW888" s="399"/>
      <c r="BX888" s="399"/>
      <c r="BY888" s="399"/>
      <c r="BZ888" s="399"/>
      <c r="CA888" s="399"/>
      <c r="CB888" s="399"/>
      <c r="CC888" s="399"/>
      <c r="CD888" s="399"/>
      <c r="CE888" s="399"/>
      <c r="CF888" s="399"/>
      <c r="CG888" s="399"/>
      <c r="CH888" s="399"/>
      <c r="CI888" s="399"/>
      <c r="CJ888" s="399"/>
      <c r="CK888" s="399"/>
      <c r="CL888" s="399"/>
      <c r="CM888" s="399"/>
      <c r="CN888" s="399"/>
      <c r="CO888" s="399"/>
      <c r="CP888" s="399"/>
      <c r="CQ888" s="399"/>
      <c r="CR888" s="399"/>
      <c r="CS888" s="399"/>
      <c r="CT888" s="399"/>
      <c r="CU888" s="399"/>
      <c r="CV888" s="399"/>
      <c r="CW888" s="399"/>
      <c r="CX888" s="399"/>
      <c r="CY888" s="399"/>
      <c r="CZ888" s="399"/>
      <c r="DA888" s="399"/>
      <c r="DB888" s="399"/>
      <c r="DC888" s="399"/>
      <c r="DD888" s="399"/>
      <c r="DE888" s="399"/>
      <c r="DF888" s="399"/>
      <c r="DG888" s="399"/>
      <c r="DH888" s="399"/>
      <c r="DI888" s="399"/>
      <c r="DJ888" s="399"/>
      <c r="DK888" s="399"/>
      <c r="DL888" s="399"/>
      <c r="DM888" s="399"/>
      <c r="DN888" s="399"/>
      <c r="DO888" s="399"/>
      <c r="DP888" s="399"/>
      <c r="DQ888" s="399"/>
    </row>
    <row r="889" spans="1:121" s="760" customFormat="1" ht="15" customHeight="1" x14ac:dyDescent="0.25">
      <c r="A889" s="266">
        <f t="shared" si="13"/>
        <v>52.733333333333334</v>
      </c>
      <c r="B889" s="389">
        <v>41274</v>
      </c>
      <c r="C889" s="390" t="s">
        <v>452</v>
      </c>
      <c r="D889" s="391" t="s">
        <v>452</v>
      </c>
      <c r="E889" s="390" t="s">
        <v>380</v>
      </c>
      <c r="F889" s="262" t="s">
        <v>526</v>
      </c>
      <c r="G889" s="262" t="s">
        <v>610</v>
      </c>
      <c r="H889" s="261">
        <v>32</v>
      </c>
      <c r="I889" s="261"/>
      <c r="J889" s="261"/>
      <c r="K889" s="261"/>
      <c r="L889" s="261"/>
      <c r="M889" s="261"/>
      <c r="N889" s="261"/>
      <c r="O889" s="261"/>
      <c r="P889" s="261">
        <v>0</v>
      </c>
      <c r="Q889" s="261">
        <v>0</v>
      </c>
      <c r="R889" s="261"/>
      <c r="S889" s="261"/>
      <c r="T889" s="261"/>
      <c r="U889" s="261"/>
      <c r="V889" s="762"/>
      <c r="W889" s="261"/>
      <c r="X889" s="261"/>
      <c r="Y889" s="264">
        <f>IF(NFI_Expiration=1,IF($A889&lt;VLOOKUP(H$5,NFI,5,0),1,0)*Table_NFI[[#This Row],[Hygiene Kit]],Table_NFI[Hygiene Kit])</f>
        <v>0</v>
      </c>
      <c r="Z889" s="264">
        <f>IF(NFI_Expiration=1,IF($A889&lt;VLOOKUP(I$5,NFI,5,0),1,0)*Table_NFI[[#This Row],[NFI Core Kit]],Table_NFI[NFI Core Kit])</f>
        <v>0</v>
      </c>
      <c r="AA889" s="264">
        <f>IF(NFI_Expiration=1,IF($A889&lt;VLOOKUP(J$5,NFI,5,0),1,0)*Table_NFI[[#This Row],[Sanitary Kit]],Table_NFI[Sanitary Kit])</f>
        <v>0</v>
      </c>
      <c r="AB889" s="264">
        <f>IF(NFI_Expiration=1,IF($A889&lt;VLOOKUP(K$5,NFI,5,0),1,0)*Table_NFI[[#This Row],[Mosquito net]],Table_NFI[Mosquito net])</f>
        <v>0</v>
      </c>
      <c r="AC889" s="264">
        <f>IF(NFI_Expiration=1,IF($A889&lt;VLOOKUP(L$5,NFI,5,0),1,0)*Table_NFI[[#This Row],[Tarpaulin]],Table_NFI[[#This Row],[Tarpaulin]])</f>
        <v>0</v>
      </c>
      <c r="AD889" s="264">
        <f>IF(NFI_Expiration=1,IF($A889&lt;VLOOKUP(M$5,NFI,5,0),1,0)*Table_NFI[[#This Row],[Blanket]],Table_NFI[[#This Row],[Blanket]])</f>
        <v>0</v>
      </c>
      <c r="AE889" s="264">
        <f>IF(NFI_Expiration=1,IF($A889&lt;VLOOKUP(N$5,NFI,5,0),1,0)*Table_NFI[[#This Row],[Kitchen Set]],Table_NFI[Kitchen Set])</f>
        <v>0</v>
      </c>
      <c r="AF889" s="264">
        <f>IF(NFI_Expiration=1,IF($A889&lt;VLOOKUP(O$5,NFI,5,0),1,0)*Table_NFI[[#This Row],[Clothes Kit]],Table_NFI[Clothes Kit])</f>
        <v>0</v>
      </c>
      <c r="AG889" s="264">
        <f>IF(NFI_Expiration=1,IF($A889&lt;VLOOKUP(P$5,NFI,5,0),1,0)*Table_NFI[[#This Row],[Plastic Bucket]],Table_NFI[Plastic Bucket])</f>
        <v>0</v>
      </c>
      <c r="AH889" s="264">
        <f>IF(NFI_Expiration=1,IF($A889&lt;VLOOKUP(Q$5,NFI,5,0),1,0)*Table_NFI[[#This Row],[Plastic Mat]],Table_NFI[Plastic Mat])*IF(Table_NFI[[#This Row],[Distribution Date]]&gt;"2014-04-01",1,2.5)</f>
        <v>0</v>
      </c>
      <c r="AI889" s="264">
        <f>IF(NFI_Expiration=1,IF($A889&lt;VLOOKUP(R$5,NFI,5,0),1,0)*Table_NFI[[#This Row],[Winter Clothes Adult]],Table_NFI[Winter Clothes Adult])</f>
        <v>0</v>
      </c>
      <c r="AJ889" s="264">
        <f>IF(NFI_Expiration=1,IF($A889&lt;VLOOKUP(S$5,NFI,5,0),1,0)*Table_NFI[[#This Row],[Winter Clothes Children]],Table_NFI[Winter Clothes Children])</f>
        <v>0</v>
      </c>
      <c r="AK889" s="264">
        <f>IF(NFI_Expiration=1,IF($A889&lt;VLOOKUP(T$5,NFI,5,0),1,0)*Table_NFI[[#This Row],[Winter Items Other]],Table_NFI[Winter Items Other])</f>
        <v>0</v>
      </c>
      <c r="AL889" s="264">
        <f>IF(NFI_Expiration=1,IF($A889&lt;VLOOKUP(M$5,NFI,5,0),1,0)*Table_NFI[[#This Row],[Winter Blanket]],Table_NFI[[#This Row],[Winter Blanket]])</f>
        <v>0</v>
      </c>
      <c r="AM889" s="264">
        <f>IF(Table_NFI[[#This Row],[Winter Clothes Adult]]+Table_NFI[[#This Row],[Winter Clothes Children]]+Table_NFI[[#This Row],[Winter Items Other]]+Table_NFI[[#This Row],[Winter Blanket]]&gt;0,1,0)</f>
        <v>0</v>
      </c>
      <c r="AN889" s="296">
        <f>IF(NFI_Expiration=1,IF($A889&lt;VLOOKUP(V$5,NFI,5,0),1,0)*Table_NFI[[#This Row],[Jerry Can]],Table_NFI[Jerry Can])</f>
        <v>0</v>
      </c>
      <c r="AO889" s="296">
        <f>IF(NFI_Expiration=1,IF($A889&lt;VLOOKUP(V$5,NFI,5,0),1,0)*Table_NFI[[#This Row],[Shelter Tool kit]],Table_NFI[Shelter Tool kit])</f>
        <v>0</v>
      </c>
      <c r="AP889" s="296">
        <f>IF(NFI_Expiration=1,IF($A889&lt;VLOOKUP(V$5,NFI,5,0),1,0)*Table_NFI[[#This Row],[Tent]],Table_NFI[Tent])</f>
        <v>0</v>
      </c>
      <c r="AQ889" s="396" t="str">
        <f>IFERROR(VLOOKUP(Table_NFI[[#This Row],[Camp Name]],CL,2,0),"")</f>
        <v>MMR001CMP192</v>
      </c>
      <c r="AR889" s="702">
        <f ca="1">IF(Table_NFI[[#This Row],[Pcode]]="","",IF(OFFSET(CampList[Opening Date],MATCH(Table_NFI[[#This Row],[Pcode]],CampList[CP_Pcode],0)-1,0,1,1)&gt;=NFI_Monitor_Date,1,0))</f>
        <v>0</v>
      </c>
      <c r="AS889" s="396" t="str">
        <f>IFERROR(VLOOKUP(Table_NFI[[#This Row],[Camp Name]],CL,3,0),"")</f>
        <v>Open</v>
      </c>
      <c r="AT889" s="264" t="str">
        <f ca="1">IF(Table_NFI[[#This Row],[Pcode]]="","",OFFSET(CampList[Priority],MATCH(Table_NFI[[#This Row],[Pcode]],CampList[CP_Pcode],0)-1,0,1,1))</f>
        <v>P4</v>
      </c>
      <c r="AU889" s="263">
        <f>IFERROR(Table_NFI[[#This Row],[Kitchen Set]]/VLOOKUP(Table_NFI[[#This Row],[Camp Name]],CL,4,0),"")</f>
        <v>0</v>
      </c>
      <c r="AV889" s="390" t="s">
        <v>1087</v>
      </c>
      <c r="AW889" s="392"/>
      <c r="AX889" s="399"/>
      <c r="AY889" s="399"/>
      <c r="AZ889" s="399"/>
      <c r="BA889" s="399"/>
      <c r="BB889" s="399"/>
      <c r="BC889" s="399"/>
      <c r="BD889" s="399"/>
      <c r="BE889" s="399"/>
      <c r="BF889" s="399"/>
      <c r="BG889" s="399"/>
      <c r="BH889" s="399"/>
      <c r="BI889" s="399"/>
      <c r="BJ889" s="399"/>
      <c r="BK889" s="399"/>
      <c r="BL889" s="399"/>
      <c r="BM889" s="399"/>
      <c r="BN889" s="399"/>
      <c r="BO889" s="399"/>
      <c r="BP889" s="399"/>
      <c r="BQ889" s="399"/>
      <c r="BR889" s="399"/>
      <c r="BS889" s="399"/>
      <c r="BT889" s="399"/>
      <c r="BU889" s="399"/>
      <c r="BV889" s="399"/>
      <c r="BW889" s="399"/>
      <c r="BX889" s="399"/>
      <c r="BY889" s="399"/>
      <c r="BZ889" s="399"/>
      <c r="CA889" s="399"/>
      <c r="CB889" s="399"/>
      <c r="CC889" s="399"/>
      <c r="CD889" s="399"/>
      <c r="CE889" s="399"/>
      <c r="CF889" s="399"/>
      <c r="CG889" s="399"/>
      <c r="CH889" s="399"/>
      <c r="CI889" s="399"/>
      <c r="CJ889" s="399"/>
      <c r="CK889" s="399"/>
      <c r="CL889" s="399"/>
      <c r="CM889" s="399"/>
      <c r="CN889" s="399"/>
      <c r="CO889" s="399"/>
      <c r="CP889" s="399"/>
      <c r="CQ889" s="399"/>
      <c r="CR889" s="399"/>
      <c r="CS889" s="399"/>
      <c r="CT889" s="399"/>
      <c r="CU889" s="399"/>
      <c r="CV889" s="399"/>
      <c r="CW889" s="399"/>
      <c r="CX889" s="399"/>
      <c r="CY889" s="399"/>
      <c r="CZ889" s="399"/>
      <c r="DA889" s="399"/>
      <c r="DB889" s="399"/>
      <c r="DC889" s="399"/>
      <c r="DD889" s="399"/>
      <c r="DE889" s="399"/>
      <c r="DF889" s="399"/>
      <c r="DG889" s="399"/>
      <c r="DH889" s="399"/>
      <c r="DI889" s="399"/>
      <c r="DJ889" s="399"/>
      <c r="DK889" s="399"/>
      <c r="DL889" s="399"/>
      <c r="DM889" s="399"/>
      <c r="DN889" s="399"/>
      <c r="DO889" s="399"/>
      <c r="DP889" s="399"/>
      <c r="DQ889" s="399"/>
    </row>
    <row r="890" spans="1:121" s="760" customFormat="1" ht="14.45" customHeight="1" x14ac:dyDescent="0.25">
      <c r="A890" s="266">
        <f t="shared" si="13"/>
        <v>52.733333333333334</v>
      </c>
      <c r="B890" s="389">
        <v>41274</v>
      </c>
      <c r="C890" s="390" t="s">
        <v>452</v>
      </c>
      <c r="D890" s="391" t="s">
        <v>452</v>
      </c>
      <c r="E890" s="390" t="s">
        <v>380</v>
      </c>
      <c r="F890" s="262" t="s">
        <v>526</v>
      </c>
      <c r="G890" s="262" t="s">
        <v>108</v>
      </c>
      <c r="H890" s="261">
        <v>4</v>
      </c>
      <c r="I890" s="261"/>
      <c r="J890" s="261"/>
      <c r="K890" s="261"/>
      <c r="L890" s="261"/>
      <c r="M890" s="261"/>
      <c r="N890" s="261"/>
      <c r="O890" s="261"/>
      <c r="P890" s="261">
        <v>0</v>
      </c>
      <c r="Q890" s="261">
        <v>0</v>
      </c>
      <c r="R890" s="261"/>
      <c r="S890" s="261"/>
      <c r="T890" s="261"/>
      <c r="U890" s="261"/>
      <c r="V890" s="762"/>
      <c r="W890" s="261"/>
      <c r="X890" s="261"/>
      <c r="Y890" s="264">
        <f>IF(NFI_Expiration=1,IF($A890&lt;VLOOKUP(H$5,NFI,5,0),1,0)*Table_NFI[[#This Row],[Hygiene Kit]],Table_NFI[Hygiene Kit])</f>
        <v>0</v>
      </c>
      <c r="Z890" s="264">
        <f>IF(NFI_Expiration=1,IF($A890&lt;VLOOKUP(I$5,NFI,5,0),1,0)*Table_NFI[[#This Row],[NFI Core Kit]],Table_NFI[NFI Core Kit])</f>
        <v>0</v>
      </c>
      <c r="AA890" s="264">
        <f>IF(NFI_Expiration=1,IF($A890&lt;VLOOKUP(J$5,NFI,5,0),1,0)*Table_NFI[[#This Row],[Sanitary Kit]],Table_NFI[Sanitary Kit])</f>
        <v>0</v>
      </c>
      <c r="AB890" s="264">
        <f>IF(NFI_Expiration=1,IF($A890&lt;VLOOKUP(K$5,NFI,5,0),1,0)*Table_NFI[[#This Row],[Mosquito net]],Table_NFI[Mosquito net])</f>
        <v>0</v>
      </c>
      <c r="AC890" s="264">
        <f>IF(NFI_Expiration=1,IF($A890&lt;VLOOKUP(L$5,NFI,5,0),1,0)*Table_NFI[[#This Row],[Tarpaulin]],Table_NFI[[#This Row],[Tarpaulin]])</f>
        <v>0</v>
      </c>
      <c r="AD890" s="264">
        <f>IF(NFI_Expiration=1,IF($A890&lt;VLOOKUP(M$5,NFI,5,0),1,0)*Table_NFI[[#This Row],[Blanket]],Table_NFI[[#This Row],[Blanket]])</f>
        <v>0</v>
      </c>
      <c r="AE890" s="264">
        <f>IF(NFI_Expiration=1,IF($A890&lt;VLOOKUP(N$5,NFI,5,0),1,0)*Table_NFI[[#This Row],[Kitchen Set]],Table_NFI[Kitchen Set])</f>
        <v>0</v>
      </c>
      <c r="AF890" s="264">
        <f>IF(NFI_Expiration=1,IF($A890&lt;VLOOKUP(O$5,NFI,5,0),1,0)*Table_NFI[[#This Row],[Clothes Kit]],Table_NFI[Clothes Kit])</f>
        <v>0</v>
      </c>
      <c r="AG890" s="264">
        <f>IF(NFI_Expiration=1,IF($A890&lt;VLOOKUP(P$5,NFI,5,0),1,0)*Table_NFI[[#This Row],[Plastic Bucket]],Table_NFI[Plastic Bucket])</f>
        <v>0</v>
      </c>
      <c r="AH890" s="264">
        <f>IF(NFI_Expiration=1,IF($A890&lt;VLOOKUP(Q$5,NFI,5,0),1,0)*Table_NFI[[#This Row],[Plastic Mat]],Table_NFI[Plastic Mat])*IF(Table_NFI[[#This Row],[Distribution Date]]&gt;"2014-04-01",1,2.5)</f>
        <v>0</v>
      </c>
      <c r="AI890" s="264">
        <f>IF(NFI_Expiration=1,IF($A890&lt;VLOOKUP(R$5,NFI,5,0),1,0)*Table_NFI[[#This Row],[Winter Clothes Adult]],Table_NFI[Winter Clothes Adult])</f>
        <v>0</v>
      </c>
      <c r="AJ890" s="264">
        <f>IF(NFI_Expiration=1,IF($A890&lt;VLOOKUP(S$5,NFI,5,0),1,0)*Table_NFI[[#This Row],[Winter Clothes Children]],Table_NFI[Winter Clothes Children])</f>
        <v>0</v>
      </c>
      <c r="AK890" s="264">
        <f>IF(NFI_Expiration=1,IF($A890&lt;VLOOKUP(T$5,NFI,5,0),1,0)*Table_NFI[[#This Row],[Winter Items Other]],Table_NFI[Winter Items Other])</f>
        <v>0</v>
      </c>
      <c r="AL890" s="264">
        <f>IF(NFI_Expiration=1,IF($A890&lt;VLOOKUP(M$5,NFI,5,0),1,0)*Table_NFI[[#This Row],[Winter Blanket]],Table_NFI[[#This Row],[Winter Blanket]])</f>
        <v>0</v>
      </c>
      <c r="AM890" s="264">
        <f>IF(Table_NFI[[#This Row],[Winter Clothes Adult]]+Table_NFI[[#This Row],[Winter Clothes Children]]+Table_NFI[[#This Row],[Winter Items Other]]+Table_NFI[[#This Row],[Winter Blanket]]&gt;0,1,0)</f>
        <v>0</v>
      </c>
      <c r="AN890" s="296">
        <f>IF(NFI_Expiration=1,IF($A890&lt;VLOOKUP(V$5,NFI,5,0),1,0)*Table_NFI[[#This Row],[Jerry Can]],Table_NFI[Jerry Can])</f>
        <v>0</v>
      </c>
      <c r="AO890" s="296">
        <f>IF(NFI_Expiration=1,IF($A890&lt;VLOOKUP(V$5,NFI,5,0),1,0)*Table_NFI[[#This Row],[Shelter Tool kit]],Table_NFI[Shelter Tool kit])</f>
        <v>0</v>
      </c>
      <c r="AP890" s="296">
        <f>IF(NFI_Expiration=1,IF($A890&lt;VLOOKUP(V$5,NFI,5,0),1,0)*Table_NFI[[#This Row],[Tent]],Table_NFI[Tent])</f>
        <v>0</v>
      </c>
      <c r="AQ890" s="396" t="str">
        <f>IFERROR(VLOOKUP(Table_NFI[[#This Row],[Camp Name]],CL,2,0),"")</f>
        <v>MMR001CMP103</v>
      </c>
      <c r="AR890" s="702">
        <f ca="1">IF(Table_NFI[[#This Row],[Pcode]]="","",IF(OFFSET(CampList[Opening Date],MATCH(Table_NFI[[#This Row],[Pcode]],CampList[CP_Pcode],0)-1,0,1,1)&gt;=NFI_Monitor_Date,1,0))</f>
        <v>0</v>
      </c>
      <c r="AS890" s="396" t="str">
        <f>IFERROR(VLOOKUP(Table_NFI[[#This Row],[Camp Name]],CL,3,0),"")</f>
        <v>Open</v>
      </c>
      <c r="AT890" s="264" t="str">
        <f ca="1">IF(Table_NFI[[#This Row],[Pcode]]="","",OFFSET(CampList[Priority],MATCH(Table_NFI[[#This Row],[Pcode]],CampList[CP_Pcode],0)-1,0,1,1))</f>
        <v>P4</v>
      </c>
      <c r="AU890" s="263">
        <f>IFERROR(Table_NFI[[#This Row],[Kitchen Set]]/VLOOKUP(Table_NFI[[#This Row],[Camp Name]],CL,4,0),"")</f>
        <v>0</v>
      </c>
      <c r="AV890" s="390" t="s">
        <v>1087</v>
      </c>
      <c r="AW890" s="392"/>
      <c r="AX890" s="399"/>
      <c r="AY890" s="399"/>
      <c r="AZ890" s="399"/>
      <c r="BA890" s="399"/>
      <c r="BB890" s="399"/>
      <c r="BC890" s="399"/>
      <c r="BD890" s="399"/>
      <c r="BE890" s="399"/>
      <c r="BF890" s="399"/>
      <c r="BG890" s="399"/>
      <c r="BH890" s="399"/>
      <c r="BI890" s="399"/>
      <c r="BJ890" s="399"/>
      <c r="BK890" s="399"/>
      <c r="BL890" s="399"/>
      <c r="BM890" s="399"/>
      <c r="BN890" s="399"/>
      <c r="BO890" s="399"/>
      <c r="BP890" s="399"/>
      <c r="BQ890" s="399"/>
      <c r="BR890" s="399"/>
      <c r="BS890" s="399"/>
      <c r="BT890" s="399"/>
      <c r="BU890" s="399"/>
      <c r="BV890" s="399"/>
      <c r="BW890" s="399"/>
      <c r="BX890" s="399"/>
      <c r="BY890" s="399"/>
      <c r="BZ890" s="399"/>
      <c r="CA890" s="399"/>
      <c r="CB890" s="399"/>
      <c r="CC890" s="399"/>
      <c r="CD890" s="399"/>
      <c r="CE890" s="399"/>
      <c r="CF890" s="399"/>
      <c r="CG890" s="399"/>
      <c r="CH890" s="399"/>
      <c r="CI890" s="399"/>
      <c r="CJ890" s="399"/>
      <c r="CK890" s="399"/>
      <c r="CL890" s="399"/>
      <c r="CM890" s="399"/>
      <c r="CN890" s="399"/>
      <c r="CO890" s="399"/>
      <c r="CP890" s="399"/>
      <c r="CQ890" s="399"/>
      <c r="CR890" s="399"/>
      <c r="CS890" s="399"/>
      <c r="CT890" s="399"/>
      <c r="CU890" s="399"/>
      <c r="CV890" s="399"/>
      <c r="CW890" s="399"/>
      <c r="CX890" s="399"/>
      <c r="CY890" s="399"/>
      <c r="CZ890" s="399"/>
      <c r="DA890" s="399"/>
      <c r="DB890" s="399"/>
      <c r="DC890" s="399"/>
      <c r="DD890" s="399"/>
      <c r="DE890" s="399"/>
      <c r="DF890" s="399"/>
      <c r="DG890" s="399"/>
      <c r="DH890" s="399"/>
      <c r="DI890" s="399"/>
      <c r="DJ890" s="399"/>
      <c r="DK890" s="399"/>
      <c r="DL890" s="399"/>
      <c r="DM890" s="399"/>
      <c r="DN890" s="399"/>
      <c r="DO890" s="399"/>
      <c r="DP890" s="399"/>
      <c r="DQ890" s="399"/>
    </row>
    <row r="891" spans="1:121" ht="14.45" customHeight="1" x14ac:dyDescent="0.25">
      <c r="A891" s="266">
        <f t="shared" si="13"/>
        <v>52.733333333333334</v>
      </c>
      <c r="B891" s="389">
        <v>41274</v>
      </c>
      <c r="C891" s="390" t="s">
        <v>452</v>
      </c>
      <c r="D891" s="391" t="s">
        <v>452</v>
      </c>
      <c r="E891" s="390" t="s">
        <v>380</v>
      </c>
      <c r="F891" s="262" t="s">
        <v>310</v>
      </c>
      <c r="G891" s="262" t="s">
        <v>318</v>
      </c>
      <c r="H891" s="261">
        <v>92</v>
      </c>
      <c r="I891" s="261"/>
      <c r="J891" s="261"/>
      <c r="K891" s="261"/>
      <c r="L891" s="261"/>
      <c r="M891" s="261"/>
      <c r="N891" s="261"/>
      <c r="O891" s="261"/>
      <c r="P891" s="261">
        <v>0</v>
      </c>
      <c r="Q891" s="261">
        <v>0</v>
      </c>
      <c r="R891" s="261"/>
      <c r="S891" s="261"/>
      <c r="T891" s="261"/>
      <c r="U891" s="261"/>
      <c r="V891" s="762"/>
      <c r="W891" s="261"/>
      <c r="X891" s="261"/>
      <c r="Y891" s="264">
        <f>IF(NFI_Expiration=1,IF($A891&lt;VLOOKUP(H$5,NFI,5,0),1,0)*Table_NFI[[#This Row],[Hygiene Kit]],Table_NFI[Hygiene Kit])</f>
        <v>0</v>
      </c>
      <c r="Z891" s="264">
        <f>IF(NFI_Expiration=1,IF($A891&lt;VLOOKUP(I$5,NFI,5,0),1,0)*Table_NFI[[#This Row],[NFI Core Kit]],Table_NFI[NFI Core Kit])</f>
        <v>0</v>
      </c>
      <c r="AA891" s="264">
        <f>IF(NFI_Expiration=1,IF($A891&lt;VLOOKUP(J$5,NFI,5,0),1,0)*Table_NFI[[#This Row],[Sanitary Kit]],Table_NFI[Sanitary Kit])</f>
        <v>0</v>
      </c>
      <c r="AB891" s="264">
        <f>IF(NFI_Expiration=1,IF($A891&lt;VLOOKUP(K$5,NFI,5,0),1,0)*Table_NFI[[#This Row],[Mosquito net]],Table_NFI[Mosquito net])</f>
        <v>0</v>
      </c>
      <c r="AC891" s="264">
        <f>IF(NFI_Expiration=1,IF($A891&lt;VLOOKUP(L$5,NFI,5,0),1,0)*Table_NFI[[#This Row],[Tarpaulin]],Table_NFI[[#This Row],[Tarpaulin]])</f>
        <v>0</v>
      </c>
      <c r="AD891" s="264">
        <f>IF(NFI_Expiration=1,IF($A891&lt;VLOOKUP(M$5,NFI,5,0),1,0)*Table_NFI[[#This Row],[Blanket]],Table_NFI[[#This Row],[Blanket]])</f>
        <v>0</v>
      </c>
      <c r="AE891" s="264">
        <f>IF(NFI_Expiration=1,IF($A891&lt;VLOOKUP(N$5,NFI,5,0),1,0)*Table_NFI[[#This Row],[Kitchen Set]],Table_NFI[Kitchen Set])</f>
        <v>0</v>
      </c>
      <c r="AF891" s="264">
        <f>IF(NFI_Expiration=1,IF($A891&lt;VLOOKUP(O$5,NFI,5,0),1,0)*Table_NFI[[#This Row],[Clothes Kit]],Table_NFI[Clothes Kit])</f>
        <v>0</v>
      </c>
      <c r="AG891" s="264">
        <f>IF(NFI_Expiration=1,IF($A891&lt;VLOOKUP(P$5,NFI,5,0),1,0)*Table_NFI[[#This Row],[Plastic Bucket]],Table_NFI[Plastic Bucket])</f>
        <v>0</v>
      </c>
      <c r="AH891" s="264">
        <f>IF(NFI_Expiration=1,IF($A891&lt;VLOOKUP(Q$5,NFI,5,0),1,0)*Table_NFI[[#This Row],[Plastic Mat]],Table_NFI[Plastic Mat])*IF(Table_NFI[[#This Row],[Distribution Date]]&gt;"2014-04-01",1,2.5)</f>
        <v>0</v>
      </c>
      <c r="AI891" s="264">
        <f>IF(NFI_Expiration=1,IF($A891&lt;VLOOKUP(R$5,NFI,5,0),1,0)*Table_NFI[[#This Row],[Winter Clothes Adult]],Table_NFI[Winter Clothes Adult])</f>
        <v>0</v>
      </c>
      <c r="AJ891" s="264">
        <f>IF(NFI_Expiration=1,IF($A891&lt;VLOOKUP(S$5,NFI,5,0),1,0)*Table_NFI[[#This Row],[Winter Clothes Children]],Table_NFI[Winter Clothes Children])</f>
        <v>0</v>
      </c>
      <c r="AK891" s="264">
        <f>IF(NFI_Expiration=1,IF($A891&lt;VLOOKUP(T$5,NFI,5,0),1,0)*Table_NFI[[#This Row],[Winter Items Other]],Table_NFI[Winter Items Other])</f>
        <v>0</v>
      </c>
      <c r="AL891" s="264">
        <f>IF(NFI_Expiration=1,IF($A891&lt;VLOOKUP(M$5,NFI,5,0),1,0)*Table_NFI[[#This Row],[Winter Blanket]],Table_NFI[[#This Row],[Winter Blanket]])</f>
        <v>0</v>
      </c>
      <c r="AM891" s="264">
        <f>IF(Table_NFI[[#This Row],[Winter Clothes Adult]]+Table_NFI[[#This Row],[Winter Clothes Children]]+Table_NFI[[#This Row],[Winter Items Other]]+Table_NFI[[#This Row],[Winter Blanket]]&gt;0,1,0)</f>
        <v>0</v>
      </c>
      <c r="AN891" s="296">
        <f>IF(NFI_Expiration=1,IF($A891&lt;VLOOKUP(V$5,NFI,5,0),1,0)*Table_NFI[[#This Row],[Jerry Can]],Table_NFI[Jerry Can])</f>
        <v>0</v>
      </c>
      <c r="AO891" s="296">
        <f>IF(NFI_Expiration=1,IF($A891&lt;VLOOKUP(V$5,NFI,5,0),1,0)*Table_NFI[[#This Row],[Shelter Tool kit]],Table_NFI[Shelter Tool kit])</f>
        <v>0</v>
      </c>
      <c r="AP891" s="296">
        <f>IF(NFI_Expiration=1,IF($A891&lt;VLOOKUP(V$5,NFI,5,0),1,0)*Table_NFI[[#This Row],[Tent]],Table_NFI[Tent])</f>
        <v>0</v>
      </c>
      <c r="AQ891" s="396" t="str">
        <f>IFERROR(VLOOKUP(Table_NFI[[#This Row],[Camp Name]],CL,2,0),"")</f>
        <v>MMR001CMP032</v>
      </c>
      <c r="AR891" s="702">
        <f ca="1">IF(Table_NFI[[#This Row],[Pcode]]="","",IF(OFFSET(CampList[Opening Date],MATCH(Table_NFI[[#This Row],[Pcode]],CampList[CP_Pcode],0)-1,0,1,1)&gt;=NFI_Monitor_Date,1,0))</f>
        <v>0</v>
      </c>
      <c r="AS891" s="396" t="str">
        <f>IFERROR(VLOOKUP(Table_NFI[[#This Row],[Camp Name]],CL,3,0),"")</f>
        <v>Open</v>
      </c>
      <c r="AT891" s="264" t="str">
        <f ca="1">IF(Table_NFI[[#This Row],[Pcode]]="","",OFFSET(CampList[Priority],MATCH(Table_NFI[[#This Row],[Pcode]],CampList[CP_Pcode],0)-1,0,1,1))</f>
        <v>P4</v>
      </c>
      <c r="AU891" s="263">
        <f>IFERROR(Table_NFI[[#This Row],[Kitchen Set]]/VLOOKUP(Table_NFI[[#This Row],[Camp Name]],CL,4,0),"")</f>
        <v>0</v>
      </c>
      <c r="AV891" s="390" t="s">
        <v>1087</v>
      </c>
      <c r="AW891" s="392"/>
    </row>
    <row r="892" spans="1:121" ht="14.45" customHeight="1" x14ac:dyDescent="0.25">
      <c r="A892" s="266">
        <f t="shared" si="13"/>
        <v>52.733333333333334</v>
      </c>
      <c r="B892" s="389">
        <v>41274</v>
      </c>
      <c r="C892" s="390" t="s">
        <v>452</v>
      </c>
      <c r="D892" s="391" t="s">
        <v>452</v>
      </c>
      <c r="E892" s="390" t="s">
        <v>380</v>
      </c>
      <c r="F892" s="262" t="s">
        <v>310</v>
      </c>
      <c r="G892" s="262" t="s">
        <v>338</v>
      </c>
      <c r="H892" s="261">
        <v>27</v>
      </c>
      <c r="I892" s="261"/>
      <c r="J892" s="261"/>
      <c r="K892" s="261"/>
      <c r="L892" s="261"/>
      <c r="M892" s="261"/>
      <c r="N892" s="261"/>
      <c r="O892" s="261"/>
      <c r="P892" s="261">
        <v>0</v>
      </c>
      <c r="Q892" s="261">
        <v>0</v>
      </c>
      <c r="R892" s="261"/>
      <c r="S892" s="261"/>
      <c r="T892" s="261"/>
      <c r="U892" s="261"/>
      <c r="V892" s="762"/>
      <c r="W892" s="261"/>
      <c r="X892" s="261"/>
      <c r="Y892" s="264">
        <f>IF(NFI_Expiration=1,IF($A892&lt;VLOOKUP(H$5,NFI,5,0),1,0)*Table_NFI[[#This Row],[Hygiene Kit]],Table_NFI[Hygiene Kit])</f>
        <v>0</v>
      </c>
      <c r="Z892" s="264">
        <f>IF(NFI_Expiration=1,IF($A892&lt;VLOOKUP(I$5,NFI,5,0),1,0)*Table_NFI[[#This Row],[NFI Core Kit]],Table_NFI[NFI Core Kit])</f>
        <v>0</v>
      </c>
      <c r="AA892" s="264">
        <f>IF(NFI_Expiration=1,IF($A892&lt;VLOOKUP(J$5,NFI,5,0),1,0)*Table_NFI[[#This Row],[Sanitary Kit]],Table_NFI[Sanitary Kit])</f>
        <v>0</v>
      </c>
      <c r="AB892" s="264">
        <f>IF(NFI_Expiration=1,IF($A892&lt;VLOOKUP(K$5,NFI,5,0),1,0)*Table_NFI[[#This Row],[Mosquito net]],Table_NFI[Mosquito net])</f>
        <v>0</v>
      </c>
      <c r="AC892" s="264">
        <f>IF(NFI_Expiration=1,IF($A892&lt;VLOOKUP(L$5,NFI,5,0),1,0)*Table_NFI[[#This Row],[Tarpaulin]],Table_NFI[[#This Row],[Tarpaulin]])</f>
        <v>0</v>
      </c>
      <c r="AD892" s="264">
        <f>IF(NFI_Expiration=1,IF($A892&lt;VLOOKUP(M$5,NFI,5,0),1,0)*Table_NFI[[#This Row],[Blanket]],Table_NFI[[#This Row],[Blanket]])</f>
        <v>0</v>
      </c>
      <c r="AE892" s="264">
        <f>IF(NFI_Expiration=1,IF($A892&lt;VLOOKUP(N$5,NFI,5,0),1,0)*Table_NFI[[#This Row],[Kitchen Set]],Table_NFI[Kitchen Set])</f>
        <v>0</v>
      </c>
      <c r="AF892" s="264">
        <f>IF(NFI_Expiration=1,IF($A892&lt;VLOOKUP(O$5,NFI,5,0),1,0)*Table_NFI[[#This Row],[Clothes Kit]],Table_NFI[Clothes Kit])</f>
        <v>0</v>
      </c>
      <c r="AG892" s="264">
        <f>IF(NFI_Expiration=1,IF($A892&lt;VLOOKUP(P$5,NFI,5,0),1,0)*Table_NFI[[#This Row],[Plastic Bucket]],Table_NFI[Plastic Bucket])</f>
        <v>0</v>
      </c>
      <c r="AH892" s="264">
        <f>IF(NFI_Expiration=1,IF($A892&lt;VLOOKUP(Q$5,NFI,5,0),1,0)*Table_NFI[[#This Row],[Plastic Mat]],Table_NFI[Plastic Mat])*IF(Table_NFI[[#This Row],[Distribution Date]]&gt;"2014-04-01",1,2.5)</f>
        <v>0</v>
      </c>
      <c r="AI892" s="264">
        <f>IF(NFI_Expiration=1,IF($A892&lt;VLOOKUP(R$5,NFI,5,0),1,0)*Table_NFI[[#This Row],[Winter Clothes Adult]],Table_NFI[Winter Clothes Adult])</f>
        <v>0</v>
      </c>
      <c r="AJ892" s="264">
        <f>IF(NFI_Expiration=1,IF($A892&lt;VLOOKUP(S$5,NFI,5,0),1,0)*Table_NFI[[#This Row],[Winter Clothes Children]],Table_NFI[Winter Clothes Children])</f>
        <v>0</v>
      </c>
      <c r="AK892" s="264">
        <f>IF(NFI_Expiration=1,IF($A892&lt;VLOOKUP(T$5,NFI,5,0),1,0)*Table_NFI[[#This Row],[Winter Items Other]],Table_NFI[Winter Items Other])</f>
        <v>0</v>
      </c>
      <c r="AL892" s="264">
        <f>IF(NFI_Expiration=1,IF($A892&lt;VLOOKUP(M$5,NFI,5,0),1,0)*Table_NFI[[#This Row],[Winter Blanket]],Table_NFI[[#This Row],[Winter Blanket]])</f>
        <v>0</v>
      </c>
      <c r="AM892" s="264">
        <f>IF(Table_NFI[[#This Row],[Winter Clothes Adult]]+Table_NFI[[#This Row],[Winter Clothes Children]]+Table_NFI[[#This Row],[Winter Items Other]]+Table_NFI[[#This Row],[Winter Blanket]]&gt;0,1,0)</f>
        <v>0</v>
      </c>
      <c r="AN892" s="296">
        <f>IF(NFI_Expiration=1,IF($A892&lt;VLOOKUP(V$5,NFI,5,0),1,0)*Table_NFI[[#This Row],[Jerry Can]],Table_NFI[Jerry Can])</f>
        <v>0</v>
      </c>
      <c r="AO892" s="296">
        <f>IF(NFI_Expiration=1,IF($A892&lt;VLOOKUP(V$5,NFI,5,0),1,0)*Table_NFI[[#This Row],[Shelter Tool kit]],Table_NFI[Shelter Tool kit])</f>
        <v>0</v>
      </c>
      <c r="AP892" s="296">
        <f>IF(NFI_Expiration=1,IF($A892&lt;VLOOKUP(V$5,NFI,5,0),1,0)*Table_NFI[[#This Row],[Tent]],Table_NFI[Tent])</f>
        <v>0</v>
      </c>
      <c r="AQ892" s="396" t="str">
        <f>IFERROR(VLOOKUP(Table_NFI[[#This Row],[Camp Name]],CL,2,0),"")</f>
        <v>MMR001CMP030</v>
      </c>
      <c r="AR892" s="702">
        <f ca="1">IF(Table_NFI[[#This Row],[Pcode]]="","",IF(OFFSET(CampList[Opening Date],MATCH(Table_NFI[[#This Row],[Pcode]],CampList[CP_Pcode],0)-1,0,1,1)&gt;=NFI_Monitor_Date,1,0))</f>
        <v>0</v>
      </c>
      <c r="AS892" s="396" t="str">
        <f>IFERROR(VLOOKUP(Table_NFI[[#This Row],[Camp Name]],CL,3,0),"")</f>
        <v>Open</v>
      </c>
      <c r="AT892" s="264" t="str">
        <f ca="1">IF(Table_NFI[[#This Row],[Pcode]]="","",OFFSET(CampList[Priority],MATCH(Table_NFI[[#This Row],[Pcode]],CampList[CP_Pcode],0)-1,0,1,1))</f>
        <v>P4</v>
      </c>
      <c r="AU892" s="263">
        <f>IFERROR(Table_NFI[[#This Row],[Kitchen Set]]/VLOOKUP(Table_NFI[[#This Row],[Camp Name]],CL,4,0),"")</f>
        <v>0</v>
      </c>
      <c r="AV892" s="390" t="s">
        <v>1087</v>
      </c>
      <c r="AW892" s="392"/>
    </row>
    <row r="893" spans="1:121" s="760" customFormat="1" ht="14.45" customHeight="1" x14ac:dyDescent="0.25">
      <c r="A893" s="266">
        <f t="shared" si="13"/>
        <v>52.733333333333334</v>
      </c>
      <c r="B893" s="389">
        <v>41274</v>
      </c>
      <c r="C893" s="390" t="s">
        <v>452</v>
      </c>
      <c r="D893" s="391" t="s">
        <v>452</v>
      </c>
      <c r="E893" s="390" t="s">
        <v>380</v>
      </c>
      <c r="F893" s="262" t="s">
        <v>310</v>
      </c>
      <c r="G893" s="262" t="s">
        <v>351</v>
      </c>
      <c r="H893" s="261">
        <v>96</v>
      </c>
      <c r="I893" s="261"/>
      <c r="J893" s="261"/>
      <c r="K893" s="261"/>
      <c r="L893" s="261"/>
      <c r="M893" s="261"/>
      <c r="N893" s="261"/>
      <c r="O893" s="261"/>
      <c r="P893" s="261">
        <v>0</v>
      </c>
      <c r="Q893" s="261">
        <v>0</v>
      </c>
      <c r="R893" s="261"/>
      <c r="S893" s="261"/>
      <c r="T893" s="261"/>
      <c r="U893" s="261"/>
      <c r="V893" s="762"/>
      <c r="W893" s="261"/>
      <c r="X893" s="261"/>
      <c r="Y893" s="264">
        <f>IF(NFI_Expiration=1,IF($A893&lt;VLOOKUP(H$5,NFI,5,0),1,0)*Table_NFI[[#This Row],[Hygiene Kit]],Table_NFI[Hygiene Kit])</f>
        <v>0</v>
      </c>
      <c r="Z893" s="264">
        <f>IF(NFI_Expiration=1,IF($A893&lt;VLOOKUP(I$5,NFI,5,0),1,0)*Table_NFI[[#This Row],[NFI Core Kit]],Table_NFI[NFI Core Kit])</f>
        <v>0</v>
      </c>
      <c r="AA893" s="264">
        <f>IF(NFI_Expiration=1,IF($A893&lt;VLOOKUP(J$5,NFI,5,0),1,0)*Table_NFI[[#This Row],[Sanitary Kit]],Table_NFI[Sanitary Kit])</f>
        <v>0</v>
      </c>
      <c r="AB893" s="264">
        <f>IF(NFI_Expiration=1,IF($A893&lt;VLOOKUP(K$5,NFI,5,0),1,0)*Table_NFI[[#This Row],[Mosquito net]],Table_NFI[Mosquito net])</f>
        <v>0</v>
      </c>
      <c r="AC893" s="264">
        <f>IF(NFI_Expiration=1,IF($A893&lt;VLOOKUP(L$5,NFI,5,0),1,0)*Table_NFI[[#This Row],[Tarpaulin]],Table_NFI[[#This Row],[Tarpaulin]])</f>
        <v>0</v>
      </c>
      <c r="AD893" s="264">
        <f>IF(NFI_Expiration=1,IF($A893&lt;VLOOKUP(M$5,NFI,5,0),1,0)*Table_NFI[[#This Row],[Blanket]],Table_NFI[[#This Row],[Blanket]])</f>
        <v>0</v>
      </c>
      <c r="AE893" s="264">
        <f>IF(NFI_Expiration=1,IF($A893&lt;VLOOKUP(N$5,NFI,5,0),1,0)*Table_NFI[[#This Row],[Kitchen Set]],Table_NFI[Kitchen Set])</f>
        <v>0</v>
      </c>
      <c r="AF893" s="264">
        <f>IF(NFI_Expiration=1,IF($A893&lt;VLOOKUP(O$5,NFI,5,0),1,0)*Table_NFI[[#This Row],[Clothes Kit]],Table_NFI[Clothes Kit])</f>
        <v>0</v>
      </c>
      <c r="AG893" s="264">
        <f>IF(NFI_Expiration=1,IF($A893&lt;VLOOKUP(P$5,NFI,5,0),1,0)*Table_NFI[[#This Row],[Plastic Bucket]],Table_NFI[Plastic Bucket])</f>
        <v>0</v>
      </c>
      <c r="AH893" s="264">
        <f>IF(NFI_Expiration=1,IF($A893&lt;VLOOKUP(Q$5,NFI,5,0),1,0)*Table_NFI[[#This Row],[Plastic Mat]],Table_NFI[Plastic Mat])*IF(Table_NFI[[#This Row],[Distribution Date]]&gt;"2014-04-01",1,2.5)</f>
        <v>0</v>
      </c>
      <c r="AI893" s="264">
        <f>IF(NFI_Expiration=1,IF($A893&lt;VLOOKUP(R$5,NFI,5,0),1,0)*Table_NFI[[#This Row],[Winter Clothes Adult]],Table_NFI[Winter Clothes Adult])</f>
        <v>0</v>
      </c>
      <c r="AJ893" s="264">
        <f>IF(NFI_Expiration=1,IF($A893&lt;VLOOKUP(S$5,NFI,5,0),1,0)*Table_NFI[[#This Row],[Winter Clothes Children]],Table_NFI[Winter Clothes Children])</f>
        <v>0</v>
      </c>
      <c r="AK893" s="264">
        <f>IF(NFI_Expiration=1,IF($A893&lt;VLOOKUP(T$5,NFI,5,0),1,0)*Table_NFI[[#This Row],[Winter Items Other]],Table_NFI[Winter Items Other])</f>
        <v>0</v>
      </c>
      <c r="AL893" s="264">
        <f>IF(NFI_Expiration=1,IF($A893&lt;VLOOKUP(M$5,NFI,5,0),1,0)*Table_NFI[[#This Row],[Winter Blanket]],Table_NFI[[#This Row],[Winter Blanket]])</f>
        <v>0</v>
      </c>
      <c r="AM893" s="264">
        <f>IF(Table_NFI[[#This Row],[Winter Clothes Adult]]+Table_NFI[[#This Row],[Winter Clothes Children]]+Table_NFI[[#This Row],[Winter Items Other]]+Table_NFI[[#This Row],[Winter Blanket]]&gt;0,1,0)</f>
        <v>0</v>
      </c>
      <c r="AN893" s="296">
        <f>IF(NFI_Expiration=1,IF($A893&lt;VLOOKUP(V$5,NFI,5,0),1,0)*Table_NFI[[#This Row],[Jerry Can]],Table_NFI[Jerry Can])</f>
        <v>0</v>
      </c>
      <c r="AO893" s="296">
        <f>IF(NFI_Expiration=1,IF($A893&lt;VLOOKUP(V$5,NFI,5,0),1,0)*Table_NFI[[#This Row],[Shelter Tool kit]],Table_NFI[Shelter Tool kit])</f>
        <v>0</v>
      </c>
      <c r="AP893" s="296">
        <f>IF(NFI_Expiration=1,IF($A893&lt;VLOOKUP(V$5,NFI,5,0),1,0)*Table_NFI[[#This Row],[Tent]],Table_NFI[Tent])</f>
        <v>0</v>
      </c>
      <c r="AQ893" s="396" t="str">
        <f>IFERROR(VLOOKUP(Table_NFI[[#This Row],[Camp Name]],CL,2,0),"")</f>
        <v>MMR001CMP026</v>
      </c>
      <c r="AR893" s="702">
        <f ca="1">IF(Table_NFI[[#This Row],[Pcode]]="","",IF(OFFSET(CampList[Opening Date],MATCH(Table_NFI[[#This Row],[Pcode]],CampList[CP_Pcode],0)-1,0,1,1)&gt;=NFI_Monitor_Date,1,0))</f>
        <v>0</v>
      </c>
      <c r="AS893" s="396" t="str">
        <f>IFERROR(VLOOKUP(Table_NFI[[#This Row],[Camp Name]],CL,3,0),"")</f>
        <v>Open</v>
      </c>
      <c r="AT893" s="264" t="str">
        <f ca="1">IF(Table_NFI[[#This Row],[Pcode]]="","",OFFSET(CampList[Priority],MATCH(Table_NFI[[#This Row],[Pcode]],CampList[CP_Pcode],0)-1,0,1,1))</f>
        <v>P4</v>
      </c>
      <c r="AU893" s="263">
        <f>IFERROR(Table_NFI[[#This Row],[Kitchen Set]]/VLOOKUP(Table_NFI[[#This Row],[Camp Name]],CL,4,0),"")</f>
        <v>0</v>
      </c>
      <c r="AV893" s="390" t="s">
        <v>1087</v>
      </c>
      <c r="AW893" s="392"/>
      <c r="AX893" s="399"/>
      <c r="AY893" s="399"/>
      <c r="AZ893" s="399"/>
      <c r="BA893" s="399"/>
      <c r="BB893" s="399"/>
      <c r="BC893" s="399"/>
      <c r="BD893" s="399"/>
      <c r="BE893" s="399"/>
      <c r="BF893" s="399"/>
      <c r="BG893" s="399"/>
      <c r="BH893" s="399"/>
      <c r="BI893" s="399"/>
      <c r="BJ893" s="399"/>
      <c r="BK893" s="399"/>
      <c r="BL893" s="399"/>
      <c r="BM893" s="399"/>
      <c r="BN893" s="399"/>
      <c r="BO893" s="399"/>
      <c r="BP893" s="399"/>
      <c r="BQ893" s="399"/>
      <c r="BR893" s="399"/>
      <c r="BS893" s="399"/>
      <c r="BT893" s="399"/>
      <c r="BU893" s="399"/>
      <c r="BV893" s="399"/>
      <c r="BW893" s="399"/>
      <c r="BX893" s="399"/>
      <c r="BY893" s="399"/>
      <c r="BZ893" s="399"/>
      <c r="CA893" s="399"/>
      <c r="CB893" s="399"/>
      <c r="CC893" s="399"/>
      <c r="CD893" s="399"/>
      <c r="CE893" s="399"/>
      <c r="CF893" s="399"/>
      <c r="CG893" s="399"/>
      <c r="CH893" s="399"/>
      <c r="CI893" s="399"/>
      <c r="CJ893" s="399"/>
      <c r="CK893" s="399"/>
      <c r="CL893" s="399"/>
      <c r="CM893" s="399"/>
      <c r="CN893" s="399"/>
      <c r="CO893" s="399"/>
      <c r="CP893" s="399"/>
      <c r="CQ893" s="399"/>
      <c r="CR893" s="399"/>
      <c r="CS893" s="399"/>
      <c r="CT893" s="399"/>
      <c r="CU893" s="399"/>
      <c r="CV893" s="399"/>
      <c r="CW893" s="399"/>
      <c r="CX893" s="399"/>
      <c r="CY893" s="399"/>
      <c r="CZ893" s="399"/>
      <c r="DA893" s="399"/>
      <c r="DB893" s="399"/>
      <c r="DC893" s="399"/>
      <c r="DD893" s="399"/>
      <c r="DE893" s="399"/>
      <c r="DF893" s="399"/>
      <c r="DG893" s="399"/>
      <c r="DH893" s="399"/>
      <c r="DI893" s="399"/>
      <c r="DJ893" s="399"/>
      <c r="DK893" s="399"/>
      <c r="DL893" s="399"/>
      <c r="DM893" s="399"/>
      <c r="DN893" s="399"/>
      <c r="DO893" s="399"/>
      <c r="DP893" s="399"/>
      <c r="DQ893" s="399"/>
    </row>
    <row r="894" spans="1:121" s="760" customFormat="1" ht="14.45" customHeight="1" x14ac:dyDescent="0.25">
      <c r="A894" s="266">
        <f t="shared" si="13"/>
        <v>52.733333333333334</v>
      </c>
      <c r="B894" s="389">
        <v>41274</v>
      </c>
      <c r="C894" s="390" t="s">
        <v>452</v>
      </c>
      <c r="D894" s="391" t="s">
        <v>452</v>
      </c>
      <c r="E894" s="390" t="s">
        <v>380</v>
      </c>
      <c r="F894" s="262" t="s">
        <v>237</v>
      </c>
      <c r="G894" s="262" t="s">
        <v>279</v>
      </c>
      <c r="H894" s="261">
        <v>17</v>
      </c>
      <c r="I894" s="261"/>
      <c r="J894" s="261"/>
      <c r="K894" s="261"/>
      <c r="L894" s="261"/>
      <c r="M894" s="261"/>
      <c r="N894" s="261"/>
      <c r="O894" s="261"/>
      <c r="P894" s="261">
        <v>0</v>
      </c>
      <c r="Q894" s="261">
        <v>0</v>
      </c>
      <c r="R894" s="261"/>
      <c r="S894" s="261"/>
      <c r="T894" s="261"/>
      <c r="U894" s="261"/>
      <c r="V894" s="762"/>
      <c r="W894" s="261"/>
      <c r="X894" s="261"/>
      <c r="Y894" s="264">
        <f>IF(NFI_Expiration=1,IF($A894&lt;VLOOKUP(H$5,NFI,5,0),1,0)*Table_NFI[[#This Row],[Hygiene Kit]],Table_NFI[Hygiene Kit])</f>
        <v>0</v>
      </c>
      <c r="Z894" s="264">
        <f>IF(NFI_Expiration=1,IF($A894&lt;VLOOKUP(I$5,NFI,5,0),1,0)*Table_NFI[[#This Row],[NFI Core Kit]],Table_NFI[NFI Core Kit])</f>
        <v>0</v>
      </c>
      <c r="AA894" s="264">
        <f>IF(NFI_Expiration=1,IF($A894&lt;VLOOKUP(J$5,NFI,5,0),1,0)*Table_NFI[[#This Row],[Sanitary Kit]],Table_NFI[Sanitary Kit])</f>
        <v>0</v>
      </c>
      <c r="AB894" s="264">
        <f>IF(NFI_Expiration=1,IF($A894&lt;VLOOKUP(K$5,NFI,5,0),1,0)*Table_NFI[[#This Row],[Mosquito net]],Table_NFI[Mosquito net])</f>
        <v>0</v>
      </c>
      <c r="AC894" s="264">
        <f>IF(NFI_Expiration=1,IF($A894&lt;VLOOKUP(L$5,NFI,5,0),1,0)*Table_NFI[[#This Row],[Tarpaulin]],Table_NFI[[#This Row],[Tarpaulin]])</f>
        <v>0</v>
      </c>
      <c r="AD894" s="264">
        <f>IF(NFI_Expiration=1,IF($A894&lt;VLOOKUP(M$5,NFI,5,0),1,0)*Table_NFI[[#This Row],[Blanket]],Table_NFI[[#This Row],[Blanket]])</f>
        <v>0</v>
      </c>
      <c r="AE894" s="264">
        <f>IF(NFI_Expiration=1,IF($A894&lt;VLOOKUP(N$5,NFI,5,0),1,0)*Table_NFI[[#This Row],[Kitchen Set]],Table_NFI[Kitchen Set])</f>
        <v>0</v>
      </c>
      <c r="AF894" s="264">
        <f>IF(NFI_Expiration=1,IF($A894&lt;VLOOKUP(O$5,NFI,5,0),1,0)*Table_NFI[[#This Row],[Clothes Kit]],Table_NFI[Clothes Kit])</f>
        <v>0</v>
      </c>
      <c r="AG894" s="264">
        <f>IF(NFI_Expiration=1,IF($A894&lt;VLOOKUP(P$5,NFI,5,0),1,0)*Table_NFI[[#This Row],[Plastic Bucket]],Table_NFI[Plastic Bucket])</f>
        <v>0</v>
      </c>
      <c r="AH894" s="264">
        <f>IF(NFI_Expiration=1,IF($A894&lt;VLOOKUP(Q$5,NFI,5,0),1,0)*Table_NFI[[#This Row],[Plastic Mat]],Table_NFI[Plastic Mat])*IF(Table_NFI[[#This Row],[Distribution Date]]&gt;"2014-04-01",1,2.5)</f>
        <v>0</v>
      </c>
      <c r="AI894" s="264">
        <f>IF(NFI_Expiration=1,IF($A894&lt;VLOOKUP(R$5,NFI,5,0),1,0)*Table_NFI[[#This Row],[Winter Clothes Adult]],Table_NFI[Winter Clothes Adult])</f>
        <v>0</v>
      </c>
      <c r="AJ894" s="264">
        <f>IF(NFI_Expiration=1,IF($A894&lt;VLOOKUP(S$5,NFI,5,0),1,0)*Table_NFI[[#This Row],[Winter Clothes Children]],Table_NFI[Winter Clothes Children])</f>
        <v>0</v>
      </c>
      <c r="AK894" s="264">
        <f>IF(NFI_Expiration=1,IF($A894&lt;VLOOKUP(T$5,NFI,5,0),1,0)*Table_NFI[[#This Row],[Winter Items Other]],Table_NFI[Winter Items Other])</f>
        <v>0</v>
      </c>
      <c r="AL894" s="264">
        <f>IF(NFI_Expiration=1,IF($A894&lt;VLOOKUP(M$5,NFI,5,0),1,0)*Table_NFI[[#This Row],[Winter Blanket]],Table_NFI[[#This Row],[Winter Blanket]])</f>
        <v>0</v>
      </c>
      <c r="AM894" s="264">
        <f>IF(Table_NFI[[#This Row],[Winter Clothes Adult]]+Table_NFI[[#This Row],[Winter Clothes Children]]+Table_NFI[[#This Row],[Winter Items Other]]+Table_NFI[[#This Row],[Winter Blanket]]&gt;0,1,0)</f>
        <v>0</v>
      </c>
      <c r="AN894" s="296">
        <f>IF(NFI_Expiration=1,IF($A894&lt;VLOOKUP(V$5,NFI,5,0),1,0)*Table_NFI[[#This Row],[Jerry Can]],Table_NFI[Jerry Can])</f>
        <v>0</v>
      </c>
      <c r="AO894" s="296">
        <f>IF(NFI_Expiration=1,IF($A894&lt;VLOOKUP(V$5,NFI,5,0),1,0)*Table_NFI[[#This Row],[Shelter Tool kit]],Table_NFI[Shelter Tool kit])</f>
        <v>0</v>
      </c>
      <c r="AP894" s="296">
        <f>IF(NFI_Expiration=1,IF($A894&lt;VLOOKUP(V$5,NFI,5,0),1,0)*Table_NFI[[#This Row],[Tent]],Table_NFI[Tent])</f>
        <v>0</v>
      </c>
      <c r="AQ894" s="396" t="str">
        <f>IFERROR(VLOOKUP(Table_NFI[[#This Row],[Camp Name]],CL,2,0),"")</f>
        <v>MMR001CMP007</v>
      </c>
      <c r="AR894" s="702">
        <f ca="1">IF(Table_NFI[[#This Row],[Pcode]]="","",IF(OFFSET(CampList[Opening Date],MATCH(Table_NFI[[#This Row],[Pcode]],CampList[CP_Pcode],0)-1,0,1,1)&gt;=NFI_Monitor_Date,1,0))</f>
        <v>0</v>
      </c>
      <c r="AS894" s="396" t="str">
        <f>IFERROR(VLOOKUP(Table_NFI[[#This Row],[Camp Name]],CL,3,0),"")</f>
        <v>Open</v>
      </c>
      <c r="AT894" s="264" t="str">
        <f ca="1">IF(Table_NFI[[#This Row],[Pcode]]="","",OFFSET(CampList[Priority],MATCH(Table_NFI[[#This Row],[Pcode]],CampList[CP_Pcode],0)-1,0,1,1))</f>
        <v>P4</v>
      </c>
      <c r="AU894" s="263">
        <f>IFERROR(Table_NFI[[#This Row],[Kitchen Set]]/VLOOKUP(Table_NFI[[#This Row],[Camp Name]],CL,4,0),"")</f>
        <v>0</v>
      </c>
      <c r="AV894" s="390" t="s">
        <v>1087</v>
      </c>
      <c r="AW894" s="392"/>
      <c r="AX894" s="399"/>
      <c r="AY894" s="399"/>
      <c r="AZ894" s="399"/>
      <c r="BA894" s="399"/>
      <c r="BB894" s="399"/>
      <c r="BC894" s="399"/>
      <c r="BD894" s="399"/>
      <c r="BE894" s="399"/>
      <c r="BF894" s="399"/>
      <c r="BG894" s="399"/>
      <c r="BH894" s="399"/>
      <c r="BI894" s="399"/>
      <c r="BJ894" s="399"/>
      <c r="BK894" s="399"/>
      <c r="BL894" s="399"/>
      <c r="BM894" s="399"/>
      <c r="BN894" s="399"/>
      <c r="BO894" s="399"/>
      <c r="BP894" s="399"/>
      <c r="BQ894" s="399"/>
      <c r="BR894" s="399"/>
      <c r="BS894" s="399"/>
      <c r="BT894" s="399"/>
      <c r="BU894" s="399"/>
      <c r="BV894" s="399"/>
      <c r="BW894" s="399"/>
      <c r="BX894" s="399"/>
      <c r="BY894" s="399"/>
      <c r="BZ894" s="399"/>
      <c r="CA894" s="399"/>
      <c r="CB894" s="399"/>
      <c r="CC894" s="399"/>
      <c r="CD894" s="399"/>
      <c r="CE894" s="399"/>
      <c r="CF894" s="399"/>
      <c r="CG894" s="399"/>
      <c r="CH894" s="399"/>
      <c r="CI894" s="399"/>
      <c r="CJ894" s="399"/>
      <c r="CK894" s="399"/>
      <c r="CL894" s="399"/>
      <c r="CM894" s="399"/>
      <c r="CN894" s="399"/>
      <c r="CO894" s="399"/>
      <c r="CP894" s="399"/>
      <c r="CQ894" s="399"/>
      <c r="CR894" s="399"/>
      <c r="CS894" s="399"/>
      <c r="CT894" s="399"/>
      <c r="CU894" s="399"/>
      <c r="CV894" s="399"/>
      <c r="CW894" s="399"/>
      <c r="CX894" s="399"/>
      <c r="CY894" s="399"/>
      <c r="CZ894" s="399"/>
      <c r="DA894" s="399"/>
      <c r="DB894" s="399"/>
      <c r="DC894" s="399"/>
      <c r="DD894" s="399"/>
      <c r="DE894" s="399"/>
      <c r="DF894" s="399"/>
      <c r="DG894" s="399"/>
      <c r="DH894" s="399"/>
      <c r="DI894" s="399"/>
      <c r="DJ894" s="399"/>
      <c r="DK894" s="399"/>
      <c r="DL894" s="399"/>
      <c r="DM894" s="399"/>
      <c r="DN894" s="399"/>
      <c r="DO894" s="399"/>
      <c r="DP894" s="399"/>
      <c r="DQ894" s="399"/>
    </row>
    <row r="895" spans="1:121" s="760" customFormat="1" ht="14.45" customHeight="1" x14ac:dyDescent="0.25">
      <c r="A895" s="266">
        <f t="shared" si="13"/>
        <v>52.733333333333334</v>
      </c>
      <c r="B895" s="389">
        <v>41274</v>
      </c>
      <c r="C895" s="390" t="s">
        <v>452</v>
      </c>
      <c r="D895" s="391" t="s">
        <v>452</v>
      </c>
      <c r="E895" s="390" t="s">
        <v>380</v>
      </c>
      <c r="F895" s="262" t="s">
        <v>237</v>
      </c>
      <c r="G895" s="262" t="s">
        <v>1232</v>
      </c>
      <c r="H895" s="261">
        <v>34</v>
      </c>
      <c r="I895" s="261"/>
      <c r="J895" s="261"/>
      <c r="K895" s="261"/>
      <c r="L895" s="261"/>
      <c r="M895" s="261"/>
      <c r="N895" s="261"/>
      <c r="O895" s="261"/>
      <c r="P895" s="261">
        <v>0</v>
      </c>
      <c r="Q895" s="261">
        <v>0</v>
      </c>
      <c r="R895" s="261"/>
      <c r="S895" s="261"/>
      <c r="T895" s="261"/>
      <c r="U895" s="261"/>
      <c r="V895" s="762"/>
      <c r="W895" s="261"/>
      <c r="X895" s="261"/>
      <c r="Y895" s="264">
        <f>IF(NFI_Expiration=1,IF($A895&lt;VLOOKUP(H$5,NFI,5,0),1,0)*Table_NFI[[#This Row],[Hygiene Kit]],Table_NFI[Hygiene Kit])</f>
        <v>0</v>
      </c>
      <c r="Z895" s="264">
        <f>IF(NFI_Expiration=1,IF($A895&lt;VLOOKUP(I$5,NFI,5,0),1,0)*Table_NFI[[#This Row],[NFI Core Kit]],Table_NFI[NFI Core Kit])</f>
        <v>0</v>
      </c>
      <c r="AA895" s="264">
        <f>IF(NFI_Expiration=1,IF($A895&lt;VLOOKUP(J$5,NFI,5,0),1,0)*Table_NFI[[#This Row],[Sanitary Kit]],Table_NFI[Sanitary Kit])</f>
        <v>0</v>
      </c>
      <c r="AB895" s="264">
        <f>IF(NFI_Expiration=1,IF($A895&lt;VLOOKUP(K$5,NFI,5,0),1,0)*Table_NFI[[#This Row],[Mosquito net]],Table_NFI[Mosquito net])</f>
        <v>0</v>
      </c>
      <c r="AC895" s="264">
        <f>IF(NFI_Expiration=1,IF($A895&lt;VLOOKUP(L$5,NFI,5,0),1,0)*Table_NFI[[#This Row],[Tarpaulin]],Table_NFI[[#This Row],[Tarpaulin]])</f>
        <v>0</v>
      </c>
      <c r="AD895" s="264">
        <f>IF(NFI_Expiration=1,IF($A895&lt;VLOOKUP(M$5,NFI,5,0),1,0)*Table_NFI[[#This Row],[Blanket]],Table_NFI[[#This Row],[Blanket]])</f>
        <v>0</v>
      </c>
      <c r="AE895" s="264">
        <f>IF(NFI_Expiration=1,IF($A895&lt;VLOOKUP(N$5,NFI,5,0),1,0)*Table_NFI[[#This Row],[Kitchen Set]],Table_NFI[Kitchen Set])</f>
        <v>0</v>
      </c>
      <c r="AF895" s="264">
        <f>IF(NFI_Expiration=1,IF($A895&lt;VLOOKUP(O$5,NFI,5,0),1,0)*Table_NFI[[#This Row],[Clothes Kit]],Table_NFI[Clothes Kit])</f>
        <v>0</v>
      </c>
      <c r="AG895" s="264">
        <f>IF(NFI_Expiration=1,IF($A895&lt;VLOOKUP(P$5,NFI,5,0),1,0)*Table_NFI[[#This Row],[Plastic Bucket]],Table_NFI[Plastic Bucket])</f>
        <v>0</v>
      </c>
      <c r="AH895" s="264">
        <f>IF(NFI_Expiration=1,IF($A895&lt;VLOOKUP(Q$5,NFI,5,0),1,0)*Table_NFI[[#This Row],[Plastic Mat]],Table_NFI[Plastic Mat])*IF(Table_NFI[[#This Row],[Distribution Date]]&gt;"2014-04-01",1,2.5)</f>
        <v>0</v>
      </c>
      <c r="AI895" s="264">
        <f>IF(NFI_Expiration=1,IF($A895&lt;VLOOKUP(R$5,NFI,5,0),1,0)*Table_NFI[[#This Row],[Winter Clothes Adult]],Table_NFI[Winter Clothes Adult])</f>
        <v>0</v>
      </c>
      <c r="AJ895" s="264">
        <f>IF(NFI_Expiration=1,IF($A895&lt;VLOOKUP(S$5,NFI,5,0),1,0)*Table_NFI[[#This Row],[Winter Clothes Children]],Table_NFI[Winter Clothes Children])</f>
        <v>0</v>
      </c>
      <c r="AK895" s="264">
        <f>IF(NFI_Expiration=1,IF($A895&lt;VLOOKUP(T$5,NFI,5,0),1,0)*Table_NFI[[#This Row],[Winter Items Other]],Table_NFI[Winter Items Other])</f>
        <v>0</v>
      </c>
      <c r="AL895" s="264">
        <f>IF(NFI_Expiration=1,IF($A895&lt;VLOOKUP(M$5,NFI,5,0),1,0)*Table_NFI[[#This Row],[Winter Blanket]],Table_NFI[[#This Row],[Winter Blanket]])</f>
        <v>0</v>
      </c>
      <c r="AM895" s="264">
        <f>IF(Table_NFI[[#This Row],[Winter Clothes Adult]]+Table_NFI[[#This Row],[Winter Clothes Children]]+Table_NFI[[#This Row],[Winter Items Other]]+Table_NFI[[#This Row],[Winter Blanket]]&gt;0,1,0)</f>
        <v>0</v>
      </c>
      <c r="AN895" s="296">
        <f>IF(NFI_Expiration=1,IF($A895&lt;VLOOKUP(V$5,NFI,5,0),1,0)*Table_NFI[[#This Row],[Jerry Can]],Table_NFI[Jerry Can])</f>
        <v>0</v>
      </c>
      <c r="AO895" s="296">
        <f>IF(NFI_Expiration=1,IF($A895&lt;VLOOKUP(V$5,NFI,5,0),1,0)*Table_NFI[[#This Row],[Shelter Tool kit]],Table_NFI[Shelter Tool kit])</f>
        <v>0</v>
      </c>
      <c r="AP895" s="296">
        <f>IF(NFI_Expiration=1,IF($A895&lt;VLOOKUP(V$5,NFI,5,0),1,0)*Table_NFI[[#This Row],[Tent]],Table_NFI[Tent])</f>
        <v>0</v>
      </c>
      <c r="AQ895" s="396" t="str">
        <f>IFERROR(VLOOKUP(Table_NFI[[#This Row],[Camp Name]],CL,2,0),"")</f>
        <v>MMR001CMP023</v>
      </c>
      <c r="AR895" s="702">
        <f ca="1">IF(Table_NFI[[#This Row],[Pcode]]="","",IF(OFFSET(CampList[Opening Date],MATCH(Table_NFI[[#This Row],[Pcode]],CampList[CP_Pcode],0)-1,0,1,1)&gt;=NFI_Monitor_Date,1,0))</f>
        <v>0</v>
      </c>
      <c r="AS895" s="396" t="str">
        <f>IFERROR(VLOOKUP(Table_NFI[[#This Row],[Camp Name]],CL,3,0),"")</f>
        <v>Open</v>
      </c>
      <c r="AT895" s="264" t="str">
        <f ca="1">IF(Table_NFI[[#This Row],[Pcode]]="","",OFFSET(CampList[Priority],MATCH(Table_NFI[[#This Row],[Pcode]],CampList[CP_Pcode],0)-1,0,1,1))</f>
        <v>P4</v>
      </c>
      <c r="AU895" s="263">
        <f>IFERROR(Table_NFI[[#This Row],[Kitchen Set]]/VLOOKUP(Table_NFI[[#This Row],[Camp Name]],CL,4,0),"")</f>
        <v>0</v>
      </c>
      <c r="AV895" s="390" t="s">
        <v>1087</v>
      </c>
      <c r="AW895" s="392"/>
      <c r="AX895" s="399"/>
      <c r="AY895" s="399"/>
      <c r="AZ895" s="399"/>
      <c r="BA895" s="399"/>
      <c r="BB895" s="399"/>
      <c r="BC895" s="399"/>
      <c r="BD895" s="399"/>
      <c r="BE895" s="399"/>
      <c r="BF895" s="399"/>
      <c r="BG895" s="399"/>
      <c r="BH895" s="399"/>
      <c r="BI895" s="399"/>
      <c r="BJ895" s="399"/>
      <c r="BK895" s="399"/>
      <c r="BL895" s="399"/>
      <c r="BM895" s="399"/>
      <c r="BN895" s="399"/>
      <c r="BO895" s="399"/>
      <c r="BP895" s="399"/>
      <c r="BQ895" s="399"/>
      <c r="BR895" s="399"/>
      <c r="BS895" s="399"/>
      <c r="BT895" s="399"/>
      <c r="BU895" s="399"/>
      <c r="BV895" s="399"/>
      <c r="BW895" s="399"/>
      <c r="BX895" s="399"/>
      <c r="BY895" s="399"/>
      <c r="BZ895" s="399"/>
      <c r="CA895" s="399"/>
      <c r="CB895" s="399"/>
      <c r="CC895" s="399"/>
      <c r="CD895" s="399"/>
      <c r="CE895" s="399"/>
      <c r="CF895" s="399"/>
      <c r="CG895" s="399"/>
      <c r="CH895" s="399"/>
      <c r="CI895" s="399"/>
      <c r="CJ895" s="399"/>
      <c r="CK895" s="399"/>
      <c r="CL895" s="399"/>
      <c r="CM895" s="399"/>
      <c r="CN895" s="399"/>
      <c r="CO895" s="399"/>
      <c r="CP895" s="399"/>
      <c r="CQ895" s="399"/>
      <c r="CR895" s="399"/>
      <c r="CS895" s="399"/>
      <c r="CT895" s="399"/>
      <c r="CU895" s="399"/>
      <c r="CV895" s="399"/>
      <c r="CW895" s="399"/>
      <c r="CX895" s="399"/>
      <c r="CY895" s="399"/>
      <c r="CZ895" s="399"/>
      <c r="DA895" s="399"/>
      <c r="DB895" s="399"/>
      <c r="DC895" s="399"/>
      <c r="DD895" s="399"/>
      <c r="DE895" s="399"/>
      <c r="DF895" s="399"/>
      <c r="DG895" s="399"/>
      <c r="DH895" s="399"/>
      <c r="DI895" s="399"/>
      <c r="DJ895" s="399"/>
      <c r="DK895" s="399"/>
      <c r="DL895" s="399"/>
      <c r="DM895" s="399"/>
      <c r="DN895" s="399"/>
      <c r="DO895" s="399"/>
      <c r="DP895" s="399"/>
      <c r="DQ895" s="399"/>
    </row>
    <row r="896" spans="1:121" s="760" customFormat="1" ht="14.45" customHeight="1" x14ac:dyDescent="0.25">
      <c r="A896" s="266">
        <f t="shared" si="13"/>
        <v>52.733333333333334</v>
      </c>
      <c r="B896" s="389">
        <v>41274</v>
      </c>
      <c r="C896" s="390" t="s">
        <v>452</v>
      </c>
      <c r="D896" s="391" t="s">
        <v>452</v>
      </c>
      <c r="E896" s="390" t="s">
        <v>380</v>
      </c>
      <c r="F896" s="262" t="s">
        <v>237</v>
      </c>
      <c r="G896" s="262" t="s">
        <v>249</v>
      </c>
      <c r="H896" s="261">
        <v>14</v>
      </c>
      <c r="I896" s="261"/>
      <c r="J896" s="261"/>
      <c r="K896" s="261"/>
      <c r="L896" s="261"/>
      <c r="M896" s="261"/>
      <c r="N896" s="261"/>
      <c r="O896" s="261"/>
      <c r="P896" s="261">
        <v>0</v>
      </c>
      <c r="Q896" s="261">
        <v>0</v>
      </c>
      <c r="R896" s="261"/>
      <c r="S896" s="261"/>
      <c r="T896" s="261"/>
      <c r="U896" s="261"/>
      <c r="V896" s="762"/>
      <c r="W896" s="261"/>
      <c r="X896" s="261"/>
      <c r="Y896" s="264">
        <f>IF(NFI_Expiration=1,IF($A896&lt;VLOOKUP(H$5,NFI,5,0),1,0)*Table_NFI[[#This Row],[Hygiene Kit]],Table_NFI[Hygiene Kit])</f>
        <v>0</v>
      </c>
      <c r="Z896" s="264">
        <f>IF(NFI_Expiration=1,IF($A896&lt;VLOOKUP(I$5,NFI,5,0),1,0)*Table_NFI[[#This Row],[NFI Core Kit]],Table_NFI[NFI Core Kit])</f>
        <v>0</v>
      </c>
      <c r="AA896" s="264">
        <f>IF(NFI_Expiration=1,IF($A896&lt;VLOOKUP(J$5,NFI,5,0),1,0)*Table_NFI[[#This Row],[Sanitary Kit]],Table_NFI[Sanitary Kit])</f>
        <v>0</v>
      </c>
      <c r="AB896" s="264">
        <f>IF(NFI_Expiration=1,IF($A896&lt;VLOOKUP(K$5,NFI,5,0),1,0)*Table_NFI[[#This Row],[Mosquito net]],Table_NFI[Mosquito net])</f>
        <v>0</v>
      </c>
      <c r="AC896" s="264">
        <f>IF(NFI_Expiration=1,IF($A896&lt;VLOOKUP(L$5,NFI,5,0),1,0)*Table_NFI[[#This Row],[Tarpaulin]],Table_NFI[[#This Row],[Tarpaulin]])</f>
        <v>0</v>
      </c>
      <c r="AD896" s="264">
        <f>IF(NFI_Expiration=1,IF($A896&lt;VLOOKUP(M$5,NFI,5,0),1,0)*Table_NFI[[#This Row],[Blanket]],Table_NFI[[#This Row],[Blanket]])</f>
        <v>0</v>
      </c>
      <c r="AE896" s="264">
        <f>IF(NFI_Expiration=1,IF($A896&lt;VLOOKUP(N$5,NFI,5,0),1,0)*Table_NFI[[#This Row],[Kitchen Set]],Table_NFI[Kitchen Set])</f>
        <v>0</v>
      </c>
      <c r="AF896" s="264">
        <f>IF(NFI_Expiration=1,IF($A896&lt;VLOOKUP(O$5,NFI,5,0),1,0)*Table_NFI[[#This Row],[Clothes Kit]],Table_NFI[Clothes Kit])</f>
        <v>0</v>
      </c>
      <c r="AG896" s="264">
        <f>IF(NFI_Expiration=1,IF($A896&lt;VLOOKUP(P$5,NFI,5,0),1,0)*Table_NFI[[#This Row],[Plastic Bucket]],Table_NFI[Plastic Bucket])</f>
        <v>0</v>
      </c>
      <c r="AH896" s="264">
        <f>IF(NFI_Expiration=1,IF($A896&lt;VLOOKUP(Q$5,NFI,5,0),1,0)*Table_NFI[[#This Row],[Plastic Mat]],Table_NFI[Plastic Mat])*IF(Table_NFI[[#This Row],[Distribution Date]]&gt;"2014-04-01",1,2.5)</f>
        <v>0</v>
      </c>
      <c r="AI896" s="264">
        <f>IF(NFI_Expiration=1,IF($A896&lt;VLOOKUP(R$5,NFI,5,0),1,0)*Table_NFI[[#This Row],[Winter Clothes Adult]],Table_NFI[Winter Clothes Adult])</f>
        <v>0</v>
      </c>
      <c r="AJ896" s="264">
        <f>IF(NFI_Expiration=1,IF($A896&lt;VLOOKUP(S$5,NFI,5,0),1,0)*Table_NFI[[#This Row],[Winter Clothes Children]],Table_NFI[Winter Clothes Children])</f>
        <v>0</v>
      </c>
      <c r="AK896" s="264">
        <f>IF(NFI_Expiration=1,IF($A896&lt;VLOOKUP(T$5,NFI,5,0),1,0)*Table_NFI[[#This Row],[Winter Items Other]],Table_NFI[Winter Items Other])</f>
        <v>0</v>
      </c>
      <c r="AL896" s="264">
        <f>IF(NFI_Expiration=1,IF($A896&lt;VLOOKUP(M$5,NFI,5,0),1,0)*Table_NFI[[#This Row],[Winter Blanket]],Table_NFI[[#This Row],[Winter Blanket]])</f>
        <v>0</v>
      </c>
      <c r="AM896" s="264">
        <f>IF(Table_NFI[[#This Row],[Winter Clothes Adult]]+Table_NFI[[#This Row],[Winter Clothes Children]]+Table_NFI[[#This Row],[Winter Items Other]]+Table_NFI[[#This Row],[Winter Blanket]]&gt;0,1,0)</f>
        <v>0</v>
      </c>
      <c r="AN896" s="296">
        <f>IF(NFI_Expiration=1,IF($A896&lt;VLOOKUP(V$5,NFI,5,0),1,0)*Table_NFI[[#This Row],[Jerry Can]],Table_NFI[Jerry Can])</f>
        <v>0</v>
      </c>
      <c r="AO896" s="296">
        <f>IF(NFI_Expiration=1,IF($A896&lt;VLOOKUP(V$5,NFI,5,0),1,0)*Table_NFI[[#This Row],[Shelter Tool kit]],Table_NFI[Shelter Tool kit])</f>
        <v>0</v>
      </c>
      <c r="AP896" s="296">
        <f>IF(NFI_Expiration=1,IF($A896&lt;VLOOKUP(V$5,NFI,5,0),1,0)*Table_NFI[[#This Row],[Tent]],Table_NFI[Tent])</f>
        <v>0</v>
      </c>
      <c r="AQ896" s="396" t="str">
        <f>IFERROR(VLOOKUP(Table_NFI[[#This Row],[Camp Name]],CL,2,0),"")</f>
        <v>MMR001CMP004</v>
      </c>
      <c r="AR896" s="702">
        <f ca="1">IF(Table_NFI[[#This Row],[Pcode]]="","",IF(OFFSET(CampList[Opening Date],MATCH(Table_NFI[[#This Row],[Pcode]],CampList[CP_Pcode],0)-1,0,1,1)&gt;=NFI_Monitor_Date,1,0))</f>
        <v>0</v>
      </c>
      <c r="AS896" s="396" t="str">
        <f>IFERROR(VLOOKUP(Table_NFI[[#This Row],[Camp Name]],CL,3,0),"")</f>
        <v>Open</v>
      </c>
      <c r="AT896" s="264" t="str">
        <f ca="1">IF(Table_NFI[[#This Row],[Pcode]]="","",OFFSET(CampList[Priority],MATCH(Table_NFI[[#This Row],[Pcode]],CampList[CP_Pcode],0)-1,0,1,1))</f>
        <v>P4</v>
      </c>
      <c r="AU896" s="263">
        <f>IFERROR(Table_NFI[[#This Row],[Kitchen Set]]/VLOOKUP(Table_NFI[[#This Row],[Camp Name]],CL,4,0),"")</f>
        <v>0</v>
      </c>
      <c r="AV896" s="390" t="s">
        <v>1087</v>
      </c>
      <c r="AW896" s="392"/>
      <c r="AX896" s="399"/>
      <c r="AY896" s="399"/>
      <c r="AZ896" s="399"/>
      <c r="BA896" s="399"/>
      <c r="BB896" s="399"/>
      <c r="BC896" s="399"/>
      <c r="BD896" s="399"/>
      <c r="BE896" s="399"/>
      <c r="BF896" s="399"/>
      <c r="BG896" s="399"/>
      <c r="BH896" s="399"/>
      <c r="BI896" s="399"/>
      <c r="BJ896" s="399"/>
      <c r="BK896" s="399"/>
      <c r="BL896" s="399"/>
      <c r="BM896" s="399"/>
      <c r="BN896" s="399"/>
      <c r="BO896" s="399"/>
      <c r="BP896" s="399"/>
      <c r="BQ896" s="399"/>
      <c r="BR896" s="399"/>
      <c r="BS896" s="399"/>
      <c r="BT896" s="399"/>
      <c r="BU896" s="399"/>
      <c r="BV896" s="399"/>
      <c r="BW896" s="399"/>
      <c r="BX896" s="399"/>
      <c r="BY896" s="399"/>
      <c r="BZ896" s="399"/>
      <c r="CA896" s="399"/>
      <c r="CB896" s="399"/>
      <c r="CC896" s="399"/>
      <c r="CD896" s="399"/>
      <c r="CE896" s="399"/>
      <c r="CF896" s="399"/>
      <c r="CG896" s="399"/>
      <c r="CH896" s="399"/>
      <c r="CI896" s="399"/>
      <c r="CJ896" s="399"/>
      <c r="CK896" s="399"/>
      <c r="CL896" s="399"/>
      <c r="CM896" s="399"/>
      <c r="CN896" s="399"/>
      <c r="CO896" s="399"/>
      <c r="CP896" s="399"/>
      <c r="CQ896" s="399"/>
      <c r="CR896" s="399"/>
      <c r="CS896" s="399"/>
      <c r="CT896" s="399"/>
      <c r="CU896" s="399"/>
      <c r="CV896" s="399"/>
      <c r="CW896" s="399"/>
      <c r="CX896" s="399"/>
      <c r="CY896" s="399"/>
      <c r="CZ896" s="399"/>
      <c r="DA896" s="399"/>
      <c r="DB896" s="399"/>
      <c r="DC896" s="399"/>
      <c r="DD896" s="399"/>
      <c r="DE896" s="399"/>
      <c r="DF896" s="399"/>
      <c r="DG896" s="399"/>
      <c r="DH896" s="399"/>
      <c r="DI896" s="399"/>
      <c r="DJ896" s="399"/>
      <c r="DK896" s="399"/>
      <c r="DL896" s="399"/>
      <c r="DM896" s="399"/>
      <c r="DN896" s="399"/>
      <c r="DO896" s="399"/>
      <c r="DP896" s="399"/>
      <c r="DQ896" s="399"/>
    </row>
    <row r="897" spans="1:121" s="760" customFormat="1" ht="14.45" customHeight="1" x14ac:dyDescent="0.25">
      <c r="A897" s="266">
        <f t="shared" si="13"/>
        <v>52.733333333333334</v>
      </c>
      <c r="B897" s="389">
        <v>41274</v>
      </c>
      <c r="C897" s="390" t="s">
        <v>452</v>
      </c>
      <c r="D897" s="390" t="s">
        <v>452</v>
      </c>
      <c r="E897" s="390" t="s">
        <v>380</v>
      </c>
      <c r="F897" s="262" t="s">
        <v>310</v>
      </c>
      <c r="G897" s="262" t="s">
        <v>349</v>
      </c>
      <c r="H897" s="261">
        <v>68</v>
      </c>
      <c r="I897" s="261"/>
      <c r="J897" s="261"/>
      <c r="K897" s="261"/>
      <c r="L897" s="261"/>
      <c r="M897" s="261"/>
      <c r="N897" s="261"/>
      <c r="O897" s="261"/>
      <c r="P897" s="261">
        <v>0</v>
      </c>
      <c r="Q897" s="261">
        <v>0</v>
      </c>
      <c r="R897" s="261"/>
      <c r="S897" s="261"/>
      <c r="T897" s="261"/>
      <c r="U897" s="261"/>
      <c r="V897" s="762"/>
      <c r="W897" s="261"/>
      <c r="X897" s="261"/>
      <c r="Y897" s="264">
        <f>IF(NFI_Expiration=1,IF($A897&lt;VLOOKUP(H$5,NFI,5,0),1,0)*Table_NFI[[#This Row],[Hygiene Kit]],Table_NFI[Hygiene Kit])</f>
        <v>0</v>
      </c>
      <c r="Z897" s="264">
        <f>IF(NFI_Expiration=1,IF($A897&lt;VLOOKUP(I$5,NFI,5,0),1,0)*Table_NFI[[#This Row],[NFI Core Kit]],Table_NFI[NFI Core Kit])</f>
        <v>0</v>
      </c>
      <c r="AA897" s="264">
        <f>IF(NFI_Expiration=1,IF($A897&lt;VLOOKUP(J$5,NFI,5,0),1,0)*Table_NFI[[#This Row],[Sanitary Kit]],Table_NFI[Sanitary Kit])</f>
        <v>0</v>
      </c>
      <c r="AB897" s="264">
        <f>IF(NFI_Expiration=1,IF($A897&lt;VLOOKUP(K$5,NFI,5,0),1,0)*Table_NFI[[#This Row],[Mosquito net]],Table_NFI[Mosquito net])</f>
        <v>0</v>
      </c>
      <c r="AC897" s="264">
        <f>IF(NFI_Expiration=1,IF($A897&lt;VLOOKUP(L$5,NFI,5,0),1,0)*Table_NFI[[#This Row],[Tarpaulin]],Table_NFI[[#This Row],[Tarpaulin]])</f>
        <v>0</v>
      </c>
      <c r="AD897" s="264">
        <f>IF(NFI_Expiration=1,IF($A897&lt;VLOOKUP(M$5,NFI,5,0),1,0)*Table_NFI[[#This Row],[Blanket]],Table_NFI[[#This Row],[Blanket]])</f>
        <v>0</v>
      </c>
      <c r="AE897" s="264">
        <f>IF(NFI_Expiration=1,IF($A897&lt;VLOOKUP(N$5,NFI,5,0),1,0)*Table_NFI[[#This Row],[Kitchen Set]],Table_NFI[Kitchen Set])</f>
        <v>0</v>
      </c>
      <c r="AF897" s="264">
        <f>IF(NFI_Expiration=1,IF($A897&lt;VLOOKUP(O$5,NFI,5,0),1,0)*Table_NFI[[#This Row],[Clothes Kit]],Table_NFI[Clothes Kit])</f>
        <v>0</v>
      </c>
      <c r="AG897" s="264">
        <f>IF(NFI_Expiration=1,IF($A897&lt;VLOOKUP(P$5,NFI,5,0),1,0)*Table_NFI[[#This Row],[Plastic Bucket]],Table_NFI[Plastic Bucket])</f>
        <v>0</v>
      </c>
      <c r="AH897" s="264">
        <f>IF(NFI_Expiration=1,IF($A897&lt;VLOOKUP(Q$5,NFI,5,0),1,0)*Table_NFI[[#This Row],[Plastic Mat]],Table_NFI[Plastic Mat])*IF(Table_NFI[[#This Row],[Distribution Date]]&gt;"2014-04-01",1,2.5)</f>
        <v>0</v>
      </c>
      <c r="AI897" s="264">
        <f>IF(NFI_Expiration=1,IF($A897&lt;VLOOKUP(R$5,NFI,5,0),1,0)*Table_NFI[[#This Row],[Winter Clothes Adult]],Table_NFI[Winter Clothes Adult])</f>
        <v>0</v>
      </c>
      <c r="AJ897" s="264">
        <f>IF(NFI_Expiration=1,IF($A897&lt;VLOOKUP(S$5,NFI,5,0),1,0)*Table_NFI[[#This Row],[Winter Clothes Children]],Table_NFI[Winter Clothes Children])</f>
        <v>0</v>
      </c>
      <c r="AK897" s="264">
        <f>IF(NFI_Expiration=1,IF($A897&lt;VLOOKUP(T$5,NFI,5,0),1,0)*Table_NFI[[#This Row],[Winter Items Other]],Table_NFI[Winter Items Other])</f>
        <v>0</v>
      </c>
      <c r="AL897" s="264">
        <f>IF(NFI_Expiration=1,IF($A897&lt;VLOOKUP(M$5,NFI,5,0),1,0)*Table_NFI[[#This Row],[Winter Blanket]],Table_NFI[[#This Row],[Winter Blanket]])</f>
        <v>0</v>
      </c>
      <c r="AM897" s="264">
        <f>IF(Table_NFI[[#This Row],[Winter Clothes Adult]]+Table_NFI[[#This Row],[Winter Clothes Children]]+Table_NFI[[#This Row],[Winter Items Other]]+Table_NFI[[#This Row],[Winter Blanket]]&gt;0,1,0)</f>
        <v>0</v>
      </c>
      <c r="AN897" s="296">
        <f>IF(NFI_Expiration=1,IF($A897&lt;VLOOKUP(V$5,NFI,5,0),1,0)*Table_NFI[[#This Row],[Jerry Can]],Table_NFI[Jerry Can])</f>
        <v>0</v>
      </c>
      <c r="AO897" s="296">
        <f>IF(NFI_Expiration=1,IF($A897&lt;VLOOKUP(V$5,NFI,5,0),1,0)*Table_NFI[[#This Row],[Shelter Tool kit]],Table_NFI[Shelter Tool kit])</f>
        <v>0</v>
      </c>
      <c r="AP897" s="296">
        <f>IF(NFI_Expiration=1,IF($A897&lt;VLOOKUP(V$5,NFI,5,0),1,0)*Table_NFI[[#This Row],[Tent]],Table_NFI[Tent])</f>
        <v>0</v>
      </c>
      <c r="AQ897" s="396" t="str">
        <f>IFERROR(VLOOKUP(Table_NFI[[#This Row],[Camp Name]],CL,2,0),"")</f>
        <v>MMR001CMP037</v>
      </c>
      <c r="AR897" s="702">
        <f ca="1">IF(Table_NFI[[#This Row],[Pcode]]="","",IF(OFFSET(CampList[Opening Date],MATCH(Table_NFI[[#This Row],[Pcode]],CampList[CP_Pcode],0)-1,0,1,1)&gt;=NFI_Monitor_Date,1,0))</f>
        <v>0</v>
      </c>
      <c r="AS897" s="396" t="str">
        <f>IFERROR(VLOOKUP(Table_NFI[[#This Row],[Camp Name]],CL,3,0),"")</f>
        <v>Open</v>
      </c>
      <c r="AT897" s="264" t="str">
        <f ca="1">IF(Table_NFI[[#This Row],[Pcode]]="","",OFFSET(CampList[Priority],MATCH(Table_NFI[[#This Row],[Pcode]],CampList[CP_Pcode],0)-1,0,1,1))</f>
        <v>P4</v>
      </c>
      <c r="AU897" s="263">
        <f>IFERROR(Table_NFI[[#This Row],[Kitchen Set]]/VLOOKUP(Table_NFI[[#This Row],[Camp Name]],CL,4,0),"")</f>
        <v>0</v>
      </c>
      <c r="AV897" s="390" t="s">
        <v>1087</v>
      </c>
      <c r="AW897" s="392"/>
      <c r="AX897" s="399"/>
      <c r="AY897" s="399"/>
      <c r="AZ897" s="399"/>
      <c r="BA897" s="399"/>
      <c r="BB897" s="399"/>
      <c r="BC897" s="399"/>
      <c r="BD897" s="399"/>
      <c r="BE897" s="399"/>
      <c r="BF897" s="399"/>
      <c r="BG897" s="399"/>
      <c r="BH897" s="399"/>
      <c r="BI897" s="399"/>
      <c r="BJ897" s="399"/>
      <c r="BK897" s="399"/>
      <c r="BL897" s="399"/>
      <c r="BM897" s="399"/>
      <c r="BN897" s="399"/>
      <c r="BO897" s="399"/>
      <c r="BP897" s="399"/>
      <c r="BQ897" s="399"/>
      <c r="BR897" s="399"/>
      <c r="BS897" s="399"/>
      <c r="BT897" s="399"/>
      <c r="BU897" s="399"/>
      <c r="BV897" s="399"/>
      <c r="BW897" s="399"/>
      <c r="BX897" s="399"/>
      <c r="BY897" s="399"/>
      <c r="BZ897" s="399"/>
      <c r="CA897" s="399"/>
      <c r="CB897" s="399"/>
      <c r="CC897" s="399"/>
      <c r="CD897" s="399"/>
      <c r="CE897" s="399"/>
      <c r="CF897" s="399"/>
      <c r="CG897" s="399"/>
      <c r="CH897" s="399"/>
      <c r="CI897" s="399"/>
      <c r="CJ897" s="399"/>
      <c r="CK897" s="399"/>
      <c r="CL897" s="399"/>
      <c r="CM897" s="399"/>
      <c r="CN897" s="399"/>
      <c r="CO897" s="399"/>
      <c r="CP897" s="399"/>
      <c r="CQ897" s="399"/>
      <c r="CR897" s="399"/>
      <c r="CS897" s="399"/>
      <c r="CT897" s="399"/>
      <c r="CU897" s="399"/>
      <c r="CV897" s="399"/>
      <c r="CW897" s="399"/>
      <c r="CX897" s="399"/>
      <c r="CY897" s="399"/>
      <c r="CZ897" s="399"/>
      <c r="DA897" s="399"/>
      <c r="DB897" s="399"/>
      <c r="DC897" s="399"/>
      <c r="DD897" s="399"/>
      <c r="DE897" s="399"/>
      <c r="DF897" s="399"/>
      <c r="DG897" s="399"/>
      <c r="DH897" s="399"/>
      <c r="DI897" s="399"/>
      <c r="DJ897" s="399"/>
      <c r="DK897" s="399"/>
      <c r="DL897" s="399"/>
      <c r="DM897" s="399"/>
      <c r="DN897" s="399"/>
      <c r="DO897" s="399"/>
      <c r="DP897" s="399"/>
      <c r="DQ897" s="399"/>
    </row>
    <row r="898" spans="1:121" s="760" customFormat="1" ht="14.45" customHeight="1" x14ac:dyDescent="0.25">
      <c r="A898" s="266">
        <f t="shared" si="13"/>
        <v>52.733333333333334</v>
      </c>
      <c r="B898" s="389">
        <v>41274</v>
      </c>
      <c r="C898" s="390" t="s">
        <v>452</v>
      </c>
      <c r="D898" s="390" t="s">
        <v>452</v>
      </c>
      <c r="E898" s="390" t="s">
        <v>380</v>
      </c>
      <c r="F898" s="262" t="s">
        <v>310</v>
      </c>
      <c r="G898" s="262" t="s">
        <v>316</v>
      </c>
      <c r="H898" s="261">
        <v>56</v>
      </c>
      <c r="I898" s="261"/>
      <c r="J898" s="261"/>
      <c r="K898" s="261"/>
      <c r="L898" s="261"/>
      <c r="M898" s="261"/>
      <c r="N898" s="261"/>
      <c r="O898" s="261"/>
      <c r="P898" s="261">
        <v>0</v>
      </c>
      <c r="Q898" s="261">
        <v>0</v>
      </c>
      <c r="R898" s="261"/>
      <c r="S898" s="261"/>
      <c r="T898" s="261"/>
      <c r="U898" s="261"/>
      <c r="V898" s="762"/>
      <c r="W898" s="261"/>
      <c r="X898" s="261"/>
      <c r="Y898" s="264">
        <f>IF(NFI_Expiration=1,IF($A898&lt;VLOOKUP(H$5,NFI,5,0),1,0)*Table_NFI[[#This Row],[Hygiene Kit]],Table_NFI[Hygiene Kit])</f>
        <v>0</v>
      </c>
      <c r="Z898" s="264">
        <f>IF(NFI_Expiration=1,IF($A898&lt;VLOOKUP(I$5,NFI,5,0),1,0)*Table_NFI[[#This Row],[NFI Core Kit]],Table_NFI[NFI Core Kit])</f>
        <v>0</v>
      </c>
      <c r="AA898" s="264">
        <f>IF(NFI_Expiration=1,IF($A898&lt;VLOOKUP(J$5,NFI,5,0),1,0)*Table_NFI[[#This Row],[Sanitary Kit]],Table_NFI[Sanitary Kit])</f>
        <v>0</v>
      </c>
      <c r="AB898" s="264">
        <f>IF(NFI_Expiration=1,IF($A898&lt;VLOOKUP(K$5,NFI,5,0),1,0)*Table_NFI[[#This Row],[Mosquito net]],Table_NFI[Mosquito net])</f>
        <v>0</v>
      </c>
      <c r="AC898" s="264">
        <f>IF(NFI_Expiration=1,IF($A898&lt;VLOOKUP(L$5,NFI,5,0),1,0)*Table_NFI[[#This Row],[Tarpaulin]],Table_NFI[[#This Row],[Tarpaulin]])</f>
        <v>0</v>
      </c>
      <c r="AD898" s="264">
        <f>IF(NFI_Expiration=1,IF($A898&lt;VLOOKUP(M$5,NFI,5,0),1,0)*Table_NFI[[#This Row],[Blanket]],Table_NFI[[#This Row],[Blanket]])</f>
        <v>0</v>
      </c>
      <c r="AE898" s="264">
        <f>IF(NFI_Expiration=1,IF($A898&lt;VLOOKUP(N$5,NFI,5,0),1,0)*Table_NFI[[#This Row],[Kitchen Set]],Table_NFI[Kitchen Set])</f>
        <v>0</v>
      </c>
      <c r="AF898" s="264">
        <f>IF(NFI_Expiration=1,IF($A898&lt;VLOOKUP(O$5,NFI,5,0),1,0)*Table_NFI[[#This Row],[Clothes Kit]],Table_NFI[Clothes Kit])</f>
        <v>0</v>
      </c>
      <c r="AG898" s="264">
        <f>IF(NFI_Expiration=1,IF($A898&lt;VLOOKUP(P$5,NFI,5,0),1,0)*Table_NFI[[#This Row],[Plastic Bucket]],Table_NFI[Plastic Bucket])</f>
        <v>0</v>
      </c>
      <c r="AH898" s="264">
        <f>IF(NFI_Expiration=1,IF($A898&lt;VLOOKUP(Q$5,NFI,5,0),1,0)*Table_NFI[[#This Row],[Plastic Mat]],Table_NFI[Plastic Mat])*IF(Table_NFI[[#This Row],[Distribution Date]]&gt;"2014-04-01",1,2.5)</f>
        <v>0</v>
      </c>
      <c r="AI898" s="264">
        <f>IF(NFI_Expiration=1,IF($A898&lt;VLOOKUP(R$5,NFI,5,0),1,0)*Table_NFI[[#This Row],[Winter Clothes Adult]],Table_NFI[Winter Clothes Adult])</f>
        <v>0</v>
      </c>
      <c r="AJ898" s="264">
        <f>IF(NFI_Expiration=1,IF($A898&lt;VLOOKUP(S$5,NFI,5,0),1,0)*Table_NFI[[#This Row],[Winter Clothes Children]],Table_NFI[Winter Clothes Children])</f>
        <v>0</v>
      </c>
      <c r="AK898" s="264">
        <f>IF(NFI_Expiration=1,IF($A898&lt;VLOOKUP(T$5,NFI,5,0),1,0)*Table_NFI[[#This Row],[Winter Items Other]],Table_NFI[Winter Items Other])</f>
        <v>0</v>
      </c>
      <c r="AL898" s="264">
        <f>IF(NFI_Expiration=1,IF($A898&lt;VLOOKUP(M$5,NFI,5,0),1,0)*Table_NFI[[#This Row],[Winter Blanket]],Table_NFI[[#This Row],[Winter Blanket]])</f>
        <v>0</v>
      </c>
      <c r="AM898" s="264">
        <f>IF(Table_NFI[[#This Row],[Winter Clothes Adult]]+Table_NFI[[#This Row],[Winter Clothes Children]]+Table_NFI[[#This Row],[Winter Items Other]]+Table_NFI[[#This Row],[Winter Blanket]]&gt;0,1,0)</f>
        <v>0</v>
      </c>
      <c r="AN898" s="296">
        <f>IF(NFI_Expiration=1,IF($A898&lt;VLOOKUP(V$5,NFI,5,0),1,0)*Table_NFI[[#This Row],[Jerry Can]],Table_NFI[Jerry Can])</f>
        <v>0</v>
      </c>
      <c r="AO898" s="296">
        <f>IF(NFI_Expiration=1,IF($A898&lt;VLOOKUP(V$5,NFI,5,0),1,0)*Table_NFI[[#This Row],[Shelter Tool kit]],Table_NFI[Shelter Tool kit])</f>
        <v>0</v>
      </c>
      <c r="AP898" s="296">
        <f>IF(NFI_Expiration=1,IF($A898&lt;VLOOKUP(V$5,NFI,5,0),1,0)*Table_NFI[[#This Row],[Tent]],Table_NFI[Tent])</f>
        <v>0</v>
      </c>
      <c r="AQ898" s="396" t="str">
        <f>IFERROR(VLOOKUP(Table_NFI[[#This Row],[Camp Name]],CL,2,0),"")</f>
        <v>MMR001CMP038</v>
      </c>
      <c r="AR898" s="702">
        <f ca="1">IF(Table_NFI[[#This Row],[Pcode]]="","",IF(OFFSET(CampList[Opening Date],MATCH(Table_NFI[[#This Row],[Pcode]],CampList[CP_Pcode],0)-1,0,1,1)&gt;=NFI_Monitor_Date,1,0))</f>
        <v>0</v>
      </c>
      <c r="AS898" s="396" t="str">
        <f>IFERROR(VLOOKUP(Table_NFI[[#This Row],[Camp Name]],CL,3,0),"")</f>
        <v>Open</v>
      </c>
      <c r="AT898" s="264" t="str">
        <f ca="1">IF(Table_NFI[[#This Row],[Pcode]]="","",OFFSET(CampList[Priority],MATCH(Table_NFI[[#This Row],[Pcode]],CampList[CP_Pcode],0)-1,0,1,1))</f>
        <v>P4</v>
      </c>
      <c r="AU898" s="263">
        <f>IFERROR(Table_NFI[[#This Row],[Kitchen Set]]/VLOOKUP(Table_NFI[[#This Row],[Camp Name]],CL,4,0),"")</f>
        <v>0</v>
      </c>
      <c r="AV898" s="390" t="s">
        <v>1087</v>
      </c>
      <c r="AW898" s="392"/>
      <c r="AX898" s="399"/>
      <c r="AY898" s="399"/>
      <c r="AZ898" s="399"/>
      <c r="BA898" s="399"/>
      <c r="BB898" s="399"/>
      <c r="BC898" s="399"/>
      <c r="BD898" s="399"/>
      <c r="BE898" s="399"/>
      <c r="BF898" s="399"/>
      <c r="BG898" s="399"/>
      <c r="BH898" s="399"/>
      <c r="BI898" s="399"/>
      <c r="BJ898" s="399"/>
      <c r="BK898" s="399"/>
      <c r="BL898" s="399"/>
      <c r="BM898" s="399"/>
      <c r="BN898" s="399"/>
      <c r="BO898" s="399"/>
      <c r="BP898" s="399"/>
      <c r="BQ898" s="399"/>
      <c r="BR898" s="399"/>
      <c r="BS898" s="399"/>
      <c r="BT898" s="399"/>
      <c r="BU898" s="399"/>
      <c r="BV898" s="399"/>
      <c r="BW898" s="399"/>
      <c r="BX898" s="399"/>
      <c r="BY898" s="399"/>
      <c r="BZ898" s="399"/>
      <c r="CA898" s="399"/>
      <c r="CB898" s="399"/>
      <c r="CC898" s="399"/>
      <c r="CD898" s="399"/>
      <c r="CE898" s="399"/>
      <c r="CF898" s="399"/>
      <c r="CG898" s="399"/>
      <c r="CH898" s="399"/>
      <c r="CI898" s="399"/>
      <c r="CJ898" s="399"/>
      <c r="CK898" s="399"/>
      <c r="CL898" s="399"/>
      <c r="CM898" s="399"/>
      <c r="CN898" s="399"/>
      <c r="CO898" s="399"/>
      <c r="CP898" s="399"/>
      <c r="CQ898" s="399"/>
      <c r="CR898" s="399"/>
      <c r="CS898" s="399"/>
      <c r="CT898" s="399"/>
      <c r="CU898" s="399"/>
      <c r="CV898" s="399"/>
      <c r="CW898" s="399"/>
      <c r="CX898" s="399"/>
      <c r="CY898" s="399"/>
      <c r="CZ898" s="399"/>
      <c r="DA898" s="399"/>
      <c r="DB898" s="399"/>
      <c r="DC898" s="399"/>
      <c r="DD898" s="399"/>
      <c r="DE898" s="399"/>
      <c r="DF898" s="399"/>
      <c r="DG898" s="399"/>
      <c r="DH898" s="399"/>
      <c r="DI898" s="399"/>
      <c r="DJ898" s="399"/>
      <c r="DK898" s="399"/>
      <c r="DL898" s="399"/>
      <c r="DM898" s="399"/>
      <c r="DN898" s="399"/>
      <c r="DO898" s="399"/>
      <c r="DP898" s="399"/>
      <c r="DQ898" s="399"/>
    </row>
    <row r="899" spans="1:121" s="760" customFormat="1" ht="14.45" customHeight="1" x14ac:dyDescent="0.25">
      <c r="A899" s="266">
        <f t="shared" si="13"/>
        <v>52.733333333333334</v>
      </c>
      <c r="B899" s="389">
        <v>41274</v>
      </c>
      <c r="C899" s="390" t="s">
        <v>452</v>
      </c>
      <c r="D899" s="390" t="s">
        <v>452</v>
      </c>
      <c r="E899" s="390" t="s">
        <v>380</v>
      </c>
      <c r="F899" s="390" t="s">
        <v>237</v>
      </c>
      <c r="G899" s="262" t="s">
        <v>283</v>
      </c>
      <c r="H899" s="261">
        <v>24</v>
      </c>
      <c r="I899" s="261"/>
      <c r="J899" s="261"/>
      <c r="K899" s="261"/>
      <c r="L899" s="261"/>
      <c r="M899" s="261"/>
      <c r="N899" s="261"/>
      <c r="O899" s="261"/>
      <c r="P899" s="261">
        <v>0</v>
      </c>
      <c r="Q899" s="261">
        <v>0</v>
      </c>
      <c r="R899" s="261"/>
      <c r="S899" s="261"/>
      <c r="T899" s="261"/>
      <c r="U899" s="261"/>
      <c r="V899" s="762"/>
      <c r="W899" s="261"/>
      <c r="X899" s="261"/>
      <c r="Y899" s="264">
        <f>IF(NFI_Expiration=1,IF($A899&lt;VLOOKUP(H$5,NFI,5,0),1,0)*Table_NFI[[#This Row],[Hygiene Kit]],Table_NFI[Hygiene Kit])</f>
        <v>0</v>
      </c>
      <c r="Z899" s="264">
        <f>IF(NFI_Expiration=1,IF($A899&lt;VLOOKUP(I$5,NFI,5,0),1,0)*Table_NFI[[#This Row],[NFI Core Kit]],Table_NFI[NFI Core Kit])</f>
        <v>0</v>
      </c>
      <c r="AA899" s="264">
        <f>IF(NFI_Expiration=1,IF($A899&lt;VLOOKUP(J$5,NFI,5,0),1,0)*Table_NFI[[#This Row],[Sanitary Kit]],Table_NFI[Sanitary Kit])</f>
        <v>0</v>
      </c>
      <c r="AB899" s="264">
        <f>IF(NFI_Expiration=1,IF($A899&lt;VLOOKUP(K$5,NFI,5,0),1,0)*Table_NFI[[#This Row],[Mosquito net]],Table_NFI[Mosquito net])</f>
        <v>0</v>
      </c>
      <c r="AC899" s="264">
        <f>IF(NFI_Expiration=1,IF($A899&lt;VLOOKUP(L$5,NFI,5,0),1,0)*Table_NFI[[#This Row],[Tarpaulin]],Table_NFI[[#This Row],[Tarpaulin]])</f>
        <v>0</v>
      </c>
      <c r="AD899" s="264">
        <f>IF(NFI_Expiration=1,IF($A899&lt;VLOOKUP(M$5,NFI,5,0),1,0)*Table_NFI[[#This Row],[Blanket]],Table_NFI[[#This Row],[Blanket]])</f>
        <v>0</v>
      </c>
      <c r="AE899" s="264">
        <f>IF(NFI_Expiration=1,IF($A899&lt;VLOOKUP(N$5,NFI,5,0),1,0)*Table_NFI[[#This Row],[Kitchen Set]],Table_NFI[Kitchen Set])</f>
        <v>0</v>
      </c>
      <c r="AF899" s="264">
        <f>IF(NFI_Expiration=1,IF($A899&lt;VLOOKUP(O$5,NFI,5,0),1,0)*Table_NFI[[#This Row],[Clothes Kit]],Table_NFI[Clothes Kit])</f>
        <v>0</v>
      </c>
      <c r="AG899" s="264">
        <f>IF(NFI_Expiration=1,IF($A899&lt;VLOOKUP(P$5,NFI,5,0),1,0)*Table_NFI[[#This Row],[Plastic Bucket]],Table_NFI[Plastic Bucket])</f>
        <v>0</v>
      </c>
      <c r="AH899" s="264">
        <f>IF(NFI_Expiration=1,IF($A899&lt;VLOOKUP(Q$5,NFI,5,0),1,0)*Table_NFI[[#This Row],[Plastic Mat]],Table_NFI[Plastic Mat])*IF(Table_NFI[[#This Row],[Distribution Date]]&gt;"2014-04-01",1,2.5)</f>
        <v>0</v>
      </c>
      <c r="AI899" s="264">
        <f>IF(NFI_Expiration=1,IF($A899&lt;VLOOKUP(R$5,NFI,5,0),1,0)*Table_NFI[[#This Row],[Winter Clothes Adult]],Table_NFI[Winter Clothes Adult])</f>
        <v>0</v>
      </c>
      <c r="AJ899" s="264">
        <f>IF(NFI_Expiration=1,IF($A899&lt;VLOOKUP(S$5,NFI,5,0),1,0)*Table_NFI[[#This Row],[Winter Clothes Children]],Table_NFI[Winter Clothes Children])</f>
        <v>0</v>
      </c>
      <c r="AK899" s="264">
        <f>IF(NFI_Expiration=1,IF($A899&lt;VLOOKUP(T$5,NFI,5,0),1,0)*Table_NFI[[#This Row],[Winter Items Other]],Table_NFI[Winter Items Other])</f>
        <v>0</v>
      </c>
      <c r="AL899" s="264">
        <f>IF(NFI_Expiration=1,IF($A899&lt;VLOOKUP(M$5,NFI,5,0),1,0)*Table_NFI[[#This Row],[Winter Blanket]],Table_NFI[[#This Row],[Winter Blanket]])</f>
        <v>0</v>
      </c>
      <c r="AM899" s="264">
        <f>IF(Table_NFI[[#This Row],[Winter Clothes Adult]]+Table_NFI[[#This Row],[Winter Clothes Children]]+Table_NFI[[#This Row],[Winter Items Other]]+Table_NFI[[#This Row],[Winter Blanket]]&gt;0,1,0)</f>
        <v>0</v>
      </c>
      <c r="AN899" s="296">
        <f>IF(NFI_Expiration=1,IF($A899&lt;VLOOKUP(V$5,NFI,5,0),1,0)*Table_NFI[[#This Row],[Jerry Can]],Table_NFI[Jerry Can])</f>
        <v>0</v>
      </c>
      <c r="AO899" s="296">
        <f>IF(NFI_Expiration=1,IF($A899&lt;VLOOKUP(V$5,NFI,5,0),1,0)*Table_NFI[[#This Row],[Shelter Tool kit]],Table_NFI[Shelter Tool kit])</f>
        <v>0</v>
      </c>
      <c r="AP899" s="296">
        <f>IF(NFI_Expiration=1,IF($A899&lt;VLOOKUP(V$5,NFI,5,0),1,0)*Table_NFI[[#This Row],[Tent]],Table_NFI[Tent])</f>
        <v>0</v>
      </c>
      <c r="AQ899" s="396" t="str">
        <f>IFERROR(VLOOKUP(Table_NFI[[#This Row],[Camp Name]],CL,2,0),"")</f>
        <v>MMR001CMP022</v>
      </c>
      <c r="AR899" s="702">
        <f ca="1">IF(Table_NFI[[#This Row],[Pcode]]="","",IF(OFFSET(CampList[Opening Date],MATCH(Table_NFI[[#This Row],[Pcode]],CampList[CP_Pcode],0)-1,0,1,1)&gt;=NFI_Monitor_Date,1,0))</f>
        <v>0</v>
      </c>
      <c r="AS899" s="396" t="str">
        <f>IFERROR(VLOOKUP(Table_NFI[[#This Row],[Camp Name]],CL,3,0),"")</f>
        <v>Open</v>
      </c>
      <c r="AT899" s="264" t="str">
        <f ca="1">IF(Table_NFI[[#This Row],[Pcode]]="","",OFFSET(CampList[Priority],MATCH(Table_NFI[[#This Row],[Pcode]],CampList[CP_Pcode],0)-1,0,1,1))</f>
        <v>P4</v>
      </c>
      <c r="AU899" s="263">
        <f>IFERROR(Table_NFI[[#This Row],[Kitchen Set]]/VLOOKUP(Table_NFI[[#This Row],[Camp Name]],CL,4,0),"")</f>
        <v>0</v>
      </c>
      <c r="AV899" s="390" t="s">
        <v>1087</v>
      </c>
      <c r="AW899" s="392"/>
      <c r="AX899" s="399"/>
      <c r="AY899" s="399"/>
      <c r="AZ899" s="399"/>
      <c r="BA899" s="399"/>
      <c r="BB899" s="399"/>
      <c r="BC899" s="399"/>
      <c r="BD899" s="399"/>
      <c r="BE899" s="399"/>
      <c r="BF899" s="399"/>
      <c r="BG899" s="399"/>
      <c r="BH899" s="399"/>
      <c r="BI899" s="399"/>
      <c r="BJ899" s="399"/>
      <c r="BK899" s="399"/>
      <c r="BL899" s="399"/>
      <c r="BM899" s="399"/>
      <c r="BN899" s="399"/>
      <c r="BO899" s="399"/>
      <c r="BP899" s="399"/>
      <c r="BQ899" s="399"/>
      <c r="BR899" s="399"/>
      <c r="BS899" s="399"/>
      <c r="BT899" s="399"/>
      <c r="BU899" s="399"/>
      <c r="BV899" s="399"/>
      <c r="BW899" s="399"/>
      <c r="BX899" s="399"/>
      <c r="BY899" s="399"/>
      <c r="BZ899" s="399"/>
      <c r="CA899" s="399"/>
      <c r="CB899" s="399"/>
      <c r="CC899" s="399"/>
      <c r="CD899" s="399"/>
      <c r="CE899" s="399"/>
      <c r="CF899" s="399"/>
      <c r="CG899" s="399"/>
      <c r="CH899" s="399"/>
      <c r="CI899" s="399"/>
      <c r="CJ899" s="399"/>
      <c r="CK899" s="399"/>
      <c r="CL899" s="399"/>
      <c r="CM899" s="399"/>
      <c r="CN899" s="399"/>
      <c r="CO899" s="399"/>
      <c r="CP899" s="399"/>
      <c r="CQ899" s="399"/>
      <c r="CR899" s="399"/>
      <c r="CS899" s="399"/>
      <c r="CT899" s="399"/>
      <c r="CU899" s="399"/>
      <c r="CV899" s="399"/>
      <c r="CW899" s="399"/>
      <c r="CX899" s="399"/>
      <c r="CY899" s="399"/>
      <c r="CZ899" s="399"/>
      <c r="DA899" s="399"/>
      <c r="DB899" s="399"/>
      <c r="DC899" s="399"/>
      <c r="DD899" s="399"/>
      <c r="DE899" s="399"/>
      <c r="DF899" s="399"/>
      <c r="DG899" s="399"/>
      <c r="DH899" s="399"/>
      <c r="DI899" s="399"/>
      <c r="DJ899" s="399"/>
      <c r="DK899" s="399"/>
      <c r="DL899" s="399"/>
      <c r="DM899" s="399"/>
      <c r="DN899" s="399"/>
      <c r="DO899" s="399"/>
      <c r="DP899" s="399"/>
      <c r="DQ899" s="399"/>
    </row>
    <row r="900" spans="1:121" s="760" customFormat="1" ht="14.45" customHeight="1" x14ac:dyDescent="0.25">
      <c r="A900" s="266">
        <f t="shared" si="13"/>
        <v>52.733333333333334</v>
      </c>
      <c r="B900" s="389">
        <v>41274</v>
      </c>
      <c r="C900" s="390" t="s">
        <v>452</v>
      </c>
      <c r="D900" s="391" t="s">
        <v>452</v>
      </c>
      <c r="E900" s="390" t="s">
        <v>380</v>
      </c>
      <c r="F900" s="262" t="s">
        <v>526</v>
      </c>
      <c r="G900" s="262" t="s">
        <v>140</v>
      </c>
      <c r="H900" s="261">
        <v>42</v>
      </c>
      <c r="I900" s="763"/>
      <c r="J900" s="261"/>
      <c r="K900" s="261"/>
      <c r="L900" s="261"/>
      <c r="M900" s="261"/>
      <c r="N900" s="261"/>
      <c r="O900" s="261"/>
      <c r="P900" s="261">
        <v>0</v>
      </c>
      <c r="Q900" s="261">
        <v>0</v>
      </c>
      <c r="R900" s="261"/>
      <c r="S900" s="261"/>
      <c r="T900" s="261"/>
      <c r="U900" s="261"/>
      <c r="V900" s="762"/>
      <c r="W900" s="261"/>
      <c r="X900" s="261"/>
      <c r="Y900" s="264">
        <f>IF(NFI_Expiration=1,IF($A900&lt;VLOOKUP(H$5,NFI,5,0),1,0)*Table_NFI[[#This Row],[Hygiene Kit]],Table_NFI[Hygiene Kit])</f>
        <v>0</v>
      </c>
      <c r="Z900" s="264">
        <f>IF(NFI_Expiration=1,IF($A900&lt;VLOOKUP(I$5,NFI,5,0),1,0)*Table_NFI[[#This Row],[NFI Core Kit]],Table_NFI[NFI Core Kit])</f>
        <v>0</v>
      </c>
      <c r="AA900" s="264">
        <f>IF(NFI_Expiration=1,IF($A900&lt;VLOOKUP(J$5,NFI,5,0),1,0)*Table_NFI[[#This Row],[Sanitary Kit]],Table_NFI[Sanitary Kit])</f>
        <v>0</v>
      </c>
      <c r="AB900" s="264">
        <f>IF(NFI_Expiration=1,IF($A900&lt;VLOOKUP(K$5,NFI,5,0),1,0)*Table_NFI[[#This Row],[Mosquito net]],Table_NFI[Mosquito net])</f>
        <v>0</v>
      </c>
      <c r="AC900" s="264">
        <f>IF(NFI_Expiration=1,IF($A900&lt;VLOOKUP(L$5,NFI,5,0),1,0)*Table_NFI[[#This Row],[Tarpaulin]],Table_NFI[[#This Row],[Tarpaulin]])</f>
        <v>0</v>
      </c>
      <c r="AD900" s="264">
        <f>IF(NFI_Expiration=1,IF($A900&lt;VLOOKUP(M$5,NFI,5,0),1,0)*Table_NFI[[#This Row],[Blanket]],Table_NFI[[#This Row],[Blanket]])</f>
        <v>0</v>
      </c>
      <c r="AE900" s="264">
        <f>IF(NFI_Expiration=1,IF($A900&lt;VLOOKUP(N$5,NFI,5,0),1,0)*Table_NFI[[#This Row],[Kitchen Set]],Table_NFI[Kitchen Set])</f>
        <v>0</v>
      </c>
      <c r="AF900" s="264">
        <f>IF(NFI_Expiration=1,IF($A900&lt;VLOOKUP(O$5,NFI,5,0),1,0)*Table_NFI[[#This Row],[Clothes Kit]],Table_NFI[Clothes Kit])</f>
        <v>0</v>
      </c>
      <c r="AG900" s="264">
        <f>IF(NFI_Expiration=1,IF($A900&lt;VLOOKUP(P$5,NFI,5,0),1,0)*Table_NFI[[#This Row],[Plastic Bucket]],Table_NFI[Plastic Bucket])</f>
        <v>0</v>
      </c>
      <c r="AH900" s="264">
        <f>IF(NFI_Expiration=1,IF($A900&lt;VLOOKUP(Q$5,NFI,5,0),1,0)*Table_NFI[[#This Row],[Plastic Mat]],Table_NFI[Plastic Mat])*IF(Table_NFI[[#This Row],[Distribution Date]]&gt;"2014-04-01",1,2.5)</f>
        <v>0</v>
      </c>
      <c r="AI900" s="264">
        <f>IF(NFI_Expiration=1,IF($A900&lt;VLOOKUP(R$5,NFI,5,0),1,0)*Table_NFI[[#This Row],[Winter Clothes Adult]],Table_NFI[Winter Clothes Adult])</f>
        <v>0</v>
      </c>
      <c r="AJ900" s="264">
        <f>IF(NFI_Expiration=1,IF($A900&lt;VLOOKUP(S$5,NFI,5,0),1,0)*Table_NFI[[#This Row],[Winter Clothes Children]],Table_NFI[Winter Clothes Children])</f>
        <v>0</v>
      </c>
      <c r="AK900" s="264">
        <f>IF(NFI_Expiration=1,IF($A900&lt;VLOOKUP(T$5,NFI,5,0),1,0)*Table_NFI[[#This Row],[Winter Items Other]],Table_NFI[Winter Items Other])</f>
        <v>0</v>
      </c>
      <c r="AL900" s="264">
        <f>IF(NFI_Expiration=1,IF($A900&lt;VLOOKUP(M$5,NFI,5,0),1,0)*Table_NFI[[#This Row],[Winter Blanket]],Table_NFI[[#This Row],[Winter Blanket]])</f>
        <v>0</v>
      </c>
      <c r="AM900" s="264">
        <f>IF(Table_NFI[[#This Row],[Winter Clothes Adult]]+Table_NFI[[#This Row],[Winter Clothes Children]]+Table_NFI[[#This Row],[Winter Items Other]]+Table_NFI[[#This Row],[Winter Blanket]]&gt;0,1,0)</f>
        <v>0</v>
      </c>
      <c r="AN900" s="296">
        <f>IF(NFI_Expiration=1,IF($A900&lt;VLOOKUP(V$5,NFI,5,0),1,0)*Table_NFI[[#This Row],[Jerry Can]],Table_NFI[Jerry Can])</f>
        <v>0</v>
      </c>
      <c r="AO900" s="296">
        <f>IF(NFI_Expiration=1,IF($A900&lt;VLOOKUP(V$5,NFI,5,0),1,0)*Table_NFI[[#This Row],[Shelter Tool kit]],Table_NFI[Shelter Tool kit])</f>
        <v>0</v>
      </c>
      <c r="AP900" s="296">
        <f>IF(NFI_Expiration=1,IF($A900&lt;VLOOKUP(V$5,NFI,5,0),1,0)*Table_NFI[[#This Row],[Tent]],Table_NFI[Tent])</f>
        <v>0</v>
      </c>
      <c r="AQ900" s="396" t="str">
        <f>IFERROR(VLOOKUP(Table_NFI[[#This Row],[Camp Name]],CL,2,0),"")</f>
        <v>MMR001CMP105</v>
      </c>
      <c r="AR900" s="702">
        <f ca="1">IF(Table_NFI[[#This Row],[Pcode]]="","",IF(OFFSET(CampList[Opening Date],MATCH(Table_NFI[[#This Row],[Pcode]],CampList[CP_Pcode],0)-1,0,1,1)&gt;=NFI_Monitor_Date,1,0))</f>
        <v>0</v>
      </c>
      <c r="AS900" s="396" t="str">
        <f>IFERROR(VLOOKUP(Table_NFI[[#This Row],[Camp Name]],CL,3,0),"")</f>
        <v>Open</v>
      </c>
      <c r="AT900" s="264" t="str">
        <f ca="1">IF(Table_NFI[[#This Row],[Pcode]]="","",OFFSET(CampList[Priority],MATCH(Table_NFI[[#This Row],[Pcode]],CampList[CP_Pcode],0)-1,0,1,1))</f>
        <v>P4</v>
      </c>
      <c r="AU900" s="263">
        <f>IFERROR(Table_NFI[[#This Row],[Kitchen Set]]/VLOOKUP(Table_NFI[[#This Row],[Camp Name]],CL,4,0),"")</f>
        <v>0</v>
      </c>
      <c r="AV900" s="390" t="s">
        <v>1087</v>
      </c>
      <c r="AW900" s="392"/>
      <c r="AX900" s="399"/>
      <c r="AY900" s="399"/>
      <c r="AZ900" s="399"/>
      <c r="BA900" s="399"/>
      <c r="BB900" s="399"/>
      <c r="BC900" s="399"/>
      <c r="BD900" s="399"/>
      <c r="BE900" s="399"/>
      <c r="BF900" s="399"/>
      <c r="BG900" s="399"/>
      <c r="BH900" s="399"/>
      <c r="BI900" s="399"/>
      <c r="BJ900" s="399"/>
      <c r="BK900" s="399"/>
      <c r="BL900" s="399"/>
      <c r="BM900" s="399"/>
      <c r="BN900" s="399"/>
      <c r="BO900" s="399"/>
      <c r="BP900" s="399"/>
      <c r="BQ900" s="399"/>
      <c r="BR900" s="399"/>
      <c r="BS900" s="399"/>
      <c r="BT900" s="399"/>
      <c r="BU900" s="399"/>
      <c r="BV900" s="399"/>
      <c r="BW900" s="399"/>
      <c r="BX900" s="399"/>
      <c r="BY900" s="399"/>
      <c r="BZ900" s="399"/>
      <c r="CA900" s="399"/>
      <c r="CB900" s="399"/>
      <c r="CC900" s="399"/>
      <c r="CD900" s="399"/>
      <c r="CE900" s="399"/>
      <c r="CF900" s="399"/>
      <c r="CG900" s="399"/>
      <c r="CH900" s="399"/>
      <c r="CI900" s="399"/>
      <c r="CJ900" s="399"/>
      <c r="CK900" s="399"/>
      <c r="CL900" s="399"/>
      <c r="CM900" s="399"/>
      <c r="CN900" s="399"/>
      <c r="CO900" s="399"/>
      <c r="CP900" s="399"/>
      <c r="CQ900" s="399"/>
      <c r="CR900" s="399"/>
      <c r="CS900" s="399"/>
      <c r="CT900" s="399"/>
      <c r="CU900" s="399"/>
      <c r="CV900" s="399"/>
      <c r="CW900" s="399"/>
      <c r="CX900" s="399"/>
      <c r="CY900" s="399"/>
      <c r="CZ900" s="399"/>
      <c r="DA900" s="399"/>
      <c r="DB900" s="399"/>
      <c r="DC900" s="399"/>
      <c r="DD900" s="399"/>
      <c r="DE900" s="399"/>
      <c r="DF900" s="399"/>
      <c r="DG900" s="399"/>
      <c r="DH900" s="399"/>
      <c r="DI900" s="399"/>
      <c r="DJ900" s="399"/>
      <c r="DK900" s="399"/>
      <c r="DL900" s="399"/>
      <c r="DM900" s="399"/>
      <c r="DN900" s="399"/>
      <c r="DO900" s="399"/>
      <c r="DP900" s="399"/>
      <c r="DQ900" s="399"/>
    </row>
    <row r="901" spans="1:121" s="760" customFormat="1" ht="14.45" customHeight="1" x14ac:dyDescent="0.25">
      <c r="A901" s="266">
        <f t="shared" si="13"/>
        <v>52.733333333333334</v>
      </c>
      <c r="B901" s="389">
        <v>41274</v>
      </c>
      <c r="C901" s="390" t="s">
        <v>452</v>
      </c>
      <c r="D901" s="390" t="s">
        <v>452</v>
      </c>
      <c r="E901" s="390" t="s">
        <v>380</v>
      </c>
      <c r="F901" s="262" t="s">
        <v>526</v>
      </c>
      <c r="G901" s="262" t="s">
        <v>50</v>
      </c>
      <c r="H901" s="261">
        <v>16</v>
      </c>
      <c r="I901" s="261"/>
      <c r="J901" s="261"/>
      <c r="K901" s="261"/>
      <c r="L901" s="261"/>
      <c r="M901" s="261"/>
      <c r="N901" s="261"/>
      <c r="O901" s="261"/>
      <c r="P901" s="261">
        <v>0</v>
      </c>
      <c r="Q901" s="261">
        <v>0</v>
      </c>
      <c r="R901" s="261"/>
      <c r="S901" s="261"/>
      <c r="T901" s="261"/>
      <c r="U901" s="261"/>
      <c r="V901" s="762"/>
      <c r="W901" s="261"/>
      <c r="X901" s="261"/>
      <c r="Y901" s="264">
        <f>IF(NFI_Expiration=1,IF($A901&lt;VLOOKUP(H$5,NFI,5,0),1,0)*Table_NFI[[#This Row],[Hygiene Kit]],Table_NFI[Hygiene Kit])</f>
        <v>0</v>
      </c>
      <c r="Z901" s="264">
        <f>IF(NFI_Expiration=1,IF($A901&lt;VLOOKUP(I$5,NFI,5,0),1,0)*Table_NFI[[#This Row],[NFI Core Kit]],Table_NFI[NFI Core Kit])</f>
        <v>0</v>
      </c>
      <c r="AA901" s="264">
        <f>IF(NFI_Expiration=1,IF($A901&lt;VLOOKUP(J$5,NFI,5,0),1,0)*Table_NFI[[#This Row],[Sanitary Kit]],Table_NFI[Sanitary Kit])</f>
        <v>0</v>
      </c>
      <c r="AB901" s="264">
        <f>IF(NFI_Expiration=1,IF($A901&lt;VLOOKUP(K$5,NFI,5,0),1,0)*Table_NFI[[#This Row],[Mosquito net]],Table_NFI[Mosquito net])</f>
        <v>0</v>
      </c>
      <c r="AC901" s="264">
        <f>IF(NFI_Expiration=1,IF($A901&lt;VLOOKUP(L$5,NFI,5,0),1,0)*Table_NFI[[#This Row],[Tarpaulin]],Table_NFI[[#This Row],[Tarpaulin]])</f>
        <v>0</v>
      </c>
      <c r="AD901" s="264">
        <f>IF(NFI_Expiration=1,IF($A901&lt;VLOOKUP(M$5,NFI,5,0),1,0)*Table_NFI[[#This Row],[Blanket]],Table_NFI[[#This Row],[Blanket]])</f>
        <v>0</v>
      </c>
      <c r="AE901" s="264">
        <f>IF(NFI_Expiration=1,IF($A901&lt;VLOOKUP(N$5,NFI,5,0),1,0)*Table_NFI[[#This Row],[Kitchen Set]],Table_NFI[Kitchen Set])</f>
        <v>0</v>
      </c>
      <c r="AF901" s="264">
        <f>IF(NFI_Expiration=1,IF($A901&lt;VLOOKUP(O$5,NFI,5,0),1,0)*Table_NFI[[#This Row],[Clothes Kit]],Table_NFI[Clothes Kit])</f>
        <v>0</v>
      </c>
      <c r="AG901" s="264">
        <f>IF(NFI_Expiration=1,IF($A901&lt;VLOOKUP(P$5,NFI,5,0),1,0)*Table_NFI[[#This Row],[Plastic Bucket]],Table_NFI[Plastic Bucket])</f>
        <v>0</v>
      </c>
      <c r="AH901" s="264">
        <f>IF(NFI_Expiration=1,IF($A901&lt;VLOOKUP(Q$5,NFI,5,0),1,0)*Table_NFI[[#This Row],[Plastic Mat]],Table_NFI[Plastic Mat])*IF(Table_NFI[[#This Row],[Distribution Date]]&gt;"2014-04-01",1,2.5)</f>
        <v>0</v>
      </c>
      <c r="AI901" s="264">
        <f>IF(NFI_Expiration=1,IF($A901&lt;VLOOKUP(R$5,NFI,5,0),1,0)*Table_NFI[[#This Row],[Winter Clothes Adult]],Table_NFI[Winter Clothes Adult])</f>
        <v>0</v>
      </c>
      <c r="AJ901" s="264">
        <f>IF(NFI_Expiration=1,IF($A901&lt;VLOOKUP(S$5,NFI,5,0),1,0)*Table_NFI[[#This Row],[Winter Clothes Children]],Table_NFI[Winter Clothes Children])</f>
        <v>0</v>
      </c>
      <c r="AK901" s="264">
        <f>IF(NFI_Expiration=1,IF($A901&lt;VLOOKUP(T$5,NFI,5,0),1,0)*Table_NFI[[#This Row],[Winter Items Other]],Table_NFI[Winter Items Other])</f>
        <v>0</v>
      </c>
      <c r="AL901" s="264">
        <f>IF(NFI_Expiration=1,IF($A901&lt;VLOOKUP(M$5,NFI,5,0),1,0)*Table_NFI[[#This Row],[Winter Blanket]],Table_NFI[[#This Row],[Winter Blanket]])</f>
        <v>0</v>
      </c>
      <c r="AM901" s="264">
        <f>IF(Table_NFI[[#This Row],[Winter Clothes Adult]]+Table_NFI[[#This Row],[Winter Clothes Children]]+Table_NFI[[#This Row],[Winter Items Other]]+Table_NFI[[#This Row],[Winter Blanket]]&gt;0,1,0)</f>
        <v>0</v>
      </c>
      <c r="AN901" s="296">
        <f>IF(NFI_Expiration=1,IF($A901&lt;VLOOKUP(V$5,NFI,5,0),1,0)*Table_NFI[[#This Row],[Jerry Can]],Table_NFI[Jerry Can])</f>
        <v>0</v>
      </c>
      <c r="AO901" s="296">
        <f>IF(NFI_Expiration=1,IF($A901&lt;VLOOKUP(V$5,NFI,5,0),1,0)*Table_NFI[[#This Row],[Shelter Tool kit]],Table_NFI[Shelter Tool kit])</f>
        <v>0</v>
      </c>
      <c r="AP901" s="296">
        <f>IF(NFI_Expiration=1,IF($A901&lt;VLOOKUP(V$5,NFI,5,0),1,0)*Table_NFI[[#This Row],[Tent]],Table_NFI[Tent])</f>
        <v>0</v>
      </c>
      <c r="AQ901" s="396" t="str">
        <f>IFERROR(VLOOKUP(Table_NFI[[#This Row],[Camp Name]],CL,2,0),"")</f>
        <v>MMR001CMP092</v>
      </c>
      <c r="AR901" s="702">
        <f ca="1">IF(Table_NFI[[#This Row],[Pcode]]="","",IF(OFFSET(CampList[Opening Date],MATCH(Table_NFI[[#This Row],[Pcode]],CampList[CP_Pcode],0)-1,0,1,1)&gt;=NFI_Monitor_Date,1,0))</f>
        <v>0</v>
      </c>
      <c r="AS901" s="396" t="str">
        <f>IFERROR(VLOOKUP(Table_NFI[[#This Row],[Camp Name]],CL,3,0),"")</f>
        <v>Closed</v>
      </c>
      <c r="AT901" s="264" t="str">
        <f ca="1">IF(Table_NFI[[#This Row],[Pcode]]="","",OFFSET(CampList[Priority],MATCH(Table_NFI[[#This Row],[Pcode]],CampList[CP_Pcode],0)-1,0,1,1))</f>
        <v/>
      </c>
      <c r="AU901" s="263" t="str">
        <f>IFERROR(Table_NFI[[#This Row],[Kitchen Set]]/VLOOKUP(Table_NFI[[#This Row],[Camp Name]],CL,4,0),"")</f>
        <v/>
      </c>
      <c r="AV901" s="390" t="s">
        <v>1087</v>
      </c>
      <c r="AW901" s="392"/>
      <c r="AX901" s="399"/>
      <c r="AY901" s="399"/>
      <c r="AZ901" s="399"/>
      <c r="BA901" s="399"/>
      <c r="BB901" s="399"/>
      <c r="BC901" s="399"/>
      <c r="BD901" s="399"/>
      <c r="BE901" s="399"/>
      <c r="BF901" s="399"/>
      <c r="BG901" s="399"/>
      <c r="BH901" s="399"/>
      <c r="BI901" s="399"/>
      <c r="BJ901" s="399"/>
      <c r="BK901" s="399"/>
      <c r="BL901" s="399"/>
      <c r="BM901" s="399"/>
      <c r="BN901" s="399"/>
      <c r="BO901" s="399"/>
      <c r="BP901" s="399"/>
      <c r="BQ901" s="399"/>
      <c r="BR901" s="399"/>
      <c r="BS901" s="399"/>
      <c r="BT901" s="399"/>
      <c r="BU901" s="399"/>
      <c r="BV901" s="399"/>
      <c r="BW901" s="399"/>
      <c r="BX901" s="399"/>
      <c r="BY901" s="399"/>
      <c r="BZ901" s="399"/>
      <c r="CA901" s="399"/>
      <c r="CB901" s="399"/>
      <c r="CC901" s="399"/>
      <c r="CD901" s="399"/>
      <c r="CE901" s="399"/>
      <c r="CF901" s="399"/>
      <c r="CG901" s="399"/>
      <c r="CH901" s="399"/>
      <c r="CI901" s="399"/>
      <c r="CJ901" s="399"/>
      <c r="CK901" s="399"/>
      <c r="CL901" s="399"/>
      <c r="CM901" s="399"/>
      <c r="CN901" s="399"/>
      <c r="CO901" s="399"/>
      <c r="CP901" s="399"/>
      <c r="CQ901" s="399"/>
      <c r="CR901" s="399"/>
      <c r="CS901" s="399"/>
      <c r="CT901" s="399"/>
      <c r="CU901" s="399"/>
      <c r="CV901" s="399"/>
      <c r="CW901" s="399"/>
      <c r="CX901" s="399"/>
      <c r="CY901" s="399"/>
      <c r="CZ901" s="399"/>
      <c r="DA901" s="399"/>
      <c r="DB901" s="399"/>
      <c r="DC901" s="399"/>
      <c r="DD901" s="399"/>
      <c r="DE901" s="399"/>
      <c r="DF901" s="399"/>
      <c r="DG901" s="399"/>
      <c r="DH901" s="399"/>
      <c r="DI901" s="399"/>
      <c r="DJ901" s="399"/>
      <c r="DK901" s="399"/>
      <c r="DL901" s="399"/>
      <c r="DM901" s="399"/>
      <c r="DN901" s="399"/>
      <c r="DO901" s="399"/>
      <c r="DP901" s="399"/>
      <c r="DQ901" s="399"/>
    </row>
    <row r="902" spans="1:121" s="760" customFormat="1" ht="14.45" customHeight="1" x14ac:dyDescent="0.25">
      <c r="A902" s="266">
        <f t="shared" ref="A902:A965" si="14">IF(ISBLANK(B902),"",(Report_Date-B902)/30)</f>
        <v>52.733333333333334</v>
      </c>
      <c r="B902" s="389">
        <v>41274</v>
      </c>
      <c r="C902" s="390" t="s">
        <v>452</v>
      </c>
      <c r="D902" s="391" t="s">
        <v>452</v>
      </c>
      <c r="E902" s="390" t="s">
        <v>380</v>
      </c>
      <c r="F902" s="262" t="s">
        <v>526</v>
      </c>
      <c r="G902" s="262" t="s">
        <v>60</v>
      </c>
      <c r="H902" s="261">
        <v>3</v>
      </c>
      <c r="I902" s="261"/>
      <c r="J902" s="261"/>
      <c r="K902" s="261"/>
      <c r="L902" s="261"/>
      <c r="M902" s="261"/>
      <c r="N902" s="261"/>
      <c r="O902" s="261"/>
      <c r="P902" s="261">
        <v>0</v>
      </c>
      <c r="Q902" s="261">
        <v>0</v>
      </c>
      <c r="R902" s="261"/>
      <c r="S902" s="261"/>
      <c r="T902" s="261"/>
      <c r="U902" s="261"/>
      <c r="V902" s="762"/>
      <c r="W902" s="261"/>
      <c r="X902" s="261"/>
      <c r="Y902" s="264">
        <f>IF(NFI_Expiration=1,IF($A902&lt;VLOOKUP(H$5,NFI,5,0),1,0)*Table_NFI[[#This Row],[Hygiene Kit]],Table_NFI[Hygiene Kit])</f>
        <v>0</v>
      </c>
      <c r="Z902" s="264">
        <f>IF(NFI_Expiration=1,IF($A902&lt;VLOOKUP(I$5,NFI,5,0),1,0)*Table_NFI[[#This Row],[NFI Core Kit]],Table_NFI[NFI Core Kit])</f>
        <v>0</v>
      </c>
      <c r="AA902" s="264">
        <f>IF(NFI_Expiration=1,IF($A902&lt;VLOOKUP(J$5,NFI,5,0),1,0)*Table_NFI[[#This Row],[Sanitary Kit]],Table_NFI[Sanitary Kit])</f>
        <v>0</v>
      </c>
      <c r="AB902" s="264">
        <f>IF(NFI_Expiration=1,IF($A902&lt;VLOOKUP(K$5,NFI,5,0),1,0)*Table_NFI[[#This Row],[Mosquito net]],Table_NFI[Mosquito net])</f>
        <v>0</v>
      </c>
      <c r="AC902" s="264">
        <f>IF(NFI_Expiration=1,IF($A902&lt;VLOOKUP(L$5,NFI,5,0),1,0)*Table_NFI[[#This Row],[Tarpaulin]],Table_NFI[[#This Row],[Tarpaulin]])</f>
        <v>0</v>
      </c>
      <c r="AD902" s="264">
        <f>IF(NFI_Expiration=1,IF($A902&lt;VLOOKUP(M$5,NFI,5,0),1,0)*Table_NFI[[#This Row],[Blanket]],Table_NFI[[#This Row],[Blanket]])</f>
        <v>0</v>
      </c>
      <c r="AE902" s="264">
        <f>IF(NFI_Expiration=1,IF($A902&lt;VLOOKUP(N$5,NFI,5,0),1,0)*Table_NFI[[#This Row],[Kitchen Set]],Table_NFI[Kitchen Set])</f>
        <v>0</v>
      </c>
      <c r="AF902" s="264">
        <f>IF(NFI_Expiration=1,IF($A902&lt;VLOOKUP(O$5,NFI,5,0),1,0)*Table_NFI[[#This Row],[Clothes Kit]],Table_NFI[Clothes Kit])</f>
        <v>0</v>
      </c>
      <c r="AG902" s="264">
        <f>IF(NFI_Expiration=1,IF($A902&lt;VLOOKUP(P$5,NFI,5,0),1,0)*Table_NFI[[#This Row],[Plastic Bucket]],Table_NFI[Plastic Bucket])</f>
        <v>0</v>
      </c>
      <c r="AH902" s="264">
        <f>IF(NFI_Expiration=1,IF($A902&lt;VLOOKUP(Q$5,NFI,5,0),1,0)*Table_NFI[[#This Row],[Plastic Mat]],Table_NFI[Plastic Mat])*IF(Table_NFI[[#This Row],[Distribution Date]]&gt;"2014-04-01",1,2.5)</f>
        <v>0</v>
      </c>
      <c r="AI902" s="264">
        <f>IF(NFI_Expiration=1,IF($A902&lt;VLOOKUP(R$5,NFI,5,0),1,0)*Table_NFI[[#This Row],[Winter Clothes Adult]],Table_NFI[Winter Clothes Adult])</f>
        <v>0</v>
      </c>
      <c r="AJ902" s="264">
        <f>IF(NFI_Expiration=1,IF($A902&lt;VLOOKUP(S$5,NFI,5,0),1,0)*Table_NFI[[#This Row],[Winter Clothes Children]],Table_NFI[Winter Clothes Children])</f>
        <v>0</v>
      </c>
      <c r="AK902" s="264">
        <f>IF(NFI_Expiration=1,IF($A902&lt;VLOOKUP(T$5,NFI,5,0),1,0)*Table_NFI[[#This Row],[Winter Items Other]],Table_NFI[Winter Items Other])</f>
        <v>0</v>
      </c>
      <c r="AL902" s="264">
        <f>IF(NFI_Expiration=1,IF($A902&lt;VLOOKUP(M$5,NFI,5,0),1,0)*Table_NFI[[#This Row],[Winter Blanket]],Table_NFI[[#This Row],[Winter Blanket]])</f>
        <v>0</v>
      </c>
      <c r="AM902" s="264">
        <f>IF(Table_NFI[[#This Row],[Winter Clothes Adult]]+Table_NFI[[#This Row],[Winter Clothes Children]]+Table_NFI[[#This Row],[Winter Items Other]]+Table_NFI[[#This Row],[Winter Blanket]]&gt;0,1,0)</f>
        <v>0</v>
      </c>
      <c r="AN902" s="296">
        <f>IF(NFI_Expiration=1,IF($A902&lt;VLOOKUP(V$5,NFI,5,0),1,0)*Table_NFI[[#This Row],[Jerry Can]],Table_NFI[Jerry Can])</f>
        <v>0</v>
      </c>
      <c r="AO902" s="296">
        <f>IF(NFI_Expiration=1,IF($A902&lt;VLOOKUP(V$5,NFI,5,0),1,0)*Table_NFI[[#This Row],[Shelter Tool kit]],Table_NFI[Shelter Tool kit])</f>
        <v>0</v>
      </c>
      <c r="AP902" s="296">
        <f>IF(NFI_Expiration=1,IF($A902&lt;VLOOKUP(V$5,NFI,5,0),1,0)*Table_NFI[[#This Row],[Tent]],Table_NFI[Tent])</f>
        <v>0</v>
      </c>
      <c r="AQ902" s="396" t="str">
        <f>IFERROR(VLOOKUP(Table_NFI[[#This Row],[Camp Name]],CL,2,0),"")</f>
        <v>MMR001CMP172</v>
      </c>
      <c r="AR902" s="702">
        <f ca="1">IF(Table_NFI[[#This Row],[Pcode]]="","",IF(OFFSET(CampList[Opening Date],MATCH(Table_NFI[[#This Row],[Pcode]],CampList[CP_Pcode],0)-1,0,1,1)&gt;=NFI_Monitor_Date,1,0))</f>
        <v>0</v>
      </c>
      <c r="AS902" s="396" t="str">
        <f>IFERROR(VLOOKUP(Table_NFI[[#This Row],[Camp Name]],CL,3,0),"")</f>
        <v>Closed</v>
      </c>
      <c r="AT902" s="264" t="str">
        <f ca="1">IF(Table_NFI[[#This Row],[Pcode]]="","",OFFSET(CampList[Priority],MATCH(Table_NFI[[#This Row],[Pcode]],CampList[CP_Pcode],0)-1,0,1,1))</f>
        <v/>
      </c>
      <c r="AU902" s="263">
        <f>IFERROR(Table_NFI[[#This Row],[Kitchen Set]]/VLOOKUP(Table_NFI[[#This Row],[Camp Name]],CL,4,0),"")</f>
        <v>0</v>
      </c>
      <c r="AV902" s="390" t="s">
        <v>1087</v>
      </c>
      <c r="AW902" s="392"/>
      <c r="AX902" s="399"/>
      <c r="AY902" s="399"/>
      <c r="AZ902" s="399"/>
      <c r="BA902" s="399"/>
      <c r="BB902" s="399"/>
      <c r="BC902" s="399"/>
      <c r="BD902" s="399"/>
      <c r="BE902" s="399"/>
      <c r="BF902" s="399"/>
      <c r="BG902" s="399"/>
      <c r="BH902" s="399"/>
      <c r="BI902" s="399"/>
      <c r="BJ902" s="399"/>
      <c r="BK902" s="399"/>
      <c r="BL902" s="399"/>
      <c r="BM902" s="399"/>
      <c r="BN902" s="399"/>
      <c r="BO902" s="399"/>
      <c r="BP902" s="399"/>
      <c r="BQ902" s="399"/>
      <c r="BR902" s="399"/>
      <c r="BS902" s="399"/>
      <c r="BT902" s="399"/>
      <c r="BU902" s="399"/>
      <c r="BV902" s="399"/>
      <c r="BW902" s="399"/>
      <c r="BX902" s="399"/>
      <c r="BY902" s="399"/>
      <c r="BZ902" s="399"/>
      <c r="CA902" s="399"/>
      <c r="CB902" s="399"/>
      <c r="CC902" s="399"/>
      <c r="CD902" s="399"/>
      <c r="CE902" s="399"/>
      <c r="CF902" s="399"/>
      <c r="CG902" s="399"/>
      <c r="CH902" s="399"/>
      <c r="CI902" s="399"/>
      <c r="CJ902" s="399"/>
      <c r="CK902" s="399"/>
      <c r="CL902" s="399"/>
      <c r="CM902" s="399"/>
      <c r="CN902" s="399"/>
      <c r="CO902" s="399"/>
      <c r="CP902" s="399"/>
      <c r="CQ902" s="399"/>
      <c r="CR902" s="399"/>
      <c r="CS902" s="399"/>
      <c r="CT902" s="399"/>
      <c r="CU902" s="399"/>
      <c r="CV902" s="399"/>
      <c r="CW902" s="399"/>
      <c r="CX902" s="399"/>
      <c r="CY902" s="399"/>
      <c r="CZ902" s="399"/>
      <c r="DA902" s="399"/>
      <c r="DB902" s="399"/>
      <c r="DC902" s="399"/>
      <c r="DD902" s="399"/>
      <c r="DE902" s="399"/>
      <c r="DF902" s="399"/>
      <c r="DG902" s="399"/>
      <c r="DH902" s="399"/>
      <c r="DI902" s="399"/>
      <c r="DJ902" s="399"/>
      <c r="DK902" s="399"/>
      <c r="DL902" s="399"/>
      <c r="DM902" s="399"/>
      <c r="DN902" s="399"/>
      <c r="DO902" s="399"/>
      <c r="DP902" s="399"/>
      <c r="DQ902" s="399"/>
    </row>
    <row r="903" spans="1:121" s="760" customFormat="1" ht="14.45" customHeight="1" x14ac:dyDescent="0.25">
      <c r="A903" s="266">
        <f t="shared" si="14"/>
        <v>52.733333333333334</v>
      </c>
      <c r="B903" s="389">
        <v>41274</v>
      </c>
      <c r="C903" s="390" t="s">
        <v>452</v>
      </c>
      <c r="D903" s="391" t="s">
        <v>452</v>
      </c>
      <c r="E903" s="390" t="s">
        <v>380</v>
      </c>
      <c r="F903" s="262" t="s">
        <v>526</v>
      </c>
      <c r="G903" s="262" t="s">
        <v>54</v>
      </c>
      <c r="H903" s="261">
        <v>57</v>
      </c>
      <c r="I903" s="261"/>
      <c r="J903" s="261"/>
      <c r="K903" s="261"/>
      <c r="L903" s="261"/>
      <c r="M903" s="261"/>
      <c r="N903" s="261"/>
      <c r="O903" s="261"/>
      <c r="P903" s="261">
        <v>0</v>
      </c>
      <c r="Q903" s="261">
        <v>0</v>
      </c>
      <c r="R903" s="261"/>
      <c r="S903" s="261"/>
      <c r="T903" s="261"/>
      <c r="U903" s="261"/>
      <c r="V903" s="762"/>
      <c r="W903" s="261"/>
      <c r="X903" s="261"/>
      <c r="Y903" s="264">
        <f>IF(NFI_Expiration=1,IF($A903&lt;VLOOKUP(H$5,NFI,5,0),1,0)*Table_NFI[[#This Row],[Hygiene Kit]],Table_NFI[Hygiene Kit])</f>
        <v>0</v>
      </c>
      <c r="Z903" s="264">
        <f>IF(NFI_Expiration=1,IF($A903&lt;VLOOKUP(I$5,NFI,5,0),1,0)*Table_NFI[[#This Row],[NFI Core Kit]],Table_NFI[NFI Core Kit])</f>
        <v>0</v>
      </c>
      <c r="AA903" s="264">
        <f>IF(NFI_Expiration=1,IF($A903&lt;VLOOKUP(J$5,NFI,5,0),1,0)*Table_NFI[[#This Row],[Sanitary Kit]],Table_NFI[Sanitary Kit])</f>
        <v>0</v>
      </c>
      <c r="AB903" s="264">
        <f>IF(NFI_Expiration=1,IF($A903&lt;VLOOKUP(K$5,NFI,5,0),1,0)*Table_NFI[[#This Row],[Mosquito net]],Table_NFI[Mosquito net])</f>
        <v>0</v>
      </c>
      <c r="AC903" s="264">
        <f>IF(NFI_Expiration=1,IF($A903&lt;VLOOKUP(L$5,NFI,5,0),1,0)*Table_NFI[[#This Row],[Tarpaulin]],Table_NFI[[#This Row],[Tarpaulin]])</f>
        <v>0</v>
      </c>
      <c r="AD903" s="264">
        <f>IF(NFI_Expiration=1,IF($A903&lt;VLOOKUP(M$5,NFI,5,0),1,0)*Table_NFI[[#This Row],[Blanket]],Table_NFI[[#This Row],[Blanket]])</f>
        <v>0</v>
      </c>
      <c r="AE903" s="264">
        <f>IF(NFI_Expiration=1,IF($A903&lt;VLOOKUP(N$5,NFI,5,0),1,0)*Table_NFI[[#This Row],[Kitchen Set]],Table_NFI[Kitchen Set])</f>
        <v>0</v>
      </c>
      <c r="AF903" s="264">
        <f>IF(NFI_Expiration=1,IF($A903&lt;VLOOKUP(O$5,NFI,5,0),1,0)*Table_NFI[[#This Row],[Clothes Kit]],Table_NFI[Clothes Kit])</f>
        <v>0</v>
      </c>
      <c r="AG903" s="264">
        <f>IF(NFI_Expiration=1,IF($A903&lt;VLOOKUP(P$5,NFI,5,0),1,0)*Table_NFI[[#This Row],[Plastic Bucket]],Table_NFI[Plastic Bucket])</f>
        <v>0</v>
      </c>
      <c r="AH903" s="264">
        <f>IF(NFI_Expiration=1,IF($A903&lt;VLOOKUP(Q$5,NFI,5,0),1,0)*Table_NFI[[#This Row],[Plastic Mat]],Table_NFI[Plastic Mat])*IF(Table_NFI[[#This Row],[Distribution Date]]&gt;"2014-04-01",1,2.5)</f>
        <v>0</v>
      </c>
      <c r="AI903" s="264">
        <f>IF(NFI_Expiration=1,IF($A903&lt;VLOOKUP(R$5,NFI,5,0),1,0)*Table_NFI[[#This Row],[Winter Clothes Adult]],Table_NFI[Winter Clothes Adult])</f>
        <v>0</v>
      </c>
      <c r="AJ903" s="264">
        <f>IF(NFI_Expiration=1,IF($A903&lt;VLOOKUP(S$5,NFI,5,0),1,0)*Table_NFI[[#This Row],[Winter Clothes Children]],Table_NFI[Winter Clothes Children])</f>
        <v>0</v>
      </c>
      <c r="AK903" s="264">
        <f>IF(NFI_Expiration=1,IF($A903&lt;VLOOKUP(T$5,NFI,5,0),1,0)*Table_NFI[[#This Row],[Winter Items Other]],Table_NFI[Winter Items Other])</f>
        <v>0</v>
      </c>
      <c r="AL903" s="264">
        <f>IF(NFI_Expiration=1,IF($A903&lt;VLOOKUP(M$5,NFI,5,0),1,0)*Table_NFI[[#This Row],[Winter Blanket]],Table_NFI[[#This Row],[Winter Blanket]])</f>
        <v>0</v>
      </c>
      <c r="AM903" s="264">
        <f>IF(Table_NFI[[#This Row],[Winter Clothes Adult]]+Table_NFI[[#This Row],[Winter Clothes Children]]+Table_NFI[[#This Row],[Winter Items Other]]+Table_NFI[[#This Row],[Winter Blanket]]&gt;0,1,0)</f>
        <v>0</v>
      </c>
      <c r="AN903" s="296">
        <f>IF(NFI_Expiration=1,IF($A903&lt;VLOOKUP(V$5,NFI,5,0),1,0)*Table_NFI[[#This Row],[Jerry Can]],Table_NFI[Jerry Can])</f>
        <v>0</v>
      </c>
      <c r="AO903" s="296">
        <f>IF(NFI_Expiration=1,IF($A903&lt;VLOOKUP(V$5,NFI,5,0),1,0)*Table_NFI[[#This Row],[Shelter Tool kit]],Table_NFI[Shelter Tool kit])</f>
        <v>0</v>
      </c>
      <c r="AP903" s="296">
        <f>IF(NFI_Expiration=1,IF($A903&lt;VLOOKUP(V$5,NFI,5,0),1,0)*Table_NFI[[#This Row],[Tent]],Table_NFI[Tent])</f>
        <v>0</v>
      </c>
      <c r="AQ903" s="396" t="str">
        <f>IFERROR(VLOOKUP(Table_NFI[[#This Row],[Camp Name]],CL,2,0),"")</f>
        <v>MMR001CMP094</v>
      </c>
      <c r="AR903" s="702">
        <f ca="1">IF(Table_NFI[[#This Row],[Pcode]]="","",IF(OFFSET(CampList[Opening Date],MATCH(Table_NFI[[#This Row],[Pcode]],CampList[CP_Pcode],0)-1,0,1,1)&gt;=NFI_Monitor_Date,1,0))</f>
        <v>0</v>
      </c>
      <c r="AS903" s="396" t="str">
        <f>IFERROR(VLOOKUP(Table_NFI[[#This Row],[Camp Name]],CL,3,0),"")</f>
        <v>Closed</v>
      </c>
      <c r="AT903" s="264" t="str">
        <f ca="1">IF(Table_NFI[[#This Row],[Pcode]]="","",OFFSET(CampList[Priority],MATCH(Table_NFI[[#This Row],[Pcode]],CampList[CP_Pcode],0)-1,0,1,1))</f>
        <v/>
      </c>
      <c r="AU903" s="263" t="str">
        <f>IFERROR(Table_NFI[[#This Row],[Kitchen Set]]/VLOOKUP(Table_NFI[[#This Row],[Camp Name]],CL,4,0),"")</f>
        <v/>
      </c>
      <c r="AV903" s="390" t="s">
        <v>1087</v>
      </c>
      <c r="AW903" s="392"/>
      <c r="AX903" s="399"/>
      <c r="AY903" s="399"/>
      <c r="AZ903" s="399"/>
      <c r="BA903" s="399"/>
      <c r="BB903" s="399"/>
      <c r="BC903" s="399"/>
      <c r="BD903" s="399"/>
      <c r="BE903" s="399"/>
      <c r="BF903" s="399"/>
      <c r="BG903" s="399"/>
      <c r="BH903" s="399"/>
      <c r="BI903" s="399"/>
      <c r="BJ903" s="399"/>
      <c r="BK903" s="399"/>
      <c r="BL903" s="399"/>
      <c r="BM903" s="399"/>
      <c r="BN903" s="399"/>
      <c r="BO903" s="399"/>
      <c r="BP903" s="399"/>
      <c r="BQ903" s="399"/>
      <c r="BR903" s="399"/>
      <c r="BS903" s="399"/>
      <c r="BT903" s="399"/>
      <c r="BU903" s="399"/>
      <c r="BV903" s="399"/>
      <c r="BW903" s="399"/>
      <c r="BX903" s="399"/>
      <c r="BY903" s="399"/>
      <c r="BZ903" s="399"/>
      <c r="CA903" s="399"/>
      <c r="CB903" s="399"/>
      <c r="CC903" s="399"/>
      <c r="CD903" s="399"/>
      <c r="CE903" s="399"/>
      <c r="CF903" s="399"/>
      <c r="CG903" s="399"/>
      <c r="CH903" s="399"/>
      <c r="CI903" s="399"/>
      <c r="CJ903" s="399"/>
      <c r="CK903" s="399"/>
      <c r="CL903" s="399"/>
      <c r="CM903" s="399"/>
      <c r="CN903" s="399"/>
      <c r="CO903" s="399"/>
      <c r="CP903" s="399"/>
      <c r="CQ903" s="399"/>
      <c r="CR903" s="399"/>
      <c r="CS903" s="399"/>
      <c r="CT903" s="399"/>
      <c r="CU903" s="399"/>
      <c r="CV903" s="399"/>
      <c r="CW903" s="399"/>
      <c r="CX903" s="399"/>
      <c r="CY903" s="399"/>
      <c r="CZ903" s="399"/>
      <c r="DA903" s="399"/>
      <c r="DB903" s="399"/>
      <c r="DC903" s="399"/>
      <c r="DD903" s="399"/>
      <c r="DE903" s="399"/>
      <c r="DF903" s="399"/>
      <c r="DG903" s="399"/>
      <c r="DH903" s="399"/>
      <c r="DI903" s="399"/>
      <c r="DJ903" s="399"/>
      <c r="DK903" s="399"/>
      <c r="DL903" s="399"/>
      <c r="DM903" s="399"/>
      <c r="DN903" s="399"/>
      <c r="DO903" s="399"/>
      <c r="DP903" s="399"/>
      <c r="DQ903" s="399"/>
    </row>
    <row r="904" spans="1:121" s="760" customFormat="1" ht="14.45" customHeight="1" x14ac:dyDescent="0.25">
      <c r="A904" s="266">
        <f t="shared" si="14"/>
        <v>52.733333333333334</v>
      </c>
      <c r="B904" s="389">
        <v>41274</v>
      </c>
      <c r="C904" s="390" t="s">
        <v>452</v>
      </c>
      <c r="D904" s="391" t="s">
        <v>452</v>
      </c>
      <c r="E904" s="390" t="s">
        <v>380</v>
      </c>
      <c r="F904" s="262" t="s">
        <v>526</v>
      </c>
      <c r="G904" s="262" t="s">
        <v>66</v>
      </c>
      <c r="H904" s="261">
        <v>2</v>
      </c>
      <c r="I904" s="261"/>
      <c r="J904" s="261"/>
      <c r="K904" s="261"/>
      <c r="L904" s="261"/>
      <c r="M904" s="261"/>
      <c r="N904" s="261"/>
      <c r="O904" s="261"/>
      <c r="P904" s="261">
        <v>0</v>
      </c>
      <c r="Q904" s="261">
        <v>0</v>
      </c>
      <c r="R904" s="261"/>
      <c r="S904" s="261"/>
      <c r="T904" s="261"/>
      <c r="U904" s="261"/>
      <c r="V904" s="762"/>
      <c r="W904" s="261"/>
      <c r="X904" s="261"/>
      <c r="Y904" s="264">
        <f>IF(NFI_Expiration=1,IF($A904&lt;VLOOKUP(H$5,NFI,5,0),1,0)*Table_NFI[[#This Row],[Hygiene Kit]],Table_NFI[Hygiene Kit])</f>
        <v>0</v>
      </c>
      <c r="Z904" s="264">
        <f>IF(NFI_Expiration=1,IF($A904&lt;VLOOKUP(I$5,NFI,5,0),1,0)*Table_NFI[[#This Row],[NFI Core Kit]],Table_NFI[NFI Core Kit])</f>
        <v>0</v>
      </c>
      <c r="AA904" s="264">
        <f>IF(NFI_Expiration=1,IF($A904&lt;VLOOKUP(J$5,NFI,5,0),1,0)*Table_NFI[[#This Row],[Sanitary Kit]],Table_NFI[Sanitary Kit])</f>
        <v>0</v>
      </c>
      <c r="AB904" s="264">
        <f>IF(NFI_Expiration=1,IF($A904&lt;VLOOKUP(K$5,NFI,5,0),1,0)*Table_NFI[[#This Row],[Mosquito net]],Table_NFI[Mosquito net])</f>
        <v>0</v>
      </c>
      <c r="AC904" s="264">
        <f>IF(NFI_Expiration=1,IF($A904&lt;VLOOKUP(L$5,NFI,5,0),1,0)*Table_NFI[[#This Row],[Tarpaulin]],Table_NFI[[#This Row],[Tarpaulin]])</f>
        <v>0</v>
      </c>
      <c r="AD904" s="264">
        <f>IF(NFI_Expiration=1,IF($A904&lt;VLOOKUP(M$5,NFI,5,0),1,0)*Table_NFI[[#This Row],[Blanket]],Table_NFI[[#This Row],[Blanket]])</f>
        <v>0</v>
      </c>
      <c r="AE904" s="264">
        <f>IF(NFI_Expiration=1,IF($A904&lt;VLOOKUP(N$5,NFI,5,0),1,0)*Table_NFI[[#This Row],[Kitchen Set]],Table_NFI[Kitchen Set])</f>
        <v>0</v>
      </c>
      <c r="AF904" s="264">
        <f>IF(NFI_Expiration=1,IF($A904&lt;VLOOKUP(O$5,NFI,5,0),1,0)*Table_NFI[[#This Row],[Clothes Kit]],Table_NFI[Clothes Kit])</f>
        <v>0</v>
      </c>
      <c r="AG904" s="264">
        <f>IF(NFI_Expiration=1,IF($A904&lt;VLOOKUP(P$5,NFI,5,0),1,0)*Table_NFI[[#This Row],[Plastic Bucket]],Table_NFI[Plastic Bucket])</f>
        <v>0</v>
      </c>
      <c r="AH904" s="264">
        <f>IF(NFI_Expiration=1,IF($A904&lt;VLOOKUP(Q$5,NFI,5,0),1,0)*Table_NFI[[#This Row],[Plastic Mat]],Table_NFI[Plastic Mat])*IF(Table_NFI[[#This Row],[Distribution Date]]&gt;"2014-04-01",1,2.5)</f>
        <v>0</v>
      </c>
      <c r="AI904" s="264">
        <f>IF(NFI_Expiration=1,IF($A904&lt;VLOOKUP(R$5,NFI,5,0),1,0)*Table_NFI[[#This Row],[Winter Clothes Adult]],Table_NFI[Winter Clothes Adult])</f>
        <v>0</v>
      </c>
      <c r="AJ904" s="264">
        <f>IF(NFI_Expiration=1,IF($A904&lt;VLOOKUP(S$5,NFI,5,0),1,0)*Table_NFI[[#This Row],[Winter Clothes Children]],Table_NFI[Winter Clothes Children])</f>
        <v>0</v>
      </c>
      <c r="AK904" s="264">
        <f>IF(NFI_Expiration=1,IF($A904&lt;VLOOKUP(T$5,NFI,5,0),1,0)*Table_NFI[[#This Row],[Winter Items Other]],Table_NFI[Winter Items Other])</f>
        <v>0</v>
      </c>
      <c r="AL904" s="264">
        <f>IF(NFI_Expiration=1,IF($A904&lt;VLOOKUP(M$5,NFI,5,0),1,0)*Table_NFI[[#This Row],[Winter Blanket]],Table_NFI[[#This Row],[Winter Blanket]])</f>
        <v>0</v>
      </c>
      <c r="AM904" s="264">
        <f>IF(Table_NFI[[#This Row],[Winter Clothes Adult]]+Table_NFI[[#This Row],[Winter Clothes Children]]+Table_NFI[[#This Row],[Winter Items Other]]+Table_NFI[[#This Row],[Winter Blanket]]&gt;0,1,0)</f>
        <v>0</v>
      </c>
      <c r="AN904" s="296">
        <f>IF(NFI_Expiration=1,IF($A904&lt;VLOOKUP(V$5,NFI,5,0),1,0)*Table_NFI[[#This Row],[Jerry Can]],Table_NFI[Jerry Can])</f>
        <v>0</v>
      </c>
      <c r="AO904" s="296">
        <f>IF(NFI_Expiration=1,IF($A904&lt;VLOOKUP(V$5,NFI,5,0),1,0)*Table_NFI[[#This Row],[Shelter Tool kit]],Table_NFI[Shelter Tool kit])</f>
        <v>0</v>
      </c>
      <c r="AP904" s="296">
        <f>IF(NFI_Expiration=1,IF($A904&lt;VLOOKUP(V$5,NFI,5,0),1,0)*Table_NFI[[#This Row],[Tent]],Table_NFI[Tent])</f>
        <v>0</v>
      </c>
      <c r="AQ904" s="396" t="str">
        <f>IFERROR(VLOOKUP(Table_NFI[[#This Row],[Camp Name]],CL,2,0),"")</f>
        <v>MMR001CMP093</v>
      </c>
      <c r="AR904" s="702">
        <f ca="1">IF(Table_NFI[[#This Row],[Pcode]]="","",IF(OFFSET(CampList[Opening Date],MATCH(Table_NFI[[#This Row],[Pcode]],CampList[CP_Pcode],0)-1,0,1,1)&gt;=NFI_Monitor_Date,1,0))</f>
        <v>0</v>
      </c>
      <c r="AS904" s="396" t="str">
        <f>IFERROR(VLOOKUP(Table_NFI[[#This Row],[Camp Name]],CL,3,0),"")</f>
        <v>Closed</v>
      </c>
      <c r="AT904" s="264" t="str">
        <f ca="1">IF(Table_NFI[[#This Row],[Pcode]]="","",OFFSET(CampList[Priority],MATCH(Table_NFI[[#This Row],[Pcode]],CampList[CP_Pcode],0)-1,0,1,1))</f>
        <v/>
      </c>
      <c r="AU904" s="263" t="str">
        <f>IFERROR(Table_NFI[[#This Row],[Kitchen Set]]/VLOOKUP(Table_NFI[[#This Row],[Camp Name]],CL,4,0),"")</f>
        <v/>
      </c>
      <c r="AV904" s="390" t="s">
        <v>1087</v>
      </c>
      <c r="AW904" s="392"/>
      <c r="AX904" s="399"/>
      <c r="AY904" s="399"/>
      <c r="AZ904" s="399"/>
      <c r="BA904" s="399"/>
      <c r="BB904" s="399"/>
      <c r="BC904" s="399"/>
      <c r="BD904" s="399"/>
      <c r="BE904" s="399"/>
      <c r="BF904" s="399"/>
      <c r="BG904" s="399"/>
      <c r="BH904" s="399"/>
      <c r="BI904" s="399"/>
      <c r="BJ904" s="399"/>
      <c r="BK904" s="399"/>
      <c r="BL904" s="399"/>
      <c r="BM904" s="399"/>
      <c r="BN904" s="399"/>
      <c r="BO904" s="399"/>
      <c r="BP904" s="399"/>
      <c r="BQ904" s="399"/>
      <c r="BR904" s="399"/>
      <c r="BS904" s="399"/>
      <c r="BT904" s="399"/>
      <c r="BU904" s="399"/>
      <c r="BV904" s="399"/>
      <c r="BW904" s="399"/>
      <c r="BX904" s="399"/>
      <c r="BY904" s="399"/>
      <c r="BZ904" s="399"/>
      <c r="CA904" s="399"/>
      <c r="CB904" s="399"/>
      <c r="CC904" s="399"/>
      <c r="CD904" s="399"/>
      <c r="CE904" s="399"/>
      <c r="CF904" s="399"/>
      <c r="CG904" s="399"/>
      <c r="CH904" s="399"/>
      <c r="CI904" s="399"/>
      <c r="CJ904" s="399"/>
      <c r="CK904" s="399"/>
      <c r="CL904" s="399"/>
      <c r="CM904" s="399"/>
      <c r="CN904" s="399"/>
      <c r="CO904" s="399"/>
      <c r="CP904" s="399"/>
      <c r="CQ904" s="399"/>
      <c r="CR904" s="399"/>
      <c r="CS904" s="399"/>
      <c r="CT904" s="399"/>
      <c r="CU904" s="399"/>
      <c r="CV904" s="399"/>
      <c r="CW904" s="399"/>
      <c r="CX904" s="399"/>
      <c r="CY904" s="399"/>
      <c r="CZ904" s="399"/>
      <c r="DA904" s="399"/>
      <c r="DB904" s="399"/>
      <c r="DC904" s="399"/>
      <c r="DD904" s="399"/>
      <c r="DE904" s="399"/>
      <c r="DF904" s="399"/>
      <c r="DG904" s="399"/>
      <c r="DH904" s="399"/>
      <c r="DI904" s="399"/>
      <c r="DJ904" s="399"/>
      <c r="DK904" s="399"/>
      <c r="DL904" s="399"/>
      <c r="DM904" s="399"/>
      <c r="DN904" s="399"/>
      <c r="DO904" s="399"/>
      <c r="DP904" s="399"/>
      <c r="DQ904" s="399"/>
    </row>
    <row r="905" spans="1:121" s="760" customFormat="1" ht="14.45" customHeight="1" x14ac:dyDescent="0.25">
      <c r="A905" s="266">
        <f t="shared" si="14"/>
        <v>52.733333333333334</v>
      </c>
      <c r="B905" s="389">
        <v>41274</v>
      </c>
      <c r="C905" s="390" t="s">
        <v>452</v>
      </c>
      <c r="D905" s="391" t="s">
        <v>452</v>
      </c>
      <c r="E905" s="390" t="s">
        <v>380</v>
      </c>
      <c r="F905" s="262" t="s">
        <v>526</v>
      </c>
      <c r="G905" s="262" t="s">
        <v>136</v>
      </c>
      <c r="H905" s="261">
        <v>3</v>
      </c>
      <c r="I905" s="261"/>
      <c r="J905" s="261"/>
      <c r="K905" s="261"/>
      <c r="L905" s="261"/>
      <c r="M905" s="261"/>
      <c r="N905" s="261"/>
      <c r="O905" s="261"/>
      <c r="P905" s="261">
        <v>0</v>
      </c>
      <c r="Q905" s="261">
        <v>0</v>
      </c>
      <c r="R905" s="261"/>
      <c r="S905" s="261"/>
      <c r="T905" s="261"/>
      <c r="U905" s="261"/>
      <c r="V905" s="762"/>
      <c r="W905" s="762"/>
      <c r="X905" s="762"/>
      <c r="Y905" s="264">
        <f>IF(NFI_Expiration=1,IF($A905&lt;VLOOKUP(H$5,NFI,5,0),1,0)*Table_NFI[[#This Row],[Hygiene Kit]],Table_NFI[Hygiene Kit])</f>
        <v>0</v>
      </c>
      <c r="Z905" s="264">
        <f>IF(NFI_Expiration=1,IF($A905&lt;VLOOKUP(I$5,NFI,5,0),1,0)*Table_NFI[[#This Row],[NFI Core Kit]],Table_NFI[NFI Core Kit])</f>
        <v>0</v>
      </c>
      <c r="AA905" s="264">
        <f>IF(NFI_Expiration=1,IF($A905&lt;VLOOKUP(J$5,NFI,5,0),1,0)*Table_NFI[[#This Row],[Sanitary Kit]],Table_NFI[Sanitary Kit])</f>
        <v>0</v>
      </c>
      <c r="AB905" s="264">
        <f>IF(NFI_Expiration=1,IF($A905&lt;VLOOKUP(K$5,NFI,5,0),1,0)*Table_NFI[[#This Row],[Mosquito net]],Table_NFI[Mosquito net])</f>
        <v>0</v>
      </c>
      <c r="AC905" s="264">
        <f>IF(NFI_Expiration=1,IF($A905&lt;VLOOKUP(L$5,NFI,5,0),1,0)*Table_NFI[[#This Row],[Tarpaulin]],Table_NFI[[#This Row],[Tarpaulin]])</f>
        <v>0</v>
      </c>
      <c r="AD905" s="264">
        <f>IF(NFI_Expiration=1,IF($A905&lt;VLOOKUP(M$5,NFI,5,0),1,0)*Table_NFI[[#This Row],[Blanket]],Table_NFI[[#This Row],[Blanket]])</f>
        <v>0</v>
      </c>
      <c r="AE905" s="264">
        <f>IF(NFI_Expiration=1,IF($A905&lt;VLOOKUP(N$5,NFI,5,0),1,0)*Table_NFI[[#This Row],[Kitchen Set]],Table_NFI[Kitchen Set])</f>
        <v>0</v>
      </c>
      <c r="AF905" s="264">
        <f>IF(NFI_Expiration=1,IF($A905&lt;VLOOKUP(O$5,NFI,5,0),1,0)*Table_NFI[[#This Row],[Clothes Kit]],Table_NFI[Clothes Kit])</f>
        <v>0</v>
      </c>
      <c r="AG905" s="264">
        <f>IF(NFI_Expiration=1,IF($A905&lt;VLOOKUP(P$5,NFI,5,0),1,0)*Table_NFI[[#This Row],[Plastic Bucket]],Table_NFI[Plastic Bucket])</f>
        <v>0</v>
      </c>
      <c r="AH905" s="264">
        <f>IF(NFI_Expiration=1,IF($A905&lt;VLOOKUP(Q$5,NFI,5,0),1,0)*Table_NFI[[#This Row],[Plastic Mat]],Table_NFI[Plastic Mat])*IF(Table_NFI[[#This Row],[Distribution Date]]&gt;"2014-04-01",1,2.5)</f>
        <v>0</v>
      </c>
      <c r="AI905" s="264">
        <f>IF(NFI_Expiration=1,IF($A905&lt;VLOOKUP(R$5,NFI,5,0),1,0)*Table_NFI[[#This Row],[Winter Clothes Adult]],Table_NFI[Winter Clothes Adult])</f>
        <v>0</v>
      </c>
      <c r="AJ905" s="264">
        <f>IF(NFI_Expiration=1,IF($A905&lt;VLOOKUP(S$5,NFI,5,0),1,0)*Table_NFI[[#This Row],[Winter Clothes Children]],Table_NFI[Winter Clothes Children])</f>
        <v>0</v>
      </c>
      <c r="AK905" s="264">
        <f>IF(NFI_Expiration=1,IF($A905&lt;VLOOKUP(T$5,NFI,5,0),1,0)*Table_NFI[[#This Row],[Winter Items Other]],Table_NFI[Winter Items Other])</f>
        <v>0</v>
      </c>
      <c r="AL905" s="264">
        <f>IF(NFI_Expiration=1,IF($A905&lt;VLOOKUP(M$5,NFI,5,0),1,0)*Table_NFI[[#This Row],[Winter Blanket]],Table_NFI[[#This Row],[Winter Blanket]])</f>
        <v>0</v>
      </c>
      <c r="AM905" s="264">
        <f>IF(Table_NFI[[#This Row],[Winter Clothes Adult]]+Table_NFI[[#This Row],[Winter Clothes Children]]+Table_NFI[[#This Row],[Winter Items Other]]+Table_NFI[[#This Row],[Winter Blanket]]&gt;0,1,0)</f>
        <v>0</v>
      </c>
      <c r="AN905" s="296">
        <f>IF(NFI_Expiration=1,IF($A905&lt;VLOOKUP(V$5,NFI,5,0),1,0)*Table_NFI[[#This Row],[Jerry Can]],Table_NFI[Jerry Can])</f>
        <v>0</v>
      </c>
      <c r="AO905" s="296">
        <f>IF(NFI_Expiration=1,IF($A905&lt;VLOOKUP(V$5,NFI,5,0),1,0)*Table_NFI[[#This Row],[Shelter Tool kit]],Table_NFI[Shelter Tool kit])</f>
        <v>0</v>
      </c>
      <c r="AP905" s="296">
        <f>IF(NFI_Expiration=1,IF($A905&lt;VLOOKUP(V$5,NFI,5,0),1,0)*Table_NFI[[#This Row],[Tent]],Table_NFI[Tent])</f>
        <v>0</v>
      </c>
      <c r="AQ905" s="396" t="str">
        <f>IFERROR(VLOOKUP(Table_NFI[[#This Row],[Camp Name]],CL,2,0),"")</f>
        <v>MMR001CMP106</v>
      </c>
      <c r="AR905" s="702">
        <f ca="1">IF(Table_NFI[[#This Row],[Pcode]]="","",IF(OFFSET(CampList[Opening Date],MATCH(Table_NFI[[#This Row],[Pcode]],CampList[CP_Pcode],0)-1,0,1,1)&gt;=NFI_Monitor_Date,1,0))</f>
        <v>0</v>
      </c>
      <c r="AS905" s="396" t="str">
        <f>IFERROR(VLOOKUP(Table_NFI[[#This Row],[Camp Name]],CL,3,0),"")</f>
        <v>Closed</v>
      </c>
      <c r="AT905" s="264" t="str">
        <f ca="1">IF(Table_NFI[[#This Row],[Pcode]]="","",OFFSET(CampList[Priority],MATCH(Table_NFI[[#This Row],[Pcode]],CampList[CP_Pcode],0)-1,0,1,1))</f>
        <v/>
      </c>
      <c r="AU905" s="263" t="str">
        <f>IFERROR(Table_NFI[[#This Row],[Kitchen Set]]/VLOOKUP(Table_NFI[[#This Row],[Camp Name]],CL,4,0),"")</f>
        <v/>
      </c>
      <c r="AV905" s="390" t="s">
        <v>1087</v>
      </c>
      <c r="AW905" s="392"/>
      <c r="AX905" s="399"/>
      <c r="AY905" s="399"/>
      <c r="AZ905" s="399"/>
      <c r="BA905" s="399"/>
      <c r="BB905" s="399"/>
      <c r="BC905" s="399"/>
      <c r="BD905" s="399"/>
      <c r="BE905" s="399"/>
      <c r="BF905" s="399"/>
      <c r="BG905" s="399"/>
      <c r="BH905" s="399"/>
      <c r="BI905" s="399"/>
      <c r="BJ905" s="399"/>
      <c r="BK905" s="399"/>
      <c r="BL905" s="399"/>
      <c r="BM905" s="399"/>
      <c r="BN905" s="399"/>
      <c r="BO905" s="399"/>
      <c r="BP905" s="399"/>
      <c r="BQ905" s="399"/>
      <c r="BR905" s="399"/>
      <c r="BS905" s="399"/>
      <c r="BT905" s="399"/>
      <c r="BU905" s="399"/>
      <c r="BV905" s="399"/>
      <c r="BW905" s="399"/>
      <c r="BX905" s="399"/>
      <c r="BY905" s="399"/>
      <c r="BZ905" s="399"/>
      <c r="CA905" s="399"/>
      <c r="CB905" s="399"/>
      <c r="CC905" s="399"/>
      <c r="CD905" s="399"/>
      <c r="CE905" s="399"/>
      <c r="CF905" s="399"/>
      <c r="CG905" s="399"/>
      <c r="CH905" s="399"/>
      <c r="CI905" s="399"/>
      <c r="CJ905" s="399"/>
      <c r="CK905" s="399"/>
      <c r="CL905" s="399"/>
      <c r="CM905" s="399"/>
      <c r="CN905" s="399"/>
      <c r="CO905" s="399"/>
      <c r="CP905" s="399"/>
      <c r="CQ905" s="399"/>
      <c r="CR905" s="399"/>
      <c r="CS905" s="399"/>
      <c r="CT905" s="399"/>
      <c r="CU905" s="399"/>
      <c r="CV905" s="399"/>
      <c r="CW905" s="399"/>
      <c r="CX905" s="399"/>
      <c r="CY905" s="399"/>
      <c r="CZ905" s="399"/>
      <c r="DA905" s="399"/>
      <c r="DB905" s="399"/>
      <c r="DC905" s="399"/>
      <c r="DD905" s="399"/>
      <c r="DE905" s="399"/>
      <c r="DF905" s="399"/>
      <c r="DG905" s="399"/>
      <c r="DH905" s="399"/>
      <c r="DI905" s="399"/>
      <c r="DJ905" s="399"/>
      <c r="DK905" s="399"/>
      <c r="DL905" s="399"/>
      <c r="DM905" s="399"/>
      <c r="DN905" s="399"/>
      <c r="DO905" s="399"/>
      <c r="DP905" s="399"/>
      <c r="DQ905" s="399"/>
    </row>
    <row r="906" spans="1:121" s="760" customFormat="1" ht="14.45" customHeight="1" x14ac:dyDescent="0.25">
      <c r="A906" s="266">
        <f t="shared" si="14"/>
        <v>52.733333333333334</v>
      </c>
      <c r="B906" s="389">
        <v>41274</v>
      </c>
      <c r="C906" s="390" t="s">
        <v>452</v>
      </c>
      <c r="D906" s="390" t="s">
        <v>452</v>
      </c>
      <c r="E906" s="390" t="s">
        <v>380</v>
      </c>
      <c r="F906" s="262" t="s">
        <v>526</v>
      </c>
      <c r="G906" s="262" t="s">
        <v>84</v>
      </c>
      <c r="H906" s="261">
        <v>10</v>
      </c>
      <c r="I906" s="261"/>
      <c r="J906" s="261"/>
      <c r="K906" s="261"/>
      <c r="L906" s="261"/>
      <c r="M906" s="261"/>
      <c r="N906" s="261"/>
      <c r="O906" s="261"/>
      <c r="P906" s="261">
        <v>0</v>
      </c>
      <c r="Q906" s="261">
        <v>0</v>
      </c>
      <c r="R906" s="261"/>
      <c r="S906" s="261"/>
      <c r="T906" s="261"/>
      <c r="U906" s="261"/>
      <c r="V906" s="762"/>
      <c r="W906" s="261"/>
      <c r="X906" s="261"/>
      <c r="Y906" s="264">
        <f>IF(NFI_Expiration=1,IF($A906&lt;VLOOKUP(H$5,NFI,5,0),1,0)*Table_NFI[[#This Row],[Hygiene Kit]],Table_NFI[Hygiene Kit])</f>
        <v>0</v>
      </c>
      <c r="Z906" s="264">
        <f>IF(NFI_Expiration=1,IF($A906&lt;VLOOKUP(I$5,NFI,5,0),1,0)*Table_NFI[[#This Row],[NFI Core Kit]],Table_NFI[NFI Core Kit])</f>
        <v>0</v>
      </c>
      <c r="AA906" s="264">
        <f>IF(NFI_Expiration=1,IF($A906&lt;VLOOKUP(J$5,NFI,5,0),1,0)*Table_NFI[[#This Row],[Sanitary Kit]],Table_NFI[Sanitary Kit])</f>
        <v>0</v>
      </c>
      <c r="AB906" s="264">
        <f>IF(NFI_Expiration=1,IF($A906&lt;VLOOKUP(K$5,NFI,5,0),1,0)*Table_NFI[[#This Row],[Mosquito net]],Table_NFI[Mosquito net])</f>
        <v>0</v>
      </c>
      <c r="AC906" s="264">
        <f>IF(NFI_Expiration=1,IF($A906&lt;VLOOKUP(L$5,NFI,5,0),1,0)*Table_NFI[[#This Row],[Tarpaulin]],Table_NFI[[#This Row],[Tarpaulin]])</f>
        <v>0</v>
      </c>
      <c r="AD906" s="264">
        <f>IF(NFI_Expiration=1,IF($A906&lt;VLOOKUP(M$5,NFI,5,0),1,0)*Table_NFI[[#This Row],[Blanket]],Table_NFI[[#This Row],[Blanket]])</f>
        <v>0</v>
      </c>
      <c r="AE906" s="264">
        <f>IF(NFI_Expiration=1,IF($A906&lt;VLOOKUP(N$5,NFI,5,0),1,0)*Table_NFI[[#This Row],[Kitchen Set]],Table_NFI[Kitchen Set])</f>
        <v>0</v>
      </c>
      <c r="AF906" s="264">
        <f>IF(NFI_Expiration=1,IF($A906&lt;VLOOKUP(O$5,NFI,5,0),1,0)*Table_NFI[[#This Row],[Clothes Kit]],Table_NFI[Clothes Kit])</f>
        <v>0</v>
      </c>
      <c r="AG906" s="264">
        <f>IF(NFI_Expiration=1,IF($A906&lt;VLOOKUP(P$5,NFI,5,0),1,0)*Table_NFI[[#This Row],[Plastic Bucket]],Table_NFI[Plastic Bucket])</f>
        <v>0</v>
      </c>
      <c r="AH906" s="264">
        <f>IF(NFI_Expiration=1,IF($A906&lt;VLOOKUP(Q$5,NFI,5,0),1,0)*Table_NFI[[#This Row],[Plastic Mat]],Table_NFI[Plastic Mat])*IF(Table_NFI[[#This Row],[Distribution Date]]&gt;"2014-04-01",1,2.5)</f>
        <v>0</v>
      </c>
      <c r="AI906" s="264">
        <f>IF(NFI_Expiration=1,IF($A906&lt;VLOOKUP(R$5,NFI,5,0),1,0)*Table_NFI[[#This Row],[Winter Clothes Adult]],Table_NFI[Winter Clothes Adult])</f>
        <v>0</v>
      </c>
      <c r="AJ906" s="264">
        <f>IF(NFI_Expiration=1,IF($A906&lt;VLOOKUP(S$5,NFI,5,0),1,0)*Table_NFI[[#This Row],[Winter Clothes Children]],Table_NFI[Winter Clothes Children])</f>
        <v>0</v>
      </c>
      <c r="AK906" s="264">
        <f>IF(NFI_Expiration=1,IF($A906&lt;VLOOKUP(T$5,NFI,5,0),1,0)*Table_NFI[[#This Row],[Winter Items Other]],Table_NFI[Winter Items Other])</f>
        <v>0</v>
      </c>
      <c r="AL906" s="264">
        <f>IF(NFI_Expiration=1,IF($A906&lt;VLOOKUP(M$5,NFI,5,0),1,0)*Table_NFI[[#This Row],[Winter Blanket]],Table_NFI[[#This Row],[Winter Blanket]])</f>
        <v>0</v>
      </c>
      <c r="AM906" s="264">
        <f>IF(Table_NFI[[#This Row],[Winter Clothes Adult]]+Table_NFI[[#This Row],[Winter Clothes Children]]+Table_NFI[[#This Row],[Winter Items Other]]+Table_NFI[[#This Row],[Winter Blanket]]&gt;0,1,0)</f>
        <v>0</v>
      </c>
      <c r="AN906" s="296">
        <f>IF(NFI_Expiration=1,IF($A906&lt;VLOOKUP(V$5,NFI,5,0),1,0)*Table_NFI[[#This Row],[Jerry Can]],Table_NFI[Jerry Can])</f>
        <v>0</v>
      </c>
      <c r="AO906" s="296">
        <f>IF(NFI_Expiration=1,IF($A906&lt;VLOOKUP(V$5,NFI,5,0),1,0)*Table_NFI[[#This Row],[Shelter Tool kit]],Table_NFI[Shelter Tool kit])</f>
        <v>0</v>
      </c>
      <c r="AP906" s="296">
        <f>IF(NFI_Expiration=1,IF($A906&lt;VLOOKUP(V$5,NFI,5,0),1,0)*Table_NFI[[#This Row],[Tent]],Table_NFI[Tent])</f>
        <v>0</v>
      </c>
      <c r="AQ906" s="396" t="str">
        <f>IFERROR(VLOOKUP(Table_NFI[[#This Row],[Camp Name]],CL,2,0),"")</f>
        <v>MMR001CMP085</v>
      </c>
      <c r="AR906" s="702">
        <f ca="1">IF(Table_NFI[[#This Row],[Pcode]]="","",IF(OFFSET(CampList[Opening Date],MATCH(Table_NFI[[#This Row],[Pcode]],CampList[CP_Pcode],0)-1,0,1,1)&gt;=NFI_Monitor_Date,1,0))</f>
        <v>0</v>
      </c>
      <c r="AS906" s="396" t="str">
        <f>IFERROR(VLOOKUP(Table_NFI[[#This Row],[Camp Name]],CL,3,0),"")</f>
        <v>Closed</v>
      </c>
      <c r="AT906" s="264" t="str">
        <f ca="1">IF(Table_NFI[[#This Row],[Pcode]]="","",OFFSET(CampList[Priority],MATCH(Table_NFI[[#This Row],[Pcode]],CampList[CP_Pcode],0)-1,0,1,1))</f>
        <v/>
      </c>
      <c r="AU906" s="263" t="str">
        <f>IFERROR(Table_NFI[[#This Row],[Kitchen Set]]/VLOOKUP(Table_NFI[[#This Row],[Camp Name]],CL,4,0),"")</f>
        <v/>
      </c>
      <c r="AV906" s="390" t="s">
        <v>1087</v>
      </c>
      <c r="AW906" s="392"/>
      <c r="AX906" s="399"/>
      <c r="AY906" s="399"/>
      <c r="AZ906" s="399"/>
      <c r="BA906" s="399"/>
      <c r="BB906" s="399"/>
      <c r="BC906" s="399"/>
      <c r="BD906" s="399"/>
      <c r="BE906" s="399"/>
      <c r="BF906" s="399"/>
      <c r="BG906" s="399"/>
      <c r="BH906" s="399"/>
      <c r="BI906" s="399"/>
      <c r="BJ906" s="399"/>
      <c r="BK906" s="399"/>
      <c r="BL906" s="399"/>
      <c r="BM906" s="399"/>
      <c r="BN906" s="399"/>
      <c r="BO906" s="399"/>
      <c r="BP906" s="399"/>
      <c r="BQ906" s="399"/>
      <c r="BR906" s="399"/>
      <c r="BS906" s="399"/>
      <c r="BT906" s="399"/>
      <c r="BU906" s="399"/>
      <c r="BV906" s="399"/>
      <c r="BW906" s="399"/>
      <c r="BX906" s="399"/>
      <c r="BY906" s="399"/>
      <c r="BZ906" s="399"/>
      <c r="CA906" s="399"/>
      <c r="CB906" s="399"/>
      <c r="CC906" s="399"/>
      <c r="CD906" s="399"/>
      <c r="CE906" s="399"/>
      <c r="CF906" s="399"/>
      <c r="CG906" s="399"/>
      <c r="CH906" s="399"/>
      <c r="CI906" s="399"/>
      <c r="CJ906" s="399"/>
      <c r="CK906" s="399"/>
      <c r="CL906" s="399"/>
      <c r="CM906" s="399"/>
      <c r="CN906" s="399"/>
      <c r="CO906" s="399"/>
      <c r="CP906" s="399"/>
      <c r="CQ906" s="399"/>
      <c r="CR906" s="399"/>
      <c r="CS906" s="399"/>
      <c r="CT906" s="399"/>
      <c r="CU906" s="399"/>
      <c r="CV906" s="399"/>
      <c r="CW906" s="399"/>
      <c r="CX906" s="399"/>
      <c r="CY906" s="399"/>
      <c r="CZ906" s="399"/>
      <c r="DA906" s="399"/>
      <c r="DB906" s="399"/>
      <c r="DC906" s="399"/>
      <c r="DD906" s="399"/>
      <c r="DE906" s="399"/>
      <c r="DF906" s="399"/>
      <c r="DG906" s="399"/>
      <c r="DH906" s="399"/>
      <c r="DI906" s="399"/>
      <c r="DJ906" s="399"/>
      <c r="DK906" s="399"/>
      <c r="DL906" s="399"/>
      <c r="DM906" s="399"/>
      <c r="DN906" s="399"/>
      <c r="DO906" s="399"/>
      <c r="DP906" s="399"/>
      <c r="DQ906" s="399"/>
    </row>
    <row r="907" spans="1:121" ht="14.45" customHeight="1" x14ac:dyDescent="0.25">
      <c r="A907" s="266">
        <f t="shared" si="14"/>
        <v>52.733333333333334</v>
      </c>
      <c r="B907" s="389">
        <v>41274</v>
      </c>
      <c r="C907" s="390" t="s">
        <v>452</v>
      </c>
      <c r="D907" s="390" t="s">
        <v>452</v>
      </c>
      <c r="E907" s="390" t="s">
        <v>380</v>
      </c>
      <c r="F907" s="262" t="s">
        <v>526</v>
      </c>
      <c r="G907" s="262" t="s">
        <v>98</v>
      </c>
      <c r="H907" s="261">
        <v>5</v>
      </c>
      <c r="I907" s="261"/>
      <c r="J907" s="261"/>
      <c r="K907" s="261"/>
      <c r="L907" s="261"/>
      <c r="M907" s="261"/>
      <c r="N907" s="261"/>
      <c r="O907" s="261"/>
      <c r="P907" s="261">
        <v>0</v>
      </c>
      <c r="Q907" s="261">
        <v>0</v>
      </c>
      <c r="R907" s="261"/>
      <c r="S907" s="261"/>
      <c r="T907" s="261"/>
      <c r="U907" s="261"/>
      <c r="V907" s="762"/>
      <c r="W907" s="261"/>
      <c r="X907" s="261"/>
      <c r="Y907" s="264">
        <f>IF(NFI_Expiration=1,IF($A907&lt;VLOOKUP(H$5,NFI,5,0),1,0)*Table_NFI[[#This Row],[Hygiene Kit]],Table_NFI[Hygiene Kit])</f>
        <v>0</v>
      </c>
      <c r="Z907" s="264">
        <f>IF(NFI_Expiration=1,IF($A907&lt;VLOOKUP(I$5,NFI,5,0),1,0)*Table_NFI[[#This Row],[NFI Core Kit]],Table_NFI[NFI Core Kit])</f>
        <v>0</v>
      </c>
      <c r="AA907" s="264">
        <f>IF(NFI_Expiration=1,IF($A907&lt;VLOOKUP(J$5,NFI,5,0),1,0)*Table_NFI[[#This Row],[Sanitary Kit]],Table_NFI[Sanitary Kit])</f>
        <v>0</v>
      </c>
      <c r="AB907" s="264">
        <f>IF(NFI_Expiration=1,IF($A907&lt;VLOOKUP(K$5,NFI,5,0),1,0)*Table_NFI[[#This Row],[Mosquito net]],Table_NFI[Mosquito net])</f>
        <v>0</v>
      </c>
      <c r="AC907" s="264">
        <f>IF(NFI_Expiration=1,IF($A907&lt;VLOOKUP(L$5,NFI,5,0),1,0)*Table_NFI[[#This Row],[Tarpaulin]],Table_NFI[[#This Row],[Tarpaulin]])</f>
        <v>0</v>
      </c>
      <c r="AD907" s="264">
        <f>IF(NFI_Expiration=1,IF($A907&lt;VLOOKUP(M$5,NFI,5,0),1,0)*Table_NFI[[#This Row],[Blanket]],Table_NFI[[#This Row],[Blanket]])</f>
        <v>0</v>
      </c>
      <c r="AE907" s="264">
        <f>IF(NFI_Expiration=1,IF($A907&lt;VLOOKUP(N$5,NFI,5,0),1,0)*Table_NFI[[#This Row],[Kitchen Set]],Table_NFI[Kitchen Set])</f>
        <v>0</v>
      </c>
      <c r="AF907" s="264">
        <f>IF(NFI_Expiration=1,IF($A907&lt;VLOOKUP(O$5,NFI,5,0),1,0)*Table_NFI[[#This Row],[Clothes Kit]],Table_NFI[Clothes Kit])</f>
        <v>0</v>
      </c>
      <c r="AG907" s="264">
        <f>IF(NFI_Expiration=1,IF($A907&lt;VLOOKUP(P$5,NFI,5,0),1,0)*Table_NFI[[#This Row],[Plastic Bucket]],Table_NFI[Plastic Bucket])</f>
        <v>0</v>
      </c>
      <c r="AH907" s="264">
        <f>IF(NFI_Expiration=1,IF($A907&lt;VLOOKUP(Q$5,NFI,5,0),1,0)*Table_NFI[[#This Row],[Plastic Mat]],Table_NFI[Plastic Mat])*IF(Table_NFI[[#This Row],[Distribution Date]]&gt;"2014-04-01",1,2.5)</f>
        <v>0</v>
      </c>
      <c r="AI907" s="264">
        <f>IF(NFI_Expiration=1,IF($A907&lt;VLOOKUP(R$5,NFI,5,0),1,0)*Table_NFI[[#This Row],[Winter Clothes Adult]],Table_NFI[Winter Clothes Adult])</f>
        <v>0</v>
      </c>
      <c r="AJ907" s="264">
        <f>IF(NFI_Expiration=1,IF($A907&lt;VLOOKUP(S$5,NFI,5,0),1,0)*Table_NFI[[#This Row],[Winter Clothes Children]],Table_NFI[Winter Clothes Children])</f>
        <v>0</v>
      </c>
      <c r="AK907" s="264">
        <f>IF(NFI_Expiration=1,IF($A907&lt;VLOOKUP(T$5,NFI,5,0),1,0)*Table_NFI[[#This Row],[Winter Items Other]],Table_NFI[Winter Items Other])</f>
        <v>0</v>
      </c>
      <c r="AL907" s="264">
        <f>IF(NFI_Expiration=1,IF($A907&lt;VLOOKUP(M$5,NFI,5,0),1,0)*Table_NFI[[#This Row],[Winter Blanket]],Table_NFI[[#This Row],[Winter Blanket]])</f>
        <v>0</v>
      </c>
      <c r="AM907" s="264">
        <f>IF(Table_NFI[[#This Row],[Winter Clothes Adult]]+Table_NFI[[#This Row],[Winter Clothes Children]]+Table_NFI[[#This Row],[Winter Items Other]]+Table_NFI[[#This Row],[Winter Blanket]]&gt;0,1,0)</f>
        <v>0</v>
      </c>
      <c r="AN907" s="296">
        <f>IF(NFI_Expiration=1,IF($A907&lt;VLOOKUP(V$5,NFI,5,0),1,0)*Table_NFI[[#This Row],[Jerry Can]],Table_NFI[Jerry Can])</f>
        <v>0</v>
      </c>
      <c r="AO907" s="296">
        <f>IF(NFI_Expiration=1,IF($A907&lt;VLOOKUP(V$5,NFI,5,0),1,0)*Table_NFI[[#This Row],[Shelter Tool kit]],Table_NFI[Shelter Tool kit])</f>
        <v>0</v>
      </c>
      <c r="AP907" s="296">
        <f>IF(NFI_Expiration=1,IF($A907&lt;VLOOKUP(V$5,NFI,5,0),1,0)*Table_NFI[[#This Row],[Tent]],Table_NFI[Tent])</f>
        <v>0</v>
      </c>
      <c r="AQ907" s="396" t="str">
        <f>IFERROR(VLOOKUP(Table_NFI[[#This Row],[Camp Name]],CL,2,0),"")</f>
        <v>MMR001CMP178</v>
      </c>
      <c r="AR907" s="702">
        <f ca="1">IF(Table_NFI[[#This Row],[Pcode]]="","",IF(OFFSET(CampList[Opening Date],MATCH(Table_NFI[[#This Row],[Pcode]],CampList[CP_Pcode],0)-1,0,1,1)&gt;=NFI_Monitor_Date,1,0))</f>
        <v>0</v>
      </c>
      <c r="AS907" s="396" t="str">
        <f>IFERROR(VLOOKUP(Table_NFI[[#This Row],[Camp Name]],CL,3,0),"")</f>
        <v>Closed</v>
      </c>
      <c r="AT907" s="264" t="str">
        <f ca="1">IF(Table_NFI[[#This Row],[Pcode]]="","",OFFSET(CampList[Priority],MATCH(Table_NFI[[#This Row],[Pcode]],CampList[CP_Pcode],0)-1,0,1,1))</f>
        <v/>
      </c>
      <c r="AU907" s="263" t="str">
        <f>IFERROR(Table_NFI[[#This Row],[Kitchen Set]]/VLOOKUP(Table_NFI[[#This Row],[Camp Name]],CL,4,0),"")</f>
        <v/>
      </c>
      <c r="AV907" s="390" t="s">
        <v>1087</v>
      </c>
      <c r="AW907" s="392"/>
    </row>
    <row r="908" spans="1:121" s="760" customFormat="1" ht="14.45" customHeight="1" x14ac:dyDescent="0.25">
      <c r="A908" s="266">
        <f t="shared" si="14"/>
        <v>52.733333333333334</v>
      </c>
      <c r="B908" s="389">
        <v>41274</v>
      </c>
      <c r="C908" s="390" t="s">
        <v>452</v>
      </c>
      <c r="D908" s="390" t="s">
        <v>452</v>
      </c>
      <c r="E908" s="390" t="s">
        <v>380</v>
      </c>
      <c r="F908" s="262" t="s">
        <v>526</v>
      </c>
      <c r="G908" s="262" t="s">
        <v>142</v>
      </c>
      <c r="H908" s="261">
        <v>1</v>
      </c>
      <c r="I908" s="261"/>
      <c r="J908" s="261"/>
      <c r="K908" s="261"/>
      <c r="L908" s="261"/>
      <c r="M908" s="261"/>
      <c r="N908" s="261"/>
      <c r="O908" s="261"/>
      <c r="P908" s="261">
        <v>0</v>
      </c>
      <c r="Q908" s="261">
        <v>0</v>
      </c>
      <c r="R908" s="261"/>
      <c r="S908" s="261"/>
      <c r="T908" s="261"/>
      <c r="U908" s="261"/>
      <c r="V908" s="762"/>
      <c r="W908" s="762"/>
      <c r="X908" s="762"/>
      <c r="Y908" s="264">
        <f>IF(NFI_Expiration=1,IF($A908&lt;VLOOKUP(H$5,NFI,5,0),1,0)*Table_NFI[[#This Row],[Hygiene Kit]],Table_NFI[Hygiene Kit])</f>
        <v>0</v>
      </c>
      <c r="Z908" s="264">
        <f>IF(NFI_Expiration=1,IF($A908&lt;VLOOKUP(I$5,NFI,5,0),1,0)*Table_NFI[[#This Row],[NFI Core Kit]],Table_NFI[NFI Core Kit])</f>
        <v>0</v>
      </c>
      <c r="AA908" s="264">
        <f>IF(NFI_Expiration=1,IF($A908&lt;VLOOKUP(J$5,NFI,5,0),1,0)*Table_NFI[[#This Row],[Sanitary Kit]],Table_NFI[Sanitary Kit])</f>
        <v>0</v>
      </c>
      <c r="AB908" s="264">
        <f>IF(NFI_Expiration=1,IF($A908&lt;VLOOKUP(K$5,NFI,5,0),1,0)*Table_NFI[[#This Row],[Mosquito net]],Table_NFI[Mosquito net])</f>
        <v>0</v>
      </c>
      <c r="AC908" s="264">
        <f>IF(NFI_Expiration=1,IF($A908&lt;VLOOKUP(L$5,NFI,5,0),1,0)*Table_NFI[[#This Row],[Tarpaulin]],Table_NFI[[#This Row],[Tarpaulin]])</f>
        <v>0</v>
      </c>
      <c r="AD908" s="264">
        <f>IF(NFI_Expiration=1,IF($A908&lt;VLOOKUP(M$5,NFI,5,0),1,0)*Table_NFI[[#This Row],[Blanket]],Table_NFI[[#This Row],[Blanket]])</f>
        <v>0</v>
      </c>
      <c r="AE908" s="264">
        <f>IF(NFI_Expiration=1,IF($A908&lt;VLOOKUP(N$5,NFI,5,0),1,0)*Table_NFI[[#This Row],[Kitchen Set]],Table_NFI[Kitchen Set])</f>
        <v>0</v>
      </c>
      <c r="AF908" s="264">
        <f>IF(NFI_Expiration=1,IF($A908&lt;VLOOKUP(O$5,NFI,5,0),1,0)*Table_NFI[[#This Row],[Clothes Kit]],Table_NFI[Clothes Kit])</f>
        <v>0</v>
      </c>
      <c r="AG908" s="264">
        <f>IF(NFI_Expiration=1,IF($A908&lt;VLOOKUP(P$5,NFI,5,0),1,0)*Table_NFI[[#This Row],[Plastic Bucket]],Table_NFI[Plastic Bucket])</f>
        <v>0</v>
      </c>
      <c r="AH908" s="264">
        <f>IF(NFI_Expiration=1,IF($A908&lt;VLOOKUP(Q$5,NFI,5,0),1,0)*Table_NFI[[#This Row],[Plastic Mat]],Table_NFI[Plastic Mat])*IF(Table_NFI[[#This Row],[Distribution Date]]&gt;"2014-04-01",1,2.5)</f>
        <v>0</v>
      </c>
      <c r="AI908" s="264">
        <f>IF(NFI_Expiration=1,IF($A908&lt;VLOOKUP(R$5,NFI,5,0),1,0)*Table_NFI[[#This Row],[Winter Clothes Adult]],Table_NFI[Winter Clothes Adult])</f>
        <v>0</v>
      </c>
      <c r="AJ908" s="264">
        <f>IF(NFI_Expiration=1,IF($A908&lt;VLOOKUP(S$5,NFI,5,0),1,0)*Table_NFI[[#This Row],[Winter Clothes Children]],Table_NFI[Winter Clothes Children])</f>
        <v>0</v>
      </c>
      <c r="AK908" s="264">
        <f>IF(NFI_Expiration=1,IF($A908&lt;VLOOKUP(T$5,NFI,5,0),1,0)*Table_NFI[[#This Row],[Winter Items Other]],Table_NFI[Winter Items Other])</f>
        <v>0</v>
      </c>
      <c r="AL908" s="264">
        <f>IF(NFI_Expiration=1,IF($A908&lt;VLOOKUP(M$5,NFI,5,0),1,0)*Table_NFI[[#This Row],[Winter Blanket]],Table_NFI[[#This Row],[Winter Blanket]])</f>
        <v>0</v>
      </c>
      <c r="AM908" s="264">
        <f>IF(Table_NFI[[#This Row],[Winter Clothes Adult]]+Table_NFI[[#This Row],[Winter Clothes Children]]+Table_NFI[[#This Row],[Winter Items Other]]+Table_NFI[[#This Row],[Winter Blanket]]&gt;0,1,0)</f>
        <v>0</v>
      </c>
      <c r="AN908" s="296">
        <f>IF(NFI_Expiration=1,IF($A908&lt;VLOOKUP(V$5,NFI,5,0),1,0)*Table_NFI[[#This Row],[Jerry Can]],Table_NFI[Jerry Can])</f>
        <v>0</v>
      </c>
      <c r="AO908" s="296">
        <f>IF(NFI_Expiration=1,IF($A908&lt;VLOOKUP(V$5,NFI,5,0),1,0)*Table_NFI[[#This Row],[Shelter Tool kit]],Table_NFI[Shelter Tool kit])</f>
        <v>0</v>
      </c>
      <c r="AP908" s="296">
        <f>IF(NFI_Expiration=1,IF($A908&lt;VLOOKUP(V$5,NFI,5,0),1,0)*Table_NFI[[#This Row],[Tent]],Table_NFI[Tent])</f>
        <v>0</v>
      </c>
      <c r="AQ908" s="396" t="str">
        <f>IFERROR(VLOOKUP(Table_NFI[[#This Row],[Camp Name]],CL,2,0),"")</f>
        <v>MMR001CMP177</v>
      </c>
      <c r="AR908" s="702">
        <f ca="1">IF(Table_NFI[[#This Row],[Pcode]]="","",IF(OFFSET(CampList[Opening Date],MATCH(Table_NFI[[#This Row],[Pcode]],CampList[CP_Pcode],0)-1,0,1,1)&gt;=NFI_Monitor_Date,1,0))</f>
        <v>0</v>
      </c>
      <c r="AS908" s="396" t="str">
        <f>IFERROR(VLOOKUP(Table_NFI[[#This Row],[Camp Name]],CL,3,0),"")</f>
        <v>Closed</v>
      </c>
      <c r="AT908" s="264" t="str">
        <f ca="1">IF(Table_NFI[[#This Row],[Pcode]]="","",OFFSET(CampList[Priority],MATCH(Table_NFI[[#This Row],[Pcode]],CampList[CP_Pcode],0)-1,0,1,1))</f>
        <v/>
      </c>
      <c r="AU908" s="263">
        <f>IFERROR(Table_NFI[[#This Row],[Kitchen Set]]/VLOOKUP(Table_NFI[[#This Row],[Camp Name]],CL,4,0),"")</f>
        <v>0</v>
      </c>
      <c r="AV908" s="390" t="s">
        <v>1087</v>
      </c>
      <c r="AW908" s="392"/>
      <c r="AX908" s="399"/>
      <c r="AY908" s="399"/>
      <c r="AZ908" s="399"/>
      <c r="BA908" s="399"/>
      <c r="BB908" s="399"/>
      <c r="BC908" s="399"/>
      <c r="BD908" s="399"/>
      <c r="BE908" s="399"/>
      <c r="BF908" s="399"/>
      <c r="BG908" s="399"/>
      <c r="BH908" s="399"/>
      <c r="BI908" s="399"/>
      <c r="BJ908" s="399"/>
      <c r="BK908" s="399"/>
      <c r="BL908" s="399"/>
      <c r="BM908" s="399"/>
      <c r="BN908" s="399"/>
      <c r="BO908" s="399"/>
      <c r="BP908" s="399"/>
      <c r="BQ908" s="399"/>
      <c r="BR908" s="399"/>
      <c r="BS908" s="399"/>
      <c r="BT908" s="399"/>
      <c r="BU908" s="399"/>
      <c r="BV908" s="399"/>
      <c r="BW908" s="399"/>
      <c r="BX908" s="399"/>
      <c r="BY908" s="399"/>
      <c r="BZ908" s="399"/>
      <c r="CA908" s="399"/>
      <c r="CB908" s="399"/>
      <c r="CC908" s="399"/>
      <c r="CD908" s="399"/>
      <c r="CE908" s="399"/>
      <c r="CF908" s="399"/>
      <c r="CG908" s="399"/>
      <c r="CH908" s="399"/>
      <c r="CI908" s="399"/>
      <c r="CJ908" s="399"/>
      <c r="CK908" s="399"/>
      <c r="CL908" s="399"/>
      <c r="CM908" s="399"/>
      <c r="CN908" s="399"/>
      <c r="CO908" s="399"/>
      <c r="CP908" s="399"/>
      <c r="CQ908" s="399"/>
      <c r="CR908" s="399"/>
      <c r="CS908" s="399"/>
      <c r="CT908" s="399"/>
      <c r="CU908" s="399"/>
      <c r="CV908" s="399"/>
      <c r="CW908" s="399"/>
      <c r="CX908" s="399"/>
      <c r="CY908" s="399"/>
      <c r="CZ908" s="399"/>
      <c r="DA908" s="399"/>
      <c r="DB908" s="399"/>
      <c r="DC908" s="399"/>
      <c r="DD908" s="399"/>
      <c r="DE908" s="399"/>
      <c r="DF908" s="399"/>
      <c r="DG908" s="399"/>
      <c r="DH908" s="399"/>
      <c r="DI908" s="399"/>
      <c r="DJ908" s="399"/>
      <c r="DK908" s="399"/>
      <c r="DL908" s="399"/>
      <c r="DM908" s="399"/>
      <c r="DN908" s="399"/>
      <c r="DO908" s="399"/>
      <c r="DP908" s="399"/>
      <c r="DQ908" s="399"/>
    </row>
    <row r="909" spans="1:121" s="760" customFormat="1" ht="14.45" customHeight="1" x14ac:dyDescent="0.25">
      <c r="A909" s="266">
        <f t="shared" si="14"/>
        <v>52.733333333333334</v>
      </c>
      <c r="B909" s="389">
        <v>41274</v>
      </c>
      <c r="C909" s="390" t="s">
        <v>452</v>
      </c>
      <c r="D909" s="391" t="s">
        <v>452</v>
      </c>
      <c r="E909" s="390" t="s">
        <v>380</v>
      </c>
      <c r="F909" s="262" t="s">
        <v>237</v>
      </c>
      <c r="G909" s="262" t="s">
        <v>267</v>
      </c>
      <c r="H909" s="261">
        <v>12</v>
      </c>
      <c r="I909" s="261"/>
      <c r="J909" s="261"/>
      <c r="K909" s="261"/>
      <c r="L909" s="261"/>
      <c r="M909" s="261"/>
      <c r="N909" s="261"/>
      <c r="O909" s="261"/>
      <c r="P909" s="261">
        <v>0</v>
      </c>
      <c r="Q909" s="261">
        <v>0</v>
      </c>
      <c r="R909" s="261"/>
      <c r="S909" s="261"/>
      <c r="T909" s="261"/>
      <c r="U909" s="261"/>
      <c r="V909" s="762"/>
      <c r="W909" s="261"/>
      <c r="X909" s="261"/>
      <c r="Y909" s="264">
        <f>IF(NFI_Expiration=1,IF($A909&lt;VLOOKUP(H$5,NFI,5,0),1,0)*Table_NFI[[#This Row],[Hygiene Kit]],Table_NFI[Hygiene Kit])</f>
        <v>0</v>
      </c>
      <c r="Z909" s="264">
        <f>IF(NFI_Expiration=1,IF($A909&lt;VLOOKUP(I$5,NFI,5,0),1,0)*Table_NFI[[#This Row],[NFI Core Kit]],Table_NFI[NFI Core Kit])</f>
        <v>0</v>
      </c>
      <c r="AA909" s="264">
        <f>IF(NFI_Expiration=1,IF($A909&lt;VLOOKUP(J$5,NFI,5,0),1,0)*Table_NFI[[#This Row],[Sanitary Kit]],Table_NFI[Sanitary Kit])</f>
        <v>0</v>
      </c>
      <c r="AB909" s="264">
        <f>IF(NFI_Expiration=1,IF($A909&lt;VLOOKUP(K$5,NFI,5,0),1,0)*Table_NFI[[#This Row],[Mosquito net]],Table_NFI[Mosquito net])</f>
        <v>0</v>
      </c>
      <c r="AC909" s="264">
        <f>IF(NFI_Expiration=1,IF($A909&lt;VLOOKUP(L$5,NFI,5,0),1,0)*Table_NFI[[#This Row],[Tarpaulin]],Table_NFI[[#This Row],[Tarpaulin]])</f>
        <v>0</v>
      </c>
      <c r="AD909" s="264">
        <f>IF(NFI_Expiration=1,IF($A909&lt;VLOOKUP(M$5,NFI,5,0),1,0)*Table_NFI[[#This Row],[Blanket]],Table_NFI[[#This Row],[Blanket]])</f>
        <v>0</v>
      </c>
      <c r="AE909" s="264">
        <f>IF(NFI_Expiration=1,IF($A909&lt;VLOOKUP(N$5,NFI,5,0),1,0)*Table_NFI[[#This Row],[Kitchen Set]],Table_NFI[Kitchen Set])</f>
        <v>0</v>
      </c>
      <c r="AF909" s="264">
        <f>IF(NFI_Expiration=1,IF($A909&lt;VLOOKUP(O$5,NFI,5,0),1,0)*Table_NFI[[#This Row],[Clothes Kit]],Table_NFI[Clothes Kit])</f>
        <v>0</v>
      </c>
      <c r="AG909" s="264">
        <f>IF(NFI_Expiration=1,IF($A909&lt;VLOOKUP(P$5,NFI,5,0),1,0)*Table_NFI[[#This Row],[Plastic Bucket]],Table_NFI[Plastic Bucket])</f>
        <v>0</v>
      </c>
      <c r="AH909" s="264">
        <f>IF(NFI_Expiration=1,IF($A909&lt;VLOOKUP(Q$5,NFI,5,0),1,0)*Table_NFI[[#This Row],[Plastic Mat]],Table_NFI[Plastic Mat])*IF(Table_NFI[[#This Row],[Distribution Date]]&gt;"2014-04-01",1,2.5)</f>
        <v>0</v>
      </c>
      <c r="AI909" s="264">
        <f>IF(NFI_Expiration=1,IF($A909&lt;VLOOKUP(R$5,NFI,5,0),1,0)*Table_NFI[[#This Row],[Winter Clothes Adult]],Table_NFI[Winter Clothes Adult])</f>
        <v>0</v>
      </c>
      <c r="AJ909" s="264">
        <f>IF(NFI_Expiration=1,IF($A909&lt;VLOOKUP(S$5,NFI,5,0),1,0)*Table_NFI[[#This Row],[Winter Clothes Children]],Table_NFI[Winter Clothes Children])</f>
        <v>0</v>
      </c>
      <c r="AK909" s="264">
        <f>IF(NFI_Expiration=1,IF($A909&lt;VLOOKUP(T$5,NFI,5,0),1,0)*Table_NFI[[#This Row],[Winter Items Other]],Table_NFI[Winter Items Other])</f>
        <v>0</v>
      </c>
      <c r="AL909" s="264">
        <f>IF(NFI_Expiration=1,IF($A909&lt;VLOOKUP(M$5,NFI,5,0),1,0)*Table_NFI[[#This Row],[Winter Blanket]],Table_NFI[[#This Row],[Winter Blanket]])</f>
        <v>0</v>
      </c>
      <c r="AM909" s="264">
        <f>IF(Table_NFI[[#This Row],[Winter Clothes Adult]]+Table_NFI[[#This Row],[Winter Clothes Children]]+Table_NFI[[#This Row],[Winter Items Other]]+Table_NFI[[#This Row],[Winter Blanket]]&gt;0,1,0)</f>
        <v>0</v>
      </c>
      <c r="AN909" s="296">
        <f>IF(NFI_Expiration=1,IF($A909&lt;VLOOKUP(V$5,NFI,5,0),1,0)*Table_NFI[[#This Row],[Jerry Can]],Table_NFI[Jerry Can])</f>
        <v>0</v>
      </c>
      <c r="AO909" s="296">
        <f>IF(NFI_Expiration=1,IF($A909&lt;VLOOKUP(V$5,NFI,5,0),1,0)*Table_NFI[[#This Row],[Shelter Tool kit]],Table_NFI[Shelter Tool kit])</f>
        <v>0</v>
      </c>
      <c r="AP909" s="296">
        <f>IF(NFI_Expiration=1,IF($A909&lt;VLOOKUP(V$5,NFI,5,0),1,0)*Table_NFI[[#This Row],[Tent]],Table_NFI[Tent])</f>
        <v>0</v>
      </c>
      <c r="AQ909" s="396" t="str">
        <f>IFERROR(VLOOKUP(Table_NFI[[#This Row],[Camp Name]],CL,2,0),"")</f>
        <v>MMR001CMP017</v>
      </c>
      <c r="AR909" s="702">
        <f ca="1">IF(Table_NFI[[#This Row],[Pcode]]="","",IF(OFFSET(CampList[Opening Date],MATCH(Table_NFI[[#This Row],[Pcode]],CampList[CP_Pcode],0)-1,0,1,1)&gt;=NFI_Monitor_Date,1,0))</f>
        <v>0</v>
      </c>
      <c r="AS909" s="396" t="str">
        <f>IFERROR(VLOOKUP(Table_NFI[[#This Row],[Camp Name]],CL,3,0),"")</f>
        <v>Closed</v>
      </c>
      <c r="AT909" s="264" t="str">
        <f ca="1">IF(Table_NFI[[#This Row],[Pcode]]="","",OFFSET(CampList[Priority],MATCH(Table_NFI[[#This Row],[Pcode]],CampList[CP_Pcode],0)-1,0,1,1))</f>
        <v>P4</v>
      </c>
      <c r="AU909" s="263">
        <f>IFERROR(Table_NFI[[#This Row],[Kitchen Set]]/VLOOKUP(Table_NFI[[#This Row],[Camp Name]],CL,4,0),"")</f>
        <v>0</v>
      </c>
      <c r="AV909" s="390" t="s">
        <v>1087</v>
      </c>
      <c r="AW909" s="392"/>
      <c r="AX909" s="399"/>
      <c r="AY909" s="399"/>
      <c r="AZ909" s="399"/>
      <c r="BA909" s="399"/>
      <c r="BB909" s="399"/>
      <c r="BC909" s="399"/>
      <c r="BD909" s="399"/>
      <c r="BE909" s="399"/>
      <c r="BF909" s="399"/>
      <c r="BG909" s="399"/>
      <c r="BH909" s="399"/>
      <c r="BI909" s="399"/>
      <c r="BJ909" s="399"/>
      <c r="BK909" s="399"/>
      <c r="BL909" s="399"/>
      <c r="BM909" s="399"/>
      <c r="BN909" s="399"/>
      <c r="BO909" s="399"/>
      <c r="BP909" s="399"/>
      <c r="BQ909" s="399"/>
      <c r="BR909" s="399"/>
      <c r="BS909" s="399"/>
      <c r="BT909" s="399"/>
      <c r="BU909" s="399"/>
      <c r="BV909" s="399"/>
      <c r="BW909" s="399"/>
      <c r="BX909" s="399"/>
      <c r="BY909" s="399"/>
      <c r="BZ909" s="399"/>
      <c r="CA909" s="399"/>
      <c r="CB909" s="399"/>
      <c r="CC909" s="399"/>
      <c r="CD909" s="399"/>
      <c r="CE909" s="399"/>
      <c r="CF909" s="399"/>
      <c r="CG909" s="399"/>
      <c r="CH909" s="399"/>
      <c r="CI909" s="399"/>
      <c r="CJ909" s="399"/>
      <c r="CK909" s="399"/>
      <c r="CL909" s="399"/>
      <c r="CM909" s="399"/>
      <c r="CN909" s="399"/>
      <c r="CO909" s="399"/>
      <c r="CP909" s="399"/>
      <c r="CQ909" s="399"/>
      <c r="CR909" s="399"/>
      <c r="CS909" s="399"/>
      <c r="CT909" s="399"/>
      <c r="CU909" s="399"/>
      <c r="CV909" s="399"/>
      <c r="CW909" s="399"/>
      <c r="CX909" s="399"/>
      <c r="CY909" s="399"/>
      <c r="CZ909" s="399"/>
      <c r="DA909" s="399"/>
      <c r="DB909" s="399"/>
      <c r="DC909" s="399"/>
      <c r="DD909" s="399"/>
      <c r="DE909" s="399"/>
      <c r="DF909" s="399"/>
      <c r="DG909" s="399"/>
      <c r="DH909" s="399"/>
      <c r="DI909" s="399"/>
      <c r="DJ909" s="399"/>
      <c r="DK909" s="399"/>
      <c r="DL909" s="399"/>
      <c r="DM909" s="399"/>
      <c r="DN909" s="399"/>
      <c r="DO909" s="399"/>
      <c r="DP909" s="399"/>
      <c r="DQ909" s="399"/>
    </row>
    <row r="910" spans="1:121" ht="14.45" customHeight="1" x14ac:dyDescent="0.25">
      <c r="A910" s="266">
        <f t="shared" si="14"/>
        <v>52.733333333333334</v>
      </c>
      <c r="B910" s="389">
        <v>41274</v>
      </c>
      <c r="C910" s="390" t="s">
        <v>452</v>
      </c>
      <c r="D910" s="391" t="s">
        <v>452</v>
      </c>
      <c r="E910" s="390" t="s">
        <v>380</v>
      </c>
      <c r="F910" s="262" t="s">
        <v>526</v>
      </c>
      <c r="G910" s="262" t="s">
        <v>112</v>
      </c>
      <c r="H910" s="261">
        <v>3</v>
      </c>
      <c r="I910" s="261"/>
      <c r="J910" s="261"/>
      <c r="K910" s="261"/>
      <c r="L910" s="261"/>
      <c r="M910" s="261"/>
      <c r="N910" s="261"/>
      <c r="O910" s="261"/>
      <c r="P910" s="261">
        <v>0</v>
      </c>
      <c r="Q910" s="261">
        <v>0</v>
      </c>
      <c r="R910" s="261"/>
      <c r="S910" s="261"/>
      <c r="T910" s="261"/>
      <c r="U910" s="261"/>
      <c r="V910" s="762"/>
      <c r="W910" s="762"/>
      <c r="X910" s="762"/>
      <c r="Y910" s="264">
        <f>IF(NFI_Expiration=1,IF($A910&lt;VLOOKUP(H$5,NFI,5,0),1,0)*Table_NFI[[#This Row],[Hygiene Kit]],Table_NFI[Hygiene Kit])</f>
        <v>0</v>
      </c>
      <c r="Z910" s="264">
        <f>IF(NFI_Expiration=1,IF($A910&lt;VLOOKUP(I$5,NFI,5,0),1,0)*Table_NFI[[#This Row],[NFI Core Kit]],Table_NFI[NFI Core Kit])</f>
        <v>0</v>
      </c>
      <c r="AA910" s="264">
        <f>IF(NFI_Expiration=1,IF($A910&lt;VLOOKUP(J$5,NFI,5,0),1,0)*Table_NFI[[#This Row],[Sanitary Kit]],Table_NFI[Sanitary Kit])</f>
        <v>0</v>
      </c>
      <c r="AB910" s="264">
        <f>IF(NFI_Expiration=1,IF($A910&lt;VLOOKUP(K$5,NFI,5,0),1,0)*Table_NFI[[#This Row],[Mosquito net]],Table_NFI[Mosquito net])</f>
        <v>0</v>
      </c>
      <c r="AC910" s="264">
        <f>IF(NFI_Expiration=1,IF($A910&lt;VLOOKUP(L$5,NFI,5,0),1,0)*Table_NFI[[#This Row],[Tarpaulin]],Table_NFI[[#This Row],[Tarpaulin]])</f>
        <v>0</v>
      </c>
      <c r="AD910" s="264">
        <f>IF(NFI_Expiration=1,IF($A910&lt;VLOOKUP(M$5,NFI,5,0),1,0)*Table_NFI[[#This Row],[Blanket]],Table_NFI[[#This Row],[Blanket]])</f>
        <v>0</v>
      </c>
      <c r="AE910" s="264">
        <f>IF(NFI_Expiration=1,IF($A910&lt;VLOOKUP(N$5,NFI,5,0),1,0)*Table_NFI[[#This Row],[Kitchen Set]],Table_NFI[Kitchen Set])</f>
        <v>0</v>
      </c>
      <c r="AF910" s="264">
        <f>IF(NFI_Expiration=1,IF($A910&lt;VLOOKUP(O$5,NFI,5,0),1,0)*Table_NFI[[#This Row],[Clothes Kit]],Table_NFI[Clothes Kit])</f>
        <v>0</v>
      </c>
      <c r="AG910" s="264">
        <f>IF(NFI_Expiration=1,IF($A910&lt;VLOOKUP(P$5,NFI,5,0),1,0)*Table_NFI[[#This Row],[Plastic Bucket]],Table_NFI[Plastic Bucket])</f>
        <v>0</v>
      </c>
      <c r="AH910" s="264">
        <f>IF(NFI_Expiration=1,IF($A910&lt;VLOOKUP(Q$5,NFI,5,0),1,0)*Table_NFI[[#This Row],[Plastic Mat]],Table_NFI[Plastic Mat])*IF(Table_NFI[[#This Row],[Distribution Date]]&gt;"2014-04-01",1,2.5)</f>
        <v>0</v>
      </c>
      <c r="AI910" s="264">
        <f>IF(NFI_Expiration=1,IF($A910&lt;VLOOKUP(R$5,NFI,5,0),1,0)*Table_NFI[[#This Row],[Winter Clothes Adult]],Table_NFI[Winter Clothes Adult])</f>
        <v>0</v>
      </c>
      <c r="AJ910" s="264">
        <f>IF(NFI_Expiration=1,IF($A910&lt;VLOOKUP(S$5,NFI,5,0),1,0)*Table_NFI[[#This Row],[Winter Clothes Children]],Table_NFI[Winter Clothes Children])</f>
        <v>0</v>
      </c>
      <c r="AK910" s="264">
        <f>IF(NFI_Expiration=1,IF($A910&lt;VLOOKUP(T$5,NFI,5,0),1,0)*Table_NFI[[#This Row],[Winter Items Other]],Table_NFI[Winter Items Other])</f>
        <v>0</v>
      </c>
      <c r="AL910" s="264">
        <f>IF(NFI_Expiration=1,IF($A910&lt;VLOOKUP(M$5,NFI,5,0),1,0)*Table_NFI[[#This Row],[Winter Blanket]],Table_NFI[[#This Row],[Winter Blanket]])</f>
        <v>0</v>
      </c>
      <c r="AM910" s="264">
        <f>IF(Table_NFI[[#This Row],[Winter Clothes Adult]]+Table_NFI[[#This Row],[Winter Clothes Children]]+Table_NFI[[#This Row],[Winter Items Other]]+Table_NFI[[#This Row],[Winter Blanket]]&gt;0,1,0)</f>
        <v>0</v>
      </c>
      <c r="AN910" s="296">
        <f>IF(NFI_Expiration=1,IF($A910&lt;VLOOKUP(V$5,NFI,5,0),1,0)*Table_NFI[[#This Row],[Jerry Can]],Table_NFI[Jerry Can])</f>
        <v>0</v>
      </c>
      <c r="AO910" s="296">
        <f>IF(NFI_Expiration=1,IF($A910&lt;VLOOKUP(V$5,NFI,5,0),1,0)*Table_NFI[[#This Row],[Shelter Tool kit]],Table_NFI[Shelter Tool kit])</f>
        <v>0</v>
      </c>
      <c r="AP910" s="296">
        <f>IF(NFI_Expiration=1,IF($A910&lt;VLOOKUP(V$5,NFI,5,0),1,0)*Table_NFI[[#This Row],[Tent]],Table_NFI[Tent])</f>
        <v>0</v>
      </c>
      <c r="AQ910" s="396" t="str">
        <f>IFERROR(VLOOKUP(Table_NFI[[#This Row],[Camp Name]],CL,2,0),"")</f>
        <v>MMR001CMP083</v>
      </c>
      <c r="AR910" s="702">
        <f ca="1">IF(Table_NFI[[#This Row],[Pcode]]="","",IF(OFFSET(CampList[Opening Date],MATCH(Table_NFI[[#This Row],[Pcode]],CampList[CP_Pcode],0)-1,0,1,1)&gt;=NFI_Monitor_Date,1,0))</f>
        <v>0</v>
      </c>
      <c r="AS910" s="396" t="str">
        <f>IFERROR(VLOOKUP(Table_NFI[[#This Row],[Camp Name]],CL,3,0),"")</f>
        <v>Closed</v>
      </c>
      <c r="AT910" s="264" t="str">
        <f ca="1">IF(Table_NFI[[#This Row],[Pcode]]="","",OFFSET(CampList[Priority],MATCH(Table_NFI[[#This Row],[Pcode]],CampList[CP_Pcode],0)-1,0,1,1))</f>
        <v/>
      </c>
      <c r="AU910" s="263" t="str">
        <f>IFERROR(Table_NFI[[#This Row],[Kitchen Set]]/VLOOKUP(Table_NFI[[#This Row],[Camp Name]],CL,4,0),"")</f>
        <v/>
      </c>
      <c r="AV910" s="390" t="s">
        <v>1087</v>
      </c>
      <c r="AW910" s="392"/>
    </row>
    <row r="911" spans="1:121" s="760" customFormat="1" ht="14.45" customHeight="1" x14ac:dyDescent="0.25">
      <c r="A911" s="266">
        <f t="shared" si="14"/>
        <v>52.733333333333334</v>
      </c>
      <c r="B911" s="389">
        <v>41274</v>
      </c>
      <c r="C911" s="390" t="s">
        <v>452</v>
      </c>
      <c r="D911" s="390" t="s">
        <v>452</v>
      </c>
      <c r="E911" s="390" t="s">
        <v>380</v>
      </c>
      <c r="F911" s="262" t="s">
        <v>526</v>
      </c>
      <c r="G911" s="262" t="s">
        <v>74</v>
      </c>
      <c r="H911" s="261">
        <v>3</v>
      </c>
      <c r="I911" s="261"/>
      <c r="J911" s="261"/>
      <c r="K911" s="261"/>
      <c r="L911" s="261"/>
      <c r="M911" s="261"/>
      <c r="N911" s="261"/>
      <c r="O911" s="261"/>
      <c r="P911" s="261">
        <v>0</v>
      </c>
      <c r="Q911" s="261">
        <v>0</v>
      </c>
      <c r="R911" s="261"/>
      <c r="S911" s="261"/>
      <c r="T911" s="261"/>
      <c r="U911" s="261"/>
      <c r="V911" s="762"/>
      <c r="W911" s="261"/>
      <c r="X911" s="261"/>
      <c r="Y911" s="264">
        <f>IF(NFI_Expiration=1,IF($A911&lt;VLOOKUP(H$5,NFI,5,0),1,0)*Table_NFI[[#This Row],[Hygiene Kit]],Table_NFI[Hygiene Kit])</f>
        <v>0</v>
      </c>
      <c r="Z911" s="264">
        <f>IF(NFI_Expiration=1,IF($A911&lt;VLOOKUP(I$5,NFI,5,0),1,0)*Table_NFI[[#This Row],[NFI Core Kit]],Table_NFI[NFI Core Kit])</f>
        <v>0</v>
      </c>
      <c r="AA911" s="264">
        <f>IF(NFI_Expiration=1,IF($A911&lt;VLOOKUP(J$5,NFI,5,0),1,0)*Table_NFI[[#This Row],[Sanitary Kit]],Table_NFI[Sanitary Kit])</f>
        <v>0</v>
      </c>
      <c r="AB911" s="264">
        <f>IF(NFI_Expiration=1,IF($A911&lt;VLOOKUP(K$5,NFI,5,0),1,0)*Table_NFI[[#This Row],[Mosquito net]],Table_NFI[Mosquito net])</f>
        <v>0</v>
      </c>
      <c r="AC911" s="264">
        <f>IF(NFI_Expiration=1,IF($A911&lt;VLOOKUP(L$5,NFI,5,0),1,0)*Table_NFI[[#This Row],[Tarpaulin]],Table_NFI[[#This Row],[Tarpaulin]])</f>
        <v>0</v>
      </c>
      <c r="AD911" s="264">
        <f>IF(NFI_Expiration=1,IF($A911&lt;VLOOKUP(M$5,NFI,5,0),1,0)*Table_NFI[[#This Row],[Blanket]],Table_NFI[[#This Row],[Blanket]])</f>
        <v>0</v>
      </c>
      <c r="AE911" s="264">
        <f>IF(NFI_Expiration=1,IF($A911&lt;VLOOKUP(N$5,NFI,5,0),1,0)*Table_NFI[[#This Row],[Kitchen Set]],Table_NFI[Kitchen Set])</f>
        <v>0</v>
      </c>
      <c r="AF911" s="264">
        <f>IF(NFI_Expiration=1,IF($A911&lt;VLOOKUP(O$5,NFI,5,0),1,0)*Table_NFI[[#This Row],[Clothes Kit]],Table_NFI[Clothes Kit])</f>
        <v>0</v>
      </c>
      <c r="AG911" s="264">
        <f>IF(NFI_Expiration=1,IF($A911&lt;VLOOKUP(P$5,NFI,5,0),1,0)*Table_NFI[[#This Row],[Plastic Bucket]],Table_NFI[Plastic Bucket])</f>
        <v>0</v>
      </c>
      <c r="AH911" s="264">
        <f>IF(NFI_Expiration=1,IF($A911&lt;VLOOKUP(Q$5,NFI,5,0),1,0)*Table_NFI[[#This Row],[Plastic Mat]],Table_NFI[Plastic Mat])*IF(Table_NFI[[#This Row],[Distribution Date]]&gt;"2014-04-01",1,2.5)</f>
        <v>0</v>
      </c>
      <c r="AI911" s="264">
        <f>IF(NFI_Expiration=1,IF($A911&lt;VLOOKUP(R$5,NFI,5,0),1,0)*Table_NFI[[#This Row],[Winter Clothes Adult]],Table_NFI[Winter Clothes Adult])</f>
        <v>0</v>
      </c>
      <c r="AJ911" s="264">
        <f>IF(NFI_Expiration=1,IF($A911&lt;VLOOKUP(S$5,NFI,5,0),1,0)*Table_NFI[[#This Row],[Winter Clothes Children]],Table_NFI[Winter Clothes Children])</f>
        <v>0</v>
      </c>
      <c r="AK911" s="264">
        <f>IF(NFI_Expiration=1,IF($A911&lt;VLOOKUP(T$5,NFI,5,0),1,0)*Table_NFI[[#This Row],[Winter Items Other]],Table_NFI[Winter Items Other])</f>
        <v>0</v>
      </c>
      <c r="AL911" s="264">
        <f>IF(NFI_Expiration=1,IF($A911&lt;VLOOKUP(M$5,NFI,5,0),1,0)*Table_NFI[[#This Row],[Winter Blanket]],Table_NFI[[#This Row],[Winter Blanket]])</f>
        <v>0</v>
      </c>
      <c r="AM911" s="264">
        <f>IF(Table_NFI[[#This Row],[Winter Clothes Adult]]+Table_NFI[[#This Row],[Winter Clothes Children]]+Table_NFI[[#This Row],[Winter Items Other]]+Table_NFI[[#This Row],[Winter Blanket]]&gt;0,1,0)</f>
        <v>0</v>
      </c>
      <c r="AN911" s="296">
        <f>IF(NFI_Expiration=1,IF($A911&lt;VLOOKUP(V$5,NFI,5,0),1,0)*Table_NFI[[#This Row],[Jerry Can]],Table_NFI[Jerry Can])</f>
        <v>0</v>
      </c>
      <c r="AO911" s="296">
        <f>IF(NFI_Expiration=1,IF($A911&lt;VLOOKUP(V$5,NFI,5,0),1,0)*Table_NFI[[#This Row],[Shelter Tool kit]],Table_NFI[Shelter Tool kit])</f>
        <v>0</v>
      </c>
      <c r="AP911" s="296">
        <f>IF(NFI_Expiration=1,IF($A911&lt;VLOOKUP(V$5,NFI,5,0),1,0)*Table_NFI[[#This Row],[Tent]],Table_NFI[Tent])</f>
        <v>0</v>
      </c>
      <c r="AQ911" s="396" t="str">
        <f>IFERROR(VLOOKUP(Table_NFI[[#This Row],[Camp Name]],CL,2,0),"")</f>
        <v>MMR001CMP175</v>
      </c>
      <c r="AR911" s="702">
        <f ca="1">IF(Table_NFI[[#This Row],[Pcode]]="","",IF(OFFSET(CampList[Opening Date],MATCH(Table_NFI[[#This Row],[Pcode]],CampList[CP_Pcode],0)-1,0,1,1)&gt;=NFI_Monitor_Date,1,0))</f>
        <v>0</v>
      </c>
      <c r="AS911" s="396" t="str">
        <f>IFERROR(VLOOKUP(Table_NFI[[#This Row],[Camp Name]],CL,3,0),"")</f>
        <v>Closed</v>
      </c>
      <c r="AT911" s="264" t="str">
        <f ca="1">IF(Table_NFI[[#This Row],[Pcode]]="","",OFFSET(CampList[Priority],MATCH(Table_NFI[[#This Row],[Pcode]],CampList[CP_Pcode],0)-1,0,1,1))</f>
        <v/>
      </c>
      <c r="AU911" s="263" t="str">
        <f>IFERROR(Table_NFI[[#This Row],[Kitchen Set]]/VLOOKUP(Table_NFI[[#This Row],[Camp Name]],CL,4,0),"")</f>
        <v/>
      </c>
      <c r="AV911" s="390" t="s">
        <v>1087</v>
      </c>
      <c r="AW911" s="392"/>
      <c r="AX911" s="399"/>
      <c r="AY911" s="399"/>
      <c r="AZ911" s="399"/>
      <c r="BA911" s="399"/>
      <c r="BB911" s="399"/>
      <c r="BC911" s="399"/>
      <c r="BD911" s="399"/>
      <c r="BE911" s="399"/>
      <c r="BF911" s="399"/>
      <c r="BG911" s="399"/>
      <c r="BH911" s="399"/>
      <c r="BI911" s="399"/>
      <c r="BJ911" s="399"/>
      <c r="BK911" s="399"/>
      <c r="BL911" s="399"/>
      <c r="BM911" s="399"/>
      <c r="BN911" s="399"/>
      <c r="BO911" s="399"/>
      <c r="BP911" s="399"/>
      <c r="BQ911" s="399"/>
      <c r="BR911" s="399"/>
      <c r="BS911" s="399"/>
      <c r="BT911" s="399"/>
      <c r="BU911" s="399"/>
      <c r="BV911" s="399"/>
      <c r="BW911" s="399"/>
      <c r="BX911" s="399"/>
      <c r="BY911" s="399"/>
      <c r="BZ911" s="399"/>
      <c r="CA911" s="399"/>
      <c r="CB911" s="399"/>
      <c r="CC911" s="399"/>
      <c r="CD911" s="399"/>
      <c r="CE911" s="399"/>
      <c r="CF911" s="399"/>
      <c r="CG911" s="399"/>
      <c r="CH911" s="399"/>
      <c r="CI911" s="399"/>
      <c r="CJ911" s="399"/>
      <c r="CK911" s="399"/>
      <c r="CL911" s="399"/>
      <c r="CM911" s="399"/>
      <c r="CN911" s="399"/>
      <c r="CO911" s="399"/>
      <c r="CP911" s="399"/>
      <c r="CQ911" s="399"/>
      <c r="CR911" s="399"/>
      <c r="CS911" s="399"/>
      <c r="CT911" s="399"/>
      <c r="CU911" s="399"/>
      <c r="CV911" s="399"/>
      <c r="CW911" s="399"/>
      <c r="CX911" s="399"/>
      <c r="CY911" s="399"/>
      <c r="CZ911" s="399"/>
      <c r="DA911" s="399"/>
      <c r="DB911" s="399"/>
      <c r="DC911" s="399"/>
      <c r="DD911" s="399"/>
      <c r="DE911" s="399"/>
      <c r="DF911" s="399"/>
      <c r="DG911" s="399"/>
      <c r="DH911" s="399"/>
      <c r="DI911" s="399"/>
      <c r="DJ911" s="399"/>
      <c r="DK911" s="399"/>
      <c r="DL911" s="399"/>
      <c r="DM911" s="399"/>
      <c r="DN911" s="399"/>
      <c r="DO911" s="399"/>
      <c r="DP911" s="399"/>
      <c r="DQ911" s="399"/>
    </row>
    <row r="912" spans="1:121" s="760" customFormat="1" ht="14.45" customHeight="1" x14ac:dyDescent="0.25">
      <c r="A912" s="266">
        <f t="shared" si="14"/>
        <v>53.06666666666667</v>
      </c>
      <c r="B912" s="389">
        <v>41264</v>
      </c>
      <c r="C912" s="390" t="s">
        <v>451</v>
      </c>
      <c r="D912" s="390" t="s">
        <v>451</v>
      </c>
      <c r="E912" s="390" t="s">
        <v>380</v>
      </c>
      <c r="F912" s="390" t="s">
        <v>5</v>
      </c>
      <c r="G912" s="262" t="s">
        <v>18</v>
      </c>
      <c r="H912" s="261"/>
      <c r="I912" s="261"/>
      <c r="J912" s="261"/>
      <c r="K912" s="261">
        <v>0</v>
      </c>
      <c r="L912" s="261">
        <v>12</v>
      </c>
      <c r="M912" s="261">
        <v>0</v>
      </c>
      <c r="N912" s="261">
        <v>12</v>
      </c>
      <c r="O912" s="261">
        <v>12</v>
      </c>
      <c r="P912" s="261">
        <v>12</v>
      </c>
      <c r="Q912" s="261">
        <v>12</v>
      </c>
      <c r="R912" s="261"/>
      <c r="S912" s="261"/>
      <c r="T912" s="261"/>
      <c r="U912" s="261"/>
      <c r="V912" s="762"/>
      <c r="W912" s="261"/>
      <c r="X912" s="261"/>
      <c r="Y912" s="264">
        <f>IF(NFI_Expiration=1,IF($A912&lt;VLOOKUP(H$5,NFI,5,0),1,0)*Table_NFI[[#This Row],[Hygiene Kit]],Table_NFI[Hygiene Kit])</f>
        <v>0</v>
      </c>
      <c r="Z912" s="264">
        <f>IF(NFI_Expiration=1,IF($A912&lt;VLOOKUP(I$5,NFI,5,0),1,0)*Table_NFI[[#This Row],[NFI Core Kit]],Table_NFI[NFI Core Kit])</f>
        <v>0</v>
      </c>
      <c r="AA912" s="264">
        <f>IF(NFI_Expiration=1,IF($A912&lt;VLOOKUP(J$5,NFI,5,0),1,0)*Table_NFI[[#This Row],[Sanitary Kit]],Table_NFI[Sanitary Kit])</f>
        <v>0</v>
      </c>
      <c r="AB912" s="264">
        <f>IF(NFI_Expiration=1,IF($A912&lt;VLOOKUP(K$5,NFI,5,0),1,0)*Table_NFI[[#This Row],[Mosquito net]],Table_NFI[Mosquito net])</f>
        <v>0</v>
      </c>
      <c r="AC912" s="264">
        <f>IF(NFI_Expiration=1,IF($A912&lt;VLOOKUP(L$5,NFI,5,0),1,0)*Table_NFI[[#This Row],[Tarpaulin]],Table_NFI[[#This Row],[Tarpaulin]])</f>
        <v>0</v>
      </c>
      <c r="AD912" s="264">
        <f>IF(NFI_Expiration=1,IF($A912&lt;VLOOKUP(M$5,NFI,5,0),1,0)*Table_NFI[[#This Row],[Blanket]],Table_NFI[[#This Row],[Blanket]])</f>
        <v>0</v>
      </c>
      <c r="AE912" s="264">
        <f>IF(NFI_Expiration=1,IF($A912&lt;VLOOKUP(N$5,NFI,5,0),1,0)*Table_NFI[[#This Row],[Kitchen Set]],Table_NFI[Kitchen Set])</f>
        <v>0</v>
      </c>
      <c r="AF912" s="264">
        <f>IF(NFI_Expiration=1,IF($A912&lt;VLOOKUP(O$5,NFI,5,0),1,0)*Table_NFI[[#This Row],[Clothes Kit]],Table_NFI[Clothes Kit])</f>
        <v>0</v>
      </c>
      <c r="AG912" s="264">
        <f>IF(NFI_Expiration=1,IF($A912&lt;VLOOKUP(P$5,NFI,5,0),1,0)*Table_NFI[[#This Row],[Plastic Bucket]],Table_NFI[Plastic Bucket])</f>
        <v>0</v>
      </c>
      <c r="AH912" s="264">
        <f>IF(NFI_Expiration=1,IF($A912&lt;VLOOKUP(Q$5,NFI,5,0),1,0)*Table_NFI[[#This Row],[Plastic Mat]],Table_NFI[Plastic Mat])*IF(Table_NFI[[#This Row],[Distribution Date]]&gt;"2014-04-01",1,2.5)</f>
        <v>0</v>
      </c>
      <c r="AI912" s="264">
        <f>IF(NFI_Expiration=1,IF($A912&lt;VLOOKUP(R$5,NFI,5,0),1,0)*Table_NFI[[#This Row],[Winter Clothes Adult]],Table_NFI[Winter Clothes Adult])</f>
        <v>0</v>
      </c>
      <c r="AJ912" s="264">
        <f>IF(NFI_Expiration=1,IF($A912&lt;VLOOKUP(S$5,NFI,5,0),1,0)*Table_NFI[[#This Row],[Winter Clothes Children]],Table_NFI[Winter Clothes Children])</f>
        <v>0</v>
      </c>
      <c r="AK912" s="264">
        <f>IF(NFI_Expiration=1,IF($A912&lt;VLOOKUP(T$5,NFI,5,0),1,0)*Table_NFI[[#This Row],[Winter Items Other]],Table_NFI[Winter Items Other])</f>
        <v>0</v>
      </c>
      <c r="AL912" s="264">
        <f>IF(NFI_Expiration=1,IF($A912&lt;VLOOKUP(M$5,NFI,5,0),1,0)*Table_NFI[[#This Row],[Winter Blanket]],Table_NFI[[#This Row],[Winter Blanket]])</f>
        <v>0</v>
      </c>
      <c r="AM912" s="264">
        <f>IF(Table_NFI[[#This Row],[Winter Clothes Adult]]+Table_NFI[[#This Row],[Winter Clothes Children]]+Table_NFI[[#This Row],[Winter Items Other]]+Table_NFI[[#This Row],[Winter Blanket]]&gt;0,1,0)</f>
        <v>0</v>
      </c>
      <c r="AN912" s="296">
        <f>IF(NFI_Expiration=1,IF($A912&lt;VLOOKUP(V$5,NFI,5,0),1,0)*Table_NFI[[#This Row],[Jerry Can]],Table_NFI[Jerry Can])</f>
        <v>0</v>
      </c>
      <c r="AO912" s="296">
        <f>IF(NFI_Expiration=1,IF($A912&lt;VLOOKUP(V$5,NFI,5,0),1,0)*Table_NFI[[#This Row],[Shelter Tool kit]],Table_NFI[Shelter Tool kit])</f>
        <v>0</v>
      </c>
      <c r="AP912" s="296">
        <f>IF(NFI_Expiration=1,IF($A912&lt;VLOOKUP(V$5,NFI,5,0),1,0)*Table_NFI[[#This Row],[Tent]],Table_NFI[Tent])</f>
        <v>0</v>
      </c>
      <c r="AQ912" s="396" t="str">
        <f>IFERROR(VLOOKUP(Table_NFI[[#This Row],[Camp Name]],CL,2,0),"")</f>
        <v>MMR001CMP049</v>
      </c>
      <c r="AR912" s="702">
        <f ca="1">IF(Table_NFI[[#This Row],[Pcode]]="","",IF(OFFSET(CampList[Opening Date],MATCH(Table_NFI[[#This Row],[Pcode]],CampList[CP_Pcode],0)-1,0,1,1)&gt;=NFI_Monitor_Date,1,0))</f>
        <v>0</v>
      </c>
      <c r="AS912" s="396" t="str">
        <f>IFERROR(VLOOKUP(Table_NFI[[#This Row],[Camp Name]],CL,3,0),"")</f>
        <v>Open</v>
      </c>
      <c r="AT912" s="264" t="str">
        <f ca="1">IF(Table_NFI[[#This Row],[Pcode]]="","",OFFSET(CampList[Priority],MATCH(Table_NFI[[#This Row],[Pcode]],CampList[CP_Pcode],0)-1,0,1,1))</f>
        <v>P4</v>
      </c>
      <c r="AU912" s="263">
        <f>IFERROR(Table_NFI[[#This Row],[Kitchen Set]]/VLOOKUP(Table_NFI[[#This Row],[Camp Name]],CL,4,0),"")</f>
        <v>2.948765204570586E-4</v>
      </c>
      <c r="AV912" s="390" t="s">
        <v>1087</v>
      </c>
      <c r="AW912" s="392"/>
      <c r="AX912" s="399"/>
      <c r="AY912" s="399"/>
      <c r="AZ912" s="399"/>
      <c r="BA912" s="399"/>
      <c r="BB912" s="399"/>
      <c r="BC912" s="399"/>
      <c r="BD912" s="399"/>
      <c r="BE912" s="399"/>
      <c r="BF912" s="399"/>
      <c r="BG912" s="399"/>
      <c r="BH912" s="399"/>
      <c r="BI912" s="399"/>
      <c r="BJ912" s="399"/>
      <c r="BK912" s="399"/>
      <c r="BL912" s="399"/>
      <c r="BM912" s="399"/>
      <c r="BN912" s="399"/>
      <c r="BO912" s="399"/>
      <c r="BP912" s="399"/>
      <c r="BQ912" s="399"/>
      <c r="BR912" s="399"/>
      <c r="BS912" s="399"/>
      <c r="BT912" s="399"/>
      <c r="BU912" s="399"/>
      <c r="BV912" s="399"/>
      <c r="BW912" s="399"/>
      <c r="BX912" s="399"/>
      <c r="BY912" s="399"/>
      <c r="BZ912" s="399"/>
      <c r="CA912" s="399"/>
      <c r="CB912" s="399"/>
      <c r="CC912" s="399"/>
      <c r="CD912" s="399"/>
      <c r="CE912" s="399"/>
      <c r="CF912" s="399"/>
      <c r="CG912" s="399"/>
      <c r="CH912" s="399"/>
      <c r="CI912" s="399"/>
      <c r="CJ912" s="399"/>
      <c r="CK912" s="399"/>
      <c r="CL912" s="399"/>
      <c r="CM912" s="399"/>
      <c r="CN912" s="399"/>
      <c r="CO912" s="399"/>
      <c r="CP912" s="399"/>
      <c r="CQ912" s="399"/>
      <c r="CR912" s="399"/>
      <c r="CS912" s="399"/>
      <c r="CT912" s="399"/>
      <c r="CU912" s="399"/>
      <c r="CV912" s="399"/>
      <c r="CW912" s="399"/>
      <c r="CX912" s="399"/>
      <c r="CY912" s="399"/>
      <c r="CZ912" s="399"/>
      <c r="DA912" s="399"/>
      <c r="DB912" s="399"/>
      <c r="DC912" s="399"/>
      <c r="DD912" s="399"/>
      <c r="DE912" s="399"/>
      <c r="DF912" s="399"/>
      <c r="DG912" s="399"/>
      <c r="DH912" s="399"/>
      <c r="DI912" s="399"/>
      <c r="DJ912" s="399"/>
      <c r="DK912" s="399"/>
      <c r="DL912" s="399"/>
      <c r="DM912" s="399"/>
      <c r="DN912" s="399"/>
      <c r="DO912" s="399"/>
      <c r="DP912" s="399"/>
      <c r="DQ912" s="399"/>
    </row>
    <row r="913" spans="1:121" s="760" customFormat="1" ht="15" customHeight="1" x14ac:dyDescent="0.25">
      <c r="A913" s="266">
        <f t="shared" si="14"/>
        <v>53.06666666666667</v>
      </c>
      <c r="B913" s="389">
        <v>41264</v>
      </c>
      <c r="C913" s="390" t="s">
        <v>451</v>
      </c>
      <c r="D913" s="391" t="s">
        <v>451</v>
      </c>
      <c r="E913" s="390" t="s">
        <v>380</v>
      </c>
      <c r="F913" s="262" t="s">
        <v>5</v>
      </c>
      <c r="G913" s="262" t="s">
        <v>22</v>
      </c>
      <c r="H913" s="261"/>
      <c r="I913" s="261"/>
      <c r="J913" s="261"/>
      <c r="K913" s="261">
        <v>0</v>
      </c>
      <c r="L913" s="261">
        <v>0</v>
      </c>
      <c r="M913" s="261">
        <v>73</v>
      </c>
      <c r="N913" s="261">
        <v>0</v>
      </c>
      <c r="O913" s="261">
        <v>0</v>
      </c>
      <c r="P913" s="261"/>
      <c r="Q913" s="261"/>
      <c r="R913" s="261"/>
      <c r="S913" s="261"/>
      <c r="T913" s="261"/>
      <c r="U913" s="261"/>
      <c r="V913" s="762"/>
      <c r="W913" s="261"/>
      <c r="X913" s="261"/>
      <c r="Y913" s="264">
        <f>IF(NFI_Expiration=1,IF($A913&lt;VLOOKUP(H$5,NFI,5,0),1,0)*Table_NFI[[#This Row],[Hygiene Kit]],Table_NFI[Hygiene Kit])</f>
        <v>0</v>
      </c>
      <c r="Z913" s="264">
        <f>IF(NFI_Expiration=1,IF($A913&lt;VLOOKUP(I$5,NFI,5,0),1,0)*Table_NFI[[#This Row],[NFI Core Kit]],Table_NFI[NFI Core Kit])</f>
        <v>0</v>
      </c>
      <c r="AA913" s="264">
        <f>IF(NFI_Expiration=1,IF($A913&lt;VLOOKUP(J$5,NFI,5,0),1,0)*Table_NFI[[#This Row],[Sanitary Kit]],Table_NFI[Sanitary Kit])</f>
        <v>0</v>
      </c>
      <c r="AB913" s="264">
        <f>IF(NFI_Expiration=1,IF($A913&lt;VLOOKUP(K$5,NFI,5,0),1,0)*Table_NFI[[#This Row],[Mosquito net]],Table_NFI[Mosquito net])</f>
        <v>0</v>
      </c>
      <c r="AC913" s="264">
        <f>IF(NFI_Expiration=1,IF($A913&lt;VLOOKUP(L$5,NFI,5,0),1,0)*Table_NFI[[#This Row],[Tarpaulin]],Table_NFI[[#This Row],[Tarpaulin]])</f>
        <v>0</v>
      </c>
      <c r="AD913" s="264">
        <f>IF(NFI_Expiration=1,IF($A913&lt;VLOOKUP(M$5,NFI,5,0),1,0)*Table_NFI[[#This Row],[Blanket]],Table_NFI[[#This Row],[Blanket]])</f>
        <v>0</v>
      </c>
      <c r="AE913" s="264">
        <f>IF(NFI_Expiration=1,IF($A913&lt;VLOOKUP(N$5,NFI,5,0),1,0)*Table_NFI[[#This Row],[Kitchen Set]],Table_NFI[Kitchen Set])</f>
        <v>0</v>
      </c>
      <c r="AF913" s="264">
        <f>IF(NFI_Expiration=1,IF($A913&lt;VLOOKUP(O$5,NFI,5,0),1,0)*Table_NFI[[#This Row],[Clothes Kit]],Table_NFI[Clothes Kit])</f>
        <v>0</v>
      </c>
      <c r="AG913" s="264">
        <f>IF(NFI_Expiration=1,IF($A913&lt;VLOOKUP(P$5,NFI,5,0),1,0)*Table_NFI[[#This Row],[Plastic Bucket]],Table_NFI[Plastic Bucket])</f>
        <v>0</v>
      </c>
      <c r="AH913" s="264">
        <f>IF(NFI_Expiration=1,IF($A913&lt;VLOOKUP(Q$5,NFI,5,0),1,0)*Table_NFI[[#This Row],[Plastic Mat]],Table_NFI[Plastic Mat])*IF(Table_NFI[[#This Row],[Distribution Date]]&gt;"2014-04-01",1,2.5)</f>
        <v>0</v>
      </c>
      <c r="AI913" s="264">
        <f>IF(NFI_Expiration=1,IF($A913&lt;VLOOKUP(R$5,NFI,5,0),1,0)*Table_NFI[[#This Row],[Winter Clothes Adult]],Table_NFI[Winter Clothes Adult])</f>
        <v>0</v>
      </c>
      <c r="AJ913" s="264">
        <f>IF(NFI_Expiration=1,IF($A913&lt;VLOOKUP(S$5,NFI,5,0),1,0)*Table_NFI[[#This Row],[Winter Clothes Children]],Table_NFI[Winter Clothes Children])</f>
        <v>0</v>
      </c>
      <c r="AK913" s="264">
        <f>IF(NFI_Expiration=1,IF($A913&lt;VLOOKUP(T$5,NFI,5,0),1,0)*Table_NFI[[#This Row],[Winter Items Other]],Table_NFI[Winter Items Other])</f>
        <v>0</v>
      </c>
      <c r="AL913" s="264">
        <f>IF(NFI_Expiration=1,IF($A913&lt;VLOOKUP(M$5,NFI,5,0),1,0)*Table_NFI[[#This Row],[Winter Blanket]],Table_NFI[[#This Row],[Winter Blanket]])</f>
        <v>0</v>
      </c>
      <c r="AM913" s="264">
        <f>IF(Table_NFI[[#This Row],[Winter Clothes Adult]]+Table_NFI[[#This Row],[Winter Clothes Children]]+Table_NFI[[#This Row],[Winter Items Other]]+Table_NFI[[#This Row],[Winter Blanket]]&gt;0,1,0)</f>
        <v>0</v>
      </c>
      <c r="AN913" s="296">
        <f>IF(NFI_Expiration=1,IF($A913&lt;VLOOKUP(V$5,NFI,5,0),1,0)*Table_NFI[[#This Row],[Jerry Can]],Table_NFI[Jerry Can])</f>
        <v>0</v>
      </c>
      <c r="AO913" s="296">
        <f>IF(NFI_Expiration=1,IF($A913&lt;VLOOKUP(V$5,NFI,5,0),1,0)*Table_NFI[[#This Row],[Shelter Tool kit]],Table_NFI[Shelter Tool kit])</f>
        <v>0</v>
      </c>
      <c r="AP913" s="296">
        <f>IF(NFI_Expiration=1,IF($A913&lt;VLOOKUP(V$5,NFI,5,0),1,0)*Table_NFI[[#This Row],[Tent]],Table_NFI[Tent])</f>
        <v>0</v>
      </c>
      <c r="AQ913" s="396" t="str">
        <f>IFERROR(VLOOKUP(Table_NFI[[#This Row],[Camp Name]],CL,2,0),"")</f>
        <v>MMR001CMP047</v>
      </c>
      <c r="AR913" s="702">
        <f ca="1">IF(Table_NFI[[#This Row],[Pcode]]="","",IF(OFFSET(CampList[Opening Date],MATCH(Table_NFI[[#This Row],[Pcode]],CampList[CP_Pcode],0)-1,0,1,1)&gt;=NFI_Monitor_Date,1,0))</f>
        <v>0</v>
      </c>
      <c r="AS913" s="396" t="str">
        <f>IFERROR(VLOOKUP(Table_NFI[[#This Row],[Camp Name]],CL,3,0),"")</f>
        <v>Open</v>
      </c>
      <c r="AT913" s="264" t="str">
        <f ca="1">IF(Table_NFI[[#This Row],[Pcode]]="","",OFFSET(CampList[Priority],MATCH(Table_NFI[[#This Row],[Pcode]],CampList[CP_Pcode],0)-1,0,1,1))</f>
        <v>P4</v>
      </c>
      <c r="AU913" s="263">
        <f>IFERROR(Table_NFI[[#This Row],[Kitchen Set]]/VLOOKUP(Table_NFI[[#This Row],[Camp Name]],CL,4,0),"")</f>
        <v>0</v>
      </c>
      <c r="AV913" s="390" t="s">
        <v>1087</v>
      </c>
      <c r="AW913" s="392"/>
      <c r="AX913" s="399"/>
      <c r="AY913" s="399"/>
      <c r="AZ913" s="399"/>
      <c r="BA913" s="399"/>
      <c r="BB913" s="399"/>
      <c r="BC913" s="399"/>
      <c r="BD913" s="399"/>
      <c r="BE913" s="399"/>
      <c r="BF913" s="399"/>
      <c r="BG913" s="399"/>
      <c r="BH913" s="399"/>
      <c r="BI913" s="399"/>
      <c r="BJ913" s="399"/>
      <c r="BK913" s="399"/>
      <c r="BL913" s="399"/>
      <c r="BM913" s="399"/>
      <c r="BN913" s="399"/>
      <c r="BO913" s="399"/>
      <c r="BP913" s="399"/>
      <c r="BQ913" s="399"/>
      <c r="BR913" s="399"/>
      <c r="BS913" s="399"/>
      <c r="BT913" s="399"/>
      <c r="BU913" s="399"/>
      <c r="BV913" s="399"/>
      <c r="BW913" s="399"/>
      <c r="BX913" s="399"/>
      <c r="BY913" s="399"/>
      <c r="BZ913" s="399"/>
      <c r="CA913" s="399"/>
      <c r="CB913" s="399"/>
      <c r="CC913" s="399"/>
      <c r="CD913" s="399"/>
      <c r="CE913" s="399"/>
      <c r="CF913" s="399"/>
      <c r="CG913" s="399"/>
      <c r="CH913" s="399"/>
      <c r="CI913" s="399"/>
      <c r="CJ913" s="399"/>
      <c r="CK913" s="399"/>
      <c r="CL913" s="399"/>
      <c r="CM913" s="399"/>
      <c r="CN913" s="399"/>
      <c r="CO913" s="399"/>
      <c r="CP913" s="399"/>
      <c r="CQ913" s="399"/>
      <c r="CR913" s="399"/>
      <c r="CS913" s="399"/>
      <c r="CT913" s="399"/>
      <c r="CU913" s="399"/>
      <c r="CV913" s="399"/>
      <c r="CW913" s="399"/>
      <c r="CX913" s="399"/>
      <c r="CY913" s="399"/>
      <c r="CZ913" s="399"/>
      <c r="DA913" s="399"/>
      <c r="DB913" s="399"/>
      <c r="DC913" s="399"/>
      <c r="DD913" s="399"/>
      <c r="DE913" s="399"/>
      <c r="DF913" s="399"/>
      <c r="DG913" s="399"/>
      <c r="DH913" s="399"/>
      <c r="DI913" s="399"/>
      <c r="DJ913" s="399"/>
      <c r="DK913" s="399"/>
      <c r="DL913" s="399"/>
      <c r="DM913" s="399"/>
      <c r="DN913" s="399"/>
      <c r="DO913" s="399"/>
      <c r="DP913" s="399"/>
      <c r="DQ913" s="399"/>
    </row>
    <row r="914" spans="1:121" s="760" customFormat="1" ht="15" customHeight="1" x14ac:dyDescent="0.25">
      <c r="A914" s="266">
        <f t="shared" si="14"/>
        <v>53.06666666666667</v>
      </c>
      <c r="B914" s="389">
        <v>41264</v>
      </c>
      <c r="C914" s="390" t="s">
        <v>451</v>
      </c>
      <c r="D914" s="391" t="s">
        <v>451</v>
      </c>
      <c r="E914" s="390" t="s">
        <v>380</v>
      </c>
      <c r="F914" s="262" t="s">
        <v>5</v>
      </c>
      <c r="G914" s="262" t="s">
        <v>22</v>
      </c>
      <c r="H914" s="261"/>
      <c r="I914" s="261"/>
      <c r="J914" s="261"/>
      <c r="K914" s="261">
        <v>24</v>
      </c>
      <c r="L914" s="261">
        <v>12</v>
      </c>
      <c r="M914" s="261">
        <v>24</v>
      </c>
      <c r="N914" s="261">
        <v>12</v>
      </c>
      <c r="O914" s="261">
        <v>12</v>
      </c>
      <c r="P914" s="261">
        <v>12</v>
      </c>
      <c r="Q914" s="261">
        <v>12</v>
      </c>
      <c r="R914" s="261"/>
      <c r="S914" s="261"/>
      <c r="T914" s="261"/>
      <c r="U914" s="261"/>
      <c r="V914" s="762"/>
      <c r="W914" s="261"/>
      <c r="X914" s="261"/>
      <c r="Y914" s="264">
        <f>IF(NFI_Expiration=1,IF($A914&lt;VLOOKUP(H$5,NFI,5,0),1,0)*Table_NFI[[#This Row],[Hygiene Kit]],Table_NFI[Hygiene Kit])</f>
        <v>0</v>
      </c>
      <c r="Z914" s="264">
        <f>IF(NFI_Expiration=1,IF($A914&lt;VLOOKUP(I$5,NFI,5,0),1,0)*Table_NFI[[#This Row],[NFI Core Kit]],Table_NFI[NFI Core Kit])</f>
        <v>0</v>
      </c>
      <c r="AA914" s="264">
        <f>IF(NFI_Expiration=1,IF($A914&lt;VLOOKUP(J$5,NFI,5,0),1,0)*Table_NFI[[#This Row],[Sanitary Kit]],Table_NFI[Sanitary Kit])</f>
        <v>0</v>
      </c>
      <c r="AB914" s="264">
        <f>IF(NFI_Expiration=1,IF($A914&lt;VLOOKUP(K$5,NFI,5,0),1,0)*Table_NFI[[#This Row],[Mosquito net]],Table_NFI[Mosquito net])</f>
        <v>0</v>
      </c>
      <c r="AC914" s="264">
        <f>IF(NFI_Expiration=1,IF($A914&lt;VLOOKUP(L$5,NFI,5,0),1,0)*Table_NFI[[#This Row],[Tarpaulin]],Table_NFI[[#This Row],[Tarpaulin]])</f>
        <v>0</v>
      </c>
      <c r="AD914" s="264">
        <f>IF(NFI_Expiration=1,IF($A914&lt;VLOOKUP(M$5,NFI,5,0),1,0)*Table_NFI[[#This Row],[Blanket]],Table_NFI[[#This Row],[Blanket]])</f>
        <v>0</v>
      </c>
      <c r="AE914" s="264">
        <f>IF(NFI_Expiration=1,IF($A914&lt;VLOOKUP(N$5,NFI,5,0),1,0)*Table_NFI[[#This Row],[Kitchen Set]],Table_NFI[Kitchen Set])</f>
        <v>0</v>
      </c>
      <c r="AF914" s="264">
        <f>IF(NFI_Expiration=1,IF($A914&lt;VLOOKUP(O$5,NFI,5,0),1,0)*Table_NFI[[#This Row],[Clothes Kit]],Table_NFI[Clothes Kit])</f>
        <v>0</v>
      </c>
      <c r="AG914" s="264">
        <f>IF(NFI_Expiration=1,IF($A914&lt;VLOOKUP(P$5,NFI,5,0),1,0)*Table_NFI[[#This Row],[Plastic Bucket]],Table_NFI[Plastic Bucket])</f>
        <v>0</v>
      </c>
      <c r="AH914" s="264">
        <f>IF(NFI_Expiration=1,IF($A914&lt;VLOOKUP(Q$5,NFI,5,0),1,0)*Table_NFI[[#This Row],[Plastic Mat]],Table_NFI[Plastic Mat])*IF(Table_NFI[[#This Row],[Distribution Date]]&gt;"2014-04-01",1,2.5)</f>
        <v>0</v>
      </c>
      <c r="AI914" s="264">
        <f>IF(NFI_Expiration=1,IF($A914&lt;VLOOKUP(R$5,NFI,5,0),1,0)*Table_NFI[[#This Row],[Winter Clothes Adult]],Table_NFI[Winter Clothes Adult])</f>
        <v>0</v>
      </c>
      <c r="AJ914" s="264">
        <f>IF(NFI_Expiration=1,IF($A914&lt;VLOOKUP(S$5,NFI,5,0),1,0)*Table_NFI[[#This Row],[Winter Clothes Children]],Table_NFI[Winter Clothes Children])</f>
        <v>0</v>
      </c>
      <c r="AK914" s="264">
        <f>IF(NFI_Expiration=1,IF($A914&lt;VLOOKUP(T$5,NFI,5,0),1,0)*Table_NFI[[#This Row],[Winter Items Other]],Table_NFI[Winter Items Other])</f>
        <v>0</v>
      </c>
      <c r="AL914" s="264">
        <f>IF(NFI_Expiration=1,IF($A914&lt;VLOOKUP(M$5,NFI,5,0),1,0)*Table_NFI[[#This Row],[Winter Blanket]],Table_NFI[[#This Row],[Winter Blanket]])</f>
        <v>0</v>
      </c>
      <c r="AM914" s="264">
        <f>IF(Table_NFI[[#This Row],[Winter Clothes Adult]]+Table_NFI[[#This Row],[Winter Clothes Children]]+Table_NFI[[#This Row],[Winter Items Other]]+Table_NFI[[#This Row],[Winter Blanket]]&gt;0,1,0)</f>
        <v>0</v>
      </c>
      <c r="AN914" s="296">
        <f>IF(NFI_Expiration=1,IF($A914&lt;VLOOKUP(V$5,NFI,5,0),1,0)*Table_NFI[[#This Row],[Jerry Can]],Table_NFI[Jerry Can])</f>
        <v>0</v>
      </c>
      <c r="AO914" s="296">
        <f>IF(NFI_Expiration=1,IF($A914&lt;VLOOKUP(V$5,NFI,5,0),1,0)*Table_NFI[[#This Row],[Shelter Tool kit]],Table_NFI[Shelter Tool kit])</f>
        <v>0</v>
      </c>
      <c r="AP914" s="296">
        <f>IF(NFI_Expiration=1,IF($A914&lt;VLOOKUP(V$5,NFI,5,0),1,0)*Table_NFI[[#This Row],[Tent]],Table_NFI[Tent])</f>
        <v>0</v>
      </c>
      <c r="AQ914" s="396" t="str">
        <f>IFERROR(VLOOKUP(Table_NFI[[#This Row],[Camp Name]],CL,2,0),"")</f>
        <v>MMR001CMP047</v>
      </c>
      <c r="AR914" s="702">
        <f ca="1">IF(Table_NFI[[#This Row],[Pcode]]="","",IF(OFFSET(CampList[Opening Date],MATCH(Table_NFI[[#This Row],[Pcode]],CampList[CP_Pcode],0)-1,0,1,1)&gt;=NFI_Monitor_Date,1,0))</f>
        <v>0</v>
      </c>
      <c r="AS914" s="396" t="str">
        <f>IFERROR(VLOOKUP(Table_NFI[[#This Row],[Camp Name]],CL,3,0),"")</f>
        <v>Open</v>
      </c>
      <c r="AT914" s="264" t="str">
        <f ca="1">IF(Table_NFI[[#This Row],[Pcode]]="","",OFFSET(CampList[Priority],MATCH(Table_NFI[[#This Row],[Pcode]],CampList[CP_Pcode],0)-1,0,1,1))</f>
        <v>P4</v>
      </c>
      <c r="AU914" s="263">
        <f>IFERROR(Table_NFI[[#This Row],[Kitchen Set]]/VLOOKUP(Table_NFI[[#This Row],[Camp Name]],CL,4,0),"")</f>
        <v>2.9465930018416205E-4</v>
      </c>
      <c r="AV914" s="390" t="s">
        <v>1087</v>
      </c>
      <c r="AW914" s="392"/>
      <c r="AX914" s="399"/>
      <c r="AY914" s="399"/>
      <c r="AZ914" s="399"/>
      <c r="BA914" s="399"/>
      <c r="BB914" s="399"/>
      <c r="BC914" s="399"/>
      <c r="BD914" s="399"/>
      <c r="BE914" s="399"/>
      <c r="BF914" s="399"/>
      <c r="BG914" s="399"/>
      <c r="BH914" s="399"/>
      <c r="BI914" s="399"/>
      <c r="BJ914" s="399"/>
      <c r="BK914" s="399"/>
      <c r="BL914" s="399"/>
      <c r="BM914" s="399"/>
      <c r="BN914" s="399"/>
      <c r="BO914" s="399"/>
      <c r="BP914" s="399"/>
      <c r="BQ914" s="399"/>
      <c r="BR914" s="399"/>
      <c r="BS914" s="399"/>
      <c r="BT914" s="399"/>
      <c r="BU914" s="399"/>
      <c r="BV914" s="399"/>
      <c r="BW914" s="399"/>
      <c r="BX914" s="399"/>
      <c r="BY914" s="399"/>
      <c r="BZ914" s="399"/>
      <c r="CA914" s="399"/>
      <c r="CB914" s="399"/>
      <c r="CC914" s="399"/>
      <c r="CD914" s="399"/>
      <c r="CE914" s="399"/>
      <c r="CF914" s="399"/>
      <c r="CG914" s="399"/>
      <c r="CH914" s="399"/>
      <c r="CI914" s="399"/>
      <c r="CJ914" s="399"/>
      <c r="CK914" s="399"/>
      <c r="CL914" s="399"/>
      <c r="CM914" s="399"/>
      <c r="CN914" s="399"/>
      <c r="CO914" s="399"/>
      <c r="CP914" s="399"/>
      <c r="CQ914" s="399"/>
      <c r="CR914" s="399"/>
      <c r="CS914" s="399"/>
      <c r="CT914" s="399"/>
      <c r="CU914" s="399"/>
      <c r="CV914" s="399"/>
      <c r="CW914" s="399"/>
      <c r="CX914" s="399"/>
      <c r="CY914" s="399"/>
      <c r="CZ914" s="399"/>
      <c r="DA914" s="399"/>
      <c r="DB914" s="399"/>
      <c r="DC914" s="399"/>
      <c r="DD914" s="399"/>
      <c r="DE914" s="399"/>
      <c r="DF914" s="399"/>
      <c r="DG914" s="399"/>
      <c r="DH914" s="399"/>
      <c r="DI914" s="399"/>
      <c r="DJ914" s="399"/>
      <c r="DK914" s="399"/>
      <c r="DL914" s="399"/>
      <c r="DM914" s="399"/>
      <c r="DN914" s="399"/>
      <c r="DO914" s="399"/>
      <c r="DP914" s="399"/>
      <c r="DQ914" s="399"/>
    </row>
    <row r="915" spans="1:121" s="760" customFormat="1" ht="14.45" customHeight="1" x14ac:dyDescent="0.25">
      <c r="A915" s="266">
        <f t="shared" si="14"/>
        <v>53.06666666666667</v>
      </c>
      <c r="B915" s="389">
        <v>41264</v>
      </c>
      <c r="C915" s="390" t="s">
        <v>451</v>
      </c>
      <c r="D915" s="391" t="s">
        <v>451</v>
      </c>
      <c r="E915" s="390" t="s">
        <v>380</v>
      </c>
      <c r="F915" s="262" t="s">
        <v>302</v>
      </c>
      <c r="G915" s="262" t="s">
        <v>306</v>
      </c>
      <c r="H915" s="261"/>
      <c r="I915" s="261"/>
      <c r="J915" s="261"/>
      <c r="K915" s="261">
        <v>0</v>
      </c>
      <c r="L915" s="261">
        <v>0</v>
      </c>
      <c r="M915" s="261">
        <v>83</v>
      </c>
      <c r="N915" s="261">
        <v>0</v>
      </c>
      <c r="O915" s="261">
        <v>0</v>
      </c>
      <c r="P915" s="261"/>
      <c r="Q915" s="261"/>
      <c r="R915" s="261"/>
      <c r="S915" s="261"/>
      <c r="T915" s="261"/>
      <c r="U915" s="261"/>
      <c r="V915" s="762"/>
      <c r="W915" s="261"/>
      <c r="X915" s="261"/>
      <c r="Y915" s="264">
        <f>IF(NFI_Expiration=1,IF($A915&lt;VLOOKUP(H$5,NFI,5,0),1,0)*Table_NFI[[#This Row],[Hygiene Kit]],Table_NFI[Hygiene Kit])</f>
        <v>0</v>
      </c>
      <c r="Z915" s="264">
        <f>IF(NFI_Expiration=1,IF($A915&lt;VLOOKUP(I$5,NFI,5,0),1,0)*Table_NFI[[#This Row],[NFI Core Kit]],Table_NFI[NFI Core Kit])</f>
        <v>0</v>
      </c>
      <c r="AA915" s="264">
        <f>IF(NFI_Expiration=1,IF($A915&lt;VLOOKUP(J$5,NFI,5,0),1,0)*Table_NFI[[#This Row],[Sanitary Kit]],Table_NFI[Sanitary Kit])</f>
        <v>0</v>
      </c>
      <c r="AB915" s="264">
        <f>IF(NFI_Expiration=1,IF($A915&lt;VLOOKUP(K$5,NFI,5,0),1,0)*Table_NFI[[#This Row],[Mosquito net]],Table_NFI[Mosquito net])</f>
        <v>0</v>
      </c>
      <c r="AC915" s="264">
        <f>IF(NFI_Expiration=1,IF($A915&lt;VLOOKUP(L$5,NFI,5,0),1,0)*Table_NFI[[#This Row],[Tarpaulin]],Table_NFI[[#This Row],[Tarpaulin]])</f>
        <v>0</v>
      </c>
      <c r="AD915" s="264">
        <f>IF(NFI_Expiration=1,IF($A915&lt;VLOOKUP(M$5,NFI,5,0),1,0)*Table_NFI[[#This Row],[Blanket]],Table_NFI[[#This Row],[Blanket]])</f>
        <v>0</v>
      </c>
      <c r="AE915" s="264">
        <f>IF(NFI_Expiration=1,IF($A915&lt;VLOOKUP(N$5,NFI,5,0),1,0)*Table_NFI[[#This Row],[Kitchen Set]],Table_NFI[Kitchen Set])</f>
        <v>0</v>
      </c>
      <c r="AF915" s="264">
        <f>IF(NFI_Expiration=1,IF($A915&lt;VLOOKUP(O$5,NFI,5,0),1,0)*Table_NFI[[#This Row],[Clothes Kit]],Table_NFI[Clothes Kit])</f>
        <v>0</v>
      </c>
      <c r="AG915" s="264">
        <f>IF(NFI_Expiration=1,IF($A915&lt;VLOOKUP(P$5,NFI,5,0),1,0)*Table_NFI[[#This Row],[Plastic Bucket]],Table_NFI[Plastic Bucket])</f>
        <v>0</v>
      </c>
      <c r="AH915" s="264">
        <f>IF(NFI_Expiration=1,IF($A915&lt;VLOOKUP(Q$5,NFI,5,0),1,0)*Table_NFI[[#This Row],[Plastic Mat]],Table_NFI[Plastic Mat])*IF(Table_NFI[[#This Row],[Distribution Date]]&gt;"2014-04-01",1,2.5)</f>
        <v>0</v>
      </c>
      <c r="AI915" s="264">
        <f>IF(NFI_Expiration=1,IF($A915&lt;VLOOKUP(R$5,NFI,5,0),1,0)*Table_NFI[[#This Row],[Winter Clothes Adult]],Table_NFI[Winter Clothes Adult])</f>
        <v>0</v>
      </c>
      <c r="AJ915" s="264">
        <f>IF(NFI_Expiration=1,IF($A915&lt;VLOOKUP(S$5,NFI,5,0),1,0)*Table_NFI[[#This Row],[Winter Clothes Children]],Table_NFI[Winter Clothes Children])</f>
        <v>0</v>
      </c>
      <c r="AK915" s="264">
        <f>IF(NFI_Expiration=1,IF($A915&lt;VLOOKUP(T$5,NFI,5,0),1,0)*Table_NFI[[#This Row],[Winter Items Other]],Table_NFI[Winter Items Other])</f>
        <v>0</v>
      </c>
      <c r="AL915" s="264">
        <f>IF(NFI_Expiration=1,IF($A915&lt;VLOOKUP(M$5,NFI,5,0),1,0)*Table_NFI[[#This Row],[Winter Blanket]],Table_NFI[[#This Row],[Winter Blanket]])</f>
        <v>0</v>
      </c>
      <c r="AM915" s="264">
        <f>IF(Table_NFI[[#This Row],[Winter Clothes Adult]]+Table_NFI[[#This Row],[Winter Clothes Children]]+Table_NFI[[#This Row],[Winter Items Other]]+Table_NFI[[#This Row],[Winter Blanket]]&gt;0,1,0)</f>
        <v>0</v>
      </c>
      <c r="AN915" s="296">
        <f>IF(NFI_Expiration=1,IF($A915&lt;VLOOKUP(V$5,NFI,5,0),1,0)*Table_NFI[[#This Row],[Jerry Can]],Table_NFI[Jerry Can])</f>
        <v>0</v>
      </c>
      <c r="AO915" s="296">
        <f>IF(NFI_Expiration=1,IF($A915&lt;VLOOKUP(V$5,NFI,5,0),1,0)*Table_NFI[[#This Row],[Shelter Tool kit]],Table_NFI[Shelter Tool kit])</f>
        <v>0</v>
      </c>
      <c r="AP915" s="296">
        <f>IF(NFI_Expiration=1,IF($A915&lt;VLOOKUP(V$5,NFI,5,0),1,0)*Table_NFI[[#This Row],[Tent]],Table_NFI[Tent])</f>
        <v>0</v>
      </c>
      <c r="AQ915" s="396" t="str">
        <f>IFERROR(VLOOKUP(Table_NFI[[#This Row],[Camp Name]],CL,2,0),"")</f>
        <v>MMR001CMP067</v>
      </c>
      <c r="AR915" s="702">
        <f ca="1">IF(Table_NFI[[#This Row],[Pcode]]="","",IF(OFFSET(CampList[Opening Date],MATCH(Table_NFI[[#This Row],[Pcode]],CampList[CP_Pcode],0)-1,0,1,1)&gt;=NFI_Monitor_Date,1,0))</f>
        <v>0</v>
      </c>
      <c r="AS915" s="396" t="str">
        <f>IFERROR(VLOOKUP(Table_NFI[[#This Row],[Camp Name]],CL,3,0),"")</f>
        <v>Open</v>
      </c>
      <c r="AT915" s="264" t="str">
        <f ca="1">IF(Table_NFI[[#This Row],[Pcode]]="","",OFFSET(CampList[Priority],MATCH(Table_NFI[[#This Row],[Pcode]],CampList[CP_Pcode],0)-1,0,1,1))</f>
        <v>P4</v>
      </c>
      <c r="AU915" s="263">
        <f>IFERROR(Table_NFI[[#This Row],[Kitchen Set]]/VLOOKUP(Table_NFI[[#This Row],[Camp Name]],CL,4,0),"")</f>
        <v>0</v>
      </c>
      <c r="AV915" s="390" t="s">
        <v>1087</v>
      </c>
      <c r="AW915" s="392"/>
      <c r="AX915" s="399"/>
      <c r="AY915" s="399"/>
      <c r="AZ915" s="399"/>
      <c r="BA915" s="399"/>
      <c r="BB915" s="399"/>
      <c r="BC915" s="399"/>
      <c r="BD915" s="399"/>
      <c r="BE915" s="399"/>
      <c r="BF915" s="399"/>
      <c r="BG915" s="399"/>
      <c r="BH915" s="399"/>
      <c r="BI915" s="399"/>
      <c r="BJ915" s="399"/>
      <c r="BK915" s="399"/>
      <c r="BL915" s="399"/>
      <c r="BM915" s="399"/>
      <c r="BN915" s="399"/>
      <c r="BO915" s="399"/>
      <c r="BP915" s="399"/>
      <c r="BQ915" s="399"/>
      <c r="BR915" s="399"/>
      <c r="BS915" s="399"/>
      <c r="BT915" s="399"/>
      <c r="BU915" s="399"/>
      <c r="BV915" s="399"/>
      <c r="BW915" s="399"/>
      <c r="BX915" s="399"/>
      <c r="BY915" s="399"/>
      <c r="BZ915" s="399"/>
      <c r="CA915" s="399"/>
      <c r="CB915" s="399"/>
      <c r="CC915" s="399"/>
      <c r="CD915" s="399"/>
      <c r="CE915" s="399"/>
      <c r="CF915" s="399"/>
      <c r="CG915" s="399"/>
      <c r="CH915" s="399"/>
      <c r="CI915" s="399"/>
      <c r="CJ915" s="399"/>
      <c r="CK915" s="399"/>
      <c r="CL915" s="399"/>
      <c r="CM915" s="399"/>
      <c r="CN915" s="399"/>
      <c r="CO915" s="399"/>
      <c r="CP915" s="399"/>
      <c r="CQ915" s="399"/>
      <c r="CR915" s="399"/>
      <c r="CS915" s="399"/>
      <c r="CT915" s="399"/>
      <c r="CU915" s="399"/>
      <c r="CV915" s="399"/>
      <c r="CW915" s="399"/>
      <c r="CX915" s="399"/>
      <c r="CY915" s="399"/>
      <c r="CZ915" s="399"/>
      <c r="DA915" s="399"/>
      <c r="DB915" s="399"/>
      <c r="DC915" s="399"/>
      <c r="DD915" s="399"/>
      <c r="DE915" s="399"/>
      <c r="DF915" s="399"/>
      <c r="DG915" s="399"/>
      <c r="DH915" s="399"/>
      <c r="DI915" s="399"/>
      <c r="DJ915" s="399"/>
      <c r="DK915" s="399"/>
      <c r="DL915" s="399"/>
      <c r="DM915" s="399"/>
      <c r="DN915" s="399"/>
      <c r="DO915" s="399"/>
      <c r="DP915" s="399"/>
      <c r="DQ915" s="399"/>
    </row>
    <row r="916" spans="1:121" s="760" customFormat="1" ht="14.45" customHeight="1" x14ac:dyDescent="0.25">
      <c r="A916" s="266">
        <f t="shared" si="14"/>
        <v>53.06666666666667</v>
      </c>
      <c r="B916" s="389">
        <v>41264</v>
      </c>
      <c r="C916" s="390" t="s">
        <v>904</v>
      </c>
      <c r="D916" s="390" t="s">
        <v>904</v>
      </c>
      <c r="E916" s="390" t="s">
        <v>380</v>
      </c>
      <c r="F916" s="390" t="s">
        <v>5</v>
      </c>
      <c r="G916" s="262" t="s">
        <v>26</v>
      </c>
      <c r="H916" s="261">
        <v>178</v>
      </c>
      <c r="I916" s="261"/>
      <c r="J916" s="261"/>
      <c r="K916" s="261"/>
      <c r="L916" s="261"/>
      <c r="M916" s="261"/>
      <c r="N916" s="261"/>
      <c r="O916" s="261"/>
      <c r="P916" s="261"/>
      <c r="Q916" s="261"/>
      <c r="R916" s="261"/>
      <c r="S916" s="261"/>
      <c r="T916" s="261"/>
      <c r="U916" s="261"/>
      <c r="V916" s="762"/>
      <c r="W916" s="261"/>
      <c r="X916" s="261"/>
      <c r="Y916" s="264">
        <f>IF(NFI_Expiration=1,IF($A916&lt;VLOOKUP(H$5,NFI,5,0),1,0)*Table_NFI[[#This Row],[Hygiene Kit]],Table_NFI[Hygiene Kit])</f>
        <v>0</v>
      </c>
      <c r="Z916" s="264">
        <f>IF(NFI_Expiration=1,IF($A916&lt;VLOOKUP(I$5,NFI,5,0),1,0)*Table_NFI[[#This Row],[NFI Core Kit]],Table_NFI[NFI Core Kit])</f>
        <v>0</v>
      </c>
      <c r="AA916" s="264">
        <f>IF(NFI_Expiration=1,IF($A916&lt;VLOOKUP(J$5,NFI,5,0),1,0)*Table_NFI[[#This Row],[Sanitary Kit]],Table_NFI[Sanitary Kit])</f>
        <v>0</v>
      </c>
      <c r="AB916" s="264">
        <f>IF(NFI_Expiration=1,IF($A916&lt;VLOOKUP(K$5,NFI,5,0),1,0)*Table_NFI[[#This Row],[Mosquito net]],Table_NFI[Mosquito net])</f>
        <v>0</v>
      </c>
      <c r="AC916" s="264">
        <f>IF(NFI_Expiration=1,IF($A916&lt;VLOOKUP(L$5,NFI,5,0),1,0)*Table_NFI[[#This Row],[Tarpaulin]],Table_NFI[[#This Row],[Tarpaulin]])</f>
        <v>0</v>
      </c>
      <c r="AD916" s="264">
        <f>IF(NFI_Expiration=1,IF($A916&lt;VLOOKUP(M$5,NFI,5,0),1,0)*Table_NFI[[#This Row],[Blanket]],Table_NFI[[#This Row],[Blanket]])</f>
        <v>0</v>
      </c>
      <c r="AE916" s="264">
        <f>IF(NFI_Expiration=1,IF($A916&lt;VLOOKUP(N$5,NFI,5,0),1,0)*Table_NFI[[#This Row],[Kitchen Set]],Table_NFI[Kitchen Set])</f>
        <v>0</v>
      </c>
      <c r="AF916" s="264">
        <f>IF(NFI_Expiration=1,IF($A916&lt;VLOOKUP(O$5,NFI,5,0),1,0)*Table_NFI[[#This Row],[Clothes Kit]],Table_NFI[Clothes Kit])</f>
        <v>0</v>
      </c>
      <c r="AG916" s="264">
        <f>IF(NFI_Expiration=1,IF($A916&lt;VLOOKUP(P$5,NFI,5,0),1,0)*Table_NFI[[#This Row],[Plastic Bucket]],Table_NFI[Plastic Bucket])</f>
        <v>0</v>
      </c>
      <c r="AH916" s="264">
        <f>IF(NFI_Expiration=1,IF($A916&lt;VLOOKUP(Q$5,NFI,5,0),1,0)*Table_NFI[[#This Row],[Plastic Mat]],Table_NFI[Plastic Mat])*IF(Table_NFI[[#This Row],[Distribution Date]]&gt;"2014-04-01",1,2.5)</f>
        <v>0</v>
      </c>
      <c r="AI916" s="264">
        <f>IF(NFI_Expiration=1,IF($A916&lt;VLOOKUP(R$5,NFI,5,0),1,0)*Table_NFI[[#This Row],[Winter Clothes Adult]],Table_NFI[Winter Clothes Adult])</f>
        <v>0</v>
      </c>
      <c r="AJ916" s="264">
        <f>IF(NFI_Expiration=1,IF($A916&lt;VLOOKUP(S$5,NFI,5,0),1,0)*Table_NFI[[#This Row],[Winter Clothes Children]],Table_NFI[Winter Clothes Children])</f>
        <v>0</v>
      </c>
      <c r="AK916" s="264">
        <f>IF(NFI_Expiration=1,IF($A916&lt;VLOOKUP(T$5,NFI,5,0),1,0)*Table_NFI[[#This Row],[Winter Items Other]],Table_NFI[Winter Items Other])</f>
        <v>0</v>
      </c>
      <c r="AL916" s="264">
        <f>IF(NFI_Expiration=1,IF($A916&lt;VLOOKUP(M$5,NFI,5,0),1,0)*Table_NFI[[#This Row],[Winter Blanket]],Table_NFI[[#This Row],[Winter Blanket]])</f>
        <v>0</v>
      </c>
      <c r="AM916" s="264">
        <f>IF(Table_NFI[[#This Row],[Winter Clothes Adult]]+Table_NFI[[#This Row],[Winter Clothes Children]]+Table_NFI[[#This Row],[Winter Items Other]]+Table_NFI[[#This Row],[Winter Blanket]]&gt;0,1,0)</f>
        <v>0</v>
      </c>
      <c r="AN916" s="296">
        <f>IF(NFI_Expiration=1,IF($A916&lt;VLOOKUP(V$5,NFI,5,0),1,0)*Table_NFI[[#This Row],[Jerry Can]],Table_NFI[Jerry Can])</f>
        <v>0</v>
      </c>
      <c r="AO916" s="296">
        <f>IF(NFI_Expiration=1,IF($A916&lt;VLOOKUP(V$5,NFI,5,0),1,0)*Table_NFI[[#This Row],[Shelter Tool kit]],Table_NFI[Shelter Tool kit])</f>
        <v>0</v>
      </c>
      <c r="AP916" s="296">
        <f>IF(NFI_Expiration=1,IF($A916&lt;VLOOKUP(V$5,NFI,5,0),1,0)*Table_NFI[[#This Row],[Tent]],Table_NFI[Tent])</f>
        <v>0</v>
      </c>
      <c r="AQ916" s="396" t="str">
        <f>IFERROR(VLOOKUP(Table_NFI[[#This Row],[Camp Name]],CL,2,0),"")</f>
        <v>MMR001CMP053</v>
      </c>
      <c r="AR916" s="702">
        <f ca="1">IF(Table_NFI[[#This Row],[Pcode]]="","",IF(OFFSET(CampList[Opening Date],MATCH(Table_NFI[[#This Row],[Pcode]],CampList[CP_Pcode],0)-1,0,1,1)&gt;=NFI_Monitor_Date,1,0))</f>
        <v>0</v>
      </c>
      <c r="AS916" s="396" t="str">
        <f>IFERROR(VLOOKUP(Table_NFI[[#This Row],[Camp Name]],CL,3,0),"")</f>
        <v>Open</v>
      </c>
      <c r="AT916" s="264" t="str">
        <f ca="1">IF(Table_NFI[[#This Row],[Pcode]]="","",OFFSET(CampList[Priority],MATCH(Table_NFI[[#This Row],[Pcode]],CampList[CP_Pcode],0)-1,0,1,1))</f>
        <v>P4</v>
      </c>
      <c r="AU916" s="263">
        <f>IFERROR(Table_NFI[[#This Row],[Kitchen Set]]/VLOOKUP(Table_NFI[[#This Row],[Camp Name]],CL,4,0),"")</f>
        <v>0</v>
      </c>
      <c r="AV916" s="390"/>
      <c r="AW916" s="392"/>
      <c r="AX916" s="399"/>
      <c r="AY916" s="399"/>
      <c r="AZ916" s="399"/>
      <c r="BA916" s="399"/>
      <c r="BB916" s="399"/>
      <c r="BC916" s="399"/>
      <c r="BD916" s="399"/>
      <c r="BE916" s="399"/>
      <c r="BF916" s="399"/>
      <c r="BG916" s="399"/>
      <c r="BH916" s="399"/>
      <c r="BI916" s="399"/>
      <c r="BJ916" s="399"/>
      <c r="BK916" s="399"/>
      <c r="BL916" s="399"/>
      <c r="BM916" s="399"/>
      <c r="BN916" s="399"/>
      <c r="BO916" s="399"/>
      <c r="BP916" s="399"/>
      <c r="BQ916" s="399"/>
      <c r="BR916" s="399"/>
      <c r="BS916" s="399"/>
      <c r="BT916" s="399"/>
      <c r="BU916" s="399"/>
      <c r="BV916" s="399"/>
      <c r="BW916" s="399"/>
      <c r="BX916" s="399"/>
      <c r="BY916" s="399"/>
      <c r="BZ916" s="399"/>
      <c r="CA916" s="399"/>
      <c r="CB916" s="399"/>
      <c r="CC916" s="399"/>
      <c r="CD916" s="399"/>
      <c r="CE916" s="399"/>
      <c r="CF916" s="399"/>
      <c r="CG916" s="399"/>
      <c r="CH916" s="399"/>
      <c r="CI916" s="399"/>
      <c r="CJ916" s="399"/>
      <c r="CK916" s="399"/>
      <c r="CL916" s="399"/>
      <c r="CM916" s="399"/>
      <c r="CN916" s="399"/>
      <c r="CO916" s="399"/>
      <c r="CP916" s="399"/>
      <c r="CQ916" s="399"/>
      <c r="CR916" s="399"/>
      <c r="CS916" s="399"/>
      <c r="CT916" s="399"/>
      <c r="CU916" s="399"/>
      <c r="CV916" s="399"/>
      <c r="CW916" s="399"/>
      <c r="CX916" s="399"/>
      <c r="CY916" s="399"/>
      <c r="CZ916" s="399"/>
      <c r="DA916" s="399"/>
      <c r="DB916" s="399"/>
      <c r="DC916" s="399"/>
      <c r="DD916" s="399"/>
      <c r="DE916" s="399"/>
      <c r="DF916" s="399"/>
      <c r="DG916" s="399"/>
      <c r="DH916" s="399"/>
      <c r="DI916" s="399"/>
      <c r="DJ916" s="399"/>
      <c r="DK916" s="399"/>
      <c r="DL916" s="399"/>
      <c r="DM916" s="399"/>
      <c r="DN916" s="399"/>
      <c r="DO916" s="399"/>
      <c r="DP916" s="399"/>
      <c r="DQ916" s="399"/>
    </row>
    <row r="917" spans="1:121" s="760" customFormat="1" ht="14.45" customHeight="1" x14ac:dyDescent="0.25">
      <c r="A917" s="266">
        <f t="shared" si="14"/>
        <v>53.06666666666667</v>
      </c>
      <c r="B917" s="389">
        <v>41264</v>
      </c>
      <c r="C917" s="390" t="s">
        <v>451</v>
      </c>
      <c r="D917" s="391" t="s">
        <v>451</v>
      </c>
      <c r="E917" s="390" t="s">
        <v>380</v>
      </c>
      <c r="F917" s="262" t="s">
        <v>5</v>
      </c>
      <c r="G917" s="262" t="s">
        <v>26</v>
      </c>
      <c r="H917" s="261"/>
      <c r="I917" s="261"/>
      <c r="J917" s="261"/>
      <c r="K917" s="261">
        <v>0</v>
      </c>
      <c r="L917" s="261">
        <v>3</v>
      </c>
      <c r="M917" s="261">
        <v>0</v>
      </c>
      <c r="N917" s="261">
        <v>3</v>
      </c>
      <c r="O917" s="261">
        <v>3</v>
      </c>
      <c r="P917" s="261">
        <v>3</v>
      </c>
      <c r="Q917" s="261">
        <v>3</v>
      </c>
      <c r="R917" s="261"/>
      <c r="S917" s="261"/>
      <c r="T917" s="261"/>
      <c r="U917" s="261"/>
      <c r="V917" s="762"/>
      <c r="W917" s="261"/>
      <c r="X917" s="261"/>
      <c r="Y917" s="264">
        <f>IF(NFI_Expiration=1,IF($A917&lt;VLOOKUP(H$5,NFI,5,0),1,0)*Table_NFI[[#This Row],[Hygiene Kit]],Table_NFI[Hygiene Kit])</f>
        <v>0</v>
      </c>
      <c r="Z917" s="264">
        <f>IF(NFI_Expiration=1,IF($A917&lt;VLOOKUP(I$5,NFI,5,0),1,0)*Table_NFI[[#This Row],[NFI Core Kit]],Table_NFI[NFI Core Kit])</f>
        <v>0</v>
      </c>
      <c r="AA917" s="264">
        <f>IF(NFI_Expiration=1,IF($A917&lt;VLOOKUP(J$5,NFI,5,0),1,0)*Table_NFI[[#This Row],[Sanitary Kit]],Table_NFI[Sanitary Kit])</f>
        <v>0</v>
      </c>
      <c r="AB917" s="264">
        <f>IF(NFI_Expiration=1,IF($A917&lt;VLOOKUP(K$5,NFI,5,0),1,0)*Table_NFI[[#This Row],[Mosquito net]],Table_NFI[Mosquito net])</f>
        <v>0</v>
      </c>
      <c r="AC917" s="264">
        <f>IF(NFI_Expiration=1,IF($A917&lt;VLOOKUP(L$5,NFI,5,0),1,0)*Table_NFI[[#This Row],[Tarpaulin]],Table_NFI[[#This Row],[Tarpaulin]])</f>
        <v>0</v>
      </c>
      <c r="AD917" s="264">
        <f>IF(NFI_Expiration=1,IF($A917&lt;VLOOKUP(M$5,NFI,5,0),1,0)*Table_NFI[[#This Row],[Blanket]],Table_NFI[[#This Row],[Blanket]])</f>
        <v>0</v>
      </c>
      <c r="AE917" s="264">
        <f>IF(NFI_Expiration=1,IF($A917&lt;VLOOKUP(N$5,NFI,5,0),1,0)*Table_NFI[[#This Row],[Kitchen Set]],Table_NFI[Kitchen Set])</f>
        <v>0</v>
      </c>
      <c r="AF917" s="264">
        <f>IF(NFI_Expiration=1,IF($A917&lt;VLOOKUP(O$5,NFI,5,0),1,0)*Table_NFI[[#This Row],[Clothes Kit]],Table_NFI[Clothes Kit])</f>
        <v>0</v>
      </c>
      <c r="AG917" s="264">
        <f>IF(NFI_Expiration=1,IF($A917&lt;VLOOKUP(P$5,NFI,5,0),1,0)*Table_NFI[[#This Row],[Plastic Bucket]],Table_NFI[Plastic Bucket])</f>
        <v>0</v>
      </c>
      <c r="AH917" s="264">
        <f>IF(NFI_Expiration=1,IF($A917&lt;VLOOKUP(Q$5,NFI,5,0),1,0)*Table_NFI[[#This Row],[Plastic Mat]],Table_NFI[Plastic Mat])*IF(Table_NFI[[#This Row],[Distribution Date]]&gt;"2014-04-01",1,2.5)</f>
        <v>0</v>
      </c>
      <c r="AI917" s="264">
        <f>IF(NFI_Expiration=1,IF($A917&lt;VLOOKUP(R$5,NFI,5,0),1,0)*Table_NFI[[#This Row],[Winter Clothes Adult]],Table_NFI[Winter Clothes Adult])</f>
        <v>0</v>
      </c>
      <c r="AJ917" s="264">
        <f>IF(NFI_Expiration=1,IF($A917&lt;VLOOKUP(S$5,NFI,5,0),1,0)*Table_NFI[[#This Row],[Winter Clothes Children]],Table_NFI[Winter Clothes Children])</f>
        <v>0</v>
      </c>
      <c r="AK917" s="264">
        <f>IF(NFI_Expiration=1,IF($A917&lt;VLOOKUP(T$5,NFI,5,0),1,0)*Table_NFI[[#This Row],[Winter Items Other]],Table_NFI[Winter Items Other])</f>
        <v>0</v>
      </c>
      <c r="AL917" s="264">
        <f>IF(NFI_Expiration=1,IF($A917&lt;VLOOKUP(M$5,NFI,5,0),1,0)*Table_NFI[[#This Row],[Winter Blanket]],Table_NFI[[#This Row],[Winter Blanket]])</f>
        <v>0</v>
      </c>
      <c r="AM917" s="264">
        <f>IF(Table_NFI[[#This Row],[Winter Clothes Adult]]+Table_NFI[[#This Row],[Winter Clothes Children]]+Table_NFI[[#This Row],[Winter Items Other]]+Table_NFI[[#This Row],[Winter Blanket]]&gt;0,1,0)</f>
        <v>0</v>
      </c>
      <c r="AN917" s="296">
        <f>IF(NFI_Expiration=1,IF($A917&lt;VLOOKUP(V$5,NFI,5,0),1,0)*Table_NFI[[#This Row],[Jerry Can]],Table_NFI[Jerry Can])</f>
        <v>0</v>
      </c>
      <c r="AO917" s="296">
        <f>IF(NFI_Expiration=1,IF($A917&lt;VLOOKUP(V$5,NFI,5,0),1,0)*Table_NFI[[#This Row],[Shelter Tool kit]],Table_NFI[Shelter Tool kit])</f>
        <v>0</v>
      </c>
      <c r="AP917" s="296">
        <f>IF(NFI_Expiration=1,IF($A917&lt;VLOOKUP(V$5,NFI,5,0),1,0)*Table_NFI[[#This Row],[Tent]],Table_NFI[Tent])</f>
        <v>0</v>
      </c>
      <c r="AQ917" s="396" t="str">
        <f>IFERROR(VLOOKUP(Table_NFI[[#This Row],[Camp Name]],CL,2,0),"")</f>
        <v>MMR001CMP053</v>
      </c>
      <c r="AR917" s="702">
        <f ca="1">IF(Table_NFI[[#This Row],[Pcode]]="","",IF(OFFSET(CampList[Opening Date],MATCH(Table_NFI[[#This Row],[Pcode]],CampList[CP_Pcode],0)-1,0,1,1)&gt;=NFI_Monitor_Date,1,0))</f>
        <v>0</v>
      </c>
      <c r="AS917" s="396" t="str">
        <f>IFERROR(VLOOKUP(Table_NFI[[#This Row],[Camp Name]],CL,3,0),"")</f>
        <v>Open</v>
      </c>
      <c r="AT917" s="264" t="str">
        <f ca="1">IF(Table_NFI[[#This Row],[Pcode]]="","",OFFSET(CampList[Priority],MATCH(Table_NFI[[#This Row],[Pcode]],CampList[CP_Pcode],0)-1,0,1,1))</f>
        <v>P4</v>
      </c>
      <c r="AU917" s="263">
        <f>IFERROR(Table_NFI[[#This Row],[Kitchen Set]]/VLOOKUP(Table_NFI[[#This Row],[Camp Name]],CL,4,0),"")</f>
        <v>7.2953650114294054E-5</v>
      </c>
      <c r="AV917" s="390" t="s">
        <v>1087</v>
      </c>
      <c r="AW917" s="392"/>
      <c r="AX917" s="399"/>
      <c r="AY917" s="399"/>
      <c r="AZ917" s="399"/>
      <c r="BA917" s="399"/>
      <c r="BB917" s="399"/>
      <c r="BC917" s="399"/>
      <c r="BD917" s="399"/>
      <c r="BE917" s="399"/>
      <c r="BF917" s="399"/>
      <c r="BG917" s="399"/>
      <c r="BH917" s="399"/>
      <c r="BI917" s="399"/>
      <c r="BJ917" s="399"/>
      <c r="BK917" s="399"/>
      <c r="BL917" s="399"/>
      <c r="BM917" s="399"/>
      <c r="BN917" s="399"/>
      <c r="BO917" s="399"/>
      <c r="BP917" s="399"/>
      <c r="BQ917" s="399"/>
      <c r="BR917" s="399"/>
      <c r="BS917" s="399"/>
      <c r="BT917" s="399"/>
      <c r="BU917" s="399"/>
      <c r="BV917" s="399"/>
      <c r="BW917" s="399"/>
      <c r="BX917" s="399"/>
      <c r="BY917" s="399"/>
      <c r="BZ917" s="399"/>
      <c r="CA917" s="399"/>
      <c r="CB917" s="399"/>
      <c r="CC917" s="399"/>
      <c r="CD917" s="399"/>
      <c r="CE917" s="399"/>
      <c r="CF917" s="399"/>
      <c r="CG917" s="399"/>
      <c r="CH917" s="399"/>
      <c r="CI917" s="399"/>
      <c r="CJ917" s="399"/>
      <c r="CK917" s="399"/>
      <c r="CL917" s="399"/>
      <c r="CM917" s="399"/>
      <c r="CN917" s="399"/>
      <c r="CO917" s="399"/>
      <c r="CP917" s="399"/>
      <c r="CQ917" s="399"/>
      <c r="CR917" s="399"/>
      <c r="CS917" s="399"/>
      <c r="CT917" s="399"/>
      <c r="CU917" s="399"/>
      <c r="CV917" s="399"/>
      <c r="CW917" s="399"/>
      <c r="CX917" s="399"/>
      <c r="CY917" s="399"/>
      <c r="CZ917" s="399"/>
      <c r="DA917" s="399"/>
      <c r="DB917" s="399"/>
      <c r="DC917" s="399"/>
      <c r="DD917" s="399"/>
      <c r="DE917" s="399"/>
      <c r="DF917" s="399"/>
      <c r="DG917" s="399"/>
      <c r="DH917" s="399"/>
      <c r="DI917" s="399"/>
      <c r="DJ917" s="399"/>
      <c r="DK917" s="399"/>
      <c r="DL917" s="399"/>
      <c r="DM917" s="399"/>
      <c r="DN917" s="399"/>
      <c r="DO917" s="399"/>
      <c r="DP917" s="399"/>
      <c r="DQ917" s="399"/>
    </row>
    <row r="918" spans="1:121" s="760" customFormat="1" ht="14.45" customHeight="1" x14ac:dyDescent="0.25">
      <c r="A918" s="266">
        <f t="shared" si="14"/>
        <v>53.1</v>
      </c>
      <c r="B918" s="389">
        <v>41263</v>
      </c>
      <c r="C918" s="390" t="s">
        <v>451</v>
      </c>
      <c r="D918" s="391" t="s">
        <v>459</v>
      </c>
      <c r="E918" s="390" t="s">
        <v>380</v>
      </c>
      <c r="F918" s="262" t="s">
        <v>526</v>
      </c>
      <c r="G918" s="262" t="s">
        <v>88</v>
      </c>
      <c r="H918" s="261"/>
      <c r="I918" s="763"/>
      <c r="J918" s="261"/>
      <c r="K918" s="261">
        <v>12</v>
      </c>
      <c r="L918" s="261">
        <v>0</v>
      </c>
      <c r="M918" s="261">
        <v>12</v>
      </c>
      <c r="N918" s="261">
        <v>0</v>
      </c>
      <c r="O918" s="261">
        <v>0</v>
      </c>
      <c r="P918" s="261"/>
      <c r="Q918" s="261"/>
      <c r="R918" s="261"/>
      <c r="S918" s="261"/>
      <c r="T918" s="261"/>
      <c r="U918" s="261"/>
      <c r="V918" s="762"/>
      <c r="W918" s="261"/>
      <c r="X918" s="261"/>
      <c r="Y918" s="264">
        <f>IF(NFI_Expiration=1,IF($A918&lt;VLOOKUP(H$5,NFI,5,0),1,0)*Table_NFI[[#This Row],[Hygiene Kit]],Table_NFI[Hygiene Kit])</f>
        <v>0</v>
      </c>
      <c r="Z918" s="264">
        <f>IF(NFI_Expiration=1,IF($A918&lt;VLOOKUP(I$5,NFI,5,0),1,0)*Table_NFI[[#This Row],[NFI Core Kit]],Table_NFI[NFI Core Kit])</f>
        <v>0</v>
      </c>
      <c r="AA918" s="264">
        <f>IF(NFI_Expiration=1,IF($A918&lt;VLOOKUP(J$5,NFI,5,0),1,0)*Table_NFI[[#This Row],[Sanitary Kit]],Table_NFI[Sanitary Kit])</f>
        <v>0</v>
      </c>
      <c r="AB918" s="264">
        <f>IF(NFI_Expiration=1,IF($A918&lt;VLOOKUP(K$5,NFI,5,0),1,0)*Table_NFI[[#This Row],[Mosquito net]],Table_NFI[Mosquito net])</f>
        <v>0</v>
      </c>
      <c r="AC918" s="264">
        <f>IF(NFI_Expiration=1,IF($A918&lt;VLOOKUP(L$5,NFI,5,0),1,0)*Table_NFI[[#This Row],[Tarpaulin]],Table_NFI[[#This Row],[Tarpaulin]])</f>
        <v>0</v>
      </c>
      <c r="AD918" s="264">
        <f>IF(NFI_Expiration=1,IF($A918&lt;VLOOKUP(M$5,NFI,5,0),1,0)*Table_NFI[[#This Row],[Blanket]],Table_NFI[[#This Row],[Blanket]])</f>
        <v>0</v>
      </c>
      <c r="AE918" s="264">
        <f>IF(NFI_Expiration=1,IF($A918&lt;VLOOKUP(N$5,NFI,5,0),1,0)*Table_NFI[[#This Row],[Kitchen Set]],Table_NFI[Kitchen Set])</f>
        <v>0</v>
      </c>
      <c r="AF918" s="264">
        <f>IF(NFI_Expiration=1,IF($A918&lt;VLOOKUP(O$5,NFI,5,0),1,0)*Table_NFI[[#This Row],[Clothes Kit]],Table_NFI[Clothes Kit])</f>
        <v>0</v>
      </c>
      <c r="AG918" s="264">
        <f>IF(NFI_Expiration=1,IF($A918&lt;VLOOKUP(P$5,NFI,5,0),1,0)*Table_NFI[[#This Row],[Plastic Bucket]],Table_NFI[Plastic Bucket])</f>
        <v>0</v>
      </c>
      <c r="AH918" s="264">
        <f>IF(NFI_Expiration=1,IF($A918&lt;VLOOKUP(Q$5,NFI,5,0),1,0)*Table_NFI[[#This Row],[Plastic Mat]],Table_NFI[Plastic Mat])*IF(Table_NFI[[#This Row],[Distribution Date]]&gt;"2014-04-01",1,2.5)</f>
        <v>0</v>
      </c>
      <c r="AI918" s="264">
        <f>IF(NFI_Expiration=1,IF($A918&lt;VLOOKUP(R$5,NFI,5,0),1,0)*Table_NFI[[#This Row],[Winter Clothes Adult]],Table_NFI[Winter Clothes Adult])</f>
        <v>0</v>
      </c>
      <c r="AJ918" s="264">
        <f>IF(NFI_Expiration=1,IF($A918&lt;VLOOKUP(S$5,NFI,5,0),1,0)*Table_NFI[[#This Row],[Winter Clothes Children]],Table_NFI[Winter Clothes Children])</f>
        <v>0</v>
      </c>
      <c r="AK918" s="264">
        <f>IF(NFI_Expiration=1,IF($A918&lt;VLOOKUP(T$5,NFI,5,0),1,0)*Table_NFI[[#This Row],[Winter Items Other]],Table_NFI[Winter Items Other])</f>
        <v>0</v>
      </c>
      <c r="AL918" s="264">
        <f>IF(NFI_Expiration=1,IF($A918&lt;VLOOKUP(M$5,NFI,5,0),1,0)*Table_NFI[[#This Row],[Winter Blanket]],Table_NFI[[#This Row],[Winter Blanket]])</f>
        <v>0</v>
      </c>
      <c r="AM918" s="264">
        <f>IF(Table_NFI[[#This Row],[Winter Clothes Adult]]+Table_NFI[[#This Row],[Winter Clothes Children]]+Table_NFI[[#This Row],[Winter Items Other]]+Table_NFI[[#This Row],[Winter Blanket]]&gt;0,1,0)</f>
        <v>0</v>
      </c>
      <c r="AN918" s="296">
        <f>IF(NFI_Expiration=1,IF($A918&lt;VLOOKUP(V$5,NFI,5,0),1,0)*Table_NFI[[#This Row],[Jerry Can]],Table_NFI[Jerry Can])</f>
        <v>0</v>
      </c>
      <c r="AO918" s="296">
        <f>IF(NFI_Expiration=1,IF($A918&lt;VLOOKUP(V$5,NFI,5,0),1,0)*Table_NFI[[#This Row],[Shelter Tool kit]],Table_NFI[Shelter Tool kit])</f>
        <v>0</v>
      </c>
      <c r="AP918" s="296">
        <f>IF(NFI_Expiration=1,IF($A918&lt;VLOOKUP(V$5,NFI,5,0),1,0)*Table_NFI[[#This Row],[Tent]],Table_NFI[Tent])</f>
        <v>0</v>
      </c>
      <c r="AQ918" s="396" t="str">
        <f>IFERROR(VLOOKUP(Table_NFI[[#This Row],[Camp Name]],CL,2,0),"")</f>
        <v>MMR001CMP148</v>
      </c>
      <c r="AR918" s="702">
        <f ca="1">IF(Table_NFI[[#This Row],[Pcode]]="","",IF(OFFSET(CampList[Opening Date],MATCH(Table_NFI[[#This Row],[Pcode]],CampList[CP_Pcode],0)-1,0,1,1)&gt;=NFI_Monitor_Date,1,0))</f>
        <v>0</v>
      </c>
      <c r="AS918" s="396" t="str">
        <f>IFERROR(VLOOKUP(Table_NFI[[#This Row],[Camp Name]],CL,3,0),"")</f>
        <v>Open</v>
      </c>
      <c r="AT918" s="264" t="str">
        <f ca="1">IF(Table_NFI[[#This Row],[Pcode]]="","",OFFSET(CampList[Priority],MATCH(Table_NFI[[#This Row],[Pcode]],CampList[CP_Pcode],0)-1,0,1,1))</f>
        <v>P4</v>
      </c>
      <c r="AU918" s="263">
        <f>IFERROR(Table_NFI[[#This Row],[Kitchen Set]]/VLOOKUP(Table_NFI[[#This Row],[Camp Name]],CL,4,0),"")</f>
        <v>0</v>
      </c>
      <c r="AV918" s="390" t="s">
        <v>1087</v>
      </c>
      <c r="AW918" s="392"/>
      <c r="AX918" s="399"/>
      <c r="AY918" s="399"/>
      <c r="AZ918" s="399"/>
      <c r="BA918" s="399"/>
      <c r="BB918" s="399"/>
      <c r="BC918" s="399"/>
      <c r="BD918" s="399"/>
      <c r="BE918" s="399"/>
      <c r="BF918" s="399"/>
      <c r="BG918" s="399"/>
      <c r="BH918" s="399"/>
      <c r="BI918" s="399"/>
      <c r="BJ918" s="399"/>
      <c r="BK918" s="399"/>
      <c r="BL918" s="399"/>
      <c r="BM918" s="399"/>
      <c r="BN918" s="399"/>
      <c r="BO918" s="399"/>
      <c r="BP918" s="399"/>
      <c r="BQ918" s="399"/>
      <c r="BR918" s="399"/>
      <c r="BS918" s="399"/>
      <c r="BT918" s="399"/>
      <c r="BU918" s="399"/>
      <c r="BV918" s="399"/>
      <c r="BW918" s="399"/>
      <c r="BX918" s="399"/>
      <c r="BY918" s="399"/>
      <c r="BZ918" s="399"/>
      <c r="CA918" s="399"/>
      <c r="CB918" s="399"/>
      <c r="CC918" s="399"/>
      <c r="CD918" s="399"/>
      <c r="CE918" s="399"/>
      <c r="CF918" s="399"/>
      <c r="CG918" s="399"/>
      <c r="CH918" s="399"/>
      <c r="CI918" s="399"/>
      <c r="CJ918" s="399"/>
      <c r="CK918" s="399"/>
      <c r="CL918" s="399"/>
      <c r="CM918" s="399"/>
      <c r="CN918" s="399"/>
      <c r="CO918" s="399"/>
      <c r="CP918" s="399"/>
      <c r="CQ918" s="399"/>
      <c r="CR918" s="399"/>
      <c r="CS918" s="399"/>
      <c r="CT918" s="399"/>
      <c r="CU918" s="399"/>
      <c r="CV918" s="399"/>
      <c r="CW918" s="399"/>
      <c r="CX918" s="399"/>
      <c r="CY918" s="399"/>
      <c r="CZ918" s="399"/>
      <c r="DA918" s="399"/>
      <c r="DB918" s="399"/>
      <c r="DC918" s="399"/>
      <c r="DD918" s="399"/>
      <c r="DE918" s="399"/>
      <c r="DF918" s="399"/>
      <c r="DG918" s="399"/>
      <c r="DH918" s="399"/>
      <c r="DI918" s="399"/>
      <c r="DJ918" s="399"/>
      <c r="DK918" s="399"/>
      <c r="DL918" s="399"/>
      <c r="DM918" s="399"/>
      <c r="DN918" s="399"/>
      <c r="DO918" s="399"/>
      <c r="DP918" s="399"/>
      <c r="DQ918" s="399"/>
    </row>
    <row r="919" spans="1:121" s="760" customFormat="1" ht="14.45" customHeight="1" x14ac:dyDescent="0.25">
      <c r="A919" s="266">
        <f t="shared" si="14"/>
        <v>53.1</v>
      </c>
      <c r="B919" s="389">
        <v>41263</v>
      </c>
      <c r="C919" s="390" t="s">
        <v>451</v>
      </c>
      <c r="D919" s="390" t="s">
        <v>451</v>
      </c>
      <c r="E919" s="390" t="s">
        <v>380</v>
      </c>
      <c r="F919" s="390" t="s">
        <v>237</v>
      </c>
      <c r="G919" s="262" t="s">
        <v>253</v>
      </c>
      <c r="H919" s="261"/>
      <c r="I919" s="261"/>
      <c r="J919" s="261"/>
      <c r="K919" s="261">
        <v>19</v>
      </c>
      <c r="L919" s="261">
        <v>10</v>
      </c>
      <c r="M919" s="261">
        <v>19</v>
      </c>
      <c r="N919" s="261">
        <v>10</v>
      </c>
      <c r="O919" s="261">
        <v>10</v>
      </c>
      <c r="P919" s="261">
        <v>10</v>
      </c>
      <c r="Q919" s="261">
        <v>10</v>
      </c>
      <c r="R919" s="261"/>
      <c r="S919" s="261"/>
      <c r="T919" s="261"/>
      <c r="U919" s="261"/>
      <c r="V919" s="762"/>
      <c r="W919" s="261"/>
      <c r="X919" s="261"/>
      <c r="Y919" s="264">
        <f>IF(NFI_Expiration=1,IF($A919&lt;VLOOKUP(H$5,NFI,5,0),1,0)*Table_NFI[[#This Row],[Hygiene Kit]],Table_NFI[Hygiene Kit])</f>
        <v>0</v>
      </c>
      <c r="Z919" s="264">
        <f>IF(NFI_Expiration=1,IF($A919&lt;VLOOKUP(I$5,NFI,5,0),1,0)*Table_NFI[[#This Row],[NFI Core Kit]],Table_NFI[NFI Core Kit])</f>
        <v>0</v>
      </c>
      <c r="AA919" s="264">
        <f>IF(NFI_Expiration=1,IF($A919&lt;VLOOKUP(J$5,NFI,5,0),1,0)*Table_NFI[[#This Row],[Sanitary Kit]],Table_NFI[Sanitary Kit])</f>
        <v>0</v>
      </c>
      <c r="AB919" s="264">
        <f>IF(NFI_Expiration=1,IF($A919&lt;VLOOKUP(K$5,NFI,5,0),1,0)*Table_NFI[[#This Row],[Mosquito net]],Table_NFI[Mosquito net])</f>
        <v>0</v>
      </c>
      <c r="AC919" s="264">
        <f>IF(NFI_Expiration=1,IF($A919&lt;VLOOKUP(L$5,NFI,5,0),1,0)*Table_NFI[[#This Row],[Tarpaulin]],Table_NFI[[#This Row],[Tarpaulin]])</f>
        <v>0</v>
      </c>
      <c r="AD919" s="264">
        <f>IF(NFI_Expiration=1,IF($A919&lt;VLOOKUP(M$5,NFI,5,0),1,0)*Table_NFI[[#This Row],[Blanket]],Table_NFI[[#This Row],[Blanket]])</f>
        <v>0</v>
      </c>
      <c r="AE919" s="264">
        <f>IF(NFI_Expiration=1,IF($A919&lt;VLOOKUP(N$5,NFI,5,0),1,0)*Table_NFI[[#This Row],[Kitchen Set]],Table_NFI[Kitchen Set])</f>
        <v>0</v>
      </c>
      <c r="AF919" s="264">
        <f>IF(NFI_Expiration=1,IF($A919&lt;VLOOKUP(O$5,NFI,5,0),1,0)*Table_NFI[[#This Row],[Clothes Kit]],Table_NFI[Clothes Kit])</f>
        <v>0</v>
      </c>
      <c r="AG919" s="264">
        <f>IF(NFI_Expiration=1,IF($A919&lt;VLOOKUP(P$5,NFI,5,0),1,0)*Table_NFI[[#This Row],[Plastic Bucket]],Table_NFI[Plastic Bucket])</f>
        <v>0</v>
      </c>
      <c r="AH919" s="264">
        <f>IF(NFI_Expiration=1,IF($A919&lt;VLOOKUP(Q$5,NFI,5,0),1,0)*Table_NFI[[#This Row],[Plastic Mat]],Table_NFI[Plastic Mat])*IF(Table_NFI[[#This Row],[Distribution Date]]&gt;"2014-04-01",1,2.5)</f>
        <v>0</v>
      </c>
      <c r="AI919" s="264">
        <f>IF(NFI_Expiration=1,IF($A919&lt;VLOOKUP(R$5,NFI,5,0),1,0)*Table_NFI[[#This Row],[Winter Clothes Adult]],Table_NFI[Winter Clothes Adult])</f>
        <v>0</v>
      </c>
      <c r="AJ919" s="264">
        <f>IF(NFI_Expiration=1,IF($A919&lt;VLOOKUP(S$5,NFI,5,0),1,0)*Table_NFI[[#This Row],[Winter Clothes Children]],Table_NFI[Winter Clothes Children])</f>
        <v>0</v>
      </c>
      <c r="AK919" s="264">
        <f>IF(NFI_Expiration=1,IF($A919&lt;VLOOKUP(T$5,NFI,5,0),1,0)*Table_NFI[[#This Row],[Winter Items Other]],Table_NFI[Winter Items Other])</f>
        <v>0</v>
      </c>
      <c r="AL919" s="264">
        <f>IF(NFI_Expiration=1,IF($A919&lt;VLOOKUP(M$5,NFI,5,0),1,0)*Table_NFI[[#This Row],[Winter Blanket]],Table_NFI[[#This Row],[Winter Blanket]])</f>
        <v>0</v>
      </c>
      <c r="AM919" s="264">
        <f>IF(Table_NFI[[#This Row],[Winter Clothes Adult]]+Table_NFI[[#This Row],[Winter Clothes Children]]+Table_NFI[[#This Row],[Winter Items Other]]+Table_NFI[[#This Row],[Winter Blanket]]&gt;0,1,0)</f>
        <v>0</v>
      </c>
      <c r="AN919" s="296">
        <f>IF(NFI_Expiration=1,IF($A919&lt;VLOOKUP(V$5,NFI,5,0),1,0)*Table_NFI[[#This Row],[Jerry Can]],Table_NFI[Jerry Can])</f>
        <v>0</v>
      </c>
      <c r="AO919" s="296">
        <f>IF(NFI_Expiration=1,IF($A919&lt;VLOOKUP(V$5,NFI,5,0),1,0)*Table_NFI[[#This Row],[Shelter Tool kit]],Table_NFI[Shelter Tool kit])</f>
        <v>0</v>
      </c>
      <c r="AP919" s="296">
        <f>IF(NFI_Expiration=1,IF($A919&lt;VLOOKUP(V$5,NFI,5,0),1,0)*Table_NFI[[#This Row],[Tent]],Table_NFI[Tent])</f>
        <v>0</v>
      </c>
      <c r="AQ919" s="396" t="str">
        <f>IFERROR(VLOOKUP(Table_NFI[[#This Row],[Camp Name]],CL,2,0),"")</f>
        <v>MMR001CMP018</v>
      </c>
      <c r="AR919" s="702">
        <f ca="1">IF(Table_NFI[[#This Row],[Pcode]]="","",IF(OFFSET(CampList[Opening Date],MATCH(Table_NFI[[#This Row],[Pcode]],CampList[CP_Pcode],0)-1,0,1,1)&gt;=NFI_Monitor_Date,1,0))</f>
        <v>0</v>
      </c>
      <c r="AS919" s="396" t="str">
        <f>IFERROR(VLOOKUP(Table_NFI[[#This Row],[Camp Name]],CL,3,0),"")</f>
        <v>Open</v>
      </c>
      <c r="AT919" s="264" t="str">
        <f ca="1">IF(Table_NFI[[#This Row],[Pcode]]="","",OFFSET(CampList[Priority],MATCH(Table_NFI[[#This Row],[Pcode]],CampList[CP_Pcode],0)-1,0,1,1))</f>
        <v>P4</v>
      </c>
      <c r="AU919" s="263">
        <f>IFERROR(Table_NFI[[#This Row],[Kitchen Set]]/VLOOKUP(Table_NFI[[#This Row],[Camp Name]],CL,4,0),"")</f>
        <v>2.4554941682013506E-4</v>
      </c>
      <c r="AV919" s="390" t="s">
        <v>1087</v>
      </c>
      <c r="AW919" s="392"/>
      <c r="AX919" s="399"/>
      <c r="AY919" s="399"/>
      <c r="AZ919" s="399"/>
      <c r="BA919" s="399"/>
      <c r="BB919" s="399"/>
      <c r="BC919" s="399"/>
      <c r="BD919" s="399"/>
      <c r="BE919" s="399"/>
      <c r="BF919" s="399"/>
      <c r="BG919" s="399"/>
      <c r="BH919" s="399"/>
      <c r="BI919" s="399"/>
      <c r="BJ919" s="399"/>
      <c r="BK919" s="399"/>
      <c r="BL919" s="399"/>
      <c r="BM919" s="399"/>
      <c r="BN919" s="399"/>
      <c r="BO919" s="399"/>
      <c r="BP919" s="399"/>
      <c r="BQ919" s="399"/>
      <c r="BR919" s="399"/>
      <c r="BS919" s="399"/>
      <c r="BT919" s="399"/>
      <c r="BU919" s="399"/>
      <c r="BV919" s="399"/>
      <c r="BW919" s="399"/>
      <c r="BX919" s="399"/>
      <c r="BY919" s="399"/>
      <c r="BZ919" s="399"/>
      <c r="CA919" s="399"/>
      <c r="CB919" s="399"/>
      <c r="CC919" s="399"/>
      <c r="CD919" s="399"/>
      <c r="CE919" s="399"/>
      <c r="CF919" s="399"/>
      <c r="CG919" s="399"/>
      <c r="CH919" s="399"/>
      <c r="CI919" s="399"/>
      <c r="CJ919" s="399"/>
      <c r="CK919" s="399"/>
      <c r="CL919" s="399"/>
      <c r="CM919" s="399"/>
      <c r="CN919" s="399"/>
      <c r="CO919" s="399"/>
      <c r="CP919" s="399"/>
      <c r="CQ919" s="399"/>
      <c r="CR919" s="399"/>
      <c r="CS919" s="399"/>
      <c r="CT919" s="399"/>
      <c r="CU919" s="399"/>
      <c r="CV919" s="399"/>
      <c r="CW919" s="399"/>
      <c r="CX919" s="399"/>
      <c r="CY919" s="399"/>
      <c r="CZ919" s="399"/>
      <c r="DA919" s="399"/>
      <c r="DB919" s="399"/>
      <c r="DC919" s="399"/>
      <c r="DD919" s="399"/>
      <c r="DE919" s="399"/>
      <c r="DF919" s="399"/>
      <c r="DG919" s="399"/>
      <c r="DH919" s="399"/>
      <c r="DI919" s="399"/>
      <c r="DJ919" s="399"/>
      <c r="DK919" s="399"/>
      <c r="DL919" s="399"/>
      <c r="DM919" s="399"/>
      <c r="DN919" s="399"/>
      <c r="DO919" s="399"/>
      <c r="DP919" s="399"/>
      <c r="DQ919" s="399"/>
    </row>
    <row r="920" spans="1:121" s="760" customFormat="1" ht="14.45" customHeight="1" x14ac:dyDescent="0.25">
      <c r="A920" s="266">
        <f t="shared" si="14"/>
        <v>53.133333333333333</v>
      </c>
      <c r="B920" s="389">
        <v>41262</v>
      </c>
      <c r="C920" s="390" t="s">
        <v>451</v>
      </c>
      <c r="D920" s="391" t="s">
        <v>451</v>
      </c>
      <c r="E920" s="390" t="s">
        <v>380</v>
      </c>
      <c r="F920" s="262" t="s">
        <v>237</v>
      </c>
      <c r="G920" s="262" t="s">
        <v>273</v>
      </c>
      <c r="H920" s="261"/>
      <c r="I920" s="763"/>
      <c r="J920" s="261"/>
      <c r="K920" s="261">
        <v>37</v>
      </c>
      <c r="L920" s="261">
        <v>10</v>
      </c>
      <c r="M920" s="261">
        <v>37</v>
      </c>
      <c r="N920" s="261">
        <v>10</v>
      </c>
      <c r="O920" s="261">
        <v>10</v>
      </c>
      <c r="P920" s="261">
        <v>10</v>
      </c>
      <c r="Q920" s="261">
        <v>10</v>
      </c>
      <c r="R920" s="261"/>
      <c r="S920" s="261"/>
      <c r="T920" s="261"/>
      <c r="U920" s="261"/>
      <c r="V920" s="762"/>
      <c r="W920" s="261"/>
      <c r="X920" s="261"/>
      <c r="Y920" s="264">
        <f>IF(NFI_Expiration=1,IF($A920&lt;VLOOKUP(H$5,NFI,5,0),1,0)*Table_NFI[[#This Row],[Hygiene Kit]],Table_NFI[Hygiene Kit])</f>
        <v>0</v>
      </c>
      <c r="Z920" s="264">
        <f>IF(NFI_Expiration=1,IF($A920&lt;VLOOKUP(I$5,NFI,5,0),1,0)*Table_NFI[[#This Row],[NFI Core Kit]],Table_NFI[NFI Core Kit])</f>
        <v>0</v>
      </c>
      <c r="AA920" s="264">
        <f>IF(NFI_Expiration=1,IF($A920&lt;VLOOKUP(J$5,NFI,5,0),1,0)*Table_NFI[[#This Row],[Sanitary Kit]],Table_NFI[Sanitary Kit])</f>
        <v>0</v>
      </c>
      <c r="AB920" s="264">
        <f>IF(NFI_Expiration=1,IF($A920&lt;VLOOKUP(K$5,NFI,5,0),1,0)*Table_NFI[[#This Row],[Mosquito net]],Table_NFI[Mosquito net])</f>
        <v>0</v>
      </c>
      <c r="AC920" s="264">
        <f>IF(NFI_Expiration=1,IF($A920&lt;VLOOKUP(L$5,NFI,5,0),1,0)*Table_NFI[[#This Row],[Tarpaulin]],Table_NFI[[#This Row],[Tarpaulin]])</f>
        <v>0</v>
      </c>
      <c r="AD920" s="264">
        <f>IF(NFI_Expiration=1,IF($A920&lt;VLOOKUP(M$5,NFI,5,0),1,0)*Table_NFI[[#This Row],[Blanket]],Table_NFI[[#This Row],[Blanket]])</f>
        <v>0</v>
      </c>
      <c r="AE920" s="264">
        <f>IF(NFI_Expiration=1,IF($A920&lt;VLOOKUP(N$5,NFI,5,0),1,0)*Table_NFI[[#This Row],[Kitchen Set]],Table_NFI[Kitchen Set])</f>
        <v>0</v>
      </c>
      <c r="AF920" s="264">
        <f>IF(NFI_Expiration=1,IF($A920&lt;VLOOKUP(O$5,NFI,5,0),1,0)*Table_NFI[[#This Row],[Clothes Kit]],Table_NFI[Clothes Kit])</f>
        <v>0</v>
      </c>
      <c r="AG920" s="264">
        <f>IF(NFI_Expiration=1,IF($A920&lt;VLOOKUP(P$5,NFI,5,0),1,0)*Table_NFI[[#This Row],[Plastic Bucket]],Table_NFI[Plastic Bucket])</f>
        <v>0</v>
      </c>
      <c r="AH920" s="264">
        <f>IF(NFI_Expiration=1,IF($A920&lt;VLOOKUP(Q$5,NFI,5,0),1,0)*Table_NFI[[#This Row],[Plastic Mat]],Table_NFI[Plastic Mat])*IF(Table_NFI[[#This Row],[Distribution Date]]&gt;"2014-04-01",1,2.5)</f>
        <v>0</v>
      </c>
      <c r="AI920" s="264">
        <f>IF(NFI_Expiration=1,IF($A920&lt;VLOOKUP(R$5,NFI,5,0),1,0)*Table_NFI[[#This Row],[Winter Clothes Adult]],Table_NFI[Winter Clothes Adult])</f>
        <v>0</v>
      </c>
      <c r="AJ920" s="264">
        <f>IF(NFI_Expiration=1,IF($A920&lt;VLOOKUP(S$5,NFI,5,0),1,0)*Table_NFI[[#This Row],[Winter Clothes Children]],Table_NFI[Winter Clothes Children])</f>
        <v>0</v>
      </c>
      <c r="AK920" s="264">
        <f>IF(NFI_Expiration=1,IF($A920&lt;VLOOKUP(T$5,NFI,5,0),1,0)*Table_NFI[[#This Row],[Winter Items Other]],Table_NFI[Winter Items Other])</f>
        <v>0</v>
      </c>
      <c r="AL920" s="264">
        <f>IF(NFI_Expiration=1,IF($A920&lt;VLOOKUP(M$5,NFI,5,0),1,0)*Table_NFI[[#This Row],[Winter Blanket]],Table_NFI[[#This Row],[Winter Blanket]])</f>
        <v>0</v>
      </c>
      <c r="AM920" s="264">
        <f>IF(Table_NFI[[#This Row],[Winter Clothes Adult]]+Table_NFI[[#This Row],[Winter Clothes Children]]+Table_NFI[[#This Row],[Winter Items Other]]+Table_NFI[[#This Row],[Winter Blanket]]&gt;0,1,0)</f>
        <v>0</v>
      </c>
      <c r="AN920" s="296">
        <f>IF(NFI_Expiration=1,IF($A920&lt;VLOOKUP(V$5,NFI,5,0),1,0)*Table_NFI[[#This Row],[Jerry Can]],Table_NFI[Jerry Can])</f>
        <v>0</v>
      </c>
      <c r="AO920" s="296">
        <f>IF(NFI_Expiration=1,IF($A920&lt;VLOOKUP(V$5,NFI,5,0),1,0)*Table_NFI[[#This Row],[Shelter Tool kit]],Table_NFI[Shelter Tool kit])</f>
        <v>0</v>
      </c>
      <c r="AP920" s="296">
        <f>IF(NFI_Expiration=1,IF($A920&lt;VLOOKUP(V$5,NFI,5,0),1,0)*Table_NFI[[#This Row],[Tent]],Table_NFI[Tent])</f>
        <v>0</v>
      </c>
      <c r="AQ920" s="396" t="str">
        <f>IFERROR(VLOOKUP(Table_NFI[[#This Row],[Camp Name]],CL,2,0),"")</f>
        <v>MMR001CMP162</v>
      </c>
      <c r="AR920" s="702">
        <f ca="1">IF(Table_NFI[[#This Row],[Pcode]]="","",IF(OFFSET(CampList[Opening Date],MATCH(Table_NFI[[#This Row],[Pcode]],CampList[CP_Pcode],0)-1,0,1,1)&gt;=NFI_Monitor_Date,1,0))</f>
        <v>0</v>
      </c>
      <c r="AS920" s="396" t="str">
        <f>IFERROR(VLOOKUP(Table_NFI[[#This Row],[Camp Name]],CL,3,0),"")</f>
        <v>Open</v>
      </c>
      <c r="AT920" s="264" t="str">
        <f ca="1">IF(Table_NFI[[#This Row],[Pcode]]="","",OFFSET(CampList[Priority],MATCH(Table_NFI[[#This Row],[Pcode]],CampList[CP_Pcode],0)-1,0,1,1))</f>
        <v>P4</v>
      </c>
      <c r="AU920" s="263">
        <f>IFERROR(Table_NFI[[#This Row],[Kitchen Set]]/VLOOKUP(Table_NFI[[#This Row],[Camp Name]],CL,4,0),"")</f>
        <v>2.4245950926195326E-4</v>
      </c>
      <c r="AV920" s="390" t="s">
        <v>1087</v>
      </c>
      <c r="AW920" s="392"/>
      <c r="AX920" s="399"/>
      <c r="AY920" s="399"/>
      <c r="AZ920" s="399"/>
      <c r="BA920" s="399"/>
      <c r="BB920" s="399"/>
      <c r="BC920" s="399"/>
      <c r="BD920" s="399"/>
      <c r="BE920" s="399"/>
      <c r="BF920" s="399"/>
      <c r="BG920" s="399"/>
      <c r="BH920" s="399"/>
      <c r="BI920" s="399"/>
      <c r="BJ920" s="399"/>
      <c r="BK920" s="399"/>
      <c r="BL920" s="399"/>
      <c r="BM920" s="399"/>
      <c r="BN920" s="399"/>
      <c r="BO920" s="399"/>
      <c r="BP920" s="399"/>
      <c r="BQ920" s="399"/>
      <c r="BR920" s="399"/>
      <c r="BS920" s="399"/>
      <c r="BT920" s="399"/>
      <c r="BU920" s="399"/>
      <c r="BV920" s="399"/>
      <c r="BW920" s="399"/>
      <c r="BX920" s="399"/>
      <c r="BY920" s="399"/>
      <c r="BZ920" s="399"/>
      <c r="CA920" s="399"/>
      <c r="CB920" s="399"/>
      <c r="CC920" s="399"/>
      <c r="CD920" s="399"/>
      <c r="CE920" s="399"/>
      <c r="CF920" s="399"/>
      <c r="CG920" s="399"/>
      <c r="CH920" s="399"/>
      <c r="CI920" s="399"/>
      <c r="CJ920" s="399"/>
      <c r="CK920" s="399"/>
      <c r="CL920" s="399"/>
      <c r="CM920" s="399"/>
      <c r="CN920" s="399"/>
      <c r="CO920" s="399"/>
      <c r="CP920" s="399"/>
      <c r="CQ920" s="399"/>
      <c r="CR920" s="399"/>
      <c r="CS920" s="399"/>
      <c r="CT920" s="399"/>
      <c r="CU920" s="399"/>
      <c r="CV920" s="399"/>
      <c r="CW920" s="399"/>
      <c r="CX920" s="399"/>
      <c r="CY920" s="399"/>
      <c r="CZ920" s="399"/>
      <c r="DA920" s="399"/>
      <c r="DB920" s="399"/>
      <c r="DC920" s="399"/>
      <c r="DD920" s="399"/>
      <c r="DE920" s="399"/>
      <c r="DF920" s="399"/>
      <c r="DG920" s="399"/>
      <c r="DH920" s="399"/>
      <c r="DI920" s="399"/>
      <c r="DJ920" s="399"/>
      <c r="DK920" s="399"/>
      <c r="DL920" s="399"/>
      <c r="DM920" s="399"/>
      <c r="DN920" s="399"/>
      <c r="DO920" s="399"/>
      <c r="DP920" s="399"/>
      <c r="DQ920" s="399"/>
    </row>
    <row r="921" spans="1:121" s="760" customFormat="1" ht="15" customHeight="1" x14ac:dyDescent="0.2">
      <c r="A921" s="266">
        <f t="shared" si="14"/>
        <v>53.166666666666664</v>
      </c>
      <c r="B921" s="389">
        <v>41261</v>
      </c>
      <c r="C921" s="390" t="s">
        <v>904</v>
      </c>
      <c r="D921" s="391" t="s">
        <v>904</v>
      </c>
      <c r="E921" s="390" t="s">
        <v>380</v>
      </c>
      <c r="F921" s="262" t="s">
        <v>185</v>
      </c>
      <c r="G921" s="262" t="s">
        <v>186</v>
      </c>
      <c r="H921" s="261"/>
      <c r="I921" s="261"/>
      <c r="J921" s="764">
        <v>54</v>
      </c>
      <c r="K921" s="261"/>
      <c r="L921" s="261"/>
      <c r="M921" s="261"/>
      <c r="N921" s="261"/>
      <c r="O921" s="261"/>
      <c r="P921" s="261"/>
      <c r="Q921" s="261"/>
      <c r="R921" s="261"/>
      <c r="S921" s="261"/>
      <c r="T921" s="261"/>
      <c r="U921" s="261"/>
      <c r="V921" s="762"/>
      <c r="W921" s="261"/>
      <c r="X921" s="261"/>
      <c r="Y921" s="264">
        <f>IF(NFI_Expiration=1,IF($A921&lt;VLOOKUP(H$5,NFI,5,0),1,0)*Table_NFI[[#This Row],[Hygiene Kit]],Table_NFI[Hygiene Kit])</f>
        <v>0</v>
      </c>
      <c r="Z921" s="264">
        <f>IF(NFI_Expiration=1,IF($A921&lt;VLOOKUP(I$5,NFI,5,0),1,0)*Table_NFI[[#This Row],[NFI Core Kit]],Table_NFI[NFI Core Kit])</f>
        <v>0</v>
      </c>
      <c r="AA921" s="264">
        <f>IF(NFI_Expiration=1,IF($A921&lt;VLOOKUP(J$5,NFI,5,0),1,0)*Table_NFI[[#This Row],[Sanitary Kit]],Table_NFI[Sanitary Kit])</f>
        <v>0</v>
      </c>
      <c r="AB921" s="264">
        <f>IF(NFI_Expiration=1,IF($A921&lt;VLOOKUP(K$5,NFI,5,0),1,0)*Table_NFI[[#This Row],[Mosquito net]],Table_NFI[Mosquito net])</f>
        <v>0</v>
      </c>
      <c r="AC921" s="264">
        <f>IF(NFI_Expiration=1,IF($A921&lt;VLOOKUP(L$5,NFI,5,0),1,0)*Table_NFI[[#This Row],[Tarpaulin]],Table_NFI[[#This Row],[Tarpaulin]])</f>
        <v>0</v>
      </c>
      <c r="AD921" s="264">
        <f>IF(NFI_Expiration=1,IF($A921&lt;VLOOKUP(M$5,NFI,5,0),1,0)*Table_NFI[[#This Row],[Blanket]],Table_NFI[[#This Row],[Blanket]])</f>
        <v>0</v>
      </c>
      <c r="AE921" s="264">
        <f>IF(NFI_Expiration=1,IF($A921&lt;VLOOKUP(N$5,NFI,5,0),1,0)*Table_NFI[[#This Row],[Kitchen Set]],Table_NFI[Kitchen Set])</f>
        <v>0</v>
      </c>
      <c r="AF921" s="264">
        <f>IF(NFI_Expiration=1,IF($A921&lt;VLOOKUP(O$5,NFI,5,0),1,0)*Table_NFI[[#This Row],[Clothes Kit]],Table_NFI[Clothes Kit])</f>
        <v>0</v>
      </c>
      <c r="AG921" s="264">
        <f>IF(NFI_Expiration=1,IF($A921&lt;VLOOKUP(P$5,NFI,5,0),1,0)*Table_NFI[[#This Row],[Plastic Bucket]],Table_NFI[Plastic Bucket])</f>
        <v>0</v>
      </c>
      <c r="AH921" s="264">
        <f>IF(NFI_Expiration=1,IF($A921&lt;VLOOKUP(Q$5,NFI,5,0),1,0)*Table_NFI[[#This Row],[Plastic Mat]],Table_NFI[Plastic Mat])*IF(Table_NFI[[#This Row],[Distribution Date]]&gt;"2014-04-01",1,2.5)</f>
        <v>0</v>
      </c>
      <c r="AI921" s="264">
        <f>IF(NFI_Expiration=1,IF($A921&lt;VLOOKUP(R$5,NFI,5,0),1,0)*Table_NFI[[#This Row],[Winter Clothes Adult]],Table_NFI[Winter Clothes Adult])</f>
        <v>0</v>
      </c>
      <c r="AJ921" s="264">
        <f>IF(NFI_Expiration=1,IF($A921&lt;VLOOKUP(S$5,NFI,5,0),1,0)*Table_NFI[[#This Row],[Winter Clothes Children]],Table_NFI[Winter Clothes Children])</f>
        <v>0</v>
      </c>
      <c r="AK921" s="264">
        <f>IF(NFI_Expiration=1,IF($A921&lt;VLOOKUP(T$5,NFI,5,0),1,0)*Table_NFI[[#This Row],[Winter Items Other]],Table_NFI[Winter Items Other])</f>
        <v>0</v>
      </c>
      <c r="AL921" s="264">
        <f>IF(NFI_Expiration=1,IF($A921&lt;VLOOKUP(M$5,NFI,5,0),1,0)*Table_NFI[[#This Row],[Winter Blanket]],Table_NFI[[#This Row],[Winter Blanket]])</f>
        <v>0</v>
      </c>
      <c r="AM921" s="264">
        <f>IF(Table_NFI[[#This Row],[Winter Clothes Adult]]+Table_NFI[[#This Row],[Winter Clothes Children]]+Table_NFI[[#This Row],[Winter Items Other]]+Table_NFI[[#This Row],[Winter Blanket]]&gt;0,1,0)</f>
        <v>0</v>
      </c>
      <c r="AN921" s="296">
        <f>IF(NFI_Expiration=1,IF($A921&lt;VLOOKUP(V$5,NFI,5,0),1,0)*Table_NFI[[#This Row],[Jerry Can]],Table_NFI[Jerry Can])</f>
        <v>0</v>
      </c>
      <c r="AO921" s="296">
        <f>IF(NFI_Expiration=1,IF($A921&lt;VLOOKUP(V$5,NFI,5,0),1,0)*Table_NFI[[#This Row],[Shelter Tool kit]],Table_NFI[Shelter Tool kit])</f>
        <v>0</v>
      </c>
      <c r="AP921" s="296">
        <f>IF(NFI_Expiration=1,IF($A921&lt;VLOOKUP(V$5,NFI,5,0),1,0)*Table_NFI[[#This Row],[Tent]],Table_NFI[Tent])</f>
        <v>0</v>
      </c>
      <c r="AQ921" s="396" t="str">
        <f>IFERROR(VLOOKUP(Table_NFI[[#This Row],[Camp Name]],CL,2,0),"")</f>
        <v>MMR001CMP071</v>
      </c>
      <c r="AR921" s="702">
        <f ca="1">IF(Table_NFI[[#This Row],[Pcode]]="","",IF(OFFSET(CampList[Opening Date],MATCH(Table_NFI[[#This Row],[Pcode]],CampList[CP_Pcode],0)-1,0,1,1)&gt;=NFI_Monitor_Date,1,0))</f>
        <v>0</v>
      </c>
      <c r="AS921" s="396" t="str">
        <f>IFERROR(VLOOKUP(Table_NFI[[#This Row],[Camp Name]],CL,3,0),"")</f>
        <v>Open</v>
      </c>
      <c r="AT921" s="264" t="str">
        <f ca="1">IF(Table_NFI[[#This Row],[Pcode]]="","",OFFSET(CampList[Priority],MATCH(Table_NFI[[#This Row],[Pcode]],CampList[CP_Pcode],0)-1,0,1,1))</f>
        <v>P3</v>
      </c>
      <c r="AU921" s="263">
        <f>IFERROR(Table_NFI[[#This Row],[Kitchen Set]]/VLOOKUP(Table_NFI[[#This Row],[Camp Name]],CL,4,0),"")</f>
        <v>0</v>
      </c>
      <c r="AV921" s="390"/>
      <c r="AW921" s="392"/>
      <c r="AX921" s="399"/>
      <c r="AY921" s="399"/>
      <c r="AZ921" s="399"/>
      <c r="BA921" s="399"/>
      <c r="BB921" s="399"/>
      <c r="BC921" s="399"/>
      <c r="BD921" s="399"/>
      <c r="BE921" s="399"/>
      <c r="BF921" s="399"/>
      <c r="BG921" s="399"/>
      <c r="BH921" s="399"/>
      <c r="BI921" s="399"/>
      <c r="BJ921" s="399"/>
      <c r="BK921" s="399"/>
      <c r="BL921" s="399"/>
      <c r="BM921" s="399"/>
      <c r="BN921" s="399"/>
      <c r="BO921" s="399"/>
      <c r="BP921" s="399"/>
      <c r="BQ921" s="399"/>
      <c r="BR921" s="399"/>
      <c r="BS921" s="399"/>
      <c r="BT921" s="399"/>
      <c r="BU921" s="399"/>
      <c r="BV921" s="399"/>
      <c r="BW921" s="399"/>
      <c r="BX921" s="399"/>
      <c r="BY921" s="399"/>
      <c r="BZ921" s="399"/>
      <c r="CA921" s="399"/>
      <c r="CB921" s="399"/>
      <c r="CC921" s="399"/>
      <c r="CD921" s="399"/>
      <c r="CE921" s="399"/>
      <c r="CF921" s="399"/>
      <c r="CG921" s="399"/>
      <c r="CH921" s="399"/>
      <c r="CI921" s="399"/>
      <c r="CJ921" s="399"/>
      <c r="CK921" s="399"/>
      <c r="CL921" s="399"/>
      <c r="CM921" s="399"/>
      <c r="CN921" s="399"/>
      <c r="CO921" s="399"/>
      <c r="CP921" s="399"/>
      <c r="CQ921" s="399"/>
      <c r="CR921" s="399"/>
      <c r="CS921" s="399"/>
      <c r="CT921" s="399"/>
      <c r="CU921" s="399"/>
      <c r="CV921" s="399"/>
      <c r="CW921" s="399"/>
      <c r="CX921" s="399"/>
      <c r="CY921" s="399"/>
      <c r="CZ921" s="399"/>
      <c r="DA921" s="399"/>
      <c r="DB921" s="399"/>
      <c r="DC921" s="399"/>
      <c r="DD921" s="399"/>
      <c r="DE921" s="399"/>
      <c r="DF921" s="399"/>
      <c r="DG921" s="399"/>
      <c r="DH921" s="399"/>
      <c r="DI921" s="399"/>
      <c r="DJ921" s="399"/>
      <c r="DK921" s="399"/>
      <c r="DL921" s="399"/>
      <c r="DM921" s="399"/>
      <c r="DN921" s="399"/>
      <c r="DO921" s="399"/>
      <c r="DP921" s="399"/>
      <c r="DQ921" s="399"/>
    </row>
    <row r="922" spans="1:121" s="760" customFormat="1" ht="15" customHeight="1" x14ac:dyDescent="0.25">
      <c r="A922" s="266">
        <f t="shared" si="14"/>
        <v>53.166666666666664</v>
      </c>
      <c r="B922" s="389">
        <v>41261</v>
      </c>
      <c r="C922" s="390" t="s">
        <v>451</v>
      </c>
      <c r="D922" s="391" t="s">
        <v>451</v>
      </c>
      <c r="E922" s="390" t="s">
        <v>380</v>
      </c>
      <c r="F922" s="262" t="s">
        <v>237</v>
      </c>
      <c r="G922" s="262" t="s">
        <v>281</v>
      </c>
      <c r="H922" s="261"/>
      <c r="I922" s="261"/>
      <c r="J922" s="261"/>
      <c r="K922" s="261">
        <v>30</v>
      </c>
      <c r="L922" s="261">
        <v>20</v>
      </c>
      <c r="M922" s="261">
        <v>30</v>
      </c>
      <c r="N922" s="261">
        <v>20</v>
      </c>
      <c r="O922" s="261">
        <v>20</v>
      </c>
      <c r="P922" s="261">
        <v>20</v>
      </c>
      <c r="Q922" s="261">
        <v>20</v>
      </c>
      <c r="R922" s="261"/>
      <c r="S922" s="261"/>
      <c r="T922" s="261"/>
      <c r="U922" s="261"/>
      <c r="V922" s="762"/>
      <c r="W922" s="261"/>
      <c r="X922" s="261"/>
      <c r="Y922" s="264">
        <f>IF(NFI_Expiration=1,IF($A922&lt;VLOOKUP(H$5,NFI,5,0),1,0)*Table_NFI[[#This Row],[Hygiene Kit]],Table_NFI[Hygiene Kit])</f>
        <v>0</v>
      </c>
      <c r="Z922" s="264">
        <f>IF(NFI_Expiration=1,IF($A922&lt;VLOOKUP(I$5,NFI,5,0),1,0)*Table_NFI[[#This Row],[NFI Core Kit]],Table_NFI[NFI Core Kit])</f>
        <v>0</v>
      </c>
      <c r="AA922" s="264">
        <f>IF(NFI_Expiration=1,IF($A922&lt;VLOOKUP(J$5,NFI,5,0),1,0)*Table_NFI[[#This Row],[Sanitary Kit]],Table_NFI[Sanitary Kit])</f>
        <v>0</v>
      </c>
      <c r="AB922" s="264">
        <f>IF(NFI_Expiration=1,IF($A922&lt;VLOOKUP(K$5,NFI,5,0),1,0)*Table_NFI[[#This Row],[Mosquito net]],Table_NFI[Mosquito net])</f>
        <v>0</v>
      </c>
      <c r="AC922" s="264">
        <f>IF(NFI_Expiration=1,IF($A922&lt;VLOOKUP(L$5,NFI,5,0),1,0)*Table_NFI[[#This Row],[Tarpaulin]],Table_NFI[[#This Row],[Tarpaulin]])</f>
        <v>0</v>
      </c>
      <c r="AD922" s="264">
        <f>IF(NFI_Expiration=1,IF($A922&lt;VLOOKUP(M$5,NFI,5,0),1,0)*Table_NFI[[#This Row],[Blanket]],Table_NFI[[#This Row],[Blanket]])</f>
        <v>0</v>
      </c>
      <c r="AE922" s="264">
        <f>IF(NFI_Expiration=1,IF($A922&lt;VLOOKUP(N$5,NFI,5,0),1,0)*Table_NFI[[#This Row],[Kitchen Set]],Table_NFI[Kitchen Set])</f>
        <v>0</v>
      </c>
      <c r="AF922" s="264">
        <f>IF(NFI_Expiration=1,IF($A922&lt;VLOOKUP(O$5,NFI,5,0),1,0)*Table_NFI[[#This Row],[Clothes Kit]],Table_NFI[Clothes Kit])</f>
        <v>0</v>
      </c>
      <c r="AG922" s="264">
        <f>IF(NFI_Expiration=1,IF($A922&lt;VLOOKUP(P$5,NFI,5,0),1,0)*Table_NFI[[#This Row],[Plastic Bucket]],Table_NFI[Plastic Bucket])</f>
        <v>0</v>
      </c>
      <c r="AH922" s="264">
        <f>IF(NFI_Expiration=1,IF($A922&lt;VLOOKUP(Q$5,NFI,5,0),1,0)*Table_NFI[[#This Row],[Plastic Mat]],Table_NFI[Plastic Mat])*IF(Table_NFI[[#This Row],[Distribution Date]]&gt;"2014-04-01",1,2.5)</f>
        <v>0</v>
      </c>
      <c r="AI922" s="264">
        <f>IF(NFI_Expiration=1,IF($A922&lt;VLOOKUP(R$5,NFI,5,0),1,0)*Table_NFI[[#This Row],[Winter Clothes Adult]],Table_NFI[Winter Clothes Adult])</f>
        <v>0</v>
      </c>
      <c r="AJ922" s="264">
        <f>IF(NFI_Expiration=1,IF($A922&lt;VLOOKUP(S$5,NFI,5,0),1,0)*Table_NFI[[#This Row],[Winter Clothes Children]],Table_NFI[Winter Clothes Children])</f>
        <v>0</v>
      </c>
      <c r="AK922" s="264">
        <f>IF(NFI_Expiration=1,IF($A922&lt;VLOOKUP(T$5,NFI,5,0),1,0)*Table_NFI[[#This Row],[Winter Items Other]],Table_NFI[Winter Items Other])</f>
        <v>0</v>
      </c>
      <c r="AL922" s="264">
        <f>IF(NFI_Expiration=1,IF($A922&lt;VLOOKUP(M$5,NFI,5,0),1,0)*Table_NFI[[#This Row],[Winter Blanket]],Table_NFI[[#This Row],[Winter Blanket]])</f>
        <v>0</v>
      </c>
      <c r="AM922" s="264">
        <f>IF(Table_NFI[[#This Row],[Winter Clothes Adult]]+Table_NFI[[#This Row],[Winter Clothes Children]]+Table_NFI[[#This Row],[Winter Items Other]]+Table_NFI[[#This Row],[Winter Blanket]]&gt;0,1,0)</f>
        <v>0</v>
      </c>
      <c r="AN922" s="296">
        <f>IF(NFI_Expiration=1,IF($A922&lt;VLOOKUP(V$5,NFI,5,0),1,0)*Table_NFI[[#This Row],[Jerry Can]],Table_NFI[Jerry Can])</f>
        <v>0</v>
      </c>
      <c r="AO922" s="296">
        <f>IF(NFI_Expiration=1,IF($A922&lt;VLOOKUP(V$5,NFI,5,0),1,0)*Table_NFI[[#This Row],[Shelter Tool kit]],Table_NFI[Shelter Tool kit])</f>
        <v>0</v>
      </c>
      <c r="AP922" s="296">
        <f>IF(NFI_Expiration=1,IF($A922&lt;VLOOKUP(V$5,NFI,5,0),1,0)*Table_NFI[[#This Row],[Tent]],Table_NFI[Tent])</f>
        <v>0</v>
      </c>
      <c r="AQ922" s="396" t="str">
        <f>IFERROR(VLOOKUP(Table_NFI[[#This Row],[Camp Name]],CL,2,0),"")</f>
        <v>MMR001CMP009</v>
      </c>
      <c r="AR922" s="702">
        <f ca="1">IF(Table_NFI[[#This Row],[Pcode]]="","",IF(OFFSET(CampList[Opening Date],MATCH(Table_NFI[[#This Row],[Pcode]],CampList[CP_Pcode],0)-1,0,1,1)&gt;=NFI_Monitor_Date,1,0))</f>
        <v>0</v>
      </c>
      <c r="AS922" s="396" t="str">
        <f>IFERROR(VLOOKUP(Table_NFI[[#This Row],[Camp Name]],CL,3,0),"")</f>
        <v>Open</v>
      </c>
      <c r="AT922" s="264" t="str">
        <f ca="1">IF(Table_NFI[[#This Row],[Pcode]]="","",OFFSET(CampList[Priority],MATCH(Table_NFI[[#This Row],[Pcode]],CampList[CP_Pcode],0)-1,0,1,1))</f>
        <v>P4</v>
      </c>
      <c r="AU922" s="263">
        <f>IFERROR(Table_NFI[[#This Row],[Kitchen Set]]/VLOOKUP(Table_NFI[[#This Row],[Camp Name]],CL,4,0),"")</f>
        <v>4.9109883364027013E-4</v>
      </c>
      <c r="AV922" s="390" t="s">
        <v>1087</v>
      </c>
      <c r="AW922" s="392"/>
      <c r="AX922" s="399"/>
      <c r="AY922" s="399"/>
      <c r="AZ922" s="399"/>
      <c r="BA922" s="399"/>
      <c r="BB922" s="399"/>
      <c r="BC922" s="399"/>
      <c r="BD922" s="399"/>
      <c r="BE922" s="399"/>
      <c r="BF922" s="399"/>
      <c r="BG922" s="399"/>
      <c r="BH922" s="399"/>
      <c r="BI922" s="399"/>
      <c r="BJ922" s="399"/>
      <c r="BK922" s="399"/>
      <c r="BL922" s="399"/>
      <c r="BM922" s="399"/>
      <c r="BN922" s="399"/>
      <c r="BO922" s="399"/>
      <c r="BP922" s="399"/>
      <c r="BQ922" s="399"/>
      <c r="BR922" s="399"/>
      <c r="BS922" s="399"/>
      <c r="BT922" s="399"/>
      <c r="BU922" s="399"/>
      <c r="BV922" s="399"/>
      <c r="BW922" s="399"/>
      <c r="BX922" s="399"/>
      <c r="BY922" s="399"/>
      <c r="BZ922" s="399"/>
      <c r="CA922" s="399"/>
      <c r="CB922" s="399"/>
      <c r="CC922" s="399"/>
      <c r="CD922" s="399"/>
      <c r="CE922" s="399"/>
      <c r="CF922" s="399"/>
      <c r="CG922" s="399"/>
      <c r="CH922" s="399"/>
      <c r="CI922" s="399"/>
      <c r="CJ922" s="399"/>
      <c r="CK922" s="399"/>
      <c r="CL922" s="399"/>
      <c r="CM922" s="399"/>
      <c r="CN922" s="399"/>
      <c r="CO922" s="399"/>
      <c r="CP922" s="399"/>
      <c r="CQ922" s="399"/>
      <c r="CR922" s="399"/>
      <c r="CS922" s="399"/>
      <c r="CT922" s="399"/>
      <c r="CU922" s="399"/>
      <c r="CV922" s="399"/>
      <c r="CW922" s="399"/>
      <c r="CX922" s="399"/>
      <c r="CY922" s="399"/>
      <c r="CZ922" s="399"/>
      <c r="DA922" s="399"/>
      <c r="DB922" s="399"/>
      <c r="DC922" s="399"/>
      <c r="DD922" s="399"/>
      <c r="DE922" s="399"/>
      <c r="DF922" s="399"/>
      <c r="DG922" s="399"/>
      <c r="DH922" s="399"/>
      <c r="DI922" s="399"/>
      <c r="DJ922" s="399"/>
      <c r="DK922" s="399"/>
      <c r="DL922" s="399"/>
      <c r="DM922" s="399"/>
      <c r="DN922" s="399"/>
      <c r="DO922" s="399"/>
      <c r="DP922" s="399"/>
      <c r="DQ922" s="399"/>
    </row>
    <row r="923" spans="1:121" ht="15" customHeight="1" x14ac:dyDescent="0.25">
      <c r="A923" s="266">
        <f t="shared" si="14"/>
        <v>53.266666666666666</v>
      </c>
      <c r="B923" s="389">
        <v>41258</v>
      </c>
      <c r="C923" s="390" t="s">
        <v>904</v>
      </c>
      <c r="D923" s="391" t="s">
        <v>459</v>
      </c>
      <c r="E923" s="390" t="s">
        <v>380</v>
      </c>
      <c r="F923" s="262" t="s">
        <v>151</v>
      </c>
      <c r="G923" s="262" t="s">
        <v>188</v>
      </c>
      <c r="H923" s="261">
        <v>587</v>
      </c>
      <c r="I923" s="261"/>
      <c r="J923" s="261"/>
      <c r="K923" s="261"/>
      <c r="L923" s="261"/>
      <c r="M923" s="261"/>
      <c r="N923" s="261"/>
      <c r="O923" s="261"/>
      <c r="P923" s="261">
        <v>0</v>
      </c>
      <c r="Q923" s="261">
        <v>0</v>
      </c>
      <c r="R923" s="261"/>
      <c r="S923" s="261"/>
      <c r="T923" s="261"/>
      <c r="U923" s="261"/>
      <c r="V923" s="762"/>
      <c r="W923" s="762"/>
      <c r="X923" s="762"/>
      <c r="Y923" s="264">
        <f>IF(NFI_Expiration=1,IF($A923&lt;VLOOKUP(H$5,NFI,5,0),1,0)*Table_NFI[[#This Row],[Hygiene Kit]],Table_NFI[Hygiene Kit])</f>
        <v>0</v>
      </c>
      <c r="Z923" s="264">
        <f>IF(NFI_Expiration=1,IF($A923&lt;VLOOKUP(I$5,NFI,5,0),1,0)*Table_NFI[[#This Row],[NFI Core Kit]],Table_NFI[NFI Core Kit])</f>
        <v>0</v>
      </c>
      <c r="AA923" s="264">
        <f>IF(NFI_Expiration=1,IF($A923&lt;VLOOKUP(J$5,NFI,5,0),1,0)*Table_NFI[[#This Row],[Sanitary Kit]],Table_NFI[Sanitary Kit])</f>
        <v>0</v>
      </c>
      <c r="AB923" s="264">
        <f>IF(NFI_Expiration=1,IF($A923&lt;VLOOKUP(K$5,NFI,5,0),1,0)*Table_NFI[[#This Row],[Mosquito net]],Table_NFI[Mosquito net])</f>
        <v>0</v>
      </c>
      <c r="AC923" s="264">
        <f>IF(NFI_Expiration=1,IF($A923&lt;VLOOKUP(L$5,NFI,5,0),1,0)*Table_NFI[[#This Row],[Tarpaulin]],Table_NFI[[#This Row],[Tarpaulin]])</f>
        <v>0</v>
      </c>
      <c r="AD923" s="264">
        <f>IF(NFI_Expiration=1,IF($A923&lt;VLOOKUP(M$5,NFI,5,0),1,0)*Table_NFI[[#This Row],[Blanket]],Table_NFI[[#This Row],[Blanket]])</f>
        <v>0</v>
      </c>
      <c r="AE923" s="264">
        <f>IF(NFI_Expiration=1,IF($A923&lt;VLOOKUP(N$5,NFI,5,0),1,0)*Table_NFI[[#This Row],[Kitchen Set]],Table_NFI[Kitchen Set])</f>
        <v>0</v>
      </c>
      <c r="AF923" s="264">
        <f>IF(NFI_Expiration=1,IF($A923&lt;VLOOKUP(O$5,NFI,5,0),1,0)*Table_NFI[[#This Row],[Clothes Kit]],Table_NFI[Clothes Kit])</f>
        <v>0</v>
      </c>
      <c r="AG923" s="264">
        <f>IF(NFI_Expiration=1,IF($A923&lt;VLOOKUP(P$5,NFI,5,0),1,0)*Table_NFI[[#This Row],[Plastic Bucket]],Table_NFI[Plastic Bucket])</f>
        <v>0</v>
      </c>
      <c r="AH923" s="264">
        <f>IF(NFI_Expiration=1,IF($A923&lt;VLOOKUP(Q$5,NFI,5,0),1,0)*Table_NFI[[#This Row],[Plastic Mat]],Table_NFI[Plastic Mat])*IF(Table_NFI[[#This Row],[Distribution Date]]&gt;"2014-04-01",1,2.5)</f>
        <v>0</v>
      </c>
      <c r="AI923" s="264">
        <f>IF(NFI_Expiration=1,IF($A923&lt;VLOOKUP(R$5,NFI,5,0),1,0)*Table_NFI[[#This Row],[Winter Clothes Adult]],Table_NFI[Winter Clothes Adult])</f>
        <v>0</v>
      </c>
      <c r="AJ923" s="264">
        <f>IF(NFI_Expiration=1,IF($A923&lt;VLOOKUP(S$5,NFI,5,0),1,0)*Table_NFI[[#This Row],[Winter Clothes Children]],Table_NFI[Winter Clothes Children])</f>
        <v>0</v>
      </c>
      <c r="AK923" s="264">
        <f>IF(NFI_Expiration=1,IF($A923&lt;VLOOKUP(T$5,NFI,5,0),1,0)*Table_NFI[[#This Row],[Winter Items Other]],Table_NFI[Winter Items Other])</f>
        <v>0</v>
      </c>
      <c r="AL923" s="264">
        <f>IF(NFI_Expiration=1,IF($A923&lt;VLOOKUP(M$5,NFI,5,0),1,0)*Table_NFI[[#This Row],[Winter Blanket]],Table_NFI[[#This Row],[Winter Blanket]])</f>
        <v>0</v>
      </c>
      <c r="AM923" s="264">
        <f>IF(Table_NFI[[#This Row],[Winter Clothes Adult]]+Table_NFI[[#This Row],[Winter Clothes Children]]+Table_NFI[[#This Row],[Winter Items Other]]+Table_NFI[[#This Row],[Winter Blanket]]&gt;0,1,0)</f>
        <v>0</v>
      </c>
      <c r="AN923" s="296">
        <f>IF(NFI_Expiration=1,IF($A923&lt;VLOOKUP(V$5,NFI,5,0),1,0)*Table_NFI[[#This Row],[Jerry Can]],Table_NFI[Jerry Can])</f>
        <v>0</v>
      </c>
      <c r="AO923" s="296">
        <f>IF(NFI_Expiration=1,IF($A923&lt;VLOOKUP(V$5,NFI,5,0),1,0)*Table_NFI[[#This Row],[Shelter Tool kit]],Table_NFI[Shelter Tool kit])</f>
        <v>0</v>
      </c>
      <c r="AP923" s="296">
        <f>IF(NFI_Expiration=1,IF($A923&lt;VLOOKUP(V$5,NFI,5,0),1,0)*Table_NFI[[#This Row],[Tent]],Table_NFI[Tent])</f>
        <v>0</v>
      </c>
      <c r="AQ923" s="396" t="str">
        <f>IFERROR(VLOOKUP(Table_NFI[[#This Row],[Camp Name]],CL,2,0),"")</f>
        <v>MMR001CMP129</v>
      </c>
      <c r="AR923" s="702">
        <f ca="1">IF(Table_NFI[[#This Row],[Pcode]]="","",IF(OFFSET(CampList[Opening Date],MATCH(Table_NFI[[#This Row],[Pcode]],CampList[CP_Pcode],0)-1,0,1,1)&gt;=NFI_Monitor_Date,1,0))</f>
        <v>0</v>
      </c>
      <c r="AS923" s="396" t="str">
        <f>IFERROR(VLOOKUP(Table_NFI[[#This Row],[Camp Name]],CL,3,0),"")</f>
        <v>Open</v>
      </c>
      <c r="AT923" s="264" t="str">
        <f ca="1">IF(Table_NFI[[#This Row],[Pcode]]="","",OFFSET(CampList[Priority],MATCH(Table_NFI[[#This Row],[Pcode]],CampList[CP_Pcode],0)-1,0,1,1))</f>
        <v>P2</v>
      </c>
      <c r="AU923" s="263">
        <f>IFERROR(Table_NFI[[#This Row],[Kitchen Set]]/VLOOKUP(Table_NFI[[#This Row],[Camp Name]],CL,4,0),"")</f>
        <v>0</v>
      </c>
      <c r="AV923" s="390" t="s">
        <v>1087</v>
      </c>
      <c r="AW923" s="392"/>
    </row>
    <row r="924" spans="1:121" s="760" customFormat="1" ht="15" customHeight="1" x14ac:dyDescent="0.25">
      <c r="A924" s="266">
        <f t="shared" si="14"/>
        <v>53.333333333333336</v>
      </c>
      <c r="B924" s="389">
        <v>41256</v>
      </c>
      <c r="C924" s="390" t="s">
        <v>451</v>
      </c>
      <c r="D924" s="391" t="s">
        <v>451</v>
      </c>
      <c r="E924" s="390" t="s">
        <v>380</v>
      </c>
      <c r="F924" s="262" t="s">
        <v>237</v>
      </c>
      <c r="G924" s="262" t="s">
        <v>271</v>
      </c>
      <c r="H924" s="261"/>
      <c r="I924" s="261"/>
      <c r="J924" s="261"/>
      <c r="K924" s="261">
        <v>16</v>
      </c>
      <c r="L924" s="261">
        <v>7</v>
      </c>
      <c r="M924" s="261">
        <v>16</v>
      </c>
      <c r="N924" s="261">
        <v>7</v>
      </c>
      <c r="O924" s="261">
        <v>7</v>
      </c>
      <c r="P924" s="261">
        <v>7</v>
      </c>
      <c r="Q924" s="261">
        <v>7</v>
      </c>
      <c r="R924" s="261"/>
      <c r="S924" s="261"/>
      <c r="T924" s="261"/>
      <c r="U924" s="261"/>
      <c r="V924" s="762"/>
      <c r="W924" s="261"/>
      <c r="X924" s="261"/>
      <c r="Y924" s="264">
        <f>IF(NFI_Expiration=1,IF($A924&lt;VLOOKUP(H$5,NFI,5,0),1,0)*Table_NFI[[#This Row],[Hygiene Kit]],Table_NFI[Hygiene Kit])</f>
        <v>0</v>
      </c>
      <c r="Z924" s="264">
        <f>IF(NFI_Expiration=1,IF($A924&lt;VLOOKUP(I$5,NFI,5,0),1,0)*Table_NFI[[#This Row],[NFI Core Kit]],Table_NFI[NFI Core Kit])</f>
        <v>0</v>
      </c>
      <c r="AA924" s="264">
        <f>IF(NFI_Expiration=1,IF($A924&lt;VLOOKUP(J$5,NFI,5,0),1,0)*Table_NFI[[#This Row],[Sanitary Kit]],Table_NFI[Sanitary Kit])</f>
        <v>0</v>
      </c>
      <c r="AB924" s="264">
        <f>IF(NFI_Expiration=1,IF($A924&lt;VLOOKUP(K$5,NFI,5,0),1,0)*Table_NFI[[#This Row],[Mosquito net]],Table_NFI[Mosquito net])</f>
        <v>0</v>
      </c>
      <c r="AC924" s="264">
        <f>IF(NFI_Expiration=1,IF($A924&lt;VLOOKUP(L$5,NFI,5,0),1,0)*Table_NFI[[#This Row],[Tarpaulin]],Table_NFI[[#This Row],[Tarpaulin]])</f>
        <v>0</v>
      </c>
      <c r="AD924" s="264">
        <f>IF(NFI_Expiration=1,IF($A924&lt;VLOOKUP(M$5,NFI,5,0),1,0)*Table_NFI[[#This Row],[Blanket]],Table_NFI[[#This Row],[Blanket]])</f>
        <v>0</v>
      </c>
      <c r="AE924" s="264">
        <f>IF(NFI_Expiration=1,IF($A924&lt;VLOOKUP(N$5,NFI,5,0),1,0)*Table_NFI[[#This Row],[Kitchen Set]],Table_NFI[Kitchen Set])</f>
        <v>0</v>
      </c>
      <c r="AF924" s="264">
        <f>IF(NFI_Expiration=1,IF($A924&lt;VLOOKUP(O$5,NFI,5,0),1,0)*Table_NFI[[#This Row],[Clothes Kit]],Table_NFI[Clothes Kit])</f>
        <v>0</v>
      </c>
      <c r="AG924" s="264">
        <f>IF(NFI_Expiration=1,IF($A924&lt;VLOOKUP(P$5,NFI,5,0),1,0)*Table_NFI[[#This Row],[Plastic Bucket]],Table_NFI[Plastic Bucket])</f>
        <v>0</v>
      </c>
      <c r="AH924" s="264">
        <f>IF(NFI_Expiration=1,IF($A924&lt;VLOOKUP(Q$5,NFI,5,0),1,0)*Table_NFI[[#This Row],[Plastic Mat]],Table_NFI[Plastic Mat])*IF(Table_NFI[[#This Row],[Distribution Date]]&gt;"2014-04-01",1,2.5)</f>
        <v>0</v>
      </c>
      <c r="AI924" s="264">
        <f>IF(NFI_Expiration=1,IF($A924&lt;VLOOKUP(R$5,NFI,5,0),1,0)*Table_NFI[[#This Row],[Winter Clothes Adult]],Table_NFI[Winter Clothes Adult])</f>
        <v>0</v>
      </c>
      <c r="AJ924" s="264">
        <f>IF(NFI_Expiration=1,IF($A924&lt;VLOOKUP(S$5,NFI,5,0),1,0)*Table_NFI[[#This Row],[Winter Clothes Children]],Table_NFI[Winter Clothes Children])</f>
        <v>0</v>
      </c>
      <c r="AK924" s="264">
        <f>IF(NFI_Expiration=1,IF($A924&lt;VLOOKUP(T$5,NFI,5,0),1,0)*Table_NFI[[#This Row],[Winter Items Other]],Table_NFI[Winter Items Other])</f>
        <v>0</v>
      </c>
      <c r="AL924" s="264">
        <f>IF(NFI_Expiration=1,IF($A924&lt;VLOOKUP(M$5,NFI,5,0),1,0)*Table_NFI[[#This Row],[Winter Blanket]],Table_NFI[[#This Row],[Winter Blanket]])</f>
        <v>0</v>
      </c>
      <c r="AM924" s="264">
        <f>IF(Table_NFI[[#This Row],[Winter Clothes Adult]]+Table_NFI[[#This Row],[Winter Clothes Children]]+Table_NFI[[#This Row],[Winter Items Other]]+Table_NFI[[#This Row],[Winter Blanket]]&gt;0,1,0)</f>
        <v>0</v>
      </c>
      <c r="AN924" s="296">
        <f>IF(NFI_Expiration=1,IF($A924&lt;VLOOKUP(V$5,NFI,5,0),1,0)*Table_NFI[[#This Row],[Jerry Can]],Table_NFI[Jerry Can])</f>
        <v>0</v>
      </c>
      <c r="AO924" s="296">
        <f>IF(NFI_Expiration=1,IF($A924&lt;VLOOKUP(V$5,NFI,5,0),1,0)*Table_NFI[[#This Row],[Shelter Tool kit]],Table_NFI[Shelter Tool kit])</f>
        <v>0</v>
      </c>
      <c r="AP924" s="296">
        <f>IF(NFI_Expiration=1,IF($A924&lt;VLOOKUP(V$5,NFI,5,0),1,0)*Table_NFI[[#This Row],[Tent]],Table_NFI[Tent])</f>
        <v>0</v>
      </c>
      <c r="AQ924" s="396" t="str">
        <f>IFERROR(VLOOKUP(Table_NFI[[#This Row],[Camp Name]],CL,2,0),"")</f>
        <v>MMR001CMP024</v>
      </c>
      <c r="AR924" s="702">
        <f ca="1">IF(Table_NFI[[#This Row],[Pcode]]="","",IF(OFFSET(CampList[Opening Date],MATCH(Table_NFI[[#This Row],[Pcode]],CampList[CP_Pcode],0)-1,0,1,1)&gt;=NFI_Monitor_Date,1,0))</f>
        <v>0</v>
      </c>
      <c r="AS924" s="396" t="str">
        <f>IFERROR(VLOOKUP(Table_NFI[[#This Row],[Camp Name]],CL,3,0),"")</f>
        <v>Open</v>
      </c>
      <c r="AT924" s="264" t="str">
        <f ca="1">IF(Table_NFI[[#This Row],[Pcode]]="","",OFFSET(CampList[Priority],MATCH(Table_NFI[[#This Row],[Pcode]],CampList[CP_Pcode],0)-1,0,1,1))</f>
        <v>P4</v>
      </c>
      <c r="AU924" s="263">
        <f>IFERROR(Table_NFI[[#This Row],[Kitchen Set]]/VLOOKUP(Table_NFI[[#This Row],[Camp Name]],CL,4,0),"")</f>
        <v>1.7111149135886968E-4</v>
      </c>
      <c r="AV924" s="390" t="s">
        <v>1087</v>
      </c>
      <c r="AW924" s="392"/>
      <c r="AX924" s="399"/>
      <c r="AY924" s="399"/>
      <c r="AZ924" s="399"/>
      <c r="BA924" s="399"/>
      <c r="BB924" s="399"/>
      <c r="BC924" s="399"/>
      <c r="BD924" s="399"/>
      <c r="BE924" s="399"/>
      <c r="BF924" s="399"/>
      <c r="BG924" s="399"/>
      <c r="BH924" s="399"/>
      <c r="BI924" s="399"/>
      <c r="BJ924" s="399"/>
      <c r="BK924" s="399"/>
      <c r="BL924" s="399"/>
      <c r="BM924" s="399"/>
      <c r="BN924" s="399"/>
      <c r="BO924" s="399"/>
      <c r="BP924" s="399"/>
      <c r="BQ924" s="399"/>
      <c r="BR924" s="399"/>
      <c r="BS924" s="399"/>
      <c r="BT924" s="399"/>
      <c r="BU924" s="399"/>
      <c r="BV924" s="399"/>
      <c r="BW924" s="399"/>
      <c r="BX924" s="399"/>
      <c r="BY924" s="399"/>
      <c r="BZ924" s="399"/>
      <c r="CA924" s="399"/>
      <c r="CB924" s="399"/>
      <c r="CC924" s="399"/>
      <c r="CD924" s="399"/>
      <c r="CE924" s="399"/>
      <c r="CF924" s="399"/>
      <c r="CG924" s="399"/>
      <c r="CH924" s="399"/>
      <c r="CI924" s="399"/>
      <c r="CJ924" s="399"/>
      <c r="CK924" s="399"/>
      <c r="CL924" s="399"/>
      <c r="CM924" s="399"/>
      <c r="CN924" s="399"/>
      <c r="CO924" s="399"/>
      <c r="CP924" s="399"/>
      <c r="CQ924" s="399"/>
      <c r="CR924" s="399"/>
      <c r="CS924" s="399"/>
      <c r="CT924" s="399"/>
      <c r="CU924" s="399"/>
      <c r="CV924" s="399"/>
      <c r="CW924" s="399"/>
      <c r="CX924" s="399"/>
      <c r="CY924" s="399"/>
      <c r="CZ924" s="399"/>
      <c r="DA924" s="399"/>
      <c r="DB924" s="399"/>
      <c r="DC924" s="399"/>
      <c r="DD924" s="399"/>
      <c r="DE924" s="399"/>
      <c r="DF924" s="399"/>
      <c r="DG924" s="399"/>
      <c r="DH924" s="399"/>
      <c r="DI924" s="399"/>
      <c r="DJ924" s="399"/>
      <c r="DK924" s="399"/>
      <c r="DL924" s="399"/>
      <c r="DM924" s="399"/>
      <c r="DN924" s="399"/>
      <c r="DO924" s="399"/>
      <c r="DP924" s="399"/>
      <c r="DQ924" s="399"/>
    </row>
    <row r="925" spans="1:121" ht="14.45" customHeight="1" x14ac:dyDescent="0.25">
      <c r="A925" s="266">
        <f t="shared" si="14"/>
        <v>53.366666666666667</v>
      </c>
      <c r="B925" s="389">
        <v>41255</v>
      </c>
      <c r="C925" s="390" t="s">
        <v>904</v>
      </c>
      <c r="D925" s="390" t="s">
        <v>904</v>
      </c>
      <c r="E925" s="390" t="s">
        <v>380</v>
      </c>
      <c r="F925" s="390" t="s">
        <v>185</v>
      </c>
      <c r="G925" s="262" t="s">
        <v>196</v>
      </c>
      <c r="H925" s="261">
        <v>5228</v>
      </c>
      <c r="I925" s="261"/>
      <c r="J925" s="261"/>
      <c r="K925" s="261"/>
      <c r="L925" s="261"/>
      <c r="M925" s="261"/>
      <c r="N925" s="261"/>
      <c r="O925" s="261"/>
      <c r="P925" s="261">
        <v>0</v>
      </c>
      <c r="Q925" s="261">
        <v>0</v>
      </c>
      <c r="R925" s="261"/>
      <c r="S925" s="261"/>
      <c r="T925" s="261"/>
      <c r="U925" s="261"/>
      <c r="V925" s="762"/>
      <c r="W925" s="261"/>
      <c r="X925" s="261"/>
      <c r="Y925" s="264">
        <f>IF(NFI_Expiration=1,IF($A925&lt;VLOOKUP(H$5,NFI,5,0),1,0)*Table_NFI[[#This Row],[Hygiene Kit]],Table_NFI[Hygiene Kit])</f>
        <v>0</v>
      </c>
      <c r="Z925" s="264">
        <f>IF(NFI_Expiration=1,IF($A925&lt;VLOOKUP(I$5,NFI,5,0),1,0)*Table_NFI[[#This Row],[NFI Core Kit]],Table_NFI[NFI Core Kit])</f>
        <v>0</v>
      </c>
      <c r="AA925" s="264">
        <f>IF(NFI_Expiration=1,IF($A925&lt;VLOOKUP(J$5,NFI,5,0),1,0)*Table_NFI[[#This Row],[Sanitary Kit]],Table_NFI[Sanitary Kit])</f>
        <v>0</v>
      </c>
      <c r="AB925" s="264">
        <f>IF(NFI_Expiration=1,IF($A925&lt;VLOOKUP(K$5,NFI,5,0),1,0)*Table_NFI[[#This Row],[Mosquito net]],Table_NFI[Mosquito net])</f>
        <v>0</v>
      </c>
      <c r="AC925" s="264">
        <f>IF(NFI_Expiration=1,IF($A925&lt;VLOOKUP(L$5,NFI,5,0),1,0)*Table_NFI[[#This Row],[Tarpaulin]],Table_NFI[[#This Row],[Tarpaulin]])</f>
        <v>0</v>
      </c>
      <c r="AD925" s="264">
        <f>IF(NFI_Expiration=1,IF($A925&lt;VLOOKUP(M$5,NFI,5,0),1,0)*Table_NFI[[#This Row],[Blanket]],Table_NFI[[#This Row],[Blanket]])</f>
        <v>0</v>
      </c>
      <c r="AE925" s="264">
        <f>IF(NFI_Expiration=1,IF($A925&lt;VLOOKUP(N$5,NFI,5,0),1,0)*Table_NFI[[#This Row],[Kitchen Set]],Table_NFI[Kitchen Set])</f>
        <v>0</v>
      </c>
      <c r="AF925" s="264">
        <f>IF(NFI_Expiration=1,IF($A925&lt;VLOOKUP(O$5,NFI,5,0),1,0)*Table_NFI[[#This Row],[Clothes Kit]],Table_NFI[Clothes Kit])</f>
        <v>0</v>
      </c>
      <c r="AG925" s="264">
        <f>IF(NFI_Expiration=1,IF($A925&lt;VLOOKUP(P$5,NFI,5,0),1,0)*Table_NFI[[#This Row],[Plastic Bucket]],Table_NFI[Plastic Bucket])</f>
        <v>0</v>
      </c>
      <c r="AH925" s="264">
        <f>IF(NFI_Expiration=1,IF($A925&lt;VLOOKUP(Q$5,NFI,5,0),1,0)*Table_NFI[[#This Row],[Plastic Mat]],Table_NFI[Plastic Mat])*IF(Table_NFI[[#This Row],[Distribution Date]]&gt;"2014-04-01",1,2.5)</f>
        <v>0</v>
      </c>
      <c r="AI925" s="264">
        <f>IF(NFI_Expiration=1,IF($A925&lt;VLOOKUP(R$5,NFI,5,0),1,0)*Table_NFI[[#This Row],[Winter Clothes Adult]],Table_NFI[Winter Clothes Adult])</f>
        <v>0</v>
      </c>
      <c r="AJ925" s="264">
        <f>IF(NFI_Expiration=1,IF($A925&lt;VLOOKUP(S$5,NFI,5,0),1,0)*Table_NFI[[#This Row],[Winter Clothes Children]],Table_NFI[Winter Clothes Children])</f>
        <v>0</v>
      </c>
      <c r="AK925" s="264">
        <f>IF(NFI_Expiration=1,IF($A925&lt;VLOOKUP(T$5,NFI,5,0),1,0)*Table_NFI[[#This Row],[Winter Items Other]],Table_NFI[Winter Items Other])</f>
        <v>0</v>
      </c>
      <c r="AL925" s="264">
        <f>IF(NFI_Expiration=1,IF($A925&lt;VLOOKUP(M$5,NFI,5,0),1,0)*Table_NFI[[#This Row],[Winter Blanket]],Table_NFI[[#This Row],[Winter Blanket]])</f>
        <v>0</v>
      </c>
      <c r="AM925" s="264">
        <f>IF(Table_NFI[[#This Row],[Winter Clothes Adult]]+Table_NFI[[#This Row],[Winter Clothes Children]]+Table_NFI[[#This Row],[Winter Items Other]]+Table_NFI[[#This Row],[Winter Blanket]]&gt;0,1,0)</f>
        <v>0</v>
      </c>
      <c r="AN925" s="296">
        <f>IF(NFI_Expiration=1,IF($A925&lt;VLOOKUP(V$5,NFI,5,0),1,0)*Table_NFI[[#This Row],[Jerry Can]],Table_NFI[Jerry Can])</f>
        <v>0</v>
      </c>
      <c r="AO925" s="296">
        <f>IF(NFI_Expiration=1,IF($A925&lt;VLOOKUP(V$5,NFI,5,0),1,0)*Table_NFI[[#This Row],[Shelter Tool kit]],Table_NFI[Shelter Tool kit])</f>
        <v>0</v>
      </c>
      <c r="AP925" s="296">
        <f>IF(NFI_Expiration=1,IF($A925&lt;VLOOKUP(V$5,NFI,5,0),1,0)*Table_NFI[[#This Row],[Tent]],Table_NFI[Tent])</f>
        <v>0</v>
      </c>
      <c r="AQ925" s="396" t="str">
        <f>IFERROR(VLOOKUP(Table_NFI[[#This Row],[Camp Name]],CL,2,0),"")</f>
        <v>MMR001CMP121</v>
      </c>
      <c r="AR925" s="702">
        <f ca="1">IF(Table_NFI[[#This Row],[Pcode]]="","",IF(OFFSET(CampList[Opening Date],MATCH(Table_NFI[[#This Row],[Pcode]],CampList[CP_Pcode],0)-1,0,1,1)&gt;=NFI_Monitor_Date,1,0))</f>
        <v>0</v>
      </c>
      <c r="AS925" s="396" t="str">
        <f>IFERROR(VLOOKUP(Table_NFI[[#This Row],[Camp Name]],CL,3,0),"")</f>
        <v>Open</v>
      </c>
      <c r="AT925" s="264" t="str">
        <f ca="1">IF(Table_NFI[[#This Row],[Pcode]]="","",OFFSET(CampList[Priority],MATCH(Table_NFI[[#This Row],[Pcode]],CampList[CP_Pcode],0)-1,0,1,1))</f>
        <v>P2</v>
      </c>
      <c r="AU925" s="263">
        <f>IFERROR(Table_NFI[[#This Row],[Kitchen Set]]/VLOOKUP(Table_NFI[[#This Row],[Camp Name]],CL,4,0),"")</f>
        <v>0</v>
      </c>
      <c r="AV925" s="390" t="s">
        <v>1087</v>
      </c>
      <c r="AW925" s="392"/>
    </row>
    <row r="926" spans="1:121" ht="14.45" customHeight="1" x14ac:dyDescent="0.25">
      <c r="A926" s="266">
        <f t="shared" si="14"/>
        <v>53.4</v>
      </c>
      <c r="B926" s="389">
        <v>41254</v>
      </c>
      <c r="C926" s="390" t="s">
        <v>904</v>
      </c>
      <c r="D926" s="391" t="s">
        <v>904</v>
      </c>
      <c r="E926" s="390" t="s">
        <v>380</v>
      </c>
      <c r="F926" s="262" t="s">
        <v>185</v>
      </c>
      <c r="G926" s="262" t="s">
        <v>194</v>
      </c>
      <c r="H926" s="261">
        <v>1658</v>
      </c>
      <c r="I926" s="763"/>
      <c r="J926" s="261"/>
      <c r="K926" s="261"/>
      <c r="L926" s="261"/>
      <c r="M926" s="261"/>
      <c r="N926" s="261"/>
      <c r="O926" s="261"/>
      <c r="P926" s="261">
        <v>0</v>
      </c>
      <c r="Q926" s="261">
        <v>0</v>
      </c>
      <c r="R926" s="261"/>
      <c r="S926" s="261"/>
      <c r="T926" s="261"/>
      <c r="U926" s="261"/>
      <c r="V926" s="762"/>
      <c r="W926" s="261"/>
      <c r="X926" s="261"/>
      <c r="Y926" s="264">
        <f>IF(NFI_Expiration=1,IF($A926&lt;VLOOKUP(H$5,NFI,5,0),1,0)*Table_NFI[[#This Row],[Hygiene Kit]],Table_NFI[Hygiene Kit])</f>
        <v>0</v>
      </c>
      <c r="Z926" s="264">
        <f>IF(NFI_Expiration=1,IF($A926&lt;VLOOKUP(I$5,NFI,5,0),1,0)*Table_NFI[[#This Row],[NFI Core Kit]],Table_NFI[NFI Core Kit])</f>
        <v>0</v>
      </c>
      <c r="AA926" s="264">
        <f>IF(NFI_Expiration=1,IF($A926&lt;VLOOKUP(J$5,NFI,5,0),1,0)*Table_NFI[[#This Row],[Sanitary Kit]],Table_NFI[Sanitary Kit])</f>
        <v>0</v>
      </c>
      <c r="AB926" s="264">
        <f>IF(NFI_Expiration=1,IF($A926&lt;VLOOKUP(K$5,NFI,5,0),1,0)*Table_NFI[[#This Row],[Mosquito net]],Table_NFI[Mosquito net])</f>
        <v>0</v>
      </c>
      <c r="AC926" s="264">
        <f>IF(NFI_Expiration=1,IF($A926&lt;VLOOKUP(L$5,NFI,5,0),1,0)*Table_NFI[[#This Row],[Tarpaulin]],Table_NFI[[#This Row],[Tarpaulin]])</f>
        <v>0</v>
      </c>
      <c r="AD926" s="264">
        <f>IF(NFI_Expiration=1,IF($A926&lt;VLOOKUP(M$5,NFI,5,0),1,0)*Table_NFI[[#This Row],[Blanket]],Table_NFI[[#This Row],[Blanket]])</f>
        <v>0</v>
      </c>
      <c r="AE926" s="264">
        <f>IF(NFI_Expiration=1,IF($A926&lt;VLOOKUP(N$5,NFI,5,0),1,0)*Table_NFI[[#This Row],[Kitchen Set]],Table_NFI[Kitchen Set])</f>
        <v>0</v>
      </c>
      <c r="AF926" s="264">
        <f>IF(NFI_Expiration=1,IF($A926&lt;VLOOKUP(O$5,NFI,5,0),1,0)*Table_NFI[[#This Row],[Clothes Kit]],Table_NFI[Clothes Kit])</f>
        <v>0</v>
      </c>
      <c r="AG926" s="264">
        <f>IF(NFI_Expiration=1,IF($A926&lt;VLOOKUP(P$5,NFI,5,0),1,0)*Table_NFI[[#This Row],[Plastic Bucket]],Table_NFI[Plastic Bucket])</f>
        <v>0</v>
      </c>
      <c r="AH926" s="264">
        <f>IF(NFI_Expiration=1,IF($A926&lt;VLOOKUP(Q$5,NFI,5,0),1,0)*Table_NFI[[#This Row],[Plastic Mat]],Table_NFI[Plastic Mat])*IF(Table_NFI[[#This Row],[Distribution Date]]&gt;"2014-04-01",1,2.5)</f>
        <v>0</v>
      </c>
      <c r="AI926" s="264">
        <f>IF(NFI_Expiration=1,IF($A926&lt;VLOOKUP(R$5,NFI,5,0),1,0)*Table_NFI[[#This Row],[Winter Clothes Adult]],Table_NFI[Winter Clothes Adult])</f>
        <v>0</v>
      </c>
      <c r="AJ926" s="264">
        <f>IF(NFI_Expiration=1,IF($A926&lt;VLOOKUP(S$5,NFI,5,0),1,0)*Table_NFI[[#This Row],[Winter Clothes Children]],Table_NFI[Winter Clothes Children])</f>
        <v>0</v>
      </c>
      <c r="AK926" s="264">
        <f>IF(NFI_Expiration=1,IF($A926&lt;VLOOKUP(T$5,NFI,5,0),1,0)*Table_NFI[[#This Row],[Winter Items Other]],Table_NFI[Winter Items Other])</f>
        <v>0</v>
      </c>
      <c r="AL926" s="264">
        <f>IF(NFI_Expiration=1,IF($A926&lt;VLOOKUP(M$5,NFI,5,0),1,0)*Table_NFI[[#This Row],[Winter Blanket]],Table_NFI[[#This Row],[Winter Blanket]])</f>
        <v>0</v>
      </c>
      <c r="AM926" s="264">
        <f>IF(Table_NFI[[#This Row],[Winter Clothes Adult]]+Table_NFI[[#This Row],[Winter Clothes Children]]+Table_NFI[[#This Row],[Winter Items Other]]+Table_NFI[[#This Row],[Winter Blanket]]&gt;0,1,0)</f>
        <v>0</v>
      </c>
      <c r="AN926" s="296">
        <f>IF(NFI_Expiration=1,IF($A926&lt;VLOOKUP(V$5,NFI,5,0),1,0)*Table_NFI[[#This Row],[Jerry Can]],Table_NFI[Jerry Can])</f>
        <v>0</v>
      </c>
      <c r="AO926" s="296">
        <f>IF(NFI_Expiration=1,IF($A926&lt;VLOOKUP(V$5,NFI,5,0),1,0)*Table_NFI[[#This Row],[Shelter Tool kit]],Table_NFI[Shelter Tool kit])</f>
        <v>0</v>
      </c>
      <c r="AP926" s="296">
        <f>IF(NFI_Expiration=1,IF($A926&lt;VLOOKUP(V$5,NFI,5,0),1,0)*Table_NFI[[#This Row],[Tent]],Table_NFI[Tent])</f>
        <v>0</v>
      </c>
      <c r="AQ926" s="396" t="str">
        <f>IFERROR(VLOOKUP(Table_NFI[[#This Row],[Camp Name]],CL,2,0),"")</f>
        <v>MMR001CMP122</v>
      </c>
      <c r="AR926" s="702">
        <f ca="1">IF(Table_NFI[[#This Row],[Pcode]]="","",IF(OFFSET(CampList[Opening Date],MATCH(Table_NFI[[#This Row],[Pcode]],CampList[CP_Pcode],0)-1,0,1,1)&gt;=NFI_Monitor_Date,1,0))</f>
        <v>0</v>
      </c>
      <c r="AS926" s="396" t="str">
        <f>IFERROR(VLOOKUP(Table_NFI[[#This Row],[Camp Name]],CL,3,0),"")</f>
        <v>Open</v>
      </c>
      <c r="AT926" s="264" t="str">
        <f ca="1">IF(Table_NFI[[#This Row],[Pcode]]="","",OFFSET(CampList[Priority],MATCH(Table_NFI[[#This Row],[Pcode]],CampList[CP_Pcode],0)-1,0,1,1))</f>
        <v>P2</v>
      </c>
      <c r="AU926" s="263">
        <f>IFERROR(Table_NFI[[#This Row],[Kitchen Set]]/VLOOKUP(Table_NFI[[#This Row],[Camp Name]],CL,4,0),"")</f>
        <v>0</v>
      </c>
      <c r="AV926" s="390" t="s">
        <v>1087</v>
      </c>
      <c r="AW926" s="392"/>
    </row>
    <row r="927" spans="1:121" ht="14.45" customHeight="1" x14ac:dyDescent="0.25">
      <c r="A927" s="266">
        <f t="shared" si="14"/>
        <v>53.43333333333333</v>
      </c>
      <c r="B927" s="389">
        <v>41253</v>
      </c>
      <c r="C927" s="390" t="s">
        <v>904</v>
      </c>
      <c r="D927" s="391" t="s">
        <v>459</v>
      </c>
      <c r="E927" s="390" t="s">
        <v>380</v>
      </c>
      <c r="F927" s="262" t="s">
        <v>310</v>
      </c>
      <c r="G927" s="262" t="s">
        <v>353</v>
      </c>
      <c r="H927" s="261">
        <v>4285</v>
      </c>
      <c r="I927" s="763"/>
      <c r="J927" s="261"/>
      <c r="K927" s="261"/>
      <c r="L927" s="261"/>
      <c r="M927" s="261"/>
      <c r="N927" s="261"/>
      <c r="O927" s="261"/>
      <c r="P927" s="261">
        <v>0</v>
      </c>
      <c r="Q927" s="261">
        <v>0</v>
      </c>
      <c r="R927" s="261"/>
      <c r="S927" s="261"/>
      <c r="T927" s="261"/>
      <c r="U927" s="261"/>
      <c r="V927" s="762"/>
      <c r="W927" s="261"/>
      <c r="X927" s="261"/>
      <c r="Y927" s="264">
        <f>IF(NFI_Expiration=1,IF($A927&lt;VLOOKUP(H$5,NFI,5,0),1,0)*Table_NFI[[#This Row],[Hygiene Kit]],Table_NFI[Hygiene Kit])</f>
        <v>0</v>
      </c>
      <c r="Z927" s="264">
        <f>IF(NFI_Expiration=1,IF($A927&lt;VLOOKUP(I$5,NFI,5,0),1,0)*Table_NFI[[#This Row],[NFI Core Kit]],Table_NFI[NFI Core Kit])</f>
        <v>0</v>
      </c>
      <c r="AA927" s="264">
        <f>IF(NFI_Expiration=1,IF($A927&lt;VLOOKUP(J$5,NFI,5,0),1,0)*Table_NFI[[#This Row],[Sanitary Kit]],Table_NFI[Sanitary Kit])</f>
        <v>0</v>
      </c>
      <c r="AB927" s="264">
        <f>IF(NFI_Expiration=1,IF($A927&lt;VLOOKUP(K$5,NFI,5,0),1,0)*Table_NFI[[#This Row],[Mosquito net]],Table_NFI[Mosquito net])</f>
        <v>0</v>
      </c>
      <c r="AC927" s="264">
        <f>IF(NFI_Expiration=1,IF($A927&lt;VLOOKUP(L$5,NFI,5,0),1,0)*Table_NFI[[#This Row],[Tarpaulin]],Table_NFI[[#This Row],[Tarpaulin]])</f>
        <v>0</v>
      </c>
      <c r="AD927" s="264">
        <f>IF(NFI_Expiration=1,IF($A927&lt;VLOOKUP(M$5,NFI,5,0),1,0)*Table_NFI[[#This Row],[Blanket]],Table_NFI[[#This Row],[Blanket]])</f>
        <v>0</v>
      </c>
      <c r="AE927" s="264">
        <f>IF(NFI_Expiration=1,IF($A927&lt;VLOOKUP(N$5,NFI,5,0),1,0)*Table_NFI[[#This Row],[Kitchen Set]],Table_NFI[Kitchen Set])</f>
        <v>0</v>
      </c>
      <c r="AF927" s="264">
        <f>IF(NFI_Expiration=1,IF($A927&lt;VLOOKUP(O$5,NFI,5,0),1,0)*Table_NFI[[#This Row],[Clothes Kit]],Table_NFI[Clothes Kit])</f>
        <v>0</v>
      </c>
      <c r="AG927" s="264">
        <f>IF(NFI_Expiration=1,IF($A927&lt;VLOOKUP(P$5,NFI,5,0),1,0)*Table_NFI[[#This Row],[Plastic Bucket]],Table_NFI[Plastic Bucket])</f>
        <v>0</v>
      </c>
      <c r="AH927" s="264">
        <f>IF(NFI_Expiration=1,IF($A927&lt;VLOOKUP(Q$5,NFI,5,0),1,0)*Table_NFI[[#This Row],[Plastic Mat]],Table_NFI[Plastic Mat])*IF(Table_NFI[[#This Row],[Distribution Date]]&gt;"2014-04-01",1,2.5)</f>
        <v>0</v>
      </c>
      <c r="AI927" s="264">
        <f>IF(NFI_Expiration=1,IF($A927&lt;VLOOKUP(R$5,NFI,5,0),1,0)*Table_NFI[[#This Row],[Winter Clothes Adult]],Table_NFI[Winter Clothes Adult])</f>
        <v>0</v>
      </c>
      <c r="AJ927" s="264">
        <f>IF(NFI_Expiration=1,IF($A927&lt;VLOOKUP(S$5,NFI,5,0),1,0)*Table_NFI[[#This Row],[Winter Clothes Children]],Table_NFI[Winter Clothes Children])</f>
        <v>0</v>
      </c>
      <c r="AK927" s="264">
        <f>IF(NFI_Expiration=1,IF($A927&lt;VLOOKUP(T$5,NFI,5,0),1,0)*Table_NFI[[#This Row],[Winter Items Other]],Table_NFI[Winter Items Other])</f>
        <v>0</v>
      </c>
      <c r="AL927" s="264">
        <f>IF(NFI_Expiration=1,IF($A927&lt;VLOOKUP(M$5,NFI,5,0),1,0)*Table_NFI[[#This Row],[Winter Blanket]],Table_NFI[[#This Row],[Winter Blanket]])</f>
        <v>0</v>
      </c>
      <c r="AM927" s="264">
        <f>IF(Table_NFI[[#This Row],[Winter Clothes Adult]]+Table_NFI[[#This Row],[Winter Clothes Children]]+Table_NFI[[#This Row],[Winter Items Other]]+Table_NFI[[#This Row],[Winter Blanket]]&gt;0,1,0)</f>
        <v>0</v>
      </c>
      <c r="AN927" s="296">
        <f>IF(NFI_Expiration=1,IF($A927&lt;VLOOKUP(V$5,NFI,5,0),1,0)*Table_NFI[[#This Row],[Jerry Can]],Table_NFI[Jerry Can])</f>
        <v>0</v>
      </c>
      <c r="AO927" s="296">
        <f>IF(NFI_Expiration=1,IF($A927&lt;VLOOKUP(V$5,NFI,5,0),1,0)*Table_NFI[[#This Row],[Shelter Tool kit]],Table_NFI[Shelter Tool kit])</f>
        <v>0</v>
      </c>
      <c r="AP927" s="296">
        <f>IF(NFI_Expiration=1,IF($A927&lt;VLOOKUP(V$5,NFI,5,0),1,0)*Table_NFI[[#This Row],[Tent]],Table_NFI[Tent])</f>
        <v>0</v>
      </c>
      <c r="AQ927" s="396" t="str">
        <f>IFERROR(VLOOKUP(Table_NFI[[#This Row],[Camp Name]],CL,2,0),"")</f>
        <v>MMR001CMP116</v>
      </c>
      <c r="AR927" s="702">
        <f ca="1">IF(Table_NFI[[#This Row],[Pcode]]="","",IF(OFFSET(CampList[Opening Date],MATCH(Table_NFI[[#This Row],[Pcode]],CampList[CP_Pcode],0)-1,0,1,1)&gt;=NFI_Monitor_Date,1,0))</f>
        <v>0</v>
      </c>
      <c r="AS927" s="396" t="str">
        <f>IFERROR(VLOOKUP(Table_NFI[[#This Row],[Camp Name]],CL,3,0),"")</f>
        <v>Open</v>
      </c>
      <c r="AT927" s="264" t="str">
        <f ca="1">IF(Table_NFI[[#This Row],[Pcode]]="","",OFFSET(CampList[Priority],MATCH(Table_NFI[[#This Row],[Pcode]],CampList[CP_Pcode],0)-1,0,1,1))</f>
        <v>P4</v>
      </c>
      <c r="AU927" s="263">
        <f>IFERROR(Table_NFI[[#This Row],[Kitchen Set]]/VLOOKUP(Table_NFI[[#This Row],[Camp Name]],CL,4,0),"")</f>
        <v>0</v>
      </c>
      <c r="AV927" s="390" t="s">
        <v>1087</v>
      </c>
      <c r="AW927" s="392"/>
    </row>
    <row r="928" spans="1:121" ht="14.45" customHeight="1" x14ac:dyDescent="0.25">
      <c r="A928" s="266">
        <f t="shared" si="14"/>
        <v>53.5</v>
      </c>
      <c r="B928" s="389">
        <v>41251</v>
      </c>
      <c r="C928" s="390" t="s">
        <v>904</v>
      </c>
      <c r="D928" s="391" t="s">
        <v>459</v>
      </c>
      <c r="E928" s="390" t="s">
        <v>380</v>
      </c>
      <c r="F928" s="262" t="s">
        <v>310</v>
      </c>
      <c r="G928" s="262" t="s">
        <v>1236</v>
      </c>
      <c r="H928" s="261">
        <v>1690</v>
      </c>
      <c r="I928" s="261"/>
      <c r="J928" s="261"/>
      <c r="K928" s="261"/>
      <c r="L928" s="261"/>
      <c r="M928" s="261"/>
      <c r="N928" s="261"/>
      <c r="O928" s="261"/>
      <c r="P928" s="261">
        <v>0</v>
      </c>
      <c r="Q928" s="261">
        <v>0</v>
      </c>
      <c r="R928" s="261"/>
      <c r="S928" s="261"/>
      <c r="T928" s="261"/>
      <c r="U928" s="261"/>
      <c r="V928" s="762"/>
      <c r="W928" s="261"/>
      <c r="X928" s="261"/>
      <c r="Y928" s="264">
        <f>IF(NFI_Expiration=1,IF($A928&lt;VLOOKUP(H$5,NFI,5,0),1,0)*Table_NFI[[#This Row],[Hygiene Kit]],Table_NFI[Hygiene Kit])</f>
        <v>0</v>
      </c>
      <c r="Z928" s="264">
        <f>IF(NFI_Expiration=1,IF($A928&lt;VLOOKUP(I$5,NFI,5,0),1,0)*Table_NFI[[#This Row],[NFI Core Kit]],Table_NFI[NFI Core Kit])</f>
        <v>0</v>
      </c>
      <c r="AA928" s="264">
        <f>IF(NFI_Expiration=1,IF($A928&lt;VLOOKUP(J$5,NFI,5,0),1,0)*Table_NFI[[#This Row],[Sanitary Kit]],Table_NFI[Sanitary Kit])</f>
        <v>0</v>
      </c>
      <c r="AB928" s="264">
        <f>IF(NFI_Expiration=1,IF($A928&lt;VLOOKUP(K$5,NFI,5,0),1,0)*Table_NFI[[#This Row],[Mosquito net]],Table_NFI[Mosquito net])</f>
        <v>0</v>
      </c>
      <c r="AC928" s="264">
        <f>IF(NFI_Expiration=1,IF($A928&lt;VLOOKUP(L$5,NFI,5,0),1,0)*Table_NFI[[#This Row],[Tarpaulin]],Table_NFI[[#This Row],[Tarpaulin]])</f>
        <v>0</v>
      </c>
      <c r="AD928" s="264">
        <f>IF(NFI_Expiration=1,IF($A928&lt;VLOOKUP(M$5,NFI,5,0),1,0)*Table_NFI[[#This Row],[Blanket]],Table_NFI[[#This Row],[Blanket]])</f>
        <v>0</v>
      </c>
      <c r="AE928" s="264">
        <f>IF(NFI_Expiration=1,IF($A928&lt;VLOOKUP(N$5,NFI,5,0),1,0)*Table_NFI[[#This Row],[Kitchen Set]],Table_NFI[Kitchen Set])</f>
        <v>0</v>
      </c>
      <c r="AF928" s="264">
        <f>IF(NFI_Expiration=1,IF($A928&lt;VLOOKUP(O$5,NFI,5,0),1,0)*Table_NFI[[#This Row],[Clothes Kit]],Table_NFI[Clothes Kit])</f>
        <v>0</v>
      </c>
      <c r="AG928" s="264">
        <f>IF(NFI_Expiration=1,IF($A928&lt;VLOOKUP(P$5,NFI,5,0),1,0)*Table_NFI[[#This Row],[Plastic Bucket]],Table_NFI[Plastic Bucket])</f>
        <v>0</v>
      </c>
      <c r="AH928" s="264">
        <f>IF(NFI_Expiration=1,IF($A928&lt;VLOOKUP(Q$5,NFI,5,0),1,0)*Table_NFI[[#This Row],[Plastic Mat]],Table_NFI[Plastic Mat])*IF(Table_NFI[[#This Row],[Distribution Date]]&gt;"2014-04-01",1,2.5)</f>
        <v>0</v>
      </c>
      <c r="AI928" s="264">
        <f>IF(NFI_Expiration=1,IF($A928&lt;VLOOKUP(R$5,NFI,5,0),1,0)*Table_NFI[[#This Row],[Winter Clothes Adult]],Table_NFI[Winter Clothes Adult])</f>
        <v>0</v>
      </c>
      <c r="AJ928" s="264">
        <f>IF(NFI_Expiration=1,IF($A928&lt;VLOOKUP(S$5,NFI,5,0),1,0)*Table_NFI[[#This Row],[Winter Clothes Children]],Table_NFI[Winter Clothes Children])</f>
        <v>0</v>
      </c>
      <c r="AK928" s="264">
        <f>IF(NFI_Expiration=1,IF($A928&lt;VLOOKUP(T$5,NFI,5,0),1,0)*Table_NFI[[#This Row],[Winter Items Other]],Table_NFI[Winter Items Other])</f>
        <v>0</v>
      </c>
      <c r="AL928" s="264">
        <f>IF(NFI_Expiration=1,IF($A928&lt;VLOOKUP(M$5,NFI,5,0),1,0)*Table_NFI[[#This Row],[Winter Blanket]],Table_NFI[[#This Row],[Winter Blanket]])</f>
        <v>0</v>
      </c>
      <c r="AM928" s="264">
        <f>IF(Table_NFI[[#This Row],[Winter Clothes Adult]]+Table_NFI[[#This Row],[Winter Clothes Children]]+Table_NFI[[#This Row],[Winter Items Other]]+Table_NFI[[#This Row],[Winter Blanket]]&gt;0,1,0)</f>
        <v>0</v>
      </c>
      <c r="AN928" s="296">
        <f>IF(NFI_Expiration=1,IF($A928&lt;VLOOKUP(V$5,NFI,5,0),1,0)*Table_NFI[[#This Row],[Jerry Can]],Table_NFI[Jerry Can])</f>
        <v>0</v>
      </c>
      <c r="AO928" s="296">
        <f>IF(NFI_Expiration=1,IF($A928&lt;VLOOKUP(V$5,NFI,5,0),1,0)*Table_NFI[[#This Row],[Shelter Tool kit]],Table_NFI[Shelter Tool kit])</f>
        <v>0</v>
      </c>
      <c r="AP928" s="296">
        <f>IF(NFI_Expiration=1,IF($A928&lt;VLOOKUP(V$5,NFI,5,0),1,0)*Table_NFI[[#This Row],[Tent]],Table_NFI[Tent])</f>
        <v>0</v>
      </c>
      <c r="AQ928" s="396" t="str">
        <f>IFERROR(VLOOKUP(Table_NFI[[#This Row],[Camp Name]],CL,2,0),"")</f>
        <v>MMR001CMP117</v>
      </c>
      <c r="AR928" s="702">
        <f ca="1">IF(Table_NFI[[#This Row],[Pcode]]="","",IF(OFFSET(CampList[Opening Date],MATCH(Table_NFI[[#This Row],[Pcode]],CampList[CP_Pcode],0)-1,0,1,1)&gt;=NFI_Monitor_Date,1,0))</f>
        <v>0</v>
      </c>
      <c r="AS928" s="396" t="str">
        <f>IFERROR(VLOOKUP(Table_NFI[[#This Row],[Camp Name]],CL,3,0),"")</f>
        <v>Closed</v>
      </c>
      <c r="AT928" s="264" t="str">
        <f ca="1">IF(Table_NFI[[#This Row],[Pcode]]="","",OFFSET(CampList[Priority],MATCH(Table_NFI[[#This Row],[Pcode]],CampList[CP_Pcode],0)-1,0,1,1))</f>
        <v>P2</v>
      </c>
      <c r="AU928" s="263">
        <f>IFERROR(Table_NFI[[#This Row],[Kitchen Set]]/VLOOKUP(Table_NFI[[#This Row],[Camp Name]],CL,4,0),"")</f>
        <v>0</v>
      </c>
      <c r="AV928" s="390" t="s">
        <v>1087</v>
      </c>
      <c r="AW928" s="392"/>
    </row>
    <row r="929" spans="1:121" ht="14.45" customHeight="1" x14ac:dyDescent="0.25">
      <c r="A929" s="266">
        <f t="shared" si="14"/>
        <v>54.366666666666667</v>
      </c>
      <c r="B929" s="389">
        <v>41225</v>
      </c>
      <c r="C929" s="390" t="s">
        <v>451</v>
      </c>
      <c r="D929" s="391" t="s">
        <v>451</v>
      </c>
      <c r="E929" s="390" t="s">
        <v>380</v>
      </c>
      <c r="F929" s="262" t="s">
        <v>310</v>
      </c>
      <c r="G929" s="262" t="s">
        <v>318</v>
      </c>
      <c r="H929" s="261"/>
      <c r="I929" s="261"/>
      <c r="J929" s="261"/>
      <c r="K929" s="261">
        <v>12</v>
      </c>
      <c r="L929" s="261">
        <v>12</v>
      </c>
      <c r="M929" s="261">
        <v>12</v>
      </c>
      <c r="N929" s="261">
        <v>5</v>
      </c>
      <c r="O929" s="261">
        <v>5</v>
      </c>
      <c r="P929" s="261">
        <v>5</v>
      </c>
      <c r="Q929" s="261">
        <v>5</v>
      </c>
      <c r="R929" s="261"/>
      <c r="S929" s="261"/>
      <c r="T929" s="261"/>
      <c r="U929" s="261"/>
      <c r="V929" s="762"/>
      <c r="W929" s="261"/>
      <c r="X929" s="261"/>
      <c r="Y929" s="264">
        <f>IF(NFI_Expiration=1,IF($A929&lt;VLOOKUP(H$5,NFI,5,0),1,0)*Table_NFI[[#This Row],[Hygiene Kit]],Table_NFI[Hygiene Kit])</f>
        <v>0</v>
      </c>
      <c r="Z929" s="264">
        <f>IF(NFI_Expiration=1,IF($A929&lt;VLOOKUP(I$5,NFI,5,0),1,0)*Table_NFI[[#This Row],[NFI Core Kit]],Table_NFI[NFI Core Kit])</f>
        <v>0</v>
      </c>
      <c r="AA929" s="264">
        <f>IF(NFI_Expiration=1,IF($A929&lt;VLOOKUP(J$5,NFI,5,0),1,0)*Table_NFI[[#This Row],[Sanitary Kit]],Table_NFI[Sanitary Kit])</f>
        <v>0</v>
      </c>
      <c r="AB929" s="264">
        <f>IF(NFI_Expiration=1,IF($A929&lt;VLOOKUP(K$5,NFI,5,0),1,0)*Table_NFI[[#This Row],[Mosquito net]],Table_NFI[Mosquito net])</f>
        <v>0</v>
      </c>
      <c r="AC929" s="264">
        <f>IF(NFI_Expiration=1,IF($A929&lt;VLOOKUP(L$5,NFI,5,0),1,0)*Table_NFI[[#This Row],[Tarpaulin]],Table_NFI[[#This Row],[Tarpaulin]])</f>
        <v>0</v>
      </c>
      <c r="AD929" s="264">
        <f>IF(NFI_Expiration=1,IF($A929&lt;VLOOKUP(M$5,NFI,5,0),1,0)*Table_NFI[[#This Row],[Blanket]],Table_NFI[[#This Row],[Blanket]])</f>
        <v>0</v>
      </c>
      <c r="AE929" s="264">
        <f>IF(NFI_Expiration=1,IF($A929&lt;VLOOKUP(N$5,NFI,5,0),1,0)*Table_NFI[[#This Row],[Kitchen Set]],Table_NFI[Kitchen Set])</f>
        <v>0</v>
      </c>
      <c r="AF929" s="264">
        <f>IF(NFI_Expiration=1,IF($A929&lt;VLOOKUP(O$5,NFI,5,0),1,0)*Table_NFI[[#This Row],[Clothes Kit]],Table_NFI[Clothes Kit])</f>
        <v>0</v>
      </c>
      <c r="AG929" s="264">
        <f>IF(NFI_Expiration=1,IF($A929&lt;VLOOKUP(P$5,NFI,5,0),1,0)*Table_NFI[[#This Row],[Plastic Bucket]],Table_NFI[Plastic Bucket])</f>
        <v>0</v>
      </c>
      <c r="AH929" s="264">
        <f>IF(NFI_Expiration=1,IF($A929&lt;VLOOKUP(Q$5,NFI,5,0),1,0)*Table_NFI[[#This Row],[Plastic Mat]],Table_NFI[Plastic Mat])*IF(Table_NFI[[#This Row],[Distribution Date]]&gt;"2014-04-01",1,2.5)</f>
        <v>0</v>
      </c>
      <c r="AI929" s="264">
        <f>IF(NFI_Expiration=1,IF($A929&lt;VLOOKUP(R$5,NFI,5,0),1,0)*Table_NFI[[#This Row],[Winter Clothes Adult]],Table_NFI[Winter Clothes Adult])</f>
        <v>0</v>
      </c>
      <c r="AJ929" s="264">
        <f>IF(NFI_Expiration=1,IF($A929&lt;VLOOKUP(S$5,NFI,5,0),1,0)*Table_NFI[[#This Row],[Winter Clothes Children]],Table_NFI[Winter Clothes Children])</f>
        <v>0</v>
      </c>
      <c r="AK929" s="264">
        <f>IF(NFI_Expiration=1,IF($A929&lt;VLOOKUP(T$5,NFI,5,0),1,0)*Table_NFI[[#This Row],[Winter Items Other]],Table_NFI[Winter Items Other])</f>
        <v>0</v>
      </c>
      <c r="AL929" s="264">
        <f>IF(NFI_Expiration=1,IF($A929&lt;VLOOKUP(M$5,NFI,5,0),1,0)*Table_NFI[[#This Row],[Winter Blanket]],Table_NFI[[#This Row],[Winter Blanket]])</f>
        <v>0</v>
      </c>
      <c r="AM929" s="264">
        <f>IF(Table_NFI[[#This Row],[Winter Clothes Adult]]+Table_NFI[[#This Row],[Winter Clothes Children]]+Table_NFI[[#This Row],[Winter Items Other]]+Table_NFI[[#This Row],[Winter Blanket]]&gt;0,1,0)</f>
        <v>0</v>
      </c>
      <c r="AN929" s="296">
        <f>IF(NFI_Expiration=1,IF($A929&lt;VLOOKUP(V$5,NFI,5,0),1,0)*Table_NFI[[#This Row],[Jerry Can]],Table_NFI[Jerry Can])</f>
        <v>0</v>
      </c>
      <c r="AO929" s="296">
        <f>IF(NFI_Expiration=1,IF($A929&lt;VLOOKUP(V$5,NFI,5,0),1,0)*Table_NFI[[#This Row],[Shelter Tool kit]],Table_NFI[Shelter Tool kit])</f>
        <v>0</v>
      </c>
      <c r="AP929" s="296">
        <f>IF(NFI_Expiration=1,IF($A929&lt;VLOOKUP(V$5,NFI,5,0),1,0)*Table_NFI[[#This Row],[Tent]],Table_NFI[Tent])</f>
        <v>0</v>
      </c>
      <c r="AQ929" s="396" t="str">
        <f>IFERROR(VLOOKUP(Table_NFI[[#This Row],[Camp Name]],CL,2,0),"")</f>
        <v>MMR001CMP032</v>
      </c>
      <c r="AR929" s="702">
        <f ca="1">IF(Table_NFI[[#This Row],[Pcode]]="","",IF(OFFSET(CampList[Opening Date],MATCH(Table_NFI[[#This Row],[Pcode]],CampList[CP_Pcode],0)-1,0,1,1)&gt;=NFI_Monitor_Date,1,0))</f>
        <v>0</v>
      </c>
      <c r="AS929" s="396" t="str">
        <f>IFERROR(VLOOKUP(Table_NFI[[#This Row],[Camp Name]],CL,3,0),"")</f>
        <v>Open</v>
      </c>
      <c r="AT929" s="264" t="str">
        <f ca="1">IF(Table_NFI[[#This Row],[Pcode]]="","",OFFSET(CampList[Priority],MATCH(Table_NFI[[#This Row],[Pcode]],CampList[CP_Pcode],0)-1,0,1,1))</f>
        <v>P4</v>
      </c>
      <c r="AU929" s="263">
        <f>IFERROR(Table_NFI[[#This Row],[Kitchen Set]]/VLOOKUP(Table_NFI[[#This Row],[Camp Name]],CL,4,0),"")</f>
        <v>1.2277470841006753E-4</v>
      </c>
      <c r="AV929" s="390" t="s">
        <v>1087</v>
      </c>
      <c r="AW929" s="392"/>
    </row>
    <row r="930" spans="1:121" ht="14.45" customHeight="1" x14ac:dyDescent="0.25">
      <c r="A930" s="266">
        <f t="shared" si="14"/>
        <v>54.43333333333333</v>
      </c>
      <c r="B930" s="389">
        <v>41223</v>
      </c>
      <c r="C930" s="390" t="s">
        <v>451</v>
      </c>
      <c r="D930" s="390" t="s">
        <v>451</v>
      </c>
      <c r="E930" s="390" t="s">
        <v>380</v>
      </c>
      <c r="F930" s="390" t="s">
        <v>526</v>
      </c>
      <c r="G930" s="262" t="s">
        <v>88</v>
      </c>
      <c r="H930" s="261"/>
      <c r="I930" s="261"/>
      <c r="J930" s="261"/>
      <c r="K930" s="261">
        <v>12</v>
      </c>
      <c r="L930" s="261">
        <v>0</v>
      </c>
      <c r="M930" s="261">
        <v>12</v>
      </c>
      <c r="N930" s="261">
        <v>0</v>
      </c>
      <c r="O930" s="261">
        <v>0</v>
      </c>
      <c r="P930" s="261"/>
      <c r="Q930" s="261"/>
      <c r="R930" s="261"/>
      <c r="S930" s="261"/>
      <c r="T930" s="261"/>
      <c r="U930" s="261"/>
      <c r="V930" s="762"/>
      <c r="W930" s="261"/>
      <c r="X930" s="261"/>
      <c r="Y930" s="264">
        <f>IF(NFI_Expiration=1,IF($A930&lt;VLOOKUP(H$5,NFI,5,0),1,0)*Table_NFI[[#This Row],[Hygiene Kit]],Table_NFI[Hygiene Kit])</f>
        <v>0</v>
      </c>
      <c r="Z930" s="264">
        <f>IF(NFI_Expiration=1,IF($A930&lt;VLOOKUP(I$5,NFI,5,0),1,0)*Table_NFI[[#This Row],[NFI Core Kit]],Table_NFI[NFI Core Kit])</f>
        <v>0</v>
      </c>
      <c r="AA930" s="264">
        <f>IF(NFI_Expiration=1,IF($A930&lt;VLOOKUP(J$5,NFI,5,0),1,0)*Table_NFI[[#This Row],[Sanitary Kit]],Table_NFI[Sanitary Kit])</f>
        <v>0</v>
      </c>
      <c r="AB930" s="264">
        <f>IF(NFI_Expiration=1,IF($A930&lt;VLOOKUP(K$5,NFI,5,0),1,0)*Table_NFI[[#This Row],[Mosquito net]],Table_NFI[Mosquito net])</f>
        <v>0</v>
      </c>
      <c r="AC930" s="264">
        <f>IF(NFI_Expiration=1,IF($A930&lt;VLOOKUP(L$5,NFI,5,0),1,0)*Table_NFI[[#This Row],[Tarpaulin]],Table_NFI[[#This Row],[Tarpaulin]])</f>
        <v>0</v>
      </c>
      <c r="AD930" s="264">
        <f>IF(NFI_Expiration=1,IF($A930&lt;VLOOKUP(M$5,NFI,5,0),1,0)*Table_NFI[[#This Row],[Blanket]],Table_NFI[[#This Row],[Blanket]])</f>
        <v>0</v>
      </c>
      <c r="AE930" s="264">
        <f>IF(NFI_Expiration=1,IF($A930&lt;VLOOKUP(N$5,NFI,5,0),1,0)*Table_NFI[[#This Row],[Kitchen Set]],Table_NFI[Kitchen Set])</f>
        <v>0</v>
      </c>
      <c r="AF930" s="264">
        <f>IF(NFI_Expiration=1,IF($A930&lt;VLOOKUP(O$5,NFI,5,0),1,0)*Table_NFI[[#This Row],[Clothes Kit]],Table_NFI[Clothes Kit])</f>
        <v>0</v>
      </c>
      <c r="AG930" s="264">
        <f>IF(NFI_Expiration=1,IF($A930&lt;VLOOKUP(P$5,NFI,5,0),1,0)*Table_NFI[[#This Row],[Plastic Bucket]],Table_NFI[Plastic Bucket])</f>
        <v>0</v>
      </c>
      <c r="AH930" s="264">
        <f>IF(NFI_Expiration=1,IF($A930&lt;VLOOKUP(Q$5,NFI,5,0),1,0)*Table_NFI[[#This Row],[Plastic Mat]],Table_NFI[Plastic Mat])*IF(Table_NFI[[#This Row],[Distribution Date]]&gt;"2014-04-01",1,2.5)</f>
        <v>0</v>
      </c>
      <c r="AI930" s="264">
        <f>IF(NFI_Expiration=1,IF($A930&lt;VLOOKUP(R$5,NFI,5,0),1,0)*Table_NFI[[#This Row],[Winter Clothes Adult]],Table_NFI[Winter Clothes Adult])</f>
        <v>0</v>
      </c>
      <c r="AJ930" s="264">
        <f>IF(NFI_Expiration=1,IF($A930&lt;VLOOKUP(S$5,NFI,5,0),1,0)*Table_NFI[[#This Row],[Winter Clothes Children]],Table_NFI[Winter Clothes Children])</f>
        <v>0</v>
      </c>
      <c r="AK930" s="264">
        <f>IF(NFI_Expiration=1,IF($A930&lt;VLOOKUP(T$5,NFI,5,0),1,0)*Table_NFI[[#This Row],[Winter Items Other]],Table_NFI[Winter Items Other])</f>
        <v>0</v>
      </c>
      <c r="AL930" s="264">
        <f>IF(NFI_Expiration=1,IF($A930&lt;VLOOKUP(M$5,NFI,5,0),1,0)*Table_NFI[[#This Row],[Winter Blanket]],Table_NFI[[#This Row],[Winter Blanket]])</f>
        <v>0</v>
      </c>
      <c r="AM930" s="264">
        <f>IF(Table_NFI[[#This Row],[Winter Clothes Adult]]+Table_NFI[[#This Row],[Winter Clothes Children]]+Table_NFI[[#This Row],[Winter Items Other]]+Table_NFI[[#This Row],[Winter Blanket]]&gt;0,1,0)</f>
        <v>0</v>
      </c>
      <c r="AN930" s="296">
        <f>IF(NFI_Expiration=1,IF($A930&lt;VLOOKUP(V$5,NFI,5,0),1,0)*Table_NFI[[#This Row],[Jerry Can]],Table_NFI[Jerry Can])</f>
        <v>0</v>
      </c>
      <c r="AO930" s="296">
        <f>IF(NFI_Expiration=1,IF($A930&lt;VLOOKUP(V$5,NFI,5,0),1,0)*Table_NFI[[#This Row],[Shelter Tool kit]],Table_NFI[Shelter Tool kit])</f>
        <v>0</v>
      </c>
      <c r="AP930" s="296">
        <f>IF(NFI_Expiration=1,IF($A930&lt;VLOOKUP(V$5,NFI,5,0),1,0)*Table_NFI[[#This Row],[Tent]],Table_NFI[Tent])</f>
        <v>0</v>
      </c>
      <c r="AQ930" s="396" t="str">
        <f>IFERROR(VLOOKUP(Table_NFI[[#This Row],[Camp Name]],CL,2,0),"")</f>
        <v>MMR001CMP148</v>
      </c>
      <c r="AR930" s="702">
        <f ca="1">IF(Table_NFI[[#This Row],[Pcode]]="","",IF(OFFSET(CampList[Opening Date],MATCH(Table_NFI[[#This Row],[Pcode]],CampList[CP_Pcode],0)-1,0,1,1)&gt;=NFI_Monitor_Date,1,0))</f>
        <v>0</v>
      </c>
      <c r="AS930" s="396" t="str">
        <f>IFERROR(VLOOKUP(Table_NFI[[#This Row],[Camp Name]],CL,3,0),"")</f>
        <v>Open</v>
      </c>
      <c r="AT930" s="264" t="str">
        <f ca="1">IF(Table_NFI[[#This Row],[Pcode]]="","",OFFSET(CampList[Priority],MATCH(Table_NFI[[#This Row],[Pcode]],CampList[CP_Pcode],0)-1,0,1,1))</f>
        <v>P4</v>
      </c>
      <c r="AU930" s="263">
        <f>IFERROR(Table_NFI[[#This Row],[Kitchen Set]]/VLOOKUP(Table_NFI[[#This Row],[Camp Name]],CL,4,0),"")</f>
        <v>0</v>
      </c>
      <c r="AV930" s="390" t="s">
        <v>1087</v>
      </c>
      <c r="AW930" s="392"/>
    </row>
    <row r="931" spans="1:121" s="760" customFormat="1" ht="15" customHeight="1" x14ac:dyDescent="0.25">
      <c r="A931" s="266">
        <f t="shared" si="14"/>
        <v>54.6</v>
      </c>
      <c r="B931" s="389">
        <v>41218</v>
      </c>
      <c r="C931" s="390" t="s">
        <v>451</v>
      </c>
      <c r="D931" s="391" t="s">
        <v>451</v>
      </c>
      <c r="E931" s="390" t="s">
        <v>380</v>
      </c>
      <c r="F931" s="262" t="s">
        <v>526</v>
      </c>
      <c r="G931" s="262" t="s">
        <v>88</v>
      </c>
      <c r="H931" s="261"/>
      <c r="I931" s="261"/>
      <c r="J931" s="261"/>
      <c r="K931" s="261">
        <v>70</v>
      </c>
      <c r="L931" s="261">
        <v>40</v>
      </c>
      <c r="M931" s="261">
        <v>70</v>
      </c>
      <c r="N931" s="261">
        <v>40</v>
      </c>
      <c r="O931" s="261">
        <v>40</v>
      </c>
      <c r="P931" s="261">
        <v>40</v>
      </c>
      <c r="Q931" s="261">
        <v>40</v>
      </c>
      <c r="R931" s="261"/>
      <c r="S931" s="261"/>
      <c r="T931" s="261"/>
      <c r="U931" s="261"/>
      <c r="V931" s="762"/>
      <c r="W931" s="261"/>
      <c r="X931" s="261"/>
      <c r="Y931" s="264">
        <f>IF(NFI_Expiration=1,IF($A931&lt;VLOOKUP(H$5,NFI,5,0),1,0)*Table_NFI[[#This Row],[Hygiene Kit]],Table_NFI[Hygiene Kit])</f>
        <v>0</v>
      </c>
      <c r="Z931" s="264">
        <f>IF(NFI_Expiration=1,IF($A931&lt;VLOOKUP(I$5,NFI,5,0),1,0)*Table_NFI[[#This Row],[NFI Core Kit]],Table_NFI[NFI Core Kit])</f>
        <v>0</v>
      </c>
      <c r="AA931" s="264">
        <f>IF(NFI_Expiration=1,IF($A931&lt;VLOOKUP(J$5,NFI,5,0),1,0)*Table_NFI[[#This Row],[Sanitary Kit]],Table_NFI[Sanitary Kit])</f>
        <v>0</v>
      </c>
      <c r="AB931" s="264">
        <f>IF(NFI_Expiration=1,IF($A931&lt;VLOOKUP(K$5,NFI,5,0),1,0)*Table_NFI[[#This Row],[Mosquito net]],Table_NFI[Mosquito net])</f>
        <v>0</v>
      </c>
      <c r="AC931" s="264">
        <f>IF(NFI_Expiration=1,IF($A931&lt;VLOOKUP(L$5,NFI,5,0),1,0)*Table_NFI[[#This Row],[Tarpaulin]],Table_NFI[[#This Row],[Tarpaulin]])</f>
        <v>0</v>
      </c>
      <c r="AD931" s="264">
        <f>IF(NFI_Expiration=1,IF($A931&lt;VLOOKUP(M$5,NFI,5,0),1,0)*Table_NFI[[#This Row],[Blanket]],Table_NFI[[#This Row],[Blanket]])</f>
        <v>0</v>
      </c>
      <c r="AE931" s="264">
        <f>IF(NFI_Expiration=1,IF($A931&lt;VLOOKUP(N$5,NFI,5,0),1,0)*Table_NFI[[#This Row],[Kitchen Set]],Table_NFI[Kitchen Set])</f>
        <v>0</v>
      </c>
      <c r="AF931" s="264">
        <f>IF(NFI_Expiration=1,IF($A931&lt;VLOOKUP(O$5,NFI,5,0),1,0)*Table_NFI[[#This Row],[Clothes Kit]],Table_NFI[Clothes Kit])</f>
        <v>0</v>
      </c>
      <c r="AG931" s="264">
        <f>IF(NFI_Expiration=1,IF($A931&lt;VLOOKUP(P$5,NFI,5,0),1,0)*Table_NFI[[#This Row],[Plastic Bucket]],Table_NFI[Plastic Bucket])</f>
        <v>0</v>
      </c>
      <c r="AH931" s="264">
        <f>IF(NFI_Expiration=1,IF($A931&lt;VLOOKUP(Q$5,NFI,5,0),1,0)*Table_NFI[[#This Row],[Plastic Mat]],Table_NFI[Plastic Mat])*IF(Table_NFI[[#This Row],[Distribution Date]]&gt;"2014-04-01",1,2.5)</f>
        <v>0</v>
      </c>
      <c r="AI931" s="264">
        <f>IF(NFI_Expiration=1,IF($A931&lt;VLOOKUP(R$5,NFI,5,0),1,0)*Table_NFI[[#This Row],[Winter Clothes Adult]],Table_NFI[Winter Clothes Adult])</f>
        <v>0</v>
      </c>
      <c r="AJ931" s="264">
        <f>IF(NFI_Expiration=1,IF($A931&lt;VLOOKUP(S$5,NFI,5,0),1,0)*Table_NFI[[#This Row],[Winter Clothes Children]],Table_NFI[Winter Clothes Children])</f>
        <v>0</v>
      </c>
      <c r="AK931" s="264">
        <f>IF(NFI_Expiration=1,IF($A931&lt;VLOOKUP(T$5,NFI,5,0),1,0)*Table_NFI[[#This Row],[Winter Items Other]],Table_NFI[Winter Items Other])</f>
        <v>0</v>
      </c>
      <c r="AL931" s="264">
        <f>IF(NFI_Expiration=1,IF($A931&lt;VLOOKUP(M$5,NFI,5,0),1,0)*Table_NFI[[#This Row],[Winter Blanket]],Table_NFI[[#This Row],[Winter Blanket]])</f>
        <v>0</v>
      </c>
      <c r="AM931" s="264">
        <f>IF(Table_NFI[[#This Row],[Winter Clothes Adult]]+Table_NFI[[#This Row],[Winter Clothes Children]]+Table_NFI[[#This Row],[Winter Items Other]]+Table_NFI[[#This Row],[Winter Blanket]]&gt;0,1,0)</f>
        <v>0</v>
      </c>
      <c r="AN931" s="296">
        <f>IF(NFI_Expiration=1,IF($A931&lt;VLOOKUP(V$5,NFI,5,0),1,0)*Table_NFI[[#This Row],[Jerry Can]],Table_NFI[Jerry Can])</f>
        <v>0</v>
      </c>
      <c r="AO931" s="296">
        <f>IF(NFI_Expiration=1,IF($A931&lt;VLOOKUP(V$5,NFI,5,0),1,0)*Table_NFI[[#This Row],[Shelter Tool kit]],Table_NFI[Shelter Tool kit])</f>
        <v>0</v>
      </c>
      <c r="AP931" s="296">
        <f>IF(NFI_Expiration=1,IF($A931&lt;VLOOKUP(V$5,NFI,5,0),1,0)*Table_NFI[[#This Row],[Tent]],Table_NFI[Tent])</f>
        <v>0</v>
      </c>
      <c r="AQ931" s="396" t="str">
        <f>IFERROR(VLOOKUP(Table_NFI[[#This Row],[Camp Name]],CL,2,0),"")</f>
        <v>MMR001CMP148</v>
      </c>
      <c r="AR931" s="702">
        <f ca="1">IF(Table_NFI[[#This Row],[Pcode]]="","",IF(OFFSET(CampList[Opening Date],MATCH(Table_NFI[[#This Row],[Pcode]],CampList[CP_Pcode],0)-1,0,1,1)&gt;=NFI_Monitor_Date,1,0))</f>
        <v>0</v>
      </c>
      <c r="AS931" s="396" t="str">
        <f>IFERROR(VLOOKUP(Table_NFI[[#This Row],[Camp Name]],CL,3,0),"")</f>
        <v>Open</v>
      </c>
      <c r="AT931" s="264" t="str">
        <f ca="1">IF(Table_NFI[[#This Row],[Pcode]]="","",OFFSET(CampList[Priority],MATCH(Table_NFI[[#This Row],[Pcode]],CampList[CP_Pcode],0)-1,0,1,1))</f>
        <v>P4</v>
      </c>
      <c r="AU931" s="263">
        <f>IFERROR(Table_NFI[[#This Row],[Kitchen Set]]/VLOOKUP(Table_NFI[[#This Row],[Camp Name]],CL,4,0),"")</f>
        <v>9.7127455503484453E-4</v>
      </c>
      <c r="AV931" s="390" t="s">
        <v>1087</v>
      </c>
      <c r="AW931" s="392"/>
      <c r="AX931" s="399"/>
      <c r="AY931" s="399"/>
      <c r="AZ931" s="399"/>
      <c r="BA931" s="399"/>
      <c r="BB931" s="399"/>
      <c r="BC931" s="399"/>
      <c r="BD931" s="399"/>
      <c r="BE931" s="399"/>
      <c r="BF931" s="399"/>
      <c r="BG931" s="399"/>
      <c r="BH931" s="399"/>
      <c r="BI931" s="399"/>
      <c r="BJ931" s="399"/>
      <c r="BK931" s="399"/>
      <c r="BL931" s="399"/>
      <c r="BM931" s="399"/>
      <c r="BN931" s="399"/>
      <c r="BO931" s="399"/>
      <c r="BP931" s="399"/>
      <c r="BQ931" s="399"/>
      <c r="BR931" s="399"/>
      <c r="BS931" s="399"/>
      <c r="BT931" s="399"/>
      <c r="BU931" s="399"/>
      <c r="BV931" s="399"/>
      <c r="BW931" s="399"/>
      <c r="BX931" s="399"/>
      <c r="BY931" s="399"/>
      <c r="BZ931" s="399"/>
      <c r="CA931" s="399"/>
      <c r="CB931" s="399"/>
      <c r="CC931" s="399"/>
      <c r="CD931" s="399"/>
      <c r="CE931" s="399"/>
      <c r="CF931" s="399"/>
      <c r="CG931" s="399"/>
      <c r="CH931" s="399"/>
      <c r="CI931" s="399"/>
      <c r="CJ931" s="399"/>
      <c r="CK931" s="399"/>
      <c r="CL931" s="399"/>
      <c r="CM931" s="399"/>
      <c r="CN931" s="399"/>
      <c r="CO931" s="399"/>
      <c r="CP931" s="399"/>
      <c r="CQ931" s="399"/>
      <c r="CR931" s="399"/>
      <c r="CS931" s="399"/>
      <c r="CT931" s="399"/>
      <c r="CU931" s="399"/>
      <c r="CV931" s="399"/>
      <c r="CW931" s="399"/>
      <c r="CX931" s="399"/>
      <c r="CY931" s="399"/>
      <c r="CZ931" s="399"/>
      <c r="DA931" s="399"/>
      <c r="DB931" s="399"/>
      <c r="DC931" s="399"/>
      <c r="DD931" s="399"/>
      <c r="DE931" s="399"/>
      <c r="DF931" s="399"/>
      <c r="DG931" s="399"/>
      <c r="DH931" s="399"/>
      <c r="DI931" s="399"/>
      <c r="DJ931" s="399"/>
      <c r="DK931" s="399"/>
      <c r="DL931" s="399"/>
      <c r="DM931" s="399"/>
      <c r="DN931" s="399"/>
      <c r="DO931" s="399"/>
      <c r="DP931" s="399"/>
      <c r="DQ931" s="399"/>
    </row>
    <row r="932" spans="1:121" ht="15" customHeight="1" x14ac:dyDescent="0.25">
      <c r="A932" s="266">
        <f t="shared" si="14"/>
        <v>54.966666666666669</v>
      </c>
      <c r="B932" s="389">
        <v>41207</v>
      </c>
      <c r="C932" s="390" t="s">
        <v>904</v>
      </c>
      <c r="D932" s="390" t="s">
        <v>904</v>
      </c>
      <c r="E932" s="390" t="s">
        <v>380</v>
      </c>
      <c r="F932" s="262" t="s">
        <v>185</v>
      </c>
      <c r="G932" s="262" t="s">
        <v>520</v>
      </c>
      <c r="H932" s="261">
        <v>23</v>
      </c>
      <c r="I932" s="261"/>
      <c r="J932" s="261"/>
      <c r="K932" s="261"/>
      <c r="L932" s="261"/>
      <c r="M932" s="261"/>
      <c r="N932" s="261"/>
      <c r="O932" s="261"/>
      <c r="P932" s="261"/>
      <c r="Q932" s="261"/>
      <c r="R932" s="261"/>
      <c r="S932" s="261"/>
      <c r="T932" s="261"/>
      <c r="U932" s="261"/>
      <c r="V932" s="762"/>
      <c r="W932" s="261"/>
      <c r="X932" s="261"/>
      <c r="Y932" s="264">
        <f>IF(NFI_Expiration=1,IF($A932&lt;VLOOKUP(H$5,NFI,5,0),1,0)*Table_NFI[[#This Row],[Hygiene Kit]],Table_NFI[Hygiene Kit])</f>
        <v>0</v>
      </c>
      <c r="Z932" s="264">
        <f>IF(NFI_Expiration=1,IF($A932&lt;VLOOKUP(I$5,NFI,5,0),1,0)*Table_NFI[[#This Row],[NFI Core Kit]],Table_NFI[NFI Core Kit])</f>
        <v>0</v>
      </c>
      <c r="AA932" s="264">
        <f>IF(NFI_Expiration=1,IF($A932&lt;VLOOKUP(J$5,NFI,5,0),1,0)*Table_NFI[[#This Row],[Sanitary Kit]],Table_NFI[Sanitary Kit])</f>
        <v>0</v>
      </c>
      <c r="AB932" s="264">
        <f>IF(NFI_Expiration=1,IF($A932&lt;VLOOKUP(K$5,NFI,5,0),1,0)*Table_NFI[[#This Row],[Mosquito net]],Table_NFI[Mosquito net])</f>
        <v>0</v>
      </c>
      <c r="AC932" s="264">
        <f>IF(NFI_Expiration=1,IF($A932&lt;VLOOKUP(L$5,NFI,5,0),1,0)*Table_NFI[[#This Row],[Tarpaulin]],Table_NFI[[#This Row],[Tarpaulin]])</f>
        <v>0</v>
      </c>
      <c r="AD932" s="264">
        <f>IF(NFI_Expiration=1,IF($A932&lt;VLOOKUP(M$5,NFI,5,0),1,0)*Table_NFI[[#This Row],[Blanket]],Table_NFI[[#This Row],[Blanket]])</f>
        <v>0</v>
      </c>
      <c r="AE932" s="264">
        <f>IF(NFI_Expiration=1,IF($A932&lt;VLOOKUP(N$5,NFI,5,0),1,0)*Table_NFI[[#This Row],[Kitchen Set]],Table_NFI[Kitchen Set])</f>
        <v>0</v>
      </c>
      <c r="AF932" s="264">
        <f>IF(NFI_Expiration=1,IF($A932&lt;VLOOKUP(O$5,NFI,5,0),1,0)*Table_NFI[[#This Row],[Clothes Kit]],Table_NFI[Clothes Kit])</f>
        <v>0</v>
      </c>
      <c r="AG932" s="264">
        <f>IF(NFI_Expiration=1,IF($A932&lt;VLOOKUP(P$5,NFI,5,0),1,0)*Table_NFI[[#This Row],[Plastic Bucket]],Table_NFI[Plastic Bucket])</f>
        <v>0</v>
      </c>
      <c r="AH932" s="264">
        <f>IF(NFI_Expiration=1,IF($A932&lt;VLOOKUP(Q$5,NFI,5,0),1,0)*Table_NFI[[#This Row],[Plastic Mat]],Table_NFI[Plastic Mat])*IF(Table_NFI[[#This Row],[Distribution Date]]&gt;"2014-04-01",1,2.5)</f>
        <v>0</v>
      </c>
      <c r="AI932" s="264">
        <f>IF(NFI_Expiration=1,IF($A932&lt;VLOOKUP(R$5,NFI,5,0),1,0)*Table_NFI[[#This Row],[Winter Clothes Adult]],Table_NFI[Winter Clothes Adult])</f>
        <v>0</v>
      </c>
      <c r="AJ932" s="264">
        <f>IF(NFI_Expiration=1,IF($A932&lt;VLOOKUP(S$5,NFI,5,0),1,0)*Table_NFI[[#This Row],[Winter Clothes Children]],Table_NFI[Winter Clothes Children])</f>
        <v>0</v>
      </c>
      <c r="AK932" s="264">
        <f>IF(NFI_Expiration=1,IF($A932&lt;VLOOKUP(T$5,NFI,5,0),1,0)*Table_NFI[[#This Row],[Winter Items Other]],Table_NFI[Winter Items Other])</f>
        <v>0</v>
      </c>
      <c r="AL932" s="264">
        <f>IF(NFI_Expiration=1,IF($A932&lt;VLOOKUP(M$5,NFI,5,0),1,0)*Table_NFI[[#This Row],[Winter Blanket]],Table_NFI[[#This Row],[Winter Blanket]])</f>
        <v>0</v>
      </c>
      <c r="AM932" s="264">
        <f>IF(Table_NFI[[#This Row],[Winter Clothes Adult]]+Table_NFI[[#This Row],[Winter Clothes Children]]+Table_NFI[[#This Row],[Winter Items Other]]+Table_NFI[[#This Row],[Winter Blanket]]&gt;0,1,0)</f>
        <v>0</v>
      </c>
      <c r="AN932" s="296">
        <f>IF(NFI_Expiration=1,IF($A932&lt;VLOOKUP(V$5,NFI,5,0),1,0)*Table_NFI[[#This Row],[Jerry Can]],Table_NFI[Jerry Can])</f>
        <v>0</v>
      </c>
      <c r="AO932" s="296">
        <f>IF(NFI_Expiration=1,IF($A932&lt;VLOOKUP(V$5,NFI,5,0),1,0)*Table_NFI[[#This Row],[Shelter Tool kit]],Table_NFI[Shelter Tool kit])</f>
        <v>0</v>
      </c>
      <c r="AP932" s="296">
        <f>IF(NFI_Expiration=1,IF($A932&lt;VLOOKUP(V$5,NFI,5,0),1,0)*Table_NFI[[#This Row],[Tent]],Table_NFI[Tent])</f>
        <v>0</v>
      </c>
      <c r="AQ932" s="396" t="str">
        <f>IFERROR(VLOOKUP(Table_NFI[[#This Row],[Camp Name]],CL,2,0),"")</f>
        <v>MMR001CMP200</v>
      </c>
      <c r="AR932" s="702">
        <f ca="1">IF(Table_NFI[[#This Row],[Pcode]]="","",IF(OFFSET(CampList[Opening Date],MATCH(Table_NFI[[#This Row],[Pcode]],CampList[CP_Pcode],0)-1,0,1,1)&gt;=NFI_Monitor_Date,1,0))</f>
        <v>0</v>
      </c>
      <c r="AS932" s="396" t="str">
        <f>IFERROR(VLOOKUP(Table_NFI[[#This Row],[Camp Name]],CL,3,0),"")</f>
        <v>Open</v>
      </c>
      <c r="AT932" s="264" t="str">
        <f ca="1">IF(Table_NFI[[#This Row],[Pcode]]="","",OFFSET(CampList[Priority],MATCH(Table_NFI[[#This Row],[Pcode]],CampList[CP_Pcode],0)-1,0,1,1))</f>
        <v>P4</v>
      </c>
      <c r="AU932" s="263" t="str">
        <f>IFERROR(Table_NFI[[#This Row],[Kitchen Set]]/VLOOKUP(Table_NFI[[#This Row],[Camp Name]],CL,4,0),"")</f>
        <v/>
      </c>
      <c r="AV932" s="390"/>
      <c r="AW932" s="392"/>
    </row>
    <row r="933" spans="1:121" s="760" customFormat="1" ht="15" customHeight="1" x14ac:dyDescent="0.25">
      <c r="A933" s="266">
        <f t="shared" si="14"/>
        <v>55.166666666666664</v>
      </c>
      <c r="B933" s="389">
        <v>41201</v>
      </c>
      <c r="C933" s="390" t="s">
        <v>904</v>
      </c>
      <c r="D933" s="390" t="s">
        <v>904</v>
      </c>
      <c r="E933" s="390" t="s">
        <v>380</v>
      </c>
      <c r="F933" s="390" t="s">
        <v>5</v>
      </c>
      <c r="G933" s="390" t="s">
        <v>24</v>
      </c>
      <c r="H933" s="261">
        <v>47</v>
      </c>
      <c r="I933" s="261"/>
      <c r="J933" s="261"/>
      <c r="K933" s="261"/>
      <c r="L933" s="261"/>
      <c r="M933" s="261"/>
      <c r="N933" s="261"/>
      <c r="O933" s="261"/>
      <c r="P933" s="261"/>
      <c r="Q933" s="261"/>
      <c r="R933" s="261"/>
      <c r="S933" s="261"/>
      <c r="T933" s="261"/>
      <c r="U933" s="261"/>
      <c r="V933" s="762"/>
      <c r="W933" s="762"/>
      <c r="X933" s="762"/>
      <c r="Y933" s="264">
        <f>IF(NFI_Expiration=1,IF($A933&lt;VLOOKUP(H$5,NFI,5,0),1,0)*Table_NFI[[#This Row],[Hygiene Kit]],Table_NFI[Hygiene Kit])</f>
        <v>0</v>
      </c>
      <c r="Z933" s="264">
        <f>IF(NFI_Expiration=1,IF($A933&lt;VLOOKUP(I$5,NFI,5,0),1,0)*Table_NFI[[#This Row],[NFI Core Kit]],Table_NFI[NFI Core Kit])</f>
        <v>0</v>
      </c>
      <c r="AA933" s="264">
        <f>IF(NFI_Expiration=1,IF($A933&lt;VLOOKUP(J$5,NFI,5,0),1,0)*Table_NFI[[#This Row],[Sanitary Kit]],Table_NFI[Sanitary Kit])</f>
        <v>0</v>
      </c>
      <c r="AB933" s="264">
        <f>IF(NFI_Expiration=1,IF($A933&lt;VLOOKUP(K$5,NFI,5,0),1,0)*Table_NFI[[#This Row],[Mosquito net]],Table_NFI[Mosquito net])</f>
        <v>0</v>
      </c>
      <c r="AC933" s="264">
        <f>IF(NFI_Expiration=1,IF($A933&lt;VLOOKUP(L$5,NFI,5,0),1,0)*Table_NFI[[#This Row],[Tarpaulin]],Table_NFI[[#This Row],[Tarpaulin]])</f>
        <v>0</v>
      </c>
      <c r="AD933" s="264">
        <f>IF(NFI_Expiration=1,IF($A933&lt;VLOOKUP(M$5,NFI,5,0),1,0)*Table_NFI[[#This Row],[Blanket]],Table_NFI[[#This Row],[Blanket]])</f>
        <v>0</v>
      </c>
      <c r="AE933" s="264">
        <f>IF(NFI_Expiration=1,IF($A933&lt;VLOOKUP(N$5,NFI,5,0),1,0)*Table_NFI[[#This Row],[Kitchen Set]],Table_NFI[Kitchen Set])</f>
        <v>0</v>
      </c>
      <c r="AF933" s="264">
        <f>IF(NFI_Expiration=1,IF($A933&lt;VLOOKUP(O$5,NFI,5,0),1,0)*Table_NFI[[#This Row],[Clothes Kit]],Table_NFI[Clothes Kit])</f>
        <v>0</v>
      </c>
      <c r="AG933" s="264">
        <f>IF(NFI_Expiration=1,IF($A933&lt;VLOOKUP(P$5,NFI,5,0),1,0)*Table_NFI[[#This Row],[Plastic Bucket]],Table_NFI[Plastic Bucket])</f>
        <v>0</v>
      </c>
      <c r="AH933" s="264">
        <f>IF(NFI_Expiration=1,IF($A933&lt;VLOOKUP(Q$5,NFI,5,0),1,0)*Table_NFI[[#This Row],[Plastic Mat]],Table_NFI[Plastic Mat])*IF(Table_NFI[[#This Row],[Distribution Date]]&gt;"2014-04-01",1,2.5)</f>
        <v>0</v>
      </c>
      <c r="AI933" s="264">
        <f>IF(NFI_Expiration=1,IF($A933&lt;VLOOKUP(R$5,NFI,5,0),1,0)*Table_NFI[[#This Row],[Winter Clothes Adult]],Table_NFI[Winter Clothes Adult])</f>
        <v>0</v>
      </c>
      <c r="AJ933" s="264">
        <f>IF(NFI_Expiration=1,IF($A933&lt;VLOOKUP(S$5,NFI,5,0),1,0)*Table_NFI[[#This Row],[Winter Clothes Children]],Table_NFI[Winter Clothes Children])</f>
        <v>0</v>
      </c>
      <c r="AK933" s="264">
        <f>IF(NFI_Expiration=1,IF($A933&lt;VLOOKUP(T$5,NFI,5,0),1,0)*Table_NFI[[#This Row],[Winter Items Other]],Table_NFI[Winter Items Other])</f>
        <v>0</v>
      </c>
      <c r="AL933" s="264">
        <f>IF(NFI_Expiration=1,IF($A933&lt;VLOOKUP(M$5,NFI,5,0),1,0)*Table_NFI[[#This Row],[Winter Blanket]],Table_NFI[[#This Row],[Winter Blanket]])</f>
        <v>0</v>
      </c>
      <c r="AM933" s="264">
        <f>IF(Table_NFI[[#This Row],[Winter Clothes Adult]]+Table_NFI[[#This Row],[Winter Clothes Children]]+Table_NFI[[#This Row],[Winter Items Other]]+Table_NFI[[#This Row],[Winter Blanket]]&gt;0,1,0)</f>
        <v>0</v>
      </c>
      <c r="AN933" s="296">
        <f>IF(NFI_Expiration=1,IF($A933&lt;VLOOKUP(V$5,NFI,5,0),1,0)*Table_NFI[[#This Row],[Jerry Can]],Table_NFI[Jerry Can])</f>
        <v>0</v>
      </c>
      <c r="AO933" s="296">
        <f>IF(NFI_Expiration=1,IF($A933&lt;VLOOKUP(V$5,NFI,5,0),1,0)*Table_NFI[[#This Row],[Shelter Tool kit]],Table_NFI[Shelter Tool kit])</f>
        <v>0</v>
      </c>
      <c r="AP933" s="296">
        <f>IF(NFI_Expiration=1,IF($A933&lt;VLOOKUP(V$5,NFI,5,0),1,0)*Table_NFI[[#This Row],[Tent]],Table_NFI[Tent])</f>
        <v>0</v>
      </c>
      <c r="AQ933" s="396" t="str">
        <f>IFERROR(VLOOKUP(Table_NFI[[#This Row],[Camp Name]],CL,2,0),"")</f>
        <v>MMR001CMP055</v>
      </c>
      <c r="AR933" s="702">
        <f ca="1">IF(Table_NFI[[#This Row],[Pcode]]="","",IF(OFFSET(CampList[Opening Date],MATCH(Table_NFI[[#This Row],[Pcode]],CampList[CP_Pcode],0)-1,0,1,1)&gt;=NFI_Monitor_Date,1,0))</f>
        <v>0</v>
      </c>
      <c r="AS933" s="396" t="str">
        <f>IFERROR(VLOOKUP(Table_NFI[[#This Row],[Camp Name]],CL,3,0),"")</f>
        <v>Open</v>
      </c>
      <c r="AT933" s="264" t="str">
        <f ca="1">IF(Table_NFI[[#This Row],[Pcode]]="","",OFFSET(CampList[Priority],MATCH(Table_NFI[[#This Row],[Pcode]],CampList[CP_Pcode],0)-1,0,1,1))</f>
        <v>P4</v>
      </c>
      <c r="AU933" s="263">
        <f>IFERROR(Table_NFI[[#This Row],[Kitchen Set]]/VLOOKUP(Table_NFI[[#This Row],[Camp Name]],CL,4,0),"")</f>
        <v>0</v>
      </c>
      <c r="AV933" s="390"/>
      <c r="AW933" s="392"/>
      <c r="AX933" s="399"/>
      <c r="AY933" s="399"/>
      <c r="AZ933" s="399"/>
      <c r="BA933" s="399"/>
      <c r="BB933" s="399"/>
      <c r="BC933" s="399"/>
      <c r="BD933" s="399"/>
      <c r="BE933" s="399"/>
      <c r="BF933" s="399"/>
      <c r="BG933" s="399"/>
      <c r="BH933" s="399"/>
      <c r="BI933" s="399"/>
      <c r="BJ933" s="399"/>
      <c r="BK933" s="399"/>
      <c r="BL933" s="399"/>
      <c r="BM933" s="399"/>
      <c r="BN933" s="399"/>
      <c r="BO933" s="399"/>
      <c r="BP933" s="399"/>
      <c r="BQ933" s="399"/>
      <c r="BR933" s="399"/>
      <c r="BS933" s="399"/>
      <c r="BT933" s="399"/>
      <c r="BU933" s="399"/>
      <c r="BV933" s="399"/>
      <c r="BW933" s="399"/>
      <c r="BX933" s="399"/>
      <c r="BY933" s="399"/>
      <c r="BZ933" s="399"/>
      <c r="CA933" s="399"/>
      <c r="CB933" s="399"/>
      <c r="CC933" s="399"/>
      <c r="CD933" s="399"/>
      <c r="CE933" s="399"/>
      <c r="CF933" s="399"/>
      <c r="CG933" s="399"/>
      <c r="CH933" s="399"/>
      <c r="CI933" s="399"/>
      <c r="CJ933" s="399"/>
      <c r="CK933" s="399"/>
      <c r="CL933" s="399"/>
      <c r="CM933" s="399"/>
      <c r="CN933" s="399"/>
      <c r="CO933" s="399"/>
      <c r="CP933" s="399"/>
      <c r="CQ933" s="399"/>
      <c r="CR933" s="399"/>
      <c r="CS933" s="399"/>
      <c r="CT933" s="399"/>
      <c r="CU933" s="399"/>
      <c r="CV933" s="399"/>
      <c r="CW933" s="399"/>
      <c r="CX933" s="399"/>
      <c r="CY933" s="399"/>
      <c r="CZ933" s="399"/>
      <c r="DA933" s="399"/>
      <c r="DB933" s="399"/>
      <c r="DC933" s="399"/>
      <c r="DD933" s="399"/>
      <c r="DE933" s="399"/>
      <c r="DF933" s="399"/>
      <c r="DG933" s="399"/>
      <c r="DH933" s="399"/>
      <c r="DI933" s="399"/>
      <c r="DJ933" s="399"/>
      <c r="DK933" s="399"/>
      <c r="DL933" s="399"/>
      <c r="DM933" s="399"/>
      <c r="DN933" s="399"/>
      <c r="DO933" s="399"/>
      <c r="DP933" s="399"/>
      <c r="DQ933" s="399"/>
    </row>
    <row r="934" spans="1:121" s="760" customFormat="1" ht="15" customHeight="1" x14ac:dyDescent="0.25">
      <c r="A934" s="266">
        <f t="shared" si="14"/>
        <v>55.3</v>
      </c>
      <c r="B934" s="389">
        <v>41197</v>
      </c>
      <c r="C934" s="390" t="s">
        <v>904</v>
      </c>
      <c r="D934" s="390" t="s">
        <v>1001</v>
      </c>
      <c r="E934" s="390" t="s">
        <v>380</v>
      </c>
      <c r="F934" s="390" t="s">
        <v>302</v>
      </c>
      <c r="G934" s="390" t="s">
        <v>1414</v>
      </c>
      <c r="H934" s="261">
        <v>38</v>
      </c>
      <c r="I934" s="261"/>
      <c r="J934" s="261"/>
      <c r="K934" s="261"/>
      <c r="L934" s="261"/>
      <c r="M934" s="261"/>
      <c r="N934" s="261"/>
      <c r="O934" s="261"/>
      <c r="P934" s="261"/>
      <c r="Q934" s="261"/>
      <c r="R934" s="261"/>
      <c r="S934" s="261"/>
      <c r="T934" s="261"/>
      <c r="U934" s="261"/>
      <c r="V934" s="762"/>
      <c r="W934" s="261"/>
      <c r="X934" s="261"/>
      <c r="Y934" s="264">
        <f>IF(NFI_Expiration=1,IF($A934&lt;VLOOKUP(H$5,NFI,5,0),1,0)*Table_NFI[[#This Row],[Hygiene Kit]],Table_NFI[Hygiene Kit])</f>
        <v>0</v>
      </c>
      <c r="Z934" s="264">
        <f>IF(NFI_Expiration=1,IF($A934&lt;VLOOKUP(I$5,NFI,5,0),1,0)*Table_NFI[[#This Row],[NFI Core Kit]],Table_NFI[NFI Core Kit])</f>
        <v>0</v>
      </c>
      <c r="AA934" s="264">
        <f>IF(NFI_Expiration=1,IF($A934&lt;VLOOKUP(J$5,NFI,5,0),1,0)*Table_NFI[[#This Row],[Sanitary Kit]],Table_NFI[Sanitary Kit])</f>
        <v>0</v>
      </c>
      <c r="AB934" s="264">
        <f>IF(NFI_Expiration=1,IF($A934&lt;VLOOKUP(K$5,NFI,5,0),1,0)*Table_NFI[[#This Row],[Mosquito net]],Table_NFI[Mosquito net])</f>
        <v>0</v>
      </c>
      <c r="AC934" s="264">
        <f>IF(NFI_Expiration=1,IF($A934&lt;VLOOKUP(L$5,NFI,5,0),1,0)*Table_NFI[[#This Row],[Tarpaulin]],Table_NFI[[#This Row],[Tarpaulin]])</f>
        <v>0</v>
      </c>
      <c r="AD934" s="264">
        <f>IF(NFI_Expiration=1,IF($A934&lt;VLOOKUP(M$5,NFI,5,0),1,0)*Table_NFI[[#This Row],[Blanket]],Table_NFI[[#This Row],[Blanket]])</f>
        <v>0</v>
      </c>
      <c r="AE934" s="264">
        <f>IF(NFI_Expiration=1,IF($A934&lt;VLOOKUP(N$5,NFI,5,0),1,0)*Table_NFI[[#This Row],[Kitchen Set]],Table_NFI[Kitchen Set])</f>
        <v>0</v>
      </c>
      <c r="AF934" s="264">
        <f>IF(NFI_Expiration=1,IF($A934&lt;VLOOKUP(O$5,NFI,5,0),1,0)*Table_NFI[[#This Row],[Clothes Kit]],Table_NFI[Clothes Kit])</f>
        <v>0</v>
      </c>
      <c r="AG934" s="264">
        <f>IF(NFI_Expiration=1,IF($A934&lt;VLOOKUP(P$5,NFI,5,0),1,0)*Table_NFI[[#This Row],[Plastic Bucket]],Table_NFI[Plastic Bucket])</f>
        <v>0</v>
      </c>
      <c r="AH934" s="264">
        <f>IF(NFI_Expiration=1,IF($A934&lt;VLOOKUP(Q$5,NFI,5,0),1,0)*Table_NFI[[#This Row],[Plastic Mat]],Table_NFI[Plastic Mat])*IF(Table_NFI[[#This Row],[Distribution Date]]&gt;"2014-04-01",1,2.5)</f>
        <v>0</v>
      </c>
      <c r="AI934" s="264">
        <f>IF(NFI_Expiration=1,IF($A934&lt;VLOOKUP(R$5,NFI,5,0),1,0)*Table_NFI[[#This Row],[Winter Clothes Adult]],Table_NFI[Winter Clothes Adult])</f>
        <v>0</v>
      </c>
      <c r="AJ934" s="264">
        <f>IF(NFI_Expiration=1,IF($A934&lt;VLOOKUP(S$5,NFI,5,0),1,0)*Table_NFI[[#This Row],[Winter Clothes Children]],Table_NFI[Winter Clothes Children])</f>
        <v>0</v>
      </c>
      <c r="AK934" s="264">
        <f>IF(NFI_Expiration=1,IF($A934&lt;VLOOKUP(T$5,NFI,5,0),1,0)*Table_NFI[[#This Row],[Winter Items Other]],Table_NFI[Winter Items Other])</f>
        <v>0</v>
      </c>
      <c r="AL934" s="264">
        <f>IF(NFI_Expiration=1,IF($A934&lt;VLOOKUP(M$5,NFI,5,0),1,0)*Table_NFI[[#This Row],[Winter Blanket]],Table_NFI[[#This Row],[Winter Blanket]])</f>
        <v>0</v>
      </c>
      <c r="AM934" s="264">
        <f>IF(Table_NFI[[#This Row],[Winter Clothes Adult]]+Table_NFI[[#This Row],[Winter Clothes Children]]+Table_NFI[[#This Row],[Winter Items Other]]+Table_NFI[[#This Row],[Winter Blanket]]&gt;0,1,0)</f>
        <v>0</v>
      </c>
      <c r="AN934" s="296">
        <f>IF(NFI_Expiration=1,IF($A934&lt;VLOOKUP(V$5,NFI,5,0),1,0)*Table_NFI[[#This Row],[Jerry Can]],Table_NFI[Jerry Can])</f>
        <v>0</v>
      </c>
      <c r="AO934" s="296">
        <f>IF(NFI_Expiration=1,IF($A934&lt;VLOOKUP(V$5,NFI,5,0),1,0)*Table_NFI[[#This Row],[Shelter Tool kit]],Table_NFI[Shelter Tool kit])</f>
        <v>0</v>
      </c>
      <c r="AP934" s="296">
        <f>IF(NFI_Expiration=1,IF($A934&lt;VLOOKUP(V$5,NFI,5,0),1,0)*Table_NFI[[#This Row],[Tent]],Table_NFI[Tent])</f>
        <v>0</v>
      </c>
      <c r="AQ934" s="396" t="str">
        <f>IFERROR(VLOOKUP(Table_NFI[[#This Row],[Camp Name]],CL,2,0),"")</f>
        <v/>
      </c>
      <c r="AR934" s="702" t="str">
        <f ca="1">IF(Table_NFI[[#This Row],[Pcode]]="","",IF(OFFSET(CampList[Opening Date],MATCH(Table_NFI[[#This Row],[Pcode]],CampList[CP_Pcode],0)-1,0,1,1)&gt;=NFI_Monitor_Date,1,0))</f>
        <v/>
      </c>
      <c r="AS934" s="396" t="str">
        <f>IFERROR(VLOOKUP(Table_NFI[[#This Row],[Camp Name]],CL,3,0),"")</f>
        <v/>
      </c>
      <c r="AT934" s="264" t="str">
        <f ca="1">IF(Table_NFI[[#This Row],[Pcode]]="","",OFFSET(CampList[Priority],MATCH(Table_NFI[[#This Row],[Pcode]],CampList[CP_Pcode],0)-1,0,1,1))</f>
        <v/>
      </c>
      <c r="AU934" s="263" t="str">
        <f>IFERROR(Table_NFI[[#This Row],[Kitchen Set]]/VLOOKUP(Table_NFI[[#This Row],[Camp Name]],CL,4,0),"")</f>
        <v/>
      </c>
      <c r="AV934" s="390"/>
      <c r="AW934" s="392"/>
      <c r="AX934" s="399"/>
      <c r="AY934" s="399"/>
      <c r="AZ934" s="399"/>
      <c r="BA934" s="399"/>
      <c r="BB934" s="399"/>
      <c r="BC934" s="399"/>
      <c r="BD934" s="399"/>
      <c r="BE934" s="399"/>
      <c r="BF934" s="399"/>
      <c r="BG934" s="399"/>
      <c r="BH934" s="399"/>
      <c r="BI934" s="399"/>
      <c r="BJ934" s="399"/>
      <c r="BK934" s="399"/>
      <c r="BL934" s="399"/>
      <c r="BM934" s="399"/>
      <c r="BN934" s="399"/>
      <c r="BO934" s="399"/>
      <c r="BP934" s="399"/>
      <c r="BQ934" s="399"/>
      <c r="BR934" s="399"/>
      <c r="BS934" s="399"/>
      <c r="BT934" s="399"/>
      <c r="BU934" s="399"/>
      <c r="BV934" s="399"/>
      <c r="BW934" s="399"/>
      <c r="BX934" s="399"/>
      <c r="BY934" s="399"/>
      <c r="BZ934" s="399"/>
      <c r="CA934" s="399"/>
      <c r="CB934" s="399"/>
      <c r="CC934" s="399"/>
      <c r="CD934" s="399"/>
      <c r="CE934" s="399"/>
      <c r="CF934" s="399"/>
      <c r="CG934" s="399"/>
      <c r="CH934" s="399"/>
      <c r="CI934" s="399"/>
      <c r="CJ934" s="399"/>
      <c r="CK934" s="399"/>
      <c r="CL934" s="399"/>
      <c r="CM934" s="399"/>
      <c r="CN934" s="399"/>
      <c r="CO934" s="399"/>
      <c r="CP934" s="399"/>
      <c r="CQ934" s="399"/>
      <c r="CR934" s="399"/>
      <c r="CS934" s="399"/>
      <c r="CT934" s="399"/>
      <c r="CU934" s="399"/>
      <c r="CV934" s="399"/>
      <c r="CW934" s="399"/>
      <c r="CX934" s="399"/>
      <c r="CY934" s="399"/>
      <c r="CZ934" s="399"/>
      <c r="DA934" s="399"/>
      <c r="DB934" s="399"/>
      <c r="DC934" s="399"/>
      <c r="DD934" s="399"/>
      <c r="DE934" s="399"/>
      <c r="DF934" s="399"/>
      <c r="DG934" s="399"/>
      <c r="DH934" s="399"/>
      <c r="DI934" s="399"/>
      <c r="DJ934" s="399"/>
      <c r="DK934" s="399"/>
      <c r="DL934" s="399"/>
      <c r="DM934" s="399"/>
      <c r="DN934" s="399"/>
      <c r="DO934" s="399"/>
      <c r="DP934" s="399"/>
      <c r="DQ934" s="399"/>
    </row>
    <row r="935" spans="1:121" s="760" customFormat="1" ht="14.45" customHeight="1" x14ac:dyDescent="0.25">
      <c r="A935" s="266">
        <f t="shared" si="14"/>
        <v>55.43333333333333</v>
      </c>
      <c r="B935" s="389">
        <v>41193</v>
      </c>
      <c r="C935" s="390" t="s">
        <v>451</v>
      </c>
      <c r="D935" s="391" t="s">
        <v>451</v>
      </c>
      <c r="E935" s="390" t="s">
        <v>380</v>
      </c>
      <c r="F935" s="262" t="s">
        <v>185</v>
      </c>
      <c r="G935" s="262" t="s">
        <v>225</v>
      </c>
      <c r="H935" s="261"/>
      <c r="I935" s="261"/>
      <c r="J935" s="261"/>
      <c r="K935" s="261">
        <v>28</v>
      </c>
      <c r="L935" s="261">
        <v>17</v>
      </c>
      <c r="M935" s="261">
        <v>28</v>
      </c>
      <c r="N935" s="261">
        <v>17</v>
      </c>
      <c r="O935" s="261">
        <v>17</v>
      </c>
      <c r="P935" s="261">
        <v>17</v>
      </c>
      <c r="Q935" s="261">
        <v>17</v>
      </c>
      <c r="R935" s="261"/>
      <c r="S935" s="261"/>
      <c r="T935" s="261"/>
      <c r="U935" s="261"/>
      <c r="V935" s="762"/>
      <c r="W935" s="261"/>
      <c r="X935" s="261"/>
      <c r="Y935" s="264">
        <f>IF(NFI_Expiration=1,IF($A935&lt;VLOOKUP(H$5,NFI,5,0),1,0)*Table_NFI[[#This Row],[Hygiene Kit]],Table_NFI[Hygiene Kit])</f>
        <v>0</v>
      </c>
      <c r="Z935" s="264">
        <f>IF(NFI_Expiration=1,IF($A935&lt;VLOOKUP(I$5,NFI,5,0),1,0)*Table_NFI[[#This Row],[NFI Core Kit]],Table_NFI[NFI Core Kit])</f>
        <v>0</v>
      </c>
      <c r="AA935" s="264">
        <f>IF(NFI_Expiration=1,IF($A935&lt;VLOOKUP(J$5,NFI,5,0),1,0)*Table_NFI[[#This Row],[Sanitary Kit]],Table_NFI[Sanitary Kit])</f>
        <v>0</v>
      </c>
      <c r="AB935" s="264">
        <f>IF(NFI_Expiration=1,IF($A935&lt;VLOOKUP(K$5,NFI,5,0),1,0)*Table_NFI[[#This Row],[Mosquito net]],Table_NFI[Mosquito net])</f>
        <v>0</v>
      </c>
      <c r="AC935" s="264">
        <f>IF(NFI_Expiration=1,IF($A935&lt;VLOOKUP(L$5,NFI,5,0),1,0)*Table_NFI[[#This Row],[Tarpaulin]],Table_NFI[[#This Row],[Tarpaulin]])</f>
        <v>0</v>
      </c>
      <c r="AD935" s="264">
        <f>IF(NFI_Expiration=1,IF($A935&lt;VLOOKUP(M$5,NFI,5,0),1,0)*Table_NFI[[#This Row],[Blanket]],Table_NFI[[#This Row],[Blanket]])</f>
        <v>0</v>
      </c>
      <c r="AE935" s="264">
        <f>IF(NFI_Expiration=1,IF($A935&lt;VLOOKUP(N$5,NFI,5,0),1,0)*Table_NFI[[#This Row],[Kitchen Set]],Table_NFI[Kitchen Set])</f>
        <v>0</v>
      </c>
      <c r="AF935" s="264">
        <f>IF(NFI_Expiration=1,IF($A935&lt;VLOOKUP(O$5,NFI,5,0),1,0)*Table_NFI[[#This Row],[Clothes Kit]],Table_NFI[Clothes Kit])</f>
        <v>0</v>
      </c>
      <c r="AG935" s="264">
        <f>IF(NFI_Expiration=1,IF($A935&lt;VLOOKUP(P$5,NFI,5,0),1,0)*Table_NFI[[#This Row],[Plastic Bucket]],Table_NFI[Plastic Bucket])</f>
        <v>0</v>
      </c>
      <c r="AH935" s="264">
        <f>IF(NFI_Expiration=1,IF($A935&lt;VLOOKUP(Q$5,NFI,5,0),1,0)*Table_NFI[[#This Row],[Plastic Mat]],Table_NFI[Plastic Mat])*IF(Table_NFI[[#This Row],[Distribution Date]]&gt;"2014-04-01",1,2.5)</f>
        <v>0</v>
      </c>
      <c r="AI935" s="264">
        <f>IF(NFI_Expiration=1,IF($A935&lt;VLOOKUP(R$5,NFI,5,0),1,0)*Table_NFI[[#This Row],[Winter Clothes Adult]],Table_NFI[Winter Clothes Adult])</f>
        <v>0</v>
      </c>
      <c r="AJ935" s="264">
        <f>IF(NFI_Expiration=1,IF($A935&lt;VLOOKUP(S$5,NFI,5,0),1,0)*Table_NFI[[#This Row],[Winter Clothes Children]],Table_NFI[Winter Clothes Children])</f>
        <v>0</v>
      </c>
      <c r="AK935" s="264">
        <f>IF(NFI_Expiration=1,IF($A935&lt;VLOOKUP(T$5,NFI,5,0),1,0)*Table_NFI[[#This Row],[Winter Items Other]],Table_NFI[Winter Items Other])</f>
        <v>0</v>
      </c>
      <c r="AL935" s="264">
        <f>IF(NFI_Expiration=1,IF($A935&lt;VLOOKUP(M$5,NFI,5,0),1,0)*Table_NFI[[#This Row],[Winter Blanket]],Table_NFI[[#This Row],[Winter Blanket]])</f>
        <v>0</v>
      </c>
      <c r="AM935" s="264">
        <f>IF(Table_NFI[[#This Row],[Winter Clothes Adult]]+Table_NFI[[#This Row],[Winter Clothes Children]]+Table_NFI[[#This Row],[Winter Items Other]]+Table_NFI[[#This Row],[Winter Blanket]]&gt;0,1,0)</f>
        <v>0</v>
      </c>
      <c r="AN935" s="296">
        <f>IF(NFI_Expiration=1,IF($A935&lt;VLOOKUP(V$5,NFI,5,0),1,0)*Table_NFI[[#This Row],[Jerry Can]],Table_NFI[Jerry Can])</f>
        <v>0</v>
      </c>
      <c r="AO935" s="296">
        <f>IF(NFI_Expiration=1,IF($A935&lt;VLOOKUP(V$5,NFI,5,0),1,0)*Table_NFI[[#This Row],[Shelter Tool kit]],Table_NFI[Shelter Tool kit])</f>
        <v>0</v>
      </c>
      <c r="AP935" s="296">
        <f>IF(NFI_Expiration=1,IF($A935&lt;VLOOKUP(V$5,NFI,5,0),1,0)*Table_NFI[[#This Row],[Tent]],Table_NFI[Tent])</f>
        <v>0</v>
      </c>
      <c r="AQ935" s="396" t="str">
        <f>IFERROR(VLOOKUP(Table_NFI[[#This Row],[Camp Name]],CL,2,0),"")</f>
        <v>MMR001CMP073</v>
      </c>
      <c r="AR935" s="702">
        <f ca="1">IF(Table_NFI[[#This Row],[Pcode]]="","",IF(OFFSET(CampList[Opening Date],MATCH(Table_NFI[[#This Row],[Pcode]],CampList[CP_Pcode],0)-1,0,1,1)&gt;=NFI_Monitor_Date,1,0))</f>
        <v>0</v>
      </c>
      <c r="AS935" s="396" t="str">
        <f>IFERROR(VLOOKUP(Table_NFI[[#This Row],[Camp Name]],CL,3,0),"")</f>
        <v>Open</v>
      </c>
      <c r="AT935" s="264" t="str">
        <f ca="1">IF(Table_NFI[[#This Row],[Pcode]]="","",OFFSET(CampList[Priority],MATCH(Table_NFI[[#This Row],[Pcode]],CampList[CP_Pcode],0)-1,0,1,1))</f>
        <v>P3</v>
      </c>
      <c r="AU935" s="263">
        <f>IFERROR(Table_NFI[[#This Row],[Kitchen Set]]/VLOOKUP(Table_NFI[[#This Row],[Camp Name]],CL,4,0),"")</f>
        <v>4.1340401731433294E-4</v>
      </c>
      <c r="AV935" s="390" t="s">
        <v>1087</v>
      </c>
      <c r="AW935" s="392"/>
      <c r="AX935" s="399"/>
      <c r="AY935" s="399"/>
      <c r="AZ935" s="399"/>
      <c r="BA935" s="399"/>
      <c r="BB935" s="399"/>
      <c r="BC935" s="399"/>
      <c r="BD935" s="399"/>
      <c r="BE935" s="399"/>
      <c r="BF935" s="399"/>
      <c r="BG935" s="399"/>
      <c r="BH935" s="399"/>
      <c r="BI935" s="399"/>
      <c r="BJ935" s="399"/>
      <c r="BK935" s="399"/>
      <c r="BL935" s="399"/>
      <c r="BM935" s="399"/>
      <c r="BN935" s="399"/>
      <c r="BO935" s="399"/>
      <c r="BP935" s="399"/>
      <c r="BQ935" s="399"/>
      <c r="BR935" s="399"/>
      <c r="BS935" s="399"/>
      <c r="BT935" s="399"/>
      <c r="BU935" s="399"/>
      <c r="BV935" s="399"/>
      <c r="BW935" s="399"/>
      <c r="BX935" s="399"/>
      <c r="BY935" s="399"/>
      <c r="BZ935" s="399"/>
      <c r="CA935" s="399"/>
      <c r="CB935" s="399"/>
      <c r="CC935" s="399"/>
      <c r="CD935" s="399"/>
      <c r="CE935" s="399"/>
      <c r="CF935" s="399"/>
      <c r="CG935" s="399"/>
      <c r="CH935" s="399"/>
      <c r="CI935" s="399"/>
      <c r="CJ935" s="399"/>
      <c r="CK935" s="399"/>
      <c r="CL935" s="399"/>
      <c r="CM935" s="399"/>
      <c r="CN935" s="399"/>
      <c r="CO935" s="399"/>
      <c r="CP935" s="399"/>
      <c r="CQ935" s="399"/>
      <c r="CR935" s="399"/>
      <c r="CS935" s="399"/>
      <c r="CT935" s="399"/>
      <c r="CU935" s="399"/>
      <c r="CV935" s="399"/>
      <c r="CW935" s="399"/>
      <c r="CX935" s="399"/>
      <c r="CY935" s="399"/>
      <c r="CZ935" s="399"/>
      <c r="DA935" s="399"/>
      <c r="DB935" s="399"/>
      <c r="DC935" s="399"/>
      <c r="DD935" s="399"/>
      <c r="DE935" s="399"/>
      <c r="DF935" s="399"/>
      <c r="DG935" s="399"/>
      <c r="DH935" s="399"/>
      <c r="DI935" s="399"/>
      <c r="DJ935" s="399"/>
      <c r="DK935" s="399"/>
      <c r="DL935" s="399"/>
      <c r="DM935" s="399"/>
      <c r="DN935" s="399"/>
      <c r="DO935" s="399"/>
      <c r="DP935" s="399"/>
      <c r="DQ935" s="399"/>
    </row>
    <row r="936" spans="1:121" ht="14.45" customHeight="1" x14ac:dyDescent="0.25">
      <c r="A936" s="266">
        <f t="shared" si="14"/>
        <v>55.8</v>
      </c>
      <c r="B936" s="389">
        <v>41182</v>
      </c>
      <c r="C936" s="390" t="s">
        <v>451</v>
      </c>
      <c r="D936" s="390" t="s">
        <v>903</v>
      </c>
      <c r="E936" s="390" t="s">
        <v>380</v>
      </c>
      <c r="F936" s="390" t="s">
        <v>27</v>
      </c>
      <c r="G936" s="262" t="s">
        <v>37</v>
      </c>
      <c r="H936" s="261"/>
      <c r="I936" s="261"/>
      <c r="J936" s="261"/>
      <c r="K936" s="261">
        <v>34</v>
      </c>
      <c r="L936" s="261">
        <v>12</v>
      </c>
      <c r="M936" s="261">
        <v>34</v>
      </c>
      <c r="N936" s="261">
        <v>12</v>
      </c>
      <c r="O936" s="261">
        <v>12</v>
      </c>
      <c r="P936" s="261">
        <v>12</v>
      </c>
      <c r="Q936" s="261">
        <v>12</v>
      </c>
      <c r="R936" s="261"/>
      <c r="S936" s="261"/>
      <c r="T936" s="261"/>
      <c r="U936" s="261"/>
      <c r="V936" s="762"/>
      <c r="W936" s="261"/>
      <c r="X936" s="261"/>
      <c r="Y936" s="264">
        <f>IF(NFI_Expiration=1,IF($A936&lt;VLOOKUP(H$5,NFI,5,0),1,0)*Table_NFI[[#This Row],[Hygiene Kit]],Table_NFI[Hygiene Kit])</f>
        <v>0</v>
      </c>
      <c r="Z936" s="264">
        <f>IF(NFI_Expiration=1,IF($A936&lt;VLOOKUP(I$5,NFI,5,0),1,0)*Table_NFI[[#This Row],[NFI Core Kit]],Table_NFI[NFI Core Kit])</f>
        <v>0</v>
      </c>
      <c r="AA936" s="264">
        <f>IF(NFI_Expiration=1,IF($A936&lt;VLOOKUP(J$5,NFI,5,0),1,0)*Table_NFI[[#This Row],[Sanitary Kit]],Table_NFI[Sanitary Kit])</f>
        <v>0</v>
      </c>
      <c r="AB936" s="264">
        <f>IF(NFI_Expiration=1,IF($A936&lt;VLOOKUP(K$5,NFI,5,0),1,0)*Table_NFI[[#This Row],[Mosquito net]],Table_NFI[Mosquito net])</f>
        <v>0</v>
      </c>
      <c r="AC936" s="264">
        <f>IF(NFI_Expiration=1,IF($A936&lt;VLOOKUP(L$5,NFI,5,0),1,0)*Table_NFI[[#This Row],[Tarpaulin]],Table_NFI[[#This Row],[Tarpaulin]])</f>
        <v>0</v>
      </c>
      <c r="AD936" s="264">
        <f>IF(NFI_Expiration=1,IF($A936&lt;VLOOKUP(M$5,NFI,5,0),1,0)*Table_NFI[[#This Row],[Blanket]],Table_NFI[[#This Row],[Blanket]])</f>
        <v>0</v>
      </c>
      <c r="AE936" s="264">
        <f>IF(NFI_Expiration=1,IF($A936&lt;VLOOKUP(N$5,NFI,5,0),1,0)*Table_NFI[[#This Row],[Kitchen Set]],Table_NFI[Kitchen Set])</f>
        <v>0</v>
      </c>
      <c r="AF936" s="264">
        <f>IF(NFI_Expiration=1,IF($A936&lt;VLOOKUP(O$5,NFI,5,0),1,0)*Table_NFI[[#This Row],[Clothes Kit]],Table_NFI[Clothes Kit])</f>
        <v>0</v>
      </c>
      <c r="AG936" s="264">
        <f>IF(NFI_Expiration=1,IF($A936&lt;VLOOKUP(P$5,NFI,5,0),1,0)*Table_NFI[[#This Row],[Plastic Bucket]],Table_NFI[Plastic Bucket])</f>
        <v>0</v>
      </c>
      <c r="AH936" s="264">
        <f>IF(NFI_Expiration=1,IF($A936&lt;VLOOKUP(Q$5,NFI,5,0),1,0)*Table_NFI[[#This Row],[Plastic Mat]],Table_NFI[Plastic Mat])*IF(Table_NFI[[#This Row],[Distribution Date]]&gt;"2014-04-01",1,2.5)</f>
        <v>0</v>
      </c>
      <c r="AI936" s="264">
        <f>IF(NFI_Expiration=1,IF($A936&lt;VLOOKUP(R$5,NFI,5,0),1,0)*Table_NFI[[#This Row],[Winter Clothes Adult]],Table_NFI[Winter Clothes Adult])</f>
        <v>0</v>
      </c>
      <c r="AJ936" s="264">
        <f>IF(NFI_Expiration=1,IF($A936&lt;VLOOKUP(S$5,NFI,5,0),1,0)*Table_NFI[[#This Row],[Winter Clothes Children]],Table_NFI[Winter Clothes Children])</f>
        <v>0</v>
      </c>
      <c r="AK936" s="264">
        <f>IF(NFI_Expiration=1,IF($A936&lt;VLOOKUP(T$5,NFI,5,0),1,0)*Table_NFI[[#This Row],[Winter Items Other]],Table_NFI[Winter Items Other])</f>
        <v>0</v>
      </c>
      <c r="AL936" s="264">
        <f>IF(NFI_Expiration=1,IF($A936&lt;VLOOKUP(M$5,NFI,5,0),1,0)*Table_NFI[[#This Row],[Winter Blanket]],Table_NFI[[#This Row],[Winter Blanket]])</f>
        <v>0</v>
      </c>
      <c r="AM936" s="264">
        <f>IF(Table_NFI[[#This Row],[Winter Clothes Adult]]+Table_NFI[[#This Row],[Winter Clothes Children]]+Table_NFI[[#This Row],[Winter Items Other]]+Table_NFI[[#This Row],[Winter Blanket]]&gt;0,1,0)</f>
        <v>0</v>
      </c>
      <c r="AN936" s="296">
        <f>IF(NFI_Expiration=1,IF($A936&lt;VLOOKUP(V$5,NFI,5,0),1,0)*Table_NFI[[#This Row],[Jerry Can]],Table_NFI[Jerry Can])</f>
        <v>0</v>
      </c>
      <c r="AO936" s="296">
        <f>IF(NFI_Expiration=1,IF($A936&lt;VLOOKUP(V$5,NFI,5,0),1,0)*Table_NFI[[#This Row],[Shelter Tool kit]],Table_NFI[Shelter Tool kit])</f>
        <v>0</v>
      </c>
      <c r="AP936" s="296">
        <f>IF(NFI_Expiration=1,IF($A936&lt;VLOOKUP(V$5,NFI,5,0),1,0)*Table_NFI[[#This Row],[Tent]],Table_NFI[Tent])</f>
        <v>0</v>
      </c>
      <c r="AQ936" s="396" t="str">
        <f>IFERROR(VLOOKUP(Table_NFI[[#This Row],[Camp Name]],CL,2,0),"")</f>
        <v>MMR001CMP044</v>
      </c>
      <c r="AR936" s="702">
        <f ca="1">IF(Table_NFI[[#This Row],[Pcode]]="","",IF(OFFSET(CampList[Opening Date],MATCH(Table_NFI[[#This Row],[Pcode]],CampList[CP_Pcode],0)-1,0,1,1)&gt;=NFI_Monitor_Date,1,0))</f>
        <v>0</v>
      </c>
      <c r="AS936" s="396" t="str">
        <f>IFERROR(VLOOKUP(Table_NFI[[#This Row],[Camp Name]],CL,3,0),"")</f>
        <v>Closed</v>
      </c>
      <c r="AT936" s="264" t="str">
        <f ca="1">IF(Table_NFI[[#This Row],[Pcode]]="","",OFFSET(CampList[Priority],MATCH(Table_NFI[[#This Row],[Pcode]],CampList[CP_Pcode],0)-1,0,1,1))</f>
        <v/>
      </c>
      <c r="AU936" s="263" t="str">
        <f>IFERROR(Table_NFI[[#This Row],[Kitchen Set]]/VLOOKUP(Table_NFI[[#This Row],[Camp Name]],CL,4,0),"")</f>
        <v/>
      </c>
      <c r="AV936" s="390" t="s">
        <v>1087</v>
      </c>
      <c r="AW936" s="392"/>
    </row>
    <row r="937" spans="1:121" s="760" customFormat="1" ht="14.45" customHeight="1" x14ac:dyDescent="0.25">
      <c r="A937" s="266">
        <f t="shared" si="14"/>
        <v>55.833333333333336</v>
      </c>
      <c r="B937" s="389">
        <v>41181</v>
      </c>
      <c r="C937" s="390" t="s">
        <v>451</v>
      </c>
      <c r="D937" s="390" t="s">
        <v>903</v>
      </c>
      <c r="E937" s="390" t="s">
        <v>380</v>
      </c>
      <c r="F937" s="390" t="s">
        <v>27</v>
      </c>
      <c r="G937" s="262" t="s">
        <v>365</v>
      </c>
      <c r="H937" s="261"/>
      <c r="I937" s="261"/>
      <c r="J937" s="261"/>
      <c r="K937" s="261">
        <v>34</v>
      </c>
      <c r="L937" s="261">
        <v>12</v>
      </c>
      <c r="M937" s="261">
        <v>34</v>
      </c>
      <c r="N937" s="261">
        <v>12</v>
      </c>
      <c r="O937" s="261">
        <v>12</v>
      </c>
      <c r="P937" s="261">
        <v>12</v>
      </c>
      <c r="Q937" s="261">
        <v>12</v>
      </c>
      <c r="R937" s="261"/>
      <c r="S937" s="261"/>
      <c r="T937" s="261"/>
      <c r="U937" s="261"/>
      <c r="V937" s="762"/>
      <c r="W937" s="261"/>
      <c r="X937" s="261"/>
      <c r="Y937" s="264">
        <f>IF(NFI_Expiration=1,IF($A937&lt;VLOOKUP(H$5,NFI,5,0),1,0)*Table_NFI[[#This Row],[Hygiene Kit]],Table_NFI[Hygiene Kit])</f>
        <v>0</v>
      </c>
      <c r="Z937" s="264">
        <f>IF(NFI_Expiration=1,IF($A937&lt;VLOOKUP(I$5,NFI,5,0),1,0)*Table_NFI[[#This Row],[NFI Core Kit]],Table_NFI[NFI Core Kit])</f>
        <v>0</v>
      </c>
      <c r="AA937" s="264">
        <f>IF(NFI_Expiration=1,IF($A937&lt;VLOOKUP(J$5,NFI,5,0),1,0)*Table_NFI[[#This Row],[Sanitary Kit]],Table_NFI[Sanitary Kit])</f>
        <v>0</v>
      </c>
      <c r="AB937" s="264">
        <f>IF(NFI_Expiration=1,IF($A937&lt;VLOOKUP(K$5,NFI,5,0),1,0)*Table_NFI[[#This Row],[Mosquito net]],Table_NFI[Mosquito net])</f>
        <v>0</v>
      </c>
      <c r="AC937" s="264">
        <f>IF(NFI_Expiration=1,IF($A937&lt;VLOOKUP(L$5,NFI,5,0),1,0)*Table_NFI[[#This Row],[Tarpaulin]],Table_NFI[[#This Row],[Tarpaulin]])</f>
        <v>0</v>
      </c>
      <c r="AD937" s="264">
        <f>IF(NFI_Expiration=1,IF($A937&lt;VLOOKUP(M$5,NFI,5,0),1,0)*Table_NFI[[#This Row],[Blanket]],Table_NFI[[#This Row],[Blanket]])</f>
        <v>0</v>
      </c>
      <c r="AE937" s="264">
        <f>IF(NFI_Expiration=1,IF($A937&lt;VLOOKUP(N$5,NFI,5,0),1,0)*Table_NFI[[#This Row],[Kitchen Set]],Table_NFI[Kitchen Set])</f>
        <v>0</v>
      </c>
      <c r="AF937" s="264">
        <f>IF(NFI_Expiration=1,IF($A937&lt;VLOOKUP(O$5,NFI,5,0),1,0)*Table_NFI[[#This Row],[Clothes Kit]],Table_NFI[Clothes Kit])</f>
        <v>0</v>
      </c>
      <c r="AG937" s="264">
        <f>IF(NFI_Expiration=1,IF($A937&lt;VLOOKUP(P$5,NFI,5,0),1,0)*Table_NFI[[#This Row],[Plastic Bucket]],Table_NFI[Plastic Bucket])</f>
        <v>0</v>
      </c>
      <c r="AH937" s="264">
        <f>IF(NFI_Expiration=1,IF($A937&lt;VLOOKUP(Q$5,NFI,5,0),1,0)*Table_NFI[[#This Row],[Plastic Mat]],Table_NFI[Plastic Mat])*IF(Table_NFI[[#This Row],[Distribution Date]]&gt;"2014-04-01",1,2.5)</f>
        <v>0</v>
      </c>
      <c r="AI937" s="264">
        <f>IF(NFI_Expiration=1,IF($A937&lt;VLOOKUP(R$5,NFI,5,0),1,0)*Table_NFI[[#This Row],[Winter Clothes Adult]],Table_NFI[Winter Clothes Adult])</f>
        <v>0</v>
      </c>
      <c r="AJ937" s="264">
        <f>IF(NFI_Expiration=1,IF($A937&lt;VLOOKUP(S$5,NFI,5,0),1,0)*Table_NFI[[#This Row],[Winter Clothes Children]],Table_NFI[Winter Clothes Children])</f>
        <v>0</v>
      </c>
      <c r="AK937" s="264">
        <f>IF(NFI_Expiration=1,IF($A937&lt;VLOOKUP(T$5,NFI,5,0),1,0)*Table_NFI[[#This Row],[Winter Items Other]],Table_NFI[Winter Items Other])</f>
        <v>0</v>
      </c>
      <c r="AL937" s="264">
        <f>IF(NFI_Expiration=1,IF($A937&lt;VLOOKUP(M$5,NFI,5,0),1,0)*Table_NFI[[#This Row],[Winter Blanket]],Table_NFI[[#This Row],[Winter Blanket]])</f>
        <v>0</v>
      </c>
      <c r="AM937" s="264">
        <f>IF(Table_NFI[[#This Row],[Winter Clothes Adult]]+Table_NFI[[#This Row],[Winter Clothes Children]]+Table_NFI[[#This Row],[Winter Items Other]]+Table_NFI[[#This Row],[Winter Blanket]]&gt;0,1,0)</f>
        <v>0</v>
      </c>
      <c r="AN937" s="296">
        <f>IF(NFI_Expiration=1,IF($A937&lt;VLOOKUP(V$5,NFI,5,0),1,0)*Table_NFI[[#This Row],[Jerry Can]],Table_NFI[Jerry Can])</f>
        <v>0</v>
      </c>
      <c r="AO937" s="296">
        <f>IF(NFI_Expiration=1,IF($A937&lt;VLOOKUP(V$5,NFI,5,0),1,0)*Table_NFI[[#This Row],[Shelter Tool kit]],Table_NFI[Shelter Tool kit])</f>
        <v>0</v>
      </c>
      <c r="AP937" s="296">
        <f>IF(NFI_Expiration=1,IF($A937&lt;VLOOKUP(V$5,NFI,5,0),1,0)*Table_NFI[[#This Row],[Tent]],Table_NFI[Tent])</f>
        <v>0</v>
      </c>
      <c r="AQ937" s="396" t="str">
        <f>IFERROR(VLOOKUP(Table_NFI[[#This Row],[Camp Name]],CL,2,0),"")</f>
        <v>MMR001CMP195</v>
      </c>
      <c r="AR937" s="702">
        <f ca="1">IF(Table_NFI[[#This Row],[Pcode]]="","",IF(OFFSET(CampList[Opening Date],MATCH(Table_NFI[[#This Row],[Pcode]],CampList[CP_Pcode],0)-1,0,1,1)&gt;=NFI_Monitor_Date,1,0))</f>
        <v>0</v>
      </c>
      <c r="AS937" s="396" t="str">
        <f>IFERROR(VLOOKUP(Table_NFI[[#This Row],[Camp Name]],CL,3,0),"")</f>
        <v>Open</v>
      </c>
      <c r="AT937" s="264" t="str">
        <f ca="1">IF(Table_NFI[[#This Row],[Pcode]]="","",OFFSET(CampList[Priority],MATCH(Table_NFI[[#This Row],[Pcode]],CampList[CP_Pcode],0)-1,0,1,1))</f>
        <v>P1</v>
      </c>
      <c r="AU937" s="263">
        <f>IFERROR(Table_NFI[[#This Row],[Kitchen Set]]/VLOOKUP(Table_NFI[[#This Row],[Camp Name]],CL,4,0),"")</f>
        <v>2.9311187103077673E-4</v>
      </c>
      <c r="AV937" s="390" t="s">
        <v>1087</v>
      </c>
      <c r="AW937" s="392"/>
      <c r="AX937" s="399"/>
      <c r="AY937" s="399"/>
      <c r="AZ937" s="399"/>
      <c r="BA937" s="399"/>
      <c r="BB937" s="399"/>
      <c r="BC937" s="399"/>
      <c r="BD937" s="399"/>
      <c r="BE937" s="399"/>
      <c r="BF937" s="399"/>
      <c r="BG937" s="399"/>
      <c r="BH937" s="399"/>
      <c r="BI937" s="399"/>
      <c r="BJ937" s="399"/>
      <c r="BK937" s="399"/>
      <c r="BL937" s="399"/>
      <c r="BM937" s="399"/>
      <c r="BN937" s="399"/>
      <c r="BO937" s="399"/>
      <c r="BP937" s="399"/>
      <c r="BQ937" s="399"/>
      <c r="BR937" s="399"/>
      <c r="BS937" s="399"/>
      <c r="BT937" s="399"/>
      <c r="BU937" s="399"/>
      <c r="BV937" s="399"/>
      <c r="BW937" s="399"/>
      <c r="BX937" s="399"/>
      <c r="BY937" s="399"/>
      <c r="BZ937" s="399"/>
      <c r="CA937" s="399"/>
      <c r="CB937" s="399"/>
      <c r="CC937" s="399"/>
      <c r="CD937" s="399"/>
      <c r="CE937" s="399"/>
      <c r="CF937" s="399"/>
      <c r="CG937" s="399"/>
      <c r="CH937" s="399"/>
      <c r="CI937" s="399"/>
      <c r="CJ937" s="399"/>
      <c r="CK937" s="399"/>
      <c r="CL937" s="399"/>
      <c r="CM937" s="399"/>
      <c r="CN937" s="399"/>
      <c r="CO937" s="399"/>
      <c r="CP937" s="399"/>
      <c r="CQ937" s="399"/>
      <c r="CR937" s="399"/>
      <c r="CS937" s="399"/>
      <c r="CT937" s="399"/>
      <c r="CU937" s="399"/>
      <c r="CV937" s="399"/>
      <c r="CW937" s="399"/>
      <c r="CX937" s="399"/>
      <c r="CY937" s="399"/>
      <c r="CZ937" s="399"/>
      <c r="DA937" s="399"/>
      <c r="DB937" s="399"/>
      <c r="DC937" s="399"/>
      <c r="DD937" s="399"/>
      <c r="DE937" s="399"/>
      <c r="DF937" s="399"/>
      <c r="DG937" s="399"/>
      <c r="DH937" s="399"/>
      <c r="DI937" s="399"/>
      <c r="DJ937" s="399"/>
      <c r="DK937" s="399"/>
      <c r="DL937" s="399"/>
      <c r="DM937" s="399"/>
      <c r="DN937" s="399"/>
      <c r="DO937" s="399"/>
      <c r="DP937" s="399"/>
      <c r="DQ937" s="399"/>
    </row>
    <row r="938" spans="1:121" s="760" customFormat="1" ht="14.45" customHeight="1" x14ac:dyDescent="0.25">
      <c r="A938" s="266">
        <f t="shared" si="14"/>
        <v>55.833333333333336</v>
      </c>
      <c r="B938" s="389">
        <v>41181</v>
      </c>
      <c r="C938" s="390" t="s">
        <v>451</v>
      </c>
      <c r="D938" s="390" t="s">
        <v>451</v>
      </c>
      <c r="E938" s="390" t="s">
        <v>380</v>
      </c>
      <c r="F938" s="262" t="s">
        <v>185</v>
      </c>
      <c r="G938" s="262" t="s">
        <v>190</v>
      </c>
      <c r="H938" s="261"/>
      <c r="I938" s="261"/>
      <c r="J938" s="261"/>
      <c r="K938" s="261">
        <v>151</v>
      </c>
      <c r="L938" s="261">
        <v>59</v>
      </c>
      <c r="M938" s="261">
        <v>151</v>
      </c>
      <c r="N938" s="261">
        <v>59</v>
      </c>
      <c r="O938" s="261">
        <v>59</v>
      </c>
      <c r="P938" s="261">
        <v>59</v>
      </c>
      <c r="Q938" s="261">
        <v>59</v>
      </c>
      <c r="R938" s="261"/>
      <c r="S938" s="261"/>
      <c r="T938" s="261"/>
      <c r="U938" s="261"/>
      <c r="V938" s="762"/>
      <c r="W938" s="261"/>
      <c r="X938" s="261"/>
      <c r="Y938" s="264">
        <f>IF(NFI_Expiration=1,IF($A938&lt;VLOOKUP(H$5,NFI,5,0),1,0)*Table_NFI[[#This Row],[Hygiene Kit]],Table_NFI[Hygiene Kit])</f>
        <v>0</v>
      </c>
      <c r="Z938" s="264">
        <f>IF(NFI_Expiration=1,IF($A938&lt;VLOOKUP(I$5,NFI,5,0),1,0)*Table_NFI[[#This Row],[NFI Core Kit]],Table_NFI[NFI Core Kit])</f>
        <v>0</v>
      </c>
      <c r="AA938" s="264">
        <f>IF(NFI_Expiration=1,IF($A938&lt;VLOOKUP(J$5,NFI,5,0),1,0)*Table_NFI[[#This Row],[Sanitary Kit]],Table_NFI[Sanitary Kit])</f>
        <v>0</v>
      </c>
      <c r="AB938" s="264">
        <f>IF(NFI_Expiration=1,IF($A938&lt;VLOOKUP(K$5,NFI,5,0),1,0)*Table_NFI[[#This Row],[Mosquito net]],Table_NFI[Mosquito net])</f>
        <v>0</v>
      </c>
      <c r="AC938" s="264">
        <f>IF(NFI_Expiration=1,IF($A938&lt;VLOOKUP(L$5,NFI,5,0),1,0)*Table_NFI[[#This Row],[Tarpaulin]],Table_NFI[[#This Row],[Tarpaulin]])</f>
        <v>0</v>
      </c>
      <c r="AD938" s="264">
        <f>IF(NFI_Expiration=1,IF($A938&lt;VLOOKUP(M$5,NFI,5,0),1,0)*Table_NFI[[#This Row],[Blanket]],Table_NFI[[#This Row],[Blanket]])</f>
        <v>0</v>
      </c>
      <c r="AE938" s="264">
        <f>IF(NFI_Expiration=1,IF($A938&lt;VLOOKUP(N$5,NFI,5,0),1,0)*Table_NFI[[#This Row],[Kitchen Set]],Table_NFI[Kitchen Set])</f>
        <v>0</v>
      </c>
      <c r="AF938" s="264">
        <f>IF(NFI_Expiration=1,IF($A938&lt;VLOOKUP(O$5,NFI,5,0),1,0)*Table_NFI[[#This Row],[Clothes Kit]],Table_NFI[Clothes Kit])</f>
        <v>0</v>
      </c>
      <c r="AG938" s="264">
        <f>IF(NFI_Expiration=1,IF($A938&lt;VLOOKUP(P$5,NFI,5,0),1,0)*Table_NFI[[#This Row],[Plastic Bucket]],Table_NFI[Plastic Bucket])</f>
        <v>0</v>
      </c>
      <c r="AH938" s="264">
        <f>IF(NFI_Expiration=1,IF($A938&lt;VLOOKUP(Q$5,NFI,5,0),1,0)*Table_NFI[[#This Row],[Plastic Mat]],Table_NFI[Plastic Mat])*IF(Table_NFI[[#This Row],[Distribution Date]]&gt;"2014-04-01",1,2.5)</f>
        <v>0</v>
      </c>
      <c r="AI938" s="264">
        <f>IF(NFI_Expiration=1,IF($A938&lt;VLOOKUP(R$5,NFI,5,0),1,0)*Table_NFI[[#This Row],[Winter Clothes Adult]],Table_NFI[Winter Clothes Adult])</f>
        <v>0</v>
      </c>
      <c r="AJ938" s="264">
        <f>IF(NFI_Expiration=1,IF($A938&lt;VLOOKUP(S$5,NFI,5,0),1,0)*Table_NFI[[#This Row],[Winter Clothes Children]],Table_NFI[Winter Clothes Children])</f>
        <v>0</v>
      </c>
      <c r="AK938" s="264">
        <f>IF(NFI_Expiration=1,IF($A938&lt;VLOOKUP(T$5,NFI,5,0),1,0)*Table_NFI[[#This Row],[Winter Items Other]],Table_NFI[Winter Items Other])</f>
        <v>0</v>
      </c>
      <c r="AL938" s="264">
        <f>IF(NFI_Expiration=1,IF($A938&lt;VLOOKUP(M$5,NFI,5,0),1,0)*Table_NFI[[#This Row],[Winter Blanket]],Table_NFI[[#This Row],[Winter Blanket]])</f>
        <v>0</v>
      </c>
      <c r="AM938" s="264">
        <f>IF(Table_NFI[[#This Row],[Winter Clothes Adult]]+Table_NFI[[#This Row],[Winter Clothes Children]]+Table_NFI[[#This Row],[Winter Items Other]]+Table_NFI[[#This Row],[Winter Blanket]]&gt;0,1,0)</f>
        <v>0</v>
      </c>
      <c r="AN938" s="296">
        <f>IF(NFI_Expiration=1,IF($A938&lt;VLOOKUP(V$5,NFI,5,0),1,0)*Table_NFI[[#This Row],[Jerry Can]],Table_NFI[Jerry Can])</f>
        <v>0</v>
      </c>
      <c r="AO938" s="296">
        <f>IF(NFI_Expiration=1,IF($A938&lt;VLOOKUP(V$5,NFI,5,0),1,0)*Table_NFI[[#This Row],[Shelter Tool kit]],Table_NFI[Shelter Tool kit])</f>
        <v>0</v>
      </c>
      <c r="AP938" s="296">
        <f>IF(NFI_Expiration=1,IF($A938&lt;VLOOKUP(V$5,NFI,5,0),1,0)*Table_NFI[[#This Row],[Tent]],Table_NFI[Tent])</f>
        <v>0</v>
      </c>
      <c r="AQ938" s="396" t="str">
        <f>IFERROR(VLOOKUP(Table_NFI[[#This Row],[Camp Name]],CL,2,0),"")</f>
        <v>MMR001CMP070</v>
      </c>
      <c r="AR938" s="702">
        <f ca="1">IF(Table_NFI[[#This Row],[Pcode]]="","",IF(OFFSET(CampList[Opening Date],MATCH(Table_NFI[[#This Row],[Pcode]],CampList[CP_Pcode],0)-1,0,1,1)&gt;=NFI_Monitor_Date,1,0))</f>
        <v>0</v>
      </c>
      <c r="AS938" s="396" t="str">
        <f>IFERROR(VLOOKUP(Table_NFI[[#This Row],[Camp Name]],CL,3,0),"")</f>
        <v>Open</v>
      </c>
      <c r="AT938" s="264" t="str">
        <f ca="1">IF(Table_NFI[[#This Row],[Pcode]]="","",OFFSET(CampList[Priority],MATCH(Table_NFI[[#This Row],[Pcode]],CampList[CP_Pcode],0)-1,0,1,1))</f>
        <v>P3</v>
      </c>
      <c r="AU938" s="263">
        <f>IFERROR(Table_NFI[[#This Row],[Kitchen Set]]/VLOOKUP(Table_NFI[[#This Row],[Camp Name]],CL,4,0),"")</f>
        <v>1.4390243902439024E-3</v>
      </c>
      <c r="AV938" s="390" t="s">
        <v>1087</v>
      </c>
      <c r="AW938" s="392"/>
      <c r="AX938" s="399"/>
      <c r="AY938" s="399"/>
      <c r="AZ938" s="399"/>
      <c r="BA938" s="399"/>
      <c r="BB938" s="399"/>
      <c r="BC938" s="399"/>
      <c r="BD938" s="399"/>
      <c r="BE938" s="399"/>
      <c r="BF938" s="399"/>
      <c r="BG938" s="399"/>
      <c r="BH938" s="399"/>
      <c r="BI938" s="399"/>
      <c r="BJ938" s="399"/>
      <c r="BK938" s="399"/>
      <c r="BL938" s="399"/>
      <c r="BM938" s="399"/>
      <c r="BN938" s="399"/>
      <c r="BO938" s="399"/>
      <c r="BP938" s="399"/>
      <c r="BQ938" s="399"/>
      <c r="BR938" s="399"/>
      <c r="BS938" s="399"/>
      <c r="BT938" s="399"/>
      <c r="BU938" s="399"/>
      <c r="BV938" s="399"/>
      <c r="BW938" s="399"/>
      <c r="BX938" s="399"/>
      <c r="BY938" s="399"/>
      <c r="BZ938" s="399"/>
      <c r="CA938" s="399"/>
      <c r="CB938" s="399"/>
      <c r="CC938" s="399"/>
      <c r="CD938" s="399"/>
      <c r="CE938" s="399"/>
      <c r="CF938" s="399"/>
      <c r="CG938" s="399"/>
      <c r="CH938" s="399"/>
      <c r="CI938" s="399"/>
      <c r="CJ938" s="399"/>
      <c r="CK938" s="399"/>
      <c r="CL938" s="399"/>
      <c r="CM938" s="399"/>
      <c r="CN938" s="399"/>
      <c r="CO938" s="399"/>
      <c r="CP938" s="399"/>
      <c r="CQ938" s="399"/>
      <c r="CR938" s="399"/>
      <c r="CS938" s="399"/>
      <c r="CT938" s="399"/>
      <c r="CU938" s="399"/>
      <c r="CV938" s="399"/>
      <c r="CW938" s="399"/>
      <c r="CX938" s="399"/>
      <c r="CY938" s="399"/>
      <c r="CZ938" s="399"/>
      <c r="DA938" s="399"/>
      <c r="DB938" s="399"/>
      <c r="DC938" s="399"/>
      <c r="DD938" s="399"/>
      <c r="DE938" s="399"/>
      <c r="DF938" s="399"/>
      <c r="DG938" s="399"/>
      <c r="DH938" s="399"/>
      <c r="DI938" s="399"/>
      <c r="DJ938" s="399"/>
      <c r="DK938" s="399"/>
      <c r="DL938" s="399"/>
      <c r="DM938" s="399"/>
      <c r="DN938" s="399"/>
      <c r="DO938" s="399"/>
      <c r="DP938" s="399"/>
      <c r="DQ938" s="399"/>
    </row>
    <row r="939" spans="1:121" s="760" customFormat="1" ht="14.45" customHeight="1" x14ac:dyDescent="0.25">
      <c r="A939" s="266">
        <f t="shared" si="14"/>
        <v>55.866666666666667</v>
      </c>
      <c r="B939" s="389">
        <v>41180</v>
      </c>
      <c r="C939" s="390" t="s">
        <v>451</v>
      </c>
      <c r="D939" s="391" t="s">
        <v>903</v>
      </c>
      <c r="E939" s="390" t="s">
        <v>380</v>
      </c>
      <c r="F939" s="262" t="s">
        <v>27</v>
      </c>
      <c r="G939" s="262" t="s">
        <v>34</v>
      </c>
      <c r="H939" s="261"/>
      <c r="I939" s="261"/>
      <c r="J939" s="261"/>
      <c r="K939" s="261">
        <v>33</v>
      </c>
      <c r="L939" s="261">
        <v>11</v>
      </c>
      <c r="M939" s="261">
        <v>33</v>
      </c>
      <c r="N939" s="261">
        <v>11</v>
      </c>
      <c r="O939" s="261">
        <v>11</v>
      </c>
      <c r="P939" s="261">
        <v>11</v>
      </c>
      <c r="Q939" s="261">
        <v>11</v>
      </c>
      <c r="R939" s="261"/>
      <c r="S939" s="261"/>
      <c r="T939" s="261"/>
      <c r="U939" s="261"/>
      <c r="V939" s="762"/>
      <c r="W939" s="261"/>
      <c r="X939" s="261"/>
      <c r="Y939" s="264">
        <f>IF(NFI_Expiration=1,IF($A939&lt;VLOOKUP(H$5,NFI,5,0),1,0)*Table_NFI[[#This Row],[Hygiene Kit]],Table_NFI[Hygiene Kit])</f>
        <v>0</v>
      </c>
      <c r="Z939" s="264">
        <f>IF(NFI_Expiration=1,IF($A939&lt;VLOOKUP(I$5,NFI,5,0),1,0)*Table_NFI[[#This Row],[NFI Core Kit]],Table_NFI[NFI Core Kit])</f>
        <v>0</v>
      </c>
      <c r="AA939" s="264">
        <f>IF(NFI_Expiration=1,IF($A939&lt;VLOOKUP(J$5,NFI,5,0),1,0)*Table_NFI[[#This Row],[Sanitary Kit]],Table_NFI[Sanitary Kit])</f>
        <v>0</v>
      </c>
      <c r="AB939" s="264">
        <f>IF(NFI_Expiration=1,IF($A939&lt;VLOOKUP(K$5,NFI,5,0),1,0)*Table_NFI[[#This Row],[Mosquito net]],Table_NFI[Mosquito net])</f>
        <v>0</v>
      </c>
      <c r="AC939" s="264">
        <f>IF(NFI_Expiration=1,IF($A939&lt;VLOOKUP(L$5,NFI,5,0),1,0)*Table_NFI[[#This Row],[Tarpaulin]],Table_NFI[[#This Row],[Tarpaulin]])</f>
        <v>0</v>
      </c>
      <c r="AD939" s="264">
        <f>IF(NFI_Expiration=1,IF($A939&lt;VLOOKUP(M$5,NFI,5,0),1,0)*Table_NFI[[#This Row],[Blanket]],Table_NFI[[#This Row],[Blanket]])</f>
        <v>0</v>
      </c>
      <c r="AE939" s="264">
        <f>IF(NFI_Expiration=1,IF($A939&lt;VLOOKUP(N$5,NFI,5,0),1,0)*Table_NFI[[#This Row],[Kitchen Set]],Table_NFI[Kitchen Set])</f>
        <v>0</v>
      </c>
      <c r="AF939" s="264">
        <f>IF(NFI_Expiration=1,IF($A939&lt;VLOOKUP(O$5,NFI,5,0),1,0)*Table_NFI[[#This Row],[Clothes Kit]],Table_NFI[Clothes Kit])</f>
        <v>0</v>
      </c>
      <c r="AG939" s="264">
        <f>IF(NFI_Expiration=1,IF($A939&lt;VLOOKUP(P$5,NFI,5,0),1,0)*Table_NFI[[#This Row],[Plastic Bucket]],Table_NFI[Plastic Bucket])</f>
        <v>0</v>
      </c>
      <c r="AH939" s="264">
        <f>IF(NFI_Expiration=1,IF($A939&lt;VLOOKUP(Q$5,NFI,5,0),1,0)*Table_NFI[[#This Row],[Plastic Mat]],Table_NFI[Plastic Mat])*IF(Table_NFI[[#This Row],[Distribution Date]]&gt;"2014-04-01",1,2.5)</f>
        <v>0</v>
      </c>
      <c r="AI939" s="264">
        <f>IF(NFI_Expiration=1,IF($A939&lt;VLOOKUP(R$5,NFI,5,0),1,0)*Table_NFI[[#This Row],[Winter Clothes Adult]],Table_NFI[Winter Clothes Adult])</f>
        <v>0</v>
      </c>
      <c r="AJ939" s="264">
        <f>IF(NFI_Expiration=1,IF($A939&lt;VLOOKUP(S$5,NFI,5,0),1,0)*Table_NFI[[#This Row],[Winter Clothes Children]],Table_NFI[Winter Clothes Children])</f>
        <v>0</v>
      </c>
      <c r="AK939" s="264">
        <f>IF(NFI_Expiration=1,IF($A939&lt;VLOOKUP(T$5,NFI,5,0),1,0)*Table_NFI[[#This Row],[Winter Items Other]],Table_NFI[Winter Items Other])</f>
        <v>0</v>
      </c>
      <c r="AL939" s="264">
        <f>IF(NFI_Expiration=1,IF($A939&lt;VLOOKUP(M$5,NFI,5,0),1,0)*Table_NFI[[#This Row],[Winter Blanket]],Table_NFI[[#This Row],[Winter Blanket]])</f>
        <v>0</v>
      </c>
      <c r="AM939" s="264">
        <f>IF(Table_NFI[[#This Row],[Winter Clothes Adult]]+Table_NFI[[#This Row],[Winter Clothes Children]]+Table_NFI[[#This Row],[Winter Items Other]]+Table_NFI[[#This Row],[Winter Blanket]]&gt;0,1,0)</f>
        <v>0</v>
      </c>
      <c r="AN939" s="296">
        <f>IF(NFI_Expiration=1,IF($A939&lt;VLOOKUP(V$5,NFI,5,0),1,0)*Table_NFI[[#This Row],[Jerry Can]],Table_NFI[Jerry Can])</f>
        <v>0</v>
      </c>
      <c r="AO939" s="296">
        <f>IF(NFI_Expiration=1,IF($A939&lt;VLOOKUP(V$5,NFI,5,0),1,0)*Table_NFI[[#This Row],[Shelter Tool kit]],Table_NFI[Shelter Tool kit])</f>
        <v>0</v>
      </c>
      <c r="AP939" s="296">
        <f>IF(NFI_Expiration=1,IF($A939&lt;VLOOKUP(V$5,NFI,5,0),1,0)*Table_NFI[[#This Row],[Tent]],Table_NFI[Tent])</f>
        <v>0</v>
      </c>
      <c r="AQ939" s="396" t="str">
        <f>IFERROR(VLOOKUP(Table_NFI[[#This Row],[Camp Name]],CL,2,0),"")</f>
        <v>MMR001CMP045</v>
      </c>
      <c r="AR939" s="702">
        <f ca="1">IF(Table_NFI[[#This Row],[Pcode]]="","",IF(OFFSET(CampList[Opening Date],MATCH(Table_NFI[[#This Row],[Pcode]],CampList[CP_Pcode],0)-1,0,1,1)&gt;=NFI_Monitor_Date,1,0))</f>
        <v>0</v>
      </c>
      <c r="AS939" s="396" t="str">
        <f>IFERROR(VLOOKUP(Table_NFI[[#This Row],[Camp Name]],CL,3,0),"")</f>
        <v>Closed</v>
      </c>
      <c r="AT939" s="264" t="str">
        <f ca="1">IF(Table_NFI[[#This Row],[Pcode]]="","",OFFSET(CampList[Priority],MATCH(Table_NFI[[#This Row],[Pcode]],CampList[CP_Pcode],0)-1,0,1,1))</f>
        <v>P1</v>
      </c>
      <c r="AU939" s="263" t="str">
        <f>IFERROR(Table_NFI[[#This Row],[Kitchen Set]]/VLOOKUP(Table_NFI[[#This Row],[Camp Name]],CL,4,0),"")</f>
        <v/>
      </c>
      <c r="AV939" s="390" t="s">
        <v>1087</v>
      </c>
      <c r="AW939" s="392"/>
      <c r="AX939" s="399"/>
      <c r="AY939" s="399"/>
      <c r="AZ939" s="399"/>
      <c r="BA939" s="399"/>
      <c r="BB939" s="399"/>
      <c r="BC939" s="399"/>
      <c r="BD939" s="399"/>
      <c r="BE939" s="399"/>
      <c r="BF939" s="399"/>
      <c r="BG939" s="399"/>
      <c r="BH939" s="399"/>
      <c r="BI939" s="399"/>
      <c r="BJ939" s="399"/>
      <c r="BK939" s="399"/>
      <c r="BL939" s="399"/>
      <c r="BM939" s="399"/>
      <c r="BN939" s="399"/>
      <c r="BO939" s="399"/>
      <c r="BP939" s="399"/>
      <c r="BQ939" s="399"/>
      <c r="BR939" s="399"/>
      <c r="BS939" s="399"/>
      <c r="BT939" s="399"/>
      <c r="BU939" s="399"/>
      <c r="BV939" s="399"/>
      <c r="BW939" s="399"/>
      <c r="BX939" s="399"/>
      <c r="BY939" s="399"/>
      <c r="BZ939" s="399"/>
      <c r="CA939" s="399"/>
      <c r="CB939" s="399"/>
      <c r="CC939" s="399"/>
      <c r="CD939" s="399"/>
      <c r="CE939" s="399"/>
      <c r="CF939" s="399"/>
      <c r="CG939" s="399"/>
      <c r="CH939" s="399"/>
      <c r="CI939" s="399"/>
      <c r="CJ939" s="399"/>
      <c r="CK939" s="399"/>
      <c r="CL939" s="399"/>
      <c r="CM939" s="399"/>
      <c r="CN939" s="399"/>
      <c r="CO939" s="399"/>
      <c r="CP939" s="399"/>
      <c r="CQ939" s="399"/>
      <c r="CR939" s="399"/>
      <c r="CS939" s="399"/>
      <c r="CT939" s="399"/>
      <c r="CU939" s="399"/>
      <c r="CV939" s="399"/>
      <c r="CW939" s="399"/>
      <c r="CX939" s="399"/>
      <c r="CY939" s="399"/>
      <c r="CZ939" s="399"/>
      <c r="DA939" s="399"/>
      <c r="DB939" s="399"/>
      <c r="DC939" s="399"/>
      <c r="DD939" s="399"/>
      <c r="DE939" s="399"/>
      <c r="DF939" s="399"/>
      <c r="DG939" s="399"/>
      <c r="DH939" s="399"/>
      <c r="DI939" s="399"/>
      <c r="DJ939" s="399"/>
      <c r="DK939" s="399"/>
      <c r="DL939" s="399"/>
      <c r="DM939" s="399"/>
      <c r="DN939" s="399"/>
      <c r="DO939" s="399"/>
      <c r="DP939" s="399"/>
      <c r="DQ939" s="399"/>
    </row>
    <row r="940" spans="1:121" s="760" customFormat="1" ht="14.45" customHeight="1" x14ac:dyDescent="0.25">
      <c r="A940" s="266">
        <f t="shared" si="14"/>
        <v>55.9</v>
      </c>
      <c r="B940" s="389">
        <v>41179</v>
      </c>
      <c r="C940" s="390" t="s">
        <v>451</v>
      </c>
      <c r="D940" s="390" t="s">
        <v>903</v>
      </c>
      <c r="E940" s="390" t="s">
        <v>380</v>
      </c>
      <c r="F940" s="262" t="s">
        <v>27</v>
      </c>
      <c r="G940" s="262" t="s">
        <v>364</v>
      </c>
      <c r="H940" s="261"/>
      <c r="I940" s="261"/>
      <c r="J940" s="261"/>
      <c r="K940" s="261">
        <v>33</v>
      </c>
      <c r="L940" s="261">
        <v>11</v>
      </c>
      <c r="M940" s="261">
        <v>33</v>
      </c>
      <c r="N940" s="261">
        <v>11</v>
      </c>
      <c r="O940" s="261">
        <v>11</v>
      </c>
      <c r="P940" s="261">
        <v>11</v>
      </c>
      <c r="Q940" s="261">
        <v>11</v>
      </c>
      <c r="R940" s="261"/>
      <c r="S940" s="261"/>
      <c r="T940" s="261"/>
      <c r="U940" s="261"/>
      <c r="V940" s="762"/>
      <c r="W940" s="762"/>
      <c r="X940" s="762"/>
      <c r="Y940" s="264">
        <f>IF(NFI_Expiration=1,IF($A940&lt;VLOOKUP(H$5,NFI,5,0),1,0)*Table_NFI[[#This Row],[Hygiene Kit]],Table_NFI[Hygiene Kit])</f>
        <v>0</v>
      </c>
      <c r="Z940" s="264">
        <f>IF(NFI_Expiration=1,IF($A940&lt;VLOOKUP(I$5,NFI,5,0),1,0)*Table_NFI[[#This Row],[NFI Core Kit]],Table_NFI[NFI Core Kit])</f>
        <v>0</v>
      </c>
      <c r="AA940" s="264">
        <f>IF(NFI_Expiration=1,IF($A940&lt;VLOOKUP(J$5,NFI,5,0),1,0)*Table_NFI[[#This Row],[Sanitary Kit]],Table_NFI[Sanitary Kit])</f>
        <v>0</v>
      </c>
      <c r="AB940" s="264">
        <f>IF(NFI_Expiration=1,IF($A940&lt;VLOOKUP(K$5,NFI,5,0),1,0)*Table_NFI[[#This Row],[Mosquito net]],Table_NFI[Mosquito net])</f>
        <v>0</v>
      </c>
      <c r="AC940" s="264">
        <f>IF(NFI_Expiration=1,IF($A940&lt;VLOOKUP(L$5,NFI,5,0),1,0)*Table_NFI[[#This Row],[Tarpaulin]],Table_NFI[[#This Row],[Tarpaulin]])</f>
        <v>0</v>
      </c>
      <c r="AD940" s="264">
        <f>IF(NFI_Expiration=1,IF($A940&lt;VLOOKUP(M$5,NFI,5,0),1,0)*Table_NFI[[#This Row],[Blanket]],Table_NFI[[#This Row],[Blanket]])</f>
        <v>0</v>
      </c>
      <c r="AE940" s="264">
        <f>IF(NFI_Expiration=1,IF($A940&lt;VLOOKUP(N$5,NFI,5,0),1,0)*Table_NFI[[#This Row],[Kitchen Set]],Table_NFI[Kitchen Set])</f>
        <v>0</v>
      </c>
      <c r="AF940" s="264">
        <f>IF(NFI_Expiration=1,IF($A940&lt;VLOOKUP(O$5,NFI,5,0),1,0)*Table_NFI[[#This Row],[Clothes Kit]],Table_NFI[Clothes Kit])</f>
        <v>0</v>
      </c>
      <c r="AG940" s="264">
        <f>IF(NFI_Expiration=1,IF($A940&lt;VLOOKUP(P$5,NFI,5,0),1,0)*Table_NFI[[#This Row],[Plastic Bucket]],Table_NFI[Plastic Bucket])</f>
        <v>0</v>
      </c>
      <c r="AH940" s="264">
        <f>IF(NFI_Expiration=1,IF($A940&lt;VLOOKUP(Q$5,NFI,5,0),1,0)*Table_NFI[[#This Row],[Plastic Mat]],Table_NFI[Plastic Mat])*IF(Table_NFI[[#This Row],[Distribution Date]]&gt;"2014-04-01",1,2.5)</f>
        <v>0</v>
      </c>
      <c r="AI940" s="264">
        <f>IF(NFI_Expiration=1,IF($A940&lt;VLOOKUP(R$5,NFI,5,0),1,0)*Table_NFI[[#This Row],[Winter Clothes Adult]],Table_NFI[Winter Clothes Adult])</f>
        <v>0</v>
      </c>
      <c r="AJ940" s="264">
        <f>IF(NFI_Expiration=1,IF($A940&lt;VLOOKUP(S$5,NFI,5,0),1,0)*Table_NFI[[#This Row],[Winter Clothes Children]],Table_NFI[Winter Clothes Children])</f>
        <v>0</v>
      </c>
      <c r="AK940" s="264">
        <f>IF(NFI_Expiration=1,IF($A940&lt;VLOOKUP(T$5,NFI,5,0),1,0)*Table_NFI[[#This Row],[Winter Items Other]],Table_NFI[Winter Items Other])</f>
        <v>0</v>
      </c>
      <c r="AL940" s="264">
        <f>IF(NFI_Expiration=1,IF($A940&lt;VLOOKUP(M$5,NFI,5,0),1,0)*Table_NFI[[#This Row],[Winter Blanket]],Table_NFI[[#This Row],[Winter Blanket]])</f>
        <v>0</v>
      </c>
      <c r="AM940" s="264">
        <f>IF(Table_NFI[[#This Row],[Winter Clothes Adult]]+Table_NFI[[#This Row],[Winter Clothes Children]]+Table_NFI[[#This Row],[Winter Items Other]]+Table_NFI[[#This Row],[Winter Blanket]]&gt;0,1,0)</f>
        <v>0</v>
      </c>
      <c r="AN940" s="296">
        <f>IF(NFI_Expiration=1,IF($A940&lt;VLOOKUP(V$5,NFI,5,0),1,0)*Table_NFI[[#This Row],[Jerry Can]],Table_NFI[Jerry Can])</f>
        <v>0</v>
      </c>
      <c r="AO940" s="296">
        <f>IF(NFI_Expiration=1,IF($A940&lt;VLOOKUP(V$5,NFI,5,0),1,0)*Table_NFI[[#This Row],[Shelter Tool kit]],Table_NFI[Shelter Tool kit])</f>
        <v>0</v>
      </c>
      <c r="AP940" s="296">
        <f>IF(NFI_Expiration=1,IF($A940&lt;VLOOKUP(V$5,NFI,5,0),1,0)*Table_NFI[[#This Row],[Tent]],Table_NFI[Tent])</f>
        <v>0</v>
      </c>
      <c r="AQ940" s="396" t="str">
        <f>IFERROR(VLOOKUP(Table_NFI[[#This Row],[Camp Name]],CL,2,0),"")</f>
        <v>MMR001CMP043</v>
      </c>
      <c r="AR940" s="702">
        <f ca="1">IF(Table_NFI[[#This Row],[Pcode]]="","",IF(OFFSET(CampList[Opening Date],MATCH(Table_NFI[[#This Row],[Pcode]],CampList[CP_Pcode],0)-1,0,1,1)&gt;=NFI_Monitor_Date,1,0))</f>
        <v>0</v>
      </c>
      <c r="AS940" s="396" t="str">
        <f>IFERROR(VLOOKUP(Table_NFI[[#This Row],[Camp Name]],CL,3,0),"")</f>
        <v>Open</v>
      </c>
      <c r="AT940" s="264" t="str">
        <f ca="1">IF(Table_NFI[[#This Row],[Pcode]]="","",OFFSET(CampList[Priority],MATCH(Table_NFI[[#This Row],[Pcode]],CampList[CP_Pcode],0)-1,0,1,1))</f>
        <v>P1</v>
      </c>
      <c r="AU940" s="263">
        <f>IFERROR(Table_NFI[[#This Row],[Kitchen Set]]/VLOOKUP(Table_NFI[[#This Row],[Camp Name]],CL,4,0),"")</f>
        <v>2.6809651474530834E-4</v>
      </c>
      <c r="AV940" s="390" t="s">
        <v>1087</v>
      </c>
      <c r="AW940" s="392"/>
      <c r="AX940" s="399"/>
      <c r="AY940" s="399"/>
      <c r="AZ940" s="399"/>
      <c r="BA940" s="399"/>
      <c r="BB940" s="399"/>
      <c r="BC940" s="399"/>
      <c r="BD940" s="399"/>
      <c r="BE940" s="399"/>
      <c r="BF940" s="399"/>
      <c r="BG940" s="399"/>
      <c r="BH940" s="399"/>
      <c r="BI940" s="399"/>
      <c r="BJ940" s="399"/>
      <c r="BK940" s="399"/>
      <c r="BL940" s="399"/>
      <c r="BM940" s="399"/>
      <c r="BN940" s="399"/>
      <c r="BO940" s="399"/>
      <c r="BP940" s="399"/>
      <c r="BQ940" s="399"/>
      <c r="BR940" s="399"/>
      <c r="BS940" s="399"/>
      <c r="BT940" s="399"/>
      <c r="BU940" s="399"/>
      <c r="BV940" s="399"/>
      <c r="BW940" s="399"/>
      <c r="BX940" s="399"/>
      <c r="BY940" s="399"/>
      <c r="BZ940" s="399"/>
      <c r="CA940" s="399"/>
      <c r="CB940" s="399"/>
      <c r="CC940" s="399"/>
      <c r="CD940" s="399"/>
      <c r="CE940" s="399"/>
      <c r="CF940" s="399"/>
      <c r="CG940" s="399"/>
      <c r="CH940" s="399"/>
      <c r="CI940" s="399"/>
      <c r="CJ940" s="399"/>
      <c r="CK940" s="399"/>
      <c r="CL940" s="399"/>
      <c r="CM940" s="399"/>
      <c r="CN940" s="399"/>
      <c r="CO940" s="399"/>
      <c r="CP940" s="399"/>
      <c r="CQ940" s="399"/>
      <c r="CR940" s="399"/>
      <c r="CS940" s="399"/>
      <c r="CT940" s="399"/>
      <c r="CU940" s="399"/>
      <c r="CV940" s="399"/>
      <c r="CW940" s="399"/>
      <c r="CX940" s="399"/>
      <c r="CY940" s="399"/>
      <c r="CZ940" s="399"/>
      <c r="DA940" s="399"/>
      <c r="DB940" s="399"/>
      <c r="DC940" s="399"/>
      <c r="DD940" s="399"/>
      <c r="DE940" s="399"/>
      <c r="DF940" s="399"/>
      <c r="DG940" s="399"/>
      <c r="DH940" s="399"/>
      <c r="DI940" s="399"/>
      <c r="DJ940" s="399"/>
      <c r="DK940" s="399"/>
      <c r="DL940" s="399"/>
      <c r="DM940" s="399"/>
      <c r="DN940" s="399"/>
      <c r="DO940" s="399"/>
      <c r="DP940" s="399"/>
      <c r="DQ940" s="399"/>
    </row>
    <row r="941" spans="1:121" s="760" customFormat="1" ht="14.45" customHeight="1" x14ac:dyDescent="0.25">
      <c r="A941" s="266">
        <f t="shared" si="14"/>
        <v>55.93333333333333</v>
      </c>
      <c r="B941" s="389">
        <v>41178</v>
      </c>
      <c r="C941" s="390" t="s">
        <v>451</v>
      </c>
      <c r="D941" s="390" t="s">
        <v>903</v>
      </c>
      <c r="E941" s="390" t="s">
        <v>380</v>
      </c>
      <c r="F941" s="262" t="s">
        <v>27</v>
      </c>
      <c r="G941" s="262" t="s">
        <v>32</v>
      </c>
      <c r="H941" s="261"/>
      <c r="I941" s="261"/>
      <c r="J941" s="261"/>
      <c r="K941" s="261">
        <v>33</v>
      </c>
      <c r="L941" s="261">
        <v>11</v>
      </c>
      <c r="M941" s="261">
        <v>33</v>
      </c>
      <c r="N941" s="261">
        <v>11</v>
      </c>
      <c r="O941" s="261">
        <v>11</v>
      </c>
      <c r="P941" s="261">
        <v>11</v>
      </c>
      <c r="Q941" s="261">
        <v>11</v>
      </c>
      <c r="R941" s="261"/>
      <c r="S941" s="261"/>
      <c r="T941" s="261"/>
      <c r="U941" s="261"/>
      <c r="V941" s="762"/>
      <c r="W941" s="261"/>
      <c r="X941" s="261"/>
      <c r="Y941" s="264">
        <f>IF(NFI_Expiration=1,IF($A941&lt;VLOOKUP(H$5,NFI,5,0),1,0)*Table_NFI[[#This Row],[Hygiene Kit]],Table_NFI[Hygiene Kit])</f>
        <v>0</v>
      </c>
      <c r="Z941" s="264">
        <f>IF(NFI_Expiration=1,IF($A941&lt;VLOOKUP(I$5,NFI,5,0),1,0)*Table_NFI[[#This Row],[NFI Core Kit]],Table_NFI[NFI Core Kit])</f>
        <v>0</v>
      </c>
      <c r="AA941" s="264">
        <f>IF(NFI_Expiration=1,IF($A941&lt;VLOOKUP(J$5,NFI,5,0),1,0)*Table_NFI[[#This Row],[Sanitary Kit]],Table_NFI[Sanitary Kit])</f>
        <v>0</v>
      </c>
      <c r="AB941" s="264">
        <f>IF(NFI_Expiration=1,IF($A941&lt;VLOOKUP(K$5,NFI,5,0),1,0)*Table_NFI[[#This Row],[Mosquito net]],Table_NFI[Mosquito net])</f>
        <v>0</v>
      </c>
      <c r="AC941" s="264">
        <f>IF(NFI_Expiration=1,IF($A941&lt;VLOOKUP(L$5,NFI,5,0),1,0)*Table_NFI[[#This Row],[Tarpaulin]],Table_NFI[[#This Row],[Tarpaulin]])</f>
        <v>0</v>
      </c>
      <c r="AD941" s="264">
        <f>IF(NFI_Expiration=1,IF($A941&lt;VLOOKUP(M$5,NFI,5,0),1,0)*Table_NFI[[#This Row],[Blanket]],Table_NFI[[#This Row],[Blanket]])</f>
        <v>0</v>
      </c>
      <c r="AE941" s="264">
        <f>IF(NFI_Expiration=1,IF($A941&lt;VLOOKUP(N$5,NFI,5,0),1,0)*Table_NFI[[#This Row],[Kitchen Set]],Table_NFI[Kitchen Set])</f>
        <v>0</v>
      </c>
      <c r="AF941" s="264">
        <f>IF(NFI_Expiration=1,IF($A941&lt;VLOOKUP(O$5,NFI,5,0),1,0)*Table_NFI[[#This Row],[Clothes Kit]],Table_NFI[Clothes Kit])</f>
        <v>0</v>
      </c>
      <c r="AG941" s="264">
        <f>IF(NFI_Expiration=1,IF($A941&lt;VLOOKUP(P$5,NFI,5,0),1,0)*Table_NFI[[#This Row],[Plastic Bucket]],Table_NFI[Plastic Bucket])</f>
        <v>0</v>
      </c>
      <c r="AH941" s="264">
        <f>IF(NFI_Expiration=1,IF($A941&lt;VLOOKUP(Q$5,NFI,5,0),1,0)*Table_NFI[[#This Row],[Plastic Mat]],Table_NFI[Plastic Mat])*IF(Table_NFI[[#This Row],[Distribution Date]]&gt;"2014-04-01",1,2.5)</f>
        <v>0</v>
      </c>
      <c r="AI941" s="264">
        <f>IF(NFI_Expiration=1,IF($A941&lt;VLOOKUP(R$5,NFI,5,0),1,0)*Table_NFI[[#This Row],[Winter Clothes Adult]],Table_NFI[Winter Clothes Adult])</f>
        <v>0</v>
      </c>
      <c r="AJ941" s="264">
        <f>IF(NFI_Expiration=1,IF($A941&lt;VLOOKUP(S$5,NFI,5,0),1,0)*Table_NFI[[#This Row],[Winter Clothes Children]],Table_NFI[Winter Clothes Children])</f>
        <v>0</v>
      </c>
      <c r="AK941" s="264">
        <f>IF(NFI_Expiration=1,IF($A941&lt;VLOOKUP(T$5,NFI,5,0),1,0)*Table_NFI[[#This Row],[Winter Items Other]],Table_NFI[Winter Items Other])</f>
        <v>0</v>
      </c>
      <c r="AL941" s="264">
        <f>IF(NFI_Expiration=1,IF($A941&lt;VLOOKUP(M$5,NFI,5,0),1,0)*Table_NFI[[#This Row],[Winter Blanket]],Table_NFI[[#This Row],[Winter Blanket]])</f>
        <v>0</v>
      </c>
      <c r="AM941" s="264">
        <f>IF(Table_NFI[[#This Row],[Winter Clothes Adult]]+Table_NFI[[#This Row],[Winter Clothes Children]]+Table_NFI[[#This Row],[Winter Items Other]]+Table_NFI[[#This Row],[Winter Blanket]]&gt;0,1,0)</f>
        <v>0</v>
      </c>
      <c r="AN941" s="296">
        <f>IF(NFI_Expiration=1,IF($A941&lt;VLOOKUP(V$5,NFI,5,0),1,0)*Table_NFI[[#This Row],[Jerry Can]],Table_NFI[Jerry Can])</f>
        <v>0</v>
      </c>
      <c r="AO941" s="296">
        <f>IF(NFI_Expiration=1,IF($A941&lt;VLOOKUP(V$5,NFI,5,0),1,0)*Table_NFI[[#This Row],[Shelter Tool kit]],Table_NFI[Shelter Tool kit])</f>
        <v>0</v>
      </c>
      <c r="AP941" s="296">
        <f>IF(NFI_Expiration=1,IF($A941&lt;VLOOKUP(V$5,NFI,5,0),1,0)*Table_NFI[[#This Row],[Tent]],Table_NFI[Tent])</f>
        <v>0</v>
      </c>
      <c r="AQ941" s="396" t="str">
        <f>IFERROR(VLOOKUP(Table_NFI[[#This Row],[Camp Name]],CL,2,0),"")</f>
        <v>MMR001CMP046</v>
      </c>
      <c r="AR941" s="702">
        <f ca="1">IF(Table_NFI[[#This Row],[Pcode]]="","",IF(OFFSET(CampList[Opening Date],MATCH(Table_NFI[[#This Row],[Pcode]],CampList[CP_Pcode],0)-1,0,1,1)&gt;=NFI_Monitor_Date,1,0))</f>
        <v>0</v>
      </c>
      <c r="AS941" s="396" t="str">
        <f>IFERROR(VLOOKUP(Table_NFI[[#This Row],[Camp Name]],CL,3,0),"")</f>
        <v>Closed</v>
      </c>
      <c r="AT941" s="264" t="str">
        <f ca="1">IF(Table_NFI[[#This Row],[Pcode]]="","",OFFSET(CampList[Priority],MATCH(Table_NFI[[#This Row],[Pcode]],CampList[CP_Pcode],0)-1,0,1,1))</f>
        <v>P1</v>
      </c>
      <c r="AU941" s="263" t="str">
        <f>IFERROR(Table_NFI[[#This Row],[Kitchen Set]]/VLOOKUP(Table_NFI[[#This Row],[Camp Name]],CL,4,0),"")</f>
        <v/>
      </c>
      <c r="AV941" s="390" t="s">
        <v>1087</v>
      </c>
      <c r="AW941" s="392"/>
      <c r="AX941" s="399"/>
      <c r="AY941" s="399"/>
      <c r="AZ941" s="399"/>
      <c r="BA941" s="399"/>
      <c r="BB941" s="399"/>
      <c r="BC941" s="399"/>
      <c r="BD941" s="399"/>
      <c r="BE941" s="399"/>
      <c r="BF941" s="399"/>
      <c r="BG941" s="399"/>
      <c r="BH941" s="399"/>
      <c r="BI941" s="399"/>
      <c r="BJ941" s="399"/>
      <c r="BK941" s="399"/>
      <c r="BL941" s="399"/>
      <c r="BM941" s="399"/>
      <c r="BN941" s="399"/>
      <c r="BO941" s="399"/>
      <c r="BP941" s="399"/>
      <c r="BQ941" s="399"/>
      <c r="BR941" s="399"/>
      <c r="BS941" s="399"/>
      <c r="BT941" s="399"/>
      <c r="BU941" s="399"/>
      <c r="BV941" s="399"/>
      <c r="BW941" s="399"/>
      <c r="BX941" s="399"/>
      <c r="BY941" s="399"/>
      <c r="BZ941" s="399"/>
      <c r="CA941" s="399"/>
      <c r="CB941" s="399"/>
      <c r="CC941" s="399"/>
      <c r="CD941" s="399"/>
      <c r="CE941" s="399"/>
      <c r="CF941" s="399"/>
      <c r="CG941" s="399"/>
      <c r="CH941" s="399"/>
      <c r="CI941" s="399"/>
      <c r="CJ941" s="399"/>
      <c r="CK941" s="399"/>
      <c r="CL941" s="399"/>
      <c r="CM941" s="399"/>
      <c r="CN941" s="399"/>
      <c r="CO941" s="399"/>
      <c r="CP941" s="399"/>
      <c r="CQ941" s="399"/>
      <c r="CR941" s="399"/>
      <c r="CS941" s="399"/>
      <c r="CT941" s="399"/>
      <c r="CU941" s="399"/>
      <c r="CV941" s="399"/>
      <c r="CW941" s="399"/>
      <c r="CX941" s="399"/>
      <c r="CY941" s="399"/>
      <c r="CZ941" s="399"/>
      <c r="DA941" s="399"/>
      <c r="DB941" s="399"/>
      <c r="DC941" s="399"/>
      <c r="DD941" s="399"/>
      <c r="DE941" s="399"/>
      <c r="DF941" s="399"/>
      <c r="DG941" s="399"/>
      <c r="DH941" s="399"/>
      <c r="DI941" s="399"/>
      <c r="DJ941" s="399"/>
      <c r="DK941" s="399"/>
      <c r="DL941" s="399"/>
      <c r="DM941" s="399"/>
      <c r="DN941" s="399"/>
      <c r="DO941" s="399"/>
      <c r="DP941" s="399"/>
      <c r="DQ941" s="399"/>
    </row>
    <row r="942" spans="1:121" s="760" customFormat="1" ht="14.45" customHeight="1" x14ac:dyDescent="0.25">
      <c r="A942" s="266">
        <f t="shared" si="14"/>
        <v>55.966666666666669</v>
      </c>
      <c r="B942" s="389">
        <v>41177</v>
      </c>
      <c r="C942" s="390" t="s">
        <v>451</v>
      </c>
      <c r="D942" s="390" t="s">
        <v>903</v>
      </c>
      <c r="E942" s="390" t="s">
        <v>380</v>
      </c>
      <c r="F942" s="262" t="s">
        <v>27</v>
      </c>
      <c r="G942" s="262" t="s">
        <v>28</v>
      </c>
      <c r="H942" s="261"/>
      <c r="I942" s="261"/>
      <c r="J942" s="261"/>
      <c r="K942" s="261">
        <v>33</v>
      </c>
      <c r="L942" s="261">
        <v>11</v>
      </c>
      <c r="M942" s="261">
        <v>33</v>
      </c>
      <c r="N942" s="261">
        <v>11</v>
      </c>
      <c r="O942" s="261">
        <v>11</v>
      </c>
      <c r="P942" s="261">
        <v>11</v>
      </c>
      <c r="Q942" s="261">
        <v>11</v>
      </c>
      <c r="R942" s="261"/>
      <c r="S942" s="261"/>
      <c r="T942" s="261"/>
      <c r="U942" s="261"/>
      <c r="V942" s="762"/>
      <c r="W942" s="261"/>
      <c r="X942" s="261"/>
      <c r="Y942" s="264">
        <f>IF(NFI_Expiration=1,IF($A942&lt;VLOOKUP(H$5,NFI,5,0),1,0)*Table_NFI[[#This Row],[Hygiene Kit]],Table_NFI[Hygiene Kit])</f>
        <v>0</v>
      </c>
      <c r="Z942" s="264">
        <f>IF(NFI_Expiration=1,IF($A942&lt;VLOOKUP(I$5,NFI,5,0),1,0)*Table_NFI[[#This Row],[NFI Core Kit]],Table_NFI[NFI Core Kit])</f>
        <v>0</v>
      </c>
      <c r="AA942" s="264">
        <f>IF(NFI_Expiration=1,IF($A942&lt;VLOOKUP(J$5,NFI,5,0),1,0)*Table_NFI[[#This Row],[Sanitary Kit]],Table_NFI[Sanitary Kit])</f>
        <v>0</v>
      </c>
      <c r="AB942" s="264">
        <f>IF(NFI_Expiration=1,IF($A942&lt;VLOOKUP(K$5,NFI,5,0),1,0)*Table_NFI[[#This Row],[Mosquito net]],Table_NFI[Mosquito net])</f>
        <v>0</v>
      </c>
      <c r="AC942" s="264">
        <f>IF(NFI_Expiration=1,IF($A942&lt;VLOOKUP(L$5,NFI,5,0),1,0)*Table_NFI[[#This Row],[Tarpaulin]],Table_NFI[[#This Row],[Tarpaulin]])</f>
        <v>0</v>
      </c>
      <c r="AD942" s="264">
        <f>IF(NFI_Expiration=1,IF($A942&lt;VLOOKUP(M$5,NFI,5,0),1,0)*Table_NFI[[#This Row],[Blanket]],Table_NFI[[#This Row],[Blanket]])</f>
        <v>0</v>
      </c>
      <c r="AE942" s="264">
        <f>IF(NFI_Expiration=1,IF($A942&lt;VLOOKUP(N$5,NFI,5,0),1,0)*Table_NFI[[#This Row],[Kitchen Set]],Table_NFI[Kitchen Set])</f>
        <v>0</v>
      </c>
      <c r="AF942" s="264">
        <f>IF(NFI_Expiration=1,IF($A942&lt;VLOOKUP(O$5,NFI,5,0),1,0)*Table_NFI[[#This Row],[Clothes Kit]],Table_NFI[Clothes Kit])</f>
        <v>0</v>
      </c>
      <c r="AG942" s="264">
        <f>IF(NFI_Expiration=1,IF($A942&lt;VLOOKUP(P$5,NFI,5,0),1,0)*Table_NFI[[#This Row],[Plastic Bucket]],Table_NFI[Plastic Bucket])</f>
        <v>0</v>
      </c>
      <c r="AH942" s="264">
        <f>IF(NFI_Expiration=1,IF($A942&lt;VLOOKUP(Q$5,NFI,5,0),1,0)*Table_NFI[[#This Row],[Plastic Mat]],Table_NFI[Plastic Mat])*IF(Table_NFI[[#This Row],[Distribution Date]]&gt;"2014-04-01",1,2.5)</f>
        <v>0</v>
      </c>
      <c r="AI942" s="264">
        <f>IF(NFI_Expiration=1,IF($A942&lt;VLOOKUP(R$5,NFI,5,0),1,0)*Table_NFI[[#This Row],[Winter Clothes Adult]],Table_NFI[Winter Clothes Adult])</f>
        <v>0</v>
      </c>
      <c r="AJ942" s="264">
        <f>IF(NFI_Expiration=1,IF($A942&lt;VLOOKUP(S$5,NFI,5,0),1,0)*Table_NFI[[#This Row],[Winter Clothes Children]],Table_NFI[Winter Clothes Children])</f>
        <v>0</v>
      </c>
      <c r="AK942" s="264">
        <f>IF(NFI_Expiration=1,IF($A942&lt;VLOOKUP(T$5,NFI,5,0),1,0)*Table_NFI[[#This Row],[Winter Items Other]],Table_NFI[Winter Items Other])</f>
        <v>0</v>
      </c>
      <c r="AL942" s="264">
        <f>IF(NFI_Expiration=1,IF($A942&lt;VLOOKUP(M$5,NFI,5,0),1,0)*Table_NFI[[#This Row],[Winter Blanket]],Table_NFI[[#This Row],[Winter Blanket]])</f>
        <v>0</v>
      </c>
      <c r="AM942" s="264">
        <f>IF(Table_NFI[[#This Row],[Winter Clothes Adult]]+Table_NFI[[#This Row],[Winter Clothes Children]]+Table_NFI[[#This Row],[Winter Items Other]]+Table_NFI[[#This Row],[Winter Blanket]]&gt;0,1,0)</f>
        <v>0</v>
      </c>
      <c r="AN942" s="296">
        <f>IF(NFI_Expiration=1,IF($A942&lt;VLOOKUP(V$5,NFI,5,0),1,0)*Table_NFI[[#This Row],[Jerry Can]],Table_NFI[Jerry Can])</f>
        <v>0</v>
      </c>
      <c r="AO942" s="296">
        <f>IF(NFI_Expiration=1,IF($A942&lt;VLOOKUP(V$5,NFI,5,0),1,0)*Table_NFI[[#This Row],[Shelter Tool kit]],Table_NFI[Shelter Tool kit])</f>
        <v>0</v>
      </c>
      <c r="AP942" s="296">
        <f>IF(NFI_Expiration=1,IF($A942&lt;VLOOKUP(V$5,NFI,5,0),1,0)*Table_NFI[[#This Row],[Tent]],Table_NFI[Tent])</f>
        <v>0</v>
      </c>
      <c r="AQ942" s="396" t="str">
        <f>IFERROR(VLOOKUP(Table_NFI[[#This Row],[Camp Name]],CL,2,0),"")</f>
        <v>MMR001CMP042</v>
      </c>
      <c r="AR942" s="702">
        <f ca="1">IF(Table_NFI[[#This Row],[Pcode]]="","",IF(OFFSET(CampList[Opening Date],MATCH(Table_NFI[[#This Row],[Pcode]],CampList[CP_Pcode],0)-1,0,1,1)&gt;=NFI_Monitor_Date,1,0))</f>
        <v>0</v>
      </c>
      <c r="AS942" s="396" t="str">
        <f>IFERROR(VLOOKUP(Table_NFI[[#This Row],[Camp Name]],CL,3,0),"")</f>
        <v>Open</v>
      </c>
      <c r="AT942" s="264" t="str">
        <f ca="1">IF(Table_NFI[[#This Row],[Pcode]]="","",OFFSET(CampList[Priority],MATCH(Table_NFI[[#This Row],[Pcode]],CampList[CP_Pcode],0)-1,0,1,1))</f>
        <v>P1</v>
      </c>
      <c r="AU942" s="263">
        <f>IFERROR(Table_NFI[[#This Row],[Kitchen Set]]/VLOOKUP(Table_NFI[[#This Row],[Camp Name]],CL,4,0),"")</f>
        <v>2.667054601881486E-4</v>
      </c>
      <c r="AV942" s="390" t="s">
        <v>1087</v>
      </c>
      <c r="AW942" s="392"/>
      <c r="AX942" s="399"/>
      <c r="AY942" s="399"/>
      <c r="AZ942" s="399"/>
      <c r="BA942" s="399"/>
      <c r="BB942" s="399"/>
      <c r="BC942" s="399"/>
      <c r="BD942" s="399"/>
      <c r="BE942" s="399"/>
      <c r="BF942" s="399"/>
      <c r="BG942" s="399"/>
      <c r="BH942" s="399"/>
      <c r="BI942" s="399"/>
      <c r="BJ942" s="399"/>
      <c r="BK942" s="399"/>
      <c r="BL942" s="399"/>
      <c r="BM942" s="399"/>
      <c r="BN942" s="399"/>
      <c r="BO942" s="399"/>
      <c r="BP942" s="399"/>
      <c r="BQ942" s="399"/>
      <c r="BR942" s="399"/>
      <c r="BS942" s="399"/>
      <c r="BT942" s="399"/>
      <c r="BU942" s="399"/>
      <c r="BV942" s="399"/>
      <c r="BW942" s="399"/>
      <c r="BX942" s="399"/>
      <c r="BY942" s="399"/>
      <c r="BZ942" s="399"/>
      <c r="CA942" s="399"/>
      <c r="CB942" s="399"/>
      <c r="CC942" s="399"/>
      <c r="CD942" s="399"/>
      <c r="CE942" s="399"/>
      <c r="CF942" s="399"/>
      <c r="CG942" s="399"/>
      <c r="CH942" s="399"/>
      <c r="CI942" s="399"/>
      <c r="CJ942" s="399"/>
      <c r="CK942" s="399"/>
      <c r="CL942" s="399"/>
      <c r="CM942" s="399"/>
      <c r="CN942" s="399"/>
      <c r="CO942" s="399"/>
      <c r="CP942" s="399"/>
      <c r="CQ942" s="399"/>
      <c r="CR942" s="399"/>
      <c r="CS942" s="399"/>
      <c r="CT942" s="399"/>
      <c r="CU942" s="399"/>
      <c r="CV942" s="399"/>
      <c r="CW942" s="399"/>
      <c r="CX942" s="399"/>
      <c r="CY942" s="399"/>
      <c r="CZ942" s="399"/>
      <c r="DA942" s="399"/>
      <c r="DB942" s="399"/>
      <c r="DC942" s="399"/>
      <c r="DD942" s="399"/>
      <c r="DE942" s="399"/>
      <c r="DF942" s="399"/>
      <c r="DG942" s="399"/>
      <c r="DH942" s="399"/>
      <c r="DI942" s="399"/>
      <c r="DJ942" s="399"/>
      <c r="DK942" s="399"/>
      <c r="DL942" s="399"/>
      <c r="DM942" s="399"/>
      <c r="DN942" s="399"/>
      <c r="DO942" s="399"/>
      <c r="DP942" s="399"/>
      <c r="DQ942" s="399"/>
    </row>
    <row r="943" spans="1:121" s="760" customFormat="1" ht="14.45" customHeight="1" x14ac:dyDescent="0.25">
      <c r="A943" s="266">
        <f t="shared" si="14"/>
        <v>56.133333333333333</v>
      </c>
      <c r="B943" s="389">
        <v>41172</v>
      </c>
      <c r="C943" s="390" t="s">
        <v>904</v>
      </c>
      <c r="D943" s="390" t="s">
        <v>1001</v>
      </c>
      <c r="E943" s="390" t="s">
        <v>380</v>
      </c>
      <c r="F943" s="390" t="s">
        <v>302</v>
      </c>
      <c r="G943" s="390" t="s">
        <v>1410</v>
      </c>
      <c r="H943" s="261">
        <v>92</v>
      </c>
      <c r="I943" s="261"/>
      <c r="J943" s="261"/>
      <c r="K943" s="261"/>
      <c r="L943" s="261"/>
      <c r="M943" s="261"/>
      <c r="N943" s="261"/>
      <c r="O943" s="261"/>
      <c r="P943" s="261"/>
      <c r="Q943" s="261"/>
      <c r="R943" s="261"/>
      <c r="S943" s="261"/>
      <c r="T943" s="261"/>
      <c r="U943" s="261"/>
      <c r="V943" s="762"/>
      <c r="W943" s="261"/>
      <c r="X943" s="261"/>
      <c r="Y943" s="264">
        <f>IF(NFI_Expiration=1,IF($A943&lt;VLOOKUP(H$5,NFI,5,0),1,0)*Table_NFI[[#This Row],[Hygiene Kit]],Table_NFI[Hygiene Kit])</f>
        <v>0</v>
      </c>
      <c r="Z943" s="264">
        <f>IF(NFI_Expiration=1,IF($A943&lt;VLOOKUP(I$5,NFI,5,0),1,0)*Table_NFI[[#This Row],[NFI Core Kit]],Table_NFI[NFI Core Kit])</f>
        <v>0</v>
      </c>
      <c r="AA943" s="264">
        <f>IF(NFI_Expiration=1,IF($A943&lt;VLOOKUP(J$5,NFI,5,0),1,0)*Table_NFI[[#This Row],[Sanitary Kit]],Table_NFI[Sanitary Kit])</f>
        <v>0</v>
      </c>
      <c r="AB943" s="264">
        <f>IF(NFI_Expiration=1,IF($A943&lt;VLOOKUP(K$5,NFI,5,0),1,0)*Table_NFI[[#This Row],[Mosquito net]],Table_NFI[Mosquito net])</f>
        <v>0</v>
      </c>
      <c r="AC943" s="264">
        <f>IF(NFI_Expiration=1,IF($A943&lt;VLOOKUP(L$5,NFI,5,0),1,0)*Table_NFI[[#This Row],[Tarpaulin]],Table_NFI[[#This Row],[Tarpaulin]])</f>
        <v>0</v>
      </c>
      <c r="AD943" s="264">
        <f>IF(NFI_Expiration=1,IF($A943&lt;VLOOKUP(M$5,NFI,5,0),1,0)*Table_NFI[[#This Row],[Blanket]],Table_NFI[[#This Row],[Blanket]])</f>
        <v>0</v>
      </c>
      <c r="AE943" s="264">
        <f>IF(NFI_Expiration=1,IF($A943&lt;VLOOKUP(N$5,NFI,5,0),1,0)*Table_NFI[[#This Row],[Kitchen Set]],Table_NFI[Kitchen Set])</f>
        <v>0</v>
      </c>
      <c r="AF943" s="264">
        <f>IF(NFI_Expiration=1,IF($A943&lt;VLOOKUP(O$5,NFI,5,0),1,0)*Table_NFI[[#This Row],[Clothes Kit]],Table_NFI[Clothes Kit])</f>
        <v>0</v>
      </c>
      <c r="AG943" s="264">
        <f>IF(NFI_Expiration=1,IF($A943&lt;VLOOKUP(P$5,NFI,5,0),1,0)*Table_NFI[[#This Row],[Plastic Bucket]],Table_NFI[Plastic Bucket])</f>
        <v>0</v>
      </c>
      <c r="AH943" s="264">
        <f>IF(NFI_Expiration=1,IF($A943&lt;VLOOKUP(Q$5,NFI,5,0),1,0)*Table_NFI[[#This Row],[Plastic Mat]],Table_NFI[Plastic Mat])*IF(Table_NFI[[#This Row],[Distribution Date]]&gt;"2014-04-01",1,2.5)</f>
        <v>0</v>
      </c>
      <c r="AI943" s="264">
        <f>IF(NFI_Expiration=1,IF($A943&lt;VLOOKUP(R$5,NFI,5,0),1,0)*Table_NFI[[#This Row],[Winter Clothes Adult]],Table_NFI[Winter Clothes Adult])</f>
        <v>0</v>
      </c>
      <c r="AJ943" s="264">
        <f>IF(NFI_Expiration=1,IF($A943&lt;VLOOKUP(S$5,NFI,5,0),1,0)*Table_NFI[[#This Row],[Winter Clothes Children]],Table_NFI[Winter Clothes Children])</f>
        <v>0</v>
      </c>
      <c r="AK943" s="264">
        <f>IF(NFI_Expiration=1,IF($A943&lt;VLOOKUP(T$5,NFI,5,0),1,0)*Table_NFI[[#This Row],[Winter Items Other]],Table_NFI[Winter Items Other])</f>
        <v>0</v>
      </c>
      <c r="AL943" s="264">
        <f>IF(NFI_Expiration=1,IF($A943&lt;VLOOKUP(M$5,NFI,5,0),1,0)*Table_NFI[[#This Row],[Winter Blanket]],Table_NFI[[#This Row],[Winter Blanket]])</f>
        <v>0</v>
      </c>
      <c r="AM943" s="264">
        <f>IF(Table_NFI[[#This Row],[Winter Clothes Adult]]+Table_NFI[[#This Row],[Winter Clothes Children]]+Table_NFI[[#This Row],[Winter Items Other]]+Table_NFI[[#This Row],[Winter Blanket]]&gt;0,1,0)</f>
        <v>0</v>
      </c>
      <c r="AN943" s="296">
        <f>IF(NFI_Expiration=1,IF($A943&lt;VLOOKUP(V$5,NFI,5,0),1,0)*Table_NFI[[#This Row],[Jerry Can]],Table_NFI[Jerry Can])</f>
        <v>0</v>
      </c>
      <c r="AO943" s="296">
        <f>IF(NFI_Expiration=1,IF($A943&lt;VLOOKUP(V$5,NFI,5,0),1,0)*Table_NFI[[#This Row],[Shelter Tool kit]],Table_NFI[Shelter Tool kit])</f>
        <v>0</v>
      </c>
      <c r="AP943" s="296">
        <f>IF(NFI_Expiration=1,IF($A943&lt;VLOOKUP(V$5,NFI,5,0),1,0)*Table_NFI[[#This Row],[Tent]],Table_NFI[Tent])</f>
        <v>0</v>
      </c>
      <c r="AQ943" s="396" t="str">
        <f>IFERROR(VLOOKUP(Table_NFI[[#This Row],[Camp Name]],CL,2,0),"")</f>
        <v/>
      </c>
      <c r="AR943" s="702" t="str">
        <f ca="1">IF(Table_NFI[[#This Row],[Pcode]]="","",IF(OFFSET(CampList[Opening Date],MATCH(Table_NFI[[#This Row],[Pcode]],CampList[CP_Pcode],0)-1,0,1,1)&gt;=NFI_Monitor_Date,1,0))</f>
        <v/>
      </c>
      <c r="AS943" s="396" t="str">
        <f>IFERROR(VLOOKUP(Table_NFI[[#This Row],[Camp Name]],CL,3,0),"")</f>
        <v/>
      </c>
      <c r="AT943" s="264" t="str">
        <f ca="1">IF(Table_NFI[[#This Row],[Pcode]]="","",OFFSET(CampList[Priority],MATCH(Table_NFI[[#This Row],[Pcode]],CampList[CP_Pcode],0)-1,0,1,1))</f>
        <v/>
      </c>
      <c r="AU943" s="263" t="str">
        <f>IFERROR(Table_NFI[[#This Row],[Kitchen Set]]/VLOOKUP(Table_NFI[[#This Row],[Camp Name]],CL,4,0),"")</f>
        <v/>
      </c>
      <c r="AV943" s="390"/>
      <c r="AW943" s="392"/>
      <c r="AX943" s="399"/>
      <c r="AY943" s="399"/>
      <c r="AZ943" s="399"/>
      <c r="BA943" s="399"/>
      <c r="BB943" s="399"/>
      <c r="BC943" s="399"/>
      <c r="BD943" s="399"/>
      <c r="BE943" s="399"/>
      <c r="BF943" s="399"/>
      <c r="BG943" s="399"/>
      <c r="BH943" s="399"/>
      <c r="BI943" s="399"/>
      <c r="BJ943" s="399"/>
      <c r="BK943" s="399"/>
      <c r="BL943" s="399"/>
      <c r="BM943" s="399"/>
      <c r="BN943" s="399"/>
      <c r="BO943" s="399"/>
      <c r="BP943" s="399"/>
      <c r="BQ943" s="399"/>
      <c r="BR943" s="399"/>
      <c r="BS943" s="399"/>
      <c r="BT943" s="399"/>
      <c r="BU943" s="399"/>
      <c r="BV943" s="399"/>
      <c r="BW943" s="399"/>
      <c r="BX943" s="399"/>
      <c r="BY943" s="399"/>
      <c r="BZ943" s="399"/>
      <c r="CA943" s="399"/>
      <c r="CB943" s="399"/>
      <c r="CC943" s="399"/>
      <c r="CD943" s="399"/>
      <c r="CE943" s="399"/>
      <c r="CF943" s="399"/>
      <c r="CG943" s="399"/>
      <c r="CH943" s="399"/>
      <c r="CI943" s="399"/>
      <c r="CJ943" s="399"/>
      <c r="CK943" s="399"/>
      <c r="CL943" s="399"/>
      <c r="CM943" s="399"/>
      <c r="CN943" s="399"/>
      <c r="CO943" s="399"/>
      <c r="CP943" s="399"/>
      <c r="CQ943" s="399"/>
      <c r="CR943" s="399"/>
      <c r="CS943" s="399"/>
      <c r="CT943" s="399"/>
      <c r="CU943" s="399"/>
      <c r="CV943" s="399"/>
      <c r="CW943" s="399"/>
      <c r="CX943" s="399"/>
      <c r="CY943" s="399"/>
      <c r="CZ943" s="399"/>
      <c r="DA943" s="399"/>
      <c r="DB943" s="399"/>
      <c r="DC943" s="399"/>
      <c r="DD943" s="399"/>
      <c r="DE943" s="399"/>
      <c r="DF943" s="399"/>
      <c r="DG943" s="399"/>
      <c r="DH943" s="399"/>
      <c r="DI943" s="399"/>
      <c r="DJ943" s="399"/>
      <c r="DK943" s="399"/>
      <c r="DL943" s="399"/>
      <c r="DM943" s="399"/>
      <c r="DN943" s="399"/>
      <c r="DO943" s="399"/>
      <c r="DP943" s="399"/>
      <c r="DQ943" s="399"/>
    </row>
    <row r="944" spans="1:121" s="760" customFormat="1" ht="14.45" customHeight="1" x14ac:dyDescent="0.25">
      <c r="A944" s="266">
        <f t="shared" si="14"/>
        <v>56.2</v>
      </c>
      <c r="B944" s="389">
        <v>41170</v>
      </c>
      <c r="C944" s="390" t="s">
        <v>904</v>
      </c>
      <c r="D944" s="390" t="s">
        <v>1001</v>
      </c>
      <c r="E944" s="390" t="s">
        <v>380</v>
      </c>
      <c r="F944" s="262" t="s">
        <v>302</v>
      </c>
      <c r="G944" s="262" t="s">
        <v>306</v>
      </c>
      <c r="H944" s="261">
        <v>98</v>
      </c>
      <c r="I944" s="261"/>
      <c r="J944" s="261"/>
      <c r="K944" s="261"/>
      <c r="L944" s="261"/>
      <c r="M944" s="261"/>
      <c r="N944" s="261"/>
      <c r="O944" s="261"/>
      <c r="P944" s="261"/>
      <c r="Q944" s="261"/>
      <c r="R944" s="261"/>
      <c r="S944" s="261"/>
      <c r="T944" s="261"/>
      <c r="U944" s="261"/>
      <c r="V944" s="762"/>
      <c r="W944" s="261"/>
      <c r="X944" s="261"/>
      <c r="Y944" s="264">
        <f>IF(NFI_Expiration=1,IF($A944&lt;VLOOKUP(H$5,NFI,5,0),1,0)*Table_NFI[[#This Row],[Hygiene Kit]],Table_NFI[Hygiene Kit])</f>
        <v>0</v>
      </c>
      <c r="Z944" s="264">
        <f>IF(NFI_Expiration=1,IF($A944&lt;VLOOKUP(I$5,NFI,5,0),1,0)*Table_NFI[[#This Row],[NFI Core Kit]],Table_NFI[NFI Core Kit])</f>
        <v>0</v>
      </c>
      <c r="AA944" s="264">
        <f>IF(NFI_Expiration=1,IF($A944&lt;VLOOKUP(J$5,NFI,5,0),1,0)*Table_NFI[[#This Row],[Sanitary Kit]],Table_NFI[Sanitary Kit])</f>
        <v>0</v>
      </c>
      <c r="AB944" s="264">
        <f>IF(NFI_Expiration=1,IF($A944&lt;VLOOKUP(K$5,NFI,5,0),1,0)*Table_NFI[[#This Row],[Mosquito net]],Table_NFI[Mosquito net])</f>
        <v>0</v>
      </c>
      <c r="AC944" s="264">
        <f>IF(NFI_Expiration=1,IF($A944&lt;VLOOKUP(L$5,NFI,5,0),1,0)*Table_NFI[[#This Row],[Tarpaulin]],Table_NFI[[#This Row],[Tarpaulin]])</f>
        <v>0</v>
      </c>
      <c r="AD944" s="264">
        <f>IF(NFI_Expiration=1,IF($A944&lt;VLOOKUP(M$5,NFI,5,0),1,0)*Table_NFI[[#This Row],[Blanket]],Table_NFI[[#This Row],[Blanket]])</f>
        <v>0</v>
      </c>
      <c r="AE944" s="264">
        <f>IF(NFI_Expiration=1,IF($A944&lt;VLOOKUP(N$5,NFI,5,0),1,0)*Table_NFI[[#This Row],[Kitchen Set]],Table_NFI[Kitchen Set])</f>
        <v>0</v>
      </c>
      <c r="AF944" s="264">
        <f>IF(NFI_Expiration=1,IF($A944&lt;VLOOKUP(O$5,NFI,5,0),1,0)*Table_NFI[[#This Row],[Clothes Kit]],Table_NFI[Clothes Kit])</f>
        <v>0</v>
      </c>
      <c r="AG944" s="264">
        <f>IF(NFI_Expiration=1,IF($A944&lt;VLOOKUP(P$5,NFI,5,0),1,0)*Table_NFI[[#This Row],[Plastic Bucket]],Table_NFI[Plastic Bucket])</f>
        <v>0</v>
      </c>
      <c r="AH944" s="264">
        <f>IF(NFI_Expiration=1,IF($A944&lt;VLOOKUP(Q$5,NFI,5,0),1,0)*Table_NFI[[#This Row],[Plastic Mat]],Table_NFI[Plastic Mat])*IF(Table_NFI[[#This Row],[Distribution Date]]&gt;"2014-04-01",1,2.5)</f>
        <v>0</v>
      </c>
      <c r="AI944" s="264">
        <f>IF(NFI_Expiration=1,IF($A944&lt;VLOOKUP(R$5,NFI,5,0),1,0)*Table_NFI[[#This Row],[Winter Clothes Adult]],Table_NFI[Winter Clothes Adult])</f>
        <v>0</v>
      </c>
      <c r="AJ944" s="264">
        <f>IF(NFI_Expiration=1,IF($A944&lt;VLOOKUP(S$5,NFI,5,0),1,0)*Table_NFI[[#This Row],[Winter Clothes Children]],Table_NFI[Winter Clothes Children])</f>
        <v>0</v>
      </c>
      <c r="AK944" s="264">
        <f>IF(NFI_Expiration=1,IF($A944&lt;VLOOKUP(T$5,NFI,5,0),1,0)*Table_NFI[[#This Row],[Winter Items Other]],Table_NFI[Winter Items Other])</f>
        <v>0</v>
      </c>
      <c r="AL944" s="264">
        <f>IF(NFI_Expiration=1,IF($A944&lt;VLOOKUP(M$5,NFI,5,0),1,0)*Table_NFI[[#This Row],[Winter Blanket]],Table_NFI[[#This Row],[Winter Blanket]])</f>
        <v>0</v>
      </c>
      <c r="AM944" s="264">
        <f>IF(Table_NFI[[#This Row],[Winter Clothes Adult]]+Table_NFI[[#This Row],[Winter Clothes Children]]+Table_NFI[[#This Row],[Winter Items Other]]+Table_NFI[[#This Row],[Winter Blanket]]&gt;0,1,0)</f>
        <v>0</v>
      </c>
      <c r="AN944" s="296">
        <f>IF(NFI_Expiration=1,IF($A944&lt;VLOOKUP(V$5,NFI,5,0),1,0)*Table_NFI[[#This Row],[Jerry Can]],Table_NFI[Jerry Can])</f>
        <v>0</v>
      </c>
      <c r="AO944" s="296">
        <f>IF(NFI_Expiration=1,IF($A944&lt;VLOOKUP(V$5,NFI,5,0),1,0)*Table_NFI[[#This Row],[Shelter Tool kit]],Table_NFI[Shelter Tool kit])</f>
        <v>0</v>
      </c>
      <c r="AP944" s="296">
        <f>IF(NFI_Expiration=1,IF($A944&lt;VLOOKUP(V$5,NFI,5,0),1,0)*Table_NFI[[#This Row],[Tent]],Table_NFI[Tent])</f>
        <v>0</v>
      </c>
      <c r="AQ944" s="396" t="str">
        <f>IFERROR(VLOOKUP(Table_NFI[[#This Row],[Camp Name]],CL,2,0),"")</f>
        <v>MMR001CMP067</v>
      </c>
      <c r="AR944" s="702">
        <f ca="1">IF(Table_NFI[[#This Row],[Pcode]]="","",IF(OFFSET(CampList[Opening Date],MATCH(Table_NFI[[#This Row],[Pcode]],CampList[CP_Pcode],0)-1,0,1,1)&gt;=NFI_Monitor_Date,1,0))</f>
        <v>0</v>
      </c>
      <c r="AS944" s="396" t="str">
        <f>IFERROR(VLOOKUP(Table_NFI[[#This Row],[Camp Name]],CL,3,0),"")</f>
        <v>Open</v>
      </c>
      <c r="AT944" s="264" t="str">
        <f ca="1">IF(Table_NFI[[#This Row],[Pcode]]="","",OFFSET(CampList[Priority],MATCH(Table_NFI[[#This Row],[Pcode]],CampList[CP_Pcode],0)-1,0,1,1))</f>
        <v>P4</v>
      </c>
      <c r="AU944" s="263">
        <f>IFERROR(Table_NFI[[#This Row],[Kitchen Set]]/VLOOKUP(Table_NFI[[#This Row],[Camp Name]],CL,4,0),"")</f>
        <v>0</v>
      </c>
      <c r="AV944" s="390"/>
      <c r="AW944" s="392"/>
      <c r="AX944" s="399"/>
      <c r="AY944" s="399"/>
      <c r="AZ944" s="399"/>
      <c r="BA944" s="399"/>
      <c r="BB944" s="399"/>
      <c r="BC944" s="399"/>
      <c r="BD944" s="399"/>
      <c r="BE944" s="399"/>
      <c r="BF944" s="399"/>
      <c r="BG944" s="399"/>
      <c r="BH944" s="399"/>
      <c r="BI944" s="399"/>
      <c r="BJ944" s="399"/>
      <c r="BK944" s="399"/>
      <c r="BL944" s="399"/>
      <c r="BM944" s="399"/>
      <c r="BN944" s="399"/>
      <c r="BO944" s="399"/>
      <c r="BP944" s="399"/>
      <c r="BQ944" s="399"/>
      <c r="BR944" s="399"/>
      <c r="BS944" s="399"/>
      <c r="BT944" s="399"/>
      <c r="BU944" s="399"/>
      <c r="BV944" s="399"/>
      <c r="BW944" s="399"/>
      <c r="BX944" s="399"/>
      <c r="BY944" s="399"/>
      <c r="BZ944" s="399"/>
      <c r="CA944" s="399"/>
      <c r="CB944" s="399"/>
      <c r="CC944" s="399"/>
      <c r="CD944" s="399"/>
      <c r="CE944" s="399"/>
      <c r="CF944" s="399"/>
      <c r="CG944" s="399"/>
      <c r="CH944" s="399"/>
      <c r="CI944" s="399"/>
      <c r="CJ944" s="399"/>
      <c r="CK944" s="399"/>
      <c r="CL944" s="399"/>
      <c r="CM944" s="399"/>
      <c r="CN944" s="399"/>
      <c r="CO944" s="399"/>
      <c r="CP944" s="399"/>
      <c r="CQ944" s="399"/>
      <c r="CR944" s="399"/>
      <c r="CS944" s="399"/>
      <c r="CT944" s="399"/>
      <c r="CU944" s="399"/>
      <c r="CV944" s="399"/>
      <c r="CW944" s="399"/>
      <c r="CX944" s="399"/>
      <c r="CY944" s="399"/>
      <c r="CZ944" s="399"/>
      <c r="DA944" s="399"/>
      <c r="DB944" s="399"/>
      <c r="DC944" s="399"/>
      <c r="DD944" s="399"/>
      <c r="DE944" s="399"/>
      <c r="DF944" s="399"/>
      <c r="DG944" s="399"/>
      <c r="DH944" s="399"/>
      <c r="DI944" s="399"/>
      <c r="DJ944" s="399"/>
      <c r="DK944" s="399"/>
      <c r="DL944" s="399"/>
      <c r="DM944" s="399"/>
      <c r="DN944" s="399"/>
      <c r="DO944" s="399"/>
      <c r="DP944" s="399"/>
      <c r="DQ944" s="399"/>
    </row>
    <row r="945" spans="1:121" s="760" customFormat="1" ht="14.45" customHeight="1" x14ac:dyDescent="0.25">
      <c r="A945" s="266">
        <f t="shared" si="14"/>
        <v>56.2</v>
      </c>
      <c r="B945" s="389">
        <v>41170</v>
      </c>
      <c r="C945" s="390" t="s">
        <v>904</v>
      </c>
      <c r="D945" s="390" t="s">
        <v>1001</v>
      </c>
      <c r="E945" s="390" t="s">
        <v>380</v>
      </c>
      <c r="F945" s="262" t="s">
        <v>302</v>
      </c>
      <c r="G945" s="262" t="s">
        <v>308</v>
      </c>
      <c r="H945" s="261">
        <v>59</v>
      </c>
      <c r="I945" s="261"/>
      <c r="J945" s="261"/>
      <c r="K945" s="261"/>
      <c r="L945" s="261"/>
      <c r="M945" s="261"/>
      <c r="N945" s="261"/>
      <c r="O945" s="261"/>
      <c r="P945" s="261"/>
      <c r="Q945" s="261"/>
      <c r="R945" s="261"/>
      <c r="S945" s="261"/>
      <c r="T945" s="261"/>
      <c r="U945" s="261"/>
      <c r="V945" s="762"/>
      <c r="W945" s="261"/>
      <c r="X945" s="261"/>
      <c r="Y945" s="264">
        <f>IF(NFI_Expiration=1,IF($A945&lt;VLOOKUP(H$5,NFI,5,0),1,0)*Table_NFI[[#This Row],[Hygiene Kit]],Table_NFI[Hygiene Kit])</f>
        <v>0</v>
      </c>
      <c r="Z945" s="264">
        <f>IF(NFI_Expiration=1,IF($A945&lt;VLOOKUP(I$5,NFI,5,0),1,0)*Table_NFI[[#This Row],[NFI Core Kit]],Table_NFI[NFI Core Kit])</f>
        <v>0</v>
      </c>
      <c r="AA945" s="264">
        <f>IF(NFI_Expiration=1,IF($A945&lt;VLOOKUP(J$5,NFI,5,0),1,0)*Table_NFI[[#This Row],[Sanitary Kit]],Table_NFI[Sanitary Kit])</f>
        <v>0</v>
      </c>
      <c r="AB945" s="264">
        <f>IF(NFI_Expiration=1,IF($A945&lt;VLOOKUP(K$5,NFI,5,0),1,0)*Table_NFI[[#This Row],[Mosquito net]],Table_NFI[Mosquito net])</f>
        <v>0</v>
      </c>
      <c r="AC945" s="264">
        <f>IF(NFI_Expiration=1,IF($A945&lt;VLOOKUP(L$5,NFI,5,0),1,0)*Table_NFI[[#This Row],[Tarpaulin]],Table_NFI[[#This Row],[Tarpaulin]])</f>
        <v>0</v>
      </c>
      <c r="AD945" s="264">
        <f>IF(NFI_Expiration=1,IF($A945&lt;VLOOKUP(M$5,NFI,5,0),1,0)*Table_NFI[[#This Row],[Blanket]],Table_NFI[[#This Row],[Blanket]])</f>
        <v>0</v>
      </c>
      <c r="AE945" s="264">
        <f>IF(NFI_Expiration=1,IF($A945&lt;VLOOKUP(N$5,NFI,5,0),1,0)*Table_NFI[[#This Row],[Kitchen Set]],Table_NFI[Kitchen Set])</f>
        <v>0</v>
      </c>
      <c r="AF945" s="264">
        <f>IF(NFI_Expiration=1,IF($A945&lt;VLOOKUP(O$5,NFI,5,0),1,0)*Table_NFI[[#This Row],[Clothes Kit]],Table_NFI[Clothes Kit])</f>
        <v>0</v>
      </c>
      <c r="AG945" s="264">
        <f>IF(NFI_Expiration=1,IF($A945&lt;VLOOKUP(P$5,NFI,5,0),1,0)*Table_NFI[[#This Row],[Plastic Bucket]],Table_NFI[Plastic Bucket])</f>
        <v>0</v>
      </c>
      <c r="AH945" s="264">
        <f>IF(NFI_Expiration=1,IF($A945&lt;VLOOKUP(Q$5,NFI,5,0),1,0)*Table_NFI[[#This Row],[Plastic Mat]],Table_NFI[Plastic Mat])*IF(Table_NFI[[#This Row],[Distribution Date]]&gt;"2014-04-01",1,2.5)</f>
        <v>0</v>
      </c>
      <c r="AI945" s="264">
        <f>IF(NFI_Expiration=1,IF($A945&lt;VLOOKUP(R$5,NFI,5,0),1,0)*Table_NFI[[#This Row],[Winter Clothes Adult]],Table_NFI[Winter Clothes Adult])</f>
        <v>0</v>
      </c>
      <c r="AJ945" s="264">
        <f>IF(NFI_Expiration=1,IF($A945&lt;VLOOKUP(S$5,NFI,5,0),1,0)*Table_NFI[[#This Row],[Winter Clothes Children]],Table_NFI[Winter Clothes Children])</f>
        <v>0</v>
      </c>
      <c r="AK945" s="264">
        <f>IF(NFI_Expiration=1,IF($A945&lt;VLOOKUP(T$5,NFI,5,0),1,0)*Table_NFI[[#This Row],[Winter Items Other]],Table_NFI[Winter Items Other])</f>
        <v>0</v>
      </c>
      <c r="AL945" s="264">
        <f>IF(NFI_Expiration=1,IF($A945&lt;VLOOKUP(M$5,NFI,5,0),1,0)*Table_NFI[[#This Row],[Winter Blanket]],Table_NFI[[#This Row],[Winter Blanket]])</f>
        <v>0</v>
      </c>
      <c r="AM945" s="264">
        <f>IF(Table_NFI[[#This Row],[Winter Clothes Adult]]+Table_NFI[[#This Row],[Winter Clothes Children]]+Table_NFI[[#This Row],[Winter Items Other]]+Table_NFI[[#This Row],[Winter Blanket]]&gt;0,1,0)</f>
        <v>0</v>
      </c>
      <c r="AN945" s="296">
        <f>IF(NFI_Expiration=1,IF($A945&lt;VLOOKUP(V$5,NFI,5,0),1,0)*Table_NFI[[#This Row],[Jerry Can]],Table_NFI[Jerry Can])</f>
        <v>0</v>
      </c>
      <c r="AO945" s="296">
        <f>IF(NFI_Expiration=1,IF($A945&lt;VLOOKUP(V$5,NFI,5,0),1,0)*Table_NFI[[#This Row],[Shelter Tool kit]],Table_NFI[Shelter Tool kit])</f>
        <v>0</v>
      </c>
      <c r="AP945" s="296">
        <f>IF(NFI_Expiration=1,IF($A945&lt;VLOOKUP(V$5,NFI,5,0),1,0)*Table_NFI[[#This Row],[Tent]],Table_NFI[Tent])</f>
        <v>0</v>
      </c>
      <c r="AQ945" s="396" t="str">
        <f>IFERROR(VLOOKUP(Table_NFI[[#This Row],[Camp Name]],CL,2,0),"")</f>
        <v>MMR001CMP068</v>
      </c>
      <c r="AR945" s="702">
        <f ca="1">IF(Table_NFI[[#This Row],[Pcode]]="","",IF(OFFSET(CampList[Opening Date],MATCH(Table_NFI[[#This Row],[Pcode]],CampList[CP_Pcode],0)-1,0,1,1)&gt;=NFI_Monitor_Date,1,0))</f>
        <v>0</v>
      </c>
      <c r="AS945" s="396" t="str">
        <f>IFERROR(VLOOKUP(Table_NFI[[#This Row],[Camp Name]],CL,3,0),"")</f>
        <v>Open</v>
      </c>
      <c r="AT945" s="264" t="str">
        <f ca="1">IF(Table_NFI[[#This Row],[Pcode]]="","",OFFSET(CampList[Priority],MATCH(Table_NFI[[#This Row],[Pcode]],CampList[CP_Pcode],0)-1,0,1,1))</f>
        <v>P4</v>
      </c>
      <c r="AU945" s="263">
        <f>IFERROR(Table_NFI[[#This Row],[Kitchen Set]]/VLOOKUP(Table_NFI[[#This Row],[Camp Name]],CL,4,0),"")</f>
        <v>0</v>
      </c>
      <c r="AV945" s="390"/>
      <c r="AW945" s="392"/>
      <c r="AX945" s="399"/>
      <c r="AY945" s="399"/>
      <c r="AZ945" s="399"/>
      <c r="BA945" s="399"/>
      <c r="BB945" s="399"/>
      <c r="BC945" s="399"/>
      <c r="BD945" s="399"/>
      <c r="BE945" s="399"/>
      <c r="BF945" s="399"/>
      <c r="BG945" s="399"/>
      <c r="BH945" s="399"/>
      <c r="BI945" s="399"/>
      <c r="BJ945" s="399"/>
      <c r="BK945" s="399"/>
      <c r="BL945" s="399"/>
      <c r="BM945" s="399"/>
      <c r="BN945" s="399"/>
      <c r="BO945" s="399"/>
      <c r="BP945" s="399"/>
      <c r="BQ945" s="399"/>
      <c r="BR945" s="399"/>
      <c r="BS945" s="399"/>
      <c r="BT945" s="399"/>
      <c r="BU945" s="399"/>
      <c r="BV945" s="399"/>
      <c r="BW945" s="399"/>
      <c r="BX945" s="399"/>
      <c r="BY945" s="399"/>
      <c r="BZ945" s="399"/>
      <c r="CA945" s="399"/>
      <c r="CB945" s="399"/>
      <c r="CC945" s="399"/>
      <c r="CD945" s="399"/>
      <c r="CE945" s="399"/>
      <c r="CF945" s="399"/>
      <c r="CG945" s="399"/>
      <c r="CH945" s="399"/>
      <c r="CI945" s="399"/>
      <c r="CJ945" s="399"/>
      <c r="CK945" s="399"/>
      <c r="CL945" s="399"/>
      <c r="CM945" s="399"/>
      <c r="CN945" s="399"/>
      <c r="CO945" s="399"/>
      <c r="CP945" s="399"/>
      <c r="CQ945" s="399"/>
      <c r="CR945" s="399"/>
      <c r="CS945" s="399"/>
      <c r="CT945" s="399"/>
      <c r="CU945" s="399"/>
      <c r="CV945" s="399"/>
      <c r="CW945" s="399"/>
      <c r="CX945" s="399"/>
      <c r="CY945" s="399"/>
      <c r="CZ945" s="399"/>
      <c r="DA945" s="399"/>
      <c r="DB945" s="399"/>
      <c r="DC945" s="399"/>
      <c r="DD945" s="399"/>
      <c r="DE945" s="399"/>
      <c r="DF945" s="399"/>
      <c r="DG945" s="399"/>
      <c r="DH945" s="399"/>
      <c r="DI945" s="399"/>
      <c r="DJ945" s="399"/>
      <c r="DK945" s="399"/>
      <c r="DL945" s="399"/>
      <c r="DM945" s="399"/>
      <c r="DN945" s="399"/>
      <c r="DO945" s="399"/>
      <c r="DP945" s="399"/>
      <c r="DQ945" s="399"/>
    </row>
    <row r="946" spans="1:121" s="760" customFormat="1" ht="14.45" customHeight="1" x14ac:dyDescent="0.25">
      <c r="A946" s="266">
        <f t="shared" si="14"/>
        <v>56.2</v>
      </c>
      <c r="B946" s="389">
        <v>41170</v>
      </c>
      <c r="C946" s="390" t="s">
        <v>904</v>
      </c>
      <c r="D946" s="390" t="s">
        <v>1001</v>
      </c>
      <c r="E946" s="390" t="s">
        <v>380</v>
      </c>
      <c r="F946" s="390" t="s">
        <v>302</v>
      </c>
      <c r="G946" s="390" t="s">
        <v>1411</v>
      </c>
      <c r="H946" s="261">
        <v>45</v>
      </c>
      <c r="I946" s="261"/>
      <c r="J946" s="261"/>
      <c r="K946" s="261"/>
      <c r="L946" s="261"/>
      <c r="M946" s="261"/>
      <c r="N946" s="261"/>
      <c r="O946" s="261"/>
      <c r="P946" s="261"/>
      <c r="Q946" s="261"/>
      <c r="R946" s="261"/>
      <c r="S946" s="261"/>
      <c r="T946" s="261"/>
      <c r="U946" s="261"/>
      <c r="V946" s="762"/>
      <c r="W946" s="261"/>
      <c r="X946" s="261"/>
      <c r="Y946" s="264">
        <f>IF(NFI_Expiration=1,IF($A946&lt;VLOOKUP(H$5,NFI,5,0),1,0)*Table_NFI[[#This Row],[Hygiene Kit]],Table_NFI[Hygiene Kit])</f>
        <v>0</v>
      </c>
      <c r="Z946" s="264">
        <f>IF(NFI_Expiration=1,IF($A946&lt;VLOOKUP(I$5,NFI,5,0),1,0)*Table_NFI[[#This Row],[NFI Core Kit]],Table_NFI[NFI Core Kit])</f>
        <v>0</v>
      </c>
      <c r="AA946" s="264">
        <f>IF(NFI_Expiration=1,IF($A946&lt;VLOOKUP(J$5,NFI,5,0),1,0)*Table_NFI[[#This Row],[Sanitary Kit]],Table_NFI[Sanitary Kit])</f>
        <v>0</v>
      </c>
      <c r="AB946" s="264">
        <f>IF(NFI_Expiration=1,IF($A946&lt;VLOOKUP(K$5,NFI,5,0),1,0)*Table_NFI[[#This Row],[Mosquito net]],Table_NFI[Mosquito net])</f>
        <v>0</v>
      </c>
      <c r="AC946" s="264">
        <f>IF(NFI_Expiration=1,IF($A946&lt;VLOOKUP(L$5,NFI,5,0),1,0)*Table_NFI[[#This Row],[Tarpaulin]],Table_NFI[[#This Row],[Tarpaulin]])</f>
        <v>0</v>
      </c>
      <c r="AD946" s="264">
        <f>IF(NFI_Expiration=1,IF($A946&lt;VLOOKUP(M$5,NFI,5,0),1,0)*Table_NFI[[#This Row],[Blanket]],Table_NFI[[#This Row],[Blanket]])</f>
        <v>0</v>
      </c>
      <c r="AE946" s="264">
        <f>IF(NFI_Expiration=1,IF($A946&lt;VLOOKUP(N$5,NFI,5,0),1,0)*Table_NFI[[#This Row],[Kitchen Set]],Table_NFI[Kitchen Set])</f>
        <v>0</v>
      </c>
      <c r="AF946" s="264">
        <f>IF(NFI_Expiration=1,IF($A946&lt;VLOOKUP(O$5,NFI,5,0),1,0)*Table_NFI[[#This Row],[Clothes Kit]],Table_NFI[Clothes Kit])</f>
        <v>0</v>
      </c>
      <c r="AG946" s="264">
        <f>IF(NFI_Expiration=1,IF($A946&lt;VLOOKUP(P$5,NFI,5,0),1,0)*Table_NFI[[#This Row],[Plastic Bucket]],Table_NFI[Plastic Bucket])</f>
        <v>0</v>
      </c>
      <c r="AH946" s="264">
        <f>IF(NFI_Expiration=1,IF($A946&lt;VLOOKUP(Q$5,NFI,5,0),1,0)*Table_NFI[[#This Row],[Plastic Mat]],Table_NFI[Plastic Mat])*IF(Table_NFI[[#This Row],[Distribution Date]]&gt;"2014-04-01",1,2.5)</f>
        <v>0</v>
      </c>
      <c r="AI946" s="264">
        <f>IF(NFI_Expiration=1,IF($A946&lt;VLOOKUP(R$5,NFI,5,0),1,0)*Table_NFI[[#This Row],[Winter Clothes Adult]],Table_NFI[Winter Clothes Adult])</f>
        <v>0</v>
      </c>
      <c r="AJ946" s="264">
        <f>IF(NFI_Expiration=1,IF($A946&lt;VLOOKUP(S$5,NFI,5,0),1,0)*Table_NFI[[#This Row],[Winter Clothes Children]],Table_NFI[Winter Clothes Children])</f>
        <v>0</v>
      </c>
      <c r="AK946" s="264">
        <f>IF(NFI_Expiration=1,IF($A946&lt;VLOOKUP(T$5,NFI,5,0),1,0)*Table_NFI[[#This Row],[Winter Items Other]],Table_NFI[Winter Items Other])</f>
        <v>0</v>
      </c>
      <c r="AL946" s="264">
        <f>IF(NFI_Expiration=1,IF($A946&lt;VLOOKUP(M$5,NFI,5,0),1,0)*Table_NFI[[#This Row],[Winter Blanket]],Table_NFI[[#This Row],[Winter Blanket]])</f>
        <v>0</v>
      </c>
      <c r="AM946" s="264">
        <f>IF(Table_NFI[[#This Row],[Winter Clothes Adult]]+Table_NFI[[#This Row],[Winter Clothes Children]]+Table_NFI[[#This Row],[Winter Items Other]]+Table_NFI[[#This Row],[Winter Blanket]]&gt;0,1,0)</f>
        <v>0</v>
      </c>
      <c r="AN946" s="296">
        <f>IF(NFI_Expiration=1,IF($A946&lt;VLOOKUP(V$5,NFI,5,0),1,0)*Table_NFI[[#This Row],[Jerry Can]],Table_NFI[Jerry Can])</f>
        <v>0</v>
      </c>
      <c r="AO946" s="296">
        <f>IF(NFI_Expiration=1,IF($A946&lt;VLOOKUP(V$5,NFI,5,0),1,0)*Table_NFI[[#This Row],[Shelter Tool kit]],Table_NFI[Shelter Tool kit])</f>
        <v>0</v>
      </c>
      <c r="AP946" s="296">
        <f>IF(NFI_Expiration=1,IF($A946&lt;VLOOKUP(V$5,NFI,5,0),1,0)*Table_NFI[[#This Row],[Tent]],Table_NFI[Tent])</f>
        <v>0</v>
      </c>
      <c r="AQ946" s="396" t="str">
        <f>IFERROR(VLOOKUP(Table_NFI[[#This Row],[Camp Name]],CL,2,0),"")</f>
        <v/>
      </c>
      <c r="AR946" s="702" t="str">
        <f ca="1">IF(Table_NFI[[#This Row],[Pcode]]="","",IF(OFFSET(CampList[Opening Date],MATCH(Table_NFI[[#This Row],[Pcode]],CampList[CP_Pcode],0)-1,0,1,1)&gt;=NFI_Monitor_Date,1,0))</f>
        <v/>
      </c>
      <c r="AS946" s="396" t="str">
        <f>IFERROR(VLOOKUP(Table_NFI[[#This Row],[Camp Name]],CL,3,0),"")</f>
        <v/>
      </c>
      <c r="AT946" s="264" t="str">
        <f ca="1">IF(Table_NFI[[#This Row],[Pcode]]="","",OFFSET(CampList[Priority],MATCH(Table_NFI[[#This Row],[Pcode]],CampList[CP_Pcode],0)-1,0,1,1))</f>
        <v/>
      </c>
      <c r="AU946" s="263" t="str">
        <f>IFERROR(Table_NFI[[#This Row],[Kitchen Set]]/VLOOKUP(Table_NFI[[#This Row],[Camp Name]],CL,4,0),"")</f>
        <v/>
      </c>
      <c r="AV946" s="390"/>
      <c r="AW946" s="392"/>
      <c r="AX946" s="399"/>
      <c r="AY946" s="399"/>
      <c r="AZ946" s="399"/>
      <c r="BA946" s="399"/>
      <c r="BB946" s="399"/>
      <c r="BC946" s="399"/>
      <c r="BD946" s="399"/>
      <c r="BE946" s="399"/>
      <c r="BF946" s="399"/>
      <c r="BG946" s="399"/>
      <c r="BH946" s="399"/>
      <c r="BI946" s="399"/>
      <c r="BJ946" s="399"/>
      <c r="BK946" s="399"/>
      <c r="BL946" s="399"/>
      <c r="BM946" s="399"/>
      <c r="BN946" s="399"/>
      <c r="BO946" s="399"/>
      <c r="BP946" s="399"/>
      <c r="BQ946" s="399"/>
      <c r="BR946" s="399"/>
      <c r="BS946" s="399"/>
      <c r="BT946" s="399"/>
      <c r="BU946" s="399"/>
      <c r="BV946" s="399"/>
      <c r="BW946" s="399"/>
      <c r="BX946" s="399"/>
      <c r="BY946" s="399"/>
      <c r="BZ946" s="399"/>
      <c r="CA946" s="399"/>
      <c r="CB946" s="399"/>
      <c r="CC946" s="399"/>
      <c r="CD946" s="399"/>
      <c r="CE946" s="399"/>
      <c r="CF946" s="399"/>
      <c r="CG946" s="399"/>
      <c r="CH946" s="399"/>
      <c r="CI946" s="399"/>
      <c r="CJ946" s="399"/>
      <c r="CK946" s="399"/>
      <c r="CL946" s="399"/>
      <c r="CM946" s="399"/>
      <c r="CN946" s="399"/>
      <c r="CO946" s="399"/>
      <c r="CP946" s="399"/>
      <c r="CQ946" s="399"/>
      <c r="CR946" s="399"/>
      <c r="CS946" s="399"/>
      <c r="CT946" s="399"/>
      <c r="CU946" s="399"/>
      <c r="CV946" s="399"/>
      <c r="CW946" s="399"/>
      <c r="CX946" s="399"/>
      <c r="CY946" s="399"/>
      <c r="CZ946" s="399"/>
      <c r="DA946" s="399"/>
      <c r="DB946" s="399"/>
      <c r="DC946" s="399"/>
      <c r="DD946" s="399"/>
      <c r="DE946" s="399"/>
      <c r="DF946" s="399"/>
      <c r="DG946" s="399"/>
      <c r="DH946" s="399"/>
      <c r="DI946" s="399"/>
      <c r="DJ946" s="399"/>
      <c r="DK946" s="399"/>
      <c r="DL946" s="399"/>
      <c r="DM946" s="399"/>
      <c r="DN946" s="399"/>
      <c r="DO946" s="399"/>
      <c r="DP946" s="399"/>
      <c r="DQ946" s="399"/>
    </row>
    <row r="947" spans="1:121" s="760" customFormat="1" ht="14.45" customHeight="1" x14ac:dyDescent="0.25">
      <c r="A947" s="266">
        <f t="shared" si="14"/>
        <v>56.2</v>
      </c>
      <c r="B947" s="389">
        <v>41170</v>
      </c>
      <c r="C947" s="390" t="s">
        <v>904</v>
      </c>
      <c r="D947" s="390" t="s">
        <v>1001</v>
      </c>
      <c r="E947" s="390" t="s">
        <v>380</v>
      </c>
      <c r="F947" s="390" t="s">
        <v>302</v>
      </c>
      <c r="G947" s="390" t="s">
        <v>1412</v>
      </c>
      <c r="H947" s="261">
        <v>22</v>
      </c>
      <c r="I947" s="261"/>
      <c r="J947" s="261"/>
      <c r="K947" s="261"/>
      <c r="L947" s="261"/>
      <c r="M947" s="261"/>
      <c r="N947" s="261"/>
      <c r="O947" s="261"/>
      <c r="P947" s="261"/>
      <c r="Q947" s="261"/>
      <c r="R947" s="261"/>
      <c r="S947" s="261"/>
      <c r="T947" s="261"/>
      <c r="U947" s="261"/>
      <c r="V947" s="762"/>
      <c r="W947" s="261"/>
      <c r="X947" s="261"/>
      <c r="Y947" s="264">
        <f>IF(NFI_Expiration=1,IF($A947&lt;VLOOKUP(H$5,NFI,5,0),1,0)*Table_NFI[[#This Row],[Hygiene Kit]],Table_NFI[Hygiene Kit])</f>
        <v>0</v>
      </c>
      <c r="Z947" s="264">
        <f>IF(NFI_Expiration=1,IF($A947&lt;VLOOKUP(I$5,NFI,5,0),1,0)*Table_NFI[[#This Row],[NFI Core Kit]],Table_NFI[NFI Core Kit])</f>
        <v>0</v>
      </c>
      <c r="AA947" s="264">
        <f>IF(NFI_Expiration=1,IF($A947&lt;VLOOKUP(J$5,NFI,5,0),1,0)*Table_NFI[[#This Row],[Sanitary Kit]],Table_NFI[Sanitary Kit])</f>
        <v>0</v>
      </c>
      <c r="AB947" s="264">
        <f>IF(NFI_Expiration=1,IF($A947&lt;VLOOKUP(K$5,NFI,5,0),1,0)*Table_NFI[[#This Row],[Mosquito net]],Table_NFI[Mosquito net])</f>
        <v>0</v>
      </c>
      <c r="AC947" s="264">
        <f>IF(NFI_Expiration=1,IF($A947&lt;VLOOKUP(L$5,NFI,5,0),1,0)*Table_NFI[[#This Row],[Tarpaulin]],Table_NFI[[#This Row],[Tarpaulin]])</f>
        <v>0</v>
      </c>
      <c r="AD947" s="264">
        <f>IF(NFI_Expiration=1,IF($A947&lt;VLOOKUP(M$5,NFI,5,0),1,0)*Table_NFI[[#This Row],[Blanket]],Table_NFI[[#This Row],[Blanket]])</f>
        <v>0</v>
      </c>
      <c r="AE947" s="264">
        <f>IF(NFI_Expiration=1,IF($A947&lt;VLOOKUP(N$5,NFI,5,0),1,0)*Table_NFI[[#This Row],[Kitchen Set]],Table_NFI[Kitchen Set])</f>
        <v>0</v>
      </c>
      <c r="AF947" s="264">
        <f>IF(NFI_Expiration=1,IF($A947&lt;VLOOKUP(O$5,NFI,5,0),1,0)*Table_NFI[[#This Row],[Clothes Kit]],Table_NFI[Clothes Kit])</f>
        <v>0</v>
      </c>
      <c r="AG947" s="264">
        <f>IF(NFI_Expiration=1,IF($A947&lt;VLOOKUP(P$5,NFI,5,0),1,0)*Table_NFI[[#This Row],[Plastic Bucket]],Table_NFI[Plastic Bucket])</f>
        <v>0</v>
      </c>
      <c r="AH947" s="264">
        <f>IF(NFI_Expiration=1,IF($A947&lt;VLOOKUP(Q$5,NFI,5,0),1,0)*Table_NFI[[#This Row],[Plastic Mat]],Table_NFI[Plastic Mat])*IF(Table_NFI[[#This Row],[Distribution Date]]&gt;"2014-04-01",1,2.5)</f>
        <v>0</v>
      </c>
      <c r="AI947" s="264">
        <f>IF(NFI_Expiration=1,IF($A947&lt;VLOOKUP(R$5,NFI,5,0),1,0)*Table_NFI[[#This Row],[Winter Clothes Adult]],Table_NFI[Winter Clothes Adult])</f>
        <v>0</v>
      </c>
      <c r="AJ947" s="264">
        <f>IF(NFI_Expiration=1,IF($A947&lt;VLOOKUP(S$5,NFI,5,0),1,0)*Table_NFI[[#This Row],[Winter Clothes Children]],Table_NFI[Winter Clothes Children])</f>
        <v>0</v>
      </c>
      <c r="AK947" s="264">
        <f>IF(NFI_Expiration=1,IF($A947&lt;VLOOKUP(T$5,NFI,5,0),1,0)*Table_NFI[[#This Row],[Winter Items Other]],Table_NFI[Winter Items Other])</f>
        <v>0</v>
      </c>
      <c r="AL947" s="264">
        <f>IF(NFI_Expiration=1,IF($A947&lt;VLOOKUP(M$5,NFI,5,0),1,0)*Table_NFI[[#This Row],[Winter Blanket]],Table_NFI[[#This Row],[Winter Blanket]])</f>
        <v>0</v>
      </c>
      <c r="AM947" s="264">
        <f>IF(Table_NFI[[#This Row],[Winter Clothes Adult]]+Table_NFI[[#This Row],[Winter Clothes Children]]+Table_NFI[[#This Row],[Winter Items Other]]+Table_NFI[[#This Row],[Winter Blanket]]&gt;0,1,0)</f>
        <v>0</v>
      </c>
      <c r="AN947" s="296">
        <f>IF(NFI_Expiration=1,IF($A947&lt;VLOOKUP(V$5,NFI,5,0),1,0)*Table_NFI[[#This Row],[Jerry Can]],Table_NFI[Jerry Can])</f>
        <v>0</v>
      </c>
      <c r="AO947" s="296">
        <f>IF(NFI_Expiration=1,IF($A947&lt;VLOOKUP(V$5,NFI,5,0),1,0)*Table_NFI[[#This Row],[Shelter Tool kit]],Table_NFI[Shelter Tool kit])</f>
        <v>0</v>
      </c>
      <c r="AP947" s="296">
        <f>IF(NFI_Expiration=1,IF($A947&lt;VLOOKUP(V$5,NFI,5,0),1,0)*Table_NFI[[#This Row],[Tent]],Table_NFI[Tent])</f>
        <v>0</v>
      </c>
      <c r="AQ947" s="396" t="str">
        <f>IFERROR(VLOOKUP(Table_NFI[[#This Row],[Camp Name]],CL,2,0),"")</f>
        <v/>
      </c>
      <c r="AR947" s="702" t="str">
        <f ca="1">IF(Table_NFI[[#This Row],[Pcode]]="","",IF(OFFSET(CampList[Opening Date],MATCH(Table_NFI[[#This Row],[Pcode]],CampList[CP_Pcode],0)-1,0,1,1)&gt;=NFI_Monitor_Date,1,0))</f>
        <v/>
      </c>
      <c r="AS947" s="396" t="str">
        <f>IFERROR(VLOOKUP(Table_NFI[[#This Row],[Camp Name]],CL,3,0),"")</f>
        <v/>
      </c>
      <c r="AT947" s="264" t="str">
        <f ca="1">IF(Table_NFI[[#This Row],[Pcode]]="","",OFFSET(CampList[Priority],MATCH(Table_NFI[[#This Row],[Pcode]],CampList[CP_Pcode],0)-1,0,1,1))</f>
        <v/>
      </c>
      <c r="AU947" s="263" t="str">
        <f>IFERROR(Table_NFI[[#This Row],[Kitchen Set]]/VLOOKUP(Table_NFI[[#This Row],[Camp Name]],CL,4,0),"")</f>
        <v/>
      </c>
      <c r="AV947" s="390"/>
      <c r="AW947" s="392"/>
      <c r="AX947" s="399"/>
      <c r="AY947" s="399"/>
      <c r="AZ947" s="399"/>
      <c r="BA947" s="399"/>
      <c r="BB947" s="399"/>
      <c r="BC947" s="399"/>
      <c r="BD947" s="399"/>
      <c r="BE947" s="399"/>
      <c r="BF947" s="399"/>
      <c r="BG947" s="399"/>
      <c r="BH947" s="399"/>
      <c r="BI947" s="399"/>
      <c r="BJ947" s="399"/>
      <c r="BK947" s="399"/>
      <c r="BL947" s="399"/>
      <c r="BM947" s="399"/>
      <c r="BN947" s="399"/>
      <c r="BO947" s="399"/>
      <c r="BP947" s="399"/>
      <c r="BQ947" s="399"/>
      <c r="BR947" s="399"/>
      <c r="BS947" s="399"/>
      <c r="BT947" s="399"/>
      <c r="BU947" s="399"/>
      <c r="BV947" s="399"/>
      <c r="BW947" s="399"/>
      <c r="BX947" s="399"/>
      <c r="BY947" s="399"/>
      <c r="BZ947" s="399"/>
      <c r="CA947" s="399"/>
      <c r="CB947" s="399"/>
      <c r="CC947" s="399"/>
      <c r="CD947" s="399"/>
      <c r="CE947" s="399"/>
      <c r="CF947" s="399"/>
      <c r="CG947" s="399"/>
      <c r="CH947" s="399"/>
      <c r="CI947" s="399"/>
      <c r="CJ947" s="399"/>
      <c r="CK947" s="399"/>
      <c r="CL947" s="399"/>
      <c r="CM947" s="399"/>
      <c r="CN947" s="399"/>
      <c r="CO947" s="399"/>
      <c r="CP947" s="399"/>
      <c r="CQ947" s="399"/>
      <c r="CR947" s="399"/>
      <c r="CS947" s="399"/>
      <c r="CT947" s="399"/>
      <c r="CU947" s="399"/>
      <c r="CV947" s="399"/>
      <c r="CW947" s="399"/>
      <c r="CX947" s="399"/>
      <c r="CY947" s="399"/>
      <c r="CZ947" s="399"/>
      <c r="DA947" s="399"/>
      <c r="DB947" s="399"/>
      <c r="DC947" s="399"/>
      <c r="DD947" s="399"/>
      <c r="DE947" s="399"/>
      <c r="DF947" s="399"/>
      <c r="DG947" s="399"/>
      <c r="DH947" s="399"/>
      <c r="DI947" s="399"/>
      <c r="DJ947" s="399"/>
      <c r="DK947" s="399"/>
      <c r="DL947" s="399"/>
      <c r="DM947" s="399"/>
      <c r="DN947" s="399"/>
      <c r="DO947" s="399"/>
      <c r="DP947" s="399"/>
      <c r="DQ947" s="399"/>
    </row>
    <row r="948" spans="1:121" s="760" customFormat="1" ht="14.45" customHeight="1" x14ac:dyDescent="0.25">
      <c r="A948" s="266">
        <f t="shared" si="14"/>
        <v>56.2</v>
      </c>
      <c r="B948" s="389">
        <v>41170</v>
      </c>
      <c r="C948" s="390" t="s">
        <v>904</v>
      </c>
      <c r="D948" s="390" t="s">
        <v>1001</v>
      </c>
      <c r="E948" s="390" t="s">
        <v>380</v>
      </c>
      <c r="F948" s="390" t="s">
        <v>302</v>
      </c>
      <c r="G948" s="390" t="s">
        <v>1413</v>
      </c>
      <c r="H948" s="261">
        <v>130</v>
      </c>
      <c r="I948" s="261"/>
      <c r="J948" s="261"/>
      <c r="K948" s="261"/>
      <c r="L948" s="261"/>
      <c r="M948" s="261"/>
      <c r="N948" s="261"/>
      <c r="O948" s="261"/>
      <c r="P948" s="261"/>
      <c r="Q948" s="261"/>
      <c r="R948" s="261"/>
      <c r="S948" s="261"/>
      <c r="T948" s="261"/>
      <c r="U948" s="261"/>
      <c r="V948" s="762"/>
      <c r="W948" s="261"/>
      <c r="X948" s="261"/>
      <c r="Y948" s="264">
        <f>IF(NFI_Expiration=1,IF($A948&lt;VLOOKUP(H$5,NFI,5,0),1,0)*Table_NFI[[#This Row],[Hygiene Kit]],Table_NFI[Hygiene Kit])</f>
        <v>0</v>
      </c>
      <c r="Z948" s="264">
        <f>IF(NFI_Expiration=1,IF($A948&lt;VLOOKUP(I$5,NFI,5,0),1,0)*Table_NFI[[#This Row],[NFI Core Kit]],Table_NFI[NFI Core Kit])</f>
        <v>0</v>
      </c>
      <c r="AA948" s="264">
        <f>IF(NFI_Expiration=1,IF($A948&lt;VLOOKUP(J$5,NFI,5,0),1,0)*Table_NFI[[#This Row],[Sanitary Kit]],Table_NFI[Sanitary Kit])</f>
        <v>0</v>
      </c>
      <c r="AB948" s="264">
        <f>IF(NFI_Expiration=1,IF($A948&lt;VLOOKUP(K$5,NFI,5,0),1,0)*Table_NFI[[#This Row],[Mosquito net]],Table_NFI[Mosquito net])</f>
        <v>0</v>
      </c>
      <c r="AC948" s="264">
        <f>IF(NFI_Expiration=1,IF($A948&lt;VLOOKUP(L$5,NFI,5,0),1,0)*Table_NFI[[#This Row],[Tarpaulin]],Table_NFI[[#This Row],[Tarpaulin]])</f>
        <v>0</v>
      </c>
      <c r="AD948" s="264">
        <f>IF(NFI_Expiration=1,IF($A948&lt;VLOOKUP(M$5,NFI,5,0),1,0)*Table_NFI[[#This Row],[Blanket]],Table_NFI[[#This Row],[Blanket]])</f>
        <v>0</v>
      </c>
      <c r="AE948" s="264">
        <f>IF(NFI_Expiration=1,IF($A948&lt;VLOOKUP(N$5,NFI,5,0),1,0)*Table_NFI[[#This Row],[Kitchen Set]],Table_NFI[Kitchen Set])</f>
        <v>0</v>
      </c>
      <c r="AF948" s="264">
        <f>IF(NFI_Expiration=1,IF($A948&lt;VLOOKUP(O$5,NFI,5,0),1,0)*Table_NFI[[#This Row],[Clothes Kit]],Table_NFI[Clothes Kit])</f>
        <v>0</v>
      </c>
      <c r="AG948" s="264">
        <f>IF(NFI_Expiration=1,IF($A948&lt;VLOOKUP(P$5,NFI,5,0),1,0)*Table_NFI[[#This Row],[Plastic Bucket]],Table_NFI[Plastic Bucket])</f>
        <v>0</v>
      </c>
      <c r="AH948" s="264">
        <f>IF(NFI_Expiration=1,IF($A948&lt;VLOOKUP(Q$5,NFI,5,0),1,0)*Table_NFI[[#This Row],[Plastic Mat]],Table_NFI[Plastic Mat])*IF(Table_NFI[[#This Row],[Distribution Date]]&gt;"2014-04-01",1,2.5)</f>
        <v>0</v>
      </c>
      <c r="AI948" s="264">
        <f>IF(NFI_Expiration=1,IF($A948&lt;VLOOKUP(R$5,NFI,5,0),1,0)*Table_NFI[[#This Row],[Winter Clothes Adult]],Table_NFI[Winter Clothes Adult])</f>
        <v>0</v>
      </c>
      <c r="AJ948" s="264">
        <f>IF(NFI_Expiration=1,IF($A948&lt;VLOOKUP(S$5,NFI,5,0),1,0)*Table_NFI[[#This Row],[Winter Clothes Children]],Table_NFI[Winter Clothes Children])</f>
        <v>0</v>
      </c>
      <c r="AK948" s="264">
        <f>IF(NFI_Expiration=1,IF($A948&lt;VLOOKUP(T$5,NFI,5,0),1,0)*Table_NFI[[#This Row],[Winter Items Other]],Table_NFI[Winter Items Other])</f>
        <v>0</v>
      </c>
      <c r="AL948" s="264">
        <f>IF(NFI_Expiration=1,IF($A948&lt;VLOOKUP(M$5,NFI,5,0),1,0)*Table_NFI[[#This Row],[Winter Blanket]],Table_NFI[[#This Row],[Winter Blanket]])</f>
        <v>0</v>
      </c>
      <c r="AM948" s="264">
        <f>IF(Table_NFI[[#This Row],[Winter Clothes Adult]]+Table_NFI[[#This Row],[Winter Clothes Children]]+Table_NFI[[#This Row],[Winter Items Other]]+Table_NFI[[#This Row],[Winter Blanket]]&gt;0,1,0)</f>
        <v>0</v>
      </c>
      <c r="AN948" s="296">
        <f>IF(NFI_Expiration=1,IF($A948&lt;VLOOKUP(V$5,NFI,5,0),1,0)*Table_NFI[[#This Row],[Jerry Can]],Table_NFI[Jerry Can])</f>
        <v>0</v>
      </c>
      <c r="AO948" s="296">
        <f>IF(NFI_Expiration=1,IF($A948&lt;VLOOKUP(V$5,NFI,5,0),1,0)*Table_NFI[[#This Row],[Shelter Tool kit]],Table_NFI[Shelter Tool kit])</f>
        <v>0</v>
      </c>
      <c r="AP948" s="296">
        <f>IF(NFI_Expiration=1,IF($A948&lt;VLOOKUP(V$5,NFI,5,0),1,0)*Table_NFI[[#This Row],[Tent]],Table_NFI[Tent])</f>
        <v>0</v>
      </c>
      <c r="AQ948" s="396" t="str">
        <f>IFERROR(VLOOKUP(Table_NFI[[#This Row],[Camp Name]],CL,2,0),"")</f>
        <v/>
      </c>
      <c r="AR948" s="702" t="str">
        <f ca="1">IF(Table_NFI[[#This Row],[Pcode]]="","",IF(OFFSET(CampList[Opening Date],MATCH(Table_NFI[[#This Row],[Pcode]],CampList[CP_Pcode],0)-1,0,1,1)&gt;=NFI_Monitor_Date,1,0))</f>
        <v/>
      </c>
      <c r="AS948" s="396" t="str">
        <f>IFERROR(VLOOKUP(Table_NFI[[#This Row],[Camp Name]],CL,3,0),"")</f>
        <v/>
      </c>
      <c r="AT948" s="264" t="str">
        <f ca="1">IF(Table_NFI[[#This Row],[Pcode]]="","",OFFSET(CampList[Priority],MATCH(Table_NFI[[#This Row],[Pcode]],CampList[CP_Pcode],0)-1,0,1,1))</f>
        <v/>
      </c>
      <c r="AU948" s="263" t="str">
        <f>IFERROR(Table_NFI[[#This Row],[Kitchen Set]]/VLOOKUP(Table_NFI[[#This Row],[Camp Name]],CL,4,0),"")</f>
        <v/>
      </c>
      <c r="AV948" s="390"/>
      <c r="AW948" s="392"/>
      <c r="AX948" s="399"/>
      <c r="AY948" s="399"/>
      <c r="AZ948" s="399"/>
      <c r="BA948" s="399"/>
      <c r="BB948" s="399"/>
      <c r="BC948" s="399"/>
      <c r="BD948" s="399"/>
      <c r="BE948" s="399"/>
      <c r="BF948" s="399"/>
      <c r="BG948" s="399"/>
      <c r="BH948" s="399"/>
      <c r="BI948" s="399"/>
      <c r="BJ948" s="399"/>
      <c r="BK948" s="399"/>
      <c r="BL948" s="399"/>
      <c r="BM948" s="399"/>
      <c r="BN948" s="399"/>
      <c r="BO948" s="399"/>
      <c r="BP948" s="399"/>
      <c r="BQ948" s="399"/>
      <c r="BR948" s="399"/>
      <c r="BS948" s="399"/>
      <c r="BT948" s="399"/>
      <c r="BU948" s="399"/>
      <c r="BV948" s="399"/>
      <c r="BW948" s="399"/>
      <c r="BX948" s="399"/>
      <c r="BY948" s="399"/>
      <c r="BZ948" s="399"/>
      <c r="CA948" s="399"/>
      <c r="CB948" s="399"/>
      <c r="CC948" s="399"/>
      <c r="CD948" s="399"/>
      <c r="CE948" s="399"/>
      <c r="CF948" s="399"/>
      <c r="CG948" s="399"/>
      <c r="CH948" s="399"/>
      <c r="CI948" s="399"/>
      <c r="CJ948" s="399"/>
      <c r="CK948" s="399"/>
      <c r="CL948" s="399"/>
      <c r="CM948" s="399"/>
      <c r="CN948" s="399"/>
      <c r="CO948" s="399"/>
      <c r="CP948" s="399"/>
      <c r="CQ948" s="399"/>
      <c r="CR948" s="399"/>
      <c r="CS948" s="399"/>
      <c r="CT948" s="399"/>
      <c r="CU948" s="399"/>
      <c r="CV948" s="399"/>
      <c r="CW948" s="399"/>
      <c r="CX948" s="399"/>
      <c r="CY948" s="399"/>
      <c r="CZ948" s="399"/>
      <c r="DA948" s="399"/>
      <c r="DB948" s="399"/>
      <c r="DC948" s="399"/>
      <c r="DD948" s="399"/>
      <c r="DE948" s="399"/>
      <c r="DF948" s="399"/>
      <c r="DG948" s="399"/>
      <c r="DH948" s="399"/>
      <c r="DI948" s="399"/>
      <c r="DJ948" s="399"/>
      <c r="DK948" s="399"/>
      <c r="DL948" s="399"/>
      <c r="DM948" s="399"/>
      <c r="DN948" s="399"/>
      <c r="DO948" s="399"/>
      <c r="DP948" s="399"/>
      <c r="DQ948" s="399"/>
    </row>
    <row r="949" spans="1:121" s="760" customFormat="1" ht="14.45" customHeight="1" x14ac:dyDescent="0.25">
      <c r="A949" s="266">
        <f t="shared" si="14"/>
        <v>56.233333333333334</v>
      </c>
      <c r="B949" s="389">
        <v>41169</v>
      </c>
      <c r="C949" s="390" t="s">
        <v>451</v>
      </c>
      <c r="D949" s="390" t="s">
        <v>451</v>
      </c>
      <c r="E949" s="390" t="s">
        <v>380</v>
      </c>
      <c r="F949" s="262" t="s">
        <v>185</v>
      </c>
      <c r="G949" s="262" t="s">
        <v>202</v>
      </c>
      <c r="H949" s="261"/>
      <c r="I949" s="261"/>
      <c r="J949" s="261"/>
      <c r="K949" s="261">
        <v>86</v>
      </c>
      <c r="L949" s="261">
        <v>43</v>
      </c>
      <c r="M949" s="261">
        <v>86</v>
      </c>
      <c r="N949" s="261">
        <v>43</v>
      </c>
      <c r="O949" s="261">
        <v>43</v>
      </c>
      <c r="P949" s="261">
        <v>43</v>
      </c>
      <c r="Q949" s="261">
        <v>43</v>
      </c>
      <c r="R949" s="261"/>
      <c r="S949" s="261"/>
      <c r="T949" s="261"/>
      <c r="U949" s="261"/>
      <c r="V949" s="762"/>
      <c r="W949" s="261"/>
      <c r="X949" s="261"/>
      <c r="Y949" s="264">
        <f>IF(NFI_Expiration=1,IF($A949&lt;VLOOKUP(H$5,NFI,5,0),1,0)*Table_NFI[[#This Row],[Hygiene Kit]],Table_NFI[Hygiene Kit])</f>
        <v>0</v>
      </c>
      <c r="Z949" s="264">
        <f>IF(NFI_Expiration=1,IF($A949&lt;VLOOKUP(I$5,NFI,5,0),1,0)*Table_NFI[[#This Row],[NFI Core Kit]],Table_NFI[NFI Core Kit])</f>
        <v>0</v>
      </c>
      <c r="AA949" s="264">
        <f>IF(NFI_Expiration=1,IF($A949&lt;VLOOKUP(J$5,NFI,5,0),1,0)*Table_NFI[[#This Row],[Sanitary Kit]],Table_NFI[Sanitary Kit])</f>
        <v>0</v>
      </c>
      <c r="AB949" s="264">
        <f>IF(NFI_Expiration=1,IF($A949&lt;VLOOKUP(K$5,NFI,5,0),1,0)*Table_NFI[[#This Row],[Mosquito net]],Table_NFI[Mosquito net])</f>
        <v>0</v>
      </c>
      <c r="AC949" s="264">
        <f>IF(NFI_Expiration=1,IF($A949&lt;VLOOKUP(L$5,NFI,5,0),1,0)*Table_NFI[[#This Row],[Tarpaulin]],Table_NFI[[#This Row],[Tarpaulin]])</f>
        <v>0</v>
      </c>
      <c r="AD949" s="264">
        <f>IF(NFI_Expiration=1,IF($A949&lt;VLOOKUP(M$5,NFI,5,0),1,0)*Table_NFI[[#This Row],[Blanket]],Table_NFI[[#This Row],[Blanket]])</f>
        <v>0</v>
      </c>
      <c r="AE949" s="264">
        <f>IF(NFI_Expiration=1,IF($A949&lt;VLOOKUP(N$5,NFI,5,0),1,0)*Table_NFI[[#This Row],[Kitchen Set]],Table_NFI[Kitchen Set])</f>
        <v>0</v>
      </c>
      <c r="AF949" s="264">
        <f>IF(NFI_Expiration=1,IF($A949&lt;VLOOKUP(O$5,NFI,5,0),1,0)*Table_NFI[[#This Row],[Clothes Kit]],Table_NFI[Clothes Kit])</f>
        <v>0</v>
      </c>
      <c r="AG949" s="264">
        <f>IF(NFI_Expiration=1,IF($A949&lt;VLOOKUP(P$5,NFI,5,0),1,0)*Table_NFI[[#This Row],[Plastic Bucket]],Table_NFI[Plastic Bucket])</f>
        <v>0</v>
      </c>
      <c r="AH949" s="264">
        <f>IF(NFI_Expiration=1,IF($A949&lt;VLOOKUP(Q$5,NFI,5,0),1,0)*Table_NFI[[#This Row],[Plastic Mat]],Table_NFI[Plastic Mat])*IF(Table_NFI[[#This Row],[Distribution Date]]&gt;"2014-04-01",1,2.5)</f>
        <v>0</v>
      </c>
      <c r="AI949" s="264">
        <f>IF(NFI_Expiration=1,IF($A949&lt;VLOOKUP(R$5,NFI,5,0),1,0)*Table_NFI[[#This Row],[Winter Clothes Adult]],Table_NFI[Winter Clothes Adult])</f>
        <v>0</v>
      </c>
      <c r="AJ949" s="264">
        <f>IF(NFI_Expiration=1,IF($A949&lt;VLOOKUP(S$5,NFI,5,0),1,0)*Table_NFI[[#This Row],[Winter Clothes Children]],Table_NFI[Winter Clothes Children])</f>
        <v>0</v>
      </c>
      <c r="AK949" s="264">
        <f>IF(NFI_Expiration=1,IF($A949&lt;VLOOKUP(T$5,NFI,5,0),1,0)*Table_NFI[[#This Row],[Winter Items Other]],Table_NFI[Winter Items Other])</f>
        <v>0</v>
      </c>
      <c r="AL949" s="264">
        <f>IF(NFI_Expiration=1,IF($A949&lt;VLOOKUP(M$5,NFI,5,0),1,0)*Table_NFI[[#This Row],[Winter Blanket]],Table_NFI[[#This Row],[Winter Blanket]])</f>
        <v>0</v>
      </c>
      <c r="AM949" s="264">
        <f>IF(Table_NFI[[#This Row],[Winter Clothes Adult]]+Table_NFI[[#This Row],[Winter Clothes Children]]+Table_NFI[[#This Row],[Winter Items Other]]+Table_NFI[[#This Row],[Winter Blanket]]&gt;0,1,0)</f>
        <v>0</v>
      </c>
      <c r="AN949" s="296">
        <f>IF(NFI_Expiration=1,IF($A949&lt;VLOOKUP(V$5,NFI,5,0),1,0)*Table_NFI[[#This Row],[Jerry Can]],Table_NFI[Jerry Can])</f>
        <v>0</v>
      </c>
      <c r="AO949" s="296">
        <f>IF(NFI_Expiration=1,IF($A949&lt;VLOOKUP(V$5,NFI,5,0),1,0)*Table_NFI[[#This Row],[Shelter Tool kit]],Table_NFI[Shelter Tool kit])</f>
        <v>0</v>
      </c>
      <c r="AP949" s="296">
        <f>IF(NFI_Expiration=1,IF($A949&lt;VLOOKUP(V$5,NFI,5,0),1,0)*Table_NFI[[#This Row],[Tent]],Table_NFI[Tent])</f>
        <v>0</v>
      </c>
      <c r="AQ949" s="396" t="str">
        <f>IFERROR(VLOOKUP(Table_NFI[[#This Row],[Camp Name]],CL,2,0),"")</f>
        <v>MMR001CMP062</v>
      </c>
      <c r="AR949" s="702">
        <f ca="1">IF(Table_NFI[[#This Row],[Pcode]]="","",IF(OFFSET(CampList[Opening Date],MATCH(Table_NFI[[#This Row],[Pcode]],CampList[CP_Pcode],0)-1,0,1,1)&gt;=NFI_Monitor_Date,1,0))</f>
        <v>0</v>
      </c>
      <c r="AS949" s="396" t="str">
        <f>IFERROR(VLOOKUP(Table_NFI[[#This Row],[Camp Name]],CL,3,0),"")</f>
        <v>Open</v>
      </c>
      <c r="AT949" s="264" t="str">
        <f ca="1">IF(Table_NFI[[#This Row],[Pcode]]="","",OFFSET(CampList[Priority],MATCH(Table_NFI[[#This Row],[Pcode]],CampList[CP_Pcode],0)-1,0,1,1))</f>
        <v>P4</v>
      </c>
      <c r="AU949" s="263">
        <f>IFERROR(Table_NFI[[#This Row],[Kitchen Set]]/VLOOKUP(Table_NFI[[#This Row],[Camp Name]],CL,4,0),"")</f>
        <v>1.0480136485498416E-3</v>
      </c>
      <c r="AV949" s="390" t="s">
        <v>1087</v>
      </c>
      <c r="AW949" s="392"/>
      <c r="AX949" s="399"/>
      <c r="AY949" s="399"/>
      <c r="AZ949" s="399"/>
      <c r="BA949" s="399"/>
      <c r="BB949" s="399"/>
      <c r="BC949" s="399"/>
      <c r="BD949" s="399"/>
      <c r="BE949" s="399"/>
      <c r="BF949" s="399"/>
      <c r="BG949" s="399"/>
      <c r="BH949" s="399"/>
      <c r="BI949" s="399"/>
      <c r="BJ949" s="399"/>
      <c r="BK949" s="399"/>
      <c r="BL949" s="399"/>
      <c r="BM949" s="399"/>
      <c r="BN949" s="399"/>
      <c r="BO949" s="399"/>
      <c r="BP949" s="399"/>
      <c r="BQ949" s="399"/>
      <c r="BR949" s="399"/>
      <c r="BS949" s="399"/>
      <c r="BT949" s="399"/>
      <c r="BU949" s="399"/>
      <c r="BV949" s="399"/>
      <c r="BW949" s="399"/>
      <c r="BX949" s="399"/>
      <c r="BY949" s="399"/>
      <c r="BZ949" s="399"/>
      <c r="CA949" s="399"/>
      <c r="CB949" s="399"/>
      <c r="CC949" s="399"/>
      <c r="CD949" s="399"/>
      <c r="CE949" s="399"/>
      <c r="CF949" s="399"/>
      <c r="CG949" s="399"/>
      <c r="CH949" s="399"/>
      <c r="CI949" s="399"/>
      <c r="CJ949" s="399"/>
      <c r="CK949" s="399"/>
      <c r="CL949" s="399"/>
      <c r="CM949" s="399"/>
      <c r="CN949" s="399"/>
      <c r="CO949" s="399"/>
      <c r="CP949" s="399"/>
      <c r="CQ949" s="399"/>
      <c r="CR949" s="399"/>
      <c r="CS949" s="399"/>
      <c r="CT949" s="399"/>
      <c r="CU949" s="399"/>
      <c r="CV949" s="399"/>
      <c r="CW949" s="399"/>
      <c r="CX949" s="399"/>
      <c r="CY949" s="399"/>
      <c r="CZ949" s="399"/>
      <c r="DA949" s="399"/>
      <c r="DB949" s="399"/>
      <c r="DC949" s="399"/>
      <c r="DD949" s="399"/>
      <c r="DE949" s="399"/>
      <c r="DF949" s="399"/>
      <c r="DG949" s="399"/>
      <c r="DH949" s="399"/>
      <c r="DI949" s="399"/>
      <c r="DJ949" s="399"/>
      <c r="DK949" s="399"/>
      <c r="DL949" s="399"/>
      <c r="DM949" s="399"/>
      <c r="DN949" s="399"/>
      <c r="DO949" s="399"/>
      <c r="DP949" s="399"/>
      <c r="DQ949" s="399"/>
    </row>
    <row r="950" spans="1:121" s="760" customFormat="1" ht="14.45" customHeight="1" x14ac:dyDescent="0.25">
      <c r="A950" s="266">
        <f t="shared" si="14"/>
        <v>56.233333333333334</v>
      </c>
      <c r="B950" s="389">
        <v>41169</v>
      </c>
      <c r="C950" s="390" t="s">
        <v>451</v>
      </c>
      <c r="D950" s="390" t="s">
        <v>451</v>
      </c>
      <c r="E950" s="390" t="s">
        <v>380</v>
      </c>
      <c r="F950" s="262" t="s">
        <v>185</v>
      </c>
      <c r="G950" s="262" t="s">
        <v>211</v>
      </c>
      <c r="H950" s="261"/>
      <c r="I950" s="261"/>
      <c r="J950" s="261"/>
      <c r="K950" s="261">
        <v>86</v>
      </c>
      <c r="L950" s="261">
        <v>43</v>
      </c>
      <c r="M950" s="261">
        <v>86</v>
      </c>
      <c r="N950" s="261">
        <v>43</v>
      </c>
      <c r="O950" s="261">
        <v>43</v>
      </c>
      <c r="P950" s="261">
        <v>43</v>
      </c>
      <c r="Q950" s="261">
        <v>43</v>
      </c>
      <c r="R950" s="261"/>
      <c r="S950" s="261"/>
      <c r="T950" s="261"/>
      <c r="U950" s="261"/>
      <c r="V950" s="762"/>
      <c r="W950" s="261"/>
      <c r="X950" s="261"/>
      <c r="Y950" s="264">
        <f>IF(NFI_Expiration=1,IF($A950&lt;VLOOKUP(H$5,NFI,5,0),1,0)*Table_NFI[[#This Row],[Hygiene Kit]],Table_NFI[Hygiene Kit])</f>
        <v>0</v>
      </c>
      <c r="Z950" s="264">
        <f>IF(NFI_Expiration=1,IF($A950&lt;VLOOKUP(I$5,NFI,5,0),1,0)*Table_NFI[[#This Row],[NFI Core Kit]],Table_NFI[NFI Core Kit])</f>
        <v>0</v>
      </c>
      <c r="AA950" s="264">
        <f>IF(NFI_Expiration=1,IF($A950&lt;VLOOKUP(J$5,NFI,5,0),1,0)*Table_NFI[[#This Row],[Sanitary Kit]],Table_NFI[Sanitary Kit])</f>
        <v>0</v>
      </c>
      <c r="AB950" s="264">
        <f>IF(NFI_Expiration=1,IF($A950&lt;VLOOKUP(K$5,NFI,5,0),1,0)*Table_NFI[[#This Row],[Mosquito net]],Table_NFI[Mosquito net])</f>
        <v>0</v>
      </c>
      <c r="AC950" s="264">
        <f>IF(NFI_Expiration=1,IF($A950&lt;VLOOKUP(L$5,NFI,5,0),1,0)*Table_NFI[[#This Row],[Tarpaulin]],Table_NFI[[#This Row],[Tarpaulin]])</f>
        <v>0</v>
      </c>
      <c r="AD950" s="264">
        <f>IF(NFI_Expiration=1,IF($A950&lt;VLOOKUP(M$5,NFI,5,0),1,0)*Table_NFI[[#This Row],[Blanket]],Table_NFI[[#This Row],[Blanket]])</f>
        <v>0</v>
      </c>
      <c r="AE950" s="264">
        <f>IF(NFI_Expiration=1,IF($A950&lt;VLOOKUP(N$5,NFI,5,0),1,0)*Table_NFI[[#This Row],[Kitchen Set]],Table_NFI[Kitchen Set])</f>
        <v>0</v>
      </c>
      <c r="AF950" s="264">
        <f>IF(NFI_Expiration=1,IF($A950&lt;VLOOKUP(O$5,NFI,5,0),1,0)*Table_NFI[[#This Row],[Clothes Kit]],Table_NFI[Clothes Kit])</f>
        <v>0</v>
      </c>
      <c r="AG950" s="264">
        <f>IF(NFI_Expiration=1,IF($A950&lt;VLOOKUP(P$5,NFI,5,0),1,0)*Table_NFI[[#This Row],[Plastic Bucket]],Table_NFI[Plastic Bucket])</f>
        <v>0</v>
      </c>
      <c r="AH950" s="264">
        <f>IF(NFI_Expiration=1,IF($A950&lt;VLOOKUP(Q$5,NFI,5,0),1,0)*Table_NFI[[#This Row],[Plastic Mat]],Table_NFI[Plastic Mat])*IF(Table_NFI[[#This Row],[Distribution Date]]&gt;"2014-04-01",1,2.5)</f>
        <v>0</v>
      </c>
      <c r="AI950" s="264">
        <f>IF(NFI_Expiration=1,IF($A950&lt;VLOOKUP(R$5,NFI,5,0),1,0)*Table_NFI[[#This Row],[Winter Clothes Adult]],Table_NFI[Winter Clothes Adult])</f>
        <v>0</v>
      </c>
      <c r="AJ950" s="264">
        <f>IF(NFI_Expiration=1,IF($A950&lt;VLOOKUP(S$5,NFI,5,0),1,0)*Table_NFI[[#This Row],[Winter Clothes Children]],Table_NFI[Winter Clothes Children])</f>
        <v>0</v>
      </c>
      <c r="AK950" s="264">
        <f>IF(NFI_Expiration=1,IF($A950&lt;VLOOKUP(T$5,NFI,5,0),1,0)*Table_NFI[[#This Row],[Winter Items Other]],Table_NFI[Winter Items Other])</f>
        <v>0</v>
      </c>
      <c r="AL950" s="264">
        <f>IF(NFI_Expiration=1,IF($A950&lt;VLOOKUP(M$5,NFI,5,0),1,0)*Table_NFI[[#This Row],[Winter Blanket]],Table_NFI[[#This Row],[Winter Blanket]])</f>
        <v>0</v>
      </c>
      <c r="AM950" s="264">
        <f>IF(Table_NFI[[#This Row],[Winter Clothes Adult]]+Table_NFI[[#This Row],[Winter Clothes Children]]+Table_NFI[[#This Row],[Winter Items Other]]+Table_NFI[[#This Row],[Winter Blanket]]&gt;0,1,0)</f>
        <v>0</v>
      </c>
      <c r="AN950" s="296">
        <f>IF(NFI_Expiration=1,IF($A950&lt;VLOOKUP(V$5,NFI,5,0),1,0)*Table_NFI[[#This Row],[Jerry Can]],Table_NFI[Jerry Can])</f>
        <v>0</v>
      </c>
      <c r="AO950" s="296">
        <f>IF(NFI_Expiration=1,IF($A950&lt;VLOOKUP(V$5,NFI,5,0),1,0)*Table_NFI[[#This Row],[Shelter Tool kit]],Table_NFI[Shelter Tool kit])</f>
        <v>0</v>
      </c>
      <c r="AP950" s="296">
        <f>IF(NFI_Expiration=1,IF($A950&lt;VLOOKUP(V$5,NFI,5,0),1,0)*Table_NFI[[#This Row],[Tent]],Table_NFI[Tent])</f>
        <v>0</v>
      </c>
      <c r="AQ950" s="396" t="str">
        <f>IFERROR(VLOOKUP(Table_NFI[[#This Row],[Camp Name]],CL,2,0),"")</f>
        <v>MMR001CMP057</v>
      </c>
      <c r="AR950" s="702">
        <f ca="1">IF(Table_NFI[[#This Row],[Pcode]]="","",IF(OFFSET(CampList[Opening Date],MATCH(Table_NFI[[#This Row],[Pcode]],CampList[CP_Pcode],0)-1,0,1,1)&gt;=NFI_Monitor_Date,1,0))</f>
        <v>0</v>
      </c>
      <c r="AS950" s="396" t="str">
        <f>IFERROR(VLOOKUP(Table_NFI[[#This Row],[Camp Name]],CL,3,0),"")</f>
        <v>Closed</v>
      </c>
      <c r="AT950" s="264" t="str">
        <f ca="1">IF(Table_NFI[[#This Row],[Pcode]]="","",OFFSET(CampList[Priority],MATCH(Table_NFI[[#This Row],[Pcode]],CampList[CP_Pcode],0)-1,0,1,1))</f>
        <v>P4</v>
      </c>
      <c r="AU950" s="263">
        <f>IFERROR(Table_NFI[[#This Row],[Kitchen Set]]/VLOOKUP(Table_NFI[[#This Row],[Camp Name]],CL,4,0),"")</f>
        <v>1.0550593777603299E-3</v>
      </c>
      <c r="AV950" s="390" t="s">
        <v>1087</v>
      </c>
      <c r="AW950" s="392"/>
      <c r="AX950" s="399"/>
      <c r="AY950" s="399"/>
      <c r="AZ950" s="399"/>
      <c r="BA950" s="399"/>
      <c r="BB950" s="399"/>
      <c r="BC950" s="399"/>
      <c r="BD950" s="399"/>
      <c r="BE950" s="399"/>
      <c r="BF950" s="399"/>
      <c r="BG950" s="399"/>
      <c r="BH950" s="399"/>
      <c r="BI950" s="399"/>
      <c r="BJ950" s="399"/>
      <c r="BK950" s="399"/>
      <c r="BL950" s="399"/>
      <c r="BM950" s="399"/>
      <c r="BN950" s="399"/>
      <c r="BO950" s="399"/>
      <c r="BP950" s="399"/>
      <c r="BQ950" s="399"/>
      <c r="BR950" s="399"/>
      <c r="BS950" s="399"/>
      <c r="BT950" s="399"/>
      <c r="BU950" s="399"/>
      <c r="BV950" s="399"/>
      <c r="BW950" s="399"/>
      <c r="BX950" s="399"/>
      <c r="BY950" s="399"/>
      <c r="BZ950" s="399"/>
      <c r="CA950" s="399"/>
      <c r="CB950" s="399"/>
      <c r="CC950" s="399"/>
      <c r="CD950" s="399"/>
      <c r="CE950" s="399"/>
      <c r="CF950" s="399"/>
      <c r="CG950" s="399"/>
      <c r="CH950" s="399"/>
      <c r="CI950" s="399"/>
      <c r="CJ950" s="399"/>
      <c r="CK950" s="399"/>
      <c r="CL950" s="399"/>
      <c r="CM950" s="399"/>
      <c r="CN950" s="399"/>
      <c r="CO950" s="399"/>
      <c r="CP950" s="399"/>
      <c r="CQ950" s="399"/>
      <c r="CR950" s="399"/>
      <c r="CS950" s="399"/>
      <c r="CT950" s="399"/>
      <c r="CU950" s="399"/>
      <c r="CV950" s="399"/>
      <c r="CW950" s="399"/>
      <c r="CX950" s="399"/>
      <c r="CY950" s="399"/>
      <c r="CZ950" s="399"/>
      <c r="DA950" s="399"/>
      <c r="DB950" s="399"/>
      <c r="DC950" s="399"/>
      <c r="DD950" s="399"/>
      <c r="DE950" s="399"/>
      <c r="DF950" s="399"/>
      <c r="DG950" s="399"/>
      <c r="DH950" s="399"/>
      <c r="DI950" s="399"/>
      <c r="DJ950" s="399"/>
      <c r="DK950" s="399"/>
      <c r="DL950" s="399"/>
      <c r="DM950" s="399"/>
      <c r="DN950" s="399"/>
      <c r="DO950" s="399"/>
      <c r="DP950" s="399"/>
      <c r="DQ950" s="399"/>
    </row>
    <row r="951" spans="1:121" ht="14.45" customHeight="1" x14ac:dyDescent="0.25">
      <c r="A951" s="266">
        <f t="shared" si="14"/>
        <v>56.333333333333336</v>
      </c>
      <c r="B951" s="389">
        <v>41166</v>
      </c>
      <c r="C951" s="390" t="s">
        <v>451</v>
      </c>
      <c r="D951" s="390" t="s">
        <v>451</v>
      </c>
      <c r="E951" s="390" t="s">
        <v>380</v>
      </c>
      <c r="F951" s="262" t="s">
        <v>310</v>
      </c>
      <c r="G951" s="262" t="s">
        <v>330</v>
      </c>
      <c r="H951" s="261"/>
      <c r="I951" s="261"/>
      <c r="J951" s="261"/>
      <c r="K951" s="261">
        <v>94</v>
      </c>
      <c r="L951" s="261">
        <v>48</v>
      </c>
      <c r="M951" s="261">
        <v>94</v>
      </c>
      <c r="N951" s="261">
        <v>48</v>
      </c>
      <c r="O951" s="261">
        <v>48</v>
      </c>
      <c r="P951" s="261">
        <v>48</v>
      </c>
      <c r="Q951" s="261">
        <v>48</v>
      </c>
      <c r="R951" s="261"/>
      <c r="S951" s="261"/>
      <c r="T951" s="261"/>
      <c r="U951" s="261"/>
      <c r="V951" s="762"/>
      <c r="W951" s="261"/>
      <c r="X951" s="261"/>
      <c r="Y951" s="264">
        <f>IF(NFI_Expiration=1,IF($A951&lt;VLOOKUP(H$5,NFI,5,0),1,0)*Table_NFI[[#This Row],[Hygiene Kit]],Table_NFI[Hygiene Kit])</f>
        <v>0</v>
      </c>
      <c r="Z951" s="264">
        <f>IF(NFI_Expiration=1,IF($A951&lt;VLOOKUP(I$5,NFI,5,0),1,0)*Table_NFI[[#This Row],[NFI Core Kit]],Table_NFI[NFI Core Kit])</f>
        <v>0</v>
      </c>
      <c r="AA951" s="264">
        <f>IF(NFI_Expiration=1,IF($A951&lt;VLOOKUP(J$5,NFI,5,0),1,0)*Table_NFI[[#This Row],[Sanitary Kit]],Table_NFI[Sanitary Kit])</f>
        <v>0</v>
      </c>
      <c r="AB951" s="264">
        <f>IF(NFI_Expiration=1,IF($A951&lt;VLOOKUP(K$5,NFI,5,0),1,0)*Table_NFI[[#This Row],[Mosquito net]],Table_NFI[Mosquito net])</f>
        <v>0</v>
      </c>
      <c r="AC951" s="264">
        <f>IF(NFI_Expiration=1,IF($A951&lt;VLOOKUP(L$5,NFI,5,0),1,0)*Table_NFI[[#This Row],[Tarpaulin]],Table_NFI[[#This Row],[Tarpaulin]])</f>
        <v>0</v>
      </c>
      <c r="AD951" s="264">
        <f>IF(NFI_Expiration=1,IF($A951&lt;VLOOKUP(M$5,NFI,5,0),1,0)*Table_NFI[[#This Row],[Blanket]],Table_NFI[[#This Row],[Blanket]])</f>
        <v>0</v>
      </c>
      <c r="AE951" s="264">
        <f>IF(NFI_Expiration=1,IF($A951&lt;VLOOKUP(N$5,NFI,5,0),1,0)*Table_NFI[[#This Row],[Kitchen Set]],Table_NFI[Kitchen Set])</f>
        <v>0</v>
      </c>
      <c r="AF951" s="264">
        <f>IF(NFI_Expiration=1,IF($A951&lt;VLOOKUP(O$5,NFI,5,0),1,0)*Table_NFI[[#This Row],[Clothes Kit]],Table_NFI[Clothes Kit])</f>
        <v>0</v>
      </c>
      <c r="AG951" s="264">
        <f>IF(NFI_Expiration=1,IF($A951&lt;VLOOKUP(P$5,NFI,5,0),1,0)*Table_NFI[[#This Row],[Plastic Bucket]],Table_NFI[Plastic Bucket])</f>
        <v>0</v>
      </c>
      <c r="AH951" s="264">
        <f>IF(NFI_Expiration=1,IF($A951&lt;VLOOKUP(Q$5,NFI,5,0),1,0)*Table_NFI[[#This Row],[Plastic Mat]],Table_NFI[Plastic Mat])*IF(Table_NFI[[#This Row],[Distribution Date]]&gt;"2014-04-01",1,2.5)</f>
        <v>0</v>
      </c>
      <c r="AI951" s="264">
        <f>IF(NFI_Expiration=1,IF($A951&lt;VLOOKUP(R$5,NFI,5,0),1,0)*Table_NFI[[#This Row],[Winter Clothes Adult]],Table_NFI[Winter Clothes Adult])</f>
        <v>0</v>
      </c>
      <c r="AJ951" s="264">
        <f>IF(NFI_Expiration=1,IF($A951&lt;VLOOKUP(S$5,NFI,5,0),1,0)*Table_NFI[[#This Row],[Winter Clothes Children]],Table_NFI[Winter Clothes Children])</f>
        <v>0</v>
      </c>
      <c r="AK951" s="264">
        <f>IF(NFI_Expiration=1,IF($A951&lt;VLOOKUP(T$5,NFI,5,0),1,0)*Table_NFI[[#This Row],[Winter Items Other]],Table_NFI[Winter Items Other])</f>
        <v>0</v>
      </c>
      <c r="AL951" s="264">
        <f>IF(NFI_Expiration=1,IF($A951&lt;VLOOKUP(M$5,NFI,5,0),1,0)*Table_NFI[[#This Row],[Winter Blanket]],Table_NFI[[#This Row],[Winter Blanket]])</f>
        <v>0</v>
      </c>
      <c r="AM951" s="264">
        <f>IF(Table_NFI[[#This Row],[Winter Clothes Adult]]+Table_NFI[[#This Row],[Winter Clothes Children]]+Table_NFI[[#This Row],[Winter Items Other]]+Table_NFI[[#This Row],[Winter Blanket]]&gt;0,1,0)</f>
        <v>0</v>
      </c>
      <c r="AN951" s="296">
        <f>IF(NFI_Expiration=1,IF($A951&lt;VLOOKUP(V$5,NFI,5,0),1,0)*Table_NFI[[#This Row],[Jerry Can]],Table_NFI[Jerry Can])</f>
        <v>0</v>
      </c>
      <c r="AO951" s="296">
        <f>IF(NFI_Expiration=1,IF($A951&lt;VLOOKUP(V$5,NFI,5,0),1,0)*Table_NFI[[#This Row],[Shelter Tool kit]],Table_NFI[Shelter Tool kit])</f>
        <v>0</v>
      </c>
      <c r="AP951" s="296">
        <f>IF(NFI_Expiration=1,IF($A951&lt;VLOOKUP(V$5,NFI,5,0),1,0)*Table_NFI[[#This Row],[Tent]],Table_NFI[Tent])</f>
        <v>0</v>
      </c>
      <c r="AQ951" s="396" t="str">
        <f>IFERROR(VLOOKUP(Table_NFI[[#This Row],[Camp Name]],CL,2,0),"")</f>
        <v>MMR001CMP029</v>
      </c>
      <c r="AR951" s="702">
        <f ca="1">IF(Table_NFI[[#This Row],[Pcode]]="","",IF(OFFSET(CampList[Opening Date],MATCH(Table_NFI[[#This Row],[Pcode]],CampList[CP_Pcode],0)-1,0,1,1)&gt;=NFI_Monitor_Date,1,0))</f>
        <v>0</v>
      </c>
      <c r="AS951" s="396" t="str">
        <f>IFERROR(VLOOKUP(Table_NFI[[#This Row],[Camp Name]],CL,3,0),"")</f>
        <v>Open</v>
      </c>
      <c r="AT951" s="264" t="str">
        <f ca="1">IF(Table_NFI[[#This Row],[Pcode]]="","",OFFSET(CampList[Priority],MATCH(Table_NFI[[#This Row],[Pcode]],CampList[CP_Pcode],0)-1,0,1,1))</f>
        <v>P4</v>
      </c>
      <c r="AU951" s="263">
        <f>IFERROR(Table_NFI[[#This Row],[Kitchen Set]]/VLOOKUP(Table_NFI[[#This Row],[Camp Name]],CL,4,0),"")</f>
        <v>1.1586926085067348E-3</v>
      </c>
      <c r="AV951" s="390" t="s">
        <v>1087</v>
      </c>
      <c r="AW951" s="392"/>
    </row>
    <row r="952" spans="1:121" ht="14.45" customHeight="1" x14ac:dyDescent="0.25">
      <c r="A952" s="266">
        <f t="shared" si="14"/>
        <v>56.333333333333336</v>
      </c>
      <c r="B952" s="389">
        <v>41166</v>
      </c>
      <c r="C952" s="390" t="s">
        <v>451</v>
      </c>
      <c r="D952" s="390" t="s">
        <v>451</v>
      </c>
      <c r="E952" s="390" t="s">
        <v>380</v>
      </c>
      <c r="F952" s="390" t="s">
        <v>310</v>
      </c>
      <c r="G952" s="262" t="s">
        <v>316</v>
      </c>
      <c r="H952" s="261"/>
      <c r="I952" s="261"/>
      <c r="J952" s="261"/>
      <c r="K952" s="261">
        <v>14</v>
      </c>
      <c r="L952" s="261">
        <v>8</v>
      </c>
      <c r="M952" s="261">
        <v>14</v>
      </c>
      <c r="N952" s="261">
        <v>8</v>
      </c>
      <c r="O952" s="261">
        <v>8</v>
      </c>
      <c r="P952" s="261">
        <v>8</v>
      </c>
      <c r="Q952" s="261">
        <v>8</v>
      </c>
      <c r="R952" s="261"/>
      <c r="S952" s="261"/>
      <c r="T952" s="261"/>
      <c r="U952" s="261"/>
      <c r="V952" s="762"/>
      <c r="W952" s="261"/>
      <c r="X952" s="261"/>
      <c r="Y952" s="264">
        <f>IF(NFI_Expiration=1,IF($A952&lt;VLOOKUP(H$5,NFI,5,0),1,0)*Table_NFI[[#This Row],[Hygiene Kit]],Table_NFI[Hygiene Kit])</f>
        <v>0</v>
      </c>
      <c r="Z952" s="264">
        <f>IF(NFI_Expiration=1,IF($A952&lt;VLOOKUP(I$5,NFI,5,0),1,0)*Table_NFI[[#This Row],[NFI Core Kit]],Table_NFI[NFI Core Kit])</f>
        <v>0</v>
      </c>
      <c r="AA952" s="264">
        <f>IF(NFI_Expiration=1,IF($A952&lt;VLOOKUP(J$5,NFI,5,0),1,0)*Table_NFI[[#This Row],[Sanitary Kit]],Table_NFI[Sanitary Kit])</f>
        <v>0</v>
      </c>
      <c r="AB952" s="264">
        <f>IF(NFI_Expiration=1,IF($A952&lt;VLOOKUP(K$5,NFI,5,0),1,0)*Table_NFI[[#This Row],[Mosquito net]],Table_NFI[Mosquito net])</f>
        <v>0</v>
      </c>
      <c r="AC952" s="264">
        <f>IF(NFI_Expiration=1,IF($A952&lt;VLOOKUP(L$5,NFI,5,0),1,0)*Table_NFI[[#This Row],[Tarpaulin]],Table_NFI[[#This Row],[Tarpaulin]])</f>
        <v>0</v>
      </c>
      <c r="AD952" s="264">
        <f>IF(NFI_Expiration=1,IF($A952&lt;VLOOKUP(M$5,NFI,5,0),1,0)*Table_NFI[[#This Row],[Blanket]],Table_NFI[[#This Row],[Blanket]])</f>
        <v>0</v>
      </c>
      <c r="AE952" s="264">
        <f>IF(NFI_Expiration=1,IF($A952&lt;VLOOKUP(N$5,NFI,5,0),1,0)*Table_NFI[[#This Row],[Kitchen Set]],Table_NFI[Kitchen Set])</f>
        <v>0</v>
      </c>
      <c r="AF952" s="264">
        <f>IF(NFI_Expiration=1,IF($A952&lt;VLOOKUP(O$5,NFI,5,0),1,0)*Table_NFI[[#This Row],[Clothes Kit]],Table_NFI[Clothes Kit])</f>
        <v>0</v>
      </c>
      <c r="AG952" s="264">
        <f>IF(NFI_Expiration=1,IF($A952&lt;VLOOKUP(P$5,NFI,5,0),1,0)*Table_NFI[[#This Row],[Plastic Bucket]],Table_NFI[Plastic Bucket])</f>
        <v>0</v>
      </c>
      <c r="AH952" s="264">
        <f>IF(NFI_Expiration=1,IF($A952&lt;VLOOKUP(Q$5,NFI,5,0),1,0)*Table_NFI[[#This Row],[Plastic Mat]],Table_NFI[Plastic Mat])*IF(Table_NFI[[#This Row],[Distribution Date]]&gt;"2014-04-01",1,2.5)</f>
        <v>0</v>
      </c>
      <c r="AI952" s="264">
        <f>IF(NFI_Expiration=1,IF($A952&lt;VLOOKUP(R$5,NFI,5,0),1,0)*Table_NFI[[#This Row],[Winter Clothes Adult]],Table_NFI[Winter Clothes Adult])</f>
        <v>0</v>
      </c>
      <c r="AJ952" s="264">
        <f>IF(NFI_Expiration=1,IF($A952&lt;VLOOKUP(S$5,NFI,5,0),1,0)*Table_NFI[[#This Row],[Winter Clothes Children]],Table_NFI[Winter Clothes Children])</f>
        <v>0</v>
      </c>
      <c r="AK952" s="264">
        <f>IF(NFI_Expiration=1,IF($A952&lt;VLOOKUP(T$5,NFI,5,0),1,0)*Table_NFI[[#This Row],[Winter Items Other]],Table_NFI[Winter Items Other])</f>
        <v>0</v>
      </c>
      <c r="AL952" s="264">
        <f>IF(NFI_Expiration=1,IF($A952&lt;VLOOKUP(M$5,NFI,5,0),1,0)*Table_NFI[[#This Row],[Winter Blanket]],Table_NFI[[#This Row],[Winter Blanket]])</f>
        <v>0</v>
      </c>
      <c r="AM952" s="264">
        <f>IF(Table_NFI[[#This Row],[Winter Clothes Adult]]+Table_NFI[[#This Row],[Winter Clothes Children]]+Table_NFI[[#This Row],[Winter Items Other]]+Table_NFI[[#This Row],[Winter Blanket]]&gt;0,1,0)</f>
        <v>0</v>
      </c>
      <c r="AN952" s="296">
        <f>IF(NFI_Expiration=1,IF($A952&lt;VLOOKUP(V$5,NFI,5,0),1,0)*Table_NFI[[#This Row],[Jerry Can]],Table_NFI[Jerry Can])</f>
        <v>0</v>
      </c>
      <c r="AO952" s="296">
        <f>IF(NFI_Expiration=1,IF($A952&lt;VLOOKUP(V$5,NFI,5,0),1,0)*Table_NFI[[#This Row],[Shelter Tool kit]],Table_NFI[Shelter Tool kit])</f>
        <v>0</v>
      </c>
      <c r="AP952" s="296">
        <f>IF(NFI_Expiration=1,IF($A952&lt;VLOOKUP(V$5,NFI,5,0),1,0)*Table_NFI[[#This Row],[Tent]],Table_NFI[Tent])</f>
        <v>0</v>
      </c>
      <c r="AQ952" s="396" t="str">
        <f>IFERROR(VLOOKUP(Table_NFI[[#This Row],[Camp Name]],CL,2,0),"")</f>
        <v>MMR001CMP038</v>
      </c>
      <c r="AR952" s="702">
        <f ca="1">IF(Table_NFI[[#This Row],[Pcode]]="","",IF(OFFSET(CampList[Opening Date],MATCH(Table_NFI[[#This Row],[Pcode]],CampList[CP_Pcode],0)-1,0,1,1)&gt;=NFI_Monitor_Date,1,0))</f>
        <v>0</v>
      </c>
      <c r="AS952" s="396" t="str">
        <f>IFERROR(VLOOKUP(Table_NFI[[#This Row],[Camp Name]],CL,3,0),"")</f>
        <v>Open</v>
      </c>
      <c r="AT952" s="264" t="str">
        <f ca="1">IF(Table_NFI[[#This Row],[Pcode]]="","",OFFSET(CampList[Priority],MATCH(Table_NFI[[#This Row],[Pcode]],CampList[CP_Pcode],0)-1,0,1,1))</f>
        <v>P4</v>
      </c>
      <c r="AU952" s="263">
        <f>IFERROR(Table_NFI[[#This Row],[Kitchen Set]]/VLOOKUP(Table_NFI[[#This Row],[Camp Name]],CL,4,0),"")</f>
        <v>1.9584802193497845E-4</v>
      </c>
      <c r="AV952" s="390" t="s">
        <v>1087</v>
      </c>
      <c r="AW952" s="392"/>
    </row>
    <row r="953" spans="1:121" ht="14.45" customHeight="1" x14ac:dyDescent="0.25">
      <c r="A953" s="266">
        <f t="shared" si="14"/>
        <v>56.466666666666669</v>
      </c>
      <c r="B953" s="389">
        <v>41162</v>
      </c>
      <c r="C953" s="390" t="s">
        <v>451</v>
      </c>
      <c r="D953" s="391" t="s">
        <v>451</v>
      </c>
      <c r="E953" s="390" t="s">
        <v>380</v>
      </c>
      <c r="F953" s="262" t="s">
        <v>237</v>
      </c>
      <c r="G953" s="262" t="s">
        <v>267</v>
      </c>
      <c r="H953" s="261"/>
      <c r="I953" s="261"/>
      <c r="J953" s="261"/>
      <c r="K953" s="261">
        <v>10</v>
      </c>
      <c r="L953" s="261">
        <v>6</v>
      </c>
      <c r="M953" s="261">
        <v>10</v>
      </c>
      <c r="N953" s="261">
        <v>6</v>
      </c>
      <c r="O953" s="261">
        <v>6</v>
      </c>
      <c r="P953" s="261">
        <v>6</v>
      </c>
      <c r="Q953" s="261">
        <v>6</v>
      </c>
      <c r="R953" s="261"/>
      <c r="S953" s="261"/>
      <c r="T953" s="261"/>
      <c r="U953" s="261"/>
      <c r="V953" s="762"/>
      <c r="W953" s="261"/>
      <c r="X953" s="261"/>
      <c r="Y953" s="264">
        <f>IF(NFI_Expiration=1,IF($A953&lt;VLOOKUP(H$5,NFI,5,0),1,0)*Table_NFI[[#This Row],[Hygiene Kit]],Table_NFI[Hygiene Kit])</f>
        <v>0</v>
      </c>
      <c r="Z953" s="264">
        <f>IF(NFI_Expiration=1,IF($A953&lt;VLOOKUP(I$5,NFI,5,0),1,0)*Table_NFI[[#This Row],[NFI Core Kit]],Table_NFI[NFI Core Kit])</f>
        <v>0</v>
      </c>
      <c r="AA953" s="264">
        <f>IF(NFI_Expiration=1,IF($A953&lt;VLOOKUP(J$5,NFI,5,0),1,0)*Table_NFI[[#This Row],[Sanitary Kit]],Table_NFI[Sanitary Kit])</f>
        <v>0</v>
      </c>
      <c r="AB953" s="264">
        <f>IF(NFI_Expiration=1,IF($A953&lt;VLOOKUP(K$5,NFI,5,0),1,0)*Table_NFI[[#This Row],[Mosquito net]],Table_NFI[Mosquito net])</f>
        <v>0</v>
      </c>
      <c r="AC953" s="264">
        <f>IF(NFI_Expiration=1,IF($A953&lt;VLOOKUP(L$5,NFI,5,0),1,0)*Table_NFI[[#This Row],[Tarpaulin]],Table_NFI[[#This Row],[Tarpaulin]])</f>
        <v>0</v>
      </c>
      <c r="AD953" s="264">
        <f>IF(NFI_Expiration=1,IF($A953&lt;VLOOKUP(M$5,NFI,5,0),1,0)*Table_NFI[[#This Row],[Blanket]],Table_NFI[[#This Row],[Blanket]])</f>
        <v>0</v>
      </c>
      <c r="AE953" s="264">
        <f>IF(NFI_Expiration=1,IF($A953&lt;VLOOKUP(N$5,NFI,5,0),1,0)*Table_NFI[[#This Row],[Kitchen Set]],Table_NFI[Kitchen Set])</f>
        <v>0</v>
      </c>
      <c r="AF953" s="264">
        <f>IF(NFI_Expiration=1,IF($A953&lt;VLOOKUP(O$5,NFI,5,0),1,0)*Table_NFI[[#This Row],[Clothes Kit]],Table_NFI[Clothes Kit])</f>
        <v>0</v>
      </c>
      <c r="AG953" s="264">
        <f>IF(NFI_Expiration=1,IF($A953&lt;VLOOKUP(P$5,NFI,5,0),1,0)*Table_NFI[[#This Row],[Plastic Bucket]],Table_NFI[Plastic Bucket])</f>
        <v>0</v>
      </c>
      <c r="AH953" s="264">
        <f>IF(NFI_Expiration=1,IF($A953&lt;VLOOKUP(Q$5,NFI,5,0),1,0)*Table_NFI[[#This Row],[Plastic Mat]],Table_NFI[Plastic Mat])*IF(Table_NFI[[#This Row],[Distribution Date]]&gt;"2014-04-01",1,2.5)</f>
        <v>0</v>
      </c>
      <c r="AI953" s="264">
        <f>IF(NFI_Expiration=1,IF($A953&lt;VLOOKUP(R$5,NFI,5,0),1,0)*Table_NFI[[#This Row],[Winter Clothes Adult]],Table_NFI[Winter Clothes Adult])</f>
        <v>0</v>
      </c>
      <c r="AJ953" s="264">
        <f>IF(NFI_Expiration=1,IF($A953&lt;VLOOKUP(S$5,NFI,5,0),1,0)*Table_NFI[[#This Row],[Winter Clothes Children]],Table_NFI[Winter Clothes Children])</f>
        <v>0</v>
      </c>
      <c r="AK953" s="264">
        <f>IF(NFI_Expiration=1,IF($A953&lt;VLOOKUP(T$5,NFI,5,0),1,0)*Table_NFI[[#This Row],[Winter Items Other]],Table_NFI[Winter Items Other])</f>
        <v>0</v>
      </c>
      <c r="AL953" s="264">
        <f>IF(NFI_Expiration=1,IF($A953&lt;VLOOKUP(M$5,NFI,5,0),1,0)*Table_NFI[[#This Row],[Winter Blanket]],Table_NFI[[#This Row],[Winter Blanket]])</f>
        <v>0</v>
      </c>
      <c r="AM953" s="264">
        <f>IF(Table_NFI[[#This Row],[Winter Clothes Adult]]+Table_NFI[[#This Row],[Winter Clothes Children]]+Table_NFI[[#This Row],[Winter Items Other]]+Table_NFI[[#This Row],[Winter Blanket]]&gt;0,1,0)</f>
        <v>0</v>
      </c>
      <c r="AN953" s="296">
        <f>IF(NFI_Expiration=1,IF($A953&lt;VLOOKUP(V$5,NFI,5,0),1,0)*Table_NFI[[#This Row],[Jerry Can]],Table_NFI[Jerry Can])</f>
        <v>0</v>
      </c>
      <c r="AO953" s="296">
        <f>IF(NFI_Expiration=1,IF($A953&lt;VLOOKUP(V$5,NFI,5,0),1,0)*Table_NFI[[#This Row],[Shelter Tool kit]],Table_NFI[Shelter Tool kit])</f>
        <v>0</v>
      </c>
      <c r="AP953" s="296">
        <f>IF(NFI_Expiration=1,IF($A953&lt;VLOOKUP(V$5,NFI,5,0),1,0)*Table_NFI[[#This Row],[Tent]],Table_NFI[Tent])</f>
        <v>0</v>
      </c>
      <c r="AQ953" s="396" t="str">
        <f>IFERROR(VLOOKUP(Table_NFI[[#This Row],[Camp Name]],CL,2,0),"")</f>
        <v>MMR001CMP017</v>
      </c>
      <c r="AR953" s="702">
        <f ca="1">IF(Table_NFI[[#This Row],[Pcode]]="","",IF(OFFSET(CampList[Opening Date],MATCH(Table_NFI[[#This Row],[Pcode]],CampList[CP_Pcode],0)-1,0,1,1)&gt;=NFI_Monitor_Date,1,0))</f>
        <v>0</v>
      </c>
      <c r="AS953" s="396" t="str">
        <f>IFERROR(VLOOKUP(Table_NFI[[#This Row],[Camp Name]],CL,3,0),"")</f>
        <v>Closed</v>
      </c>
      <c r="AT953" s="264" t="str">
        <f ca="1">IF(Table_NFI[[#This Row],[Pcode]]="","",OFFSET(CampList[Priority],MATCH(Table_NFI[[#This Row],[Pcode]],CampList[CP_Pcode],0)-1,0,1,1))</f>
        <v>P4</v>
      </c>
      <c r="AU953" s="263">
        <f>IFERROR(Table_NFI[[#This Row],[Kitchen Set]]/VLOOKUP(Table_NFI[[#This Row],[Camp Name]],CL,4,0),"")</f>
        <v>1.4699757454002008E-4</v>
      </c>
      <c r="AV953" s="390" t="s">
        <v>1087</v>
      </c>
      <c r="AW953" s="392"/>
    </row>
    <row r="954" spans="1:121" ht="14.45" customHeight="1" x14ac:dyDescent="0.25">
      <c r="A954" s="266">
        <f t="shared" si="14"/>
        <v>56.633333333333333</v>
      </c>
      <c r="B954" s="389">
        <v>41157</v>
      </c>
      <c r="C954" s="390" t="s">
        <v>451</v>
      </c>
      <c r="D954" s="390" t="s">
        <v>451</v>
      </c>
      <c r="E954" s="390" t="s">
        <v>380</v>
      </c>
      <c r="F954" s="262" t="s">
        <v>185</v>
      </c>
      <c r="G954" s="262" t="s">
        <v>186</v>
      </c>
      <c r="H954" s="261"/>
      <c r="I954" s="261"/>
      <c r="J954" s="261"/>
      <c r="K954" s="261">
        <v>40</v>
      </c>
      <c r="L954" s="261">
        <v>17</v>
      </c>
      <c r="M954" s="261">
        <v>40</v>
      </c>
      <c r="N954" s="261">
        <v>17</v>
      </c>
      <c r="O954" s="261">
        <v>17</v>
      </c>
      <c r="P954" s="261">
        <v>17</v>
      </c>
      <c r="Q954" s="261">
        <v>17</v>
      </c>
      <c r="R954" s="261"/>
      <c r="S954" s="261"/>
      <c r="T954" s="261"/>
      <c r="U954" s="261"/>
      <c r="V954" s="762"/>
      <c r="W954" s="261"/>
      <c r="X954" s="261"/>
      <c r="Y954" s="264">
        <f>IF(NFI_Expiration=1,IF($A954&lt;VLOOKUP(H$5,NFI,5,0),1,0)*Table_NFI[[#This Row],[Hygiene Kit]],Table_NFI[Hygiene Kit])</f>
        <v>0</v>
      </c>
      <c r="Z954" s="264">
        <f>IF(NFI_Expiration=1,IF($A954&lt;VLOOKUP(I$5,NFI,5,0),1,0)*Table_NFI[[#This Row],[NFI Core Kit]],Table_NFI[NFI Core Kit])</f>
        <v>0</v>
      </c>
      <c r="AA954" s="264">
        <f>IF(NFI_Expiration=1,IF($A954&lt;VLOOKUP(J$5,NFI,5,0),1,0)*Table_NFI[[#This Row],[Sanitary Kit]],Table_NFI[Sanitary Kit])</f>
        <v>0</v>
      </c>
      <c r="AB954" s="264">
        <f>IF(NFI_Expiration=1,IF($A954&lt;VLOOKUP(K$5,NFI,5,0),1,0)*Table_NFI[[#This Row],[Mosquito net]],Table_NFI[Mosquito net])</f>
        <v>0</v>
      </c>
      <c r="AC954" s="264">
        <f>IF(NFI_Expiration=1,IF($A954&lt;VLOOKUP(L$5,NFI,5,0),1,0)*Table_NFI[[#This Row],[Tarpaulin]],Table_NFI[[#This Row],[Tarpaulin]])</f>
        <v>0</v>
      </c>
      <c r="AD954" s="264">
        <f>IF(NFI_Expiration=1,IF($A954&lt;VLOOKUP(M$5,NFI,5,0),1,0)*Table_NFI[[#This Row],[Blanket]],Table_NFI[[#This Row],[Blanket]])</f>
        <v>0</v>
      </c>
      <c r="AE954" s="264">
        <f>IF(NFI_Expiration=1,IF($A954&lt;VLOOKUP(N$5,NFI,5,0),1,0)*Table_NFI[[#This Row],[Kitchen Set]],Table_NFI[Kitchen Set])</f>
        <v>0</v>
      </c>
      <c r="AF954" s="264">
        <f>IF(NFI_Expiration=1,IF($A954&lt;VLOOKUP(O$5,NFI,5,0),1,0)*Table_NFI[[#This Row],[Clothes Kit]],Table_NFI[Clothes Kit])</f>
        <v>0</v>
      </c>
      <c r="AG954" s="264">
        <f>IF(NFI_Expiration=1,IF($A954&lt;VLOOKUP(P$5,NFI,5,0),1,0)*Table_NFI[[#This Row],[Plastic Bucket]],Table_NFI[Plastic Bucket])</f>
        <v>0</v>
      </c>
      <c r="AH954" s="264">
        <f>IF(NFI_Expiration=1,IF($A954&lt;VLOOKUP(Q$5,NFI,5,0),1,0)*Table_NFI[[#This Row],[Plastic Mat]],Table_NFI[Plastic Mat])*IF(Table_NFI[[#This Row],[Distribution Date]]&gt;"2014-04-01",1,2.5)</f>
        <v>0</v>
      </c>
      <c r="AI954" s="264">
        <f>IF(NFI_Expiration=1,IF($A954&lt;VLOOKUP(R$5,NFI,5,0),1,0)*Table_NFI[[#This Row],[Winter Clothes Adult]],Table_NFI[Winter Clothes Adult])</f>
        <v>0</v>
      </c>
      <c r="AJ954" s="264">
        <f>IF(NFI_Expiration=1,IF($A954&lt;VLOOKUP(S$5,NFI,5,0),1,0)*Table_NFI[[#This Row],[Winter Clothes Children]],Table_NFI[Winter Clothes Children])</f>
        <v>0</v>
      </c>
      <c r="AK954" s="264">
        <f>IF(NFI_Expiration=1,IF($A954&lt;VLOOKUP(T$5,NFI,5,0),1,0)*Table_NFI[[#This Row],[Winter Items Other]],Table_NFI[Winter Items Other])</f>
        <v>0</v>
      </c>
      <c r="AL954" s="264">
        <f>IF(NFI_Expiration=1,IF($A954&lt;VLOOKUP(M$5,NFI,5,0),1,0)*Table_NFI[[#This Row],[Winter Blanket]],Table_NFI[[#This Row],[Winter Blanket]])</f>
        <v>0</v>
      </c>
      <c r="AM954" s="264">
        <f>IF(Table_NFI[[#This Row],[Winter Clothes Adult]]+Table_NFI[[#This Row],[Winter Clothes Children]]+Table_NFI[[#This Row],[Winter Items Other]]+Table_NFI[[#This Row],[Winter Blanket]]&gt;0,1,0)</f>
        <v>0</v>
      </c>
      <c r="AN954" s="296">
        <f>IF(NFI_Expiration=1,IF($A954&lt;VLOOKUP(V$5,NFI,5,0),1,0)*Table_NFI[[#This Row],[Jerry Can]],Table_NFI[Jerry Can])</f>
        <v>0</v>
      </c>
      <c r="AO954" s="296">
        <f>IF(NFI_Expiration=1,IF($A954&lt;VLOOKUP(V$5,NFI,5,0),1,0)*Table_NFI[[#This Row],[Shelter Tool kit]],Table_NFI[Shelter Tool kit])</f>
        <v>0</v>
      </c>
      <c r="AP954" s="296">
        <f>IF(NFI_Expiration=1,IF($A954&lt;VLOOKUP(V$5,NFI,5,0),1,0)*Table_NFI[[#This Row],[Tent]],Table_NFI[Tent])</f>
        <v>0</v>
      </c>
      <c r="AQ954" s="396" t="str">
        <f>IFERROR(VLOOKUP(Table_NFI[[#This Row],[Camp Name]],CL,2,0),"")</f>
        <v>MMR001CMP071</v>
      </c>
      <c r="AR954" s="702">
        <f ca="1">IF(Table_NFI[[#This Row],[Pcode]]="","",IF(OFFSET(CampList[Opening Date],MATCH(Table_NFI[[#This Row],[Pcode]],CampList[CP_Pcode],0)-1,0,1,1)&gt;=NFI_Monitor_Date,1,0))</f>
        <v>0</v>
      </c>
      <c r="AS954" s="396" t="str">
        <f>IFERROR(VLOOKUP(Table_NFI[[#This Row],[Camp Name]],CL,3,0),"")</f>
        <v>Open</v>
      </c>
      <c r="AT954" s="264" t="str">
        <f ca="1">IF(Table_NFI[[#This Row],[Pcode]]="","",OFFSET(CampList[Priority],MATCH(Table_NFI[[#This Row],[Pcode]],CampList[CP_Pcode],0)-1,0,1,1))</f>
        <v>P3</v>
      </c>
      <c r="AU954" s="263">
        <f>IFERROR(Table_NFI[[#This Row],[Kitchen Set]]/VLOOKUP(Table_NFI[[#This Row],[Camp Name]],CL,4,0),"")</f>
        <v>4.1433097733365831E-4</v>
      </c>
      <c r="AV954" s="390" t="s">
        <v>1087</v>
      </c>
      <c r="AW954" s="392"/>
    </row>
    <row r="955" spans="1:121" ht="15" customHeight="1" x14ac:dyDescent="0.25">
      <c r="A955" s="266">
        <f t="shared" si="14"/>
        <v>56.633333333333333</v>
      </c>
      <c r="B955" s="389">
        <v>41157</v>
      </c>
      <c r="C955" s="390" t="s">
        <v>451</v>
      </c>
      <c r="D955" s="391" t="s">
        <v>451</v>
      </c>
      <c r="E955" s="390" t="s">
        <v>380</v>
      </c>
      <c r="F955" s="262" t="s">
        <v>185</v>
      </c>
      <c r="G955" s="262" t="s">
        <v>223</v>
      </c>
      <c r="H955" s="261"/>
      <c r="I955" s="261"/>
      <c r="J955" s="261"/>
      <c r="K955" s="261">
        <v>21</v>
      </c>
      <c r="L955" s="261">
        <v>10</v>
      </c>
      <c r="M955" s="261">
        <v>21</v>
      </c>
      <c r="N955" s="261">
        <v>10</v>
      </c>
      <c r="O955" s="261">
        <v>10</v>
      </c>
      <c r="P955" s="261">
        <v>10</v>
      </c>
      <c r="Q955" s="261">
        <v>10</v>
      </c>
      <c r="R955" s="261"/>
      <c r="S955" s="261"/>
      <c r="T955" s="261"/>
      <c r="U955" s="261"/>
      <c r="V955" s="762"/>
      <c r="W955" s="762"/>
      <c r="X955" s="762"/>
      <c r="Y955" s="264">
        <f>IF(NFI_Expiration=1,IF($A955&lt;VLOOKUP(H$5,NFI,5,0),1,0)*Table_NFI[[#This Row],[Hygiene Kit]],Table_NFI[Hygiene Kit])</f>
        <v>0</v>
      </c>
      <c r="Z955" s="264">
        <f>IF(NFI_Expiration=1,IF($A955&lt;VLOOKUP(I$5,NFI,5,0),1,0)*Table_NFI[[#This Row],[NFI Core Kit]],Table_NFI[NFI Core Kit])</f>
        <v>0</v>
      </c>
      <c r="AA955" s="264">
        <f>IF(NFI_Expiration=1,IF($A955&lt;VLOOKUP(J$5,NFI,5,0),1,0)*Table_NFI[[#This Row],[Sanitary Kit]],Table_NFI[Sanitary Kit])</f>
        <v>0</v>
      </c>
      <c r="AB955" s="264">
        <f>IF(NFI_Expiration=1,IF($A955&lt;VLOOKUP(K$5,NFI,5,0),1,0)*Table_NFI[[#This Row],[Mosquito net]],Table_NFI[Mosquito net])</f>
        <v>0</v>
      </c>
      <c r="AC955" s="264">
        <f>IF(NFI_Expiration=1,IF($A955&lt;VLOOKUP(L$5,NFI,5,0),1,0)*Table_NFI[[#This Row],[Tarpaulin]],Table_NFI[[#This Row],[Tarpaulin]])</f>
        <v>0</v>
      </c>
      <c r="AD955" s="264">
        <f>IF(NFI_Expiration=1,IF($A955&lt;VLOOKUP(M$5,NFI,5,0),1,0)*Table_NFI[[#This Row],[Blanket]],Table_NFI[[#This Row],[Blanket]])</f>
        <v>0</v>
      </c>
      <c r="AE955" s="264">
        <f>IF(NFI_Expiration=1,IF($A955&lt;VLOOKUP(N$5,NFI,5,0),1,0)*Table_NFI[[#This Row],[Kitchen Set]],Table_NFI[Kitchen Set])</f>
        <v>0</v>
      </c>
      <c r="AF955" s="264">
        <f>IF(NFI_Expiration=1,IF($A955&lt;VLOOKUP(O$5,NFI,5,0),1,0)*Table_NFI[[#This Row],[Clothes Kit]],Table_NFI[Clothes Kit])</f>
        <v>0</v>
      </c>
      <c r="AG955" s="264">
        <f>IF(NFI_Expiration=1,IF($A955&lt;VLOOKUP(P$5,NFI,5,0),1,0)*Table_NFI[[#This Row],[Plastic Bucket]],Table_NFI[Plastic Bucket])</f>
        <v>0</v>
      </c>
      <c r="AH955" s="264">
        <f>IF(NFI_Expiration=1,IF($A955&lt;VLOOKUP(Q$5,NFI,5,0),1,0)*Table_NFI[[#This Row],[Plastic Mat]],Table_NFI[Plastic Mat])*IF(Table_NFI[[#This Row],[Distribution Date]]&gt;"2014-04-01",1,2.5)</f>
        <v>0</v>
      </c>
      <c r="AI955" s="264">
        <f>IF(NFI_Expiration=1,IF($A955&lt;VLOOKUP(R$5,NFI,5,0),1,0)*Table_NFI[[#This Row],[Winter Clothes Adult]],Table_NFI[Winter Clothes Adult])</f>
        <v>0</v>
      </c>
      <c r="AJ955" s="264">
        <f>IF(NFI_Expiration=1,IF($A955&lt;VLOOKUP(S$5,NFI,5,0),1,0)*Table_NFI[[#This Row],[Winter Clothes Children]],Table_NFI[Winter Clothes Children])</f>
        <v>0</v>
      </c>
      <c r="AK955" s="264">
        <f>IF(NFI_Expiration=1,IF($A955&lt;VLOOKUP(T$5,NFI,5,0),1,0)*Table_NFI[[#This Row],[Winter Items Other]],Table_NFI[Winter Items Other])</f>
        <v>0</v>
      </c>
      <c r="AL955" s="264">
        <f>IF(NFI_Expiration=1,IF($A955&lt;VLOOKUP(M$5,NFI,5,0),1,0)*Table_NFI[[#This Row],[Winter Blanket]],Table_NFI[[#This Row],[Winter Blanket]])</f>
        <v>0</v>
      </c>
      <c r="AM955" s="264">
        <f>IF(Table_NFI[[#This Row],[Winter Clothes Adult]]+Table_NFI[[#This Row],[Winter Clothes Children]]+Table_NFI[[#This Row],[Winter Items Other]]+Table_NFI[[#This Row],[Winter Blanket]]&gt;0,1,0)</f>
        <v>0</v>
      </c>
      <c r="AN955" s="296">
        <f>IF(NFI_Expiration=1,IF($A955&lt;VLOOKUP(V$5,NFI,5,0),1,0)*Table_NFI[[#This Row],[Jerry Can]],Table_NFI[Jerry Can])</f>
        <v>0</v>
      </c>
      <c r="AO955" s="296">
        <f>IF(NFI_Expiration=1,IF($A955&lt;VLOOKUP(V$5,NFI,5,0),1,0)*Table_NFI[[#This Row],[Shelter Tool kit]],Table_NFI[Shelter Tool kit])</f>
        <v>0</v>
      </c>
      <c r="AP955" s="296">
        <f>IF(NFI_Expiration=1,IF($A955&lt;VLOOKUP(V$5,NFI,5,0),1,0)*Table_NFI[[#This Row],[Tent]],Table_NFI[Tent])</f>
        <v>0</v>
      </c>
      <c r="AQ955" s="396" t="str">
        <f>IFERROR(VLOOKUP(Table_NFI[[#This Row],[Camp Name]],CL,2,0),"")</f>
        <v>MMR001CMP069</v>
      </c>
      <c r="AR955" s="702">
        <f ca="1">IF(Table_NFI[[#This Row],[Pcode]]="","",IF(OFFSET(CampList[Opening Date],MATCH(Table_NFI[[#This Row],[Pcode]],CampList[CP_Pcode],0)-1,0,1,1)&gt;=NFI_Monitor_Date,1,0))</f>
        <v>0</v>
      </c>
      <c r="AS955" s="396" t="str">
        <f>IFERROR(VLOOKUP(Table_NFI[[#This Row],[Camp Name]],CL,3,0),"")</f>
        <v>Open</v>
      </c>
      <c r="AT955" s="264" t="str">
        <f ca="1">IF(Table_NFI[[#This Row],[Pcode]]="","",OFFSET(CampList[Priority],MATCH(Table_NFI[[#This Row],[Pcode]],CampList[CP_Pcode],0)-1,0,1,1))</f>
        <v>P3</v>
      </c>
      <c r="AU955" s="263">
        <f>IFERROR(Table_NFI[[#This Row],[Kitchen Set]]/VLOOKUP(Table_NFI[[#This Row],[Camp Name]],CL,4,0),"")</f>
        <v>2.4481002741872309E-4</v>
      </c>
      <c r="AV955" s="390" t="s">
        <v>1087</v>
      </c>
      <c r="AW955" s="392"/>
    </row>
    <row r="956" spans="1:121" s="760" customFormat="1" ht="14.45" customHeight="1" x14ac:dyDescent="0.25">
      <c r="A956" s="266">
        <f t="shared" si="14"/>
        <v>56.633333333333333</v>
      </c>
      <c r="B956" s="389">
        <v>41157</v>
      </c>
      <c r="C956" s="390" t="s">
        <v>451</v>
      </c>
      <c r="D956" s="390" t="s">
        <v>451</v>
      </c>
      <c r="E956" s="390" t="s">
        <v>380</v>
      </c>
      <c r="F956" s="390" t="s">
        <v>185</v>
      </c>
      <c r="G956" s="262" t="s">
        <v>190</v>
      </c>
      <c r="H956" s="261"/>
      <c r="I956" s="261"/>
      <c r="J956" s="261"/>
      <c r="K956" s="261">
        <v>133</v>
      </c>
      <c r="L956" s="261">
        <v>62</v>
      </c>
      <c r="M956" s="261">
        <v>133</v>
      </c>
      <c r="N956" s="261">
        <v>62</v>
      </c>
      <c r="O956" s="261">
        <v>62</v>
      </c>
      <c r="P956" s="261">
        <v>62</v>
      </c>
      <c r="Q956" s="261">
        <v>62</v>
      </c>
      <c r="R956" s="261"/>
      <c r="S956" s="261"/>
      <c r="T956" s="261"/>
      <c r="U956" s="261"/>
      <c r="V956" s="762"/>
      <c r="W956" s="261"/>
      <c r="X956" s="261"/>
      <c r="Y956" s="264">
        <f>IF(NFI_Expiration=1,IF($A956&lt;VLOOKUP(H$5,NFI,5,0),1,0)*Table_NFI[[#This Row],[Hygiene Kit]],Table_NFI[Hygiene Kit])</f>
        <v>0</v>
      </c>
      <c r="Z956" s="264">
        <f>IF(NFI_Expiration=1,IF($A956&lt;VLOOKUP(I$5,NFI,5,0),1,0)*Table_NFI[[#This Row],[NFI Core Kit]],Table_NFI[NFI Core Kit])</f>
        <v>0</v>
      </c>
      <c r="AA956" s="264">
        <f>IF(NFI_Expiration=1,IF($A956&lt;VLOOKUP(J$5,NFI,5,0),1,0)*Table_NFI[[#This Row],[Sanitary Kit]],Table_NFI[Sanitary Kit])</f>
        <v>0</v>
      </c>
      <c r="AB956" s="264">
        <f>IF(NFI_Expiration=1,IF($A956&lt;VLOOKUP(K$5,NFI,5,0),1,0)*Table_NFI[[#This Row],[Mosquito net]],Table_NFI[Mosquito net])</f>
        <v>0</v>
      </c>
      <c r="AC956" s="264">
        <f>IF(NFI_Expiration=1,IF($A956&lt;VLOOKUP(L$5,NFI,5,0),1,0)*Table_NFI[[#This Row],[Tarpaulin]],Table_NFI[[#This Row],[Tarpaulin]])</f>
        <v>0</v>
      </c>
      <c r="AD956" s="264">
        <f>IF(NFI_Expiration=1,IF($A956&lt;VLOOKUP(M$5,NFI,5,0),1,0)*Table_NFI[[#This Row],[Blanket]],Table_NFI[[#This Row],[Blanket]])</f>
        <v>0</v>
      </c>
      <c r="AE956" s="264">
        <f>IF(NFI_Expiration=1,IF($A956&lt;VLOOKUP(N$5,NFI,5,0),1,0)*Table_NFI[[#This Row],[Kitchen Set]],Table_NFI[Kitchen Set])</f>
        <v>0</v>
      </c>
      <c r="AF956" s="264">
        <f>IF(NFI_Expiration=1,IF($A956&lt;VLOOKUP(O$5,NFI,5,0),1,0)*Table_NFI[[#This Row],[Clothes Kit]],Table_NFI[Clothes Kit])</f>
        <v>0</v>
      </c>
      <c r="AG956" s="264">
        <f>IF(NFI_Expiration=1,IF($A956&lt;VLOOKUP(P$5,NFI,5,0),1,0)*Table_NFI[[#This Row],[Plastic Bucket]],Table_NFI[Plastic Bucket])</f>
        <v>0</v>
      </c>
      <c r="AH956" s="264">
        <f>IF(NFI_Expiration=1,IF($A956&lt;VLOOKUP(Q$5,NFI,5,0),1,0)*Table_NFI[[#This Row],[Plastic Mat]],Table_NFI[Plastic Mat])*IF(Table_NFI[[#This Row],[Distribution Date]]&gt;"2014-04-01",1,2.5)</f>
        <v>0</v>
      </c>
      <c r="AI956" s="264">
        <f>IF(NFI_Expiration=1,IF($A956&lt;VLOOKUP(R$5,NFI,5,0),1,0)*Table_NFI[[#This Row],[Winter Clothes Adult]],Table_NFI[Winter Clothes Adult])</f>
        <v>0</v>
      </c>
      <c r="AJ956" s="264">
        <f>IF(NFI_Expiration=1,IF($A956&lt;VLOOKUP(S$5,NFI,5,0),1,0)*Table_NFI[[#This Row],[Winter Clothes Children]],Table_NFI[Winter Clothes Children])</f>
        <v>0</v>
      </c>
      <c r="AK956" s="264">
        <f>IF(NFI_Expiration=1,IF($A956&lt;VLOOKUP(T$5,NFI,5,0),1,0)*Table_NFI[[#This Row],[Winter Items Other]],Table_NFI[Winter Items Other])</f>
        <v>0</v>
      </c>
      <c r="AL956" s="264">
        <f>IF(NFI_Expiration=1,IF($A956&lt;VLOOKUP(M$5,NFI,5,0),1,0)*Table_NFI[[#This Row],[Winter Blanket]],Table_NFI[[#This Row],[Winter Blanket]])</f>
        <v>0</v>
      </c>
      <c r="AM956" s="264">
        <f>IF(Table_NFI[[#This Row],[Winter Clothes Adult]]+Table_NFI[[#This Row],[Winter Clothes Children]]+Table_NFI[[#This Row],[Winter Items Other]]+Table_NFI[[#This Row],[Winter Blanket]]&gt;0,1,0)</f>
        <v>0</v>
      </c>
      <c r="AN956" s="296">
        <f>IF(NFI_Expiration=1,IF($A956&lt;VLOOKUP(V$5,NFI,5,0),1,0)*Table_NFI[[#This Row],[Jerry Can]],Table_NFI[Jerry Can])</f>
        <v>0</v>
      </c>
      <c r="AO956" s="296">
        <f>IF(NFI_Expiration=1,IF($A956&lt;VLOOKUP(V$5,NFI,5,0),1,0)*Table_NFI[[#This Row],[Shelter Tool kit]],Table_NFI[Shelter Tool kit])</f>
        <v>0</v>
      </c>
      <c r="AP956" s="296">
        <f>IF(NFI_Expiration=1,IF($A956&lt;VLOOKUP(V$5,NFI,5,0),1,0)*Table_NFI[[#This Row],[Tent]],Table_NFI[Tent])</f>
        <v>0</v>
      </c>
      <c r="AQ956" s="396" t="str">
        <f>IFERROR(VLOOKUP(Table_NFI[[#This Row],[Camp Name]],CL,2,0),"")</f>
        <v>MMR001CMP070</v>
      </c>
      <c r="AR956" s="702">
        <f ca="1">IF(Table_NFI[[#This Row],[Pcode]]="","",IF(OFFSET(CampList[Opening Date],MATCH(Table_NFI[[#This Row],[Pcode]],CampList[CP_Pcode],0)-1,0,1,1)&gt;=NFI_Monitor_Date,1,0))</f>
        <v>0</v>
      </c>
      <c r="AS956" s="396" t="str">
        <f>IFERROR(VLOOKUP(Table_NFI[[#This Row],[Camp Name]],CL,3,0),"")</f>
        <v>Open</v>
      </c>
      <c r="AT956" s="264" t="str">
        <f ca="1">IF(Table_NFI[[#This Row],[Pcode]]="","",OFFSET(CampList[Priority],MATCH(Table_NFI[[#This Row],[Pcode]],CampList[CP_Pcode],0)-1,0,1,1))</f>
        <v>P3</v>
      </c>
      <c r="AU956" s="263">
        <f>IFERROR(Table_NFI[[#This Row],[Kitchen Set]]/VLOOKUP(Table_NFI[[#This Row],[Camp Name]],CL,4,0),"")</f>
        <v>1.5121951219512196E-3</v>
      </c>
      <c r="AV956" s="390" t="s">
        <v>1087</v>
      </c>
      <c r="AW956" s="392"/>
      <c r="AX956" s="399"/>
      <c r="AY956" s="399"/>
      <c r="AZ956" s="399"/>
      <c r="BA956" s="399"/>
      <c r="BB956" s="399"/>
      <c r="BC956" s="399"/>
      <c r="BD956" s="399"/>
      <c r="BE956" s="399"/>
      <c r="BF956" s="399"/>
      <c r="BG956" s="399"/>
      <c r="BH956" s="399"/>
      <c r="BI956" s="399"/>
      <c r="BJ956" s="399"/>
      <c r="BK956" s="399"/>
      <c r="BL956" s="399"/>
      <c r="BM956" s="399"/>
      <c r="BN956" s="399"/>
      <c r="BO956" s="399"/>
      <c r="BP956" s="399"/>
      <c r="BQ956" s="399"/>
      <c r="BR956" s="399"/>
      <c r="BS956" s="399"/>
      <c r="BT956" s="399"/>
      <c r="BU956" s="399"/>
      <c r="BV956" s="399"/>
      <c r="BW956" s="399"/>
      <c r="BX956" s="399"/>
      <c r="BY956" s="399"/>
      <c r="BZ956" s="399"/>
      <c r="CA956" s="399"/>
      <c r="CB956" s="399"/>
      <c r="CC956" s="399"/>
      <c r="CD956" s="399"/>
      <c r="CE956" s="399"/>
      <c r="CF956" s="399"/>
      <c r="CG956" s="399"/>
      <c r="CH956" s="399"/>
      <c r="CI956" s="399"/>
      <c r="CJ956" s="399"/>
      <c r="CK956" s="399"/>
      <c r="CL956" s="399"/>
      <c r="CM956" s="399"/>
      <c r="CN956" s="399"/>
      <c r="CO956" s="399"/>
      <c r="CP956" s="399"/>
      <c r="CQ956" s="399"/>
      <c r="CR956" s="399"/>
      <c r="CS956" s="399"/>
      <c r="CT956" s="399"/>
      <c r="CU956" s="399"/>
      <c r="CV956" s="399"/>
      <c r="CW956" s="399"/>
      <c r="CX956" s="399"/>
      <c r="CY956" s="399"/>
      <c r="CZ956" s="399"/>
      <c r="DA956" s="399"/>
      <c r="DB956" s="399"/>
      <c r="DC956" s="399"/>
      <c r="DD956" s="399"/>
      <c r="DE956" s="399"/>
      <c r="DF956" s="399"/>
      <c r="DG956" s="399"/>
      <c r="DH956" s="399"/>
      <c r="DI956" s="399"/>
      <c r="DJ956" s="399"/>
      <c r="DK956" s="399"/>
      <c r="DL956" s="399"/>
      <c r="DM956" s="399"/>
      <c r="DN956" s="399"/>
      <c r="DO956" s="399"/>
      <c r="DP956" s="399"/>
      <c r="DQ956" s="399"/>
    </row>
    <row r="957" spans="1:121" s="760" customFormat="1" ht="15" customHeight="1" x14ac:dyDescent="0.25">
      <c r="A957" s="266">
        <f t="shared" si="14"/>
        <v>56.633333333333333</v>
      </c>
      <c r="B957" s="389">
        <v>41157</v>
      </c>
      <c r="C957" s="390" t="s">
        <v>451</v>
      </c>
      <c r="D957" s="391" t="s">
        <v>451</v>
      </c>
      <c r="E957" s="390" t="s">
        <v>380</v>
      </c>
      <c r="F957" s="262" t="s">
        <v>185</v>
      </c>
      <c r="G957" s="262" t="s">
        <v>225</v>
      </c>
      <c r="H957" s="261"/>
      <c r="I957" s="261"/>
      <c r="J957" s="261"/>
      <c r="K957" s="261">
        <v>26</v>
      </c>
      <c r="L957" s="261">
        <v>11</v>
      </c>
      <c r="M957" s="261">
        <v>26</v>
      </c>
      <c r="N957" s="261">
        <v>11</v>
      </c>
      <c r="O957" s="261">
        <v>11</v>
      </c>
      <c r="P957" s="261">
        <v>11</v>
      </c>
      <c r="Q957" s="261">
        <v>11</v>
      </c>
      <c r="R957" s="261"/>
      <c r="S957" s="261"/>
      <c r="T957" s="261"/>
      <c r="U957" s="261"/>
      <c r="V957" s="762"/>
      <c r="W957" s="261"/>
      <c r="X957" s="261"/>
      <c r="Y957" s="264">
        <f>IF(NFI_Expiration=1,IF($A957&lt;VLOOKUP(H$5,NFI,5,0),1,0)*Table_NFI[[#This Row],[Hygiene Kit]],Table_NFI[Hygiene Kit])</f>
        <v>0</v>
      </c>
      <c r="Z957" s="264">
        <f>IF(NFI_Expiration=1,IF($A957&lt;VLOOKUP(I$5,NFI,5,0),1,0)*Table_NFI[[#This Row],[NFI Core Kit]],Table_NFI[NFI Core Kit])</f>
        <v>0</v>
      </c>
      <c r="AA957" s="264">
        <f>IF(NFI_Expiration=1,IF($A957&lt;VLOOKUP(J$5,NFI,5,0),1,0)*Table_NFI[[#This Row],[Sanitary Kit]],Table_NFI[Sanitary Kit])</f>
        <v>0</v>
      </c>
      <c r="AB957" s="264">
        <f>IF(NFI_Expiration=1,IF($A957&lt;VLOOKUP(K$5,NFI,5,0),1,0)*Table_NFI[[#This Row],[Mosquito net]],Table_NFI[Mosquito net])</f>
        <v>0</v>
      </c>
      <c r="AC957" s="264">
        <f>IF(NFI_Expiration=1,IF($A957&lt;VLOOKUP(L$5,NFI,5,0),1,0)*Table_NFI[[#This Row],[Tarpaulin]],Table_NFI[[#This Row],[Tarpaulin]])</f>
        <v>0</v>
      </c>
      <c r="AD957" s="264">
        <f>IF(NFI_Expiration=1,IF($A957&lt;VLOOKUP(M$5,NFI,5,0),1,0)*Table_NFI[[#This Row],[Blanket]],Table_NFI[[#This Row],[Blanket]])</f>
        <v>0</v>
      </c>
      <c r="AE957" s="264">
        <f>IF(NFI_Expiration=1,IF($A957&lt;VLOOKUP(N$5,NFI,5,0),1,0)*Table_NFI[[#This Row],[Kitchen Set]],Table_NFI[Kitchen Set])</f>
        <v>0</v>
      </c>
      <c r="AF957" s="264">
        <f>IF(NFI_Expiration=1,IF($A957&lt;VLOOKUP(O$5,NFI,5,0),1,0)*Table_NFI[[#This Row],[Clothes Kit]],Table_NFI[Clothes Kit])</f>
        <v>0</v>
      </c>
      <c r="AG957" s="264">
        <f>IF(NFI_Expiration=1,IF($A957&lt;VLOOKUP(P$5,NFI,5,0),1,0)*Table_NFI[[#This Row],[Plastic Bucket]],Table_NFI[Plastic Bucket])</f>
        <v>0</v>
      </c>
      <c r="AH957" s="264">
        <f>IF(NFI_Expiration=1,IF($A957&lt;VLOOKUP(Q$5,NFI,5,0),1,0)*Table_NFI[[#This Row],[Plastic Mat]],Table_NFI[Plastic Mat])*IF(Table_NFI[[#This Row],[Distribution Date]]&gt;"2014-04-01",1,2.5)</f>
        <v>0</v>
      </c>
      <c r="AI957" s="264">
        <f>IF(NFI_Expiration=1,IF($A957&lt;VLOOKUP(R$5,NFI,5,0),1,0)*Table_NFI[[#This Row],[Winter Clothes Adult]],Table_NFI[Winter Clothes Adult])</f>
        <v>0</v>
      </c>
      <c r="AJ957" s="264">
        <f>IF(NFI_Expiration=1,IF($A957&lt;VLOOKUP(S$5,NFI,5,0),1,0)*Table_NFI[[#This Row],[Winter Clothes Children]],Table_NFI[Winter Clothes Children])</f>
        <v>0</v>
      </c>
      <c r="AK957" s="264">
        <f>IF(NFI_Expiration=1,IF($A957&lt;VLOOKUP(T$5,NFI,5,0),1,0)*Table_NFI[[#This Row],[Winter Items Other]],Table_NFI[Winter Items Other])</f>
        <v>0</v>
      </c>
      <c r="AL957" s="264">
        <f>IF(NFI_Expiration=1,IF($A957&lt;VLOOKUP(M$5,NFI,5,0),1,0)*Table_NFI[[#This Row],[Winter Blanket]],Table_NFI[[#This Row],[Winter Blanket]])</f>
        <v>0</v>
      </c>
      <c r="AM957" s="264">
        <f>IF(Table_NFI[[#This Row],[Winter Clothes Adult]]+Table_NFI[[#This Row],[Winter Clothes Children]]+Table_NFI[[#This Row],[Winter Items Other]]+Table_NFI[[#This Row],[Winter Blanket]]&gt;0,1,0)</f>
        <v>0</v>
      </c>
      <c r="AN957" s="296">
        <f>IF(NFI_Expiration=1,IF($A957&lt;VLOOKUP(V$5,NFI,5,0),1,0)*Table_NFI[[#This Row],[Jerry Can]],Table_NFI[Jerry Can])</f>
        <v>0</v>
      </c>
      <c r="AO957" s="296">
        <f>IF(NFI_Expiration=1,IF($A957&lt;VLOOKUP(V$5,NFI,5,0),1,0)*Table_NFI[[#This Row],[Shelter Tool kit]],Table_NFI[Shelter Tool kit])</f>
        <v>0</v>
      </c>
      <c r="AP957" s="296">
        <f>IF(NFI_Expiration=1,IF($A957&lt;VLOOKUP(V$5,NFI,5,0),1,0)*Table_NFI[[#This Row],[Tent]],Table_NFI[Tent])</f>
        <v>0</v>
      </c>
      <c r="AQ957" s="396" t="str">
        <f>IFERROR(VLOOKUP(Table_NFI[[#This Row],[Camp Name]],CL,2,0),"")</f>
        <v>MMR001CMP073</v>
      </c>
      <c r="AR957" s="702">
        <f ca="1">IF(Table_NFI[[#This Row],[Pcode]]="","",IF(OFFSET(CampList[Opening Date],MATCH(Table_NFI[[#This Row],[Pcode]],CampList[CP_Pcode],0)-1,0,1,1)&gt;=NFI_Monitor_Date,1,0))</f>
        <v>0</v>
      </c>
      <c r="AS957" s="396" t="str">
        <f>IFERROR(VLOOKUP(Table_NFI[[#This Row],[Camp Name]],CL,3,0),"")</f>
        <v>Open</v>
      </c>
      <c r="AT957" s="264" t="str">
        <f ca="1">IF(Table_NFI[[#This Row],[Pcode]]="","",OFFSET(CampList[Priority],MATCH(Table_NFI[[#This Row],[Pcode]],CampList[CP_Pcode],0)-1,0,1,1))</f>
        <v>P3</v>
      </c>
      <c r="AU957" s="263">
        <f>IFERROR(Table_NFI[[#This Row],[Kitchen Set]]/VLOOKUP(Table_NFI[[#This Row],[Camp Name]],CL,4,0),"")</f>
        <v>2.6749671708574483E-4</v>
      </c>
      <c r="AV957" s="390" t="s">
        <v>1087</v>
      </c>
      <c r="AW957" s="392"/>
      <c r="AX957" s="399"/>
      <c r="AY957" s="399"/>
      <c r="AZ957" s="399"/>
      <c r="BA957" s="399"/>
      <c r="BB957" s="399"/>
      <c r="BC957" s="399"/>
      <c r="BD957" s="399"/>
      <c r="BE957" s="399"/>
      <c r="BF957" s="399"/>
      <c r="BG957" s="399"/>
      <c r="BH957" s="399"/>
      <c r="BI957" s="399"/>
      <c r="BJ957" s="399"/>
      <c r="BK957" s="399"/>
      <c r="BL957" s="399"/>
      <c r="BM957" s="399"/>
      <c r="BN957" s="399"/>
      <c r="BO957" s="399"/>
      <c r="BP957" s="399"/>
      <c r="BQ957" s="399"/>
      <c r="BR957" s="399"/>
      <c r="BS957" s="399"/>
      <c r="BT957" s="399"/>
      <c r="BU957" s="399"/>
      <c r="BV957" s="399"/>
      <c r="BW957" s="399"/>
      <c r="BX957" s="399"/>
      <c r="BY957" s="399"/>
      <c r="BZ957" s="399"/>
      <c r="CA957" s="399"/>
      <c r="CB957" s="399"/>
      <c r="CC957" s="399"/>
      <c r="CD957" s="399"/>
      <c r="CE957" s="399"/>
      <c r="CF957" s="399"/>
      <c r="CG957" s="399"/>
      <c r="CH957" s="399"/>
      <c r="CI957" s="399"/>
      <c r="CJ957" s="399"/>
      <c r="CK957" s="399"/>
      <c r="CL957" s="399"/>
      <c r="CM957" s="399"/>
      <c r="CN957" s="399"/>
      <c r="CO957" s="399"/>
      <c r="CP957" s="399"/>
      <c r="CQ957" s="399"/>
      <c r="CR957" s="399"/>
      <c r="CS957" s="399"/>
      <c r="CT957" s="399"/>
      <c r="CU957" s="399"/>
      <c r="CV957" s="399"/>
      <c r="CW957" s="399"/>
      <c r="CX957" s="399"/>
      <c r="CY957" s="399"/>
      <c r="CZ957" s="399"/>
      <c r="DA957" s="399"/>
      <c r="DB957" s="399"/>
      <c r="DC957" s="399"/>
      <c r="DD957" s="399"/>
      <c r="DE957" s="399"/>
      <c r="DF957" s="399"/>
      <c r="DG957" s="399"/>
      <c r="DH957" s="399"/>
      <c r="DI957" s="399"/>
      <c r="DJ957" s="399"/>
      <c r="DK957" s="399"/>
      <c r="DL957" s="399"/>
      <c r="DM957" s="399"/>
      <c r="DN957" s="399"/>
      <c r="DO957" s="399"/>
      <c r="DP957" s="399"/>
      <c r="DQ957" s="399"/>
    </row>
    <row r="958" spans="1:121" ht="15" customHeight="1" x14ac:dyDescent="0.25">
      <c r="A958" s="266">
        <f t="shared" si="14"/>
        <v>56.866666666666667</v>
      </c>
      <c r="B958" s="389">
        <v>41150</v>
      </c>
      <c r="C958" s="390" t="s">
        <v>451</v>
      </c>
      <c r="D958" s="391" t="s">
        <v>451</v>
      </c>
      <c r="E958" s="390" t="s">
        <v>380</v>
      </c>
      <c r="F958" s="262" t="s">
        <v>185</v>
      </c>
      <c r="G958" s="262" t="s">
        <v>229</v>
      </c>
      <c r="H958" s="261"/>
      <c r="I958" s="261"/>
      <c r="J958" s="261"/>
      <c r="K958" s="261">
        <v>112</v>
      </c>
      <c r="L958" s="261">
        <v>41</v>
      </c>
      <c r="M958" s="261">
        <v>112</v>
      </c>
      <c r="N958" s="261">
        <v>41</v>
      </c>
      <c r="O958" s="261">
        <v>41</v>
      </c>
      <c r="P958" s="261">
        <v>41</v>
      </c>
      <c r="Q958" s="261">
        <v>41</v>
      </c>
      <c r="R958" s="261"/>
      <c r="S958" s="261"/>
      <c r="T958" s="261"/>
      <c r="U958" s="261"/>
      <c r="V958" s="762"/>
      <c r="W958" s="762"/>
      <c r="X958" s="762"/>
      <c r="Y958" s="264">
        <f>IF(NFI_Expiration=1,IF($A958&lt;VLOOKUP(H$5,NFI,5,0),1,0)*Table_NFI[[#This Row],[Hygiene Kit]],Table_NFI[Hygiene Kit])</f>
        <v>0</v>
      </c>
      <c r="Z958" s="264">
        <f>IF(NFI_Expiration=1,IF($A958&lt;VLOOKUP(I$5,NFI,5,0),1,0)*Table_NFI[[#This Row],[NFI Core Kit]],Table_NFI[NFI Core Kit])</f>
        <v>0</v>
      </c>
      <c r="AA958" s="264">
        <f>IF(NFI_Expiration=1,IF($A958&lt;VLOOKUP(J$5,NFI,5,0),1,0)*Table_NFI[[#This Row],[Sanitary Kit]],Table_NFI[Sanitary Kit])</f>
        <v>0</v>
      </c>
      <c r="AB958" s="264">
        <f>IF(NFI_Expiration=1,IF($A958&lt;VLOOKUP(K$5,NFI,5,0),1,0)*Table_NFI[[#This Row],[Mosquito net]],Table_NFI[Mosquito net])</f>
        <v>0</v>
      </c>
      <c r="AC958" s="264">
        <f>IF(NFI_Expiration=1,IF($A958&lt;VLOOKUP(L$5,NFI,5,0),1,0)*Table_NFI[[#This Row],[Tarpaulin]],Table_NFI[[#This Row],[Tarpaulin]])</f>
        <v>0</v>
      </c>
      <c r="AD958" s="264">
        <f>IF(NFI_Expiration=1,IF($A958&lt;VLOOKUP(M$5,NFI,5,0),1,0)*Table_NFI[[#This Row],[Blanket]],Table_NFI[[#This Row],[Blanket]])</f>
        <v>0</v>
      </c>
      <c r="AE958" s="264">
        <f>IF(NFI_Expiration=1,IF($A958&lt;VLOOKUP(N$5,NFI,5,0),1,0)*Table_NFI[[#This Row],[Kitchen Set]],Table_NFI[Kitchen Set])</f>
        <v>0</v>
      </c>
      <c r="AF958" s="264">
        <f>IF(NFI_Expiration=1,IF($A958&lt;VLOOKUP(O$5,NFI,5,0),1,0)*Table_NFI[[#This Row],[Clothes Kit]],Table_NFI[Clothes Kit])</f>
        <v>0</v>
      </c>
      <c r="AG958" s="264">
        <f>IF(NFI_Expiration=1,IF($A958&lt;VLOOKUP(P$5,NFI,5,0),1,0)*Table_NFI[[#This Row],[Plastic Bucket]],Table_NFI[Plastic Bucket])</f>
        <v>0</v>
      </c>
      <c r="AH958" s="264">
        <f>IF(NFI_Expiration=1,IF($A958&lt;VLOOKUP(Q$5,NFI,5,0),1,0)*Table_NFI[[#This Row],[Plastic Mat]],Table_NFI[Plastic Mat])*IF(Table_NFI[[#This Row],[Distribution Date]]&gt;"2014-04-01",1,2.5)</f>
        <v>0</v>
      </c>
      <c r="AI958" s="264">
        <f>IF(NFI_Expiration=1,IF($A958&lt;VLOOKUP(R$5,NFI,5,0),1,0)*Table_NFI[[#This Row],[Winter Clothes Adult]],Table_NFI[Winter Clothes Adult])</f>
        <v>0</v>
      </c>
      <c r="AJ958" s="264">
        <f>IF(NFI_Expiration=1,IF($A958&lt;VLOOKUP(S$5,NFI,5,0),1,0)*Table_NFI[[#This Row],[Winter Clothes Children]],Table_NFI[Winter Clothes Children])</f>
        <v>0</v>
      </c>
      <c r="AK958" s="264">
        <f>IF(NFI_Expiration=1,IF($A958&lt;VLOOKUP(T$5,NFI,5,0),1,0)*Table_NFI[[#This Row],[Winter Items Other]],Table_NFI[Winter Items Other])</f>
        <v>0</v>
      </c>
      <c r="AL958" s="264">
        <f>IF(NFI_Expiration=1,IF($A958&lt;VLOOKUP(M$5,NFI,5,0),1,0)*Table_NFI[[#This Row],[Winter Blanket]],Table_NFI[[#This Row],[Winter Blanket]])</f>
        <v>0</v>
      </c>
      <c r="AM958" s="264">
        <f>IF(Table_NFI[[#This Row],[Winter Clothes Adult]]+Table_NFI[[#This Row],[Winter Clothes Children]]+Table_NFI[[#This Row],[Winter Items Other]]+Table_NFI[[#This Row],[Winter Blanket]]&gt;0,1,0)</f>
        <v>0</v>
      </c>
      <c r="AN958" s="296">
        <f>IF(NFI_Expiration=1,IF($A958&lt;VLOOKUP(V$5,NFI,5,0),1,0)*Table_NFI[[#This Row],[Jerry Can]],Table_NFI[Jerry Can])</f>
        <v>0</v>
      </c>
      <c r="AO958" s="296">
        <f>IF(NFI_Expiration=1,IF($A958&lt;VLOOKUP(V$5,NFI,5,0),1,0)*Table_NFI[[#This Row],[Shelter Tool kit]],Table_NFI[Shelter Tool kit])</f>
        <v>0</v>
      </c>
      <c r="AP958" s="296">
        <f>IF(NFI_Expiration=1,IF($A958&lt;VLOOKUP(V$5,NFI,5,0),1,0)*Table_NFI[[#This Row],[Tent]],Table_NFI[Tent])</f>
        <v>0</v>
      </c>
      <c r="AQ958" s="396" t="str">
        <f>IFERROR(VLOOKUP(Table_NFI[[#This Row],[Camp Name]],CL,2,0),"")</f>
        <v>MMR001CMP072</v>
      </c>
      <c r="AR958" s="702">
        <f ca="1">IF(Table_NFI[[#This Row],[Pcode]]="","",IF(OFFSET(CampList[Opening Date],MATCH(Table_NFI[[#This Row],[Pcode]],CampList[CP_Pcode],0)-1,0,1,1)&gt;=NFI_Monitor_Date,1,0))</f>
        <v>0</v>
      </c>
      <c r="AS958" s="396" t="str">
        <f>IFERROR(VLOOKUP(Table_NFI[[#This Row],[Camp Name]],CL,3,0),"")</f>
        <v>Open</v>
      </c>
      <c r="AT958" s="264" t="str">
        <f ca="1">IF(Table_NFI[[#This Row],[Pcode]]="","",OFFSET(CampList[Priority],MATCH(Table_NFI[[#This Row],[Pcode]],CampList[CP_Pcode],0)-1,0,1,1))</f>
        <v>P3</v>
      </c>
      <c r="AU958" s="263">
        <f>IFERROR(Table_NFI[[#This Row],[Kitchen Set]]/VLOOKUP(Table_NFI[[#This Row],[Camp Name]],CL,4,0),"")</f>
        <v>9.9703321822868537E-4</v>
      </c>
      <c r="AV958" s="390" t="s">
        <v>1087</v>
      </c>
      <c r="AW958" s="392"/>
    </row>
    <row r="959" spans="1:121" ht="15" customHeight="1" x14ac:dyDescent="0.25">
      <c r="A959" s="266">
        <f t="shared" si="14"/>
        <v>56.93333333333333</v>
      </c>
      <c r="B959" s="389">
        <v>41148</v>
      </c>
      <c r="C959" s="390" t="s">
        <v>451</v>
      </c>
      <c r="D959" s="391" t="s">
        <v>451</v>
      </c>
      <c r="E959" s="390" t="s">
        <v>380</v>
      </c>
      <c r="F959" s="262" t="s">
        <v>237</v>
      </c>
      <c r="G959" s="262" t="s">
        <v>253</v>
      </c>
      <c r="H959" s="261"/>
      <c r="I959" s="261"/>
      <c r="J959" s="261"/>
      <c r="K959" s="261">
        <v>7</v>
      </c>
      <c r="L959" s="261">
        <v>4</v>
      </c>
      <c r="M959" s="261">
        <v>7</v>
      </c>
      <c r="N959" s="261">
        <v>3</v>
      </c>
      <c r="O959" s="261">
        <v>3</v>
      </c>
      <c r="P959" s="261">
        <v>3</v>
      </c>
      <c r="Q959" s="261">
        <v>3</v>
      </c>
      <c r="R959" s="261"/>
      <c r="S959" s="261"/>
      <c r="T959" s="261"/>
      <c r="U959" s="261"/>
      <c r="V959" s="762"/>
      <c r="W959" s="762"/>
      <c r="X959" s="762"/>
      <c r="Y959" s="264">
        <f>IF(NFI_Expiration=1,IF($A959&lt;VLOOKUP(H$5,NFI,5,0),1,0)*Table_NFI[[#This Row],[Hygiene Kit]],Table_NFI[Hygiene Kit])</f>
        <v>0</v>
      </c>
      <c r="Z959" s="264">
        <f>IF(NFI_Expiration=1,IF($A959&lt;VLOOKUP(I$5,NFI,5,0),1,0)*Table_NFI[[#This Row],[NFI Core Kit]],Table_NFI[NFI Core Kit])</f>
        <v>0</v>
      </c>
      <c r="AA959" s="264">
        <f>IF(NFI_Expiration=1,IF($A959&lt;VLOOKUP(J$5,NFI,5,0),1,0)*Table_NFI[[#This Row],[Sanitary Kit]],Table_NFI[Sanitary Kit])</f>
        <v>0</v>
      </c>
      <c r="AB959" s="264">
        <f>IF(NFI_Expiration=1,IF($A959&lt;VLOOKUP(K$5,NFI,5,0),1,0)*Table_NFI[[#This Row],[Mosquito net]],Table_NFI[Mosquito net])</f>
        <v>0</v>
      </c>
      <c r="AC959" s="264">
        <f>IF(NFI_Expiration=1,IF($A959&lt;VLOOKUP(L$5,NFI,5,0),1,0)*Table_NFI[[#This Row],[Tarpaulin]],Table_NFI[[#This Row],[Tarpaulin]])</f>
        <v>0</v>
      </c>
      <c r="AD959" s="264">
        <f>IF(NFI_Expiration=1,IF($A959&lt;VLOOKUP(M$5,NFI,5,0),1,0)*Table_NFI[[#This Row],[Blanket]],Table_NFI[[#This Row],[Blanket]])</f>
        <v>0</v>
      </c>
      <c r="AE959" s="264">
        <f>IF(NFI_Expiration=1,IF($A959&lt;VLOOKUP(N$5,NFI,5,0),1,0)*Table_NFI[[#This Row],[Kitchen Set]],Table_NFI[Kitchen Set])</f>
        <v>0</v>
      </c>
      <c r="AF959" s="264">
        <f>IF(NFI_Expiration=1,IF($A959&lt;VLOOKUP(O$5,NFI,5,0),1,0)*Table_NFI[[#This Row],[Clothes Kit]],Table_NFI[Clothes Kit])</f>
        <v>0</v>
      </c>
      <c r="AG959" s="264">
        <f>IF(NFI_Expiration=1,IF($A959&lt;VLOOKUP(P$5,NFI,5,0),1,0)*Table_NFI[[#This Row],[Plastic Bucket]],Table_NFI[Plastic Bucket])</f>
        <v>0</v>
      </c>
      <c r="AH959" s="264">
        <f>IF(NFI_Expiration=1,IF($A959&lt;VLOOKUP(Q$5,NFI,5,0),1,0)*Table_NFI[[#This Row],[Plastic Mat]],Table_NFI[Plastic Mat])*IF(Table_NFI[[#This Row],[Distribution Date]]&gt;"2014-04-01",1,2.5)</f>
        <v>0</v>
      </c>
      <c r="AI959" s="264">
        <f>IF(NFI_Expiration=1,IF($A959&lt;VLOOKUP(R$5,NFI,5,0),1,0)*Table_NFI[[#This Row],[Winter Clothes Adult]],Table_NFI[Winter Clothes Adult])</f>
        <v>0</v>
      </c>
      <c r="AJ959" s="264">
        <f>IF(NFI_Expiration=1,IF($A959&lt;VLOOKUP(S$5,NFI,5,0),1,0)*Table_NFI[[#This Row],[Winter Clothes Children]],Table_NFI[Winter Clothes Children])</f>
        <v>0</v>
      </c>
      <c r="AK959" s="264">
        <f>IF(NFI_Expiration=1,IF($A959&lt;VLOOKUP(T$5,NFI,5,0),1,0)*Table_NFI[[#This Row],[Winter Items Other]],Table_NFI[Winter Items Other])</f>
        <v>0</v>
      </c>
      <c r="AL959" s="264">
        <f>IF(NFI_Expiration=1,IF($A959&lt;VLOOKUP(M$5,NFI,5,0),1,0)*Table_NFI[[#This Row],[Winter Blanket]],Table_NFI[[#This Row],[Winter Blanket]])</f>
        <v>0</v>
      </c>
      <c r="AM959" s="264">
        <f>IF(Table_NFI[[#This Row],[Winter Clothes Adult]]+Table_NFI[[#This Row],[Winter Clothes Children]]+Table_NFI[[#This Row],[Winter Items Other]]+Table_NFI[[#This Row],[Winter Blanket]]&gt;0,1,0)</f>
        <v>0</v>
      </c>
      <c r="AN959" s="296">
        <f>IF(NFI_Expiration=1,IF($A959&lt;VLOOKUP(V$5,NFI,5,0),1,0)*Table_NFI[[#This Row],[Jerry Can]],Table_NFI[Jerry Can])</f>
        <v>0</v>
      </c>
      <c r="AO959" s="296">
        <f>IF(NFI_Expiration=1,IF($A959&lt;VLOOKUP(V$5,NFI,5,0),1,0)*Table_NFI[[#This Row],[Shelter Tool kit]],Table_NFI[Shelter Tool kit])</f>
        <v>0</v>
      </c>
      <c r="AP959" s="296">
        <f>IF(NFI_Expiration=1,IF($A959&lt;VLOOKUP(V$5,NFI,5,0),1,0)*Table_NFI[[#This Row],[Tent]],Table_NFI[Tent])</f>
        <v>0</v>
      </c>
      <c r="AQ959" s="396" t="str">
        <f>IFERROR(VLOOKUP(Table_NFI[[#This Row],[Camp Name]],CL,2,0),"")</f>
        <v>MMR001CMP018</v>
      </c>
      <c r="AR959" s="702">
        <f ca="1">IF(Table_NFI[[#This Row],[Pcode]]="","",IF(OFFSET(CampList[Opening Date],MATCH(Table_NFI[[#This Row],[Pcode]],CampList[CP_Pcode],0)-1,0,1,1)&gt;=NFI_Monitor_Date,1,0))</f>
        <v>0</v>
      </c>
      <c r="AS959" s="396" t="str">
        <f>IFERROR(VLOOKUP(Table_NFI[[#This Row],[Camp Name]],CL,3,0),"")</f>
        <v>Open</v>
      </c>
      <c r="AT959" s="264" t="str">
        <f ca="1">IF(Table_NFI[[#This Row],[Pcode]]="","",OFFSET(CampList[Priority],MATCH(Table_NFI[[#This Row],[Pcode]],CampList[CP_Pcode],0)-1,0,1,1))</f>
        <v>P4</v>
      </c>
      <c r="AU959" s="263">
        <f>IFERROR(Table_NFI[[#This Row],[Kitchen Set]]/VLOOKUP(Table_NFI[[#This Row],[Camp Name]],CL,4,0),"")</f>
        <v>7.3664825046040511E-5</v>
      </c>
      <c r="AV959" s="390" t="s">
        <v>1087</v>
      </c>
      <c r="AW959" s="392"/>
    </row>
    <row r="960" spans="1:121" ht="15" customHeight="1" x14ac:dyDescent="0.25">
      <c r="A960" s="266">
        <f t="shared" si="14"/>
        <v>56.93333333333333</v>
      </c>
      <c r="B960" s="389">
        <v>41148</v>
      </c>
      <c r="C960" s="390" t="s">
        <v>451</v>
      </c>
      <c r="D960" s="390" t="s">
        <v>451</v>
      </c>
      <c r="E960" s="390" t="s">
        <v>380</v>
      </c>
      <c r="F960" s="262" t="s">
        <v>237</v>
      </c>
      <c r="G960" s="262" t="s">
        <v>259</v>
      </c>
      <c r="H960" s="261"/>
      <c r="I960" s="261"/>
      <c r="J960" s="261"/>
      <c r="K960" s="261">
        <v>2</v>
      </c>
      <c r="L960" s="261">
        <v>1</v>
      </c>
      <c r="M960" s="261">
        <v>2</v>
      </c>
      <c r="N960" s="261">
        <v>1</v>
      </c>
      <c r="O960" s="261">
        <v>1</v>
      </c>
      <c r="P960" s="261">
        <v>1</v>
      </c>
      <c r="Q960" s="261">
        <v>1</v>
      </c>
      <c r="R960" s="261"/>
      <c r="S960" s="261"/>
      <c r="T960" s="261"/>
      <c r="U960" s="261"/>
      <c r="V960" s="762"/>
      <c r="W960" s="762"/>
      <c r="X960" s="762"/>
      <c r="Y960" s="264">
        <f>IF(NFI_Expiration=1,IF($A960&lt;VLOOKUP(H$5,NFI,5,0),1,0)*Table_NFI[[#This Row],[Hygiene Kit]],Table_NFI[Hygiene Kit])</f>
        <v>0</v>
      </c>
      <c r="Z960" s="264">
        <f>IF(NFI_Expiration=1,IF($A960&lt;VLOOKUP(I$5,NFI,5,0),1,0)*Table_NFI[[#This Row],[NFI Core Kit]],Table_NFI[NFI Core Kit])</f>
        <v>0</v>
      </c>
      <c r="AA960" s="264">
        <f>IF(NFI_Expiration=1,IF($A960&lt;VLOOKUP(J$5,NFI,5,0),1,0)*Table_NFI[[#This Row],[Sanitary Kit]],Table_NFI[Sanitary Kit])</f>
        <v>0</v>
      </c>
      <c r="AB960" s="264">
        <f>IF(NFI_Expiration=1,IF($A960&lt;VLOOKUP(K$5,NFI,5,0),1,0)*Table_NFI[[#This Row],[Mosquito net]],Table_NFI[Mosquito net])</f>
        <v>0</v>
      </c>
      <c r="AC960" s="264">
        <f>IF(NFI_Expiration=1,IF($A960&lt;VLOOKUP(L$5,NFI,5,0),1,0)*Table_NFI[[#This Row],[Tarpaulin]],Table_NFI[[#This Row],[Tarpaulin]])</f>
        <v>0</v>
      </c>
      <c r="AD960" s="264">
        <f>IF(NFI_Expiration=1,IF($A960&lt;VLOOKUP(M$5,NFI,5,0),1,0)*Table_NFI[[#This Row],[Blanket]],Table_NFI[[#This Row],[Blanket]])</f>
        <v>0</v>
      </c>
      <c r="AE960" s="264">
        <f>IF(NFI_Expiration=1,IF($A960&lt;VLOOKUP(N$5,NFI,5,0),1,0)*Table_NFI[[#This Row],[Kitchen Set]],Table_NFI[Kitchen Set])</f>
        <v>0</v>
      </c>
      <c r="AF960" s="264">
        <f>IF(NFI_Expiration=1,IF($A960&lt;VLOOKUP(O$5,NFI,5,0),1,0)*Table_NFI[[#This Row],[Clothes Kit]],Table_NFI[Clothes Kit])</f>
        <v>0</v>
      </c>
      <c r="AG960" s="264">
        <f>IF(NFI_Expiration=1,IF($A960&lt;VLOOKUP(P$5,NFI,5,0),1,0)*Table_NFI[[#This Row],[Plastic Bucket]],Table_NFI[Plastic Bucket])</f>
        <v>0</v>
      </c>
      <c r="AH960" s="264">
        <f>IF(NFI_Expiration=1,IF($A960&lt;VLOOKUP(Q$5,NFI,5,0),1,0)*Table_NFI[[#This Row],[Plastic Mat]],Table_NFI[Plastic Mat])*IF(Table_NFI[[#This Row],[Distribution Date]]&gt;"2014-04-01",1,2.5)</f>
        <v>0</v>
      </c>
      <c r="AI960" s="264">
        <f>IF(NFI_Expiration=1,IF($A960&lt;VLOOKUP(R$5,NFI,5,0),1,0)*Table_NFI[[#This Row],[Winter Clothes Adult]],Table_NFI[Winter Clothes Adult])</f>
        <v>0</v>
      </c>
      <c r="AJ960" s="264">
        <f>IF(NFI_Expiration=1,IF($A960&lt;VLOOKUP(S$5,NFI,5,0),1,0)*Table_NFI[[#This Row],[Winter Clothes Children]],Table_NFI[Winter Clothes Children])</f>
        <v>0</v>
      </c>
      <c r="AK960" s="264">
        <f>IF(NFI_Expiration=1,IF($A960&lt;VLOOKUP(T$5,NFI,5,0),1,0)*Table_NFI[[#This Row],[Winter Items Other]],Table_NFI[Winter Items Other])</f>
        <v>0</v>
      </c>
      <c r="AL960" s="264">
        <f>IF(NFI_Expiration=1,IF($A960&lt;VLOOKUP(M$5,NFI,5,0),1,0)*Table_NFI[[#This Row],[Winter Blanket]],Table_NFI[[#This Row],[Winter Blanket]])</f>
        <v>0</v>
      </c>
      <c r="AM960" s="264">
        <f>IF(Table_NFI[[#This Row],[Winter Clothes Adult]]+Table_NFI[[#This Row],[Winter Clothes Children]]+Table_NFI[[#This Row],[Winter Items Other]]+Table_NFI[[#This Row],[Winter Blanket]]&gt;0,1,0)</f>
        <v>0</v>
      </c>
      <c r="AN960" s="296">
        <f>IF(NFI_Expiration=1,IF($A960&lt;VLOOKUP(V$5,NFI,5,0),1,0)*Table_NFI[[#This Row],[Jerry Can]],Table_NFI[Jerry Can])</f>
        <v>0</v>
      </c>
      <c r="AO960" s="296">
        <f>IF(NFI_Expiration=1,IF($A960&lt;VLOOKUP(V$5,NFI,5,0),1,0)*Table_NFI[[#This Row],[Shelter Tool kit]],Table_NFI[Shelter Tool kit])</f>
        <v>0</v>
      </c>
      <c r="AP960" s="296">
        <f>IF(NFI_Expiration=1,IF($A960&lt;VLOOKUP(V$5,NFI,5,0),1,0)*Table_NFI[[#This Row],[Tent]],Table_NFI[Tent])</f>
        <v>0</v>
      </c>
      <c r="AQ960" s="396" t="str">
        <f>IFERROR(VLOOKUP(Table_NFI[[#This Row],[Camp Name]],CL,2,0),"")</f>
        <v>MMR001CMP016</v>
      </c>
      <c r="AR960" s="702">
        <f ca="1">IF(Table_NFI[[#This Row],[Pcode]]="","",IF(OFFSET(CampList[Opening Date],MATCH(Table_NFI[[#This Row],[Pcode]],CampList[CP_Pcode],0)-1,0,1,1)&gt;=NFI_Monitor_Date,1,0))</f>
        <v>0</v>
      </c>
      <c r="AS960" s="396" t="str">
        <f>IFERROR(VLOOKUP(Table_NFI[[#This Row],[Camp Name]],CL,3,0),"")</f>
        <v>Open</v>
      </c>
      <c r="AT960" s="264" t="str">
        <f ca="1">IF(Table_NFI[[#This Row],[Pcode]]="","",OFFSET(CampList[Priority],MATCH(Table_NFI[[#This Row],[Pcode]],CampList[CP_Pcode],0)-1,0,1,1))</f>
        <v>P4</v>
      </c>
      <c r="AU960" s="263">
        <f>IFERROR(Table_NFI[[#This Row],[Kitchen Set]]/VLOOKUP(Table_NFI[[#This Row],[Camp Name]],CL,4,0),"")</f>
        <v>2.4536264599077437E-5</v>
      </c>
      <c r="AV960" s="390" t="s">
        <v>1087</v>
      </c>
      <c r="AW960" s="392"/>
    </row>
    <row r="961" spans="1:121" ht="15" customHeight="1" x14ac:dyDescent="0.25">
      <c r="A961" s="266">
        <f t="shared" si="14"/>
        <v>56.93333333333333</v>
      </c>
      <c r="B961" s="389">
        <v>41148</v>
      </c>
      <c r="C961" s="390" t="s">
        <v>451</v>
      </c>
      <c r="D961" s="391" t="s">
        <v>451</v>
      </c>
      <c r="E961" s="390" t="s">
        <v>380</v>
      </c>
      <c r="F961" s="262" t="s">
        <v>237</v>
      </c>
      <c r="G961" s="262" t="s">
        <v>263</v>
      </c>
      <c r="H961" s="261"/>
      <c r="I961" s="261"/>
      <c r="J961" s="261"/>
      <c r="K961" s="261">
        <v>2</v>
      </c>
      <c r="L961" s="261">
        <v>1</v>
      </c>
      <c r="M961" s="261">
        <v>2</v>
      </c>
      <c r="N961" s="261">
        <v>1</v>
      </c>
      <c r="O961" s="261">
        <v>1</v>
      </c>
      <c r="P961" s="261">
        <v>1</v>
      </c>
      <c r="Q961" s="261">
        <v>1</v>
      </c>
      <c r="R961" s="261"/>
      <c r="S961" s="261"/>
      <c r="T961" s="261"/>
      <c r="U961" s="261"/>
      <c r="V961" s="762"/>
      <c r="W961" s="762"/>
      <c r="X961" s="762"/>
      <c r="Y961" s="264">
        <f>IF(NFI_Expiration=1,IF($A961&lt;VLOOKUP(H$5,NFI,5,0),1,0)*Table_NFI[[#This Row],[Hygiene Kit]],Table_NFI[Hygiene Kit])</f>
        <v>0</v>
      </c>
      <c r="Z961" s="264">
        <f>IF(NFI_Expiration=1,IF($A961&lt;VLOOKUP(I$5,NFI,5,0),1,0)*Table_NFI[[#This Row],[NFI Core Kit]],Table_NFI[NFI Core Kit])</f>
        <v>0</v>
      </c>
      <c r="AA961" s="264">
        <f>IF(NFI_Expiration=1,IF($A961&lt;VLOOKUP(J$5,NFI,5,0),1,0)*Table_NFI[[#This Row],[Sanitary Kit]],Table_NFI[Sanitary Kit])</f>
        <v>0</v>
      </c>
      <c r="AB961" s="264">
        <f>IF(NFI_Expiration=1,IF($A961&lt;VLOOKUP(K$5,NFI,5,0),1,0)*Table_NFI[[#This Row],[Mosquito net]],Table_NFI[Mosquito net])</f>
        <v>0</v>
      </c>
      <c r="AC961" s="264">
        <f>IF(NFI_Expiration=1,IF($A961&lt;VLOOKUP(L$5,NFI,5,0),1,0)*Table_NFI[[#This Row],[Tarpaulin]],Table_NFI[[#This Row],[Tarpaulin]])</f>
        <v>0</v>
      </c>
      <c r="AD961" s="264">
        <f>IF(NFI_Expiration=1,IF($A961&lt;VLOOKUP(M$5,NFI,5,0),1,0)*Table_NFI[[#This Row],[Blanket]],Table_NFI[[#This Row],[Blanket]])</f>
        <v>0</v>
      </c>
      <c r="AE961" s="264">
        <f>IF(NFI_Expiration=1,IF($A961&lt;VLOOKUP(N$5,NFI,5,0),1,0)*Table_NFI[[#This Row],[Kitchen Set]],Table_NFI[Kitchen Set])</f>
        <v>0</v>
      </c>
      <c r="AF961" s="264">
        <f>IF(NFI_Expiration=1,IF($A961&lt;VLOOKUP(O$5,NFI,5,0),1,0)*Table_NFI[[#This Row],[Clothes Kit]],Table_NFI[Clothes Kit])</f>
        <v>0</v>
      </c>
      <c r="AG961" s="264">
        <f>IF(NFI_Expiration=1,IF($A961&lt;VLOOKUP(P$5,NFI,5,0),1,0)*Table_NFI[[#This Row],[Plastic Bucket]],Table_NFI[Plastic Bucket])</f>
        <v>0</v>
      </c>
      <c r="AH961" s="264">
        <f>IF(NFI_Expiration=1,IF($A961&lt;VLOOKUP(Q$5,NFI,5,0),1,0)*Table_NFI[[#This Row],[Plastic Mat]],Table_NFI[Plastic Mat])*IF(Table_NFI[[#This Row],[Distribution Date]]&gt;"2014-04-01",1,2.5)</f>
        <v>0</v>
      </c>
      <c r="AI961" s="264">
        <f>IF(NFI_Expiration=1,IF($A961&lt;VLOOKUP(R$5,NFI,5,0),1,0)*Table_NFI[[#This Row],[Winter Clothes Adult]],Table_NFI[Winter Clothes Adult])</f>
        <v>0</v>
      </c>
      <c r="AJ961" s="264">
        <f>IF(NFI_Expiration=1,IF($A961&lt;VLOOKUP(S$5,NFI,5,0),1,0)*Table_NFI[[#This Row],[Winter Clothes Children]],Table_NFI[Winter Clothes Children])</f>
        <v>0</v>
      </c>
      <c r="AK961" s="264">
        <f>IF(NFI_Expiration=1,IF($A961&lt;VLOOKUP(T$5,NFI,5,0),1,0)*Table_NFI[[#This Row],[Winter Items Other]],Table_NFI[Winter Items Other])</f>
        <v>0</v>
      </c>
      <c r="AL961" s="264">
        <f>IF(NFI_Expiration=1,IF($A961&lt;VLOOKUP(M$5,NFI,5,0),1,0)*Table_NFI[[#This Row],[Winter Blanket]],Table_NFI[[#This Row],[Winter Blanket]])</f>
        <v>0</v>
      </c>
      <c r="AM961" s="264">
        <f>IF(Table_NFI[[#This Row],[Winter Clothes Adult]]+Table_NFI[[#This Row],[Winter Clothes Children]]+Table_NFI[[#This Row],[Winter Items Other]]+Table_NFI[[#This Row],[Winter Blanket]]&gt;0,1,0)</f>
        <v>0</v>
      </c>
      <c r="AN961" s="296">
        <f>IF(NFI_Expiration=1,IF($A961&lt;VLOOKUP(V$5,NFI,5,0),1,0)*Table_NFI[[#This Row],[Jerry Can]],Table_NFI[Jerry Can])</f>
        <v>0</v>
      </c>
      <c r="AO961" s="296">
        <f>IF(NFI_Expiration=1,IF($A961&lt;VLOOKUP(V$5,NFI,5,0),1,0)*Table_NFI[[#This Row],[Shelter Tool kit]],Table_NFI[Shelter Tool kit])</f>
        <v>0</v>
      </c>
      <c r="AP961" s="296">
        <f>IF(NFI_Expiration=1,IF($A961&lt;VLOOKUP(V$5,NFI,5,0),1,0)*Table_NFI[[#This Row],[Tent]],Table_NFI[Tent])</f>
        <v>0</v>
      </c>
      <c r="AQ961" s="396" t="str">
        <f>IFERROR(VLOOKUP(Table_NFI[[#This Row],[Camp Name]],CL,2,0),"")</f>
        <v>MMR001CMP020</v>
      </c>
      <c r="AR961" s="702">
        <f ca="1">IF(Table_NFI[[#This Row],[Pcode]]="","",IF(OFFSET(CampList[Opening Date],MATCH(Table_NFI[[#This Row],[Pcode]],CampList[CP_Pcode],0)-1,0,1,1)&gt;=NFI_Monitor_Date,1,0))</f>
        <v>0</v>
      </c>
      <c r="AS961" s="396" t="str">
        <f>IFERROR(VLOOKUP(Table_NFI[[#This Row],[Camp Name]],CL,3,0),"")</f>
        <v>Open</v>
      </c>
      <c r="AT961" s="264" t="str">
        <f ca="1">IF(Table_NFI[[#This Row],[Pcode]]="","",OFFSET(CampList[Priority],MATCH(Table_NFI[[#This Row],[Pcode]],CampList[CP_Pcode],0)-1,0,1,1))</f>
        <v>P4</v>
      </c>
      <c r="AU961" s="263">
        <f>IFERROR(Table_NFI[[#This Row],[Kitchen Set]]/VLOOKUP(Table_NFI[[#This Row],[Camp Name]],CL,4,0),"")</f>
        <v>2.4499595756670014E-5</v>
      </c>
      <c r="AV961" s="390" t="s">
        <v>1087</v>
      </c>
      <c r="AW961" s="392"/>
    </row>
    <row r="962" spans="1:121" s="760" customFormat="1" ht="15" customHeight="1" x14ac:dyDescent="0.25">
      <c r="A962" s="266">
        <f t="shared" si="14"/>
        <v>56.93333333333333</v>
      </c>
      <c r="B962" s="389">
        <v>41148</v>
      </c>
      <c r="C962" s="390" t="s">
        <v>451</v>
      </c>
      <c r="D962" s="391" t="s">
        <v>451</v>
      </c>
      <c r="E962" s="390" t="s">
        <v>380</v>
      </c>
      <c r="F962" s="262" t="s">
        <v>237</v>
      </c>
      <c r="G962" s="262" t="s">
        <v>265</v>
      </c>
      <c r="H962" s="261"/>
      <c r="I962" s="261"/>
      <c r="J962" s="261"/>
      <c r="K962" s="261">
        <v>10</v>
      </c>
      <c r="L962" s="261">
        <v>5</v>
      </c>
      <c r="M962" s="261">
        <v>10</v>
      </c>
      <c r="N962" s="261">
        <v>5</v>
      </c>
      <c r="O962" s="261">
        <v>5</v>
      </c>
      <c r="P962" s="261">
        <v>5</v>
      </c>
      <c r="Q962" s="261">
        <v>5</v>
      </c>
      <c r="R962" s="261"/>
      <c r="S962" s="261"/>
      <c r="T962" s="261"/>
      <c r="U962" s="261"/>
      <c r="V962" s="762"/>
      <c r="W962" s="762"/>
      <c r="X962" s="762"/>
      <c r="Y962" s="264">
        <f>IF(NFI_Expiration=1,IF($A962&lt;VLOOKUP(H$5,NFI,5,0),1,0)*Table_NFI[[#This Row],[Hygiene Kit]],Table_NFI[Hygiene Kit])</f>
        <v>0</v>
      </c>
      <c r="Z962" s="264">
        <f>IF(NFI_Expiration=1,IF($A962&lt;VLOOKUP(I$5,NFI,5,0),1,0)*Table_NFI[[#This Row],[NFI Core Kit]],Table_NFI[NFI Core Kit])</f>
        <v>0</v>
      </c>
      <c r="AA962" s="264">
        <f>IF(NFI_Expiration=1,IF($A962&lt;VLOOKUP(J$5,NFI,5,0),1,0)*Table_NFI[[#This Row],[Sanitary Kit]],Table_NFI[Sanitary Kit])</f>
        <v>0</v>
      </c>
      <c r="AB962" s="264">
        <f>IF(NFI_Expiration=1,IF($A962&lt;VLOOKUP(K$5,NFI,5,0),1,0)*Table_NFI[[#This Row],[Mosquito net]],Table_NFI[Mosquito net])</f>
        <v>0</v>
      </c>
      <c r="AC962" s="264">
        <f>IF(NFI_Expiration=1,IF($A962&lt;VLOOKUP(L$5,NFI,5,0),1,0)*Table_NFI[[#This Row],[Tarpaulin]],Table_NFI[[#This Row],[Tarpaulin]])</f>
        <v>0</v>
      </c>
      <c r="AD962" s="264">
        <f>IF(NFI_Expiration=1,IF($A962&lt;VLOOKUP(M$5,NFI,5,0),1,0)*Table_NFI[[#This Row],[Blanket]],Table_NFI[[#This Row],[Blanket]])</f>
        <v>0</v>
      </c>
      <c r="AE962" s="264">
        <f>IF(NFI_Expiration=1,IF($A962&lt;VLOOKUP(N$5,NFI,5,0),1,0)*Table_NFI[[#This Row],[Kitchen Set]],Table_NFI[Kitchen Set])</f>
        <v>0</v>
      </c>
      <c r="AF962" s="264">
        <f>IF(NFI_Expiration=1,IF($A962&lt;VLOOKUP(O$5,NFI,5,0),1,0)*Table_NFI[[#This Row],[Clothes Kit]],Table_NFI[Clothes Kit])</f>
        <v>0</v>
      </c>
      <c r="AG962" s="264">
        <f>IF(NFI_Expiration=1,IF($A962&lt;VLOOKUP(P$5,NFI,5,0),1,0)*Table_NFI[[#This Row],[Plastic Bucket]],Table_NFI[Plastic Bucket])</f>
        <v>0</v>
      </c>
      <c r="AH962" s="264">
        <f>IF(NFI_Expiration=1,IF($A962&lt;VLOOKUP(Q$5,NFI,5,0),1,0)*Table_NFI[[#This Row],[Plastic Mat]],Table_NFI[Plastic Mat])*IF(Table_NFI[[#This Row],[Distribution Date]]&gt;"2014-04-01",1,2.5)</f>
        <v>0</v>
      </c>
      <c r="AI962" s="264">
        <f>IF(NFI_Expiration=1,IF($A962&lt;VLOOKUP(R$5,NFI,5,0),1,0)*Table_NFI[[#This Row],[Winter Clothes Adult]],Table_NFI[Winter Clothes Adult])</f>
        <v>0</v>
      </c>
      <c r="AJ962" s="264">
        <f>IF(NFI_Expiration=1,IF($A962&lt;VLOOKUP(S$5,NFI,5,0),1,0)*Table_NFI[[#This Row],[Winter Clothes Children]],Table_NFI[Winter Clothes Children])</f>
        <v>0</v>
      </c>
      <c r="AK962" s="264">
        <f>IF(NFI_Expiration=1,IF($A962&lt;VLOOKUP(T$5,NFI,5,0),1,0)*Table_NFI[[#This Row],[Winter Items Other]],Table_NFI[Winter Items Other])</f>
        <v>0</v>
      </c>
      <c r="AL962" s="264">
        <f>IF(NFI_Expiration=1,IF($A962&lt;VLOOKUP(M$5,NFI,5,0),1,0)*Table_NFI[[#This Row],[Winter Blanket]],Table_NFI[[#This Row],[Winter Blanket]])</f>
        <v>0</v>
      </c>
      <c r="AM962" s="264">
        <f>IF(Table_NFI[[#This Row],[Winter Clothes Adult]]+Table_NFI[[#This Row],[Winter Clothes Children]]+Table_NFI[[#This Row],[Winter Items Other]]+Table_NFI[[#This Row],[Winter Blanket]]&gt;0,1,0)</f>
        <v>0</v>
      </c>
      <c r="AN962" s="296">
        <f>IF(NFI_Expiration=1,IF($A962&lt;VLOOKUP(V$5,NFI,5,0),1,0)*Table_NFI[[#This Row],[Jerry Can]],Table_NFI[Jerry Can])</f>
        <v>0</v>
      </c>
      <c r="AO962" s="296">
        <f>IF(NFI_Expiration=1,IF($A962&lt;VLOOKUP(V$5,NFI,5,0),1,0)*Table_NFI[[#This Row],[Shelter Tool kit]],Table_NFI[Shelter Tool kit])</f>
        <v>0</v>
      </c>
      <c r="AP962" s="296">
        <f>IF(NFI_Expiration=1,IF($A962&lt;VLOOKUP(V$5,NFI,5,0),1,0)*Table_NFI[[#This Row],[Tent]],Table_NFI[Tent])</f>
        <v>0</v>
      </c>
      <c r="AQ962" s="396" t="str">
        <f>IFERROR(VLOOKUP(Table_NFI[[#This Row],[Camp Name]],CL,2,0),"")</f>
        <v>MMR001CMP021</v>
      </c>
      <c r="AR962" s="702">
        <f ca="1">IF(Table_NFI[[#This Row],[Pcode]]="","",IF(OFFSET(CampList[Opening Date],MATCH(Table_NFI[[#This Row],[Pcode]],CampList[CP_Pcode],0)-1,0,1,1)&gt;=NFI_Monitor_Date,1,0))</f>
        <v>0</v>
      </c>
      <c r="AS962" s="396" t="str">
        <f>IFERROR(VLOOKUP(Table_NFI[[#This Row],[Camp Name]],CL,3,0),"")</f>
        <v>Open</v>
      </c>
      <c r="AT962" s="264" t="str">
        <f ca="1">IF(Table_NFI[[#This Row],[Pcode]]="","",OFFSET(CampList[Priority],MATCH(Table_NFI[[#This Row],[Pcode]],CampList[CP_Pcode],0)-1,0,1,1))</f>
        <v>P4</v>
      </c>
      <c r="AU962" s="263">
        <f>IFERROR(Table_NFI[[#This Row],[Kitchen Set]]/VLOOKUP(Table_NFI[[#This Row],[Camp Name]],CL,4,0),"")</f>
        <v>1.2249797878335008E-4</v>
      </c>
      <c r="AV962" s="390" t="s">
        <v>1087</v>
      </c>
      <c r="AW962" s="392"/>
      <c r="AX962" s="399"/>
      <c r="AY962" s="399"/>
      <c r="AZ962" s="399"/>
      <c r="BA962" s="399"/>
      <c r="BB962" s="399"/>
      <c r="BC962" s="399"/>
      <c r="BD962" s="399"/>
      <c r="BE962" s="399"/>
      <c r="BF962" s="399"/>
      <c r="BG962" s="399"/>
      <c r="BH962" s="399"/>
      <c r="BI962" s="399"/>
      <c r="BJ962" s="399"/>
      <c r="BK962" s="399"/>
      <c r="BL962" s="399"/>
      <c r="BM962" s="399"/>
      <c r="BN962" s="399"/>
      <c r="BO962" s="399"/>
      <c r="BP962" s="399"/>
      <c r="BQ962" s="399"/>
      <c r="BR962" s="399"/>
      <c r="BS962" s="399"/>
      <c r="BT962" s="399"/>
      <c r="BU962" s="399"/>
      <c r="BV962" s="399"/>
      <c r="BW962" s="399"/>
      <c r="BX962" s="399"/>
      <c r="BY962" s="399"/>
      <c r="BZ962" s="399"/>
      <c r="CA962" s="399"/>
      <c r="CB962" s="399"/>
      <c r="CC962" s="399"/>
      <c r="CD962" s="399"/>
      <c r="CE962" s="399"/>
      <c r="CF962" s="399"/>
      <c r="CG962" s="399"/>
      <c r="CH962" s="399"/>
      <c r="CI962" s="399"/>
      <c r="CJ962" s="399"/>
      <c r="CK962" s="399"/>
      <c r="CL962" s="399"/>
      <c r="CM962" s="399"/>
      <c r="CN962" s="399"/>
      <c r="CO962" s="399"/>
      <c r="CP962" s="399"/>
      <c r="CQ962" s="399"/>
      <c r="CR962" s="399"/>
      <c r="CS962" s="399"/>
      <c r="CT962" s="399"/>
      <c r="CU962" s="399"/>
      <c r="CV962" s="399"/>
      <c r="CW962" s="399"/>
      <c r="CX962" s="399"/>
      <c r="CY962" s="399"/>
      <c r="CZ962" s="399"/>
      <c r="DA962" s="399"/>
      <c r="DB962" s="399"/>
      <c r="DC962" s="399"/>
      <c r="DD962" s="399"/>
      <c r="DE962" s="399"/>
      <c r="DF962" s="399"/>
      <c r="DG962" s="399"/>
      <c r="DH962" s="399"/>
      <c r="DI962" s="399"/>
      <c r="DJ962" s="399"/>
      <c r="DK962" s="399"/>
      <c r="DL962" s="399"/>
      <c r="DM962" s="399"/>
      <c r="DN962" s="399"/>
      <c r="DO962" s="399"/>
      <c r="DP962" s="399"/>
      <c r="DQ962" s="399"/>
    </row>
    <row r="963" spans="1:121" s="760" customFormat="1" ht="15" customHeight="1" x14ac:dyDescent="0.25">
      <c r="A963" s="266">
        <f t="shared" si="14"/>
        <v>56.93333333333333</v>
      </c>
      <c r="B963" s="389">
        <v>41148</v>
      </c>
      <c r="C963" s="390" t="s">
        <v>451</v>
      </c>
      <c r="D963" s="391" t="s">
        <v>451</v>
      </c>
      <c r="E963" s="390" t="s">
        <v>380</v>
      </c>
      <c r="F963" s="262" t="s">
        <v>237</v>
      </c>
      <c r="G963" s="262" t="s">
        <v>283</v>
      </c>
      <c r="H963" s="261"/>
      <c r="I963" s="261"/>
      <c r="J963" s="261"/>
      <c r="K963" s="261">
        <v>10</v>
      </c>
      <c r="L963" s="261">
        <v>5</v>
      </c>
      <c r="M963" s="261">
        <v>10</v>
      </c>
      <c r="N963" s="261">
        <v>5</v>
      </c>
      <c r="O963" s="261">
        <v>5</v>
      </c>
      <c r="P963" s="261">
        <v>5</v>
      </c>
      <c r="Q963" s="261">
        <v>5</v>
      </c>
      <c r="R963" s="261"/>
      <c r="S963" s="261"/>
      <c r="T963" s="261"/>
      <c r="U963" s="261"/>
      <c r="V963" s="762"/>
      <c r="W963" s="762"/>
      <c r="X963" s="762"/>
      <c r="Y963" s="264">
        <f>IF(NFI_Expiration=1,IF($A963&lt;VLOOKUP(H$5,NFI,5,0),1,0)*Table_NFI[[#This Row],[Hygiene Kit]],Table_NFI[Hygiene Kit])</f>
        <v>0</v>
      </c>
      <c r="Z963" s="264">
        <f>IF(NFI_Expiration=1,IF($A963&lt;VLOOKUP(I$5,NFI,5,0),1,0)*Table_NFI[[#This Row],[NFI Core Kit]],Table_NFI[NFI Core Kit])</f>
        <v>0</v>
      </c>
      <c r="AA963" s="264">
        <f>IF(NFI_Expiration=1,IF($A963&lt;VLOOKUP(J$5,NFI,5,0),1,0)*Table_NFI[[#This Row],[Sanitary Kit]],Table_NFI[Sanitary Kit])</f>
        <v>0</v>
      </c>
      <c r="AB963" s="264">
        <f>IF(NFI_Expiration=1,IF($A963&lt;VLOOKUP(K$5,NFI,5,0),1,0)*Table_NFI[[#This Row],[Mosquito net]],Table_NFI[Mosquito net])</f>
        <v>0</v>
      </c>
      <c r="AC963" s="264">
        <f>IF(NFI_Expiration=1,IF($A963&lt;VLOOKUP(L$5,NFI,5,0),1,0)*Table_NFI[[#This Row],[Tarpaulin]],Table_NFI[[#This Row],[Tarpaulin]])</f>
        <v>0</v>
      </c>
      <c r="AD963" s="264">
        <f>IF(NFI_Expiration=1,IF($A963&lt;VLOOKUP(M$5,NFI,5,0),1,0)*Table_NFI[[#This Row],[Blanket]],Table_NFI[[#This Row],[Blanket]])</f>
        <v>0</v>
      </c>
      <c r="AE963" s="264">
        <f>IF(NFI_Expiration=1,IF($A963&lt;VLOOKUP(N$5,NFI,5,0),1,0)*Table_NFI[[#This Row],[Kitchen Set]],Table_NFI[Kitchen Set])</f>
        <v>0</v>
      </c>
      <c r="AF963" s="264">
        <f>IF(NFI_Expiration=1,IF($A963&lt;VLOOKUP(O$5,NFI,5,0),1,0)*Table_NFI[[#This Row],[Clothes Kit]],Table_NFI[Clothes Kit])</f>
        <v>0</v>
      </c>
      <c r="AG963" s="264">
        <f>IF(NFI_Expiration=1,IF($A963&lt;VLOOKUP(P$5,NFI,5,0),1,0)*Table_NFI[[#This Row],[Plastic Bucket]],Table_NFI[Plastic Bucket])</f>
        <v>0</v>
      </c>
      <c r="AH963" s="264">
        <f>IF(NFI_Expiration=1,IF($A963&lt;VLOOKUP(Q$5,NFI,5,0),1,0)*Table_NFI[[#This Row],[Plastic Mat]],Table_NFI[Plastic Mat])*IF(Table_NFI[[#This Row],[Distribution Date]]&gt;"2014-04-01",1,2.5)</f>
        <v>0</v>
      </c>
      <c r="AI963" s="264">
        <f>IF(NFI_Expiration=1,IF($A963&lt;VLOOKUP(R$5,NFI,5,0),1,0)*Table_NFI[[#This Row],[Winter Clothes Adult]],Table_NFI[Winter Clothes Adult])</f>
        <v>0</v>
      </c>
      <c r="AJ963" s="264">
        <f>IF(NFI_Expiration=1,IF($A963&lt;VLOOKUP(S$5,NFI,5,0),1,0)*Table_NFI[[#This Row],[Winter Clothes Children]],Table_NFI[Winter Clothes Children])</f>
        <v>0</v>
      </c>
      <c r="AK963" s="264">
        <f>IF(NFI_Expiration=1,IF($A963&lt;VLOOKUP(T$5,NFI,5,0),1,0)*Table_NFI[[#This Row],[Winter Items Other]],Table_NFI[Winter Items Other])</f>
        <v>0</v>
      </c>
      <c r="AL963" s="264">
        <f>IF(NFI_Expiration=1,IF($A963&lt;VLOOKUP(M$5,NFI,5,0),1,0)*Table_NFI[[#This Row],[Winter Blanket]],Table_NFI[[#This Row],[Winter Blanket]])</f>
        <v>0</v>
      </c>
      <c r="AM963" s="264">
        <f>IF(Table_NFI[[#This Row],[Winter Clothes Adult]]+Table_NFI[[#This Row],[Winter Clothes Children]]+Table_NFI[[#This Row],[Winter Items Other]]+Table_NFI[[#This Row],[Winter Blanket]]&gt;0,1,0)</f>
        <v>0</v>
      </c>
      <c r="AN963" s="296">
        <f>IF(NFI_Expiration=1,IF($A963&lt;VLOOKUP(V$5,NFI,5,0),1,0)*Table_NFI[[#This Row],[Jerry Can]],Table_NFI[Jerry Can])</f>
        <v>0</v>
      </c>
      <c r="AO963" s="296">
        <f>IF(NFI_Expiration=1,IF($A963&lt;VLOOKUP(V$5,NFI,5,0),1,0)*Table_NFI[[#This Row],[Shelter Tool kit]],Table_NFI[Shelter Tool kit])</f>
        <v>0</v>
      </c>
      <c r="AP963" s="296">
        <f>IF(NFI_Expiration=1,IF($A963&lt;VLOOKUP(V$5,NFI,5,0),1,0)*Table_NFI[[#This Row],[Tent]],Table_NFI[Tent])</f>
        <v>0</v>
      </c>
      <c r="AQ963" s="396" t="str">
        <f>IFERROR(VLOOKUP(Table_NFI[[#This Row],[Camp Name]],CL,2,0),"")</f>
        <v>MMR001CMP022</v>
      </c>
      <c r="AR963" s="702">
        <f ca="1">IF(Table_NFI[[#This Row],[Pcode]]="","",IF(OFFSET(CampList[Opening Date],MATCH(Table_NFI[[#This Row],[Pcode]],CampList[CP_Pcode],0)-1,0,1,1)&gt;=NFI_Monitor_Date,1,0))</f>
        <v>0</v>
      </c>
      <c r="AS963" s="396" t="str">
        <f>IFERROR(VLOOKUP(Table_NFI[[#This Row],[Camp Name]],CL,3,0),"")</f>
        <v>Open</v>
      </c>
      <c r="AT963" s="264" t="str">
        <f ca="1">IF(Table_NFI[[#This Row],[Pcode]]="","",OFFSET(CampList[Priority],MATCH(Table_NFI[[#This Row],[Pcode]],CampList[CP_Pcode],0)-1,0,1,1))</f>
        <v>P4</v>
      </c>
      <c r="AU963" s="263">
        <f>IFERROR(Table_NFI[[#This Row],[Kitchen Set]]/VLOOKUP(Table_NFI[[#This Row],[Camp Name]],CL,4,0),"")</f>
        <v>1.2195121951219512E-4</v>
      </c>
      <c r="AV963" s="390" t="s">
        <v>1087</v>
      </c>
      <c r="AW963" s="392"/>
      <c r="AX963" s="399"/>
      <c r="AY963" s="399"/>
      <c r="AZ963" s="399"/>
      <c r="BA963" s="399"/>
      <c r="BB963" s="399"/>
      <c r="BC963" s="399"/>
      <c r="BD963" s="399"/>
      <c r="BE963" s="399"/>
      <c r="BF963" s="399"/>
      <c r="BG963" s="399"/>
      <c r="BH963" s="399"/>
      <c r="BI963" s="399"/>
      <c r="BJ963" s="399"/>
      <c r="BK963" s="399"/>
      <c r="BL963" s="399"/>
      <c r="BM963" s="399"/>
      <c r="BN963" s="399"/>
      <c r="BO963" s="399"/>
      <c r="BP963" s="399"/>
      <c r="BQ963" s="399"/>
      <c r="BR963" s="399"/>
      <c r="BS963" s="399"/>
      <c r="BT963" s="399"/>
      <c r="BU963" s="399"/>
      <c r="BV963" s="399"/>
      <c r="BW963" s="399"/>
      <c r="BX963" s="399"/>
      <c r="BY963" s="399"/>
      <c r="BZ963" s="399"/>
      <c r="CA963" s="399"/>
      <c r="CB963" s="399"/>
      <c r="CC963" s="399"/>
      <c r="CD963" s="399"/>
      <c r="CE963" s="399"/>
      <c r="CF963" s="399"/>
      <c r="CG963" s="399"/>
      <c r="CH963" s="399"/>
      <c r="CI963" s="399"/>
      <c r="CJ963" s="399"/>
      <c r="CK963" s="399"/>
      <c r="CL963" s="399"/>
      <c r="CM963" s="399"/>
      <c r="CN963" s="399"/>
      <c r="CO963" s="399"/>
      <c r="CP963" s="399"/>
      <c r="CQ963" s="399"/>
      <c r="CR963" s="399"/>
      <c r="CS963" s="399"/>
      <c r="CT963" s="399"/>
      <c r="CU963" s="399"/>
      <c r="CV963" s="399"/>
      <c r="CW963" s="399"/>
      <c r="CX963" s="399"/>
      <c r="CY963" s="399"/>
      <c r="CZ963" s="399"/>
      <c r="DA963" s="399"/>
      <c r="DB963" s="399"/>
      <c r="DC963" s="399"/>
      <c r="DD963" s="399"/>
      <c r="DE963" s="399"/>
      <c r="DF963" s="399"/>
      <c r="DG963" s="399"/>
      <c r="DH963" s="399"/>
      <c r="DI963" s="399"/>
      <c r="DJ963" s="399"/>
      <c r="DK963" s="399"/>
      <c r="DL963" s="399"/>
      <c r="DM963" s="399"/>
      <c r="DN963" s="399"/>
      <c r="DO963" s="399"/>
      <c r="DP963" s="399"/>
      <c r="DQ963" s="399"/>
    </row>
    <row r="964" spans="1:121" s="760" customFormat="1" ht="15" customHeight="1" x14ac:dyDescent="0.25">
      <c r="A964" s="266">
        <f t="shared" si="14"/>
        <v>57.333333333333336</v>
      </c>
      <c r="B964" s="389">
        <v>41136</v>
      </c>
      <c r="C964" s="390" t="s">
        <v>904</v>
      </c>
      <c r="D964" s="390" t="s">
        <v>904</v>
      </c>
      <c r="E964" s="390" t="s">
        <v>380</v>
      </c>
      <c r="F964" s="390" t="s">
        <v>185</v>
      </c>
      <c r="G964" s="262" t="s">
        <v>223</v>
      </c>
      <c r="H964" s="261">
        <v>73</v>
      </c>
      <c r="I964" s="261"/>
      <c r="J964" s="261"/>
      <c r="K964" s="261"/>
      <c r="L964" s="261"/>
      <c r="M964" s="261"/>
      <c r="N964" s="261"/>
      <c r="O964" s="261"/>
      <c r="P964" s="261"/>
      <c r="Q964" s="261"/>
      <c r="R964" s="261"/>
      <c r="S964" s="261"/>
      <c r="T964" s="261"/>
      <c r="U964" s="261"/>
      <c r="V964" s="762"/>
      <c r="W964" s="762"/>
      <c r="X964" s="762"/>
      <c r="Y964" s="264">
        <f>IF(NFI_Expiration=1,IF($A964&lt;VLOOKUP(H$5,NFI,5,0),1,0)*Table_NFI[[#This Row],[Hygiene Kit]],Table_NFI[Hygiene Kit])</f>
        <v>0</v>
      </c>
      <c r="Z964" s="264">
        <f>IF(NFI_Expiration=1,IF($A964&lt;VLOOKUP(I$5,NFI,5,0),1,0)*Table_NFI[[#This Row],[NFI Core Kit]],Table_NFI[NFI Core Kit])</f>
        <v>0</v>
      </c>
      <c r="AA964" s="264">
        <f>IF(NFI_Expiration=1,IF($A964&lt;VLOOKUP(J$5,NFI,5,0),1,0)*Table_NFI[[#This Row],[Sanitary Kit]],Table_NFI[Sanitary Kit])</f>
        <v>0</v>
      </c>
      <c r="AB964" s="264">
        <f>IF(NFI_Expiration=1,IF($A964&lt;VLOOKUP(K$5,NFI,5,0),1,0)*Table_NFI[[#This Row],[Mosquito net]],Table_NFI[Mosquito net])</f>
        <v>0</v>
      </c>
      <c r="AC964" s="264">
        <f>IF(NFI_Expiration=1,IF($A964&lt;VLOOKUP(L$5,NFI,5,0),1,0)*Table_NFI[[#This Row],[Tarpaulin]],Table_NFI[[#This Row],[Tarpaulin]])</f>
        <v>0</v>
      </c>
      <c r="AD964" s="264">
        <f>IF(NFI_Expiration=1,IF($A964&lt;VLOOKUP(M$5,NFI,5,0),1,0)*Table_NFI[[#This Row],[Blanket]],Table_NFI[[#This Row],[Blanket]])</f>
        <v>0</v>
      </c>
      <c r="AE964" s="264">
        <f>IF(NFI_Expiration=1,IF($A964&lt;VLOOKUP(N$5,NFI,5,0),1,0)*Table_NFI[[#This Row],[Kitchen Set]],Table_NFI[Kitchen Set])</f>
        <v>0</v>
      </c>
      <c r="AF964" s="264">
        <f>IF(NFI_Expiration=1,IF($A964&lt;VLOOKUP(O$5,NFI,5,0),1,0)*Table_NFI[[#This Row],[Clothes Kit]],Table_NFI[Clothes Kit])</f>
        <v>0</v>
      </c>
      <c r="AG964" s="264">
        <f>IF(NFI_Expiration=1,IF($A964&lt;VLOOKUP(P$5,NFI,5,0),1,0)*Table_NFI[[#This Row],[Plastic Bucket]],Table_NFI[Plastic Bucket])</f>
        <v>0</v>
      </c>
      <c r="AH964" s="264">
        <f>IF(NFI_Expiration=1,IF($A964&lt;VLOOKUP(Q$5,NFI,5,0),1,0)*Table_NFI[[#This Row],[Plastic Mat]],Table_NFI[Plastic Mat])*IF(Table_NFI[[#This Row],[Distribution Date]]&gt;"2014-04-01",1,2.5)</f>
        <v>0</v>
      </c>
      <c r="AI964" s="264">
        <f>IF(NFI_Expiration=1,IF($A964&lt;VLOOKUP(R$5,NFI,5,0),1,0)*Table_NFI[[#This Row],[Winter Clothes Adult]],Table_NFI[Winter Clothes Adult])</f>
        <v>0</v>
      </c>
      <c r="AJ964" s="264">
        <f>IF(NFI_Expiration=1,IF($A964&lt;VLOOKUP(S$5,NFI,5,0),1,0)*Table_NFI[[#This Row],[Winter Clothes Children]],Table_NFI[Winter Clothes Children])</f>
        <v>0</v>
      </c>
      <c r="AK964" s="264">
        <f>IF(NFI_Expiration=1,IF($A964&lt;VLOOKUP(T$5,NFI,5,0),1,0)*Table_NFI[[#This Row],[Winter Items Other]],Table_NFI[Winter Items Other])</f>
        <v>0</v>
      </c>
      <c r="AL964" s="264">
        <f>IF(NFI_Expiration=1,IF($A964&lt;VLOOKUP(M$5,NFI,5,0),1,0)*Table_NFI[[#This Row],[Winter Blanket]],Table_NFI[[#This Row],[Winter Blanket]])</f>
        <v>0</v>
      </c>
      <c r="AM964" s="264">
        <f>IF(Table_NFI[[#This Row],[Winter Clothes Adult]]+Table_NFI[[#This Row],[Winter Clothes Children]]+Table_NFI[[#This Row],[Winter Items Other]]+Table_NFI[[#This Row],[Winter Blanket]]&gt;0,1,0)</f>
        <v>0</v>
      </c>
      <c r="AN964" s="296">
        <f>IF(NFI_Expiration=1,IF($A964&lt;VLOOKUP(V$5,NFI,5,0),1,0)*Table_NFI[[#This Row],[Jerry Can]],Table_NFI[Jerry Can])</f>
        <v>0</v>
      </c>
      <c r="AO964" s="296">
        <f>IF(NFI_Expiration=1,IF($A964&lt;VLOOKUP(V$5,NFI,5,0),1,0)*Table_NFI[[#This Row],[Shelter Tool kit]],Table_NFI[Shelter Tool kit])</f>
        <v>0</v>
      </c>
      <c r="AP964" s="296">
        <f>IF(NFI_Expiration=1,IF($A964&lt;VLOOKUP(V$5,NFI,5,0),1,0)*Table_NFI[[#This Row],[Tent]],Table_NFI[Tent])</f>
        <v>0</v>
      </c>
      <c r="AQ964" s="396" t="str">
        <f>IFERROR(VLOOKUP(Table_NFI[[#This Row],[Camp Name]],CL,2,0),"")</f>
        <v>MMR001CMP069</v>
      </c>
      <c r="AR964" s="702">
        <f ca="1">IF(Table_NFI[[#This Row],[Pcode]]="","",IF(OFFSET(CampList[Opening Date],MATCH(Table_NFI[[#This Row],[Pcode]],CampList[CP_Pcode],0)-1,0,1,1)&gt;=NFI_Monitor_Date,1,0))</f>
        <v>0</v>
      </c>
      <c r="AS964" s="396" t="str">
        <f>IFERROR(VLOOKUP(Table_NFI[[#This Row],[Camp Name]],CL,3,0),"")</f>
        <v>Open</v>
      </c>
      <c r="AT964" s="264" t="str">
        <f ca="1">IF(Table_NFI[[#This Row],[Pcode]]="","",OFFSET(CampList[Priority],MATCH(Table_NFI[[#This Row],[Pcode]],CampList[CP_Pcode],0)-1,0,1,1))</f>
        <v>P3</v>
      </c>
      <c r="AU964" s="263">
        <f>IFERROR(Table_NFI[[#This Row],[Kitchen Set]]/VLOOKUP(Table_NFI[[#This Row],[Camp Name]],CL,4,0),"")</f>
        <v>0</v>
      </c>
      <c r="AV964" s="390"/>
      <c r="AW964" s="392"/>
      <c r="AX964" s="399"/>
      <c r="AY964" s="399"/>
      <c r="AZ964" s="399"/>
      <c r="BA964" s="399"/>
      <c r="BB964" s="399"/>
      <c r="BC964" s="399"/>
      <c r="BD964" s="399"/>
      <c r="BE964" s="399"/>
      <c r="BF964" s="399"/>
      <c r="BG964" s="399"/>
      <c r="BH964" s="399"/>
      <c r="BI964" s="399"/>
      <c r="BJ964" s="399"/>
      <c r="BK964" s="399"/>
      <c r="BL964" s="399"/>
      <c r="BM964" s="399"/>
      <c r="BN964" s="399"/>
      <c r="BO964" s="399"/>
      <c r="BP964" s="399"/>
      <c r="BQ964" s="399"/>
      <c r="BR964" s="399"/>
      <c r="BS964" s="399"/>
      <c r="BT964" s="399"/>
      <c r="BU964" s="399"/>
      <c r="BV964" s="399"/>
      <c r="BW964" s="399"/>
      <c r="BX964" s="399"/>
      <c r="BY964" s="399"/>
      <c r="BZ964" s="399"/>
      <c r="CA964" s="399"/>
      <c r="CB964" s="399"/>
      <c r="CC964" s="399"/>
      <c r="CD964" s="399"/>
      <c r="CE964" s="399"/>
      <c r="CF964" s="399"/>
      <c r="CG964" s="399"/>
      <c r="CH964" s="399"/>
      <c r="CI964" s="399"/>
      <c r="CJ964" s="399"/>
      <c r="CK964" s="399"/>
      <c r="CL964" s="399"/>
      <c r="CM964" s="399"/>
      <c r="CN964" s="399"/>
      <c r="CO964" s="399"/>
      <c r="CP964" s="399"/>
      <c r="CQ964" s="399"/>
      <c r="CR964" s="399"/>
      <c r="CS964" s="399"/>
      <c r="CT964" s="399"/>
      <c r="CU964" s="399"/>
      <c r="CV964" s="399"/>
      <c r="CW964" s="399"/>
      <c r="CX964" s="399"/>
      <c r="CY964" s="399"/>
      <c r="CZ964" s="399"/>
      <c r="DA964" s="399"/>
      <c r="DB964" s="399"/>
      <c r="DC964" s="399"/>
      <c r="DD964" s="399"/>
      <c r="DE964" s="399"/>
      <c r="DF964" s="399"/>
      <c r="DG964" s="399"/>
      <c r="DH964" s="399"/>
      <c r="DI964" s="399"/>
      <c r="DJ964" s="399"/>
      <c r="DK964" s="399"/>
      <c r="DL964" s="399"/>
      <c r="DM964" s="399"/>
      <c r="DN964" s="399"/>
      <c r="DO964" s="399"/>
      <c r="DP964" s="399"/>
      <c r="DQ964" s="399"/>
    </row>
    <row r="965" spans="1:121" s="760" customFormat="1" ht="15" customHeight="1" x14ac:dyDescent="0.25">
      <c r="A965" s="266">
        <f t="shared" si="14"/>
        <v>57.4</v>
      </c>
      <c r="B965" s="389">
        <v>41134</v>
      </c>
      <c r="C965" s="390" t="s">
        <v>451</v>
      </c>
      <c r="D965" s="391" t="s">
        <v>572</v>
      </c>
      <c r="E965" s="390" t="s">
        <v>380</v>
      </c>
      <c r="F965" s="262" t="s">
        <v>5</v>
      </c>
      <c r="G965" s="262" t="s">
        <v>22</v>
      </c>
      <c r="H965" s="261"/>
      <c r="I965" s="261"/>
      <c r="J965" s="261"/>
      <c r="K965" s="261">
        <v>310</v>
      </c>
      <c r="L965" s="261">
        <v>151</v>
      </c>
      <c r="M965" s="261">
        <v>310</v>
      </c>
      <c r="N965" s="261">
        <v>151</v>
      </c>
      <c r="O965" s="261">
        <v>151</v>
      </c>
      <c r="P965" s="261">
        <v>151</v>
      </c>
      <c r="Q965" s="261">
        <v>151</v>
      </c>
      <c r="R965" s="261"/>
      <c r="S965" s="261"/>
      <c r="T965" s="261"/>
      <c r="U965" s="261"/>
      <c r="V965" s="762"/>
      <c r="W965" s="762"/>
      <c r="X965" s="762"/>
      <c r="Y965" s="264">
        <f>IF(NFI_Expiration=1,IF($A965&lt;VLOOKUP(H$5,NFI,5,0),1,0)*Table_NFI[[#This Row],[Hygiene Kit]],Table_NFI[Hygiene Kit])</f>
        <v>0</v>
      </c>
      <c r="Z965" s="264">
        <f>IF(NFI_Expiration=1,IF($A965&lt;VLOOKUP(I$5,NFI,5,0),1,0)*Table_NFI[[#This Row],[NFI Core Kit]],Table_NFI[NFI Core Kit])</f>
        <v>0</v>
      </c>
      <c r="AA965" s="264">
        <f>IF(NFI_Expiration=1,IF($A965&lt;VLOOKUP(J$5,NFI,5,0),1,0)*Table_NFI[[#This Row],[Sanitary Kit]],Table_NFI[Sanitary Kit])</f>
        <v>0</v>
      </c>
      <c r="AB965" s="264">
        <f>IF(NFI_Expiration=1,IF($A965&lt;VLOOKUP(K$5,NFI,5,0),1,0)*Table_NFI[[#This Row],[Mosquito net]],Table_NFI[Mosquito net])</f>
        <v>0</v>
      </c>
      <c r="AC965" s="264">
        <f>IF(NFI_Expiration=1,IF($A965&lt;VLOOKUP(L$5,NFI,5,0),1,0)*Table_NFI[[#This Row],[Tarpaulin]],Table_NFI[[#This Row],[Tarpaulin]])</f>
        <v>0</v>
      </c>
      <c r="AD965" s="264">
        <f>IF(NFI_Expiration=1,IF($A965&lt;VLOOKUP(M$5,NFI,5,0),1,0)*Table_NFI[[#This Row],[Blanket]],Table_NFI[[#This Row],[Blanket]])</f>
        <v>0</v>
      </c>
      <c r="AE965" s="264">
        <f>IF(NFI_Expiration=1,IF($A965&lt;VLOOKUP(N$5,NFI,5,0),1,0)*Table_NFI[[#This Row],[Kitchen Set]],Table_NFI[Kitchen Set])</f>
        <v>0</v>
      </c>
      <c r="AF965" s="264">
        <f>IF(NFI_Expiration=1,IF($A965&lt;VLOOKUP(O$5,NFI,5,0),1,0)*Table_NFI[[#This Row],[Clothes Kit]],Table_NFI[Clothes Kit])</f>
        <v>0</v>
      </c>
      <c r="AG965" s="264">
        <f>IF(NFI_Expiration=1,IF($A965&lt;VLOOKUP(P$5,NFI,5,0),1,0)*Table_NFI[[#This Row],[Plastic Bucket]],Table_NFI[Plastic Bucket])</f>
        <v>0</v>
      </c>
      <c r="AH965" s="264">
        <f>IF(NFI_Expiration=1,IF($A965&lt;VLOOKUP(Q$5,NFI,5,0),1,0)*Table_NFI[[#This Row],[Plastic Mat]],Table_NFI[Plastic Mat])*IF(Table_NFI[[#This Row],[Distribution Date]]&gt;"2014-04-01",1,2.5)</f>
        <v>0</v>
      </c>
      <c r="AI965" s="264">
        <f>IF(NFI_Expiration=1,IF($A965&lt;VLOOKUP(R$5,NFI,5,0),1,0)*Table_NFI[[#This Row],[Winter Clothes Adult]],Table_NFI[Winter Clothes Adult])</f>
        <v>0</v>
      </c>
      <c r="AJ965" s="264">
        <f>IF(NFI_Expiration=1,IF($A965&lt;VLOOKUP(S$5,NFI,5,0),1,0)*Table_NFI[[#This Row],[Winter Clothes Children]],Table_NFI[Winter Clothes Children])</f>
        <v>0</v>
      </c>
      <c r="AK965" s="264">
        <f>IF(NFI_Expiration=1,IF($A965&lt;VLOOKUP(T$5,NFI,5,0),1,0)*Table_NFI[[#This Row],[Winter Items Other]],Table_NFI[Winter Items Other])</f>
        <v>0</v>
      </c>
      <c r="AL965" s="264">
        <f>IF(NFI_Expiration=1,IF($A965&lt;VLOOKUP(M$5,NFI,5,0),1,0)*Table_NFI[[#This Row],[Winter Blanket]],Table_NFI[[#This Row],[Winter Blanket]])</f>
        <v>0</v>
      </c>
      <c r="AM965" s="264">
        <f>IF(Table_NFI[[#This Row],[Winter Clothes Adult]]+Table_NFI[[#This Row],[Winter Clothes Children]]+Table_NFI[[#This Row],[Winter Items Other]]+Table_NFI[[#This Row],[Winter Blanket]]&gt;0,1,0)</f>
        <v>0</v>
      </c>
      <c r="AN965" s="296">
        <f>IF(NFI_Expiration=1,IF($A965&lt;VLOOKUP(V$5,NFI,5,0),1,0)*Table_NFI[[#This Row],[Jerry Can]],Table_NFI[Jerry Can])</f>
        <v>0</v>
      </c>
      <c r="AO965" s="296">
        <f>IF(NFI_Expiration=1,IF($A965&lt;VLOOKUP(V$5,NFI,5,0),1,0)*Table_NFI[[#This Row],[Shelter Tool kit]],Table_NFI[Shelter Tool kit])</f>
        <v>0</v>
      </c>
      <c r="AP965" s="296">
        <f>IF(NFI_Expiration=1,IF($A965&lt;VLOOKUP(V$5,NFI,5,0),1,0)*Table_NFI[[#This Row],[Tent]],Table_NFI[Tent])</f>
        <v>0</v>
      </c>
      <c r="AQ965" s="396" t="str">
        <f>IFERROR(VLOOKUP(Table_NFI[[#This Row],[Camp Name]],CL,2,0),"")</f>
        <v>MMR001CMP047</v>
      </c>
      <c r="AR965" s="702">
        <f ca="1">IF(Table_NFI[[#This Row],[Pcode]]="","",IF(OFFSET(CampList[Opening Date],MATCH(Table_NFI[[#This Row],[Pcode]],CampList[CP_Pcode],0)-1,0,1,1)&gt;=NFI_Monitor_Date,1,0))</f>
        <v>0</v>
      </c>
      <c r="AS965" s="396" t="str">
        <f>IFERROR(VLOOKUP(Table_NFI[[#This Row],[Camp Name]],CL,3,0),"")</f>
        <v>Open</v>
      </c>
      <c r="AT965" s="264" t="str">
        <f ca="1">IF(Table_NFI[[#This Row],[Pcode]]="","",OFFSET(CampList[Priority],MATCH(Table_NFI[[#This Row],[Pcode]],CampList[CP_Pcode],0)-1,0,1,1))</f>
        <v>P4</v>
      </c>
      <c r="AU965" s="263">
        <f>IFERROR(Table_NFI[[#This Row],[Kitchen Set]]/VLOOKUP(Table_NFI[[#This Row],[Camp Name]],CL,4,0),"")</f>
        <v>3.7077961939840391E-3</v>
      </c>
      <c r="AV965" s="390" t="s">
        <v>1087</v>
      </c>
      <c r="AW965" s="392"/>
      <c r="AX965" s="399"/>
      <c r="AY965" s="399"/>
      <c r="AZ965" s="399"/>
      <c r="BA965" s="399"/>
      <c r="BB965" s="399"/>
      <c r="BC965" s="399"/>
      <c r="BD965" s="399"/>
      <c r="BE965" s="399"/>
      <c r="BF965" s="399"/>
      <c r="BG965" s="399"/>
      <c r="BH965" s="399"/>
      <c r="BI965" s="399"/>
      <c r="BJ965" s="399"/>
      <c r="BK965" s="399"/>
      <c r="BL965" s="399"/>
      <c r="BM965" s="399"/>
      <c r="BN965" s="399"/>
      <c r="BO965" s="399"/>
      <c r="BP965" s="399"/>
      <c r="BQ965" s="399"/>
      <c r="BR965" s="399"/>
      <c r="BS965" s="399"/>
      <c r="BT965" s="399"/>
      <c r="BU965" s="399"/>
      <c r="BV965" s="399"/>
      <c r="BW965" s="399"/>
      <c r="BX965" s="399"/>
      <c r="BY965" s="399"/>
      <c r="BZ965" s="399"/>
      <c r="CA965" s="399"/>
      <c r="CB965" s="399"/>
      <c r="CC965" s="399"/>
      <c r="CD965" s="399"/>
      <c r="CE965" s="399"/>
      <c r="CF965" s="399"/>
      <c r="CG965" s="399"/>
      <c r="CH965" s="399"/>
      <c r="CI965" s="399"/>
      <c r="CJ965" s="399"/>
      <c r="CK965" s="399"/>
      <c r="CL965" s="399"/>
      <c r="CM965" s="399"/>
      <c r="CN965" s="399"/>
      <c r="CO965" s="399"/>
      <c r="CP965" s="399"/>
      <c r="CQ965" s="399"/>
      <c r="CR965" s="399"/>
      <c r="CS965" s="399"/>
      <c r="CT965" s="399"/>
      <c r="CU965" s="399"/>
      <c r="CV965" s="399"/>
      <c r="CW965" s="399"/>
      <c r="CX965" s="399"/>
      <c r="CY965" s="399"/>
      <c r="CZ965" s="399"/>
      <c r="DA965" s="399"/>
      <c r="DB965" s="399"/>
      <c r="DC965" s="399"/>
      <c r="DD965" s="399"/>
      <c r="DE965" s="399"/>
      <c r="DF965" s="399"/>
      <c r="DG965" s="399"/>
      <c r="DH965" s="399"/>
      <c r="DI965" s="399"/>
      <c r="DJ965" s="399"/>
      <c r="DK965" s="399"/>
      <c r="DL965" s="399"/>
      <c r="DM965" s="399"/>
      <c r="DN965" s="399"/>
      <c r="DO965" s="399"/>
      <c r="DP965" s="399"/>
      <c r="DQ965" s="399"/>
    </row>
    <row r="966" spans="1:121" s="760" customFormat="1" ht="15" customHeight="1" x14ac:dyDescent="0.25">
      <c r="A966" s="266">
        <f t="shared" ref="A966:A1029" si="15">IF(ISBLANK(B966),"",(Report_Date-B966)/30)</f>
        <v>57.533333333333331</v>
      </c>
      <c r="B966" s="389">
        <v>41130</v>
      </c>
      <c r="C966" s="390" t="s">
        <v>451</v>
      </c>
      <c r="D966" s="391" t="s">
        <v>451</v>
      </c>
      <c r="E966" s="390" t="s">
        <v>380</v>
      </c>
      <c r="F966" s="262" t="s">
        <v>237</v>
      </c>
      <c r="G966" s="262" t="s">
        <v>253</v>
      </c>
      <c r="H966" s="261"/>
      <c r="I966" s="763"/>
      <c r="J966" s="261"/>
      <c r="K966" s="261">
        <v>7</v>
      </c>
      <c r="L966" s="261">
        <v>3</v>
      </c>
      <c r="M966" s="261">
        <v>7</v>
      </c>
      <c r="N966" s="261">
        <v>3</v>
      </c>
      <c r="O966" s="261">
        <v>3</v>
      </c>
      <c r="P966" s="261">
        <v>3</v>
      </c>
      <c r="Q966" s="261">
        <v>3</v>
      </c>
      <c r="R966" s="261"/>
      <c r="S966" s="261"/>
      <c r="T966" s="261"/>
      <c r="U966" s="261"/>
      <c r="V966" s="762"/>
      <c r="W966" s="762"/>
      <c r="X966" s="762"/>
      <c r="Y966" s="264">
        <f>IF(NFI_Expiration=1,IF($A966&lt;VLOOKUP(H$5,NFI,5,0),1,0)*Table_NFI[[#This Row],[Hygiene Kit]],Table_NFI[Hygiene Kit])</f>
        <v>0</v>
      </c>
      <c r="Z966" s="264">
        <f>IF(NFI_Expiration=1,IF($A966&lt;VLOOKUP(I$5,NFI,5,0),1,0)*Table_NFI[[#This Row],[NFI Core Kit]],Table_NFI[NFI Core Kit])</f>
        <v>0</v>
      </c>
      <c r="AA966" s="264">
        <f>IF(NFI_Expiration=1,IF($A966&lt;VLOOKUP(J$5,NFI,5,0),1,0)*Table_NFI[[#This Row],[Sanitary Kit]],Table_NFI[Sanitary Kit])</f>
        <v>0</v>
      </c>
      <c r="AB966" s="264">
        <f>IF(NFI_Expiration=1,IF($A966&lt;VLOOKUP(K$5,NFI,5,0),1,0)*Table_NFI[[#This Row],[Mosquito net]],Table_NFI[Mosquito net])</f>
        <v>0</v>
      </c>
      <c r="AC966" s="264">
        <f>IF(NFI_Expiration=1,IF($A966&lt;VLOOKUP(L$5,NFI,5,0),1,0)*Table_NFI[[#This Row],[Tarpaulin]],Table_NFI[[#This Row],[Tarpaulin]])</f>
        <v>0</v>
      </c>
      <c r="AD966" s="264">
        <f>IF(NFI_Expiration=1,IF($A966&lt;VLOOKUP(M$5,NFI,5,0),1,0)*Table_NFI[[#This Row],[Blanket]],Table_NFI[[#This Row],[Blanket]])</f>
        <v>0</v>
      </c>
      <c r="AE966" s="264">
        <f>IF(NFI_Expiration=1,IF($A966&lt;VLOOKUP(N$5,NFI,5,0),1,0)*Table_NFI[[#This Row],[Kitchen Set]],Table_NFI[Kitchen Set])</f>
        <v>0</v>
      </c>
      <c r="AF966" s="264">
        <f>IF(NFI_Expiration=1,IF($A966&lt;VLOOKUP(O$5,NFI,5,0),1,0)*Table_NFI[[#This Row],[Clothes Kit]],Table_NFI[Clothes Kit])</f>
        <v>0</v>
      </c>
      <c r="AG966" s="264">
        <f>IF(NFI_Expiration=1,IF($A966&lt;VLOOKUP(P$5,NFI,5,0),1,0)*Table_NFI[[#This Row],[Plastic Bucket]],Table_NFI[Plastic Bucket])</f>
        <v>0</v>
      </c>
      <c r="AH966" s="264">
        <f>IF(NFI_Expiration=1,IF($A966&lt;VLOOKUP(Q$5,NFI,5,0),1,0)*Table_NFI[[#This Row],[Plastic Mat]],Table_NFI[Plastic Mat])*IF(Table_NFI[[#This Row],[Distribution Date]]&gt;"2014-04-01",1,2.5)</f>
        <v>0</v>
      </c>
      <c r="AI966" s="264">
        <f>IF(NFI_Expiration=1,IF($A966&lt;VLOOKUP(R$5,NFI,5,0),1,0)*Table_NFI[[#This Row],[Winter Clothes Adult]],Table_NFI[Winter Clothes Adult])</f>
        <v>0</v>
      </c>
      <c r="AJ966" s="264">
        <f>IF(NFI_Expiration=1,IF($A966&lt;VLOOKUP(S$5,NFI,5,0),1,0)*Table_NFI[[#This Row],[Winter Clothes Children]],Table_NFI[Winter Clothes Children])</f>
        <v>0</v>
      </c>
      <c r="AK966" s="264">
        <f>IF(NFI_Expiration=1,IF($A966&lt;VLOOKUP(T$5,NFI,5,0),1,0)*Table_NFI[[#This Row],[Winter Items Other]],Table_NFI[Winter Items Other])</f>
        <v>0</v>
      </c>
      <c r="AL966" s="264">
        <f>IF(NFI_Expiration=1,IF($A966&lt;VLOOKUP(M$5,NFI,5,0),1,0)*Table_NFI[[#This Row],[Winter Blanket]],Table_NFI[[#This Row],[Winter Blanket]])</f>
        <v>0</v>
      </c>
      <c r="AM966" s="264">
        <f>IF(Table_NFI[[#This Row],[Winter Clothes Adult]]+Table_NFI[[#This Row],[Winter Clothes Children]]+Table_NFI[[#This Row],[Winter Items Other]]+Table_NFI[[#This Row],[Winter Blanket]]&gt;0,1,0)</f>
        <v>0</v>
      </c>
      <c r="AN966" s="296">
        <f>IF(NFI_Expiration=1,IF($A966&lt;VLOOKUP(V$5,NFI,5,0),1,0)*Table_NFI[[#This Row],[Jerry Can]],Table_NFI[Jerry Can])</f>
        <v>0</v>
      </c>
      <c r="AO966" s="296">
        <f>IF(NFI_Expiration=1,IF($A966&lt;VLOOKUP(V$5,NFI,5,0),1,0)*Table_NFI[[#This Row],[Shelter Tool kit]],Table_NFI[Shelter Tool kit])</f>
        <v>0</v>
      </c>
      <c r="AP966" s="296">
        <f>IF(NFI_Expiration=1,IF($A966&lt;VLOOKUP(V$5,NFI,5,0),1,0)*Table_NFI[[#This Row],[Tent]],Table_NFI[Tent])</f>
        <v>0</v>
      </c>
      <c r="AQ966" s="396" t="str">
        <f>IFERROR(VLOOKUP(Table_NFI[[#This Row],[Camp Name]],CL,2,0),"")</f>
        <v>MMR001CMP018</v>
      </c>
      <c r="AR966" s="702">
        <f ca="1">IF(Table_NFI[[#This Row],[Pcode]]="","",IF(OFFSET(CampList[Opening Date],MATCH(Table_NFI[[#This Row],[Pcode]],CampList[CP_Pcode],0)-1,0,1,1)&gt;=NFI_Monitor_Date,1,0))</f>
        <v>0</v>
      </c>
      <c r="AS966" s="396" t="str">
        <f>IFERROR(VLOOKUP(Table_NFI[[#This Row],[Camp Name]],CL,3,0),"")</f>
        <v>Open</v>
      </c>
      <c r="AT966" s="264" t="str">
        <f ca="1">IF(Table_NFI[[#This Row],[Pcode]]="","",OFFSET(CampList[Priority],MATCH(Table_NFI[[#This Row],[Pcode]],CampList[CP_Pcode],0)-1,0,1,1))</f>
        <v>P4</v>
      </c>
      <c r="AU966" s="263">
        <f>IFERROR(Table_NFI[[#This Row],[Kitchen Set]]/VLOOKUP(Table_NFI[[#This Row],[Camp Name]],CL,4,0),"")</f>
        <v>7.3664825046040511E-5</v>
      </c>
      <c r="AV966" s="390" t="s">
        <v>1087</v>
      </c>
      <c r="AW966" s="392"/>
      <c r="AX966" s="399"/>
      <c r="AY966" s="399"/>
      <c r="AZ966" s="399"/>
      <c r="BA966" s="399"/>
      <c r="BB966" s="399"/>
      <c r="BC966" s="399"/>
      <c r="BD966" s="399"/>
      <c r="BE966" s="399"/>
      <c r="BF966" s="399"/>
      <c r="BG966" s="399"/>
      <c r="BH966" s="399"/>
      <c r="BI966" s="399"/>
      <c r="BJ966" s="399"/>
      <c r="BK966" s="399"/>
      <c r="BL966" s="399"/>
      <c r="BM966" s="399"/>
      <c r="BN966" s="399"/>
      <c r="BO966" s="399"/>
      <c r="BP966" s="399"/>
      <c r="BQ966" s="399"/>
      <c r="BR966" s="399"/>
      <c r="BS966" s="399"/>
      <c r="BT966" s="399"/>
      <c r="BU966" s="399"/>
      <c r="BV966" s="399"/>
      <c r="BW966" s="399"/>
      <c r="BX966" s="399"/>
      <c r="BY966" s="399"/>
      <c r="BZ966" s="399"/>
      <c r="CA966" s="399"/>
      <c r="CB966" s="399"/>
      <c r="CC966" s="399"/>
      <c r="CD966" s="399"/>
      <c r="CE966" s="399"/>
      <c r="CF966" s="399"/>
      <c r="CG966" s="399"/>
      <c r="CH966" s="399"/>
      <c r="CI966" s="399"/>
      <c r="CJ966" s="399"/>
      <c r="CK966" s="399"/>
      <c r="CL966" s="399"/>
      <c r="CM966" s="399"/>
      <c r="CN966" s="399"/>
      <c r="CO966" s="399"/>
      <c r="CP966" s="399"/>
      <c r="CQ966" s="399"/>
      <c r="CR966" s="399"/>
      <c r="CS966" s="399"/>
      <c r="CT966" s="399"/>
      <c r="CU966" s="399"/>
      <c r="CV966" s="399"/>
      <c r="CW966" s="399"/>
      <c r="CX966" s="399"/>
      <c r="CY966" s="399"/>
      <c r="CZ966" s="399"/>
      <c r="DA966" s="399"/>
      <c r="DB966" s="399"/>
      <c r="DC966" s="399"/>
      <c r="DD966" s="399"/>
      <c r="DE966" s="399"/>
      <c r="DF966" s="399"/>
      <c r="DG966" s="399"/>
      <c r="DH966" s="399"/>
      <c r="DI966" s="399"/>
      <c r="DJ966" s="399"/>
      <c r="DK966" s="399"/>
      <c r="DL966" s="399"/>
      <c r="DM966" s="399"/>
      <c r="DN966" s="399"/>
      <c r="DO966" s="399"/>
      <c r="DP966" s="399"/>
      <c r="DQ966" s="399"/>
    </row>
    <row r="967" spans="1:121" s="760" customFormat="1" ht="15" customHeight="1" x14ac:dyDescent="0.25">
      <c r="A967" s="266">
        <f t="shared" si="15"/>
        <v>57.533333333333331</v>
      </c>
      <c r="B967" s="389">
        <v>41130</v>
      </c>
      <c r="C967" s="390" t="s">
        <v>451</v>
      </c>
      <c r="D967" s="391" t="s">
        <v>451</v>
      </c>
      <c r="E967" s="390" t="s">
        <v>380</v>
      </c>
      <c r="F967" s="262" t="s">
        <v>237</v>
      </c>
      <c r="G967" s="262" t="s">
        <v>259</v>
      </c>
      <c r="H967" s="261"/>
      <c r="I967" s="261"/>
      <c r="J967" s="261"/>
      <c r="K967" s="261">
        <v>2</v>
      </c>
      <c r="L967" s="261">
        <v>1</v>
      </c>
      <c r="M967" s="261">
        <v>2</v>
      </c>
      <c r="N967" s="261">
        <v>1</v>
      </c>
      <c r="O967" s="261">
        <v>1</v>
      </c>
      <c r="P967" s="261">
        <v>1</v>
      </c>
      <c r="Q967" s="261">
        <v>1</v>
      </c>
      <c r="R967" s="261"/>
      <c r="S967" s="261"/>
      <c r="T967" s="261"/>
      <c r="U967" s="261"/>
      <c r="V967" s="762"/>
      <c r="W967" s="762"/>
      <c r="X967" s="762"/>
      <c r="Y967" s="264">
        <f>IF(NFI_Expiration=1,IF($A967&lt;VLOOKUP(H$5,NFI,5,0),1,0)*Table_NFI[[#This Row],[Hygiene Kit]],Table_NFI[Hygiene Kit])</f>
        <v>0</v>
      </c>
      <c r="Z967" s="264">
        <f>IF(NFI_Expiration=1,IF($A967&lt;VLOOKUP(I$5,NFI,5,0),1,0)*Table_NFI[[#This Row],[NFI Core Kit]],Table_NFI[NFI Core Kit])</f>
        <v>0</v>
      </c>
      <c r="AA967" s="264">
        <f>IF(NFI_Expiration=1,IF($A967&lt;VLOOKUP(J$5,NFI,5,0),1,0)*Table_NFI[[#This Row],[Sanitary Kit]],Table_NFI[Sanitary Kit])</f>
        <v>0</v>
      </c>
      <c r="AB967" s="264">
        <f>IF(NFI_Expiration=1,IF($A967&lt;VLOOKUP(K$5,NFI,5,0),1,0)*Table_NFI[[#This Row],[Mosquito net]],Table_NFI[Mosquito net])</f>
        <v>0</v>
      </c>
      <c r="AC967" s="264">
        <f>IF(NFI_Expiration=1,IF($A967&lt;VLOOKUP(L$5,NFI,5,0),1,0)*Table_NFI[[#This Row],[Tarpaulin]],Table_NFI[[#This Row],[Tarpaulin]])</f>
        <v>0</v>
      </c>
      <c r="AD967" s="264">
        <f>IF(NFI_Expiration=1,IF($A967&lt;VLOOKUP(M$5,NFI,5,0),1,0)*Table_NFI[[#This Row],[Blanket]],Table_NFI[[#This Row],[Blanket]])</f>
        <v>0</v>
      </c>
      <c r="AE967" s="264">
        <f>IF(NFI_Expiration=1,IF($A967&lt;VLOOKUP(N$5,NFI,5,0),1,0)*Table_NFI[[#This Row],[Kitchen Set]],Table_NFI[Kitchen Set])</f>
        <v>0</v>
      </c>
      <c r="AF967" s="264">
        <f>IF(NFI_Expiration=1,IF($A967&lt;VLOOKUP(O$5,NFI,5,0),1,0)*Table_NFI[[#This Row],[Clothes Kit]],Table_NFI[Clothes Kit])</f>
        <v>0</v>
      </c>
      <c r="AG967" s="264">
        <f>IF(NFI_Expiration=1,IF($A967&lt;VLOOKUP(P$5,NFI,5,0),1,0)*Table_NFI[[#This Row],[Plastic Bucket]],Table_NFI[Plastic Bucket])</f>
        <v>0</v>
      </c>
      <c r="AH967" s="264">
        <f>IF(NFI_Expiration=1,IF($A967&lt;VLOOKUP(Q$5,NFI,5,0),1,0)*Table_NFI[[#This Row],[Plastic Mat]],Table_NFI[Plastic Mat])*IF(Table_NFI[[#This Row],[Distribution Date]]&gt;"2014-04-01",1,2.5)</f>
        <v>0</v>
      </c>
      <c r="AI967" s="264">
        <f>IF(NFI_Expiration=1,IF($A967&lt;VLOOKUP(R$5,NFI,5,0),1,0)*Table_NFI[[#This Row],[Winter Clothes Adult]],Table_NFI[Winter Clothes Adult])</f>
        <v>0</v>
      </c>
      <c r="AJ967" s="264">
        <f>IF(NFI_Expiration=1,IF($A967&lt;VLOOKUP(S$5,NFI,5,0),1,0)*Table_NFI[[#This Row],[Winter Clothes Children]],Table_NFI[Winter Clothes Children])</f>
        <v>0</v>
      </c>
      <c r="AK967" s="264">
        <f>IF(NFI_Expiration=1,IF($A967&lt;VLOOKUP(T$5,NFI,5,0),1,0)*Table_NFI[[#This Row],[Winter Items Other]],Table_NFI[Winter Items Other])</f>
        <v>0</v>
      </c>
      <c r="AL967" s="264">
        <f>IF(NFI_Expiration=1,IF($A967&lt;VLOOKUP(M$5,NFI,5,0),1,0)*Table_NFI[[#This Row],[Winter Blanket]],Table_NFI[[#This Row],[Winter Blanket]])</f>
        <v>0</v>
      </c>
      <c r="AM967" s="264">
        <f>IF(Table_NFI[[#This Row],[Winter Clothes Adult]]+Table_NFI[[#This Row],[Winter Clothes Children]]+Table_NFI[[#This Row],[Winter Items Other]]+Table_NFI[[#This Row],[Winter Blanket]]&gt;0,1,0)</f>
        <v>0</v>
      </c>
      <c r="AN967" s="296">
        <f>IF(NFI_Expiration=1,IF($A967&lt;VLOOKUP(V$5,NFI,5,0),1,0)*Table_NFI[[#This Row],[Jerry Can]],Table_NFI[Jerry Can])</f>
        <v>0</v>
      </c>
      <c r="AO967" s="296">
        <f>IF(NFI_Expiration=1,IF($A967&lt;VLOOKUP(V$5,NFI,5,0),1,0)*Table_NFI[[#This Row],[Shelter Tool kit]],Table_NFI[Shelter Tool kit])</f>
        <v>0</v>
      </c>
      <c r="AP967" s="296">
        <f>IF(NFI_Expiration=1,IF($A967&lt;VLOOKUP(V$5,NFI,5,0),1,0)*Table_NFI[[#This Row],[Tent]],Table_NFI[Tent])</f>
        <v>0</v>
      </c>
      <c r="AQ967" s="396" t="str">
        <f>IFERROR(VLOOKUP(Table_NFI[[#This Row],[Camp Name]],CL,2,0),"")</f>
        <v>MMR001CMP016</v>
      </c>
      <c r="AR967" s="702">
        <f ca="1">IF(Table_NFI[[#This Row],[Pcode]]="","",IF(OFFSET(CampList[Opening Date],MATCH(Table_NFI[[#This Row],[Pcode]],CampList[CP_Pcode],0)-1,0,1,1)&gt;=NFI_Monitor_Date,1,0))</f>
        <v>0</v>
      </c>
      <c r="AS967" s="396" t="str">
        <f>IFERROR(VLOOKUP(Table_NFI[[#This Row],[Camp Name]],CL,3,0),"")</f>
        <v>Open</v>
      </c>
      <c r="AT967" s="264" t="str">
        <f ca="1">IF(Table_NFI[[#This Row],[Pcode]]="","",OFFSET(CampList[Priority],MATCH(Table_NFI[[#This Row],[Pcode]],CampList[CP_Pcode],0)-1,0,1,1))</f>
        <v>P4</v>
      </c>
      <c r="AU967" s="263">
        <f>IFERROR(Table_NFI[[#This Row],[Kitchen Set]]/VLOOKUP(Table_NFI[[#This Row],[Camp Name]],CL,4,0),"")</f>
        <v>2.4536264599077437E-5</v>
      </c>
      <c r="AV967" s="390" t="s">
        <v>1087</v>
      </c>
      <c r="AW967" s="392"/>
      <c r="AX967" s="399"/>
      <c r="AY967" s="399"/>
      <c r="AZ967" s="399"/>
      <c r="BA967" s="399"/>
      <c r="BB967" s="399"/>
      <c r="BC967" s="399"/>
      <c r="BD967" s="399"/>
      <c r="BE967" s="399"/>
      <c r="BF967" s="399"/>
      <c r="BG967" s="399"/>
      <c r="BH967" s="399"/>
      <c r="BI967" s="399"/>
      <c r="BJ967" s="399"/>
      <c r="BK967" s="399"/>
      <c r="BL967" s="399"/>
      <c r="BM967" s="399"/>
      <c r="BN967" s="399"/>
      <c r="BO967" s="399"/>
      <c r="BP967" s="399"/>
      <c r="BQ967" s="399"/>
      <c r="BR967" s="399"/>
      <c r="BS967" s="399"/>
      <c r="BT967" s="399"/>
      <c r="BU967" s="399"/>
      <c r="BV967" s="399"/>
      <c r="BW967" s="399"/>
      <c r="BX967" s="399"/>
      <c r="BY967" s="399"/>
      <c r="BZ967" s="399"/>
      <c r="CA967" s="399"/>
      <c r="CB967" s="399"/>
      <c r="CC967" s="399"/>
      <c r="CD967" s="399"/>
      <c r="CE967" s="399"/>
      <c r="CF967" s="399"/>
      <c r="CG967" s="399"/>
      <c r="CH967" s="399"/>
      <c r="CI967" s="399"/>
      <c r="CJ967" s="399"/>
      <c r="CK967" s="399"/>
      <c r="CL967" s="399"/>
      <c r="CM967" s="399"/>
      <c r="CN967" s="399"/>
      <c r="CO967" s="399"/>
      <c r="CP967" s="399"/>
      <c r="CQ967" s="399"/>
      <c r="CR967" s="399"/>
      <c r="CS967" s="399"/>
      <c r="CT967" s="399"/>
      <c r="CU967" s="399"/>
      <c r="CV967" s="399"/>
      <c r="CW967" s="399"/>
      <c r="CX967" s="399"/>
      <c r="CY967" s="399"/>
      <c r="CZ967" s="399"/>
      <c r="DA967" s="399"/>
      <c r="DB967" s="399"/>
      <c r="DC967" s="399"/>
      <c r="DD967" s="399"/>
      <c r="DE967" s="399"/>
      <c r="DF967" s="399"/>
      <c r="DG967" s="399"/>
      <c r="DH967" s="399"/>
      <c r="DI967" s="399"/>
      <c r="DJ967" s="399"/>
      <c r="DK967" s="399"/>
      <c r="DL967" s="399"/>
      <c r="DM967" s="399"/>
      <c r="DN967" s="399"/>
      <c r="DO967" s="399"/>
      <c r="DP967" s="399"/>
      <c r="DQ967" s="399"/>
    </row>
    <row r="968" spans="1:121" s="760" customFormat="1" ht="15" customHeight="1" x14ac:dyDescent="0.25">
      <c r="A968" s="266">
        <f t="shared" si="15"/>
        <v>57.533333333333331</v>
      </c>
      <c r="B968" s="389">
        <v>41130</v>
      </c>
      <c r="C968" s="390" t="s">
        <v>451</v>
      </c>
      <c r="D968" s="390" t="s">
        <v>451</v>
      </c>
      <c r="E968" s="390" t="s">
        <v>380</v>
      </c>
      <c r="F968" s="262" t="s">
        <v>237</v>
      </c>
      <c r="G968" s="262" t="s">
        <v>263</v>
      </c>
      <c r="H968" s="261"/>
      <c r="I968" s="261"/>
      <c r="J968" s="261"/>
      <c r="K968" s="261">
        <v>2</v>
      </c>
      <c r="L968" s="261">
        <v>1</v>
      </c>
      <c r="M968" s="261">
        <v>2</v>
      </c>
      <c r="N968" s="261">
        <v>1</v>
      </c>
      <c r="O968" s="261">
        <v>1</v>
      </c>
      <c r="P968" s="261">
        <v>1</v>
      </c>
      <c r="Q968" s="261">
        <v>1</v>
      </c>
      <c r="R968" s="261"/>
      <c r="S968" s="261"/>
      <c r="T968" s="261"/>
      <c r="U968" s="261"/>
      <c r="V968" s="762"/>
      <c r="W968" s="762"/>
      <c r="X968" s="762"/>
      <c r="Y968" s="264">
        <f>IF(NFI_Expiration=1,IF($A968&lt;VLOOKUP(H$5,NFI,5,0),1,0)*Table_NFI[[#This Row],[Hygiene Kit]],Table_NFI[Hygiene Kit])</f>
        <v>0</v>
      </c>
      <c r="Z968" s="264">
        <f>IF(NFI_Expiration=1,IF($A968&lt;VLOOKUP(I$5,NFI,5,0),1,0)*Table_NFI[[#This Row],[NFI Core Kit]],Table_NFI[NFI Core Kit])</f>
        <v>0</v>
      </c>
      <c r="AA968" s="264">
        <f>IF(NFI_Expiration=1,IF($A968&lt;VLOOKUP(J$5,NFI,5,0),1,0)*Table_NFI[[#This Row],[Sanitary Kit]],Table_NFI[Sanitary Kit])</f>
        <v>0</v>
      </c>
      <c r="AB968" s="264">
        <f>IF(NFI_Expiration=1,IF($A968&lt;VLOOKUP(K$5,NFI,5,0),1,0)*Table_NFI[[#This Row],[Mosquito net]],Table_NFI[Mosquito net])</f>
        <v>0</v>
      </c>
      <c r="AC968" s="264">
        <f>IF(NFI_Expiration=1,IF($A968&lt;VLOOKUP(L$5,NFI,5,0),1,0)*Table_NFI[[#This Row],[Tarpaulin]],Table_NFI[[#This Row],[Tarpaulin]])</f>
        <v>0</v>
      </c>
      <c r="AD968" s="264">
        <f>IF(NFI_Expiration=1,IF($A968&lt;VLOOKUP(M$5,NFI,5,0),1,0)*Table_NFI[[#This Row],[Blanket]],Table_NFI[[#This Row],[Blanket]])</f>
        <v>0</v>
      </c>
      <c r="AE968" s="264">
        <f>IF(NFI_Expiration=1,IF($A968&lt;VLOOKUP(N$5,NFI,5,0),1,0)*Table_NFI[[#This Row],[Kitchen Set]],Table_NFI[Kitchen Set])</f>
        <v>0</v>
      </c>
      <c r="AF968" s="264">
        <f>IF(NFI_Expiration=1,IF($A968&lt;VLOOKUP(O$5,NFI,5,0),1,0)*Table_NFI[[#This Row],[Clothes Kit]],Table_NFI[Clothes Kit])</f>
        <v>0</v>
      </c>
      <c r="AG968" s="264">
        <f>IF(NFI_Expiration=1,IF($A968&lt;VLOOKUP(P$5,NFI,5,0),1,0)*Table_NFI[[#This Row],[Plastic Bucket]],Table_NFI[Plastic Bucket])</f>
        <v>0</v>
      </c>
      <c r="AH968" s="264">
        <f>IF(NFI_Expiration=1,IF($A968&lt;VLOOKUP(Q$5,NFI,5,0),1,0)*Table_NFI[[#This Row],[Plastic Mat]],Table_NFI[Plastic Mat])*IF(Table_NFI[[#This Row],[Distribution Date]]&gt;"2014-04-01",1,2.5)</f>
        <v>0</v>
      </c>
      <c r="AI968" s="264">
        <f>IF(NFI_Expiration=1,IF($A968&lt;VLOOKUP(R$5,NFI,5,0),1,0)*Table_NFI[[#This Row],[Winter Clothes Adult]],Table_NFI[Winter Clothes Adult])</f>
        <v>0</v>
      </c>
      <c r="AJ968" s="264">
        <f>IF(NFI_Expiration=1,IF($A968&lt;VLOOKUP(S$5,NFI,5,0),1,0)*Table_NFI[[#This Row],[Winter Clothes Children]],Table_NFI[Winter Clothes Children])</f>
        <v>0</v>
      </c>
      <c r="AK968" s="264">
        <f>IF(NFI_Expiration=1,IF($A968&lt;VLOOKUP(T$5,NFI,5,0),1,0)*Table_NFI[[#This Row],[Winter Items Other]],Table_NFI[Winter Items Other])</f>
        <v>0</v>
      </c>
      <c r="AL968" s="264">
        <f>IF(NFI_Expiration=1,IF($A968&lt;VLOOKUP(M$5,NFI,5,0),1,0)*Table_NFI[[#This Row],[Winter Blanket]],Table_NFI[[#This Row],[Winter Blanket]])</f>
        <v>0</v>
      </c>
      <c r="AM968" s="264">
        <f>IF(Table_NFI[[#This Row],[Winter Clothes Adult]]+Table_NFI[[#This Row],[Winter Clothes Children]]+Table_NFI[[#This Row],[Winter Items Other]]+Table_NFI[[#This Row],[Winter Blanket]]&gt;0,1,0)</f>
        <v>0</v>
      </c>
      <c r="AN968" s="296">
        <f>IF(NFI_Expiration=1,IF($A968&lt;VLOOKUP(V$5,NFI,5,0),1,0)*Table_NFI[[#This Row],[Jerry Can]],Table_NFI[Jerry Can])</f>
        <v>0</v>
      </c>
      <c r="AO968" s="296">
        <f>IF(NFI_Expiration=1,IF($A968&lt;VLOOKUP(V$5,NFI,5,0),1,0)*Table_NFI[[#This Row],[Shelter Tool kit]],Table_NFI[Shelter Tool kit])</f>
        <v>0</v>
      </c>
      <c r="AP968" s="296">
        <f>IF(NFI_Expiration=1,IF($A968&lt;VLOOKUP(V$5,NFI,5,0),1,0)*Table_NFI[[#This Row],[Tent]],Table_NFI[Tent])</f>
        <v>0</v>
      </c>
      <c r="AQ968" s="396" t="str">
        <f>IFERROR(VLOOKUP(Table_NFI[[#This Row],[Camp Name]],CL,2,0),"")</f>
        <v>MMR001CMP020</v>
      </c>
      <c r="AR968" s="702">
        <f ca="1">IF(Table_NFI[[#This Row],[Pcode]]="","",IF(OFFSET(CampList[Opening Date],MATCH(Table_NFI[[#This Row],[Pcode]],CampList[CP_Pcode],0)-1,0,1,1)&gt;=NFI_Monitor_Date,1,0))</f>
        <v>0</v>
      </c>
      <c r="AS968" s="396" t="str">
        <f>IFERROR(VLOOKUP(Table_NFI[[#This Row],[Camp Name]],CL,3,0),"")</f>
        <v>Open</v>
      </c>
      <c r="AT968" s="264" t="str">
        <f ca="1">IF(Table_NFI[[#This Row],[Pcode]]="","",OFFSET(CampList[Priority],MATCH(Table_NFI[[#This Row],[Pcode]],CampList[CP_Pcode],0)-1,0,1,1))</f>
        <v>P4</v>
      </c>
      <c r="AU968" s="263">
        <f>IFERROR(Table_NFI[[#This Row],[Kitchen Set]]/VLOOKUP(Table_NFI[[#This Row],[Camp Name]],CL,4,0),"")</f>
        <v>2.4499595756670014E-5</v>
      </c>
      <c r="AV968" s="390" t="s">
        <v>1087</v>
      </c>
      <c r="AW968" s="392"/>
      <c r="AX968" s="399"/>
      <c r="AY968" s="399"/>
      <c r="AZ968" s="399"/>
      <c r="BA968" s="399"/>
      <c r="BB968" s="399"/>
      <c r="BC968" s="399"/>
      <c r="BD968" s="399"/>
      <c r="BE968" s="399"/>
      <c r="BF968" s="399"/>
      <c r="BG968" s="399"/>
      <c r="BH968" s="399"/>
      <c r="BI968" s="399"/>
      <c r="BJ968" s="399"/>
      <c r="BK968" s="399"/>
      <c r="BL968" s="399"/>
      <c r="BM968" s="399"/>
      <c r="BN968" s="399"/>
      <c r="BO968" s="399"/>
      <c r="BP968" s="399"/>
      <c r="BQ968" s="399"/>
      <c r="BR968" s="399"/>
      <c r="BS968" s="399"/>
      <c r="BT968" s="399"/>
      <c r="BU968" s="399"/>
      <c r="BV968" s="399"/>
      <c r="BW968" s="399"/>
      <c r="BX968" s="399"/>
      <c r="BY968" s="399"/>
      <c r="BZ968" s="399"/>
      <c r="CA968" s="399"/>
      <c r="CB968" s="399"/>
      <c r="CC968" s="399"/>
      <c r="CD968" s="399"/>
      <c r="CE968" s="399"/>
      <c r="CF968" s="399"/>
      <c r="CG968" s="399"/>
      <c r="CH968" s="399"/>
      <c r="CI968" s="399"/>
      <c r="CJ968" s="399"/>
      <c r="CK968" s="399"/>
      <c r="CL968" s="399"/>
      <c r="CM968" s="399"/>
      <c r="CN968" s="399"/>
      <c r="CO968" s="399"/>
      <c r="CP968" s="399"/>
      <c r="CQ968" s="399"/>
      <c r="CR968" s="399"/>
      <c r="CS968" s="399"/>
      <c r="CT968" s="399"/>
      <c r="CU968" s="399"/>
      <c r="CV968" s="399"/>
      <c r="CW968" s="399"/>
      <c r="CX968" s="399"/>
      <c r="CY968" s="399"/>
      <c r="CZ968" s="399"/>
      <c r="DA968" s="399"/>
      <c r="DB968" s="399"/>
      <c r="DC968" s="399"/>
      <c r="DD968" s="399"/>
      <c r="DE968" s="399"/>
      <c r="DF968" s="399"/>
      <c r="DG968" s="399"/>
      <c r="DH968" s="399"/>
      <c r="DI968" s="399"/>
      <c r="DJ968" s="399"/>
      <c r="DK968" s="399"/>
      <c r="DL968" s="399"/>
      <c r="DM968" s="399"/>
      <c r="DN968" s="399"/>
      <c r="DO968" s="399"/>
      <c r="DP968" s="399"/>
      <c r="DQ968" s="399"/>
    </row>
    <row r="969" spans="1:121" s="760" customFormat="1" ht="15" customHeight="1" x14ac:dyDescent="0.25">
      <c r="A969" s="266">
        <f t="shared" si="15"/>
        <v>57.533333333333331</v>
      </c>
      <c r="B969" s="389">
        <v>41130</v>
      </c>
      <c r="C969" s="390" t="s">
        <v>451</v>
      </c>
      <c r="D969" s="390" t="s">
        <v>451</v>
      </c>
      <c r="E969" s="390" t="s">
        <v>380</v>
      </c>
      <c r="F969" s="262" t="s">
        <v>237</v>
      </c>
      <c r="G969" s="262" t="s">
        <v>265</v>
      </c>
      <c r="H969" s="261"/>
      <c r="I969" s="261"/>
      <c r="J969" s="261"/>
      <c r="K969" s="261">
        <v>10</v>
      </c>
      <c r="L969" s="261">
        <v>5</v>
      </c>
      <c r="M969" s="261">
        <v>10</v>
      </c>
      <c r="N969" s="261">
        <v>5</v>
      </c>
      <c r="O969" s="261">
        <v>5</v>
      </c>
      <c r="P969" s="261">
        <v>5</v>
      </c>
      <c r="Q969" s="261">
        <v>5</v>
      </c>
      <c r="R969" s="261"/>
      <c r="S969" s="261"/>
      <c r="T969" s="261"/>
      <c r="U969" s="261"/>
      <c r="V969" s="762"/>
      <c r="W969" s="762"/>
      <c r="X969" s="762"/>
      <c r="Y969" s="264">
        <f>IF(NFI_Expiration=1,IF($A969&lt;VLOOKUP(H$5,NFI,5,0),1,0)*Table_NFI[[#This Row],[Hygiene Kit]],Table_NFI[Hygiene Kit])</f>
        <v>0</v>
      </c>
      <c r="Z969" s="264">
        <f>IF(NFI_Expiration=1,IF($A969&lt;VLOOKUP(I$5,NFI,5,0),1,0)*Table_NFI[[#This Row],[NFI Core Kit]],Table_NFI[NFI Core Kit])</f>
        <v>0</v>
      </c>
      <c r="AA969" s="264">
        <f>IF(NFI_Expiration=1,IF($A969&lt;VLOOKUP(J$5,NFI,5,0),1,0)*Table_NFI[[#This Row],[Sanitary Kit]],Table_NFI[Sanitary Kit])</f>
        <v>0</v>
      </c>
      <c r="AB969" s="264">
        <f>IF(NFI_Expiration=1,IF($A969&lt;VLOOKUP(K$5,NFI,5,0),1,0)*Table_NFI[[#This Row],[Mosquito net]],Table_NFI[Mosquito net])</f>
        <v>0</v>
      </c>
      <c r="AC969" s="264">
        <f>IF(NFI_Expiration=1,IF($A969&lt;VLOOKUP(L$5,NFI,5,0),1,0)*Table_NFI[[#This Row],[Tarpaulin]],Table_NFI[[#This Row],[Tarpaulin]])</f>
        <v>0</v>
      </c>
      <c r="AD969" s="264">
        <f>IF(NFI_Expiration=1,IF($A969&lt;VLOOKUP(M$5,NFI,5,0),1,0)*Table_NFI[[#This Row],[Blanket]],Table_NFI[[#This Row],[Blanket]])</f>
        <v>0</v>
      </c>
      <c r="AE969" s="264">
        <f>IF(NFI_Expiration=1,IF($A969&lt;VLOOKUP(N$5,NFI,5,0),1,0)*Table_NFI[[#This Row],[Kitchen Set]],Table_NFI[Kitchen Set])</f>
        <v>0</v>
      </c>
      <c r="AF969" s="264">
        <f>IF(NFI_Expiration=1,IF($A969&lt;VLOOKUP(O$5,NFI,5,0),1,0)*Table_NFI[[#This Row],[Clothes Kit]],Table_NFI[Clothes Kit])</f>
        <v>0</v>
      </c>
      <c r="AG969" s="264">
        <f>IF(NFI_Expiration=1,IF($A969&lt;VLOOKUP(P$5,NFI,5,0),1,0)*Table_NFI[[#This Row],[Plastic Bucket]],Table_NFI[Plastic Bucket])</f>
        <v>0</v>
      </c>
      <c r="AH969" s="264">
        <f>IF(NFI_Expiration=1,IF($A969&lt;VLOOKUP(Q$5,NFI,5,0),1,0)*Table_NFI[[#This Row],[Plastic Mat]],Table_NFI[Plastic Mat])*IF(Table_NFI[[#This Row],[Distribution Date]]&gt;"2014-04-01",1,2.5)</f>
        <v>0</v>
      </c>
      <c r="AI969" s="264">
        <f>IF(NFI_Expiration=1,IF($A969&lt;VLOOKUP(R$5,NFI,5,0),1,0)*Table_NFI[[#This Row],[Winter Clothes Adult]],Table_NFI[Winter Clothes Adult])</f>
        <v>0</v>
      </c>
      <c r="AJ969" s="264">
        <f>IF(NFI_Expiration=1,IF($A969&lt;VLOOKUP(S$5,NFI,5,0),1,0)*Table_NFI[[#This Row],[Winter Clothes Children]],Table_NFI[Winter Clothes Children])</f>
        <v>0</v>
      </c>
      <c r="AK969" s="264">
        <f>IF(NFI_Expiration=1,IF($A969&lt;VLOOKUP(T$5,NFI,5,0),1,0)*Table_NFI[[#This Row],[Winter Items Other]],Table_NFI[Winter Items Other])</f>
        <v>0</v>
      </c>
      <c r="AL969" s="264">
        <f>IF(NFI_Expiration=1,IF($A969&lt;VLOOKUP(M$5,NFI,5,0),1,0)*Table_NFI[[#This Row],[Winter Blanket]],Table_NFI[[#This Row],[Winter Blanket]])</f>
        <v>0</v>
      </c>
      <c r="AM969" s="264">
        <f>IF(Table_NFI[[#This Row],[Winter Clothes Adult]]+Table_NFI[[#This Row],[Winter Clothes Children]]+Table_NFI[[#This Row],[Winter Items Other]]+Table_NFI[[#This Row],[Winter Blanket]]&gt;0,1,0)</f>
        <v>0</v>
      </c>
      <c r="AN969" s="296">
        <f>IF(NFI_Expiration=1,IF($A969&lt;VLOOKUP(V$5,NFI,5,0),1,0)*Table_NFI[[#This Row],[Jerry Can]],Table_NFI[Jerry Can])</f>
        <v>0</v>
      </c>
      <c r="AO969" s="296">
        <f>IF(NFI_Expiration=1,IF($A969&lt;VLOOKUP(V$5,NFI,5,0),1,0)*Table_NFI[[#This Row],[Shelter Tool kit]],Table_NFI[Shelter Tool kit])</f>
        <v>0</v>
      </c>
      <c r="AP969" s="296">
        <f>IF(NFI_Expiration=1,IF($A969&lt;VLOOKUP(V$5,NFI,5,0),1,0)*Table_NFI[[#This Row],[Tent]],Table_NFI[Tent])</f>
        <v>0</v>
      </c>
      <c r="AQ969" s="396" t="str">
        <f>IFERROR(VLOOKUP(Table_NFI[[#This Row],[Camp Name]],CL,2,0),"")</f>
        <v>MMR001CMP021</v>
      </c>
      <c r="AR969" s="702">
        <f ca="1">IF(Table_NFI[[#This Row],[Pcode]]="","",IF(OFFSET(CampList[Opening Date],MATCH(Table_NFI[[#This Row],[Pcode]],CampList[CP_Pcode],0)-1,0,1,1)&gt;=NFI_Monitor_Date,1,0))</f>
        <v>0</v>
      </c>
      <c r="AS969" s="396" t="str">
        <f>IFERROR(VLOOKUP(Table_NFI[[#This Row],[Camp Name]],CL,3,0),"")</f>
        <v>Open</v>
      </c>
      <c r="AT969" s="264" t="str">
        <f ca="1">IF(Table_NFI[[#This Row],[Pcode]]="","",OFFSET(CampList[Priority],MATCH(Table_NFI[[#This Row],[Pcode]],CampList[CP_Pcode],0)-1,0,1,1))</f>
        <v>P4</v>
      </c>
      <c r="AU969" s="263">
        <f>IFERROR(Table_NFI[[#This Row],[Kitchen Set]]/VLOOKUP(Table_NFI[[#This Row],[Camp Name]],CL,4,0),"")</f>
        <v>1.2249797878335008E-4</v>
      </c>
      <c r="AV969" s="390" t="s">
        <v>1087</v>
      </c>
      <c r="AW969" s="392"/>
      <c r="AX969" s="399"/>
      <c r="AY969" s="399"/>
      <c r="AZ969" s="399"/>
      <c r="BA969" s="399"/>
      <c r="BB969" s="399"/>
      <c r="BC969" s="399"/>
      <c r="BD969" s="399"/>
      <c r="BE969" s="399"/>
      <c r="BF969" s="399"/>
      <c r="BG969" s="399"/>
      <c r="BH969" s="399"/>
      <c r="BI969" s="399"/>
      <c r="BJ969" s="399"/>
      <c r="BK969" s="399"/>
      <c r="BL969" s="399"/>
      <c r="BM969" s="399"/>
      <c r="BN969" s="399"/>
      <c r="BO969" s="399"/>
      <c r="BP969" s="399"/>
      <c r="BQ969" s="399"/>
      <c r="BR969" s="399"/>
      <c r="BS969" s="399"/>
      <c r="BT969" s="399"/>
      <c r="BU969" s="399"/>
      <c r="BV969" s="399"/>
      <c r="BW969" s="399"/>
      <c r="BX969" s="399"/>
      <c r="BY969" s="399"/>
      <c r="BZ969" s="399"/>
      <c r="CA969" s="399"/>
      <c r="CB969" s="399"/>
      <c r="CC969" s="399"/>
      <c r="CD969" s="399"/>
      <c r="CE969" s="399"/>
      <c r="CF969" s="399"/>
      <c r="CG969" s="399"/>
      <c r="CH969" s="399"/>
      <c r="CI969" s="399"/>
      <c r="CJ969" s="399"/>
      <c r="CK969" s="399"/>
      <c r="CL969" s="399"/>
      <c r="CM969" s="399"/>
      <c r="CN969" s="399"/>
      <c r="CO969" s="399"/>
      <c r="CP969" s="399"/>
      <c r="CQ969" s="399"/>
      <c r="CR969" s="399"/>
      <c r="CS969" s="399"/>
      <c r="CT969" s="399"/>
      <c r="CU969" s="399"/>
      <c r="CV969" s="399"/>
      <c r="CW969" s="399"/>
      <c r="CX969" s="399"/>
      <c r="CY969" s="399"/>
      <c r="CZ969" s="399"/>
      <c r="DA969" s="399"/>
      <c r="DB969" s="399"/>
      <c r="DC969" s="399"/>
      <c r="DD969" s="399"/>
      <c r="DE969" s="399"/>
      <c r="DF969" s="399"/>
      <c r="DG969" s="399"/>
      <c r="DH969" s="399"/>
      <c r="DI969" s="399"/>
      <c r="DJ969" s="399"/>
      <c r="DK969" s="399"/>
      <c r="DL969" s="399"/>
      <c r="DM969" s="399"/>
      <c r="DN969" s="399"/>
      <c r="DO969" s="399"/>
      <c r="DP969" s="399"/>
      <c r="DQ969" s="399"/>
    </row>
    <row r="970" spans="1:121" s="760" customFormat="1" ht="15" customHeight="1" x14ac:dyDescent="0.25">
      <c r="A970" s="266">
        <f t="shared" si="15"/>
        <v>57.533333333333331</v>
      </c>
      <c r="B970" s="389">
        <v>41130</v>
      </c>
      <c r="C970" s="390" t="s">
        <v>451</v>
      </c>
      <c r="D970" s="391" t="s">
        <v>451</v>
      </c>
      <c r="E970" s="390" t="s">
        <v>380</v>
      </c>
      <c r="F970" s="262" t="s">
        <v>237</v>
      </c>
      <c r="G970" s="262" t="s">
        <v>271</v>
      </c>
      <c r="H970" s="261"/>
      <c r="I970" s="261"/>
      <c r="J970" s="261"/>
      <c r="K970" s="261">
        <v>42</v>
      </c>
      <c r="L970" s="261">
        <v>20</v>
      </c>
      <c r="M970" s="261">
        <v>42</v>
      </c>
      <c r="N970" s="261">
        <v>20</v>
      </c>
      <c r="O970" s="261">
        <v>20</v>
      </c>
      <c r="P970" s="261">
        <v>20</v>
      </c>
      <c r="Q970" s="261">
        <v>20</v>
      </c>
      <c r="R970" s="261"/>
      <c r="S970" s="261"/>
      <c r="T970" s="261"/>
      <c r="U970" s="261"/>
      <c r="V970" s="762"/>
      <c r="W970" s="762"/>
      <c r="X970" s="762"/>
      <c r="Y970" s="264">
        <f>IF(NFI_Expiration=1,IF($A970&lt;VLOOKUP(H$5,NFI,5,0),1,0)*Table_NFI[[#This Row],[Hygiene Kit]],Table_NFI[Hygiene Kit])</f>
        <v>0</v>
      </c>
      <c r="Z970" s="264">
        <f>IF(NFI_Expiration=1,IF($A970&lt;VLOOKUP(I$5,NFI,5,0),1,0)*Table_NFI[[#This Row],[NFI Core Kit]],Table_NFI[NFI Core Kit])</f>
        <v>0</v>
      </c>
      <c r="AA970" s="264">
        <f>IF(NFI_Expiration=1,IF($A970&lt;VLOOKUP(J$5,NFI,5,0),1,0)*Table_NFI[[#This Row],[Sanitary Kit]],Table_NFI[Sanitary Kit])</f>
        <v>0</v>
      </c>
      <c r="AB970" s="264">
        <f>IF(NFI_Expiration=1,IF($A970&lt;VLOOKUP(K$5,NFI,5,0),1,0)*Table_NFI[[#This Row],[Mosquito net]],Table_NFI[Mosquito net])</f>
        <v>0</v>
      </c>
      <c r="AC970" s="264">
        <f>IF(NFI_Expiration=1,IF($A970&lt;VLOOKUP(L$5,NFI,5,0),1,0)*Table_NFI[[#This Row],[Tarpaulin]],Table_NFI[[#This Row],[Tarpaulin]])</f>
        <v>0</v>
      </c>
      <c r="AD970" s="264">
        <f>IF(NFI_Expiration=1,IF($A970&lt;VLOOKUP(M$5,NFI,5,0),1,0)*Table_NFI[[#This Row],[Blanket]],Table_NFI[[#This Row],[Blanket]])</f>
        <v>0</v>
      </c>
      <c r="AE970" s="264">
        <f>IF(NFI_Expiration=1,IF($A970&lt;VLOOKUP(N$5,NFI,5,0),1,0)*Table_NFI[[#This Row],[Kitchen Set]],Table_NFI[Kitchen Set])</f>
        <v>0</v>
      </c>
      <c r="AF970" s="264">
        <f>IF(NFI_Expiration=1,IF($A970&lt;VLOOKUP(O$5,NFI,5,0),1,0)*Table_NFI[[#This Row],[Clothes Kit]],Table_NFI[Clothes Kit])</f>
        <v>0</v>
      </c>
      <c r="AG970" s="264">
        <f>IF(NFI_Expiration=1,IF($A970&lt;VLOOKUP(P$5,NFI,5,0),1,0)*Table_NFI[[#This Row],[Plastic Bucket]],Table_NFI[Plastic Bucket])</f>
        <v>0</v>
      </c>
      <c r="AH970" s="264">
        <f>IF(NFI_Expiration=1,IF($A970&lt;VLOOKUP(Q$5,NFI,5,0),1,0)*Table_NFI[[#This Row],[Plastic Mat]],Table_NFI[Plastic Mat])*IF(Table_NFI[[#This Row],[Distribution Date]]&gt;"2014-04-01",1,2.5)</f>
        <v>0</v>
      </c>
      <c r="AI970" s="264">
        <f>IF(NFI_Expiration=1,IF($A970&lt;VLOOKUP(R$5,NFI,5,0),1,0)*Table_NFI[[#This Row],[Winter Clothes Adult]],Table_NFI[Winter Clothes Adult])</f>
        <v>0</v>
      </c>
      <c r="AJ970" s="264">
        <f>IF(NFI_Expiration=1,IF($A970&lt;VLOOKUP(S$5,NFI,5,0),1,0)*Table_NFI[[#This Row],[Winter Clothes Children]],Table_NFI[Winter Clothes Children])</f>
        <v>0</v>
      </c>
      <c r="AK970" s="264">
        <f>IF(NFI_Expiration=1,IF($A970&lt;VLOOKUP(T$5,NFI,5,0),1,0)*Table_NFI[[#This Row],[Winter Items Other]],Table_NFI[Winter Items Other])</f>
        <v>0</v>
      </c>
      <c r="AL970" s="264">
        <f>IF(NFI_Expiration=1,IF($A970&lt;VLOOKUP(M$5,NFI,5,0),1,0)*Table_NFI[[#This Row],[Winter Blanket]],Table_NFI[[#This Row],[Winter Blanket]])</f>
        <v>0</v>
      </c>
      <c r="AM970" s="264">
        <f>IF(Table_NFI[[#This Row],[Winter Clothes Adult]]+Table_NFI[[#This Row],[Winter Clothes Children]]+Table_NFI[[#This Row],[Winter Items Other]]+Table_NFI[[#This Row],[Winter Blanket]]&gt;0,1,0)</f>
        <v>0</v>
      </c>
      <c r="AN970" s="296">
        <f>IF(NFI_Expiration=1,IF($A970&lt;VLOOKUP(V$5,NFI,5,0),1,0)*Table_NFI[[#This Row],[Jerry Can]],Table_NFI[Jerry Can])</f>
        <v>0</v>
      </c>
      <c r="AO970" s="296">
        <f>IF(NFI_Expiration=1,IF($A970&lt;VLOOKUP(V$5,NFI,5,0),1,0)*Table_NFI[[#This Row],[Shelter Tool kit]],Table_NFI[Shelter Tool kit])</f>
        <v>0</v>
      </c>
      <c r="AP970" s="296">
        <f>IF(NFI_Expiration=1,IF($A970&lt;VLOOKUP(V$5,NFI,5,0),1,0)*Table_NFI[[#This Row],[Tent]],Table_NFI[Tent])</f>
        <v>0</v>
      </c>
      <c r="AQ970" s="396" t="str">
        <f>IFERROR(VLOOKUP(Table_NFI[[#This Row],[Camp Name]],CL,2,0),"")</f>
        <v>MMR001CMP024</v>
      </c>
      <c r="AR970" s="702">
        <f ca="1">IF(Table_NFI[[#This Row],[Pcode]]="","",IF(OFFSET(CampList[Opening Date],MATCH(Table_NFI[[#This Row],[Pcode]],CampList[CP_Pcode],0)-1,0,1,1)&gt;=NFI_Monitor_Date,1,0))</f>
        <v>0</v>
      </c>
      <c r="AS970" s="396" t="str">
        <f>IFERROR(VLOOKUP(Table_NFI[[#This Row],[Camp Name]],CL,3,0),"")</f>
        <v>Open</v>
      </c>
      <c r="AT970" s="264" t="str">
        <f ca="1">IF(Table_NFI[[#This Row],[Pcode]]="","",OFFSET(CampList[Priority],MATCH(Table_NFI[[#This Row],[Pcode]],CampList[CP_Pcode],0)-1,0,1,1))</f>
        <v>P4</v>
      </c>
      <c r="AU970" s="263">
        <f>IFERROR(Table_NFI[[#This Row],[Kitchen Set]]/VLOOKUP(Table_NFI[[#This Row],[Camp Name]],CL,4,0),"")</f>
        <v>4.8888997531105626E-4</v>
      </c>
      <c r="AV970" s="390" t="s">
        <v>1087</v>
      </c>
      <c r="AW970" s="392"/>
      <c r="AX970" s="399"/>
      <c r="AY970" s="399"/>
      <c r="AZ970" s="399"/>
      <c r="BA970" s="399"/>
      <c r="BB970" s="399"/>
      <c r="BC970" s="399"/>
      <c r="BD970" s="399"/>
      <c r="BE970" s="399"/>
      <c r="BF970" s="399"/>
      <c r="BG970" s="399"/>
      <c r="BH970" s="399"/>
      <c r="BI970" s="399"/>
      <c r="BJ970" s="399"/>
      <c r="BK970" s="399"/>
      <c r="BL970" s="399"/>
      <c r="BM970" s="399"/>
      <c r="BN970" s="399"/>
      <c r="BO970" s="399"/>
      <c r="BP970" s="399"/>
      <c r="BQ970" s="399"/>
      <c r="BR970" s="399"/>
      <c r="BS970" s="399"/>
      <c r="BT970" s="399"/>
      <c r="BU970" s="399"/>
      <c r="BV970" s="399"/>
      <c r="BW970" s="399"/>
      <c r="BX970" s="399"/>
      <c r="BY970" s="399"/>
      <c r="BZ970" s="399"/>
      <c r="CA970" s="399"/>
      <c r="CB970" s="399"/>
      <c r="CC970" s="399"/>
      <c r="CD970" s="399"/>
      <c r="CE970" s="399"/>
      <c r="CF970" s="399"/>
      <c r="CG970" s="399"/>
      <c r="CH970" s="399"/>
      <c r="CI970" s="399"/>
      <c r="CJ970" s="399"/>
      <c r="CK970" s="399"/>
      <c r="CL970" s="399"/>
      <c r="CM970" s="399"/>
      <c r="CN970" s="399"/>
      <c r="CO970" s="399"/>
      <c r="CP970" s="399"/>
      <c r="CQ970" s="399"/>
      <c r="CR970" s="399"/>
      <c r="CS970" s="399"/>
      <c r="CT970" s="399"/>
      <c r="CU970" s="399"/>
      <c r="CV970" s="399"/>
      <c r="CW970" s="399"/>
      <c r="CX970" s="399"/>
      <c r="CY970" s="399"/>
      <c r="CZ970" s="399"/>
      <c r="DA970" s="399"/>
      <c r="DB970" s="399"/>
      <c r="DC970" s="399"/>
      <c r="DD970" s="399"/>
      <c r="DE970" s="399"/>
      <c r="DF970" s="399"/>
      <c r="DG970" s="399"/>
      <c r="DH970" s="399"/>
      <c r="DI970" s="399"/>
      <c r="DJ970" s="399"/>
      <c r="DK970" s="399"/>
      <c r="DL970" s="399"/>
      <c r="DM970" s="399"/>
      <c r="DN970" s="399"/>
      <c r="DO970" s="399"/>
      <c r="DP970" s="399"/>
      <c r="DQ970" s="399"/>
    </row>
    <row r="971" spans="1:121" s="760" customFormat="1" ht="15" customHeight="1" x14ac:dyDescent="0.25">
      <c r="A971" s="266">
        <f t="shared" si="15"/>
        <v>57.533333333333331</v>
      </c>
      <c r="B971" s="389">
        <v>41130</v>
      </c>
      <c r="C971" s="390" t="s">
        <v>451</v>
      </c>
      <c r="D971" s="390" t="s">
        <v>451</v>
      </c>
      <c r="E971" s="390" t="s">
        <v>380</v>
      </c>
      <c r="F971" s="262" t="s">
        <v>237</v>
      </c>
      <c r="G971" s="262" t="s">
        <v>283</v>
      </c>
      <c r="H971" s="261"/>
      <c r="I971" s="261"/>
      <c r="J971" s="261"/>
      <c r="K971" s="261">
        <v>10</v>
      </c>
      <c r="L971" s="261">
        <v>5</v>
      </c>
      <c r="M971" s="261">
        <v>10</v>
      </c>
      <c r="N971" s="261">
        <v>5</v>
      </c>
      <c r="O971" s="261">
        <v>5</v>
      </c>
      <c r="P971" s="261">
        <v>5</v>
      </c>
      <c r="Q971" s="261">
        <v>5</v>
      </c>
      <c r="R971" s="261"/>
      <c r="S971" s="261"/>
      <c r="T971" s="261"/>
      <c r="U971" s="261"/>
      <c r="V971" s="762"/>
      <c r="W971" s="762"/>
      <c r="X971" s="762"/>
      <c r="Y971" s="264">
        <f>IF(NFI_Expiration=1,IF($A971&lt;VLOOKUP(H$5,NFI,5,0),1,0)*Table_NFI[[#This Row],[Hygiene Kit]],Table_NFI[Hygiene Kit])</f>
        <v>0</v>
      </c>
      <c r="Z971" s="264">
        <f>IF(NFI_Expiration=1,IF($A971&lt;VLOOKUP(I$5,NFI,5,0),1,0)*Table_NFI[[#This Row],[NFI Core Kit]],Table_NFI[NFI Core Kit])</f>
        <v>0</v>
      </c>
      <c r="AA971" s="264">
        <f>IF(NFI_Expiration=1,IF($A971&lt;VLOOKUP(J$5,NFI,5,0),1,0)*Table_NFI[[#This Row],[Sanitary Kit]],Table_NFI[Sanitary Kit])</f>
        <v>0</v>
      </c>
      <c r="AB971" s="264">
        <f>IF(NFI_Expiration=1,IF($A971&lt;VLOOKUP(K$5,NFI,5,0),1,0)*Table_NFI[[#This Row],[Mosquito net]],Table_NFI[Mosquito net])</f>
        <v>0</v>
      </c>
      <c r="AC971" s="264">
        <f>IF(NFI_Expiration=1,IF($A971&lt;VLOOKUP(L$5,NFI,5,0),1,0)*Table_NFI[[#This Row],[Tarpaulin]],Table_NFI[[#This Row],[Tarpaulin]])</f>
        <v>0</v>
      </c>
      <c r="AD971" s="264">
        <f>IF(NFI_Expiration=1,IF($A971&lt;VLOOKUP(M$5,NFI,5,0),1,0)*Table_NFI[[#This Row],[Blanket]],Table_NFI[[#This Row],[Blanket]])</f>
        <v>0</v>
      </c>
      <c r="AE971" s="264">
        <f>IF(NFI_Expiration=1,IF($A971&lt;VLOOKUP(N$5,NFI,5,0),1,0)*Table_NFI[[#This Row],[Kitchen Set]],Table_NFI[Kitchen Set])</f>
        <v>0</v>
      </c>
      <c r="AF971" s="264">
        <f>IF(NFI_Expiration=1,IF($A971&lt;VLOOKUP(O$5,NFI,5,0),1,0)*Table_NFI[[#This Row],[Clothes Kit]],Table_NFI[Clothes Kit])</f>
        <v>0</v>
      </c>
      <c r="AG971" s="264">
        <f>IF(NFI_Expiration=1,IF($A971&lt;VLOOKUP(P$5,NFI,5,0),1,0)*Table_NFI[[#This Row],[Plastic Bucket]],Table_NFI[Plastic Bucket])</f>
        <v>0</v>
      </c>
      <c r="AH971" s="264">
        <f>IF(NFI_Expiration=1,IF($A971&lt;VLOOKUP(Q$5,NFI,5,0),1,0)*Table_NFI[[#This Row],[Plastic Mat]],Table_NFI[Plastic Mat])*IF(Table_NFI[[#This Row],[Distribution Date]]&gt;"2014-04-01",1,2.5)</f>
        <v>0</v>
      </c>
      <c r="AI971" s="264">
        <f>IF(NFI_Expiration=1,IF($A971&lt;VLOOKUP(R$5,NFI,5,0),1,0)*Table_NFI[[#This Row],[Winter Clothes Adult]],Table_NFI[Winter Clothes Adult])</f>
        <v>0</v>
      </c>
      <c r="AJ971" s="264">
        <f>IF(NFI_Expiration=1,IF($A971&lt;VLOOKUP(S$5,NFI,5,0),1,0)*Table_NFI[[#This Row],[Winter Clothes Children]],Table_NFI[Winter Clothes Children])</f>
        <v>0</v>
      </c>
      <c r="AK971" s="264">
        <f>IF(NFI_Expiration=1,IF($A971&lt;VLOOKUP(T$5,NFI,5,0),1,0)*Table_NFI[[#This Row],[Winter Items Other]],Table_NFI[Winter Items Other])</f>
        <v>0</v>
      </c>
      <c r="AL971" s="264">
        <f>IF(NFI_Expiration=1,IF($A971&lt;VLOOKUP(M$5,NFI,5,0),1,0)*Table_NFI[[#This Row],[Winter Blanket]],Table_NFI[[#This Row],[Winter Blanket]])</f>
        <v>0</v>
      </c>
      <c r="AM971" s="264">
        <f>IF(Table_NFI[[#This Row],[Winter Clothes Adult]]+Table_NFI[[#This Row],[Winter Clothes Children]]+Table_NFI[[#This Row],[Winter Items Other]]+Table_NFI[[#This Row],[Winter Blanket]]&gt;0,1,0)</f>
        <v>0</v>
      </c>
      <c r="AN971" s="296">
        <f>IF(NFI_Expiration=1,IF($A971&lt;VLOOKUP(V$5,NFI,5,0),1,0)*Table_NFI[[#This Row],[Jerry Can]],Table_NFI[Jerry Can])</f>
        <v>0</v>
      </c>
      <c r="AO971" s="296">
        <f>IF(NFI_Expiration=1,IF($A971&lt;VLOOKUP(V$5,NFI,5,0),1,0)*Table_NFI[[#This Row],[Shelter Tool kit]],Table_NFI[Shelter Tool kit])</f>
        <v>0</v>
      </c>
      <c r="AP971" s="296">
        <f>IF(NFI_Expiration=1,IF($A971&lt;VLOOKUP(V$5,NFI,5,0),1,0)*Table_NFI[[#This Row],[Tent]],Table_NFI[Tent])</f>
        <v>0</v>
      </c>
      <c r="AQ971" s="396" t="str">
        <f>IFERROR(VLOOKUP(Table_NFI[[#This Row],[Camp Name]],CL,2,0),"")</f>
        <v>MMR001CMP022</v>
      </c>
      <c r="AR971" s="702">
        <f ca="1">IF(Table_NFI[[#This Row],[Pcode]]="","",IF(OFFSET(CampList[Opening Date],MATCH(Table_NFI[[#This Row],[Pcode]],CampList[CP_Pcode],0)-1,0,1,1)&gt;=NFI_Monitor_Date,1,0))</f>
        <v>0</v>
      </c>
      <c r="AS971" s="396" t="str">
        <f>IFERROR(VLOOKUP(Table_NFI[[#This Row],[Camp Name]],CL,3,0),"")</f>
        <v>Open</v>
      </c>
      <c r="AT971" s="264" t="str">
        <f ca="1">IF(Table_NFI[[#This Row],[Pcode]]="","",OFFSET(CampList[Priority],MATCH(Table_NFI[[#This Row],[Pcode]],CampList[CP_Pcode],0)-1,0,1,1))</f>
        <v>P4</v>
      </c>
      <c r="AU971" s="263">
        <f>IFERROR(Table_NFI[[#This Row],[Kitchen Set]]/VLOOKUP(Table_NFI[[#This Row],[Camp Name]],CL,4,0),"")</f>
        <v>1.2195121951219512E-4</v>
      </c>
      <c r="AV971" s="390" t="s">
        <v>1087</v>
      </c>
      <c r="AW971" s="392"/>
      <c r="AX971" s="399"/>
      <c r="AY971" s="399"/>
      <c r="AZ971" s="399"/>
      <c r="BA971" s="399"/>
      <c r="BB971" s="399"/>
      <c r="BC971" s="399"/>
      <c r="BD971" s="399"/>
      <c r="BE971" s="399"/>
      <c r="BF971" s="399"/>
      <c r="BG971" s="399"/>
      <c r="BH971" s="399"/>
      <c r="BI971" s="399"/>
      <c r="BJ971" s="399"/>
      <c r="BK971" s="399"/>
      <c r="BL971" s="399"/>
      <c r="BM971" s="399"/>
      <c r="BN971" s="399"/>
      <c r="BO971" s="399"/>
      <c r="BP971" s="399"/>
      <c r="BQ971" s="399"/>
      <c r="BR971" s="399"/>
      <c r="BS971" s="399"/>
      <c r="BT971" s="399"/>
      <c r="BU971" s="399"/>
      <c r="BV971" s="399"/>
      <c r="BW971" s="399"/>
      <c r="BX971" s="399"/>
      <c r="BY971" s="399"/>
      <c r="BZ971" s="399"/>
      <c r="CA971" s="399"/>
      <c r="CB971" s="399"/>
      <c r="CC971" s="399"/>
      <c r="CD971" s="399"/>
      <c r="CE971" s="399"/>
      <c r="CF971" s="399"/>
      <c r="CG971" s="399"/>
      <c r="CH971" s="399"/>
      <c r="CI971" s="399"/>
      <c r="CJ971" s="399"/>
      <c r="CK971" s="399"/>
      <c r="CL971" s="399"/>
      <c r="CM971" s="399"/>
      <c r="CN971" s="399"/>
      <c r="CO971" s="399"/>
      <c r="CP971" s="399"/>
      <c r="CQ971" s="399"/>
      <c r="CR971" s="399"/>
      <c r="CS971" s="399"/>
      <c r="CT971" s="399"/>
      <c r="CU971" s="399"/>
      <c r="CV971" s="399"/>
      <c r="CW971" s="399"/>
      <c r="CX971" s="399"/>
      <c r="CY971" s="399"/>
      <c r="CZ971" s="399"/>
      <c r="DA971" s="399"/>
      <c r="DB971" s="399"/>
      <c r="DC971" s="399"/>
      <c r="DD971" s="399"/>
      <c r="DE971" s="399"/>
      <c r="DF971" s="399"/>
      <c r="DG971" s="399"/>
      <c r="DH971" s="399"/>
      <c r="DI971" s="399"/>
      <c r="DJ971" s="399"/>
      <c r="DK971" s="399"/>
      <c r="DL971" s="399"/>
      <c r="DM971" s="399"/>
      <c r="DN971" s="399"/>
      <c r="DO971" s="399"/>
      <c r="DP971" s="399"/>
      <c r="DQ971" s="399"/>
    </row>
    <row r="972" spans="1:121" s="760" customFormat="1" ht="15" customHeight="1" x14ac:dyDescent="0.25">
      <c r="A972" s="266">
        <f t="shared" si="15"/>
        <v>57.6</v>
      </c>
      <c r="B972" s="389">
        <v>41128</v>
      </c>
      <c r="C972" s="390" t="s">
        <v>451</v>
      </c>
      <c r="D972" s="391" t="s">
        <v>572</v>
      </c>
      <c r="E972" s="390" t="s">
        <v>380</v>
      </c>
      <c r="F972" s="262" t="s">
        <v>151</v>
      </c>
      <c r="G972" s="262" t="s">
        <v>152</v>
      </c>
      <c r="H972" s="261"/>
      <c r="I972" s="261"/>
      <c r="J972" s="261"/>
      <c r="K972" s="261">
        <v>0</v>
      </c>
      <c r="L972" s="261">
        <v>73</v>
      </c>
      <c r="M972" s="261">
        <v>0</v>
      </c>
      <c r="N972" s="261">
        <v>73</v>
      </c>
      <c r="O972" s="261">
        <v>73</v>
      </c>
      <c r="P972" s="261">
        <v>73</v>
      </c>
      <c r="Q972" s="261">
        <v>73</v>
      </c>
      <c r="R972" s="261"/>
      <c r="S972" s="261"/>
      <c r="T972" s="261"/>
      <c r="U972" s="261"/>
      <c r="V972" s="762"/>
      <c r="W972" s="261"/>
      <c r="X972" s="261"/>
      <c r="Y972" s="264">
        <f>IF(NFI_Expiration=1,IF($A972&lt;VLOOKUP(H$5,NFI,5,0),1,0)*Table_NFI[[#This Row],[Hygiene Kit]],Table_NFI[Hygiene Kit])</f>
        <v>0</v>
      </c>
      <c r="Z972" s="264">
        <f>IF(NFI_Expiration=1,IF($A972&lt;VLOOKUP(I$5,NFI,5,0),1,0)*Table_NFI[[#This Row],[NFI Core Kit]],Table_NFI[NFI Core Kit])</f>
        <v>0</v>
      </c>
      <c r="AA972" s="264">
        <f>IF(NFI_Expiration=1,IF($A972&lt;VLOOKUP(J$5,NFI,5,0),1,0)*Table_NFI[[#This Row],[Sanitary Kit]],Table_NFI[Sanitary Kit])</f>
        <v>0</v>
      </c>
      <c r="AB972" s="264">
        <f>IF(NFI_Expiration=1,IF($A972&lt;VLOOKUP(K$5,NFI,5,0),1,0)*Table_NFI[[#This Row],[Mosquito net]],Table_NFI[Mosquito net])</f>
        <v>0</v>
      </c>
      <c r="AC972" s="264">
        <f>IF(NFI_Expiration=1,IF($A972&lt;VLOOKUP(L$5,NFI,5,0),1,0)*Table_NFI[[#This Row],[Tarpaulin]],Table_NFI[[#This Row],[Tarpaulin]])</f>
        <v>0</v>
      </c>
      <c r="AD972" s="264">
        <f>IF(NFI_Expiration=1,IF($A972&lt;VLOOKUP(M$5,NFI,5,0),1,0)*Table_NFI[[#This Row],[Blanket]],Table_NFI[[#This Row],[Blanket]])</f>
        <v>0</v>
      </c>
      <c r="AE972" s="264">
        <f>IF(NFI_Expiration=1,IF($A972&lt;VLOOKUP(N$5,NFI,5,0),1,0)*Table_NFI[[#This Row],[Kitchen Set]],Table_NFI[Kitchen Set])</f>
        <v>0</v>
      </c>
      <c r="AF972" s="264">
        <f>IF(NFI_Expiration=1,IF($A972&lt;VLOOKUP(O$5,NFI,5,0),1,0)*Table_NFI[[#This Row],[Clothes Kit]],Table_NFI[Clothes Kit])</f>
        <v>0</v>
      </c>
      <c r="AG972" s="264">
        <f>IF(NFI_Expiration=1,IF($A972&lt;VLOOKUP(P$5,NFI,5,0),1,0)*Table_NFI[[#This Row],[Plastic Bucket]],Table_NFI[Plastic Bucket])</f>
        <v>0</v>
      </c>
      <c r="AH972" s="264">
        <f>IF(NFI_Expiration=1,IF($A972&lt;VLOOKUP(Q$5,NFI,5,0),1,0)*Table_NFI[[#This Row],[Plastic Mat]],Table_NFI[Plastic Mat])*IF(Table_NFI[[#This Row],[Distribution Date]]&gt;"2014-04-01",1,2.5)</f>
        <v>0</v>
      </c>
      <c r="AI972" s="264">
        <f>IF(NFI_Expiration=1,IF($A972&lt;VLOOKUP(R$5,NFI,5,0),1,0)*Table_NFI[[#This Row],[Winter Clothes Adult]],Table_NFI[Winter Clothes Adult])</f>
        <v>0</v>
      </c>
      <c r="AJ972" s="264">
        <f>IF(NFI_Expiration=1,IF($A972&lt;VLOOKUP(S$5,NFI,5,0),1,0)*Table_NFI[[#This Row],[Winter Clothes Children]],Table_NFI[Winter Clothes Children])</f>
        <v>0</v>
      </c>
      <c r="AK972" s="264">
        <f>IF(NFI_Expiration=1,IF($A972&lt;VLOOKUP(T$5,NFI,5,0),1,0)*Table_NFI[[#This Row],[Winter Items Other]],Table_NFI[Winter Items Other])</f>
        <v>0</v>
      </c>
      <c r="AL972" s="264">
        <f>IF(NFI_Expiration=1,IF($A972&lt;VLOOKUP(M$5,NFI,5,0),1,0)*Table_NFI[[#This Row],[Winter Blanket]],Table_NFI[[#This Row],[Winter Blanket]])</f>
        <v>0</v>
      </c>
      <c r="AM972" s="264">
        <f>IF(Table_NFI[[#This Row],[Winter Clothes Adult]]+Table_NFI[[#This Row],[Winter Clothes Children]]+Table_NFI[[#This Row],[Winter Items Other]]+Table_NFI[[#This Row],[Winter Blanket]]&gt;0,1,0)</f>
        <v>0</v>
      </c>
      <c r="AN972" s="296">
        <f>IF(NFI_Expiration=1,IF($A972&lt;VLOOKUP(V$5,NFI,5,0),1,0)*Table_NFI[[#This Row],[Jerry Can]],Table_NFI[Jerry Can])</f>
        <v>0</v>
      </c>
      <c r="AO972" s="296">
        <f>IF(NFI_Expiration=1,IF($A972&lt;VLOOKUP(V$5,NFI,5,0),1,0)*Table_NFI[[#This Row],[Shelter Tool kit]],Table_NFI[Shelter Tool kit])</f>
        <v>0</v>
      </c>
      <c r="AP972" s="296">
        <f>IF(NFI_Expiration=1,IF($A972&lt;VLOOKUP(V$5,NFI,5,0),1,0)*Table_NFI[[#This Row],[Tent]],Table_NFI[Tent])</f>
        <v>0</v>
      </c>
      <c r="AQ972" s="396" t="str">
        <f>IFERROR(VLOOKUP(Table_NFI[[#This Row],[Camp Name]],CL,2,0),"")</f>
        <v>MMR001CMP066</v>
      </c>
      <c r="AR972" s="702">
        <f ca="1">IF(Table_NFI[[#This Row],[Pcode]]="","",IF(OFFSET(CampList[Opening Date],MATCH(Table_NFI[[#This Row],[Pcode]],CampList[CP_Pcode],0)-1,0,1,1)&gt;=NFI_Monitor_Date,1,0))</f>
        <v>0</v>
      </c>
      <c r="AS972" s="396" t="str">
        <f>IFERROR(VLOOKUP(Table_NFI[[#This Row],[Camp Name]],CL,3,0),"")</f>
        <v>Open</v>
      </c>
      <c r="AT972" s="264" t="str">
        <f ca="1">IF(Table_NFI[[#This Row],[Pcode]]="","",OFFSET(CampList[Priority],MATCH(Table_NFI[[#This Row],[Pcode]],CampList[CP_Pcode],0)-1,0,1,1))</f>
        <v>P4</v>
      </c>
      <c r="AU972" s="263">
        <f>IFERROR(Table_NFI[[#This Row],[Kitchen Set]]/VLOOKUP(Table_NFI[[#This Row],[Camp Name]],CL,4,0),"")</f>
        <v>1.7556939801342023E-3</v>
      </c>
      <c r="AV972" s="390" t="s">
        <v>1087</v>
      </c>
      <c r="AW972" s="392"/>
      <c r="AX972" s="399"/>
      <c r="AY972" s="399"/>
      <c r="AZ972" s="399"/>
      <c r="BA972" s="399"/>
      <c r="BB972" s="399"/>
      <c r="BC972" s="399"/>
      <c r="BD972" s="399"/>
      <c r="BE972" s="399"/>
      <c r="BF972" s="399"/>
      <c r="BG972" s="399"/>
      <c r="BH972" s="399"/>
      <c r="BI972" s="399"/>
      <c r="BJ972" s="399"/>
      <c r="BK972" s="399"/>
      <c r="BL972" s="399"/>
      <c r="BM972" s="399"/>
      <c r="BN972" s="399"/>
      <c r="BO972" s="399"/>
      <c r="BP972" s="399"/>
      <c r="BQ972" s="399"/>
      <c r="BR972" s="399"/>
      <c r="BS972" s="399"/>
      <c r="BT972" s="399"/>
      <c r="BU972" s="399"/>
      <c r="BV972" s="399"/>
      <c r="BW972" s="399"/>
      <c r="BX972" s="399"/>
      <c r="BY972" s="399"/>
      <c r="BZ972" s="399"/>
      <c r="CA972" s="399"/>
      <c r="CB972" s="399"/>
      <c r="CC972" s="399"/>
      <c r="CD972" s="399"/>
      <c r="CE972" s="399"/>
      <c r="CF972" s="399"/>
      <c r="CG972" s="399"/>
      <c r="CH972" s="399"/>
      <c r="CI972" s="399"/>
      <c r="CJ972" s="399"/>
      <c r="CK972" s="399"/>
      <c r="CL972" s="399"/>
      <c r="CM972" s="399"/>
      <c r="CN972" s="399"/>
      <c r="CO972" s="399"/>
      <c r="CP972" s="399"/>
      <c r="CQ972" s="399"/>
      <c r="CR972" s="399"/>
      <c r="CS972" s="399"/>
      <c r="CT972" s="399"/>
      <c r="CU972" s="399"/>
      <c r="CV972" s="399"/>
      <c r="CW972" s="399"/>
      <c r="CX972" s="399"/>
      <c r="CY972" s="399"/>
      <c r="CZ972" s="399"/>
      <c r="DA972" s="399"/>
      <c r="DB972" s="399"/>
      <c r="DC972" s="399"/>
      <c r="DD972" s="399"/>
      <c r="DE972" s="399"/>
      <c r="DF972" s="399"/>
      <c r="DG972" s="399"/>
      <c r="DH972" s="399"/>
      <c r="DI972" s="399"/>
      <c r="DJ972" s="399"/>
      <c r="DK972" s="399"/>
      <c r="DL972" s="399"/>
      <c r="DM972" s="399"/>
      <c r="DN972" s="399"/>
      <c r="DO972" s="399"/>
      <c r="DP972" s="399"/>
      <c r="DQ972" s="399"/>
    </row>
    <row r="973" spans="1:121" ht="15" customHeight="1" x14ac:dyDescent="0.25">
      <c r="A973" s="266">
        <f t="shared" si="15"/>
        <v>57.966666666666669</v>
      </c>
      <c r="B973" s="389">
        <v>41117</v>
      </c>
      <c r="C973" s="390" t="s">
        <v>451</v>
      </c>
      <c r="D973" s="391" t="s">
        <v>451</v>
      </c>
      <c r="E973" s="390" t="s">
        <v>380</v>
      </c>
      <c r="F973" s="262" t="s">
        <v>173</v>
      </c>
      <c r="G973" s="262" t="s">
        <v>174</v>
      </c>
      <c r="H973" s="261"/>
      <c r="I973" s="261"/>
      <c r="J973" s="261"/>
      <c r="K973" s="261">
        <v>35</v>
      </c>
      <c r="L973" s="261">
        <v>14</v>
      </c>
      <c r="M973" s="261">
        <v>35</v>
      </c>
      <c r="N973" s="261">
        <v>14</v>
      </c>
      <c r="O973" s="261">
        <v>14</v>
      </c>
      <c r="P973" s="261">
        <v>14</v>
      </c>
      <c r="Q973" s="261">
        <v>14</v>
      </c>
      <c r="R973" s="261"/>
      <c r="S973" s="261"/>
      <c r="T973" s="261"/>
      <c r="U973" s="261"/>
      <c r="V973" s="762"/>
      <c r="W973" s="261"/>
      <c r="X973" s="261"/>
      <c r="Y973" s="264">
        <f>IF(NFI_Expiration=1,IF($A973&lt;VLOOKUP(H$5,NFI,5,0),1,0)*Table_NFI[[#This Row],[Hygiene Kit]],Table_NFI[Hygiene Kit])</f>
        <v>0</v>
      </c>
      <c r="Z973" s="264">
        <f>IF(NFI_Expiration=1,IF($A973&lt;VLOOKUP(I$5,NFI,5,0),1,0)*Table_NFI[[#This Row],[NFI Core Kit]],Table_NFI[NFI Core Kit])</f>
        <v>0</v>
      </c>
      <c r="AA973" s="264">
        <f>IF(NFI_Expiration=1,IF($A973&lt;VLOOKUP(J$5,NFI,5,0),1,0)*Table_NFI[[#This Row],[Sanitary Kit]],Table_NFI[Sanitary Kit])</f>
        <v>0</v>
      </c>
      <c r="AB973" s="264">
        <f>IF(NFI_Expiration=1,IF($A973&lt;VLOOKUP(K$5,NFI,5,0),1,0)*Table_NFI[[#This Row],[Mosquito net]],Table_NFI[Mosquito net])</f>
        <v>0</v>
      </c>
      <c r="AC973" s="264">
        <f>IF(NFI_Expiration=1,IF($A973&lt;VLOOKUP(L$5,NFI,5,0),1,0)*Table_NFI[[#This Row],[Tarpaulin]],Table_NFI[[#This Row],[Tarpaulin]])</f>
        <v>0</v>
      </c>
      <c r="AD973" s="264">
        <f>IF(NFI_Expiration=1,IF($A973&lt;VLOOKUP(M$5,NFI,5,0),1,0)*Table_NFI[[#This Row],[Blanket]],Table_NFI[[#This Row],[Blanket]])</f>
        <v>0</v>
      </c>
      <c r="AE973" s="264">
        <f>IF(NFI_Expiration=1,IF($A973&lt;VLOOKUP(N$5,NFI,5,0),1,0)*Table_NFI[[#This Row],[Kitchen Set]],Table_NFI[Kitchen Set])</f>
        <v>0</v>
      </c>
      <c r="AF973" s="264">
        <f>IF(NFI_Expiration=1,IF($A973&lt;VLOOKUP(O$5,NFI,5,0),1,0)*Table_NFI[[#This Row],[Clothes Kit]],Table_NFI[Clothes Kit])</f>
        <v>0</v>
      </c>
      <c r="AG973" s="264">
        <f>IF(NFI_Expiration=1,IF($A973&lt;VLOOKUP(P$5,NFI,5,0),1,0)*Table_NFI[[#This Row],[Plastic Bucket]],Table_NFI[Plastic Bucket])</f>
        <v>0</v>
      </c>
      <c r="AH973" s="264">
        <f>IF(NFI_Expiration=1,IF($A973&lt;VLOOKUP(Q$5,NFI,5,0),1,0)*Table_NFI[[#This Row],[Plastic Mat]],Table_NFI[Plastic Mat])*IF(Table_NFI[[#This Row],[Distribution Date]]&gt;"2014-04-01",1,2.5)</f>
        <v>0</v>
      </c>
      <c r="AI973" s="264">
        <f>IF(NFI_Expiration=1,IF($A973&lt;VLOOKUP(R$5,NFI,5,0),1,0)*Table_NFI[[#This Row],[Winter Clothes Adult]],Table_NFI[Winter Clothes Adult])</f>
        <v>0</v>
      </c>
      <c r="AJ973" s="264">
        <f>IF(NFI_Expiration=1,IF($A973&lt;VLOOKUP(S$5,NFI,5,0),1,0)*Table_NFI[[#This Row],[Winter Clothes Children]],Table_NFI[Winter Clothes Children])</f>
        <v>0</v>
      </c>
      <c r="AK973" s="264">
        <f>IF(NFI_Expiration=1,IF($A973&lt;VLOOKUP(T$5,NFI,5,0),1,0)*Table_NFI[[#This Row],[Winter Items Other]],Table_NFI[Winter Items Other])</f>
        <v>0</v>
      </c>
      <c r="AL973" s="264">
        <f>IF(NFI_Expiration=1,IF($A973&lt;VLOOKUP(M$5,NFI,5,0),1,0)*Table_NFI[[#This Row],[Winter Blanket]],Table_NFI[[#This Row],[Winter Blanket]])</f>
        <v>0</v>
      </c>
      <c r="AM973" s="264">
        <f>IF(Table_NFI[[#This Row],[Winter Clothes Adult]]+Table_NFI[[#This Row],[Winter Clothes Children]]+Table_NFI[[#This Row],[Winter Items Other]]+Table_NFI[[#This Row],[Winter Blanket]]&gt;0,1,0)</f>
        <v>0</v>
      </c>
      <c r="AN973" s="296">
        <f>IF(NFI_Expiration=1,IF($A973&lt;VLOOKUP(V$5,NFI,5,0),1,0)*Table_NFI[[#This Row],[Jerry Can]],Table_NFI[Jerry Can])</f>
        <v>0</v>
      </c>
      <c r="AO973" s="296">
        <f>IF(NFI_Expiration=1,IF($A973&lt;VLOOKUP(V$5,NFI,5,0),1,0)*Table_NFI[[#This Row],[Shelter Tool kit]],Table_NFI[Shelter Tool kit])</f>
        <v>0</v>
      </c>
      <c r="AP973" s="296">
        <f>IF(NFI_Expiration=1,IF($A973&lt;VLOOKUP(V$5,NFI,5,0),1,0)*Table_NFI[[#This Row],[Tent]],Table_NFI[Tent])</f>
        <v>0</v>
      </c>
      <c r="AQ973" s="396" t="str">
        <f>IFERROR(VLOOKUP(Table_NFI[[#This Row],[Camp Name]],CL,2,0),"")</f>
        <v>MMR001CMP078</v>
      </c>
      <c r="AR973" s="702">
        <f ca="1">IF(Table_NFI[[#This Row],[Pcode]]="","",IF(OFFSET(CampList[Opening Date],MATCH(Table_NFI[[#This Row],[Pcode]],CampList[CP_Pcode],0)-1,0,1,1)&gt;=NFI_Monitor_Date,1,0))</f>
        <v>0</v>
      </c>
      <c r="AS973" s="396" t="str">
        <f>IFERROR(VLOOKUP(Table_NFI[[#This Row],[Camp Name]],CL,3,0),"")</f>
        <v>Open</v>
      </c>
      <c r="AT973" s="264" t="str">
        <f ca="1">IF(Table_NFI[[#This Row],[Pcode]]="","",OFFSET(CampList[Priority],MATCH(Table_NFI[[#This Row],[Pcode]],CampList[CP_Pcode],0)-1,0,1,1))</f>
        <v>P4</v>
      </c>
      <c r="AU973" s="263">
        <f>IFERROR(Table_NFI[[#This Row],[Kitchen Set]]/VLOOKUP(Table_NFI[[#This Row],[Camp Name]],CL,4,0),"")</f>
        <v>3.4121374603948332E-4</v>
      </c>
      <c r="AV973" s="390" t="s">
        <v>1087</v>
      </c>
      <c r="AW973" s="392"/>
    </row>
    <row r="974" spans="1:121" s="760" customFormat="1" ht="14.45" customHeight="1" x14ac:dyDescent="0.25">
      <c r="A974" s="266">
        <f t="shared" si="15"/>
        <v>57.966666666666669</v>
      </c>
      <c r="B974" s="389">
        <v>41117</v>
      </c>
      <c r="C974" s="390" t="s">
        <v>451</v>
      </c>
      <c r="D974" s="391" t="s">
        <v>451</v>
      </c>
      <c r="E974" s="390" t="s">
        <v>380</v>
      </c>
      <c r="F974" s="262" t="s">
        <v>180</v>
      </c>
      <c r="G974" s="262" t="s">
        <v>181</v>
      </c>
      <c r="H974" s="261"/>
      <c r="I974" s="261"/>
      <c r="J974" s="261"/>
      <c r="K974" s="261">
        <v>0</v>
      </c>
      <c r="L974" s="261">
        <v>8</v>
      </c>
      <c r="M974" s="261">
        <v>0</v>
      </c>
      <c r="N974" s="261">
        <v>8</v>
      </c>
      <c r="O974" s="261">
        <v>8</v>
      </c>
      <c r="P974" s="261">
        <v>8</v>
      </c>
      <c r="Q974" s="261">
        <v>8</v>
      </c>
      <c r="R974" s="261"/>
      <c r="S974" s="261"/>
      <c r="T974" s="261"/>
      <c r="U974" s="261"/>
      <c r="V974" s="762"/>
      <c r="W974" s="261"/>
      <c r="X974" s="261"/>
      <c r="Y974" s="264">
        <f>IF(NFI_Expiration=1,IF($A974&lt;VLOOKUP(H$5,NFI,5,0),1,0)*Table_NFI[[#This Row],[Hygiene Kit]],Table_NFI[Hygiene Kit])</f>
        <v>0</v>
      </c>
      <c r="Z974" s="264">
        <f>IF(NFI_Expiration=1,IF($A974&lt;VLOOKUP(I$5,NFI,5,0),1,0)*Table_NFI[[#This Row],[NFI Core Kit]],Table_NFI[NFI Core Kit])</f>
        <v>0</v>
      </c>
      <c r="AA974" s="264">
        <f>IF(NFI_Expiration=1,IF($A974&lt;VLOOKUP(J$5,NFI,5,0),1,0)*Table_NFI[[#This Row],[Sanitary Kit]],Table_NFI[Sanitary Kit])</f>
        <v>0</v>
      </c>
      <c r="AB974" s="264">
        <f>IF(NFI_Expiration=1,IF($A974&lt;VLOOKUP(K$5,NFI,5,0),1,0)*Table_NFI[[#This Row],[Mosquito net]],Table_NFI[Mosquito net])</f>
        <v>0</v>
      </c>
      <c r="AC974" s="264">
        <f>IF(NFI_Expiration=1,IF($A974&lt;VLOOKUP(L$5,NFI,5,0),1,0)*Table_NFI[[#This Row],[Tarpaulin]],Table_NFI[[#This Row],[Tarpaulin]])</f>
        <v>0</v>
      </c>
      <c r="AD974" s="264">
        <f>IF(NFI_Expiration=1,IF($A974&lt;VLOOKUP(M$5,NFI,5,0),1,0)*Table_NFI[[#This Row],[Blanket]],Table_NFI[[#This Row],[Blanket]])</f>
        <v>0</v>
      </c>
      <c r="AE974" s="264">
        <f>IF(NFI_Expiration=1,IF($A974&lt;VLOOKUP(N$5,NFI,5,0),1,0)*Table_NFI[[#This Row],[Kitchen Set]],Table_NFI[Kitchen Set])</f>
        <v>0</v>
      </c>
      <c r="AF974" s="264">
        <f>IF(NFI_Expiration=1,IF($A974&lt;VLOOKUP(O$5,NFI,5,0),1,0)*Table_NFI[[#This Row],[Clothes Kit]],Table_NFI[Clothes Kit])</f>
        <v>0</v>
      </c>
      <c r="AG974" s="264">
        <f>IF(NFI_Expiration=1,IF($A974&lt;VLOOKUP(P$5,NFI,5,0),1,0)*Table_NFI[[#This Row],[Plastic Bucket]],Table_NFI[Plastic Bucket])</f>
        <v>0</v>
      </c>
      <c r="AH974" s="264">
        <f>IF(NFI_Expiration=1,IF($A974&lt;VLOOKUP(Q$5,NFI,5,0),1,0)*Table_NFI[[#This Row],[Plastic Mat]],Table_NFI[Plastic Mat])*IF(Table_NFI[[#This Row],[Distribution Date]]&gt;"2014-04-01",1,2.5)</f>
        <v>0</v>
      </c>
      <c r="AI974" s="264">
        <f>IF(NFI_Expiration=1,IF($A974&lt;VLOOKUP(R$5,NFI,5,0),1,0)*Table_NFI[[#This Row],[Winter Clothes Adult]],Table_NFI[Winter Clothes Adult])</f>
        <v>0</v>
      </c>
      <c r="AJ974" s="264">
        <f>IF(NFI_Expiration=1,IF($A974&lt;VLOOKUP(S$5,NFI,5,0),1,0)*Table_NFI[[#This Row],[Winter Clothes Children]],Table_NFI[Winter Clothes Children])</f>
        <v>0</v>
      </c>
      <c r="AK974" s="264">
        <f>IF(NFI_Expiration=1,IF($A974&lt;VLOOKUP(T$5,NFI,5,0),1,0)*Table_NFI[[#This Row],[Winter Items Other]],Table_NFI[Winter Items Other])</f>
        <v>0</v>
      </c>
      <c r="AL974" s="264">
        <f>IF(NFI_Expiration=1,IF($A974&lt;VLOOKUP(M$5,NFI,5,0),1,0)*Table_NFI[[#This Row],[Winter Blanket]],Table_NFI[[#This Row],[Winter Blanket]])</f>
        <v>0</v>
      </c>
      <c r="AM974" s="264">
        <f>IF(Table_NFI[[#This Row],[Winter Clothes Adult]]+Table_NFI[[#This Row],[Winter Clothes Children]]+Table_NFI[[#This Row],[Winter Items Other]]+Table_NFI[[#This Row],[Winter Blanket]]&gt;0,1,0)</f>
        <v>0</v>
      </c>
      <c r="AN974" s="296">
        <f>IF(NFI_Expiration=1,IF($A974&lt;VLOOKUP(V$5,NFI,5,0),1,0)*Table_NFI[[#This Row],[Jerry Can]],Table_NFI[Jerry Can])</f>
        <v>0</v>
      </c>
      <c r="AO974" s="296">
        <f>IF(NFI_Expiration=1,IF($A974&lt;VLOOKUP(V$5,NFI,5,0),1,0)*Table_NFI[[#This Row],[Shelter Tool kit]],Table_NFI[Shelter Tool kit])</f>
        <v>0</v>
      </c>
      <c r="AP974" s="296">
        <f>IF(NFI_Expiration=1,IF($A974&lt;VLOOKUP(V$5,NFI,5,0),1,0)*Table_NFI[[#This Row],[Tent]],Table_NFI[Tent])</f>
        <v>0</v>
      </c>
      <c r="AQ974" s="396" t="str">
        <f>IFERROR(VLOOKUP(Table_NFI[[#This Row],[Camp Name]],CL,2,0),"")</f>
        <v>MMR001CMP080</v>
      </c>
      <c r="AR974" s="702">
        <f ca="1">IF(Table_NFI[[#This Row],[Pcode]]="","",IF(OFFSET(CampList[Opening Date],MATCH(Table_NFI[[#This Row],[Pcode]],CampList[CP_Pcode],0)-1,0,1,1)&gt;=NFI_Monitor_Date,1,0))</f>
        <v>0</v>
      </c>
      <c r="AS974" s="396" t="str">
        <f>IFERROR(VLOOKUP(Table_NFI[[#This Row],[Camp Name]],CL,3,0),"")</f>
        <v>Open</v>
      </c>
      <c r="AT974" s="264" t="str">
        <f ca="1">IF(Table_NFI[[#This Row],[Pcode]]="","",OFFSET(CampList[Priority],MATCH(Table_NFI[[#This Row],[Pcode]],CampList[CP_Pcode],0)-1,0,1,1))</f>
        <v>P4</v>
      </c>
      <c r="AU974" s="263">
        <f>IFERROR(Table_NFI[[#This Row],[Kitchen Set]]/VLOOKUP(Table_NFI[[#This Row],[Camp Name]],CL,4,0),"")</f>
        <v>1.9483207910182411E-4</v>
      </c>
      <c r="AV974" s="390" t="s">
        <v>1087</v>
      </c>
      <c r="AW974" s="392"/>
      <c r="AX974" s="399"/>
      <c r="AY974" s="399"/>
      <c r="AZ974" s="399"/>
      <c r="BA974" s="399"/>
      <c r="BB974" s="399"/>
      <c r="BC974" s="399"/>
      <c r="BD974" s="399"/>
      <c r="BE974" s="399"/>
      <c r="BF974" s="399"/>
      <c r="BG974" s="399"/>
      <c r="BH974" s="399"/>
      <c r="BI974" s="399"/>
      <c r="BJ974" s="399"/>
      <c r="BK974" s="399"/>
      <c r="BL974" s="399"/>
      <c r="BM974" s="399"/>
      <c r="BN974" s="399"/>
      <c r="BO974" s="399"/>
      <c r="BP974" s="399"/>
      <c r="BQ974" s="399"/>
      <c r="BR974" s="399"/>
      <c r="BS974" s="399"/>
      <c r="BT974" s="399"/>
      <c r="BU974" s="399"/>
      <c r="BV974" s="399"/>
      <c r="BW974" s="399"/>
      <c r="BX974" s="399"/>
      <c r="BY974" s="399"/>
      <c r="BZ974" s="399"/>
      <c r="CA974" s="399"/>
      <c r="CB974" s="399"/>
      <c r="CC974" s="399"/>
      <c r="CD974" s="399"/>
      <c r="CE974" s="399"/>
      <c r="CF974" s="399"/>
      <c r="CG974" s="399"/>
      <c r="CH974" s="399"/>
      <c r="CI974" s="399"/>
      <c r="CJ974" s="399"/>
      <c r="CK974" s="399"/>
      <c r="CL974" s="399"/>
      <c r="CM974" s="399"/>
      <c r="CN974" s="399"/>
      <c r="CO974" s="399"/>
      <c r="CP974" s="399"/>
      <c r="CQ974" s="399"/>
      <c r="CR974" s="399"/>
      <c r="CS974" s="399"/>
      <c r="CT974" s="399"/>
      <c r="CU974" s="399"/>
      <c r="CV974" s="399"/>
      <c r="CW974" s="399"/>
      <c r="CX974" s="399"/>
      <c r="CY974" s="399"/>
      <c r="CZ974" s="399"/>
      <c r="DA974" s="399"/>
      <c r="DB974" s="399"/>
      <c r="DC974" s="399"/>
      <c r="DD974" s="399"/>
      <c r="DE974" s="399"/>
      <c r="DF974" s="399"/>
      <c r="DG974" s="399"/>
      <c r="DH974" s="399"/>
      <c r="DI974" s="399"/>
      <c r="DJ974" s="399"/>
      <c r="DK974" s="399"/>
      <c r="DL974" s="399"/>
      <c r="DM974" s="399"/>
      <c r="DN974" s="399"/>
      <c r="DO974" s="399"/>
      <c r="DP974" s="399"/>
      <c r="DQ974" s="399"/>
    </row>
    <row r="975" spans="1:121" s="760" customFormat="1" ht="14.45" customHeight="1" x14ac:dyDescent="0.25">
      <c r="A975" s="266">
        <f t="shared" si="15"/>
        <v>58</v>
      </c>
      <c r="B975" s="389">
        <v>41116</v>
      </c>
      <c r="C975" s="390" t="s">
        <v>451</v>
      </c>
      <c r="D975" s="390" t="s">
        <v>451</v>
      </c>
      <c r="E975" s="390" t="s">
        <v>380</v>
      </c>
      <c r="F975" s="390" t="s">
        <v>173</v>
      </c>
      <c r="G975" s="262" t="s">
        <v>176</v>
      </c>
      <c r="H975" s="261"/>
      <c r="I975" s="261"/>
      <c r="J975" s="261"/>
      <c r="K975" s="261">
        <v>31</v>
      </c>
      <c r="L975" s="261">
        <v>15</v>
      </c>
      <c r="M975" s="261">
        <v>31</v>
      </c>
      <c r="N975" s="261">
        <v>15</v>
      </c>
      <c r="O975" s="261">
        <v>16</v>
      </c>
      <c r="P975" s="261">
        <v>16</v>
      </c>
      <c r="Q975" s="261">
        <v>16</v>
      </c>
      <c r="R975" s="261"/>
      <c r="S975" s="261"/>
      <c r="T975" s="261"/>
      <c r="U975" s="261"/>
      <c r="V975" s="762"/>
      <c r="W975" s="261"/>
      <c r="X975" s="261"/>
      <c r="Y975" s="264">
        <f>IF(NFI_Expiration=1,IF($A975&lt;VLOOKUP(H$5,NFI,5,0),1,0)*Table_NFI[[#This Row],[Hygiene Kit]],Table_NFI[Hygiene Kit])</f>
        <v>0</v>
      </c>
      <c r="Z975" s="264">
        <f>IF(NFI_Expiration=1,IF($A975&lt;VLOOKUP(I$5,NFI,5,0),1,0)*Table_NFI[[#This Row],[NFI Core Kit]],Table_NFI[NFI Core Kit])</f>
        <v>0</v>
      </c>
      <c r="AA975" s="264">
        <f>IF(NFI_Expiration=1,IF($A975&lt;VLOOKUP(J$5,NFI,5,0),1,0)*Table_NFI[[#This Row],[Sanitary Kit]],Table_NFI[Sanitary Kit])</f>
        <v>0</v>
      </c>
      <c r="AB975" s="264">
        <f>IF(NFI_Expiration=1,IF($A975&lt;VLOOKUP(K$5,NFI,5,0),1,0)*Table_NFI[[#This Row],[Mosquito net]],Table_NFI[Mosquito net])</f>
        <v>0</v>
      </c>
      <c r="AC975" s="264">
        <f>IF(NFI_Expiration=1,IF($A975&lt;VLOOKUP(L$5,NFI,5,0),1,0)*Table_NFI[[#This Row],[Tarpaulin]],Table_NFI[[#This Row],[Tarpaulin]])</f>
        <v>0</v>
      </c>
      <c r="AD975" s="264">
        <f>IF(NFI_Expiration=1,IF($A975&lt;VLOOKUP(M$5,NFI,5,0),1,0)*Table_NFI[[#This Row],[Blanket]],Table_NFI[[#This Row],[Blanket]])</f>
        <v>0</v>
      </c>
      <c r="AE975" s="264">
        <f>IF(NFI_Expiration=1,IF($A975&lt;VLOOKUP(N$5,NFI,5,0),1,0)*Table_NFI[[#This Row],[Kitchen Set]],Table_NFI[Kitchen Set])</f>
        <v>0</v>
      </c>
      <c r="AF975" s="264">
        <f>IF(NFI_Expiration=1,IF($A975&lt;VLOOKUP(O$5,NFI,5,0),1,0)*Table_NFI[[#This Row],[Clothes Kit]],Table_NFI[Clothes Kit])</f>
        <v>0</v>
      </c>
      <c r="AG975" s="264">
        <f>IF(NFI_Expiration=1,IF($A975&lt;VLOOKUP(P$5,NFI,5,0),1,0)*Table_NFI[[#This Row],[Plastic Bucket]],Table_NFI[Plastic Bucket])</f>
        <v>0</v>
      </c>
      <c r="AH975" s="264">
        <f>IF(NFI_Expiration=1,IF($A975&lt;VLOOKUP(Q$5,NFI,5,0),1,0)*Table_NFI[[#This Row],[Plastic Mat]],Table_NFI[Plastic Mat])*IF(Table_NFI[[#This Row],[Distribution Date]]&gt;"2014-04-01",1,2.5)</f>
        <v>0</v>
      </c>
      <c r="AI975" s="264">
        <f>IF(NFI_Expiration=1,IF($A975&lt;VLOOKUP(R$5,NFI,5,0),1,0)*Table_NFI[[#This Row],[Winter Clothes Adult]],Table_NFI[Winter Clothes Adult])</f>
        <v>0</v>
      </c>
      <c r="AJ975" s="264">
        <f>IF(NFI_Expiration=1,IF($A975&lt;VLOOKUP(S$5,NFI,5,0),1,0)*Table_NFI[[#This Row],[Winter Clothes Children]],Table_NFI[Winter Clothes Children])</f>
        <v>0</v>
      </c>
      <c r="AK975" s="264">
        <f>IF(NFI_Expiration=1,IF($A975&lt;VLOOKUP(T$5,NFI,5,0),1,0)*Table_NFI[[#This Row],[Winter Items Other]],Table_NFI[Winter Items Other])</f>
        <v>0</v>
      </c>
      <c r="AL975" s="264">
        <f>IF(NFI_Expiration=1,IF($A975&lt;VLOOKUP(M$5,NFI,5,0),1,0)*Table_NFI[[#This Row],[Winter Blanket]],Table_NFI[[#This Row],[Winter Blanket]])</f>
        <v>0</v>
      </c>
      <c r="AM975" s="264">
        <f>IF(Table_NFI[[#This Row],[Winter Clothes Adult]]+Table_NFI[[#This Row],[Winter Clothes Children]]+Table_NFI[[#This Row],[Winter Items Other]]+Table_NFI[[#This Row],[Winter Blanket]]&gt;0,1,0)</f>
        <v>0</v>
      </c>
      <c r="AN975" s="296">
        <f>IF(NFI_Expiration=1,IF($A975&lt;VLOOKUP(V$5,NFI,5,0),1,0)*Table_NFI[[#This Row],[Jerry Can]],Table_NFI[Jerry Can])</f>
        <v>0</v>
      </c>
      <c r="AO975" s="296">
        <f>IF(NFI_Expiration=1,IF($A975&lt;VLOOKUP(V$5,NFI,5,0),1,0)*Table_NFI[[#This Row],[Shelter Tool kit]],Table_NFI[Shelter Tool kit])</f>
        <v>0</v>
      </c>
      <c r="AP975" s="296">
        <f>IF(NFI_Expiration=1,IF($A975&lt;VLOOKUP(V$5,NFI,5,0),1,0)*Table_NFI[[#This Row],[Tent]],Table_NFI[Tent])</f>
        <v>0</v>
      </c>
      <c r="AQ975" s="396" t="str">
        <f>IFERROR(VLOOKUP(Table_NFI[[#This Row],[Camp Name]],CL,2,0),"")</f>
        <v>MMR001CMP077</v>
      </c>
      <c r="AR975" s="702">
        <f ca="1">IF(Table_NFI[[#This Row],[Pcode]]="","",IF(OFFSET(CampList[Opening Date],MATCH(Table_NFI[[#This Row],[Pcode]],CampList[CP_Pcode],0)-1,0,1,1)&gt;=NFI_Monitor_Date,1,0))</f>
        <v>0</v>
      </c>
      <c r="AS975" s="396" t="str">
        <f>IFERROR(VLOOKUP(Table_NFI[[#This Row],[Camp Name]],CL,3,0),"")</f>
        <v>Open</v>
      </c>
      <c r="AT975" s="264" t="str">
        <f ca="1">IF(Table_NFI[[#This Row],[Pcode]]="","",OFFSET(CampList[Priority],MATCH(Table_NFI[[#This Row],[Pcode]],CampList[CP_Pcode],0)-1,0,1,1))</f>
        <v>P4</v>
      </c>
      <c r="AU975" s="263">
        <f>IFERROR(Table_NFI[[#This Row],[Kitchen Set]]/VLOOKUP(Table_NFI[[#This Row],[Camp Name]],CL,4,0),"")</f>
        <v>3.6558615647087499E-4</v>
      </c>
      <c r="AV975" s="390" t="s">
        <v>1087</v>
      </c>
      <c r="AW975" s="392"/>
      <c r="AX975" s="399"/>
      <c r="AY975" s="399"/>
      <c r="AZ975" s="399"/>
      <c r="BA975" s="399"/>
      <c r="BB975" s="399"/>
      <c r="BC975" s="399"/>
      <c r="BD975" s="399"/>
      <c r="BE975" s="399"/>
      <c r="BF975" s="399"/>
      <c r="BG975" s="399"/>
      <c r="BH975" s="399"/>
      <c r="BI975" s="399"/>
      <c r="BJ975" s="399"/>
      <c r="BK975" s="399"/>
      <c r="BL975" s="399"/>
      <c r="BM975" s="399"/>
      <c r="BN975" s="399"/>
      <c r="BO975" s="399"/>
      <c r="BP975" s="399"/>
      <c r="BQ975" s="399"/>
      <c r="BR975" s="399"/>
      <c r="BS975" s="399"/>
      <c r="BT975" s="399"/>
      <c r="BU975" s="399"/>
      <c r="BV975" s="399"/>
      <c r="BW975" s="399"/>
      <c r="BX975" s="399"/>
      <c r="BY975" s="399"/>
      <c r="BZ975" s="399"/>
      <c r="CA975" s="399"/>
      <c r="CB975" s="399"/>
      <c r="CC975" s="399"/>
      <c r="CD975" s="399"/>
      <c r="CE975" s="399"/>
      <c r="CF975" s="399"/>
      <c r="CG975" s="399"/>
      <c r="CH975" s="399"/>
      <c r="CI975" s="399"/>
      <c r="CJ975" s="399"/>
      <c r="CK975" s="399"/>
      <c r="CL975" s="399"/>
      <c r="CM975" s="399"/>
      <c r="CN975" s="399"/>
      <c r="CO975" s="399"/>
      <c r="CP975" s="399"/>
      <c r="CQ975" s="399"/>
      <c r="CR975" s="399"/>
      <c r="CS975" s="399"/>
      <c r="CT975" s="399"/>
      <c r="CU975" s="399"/>
      <c r="CV975" s="399"/>
      <c r="CW975" s="399"/>
      <c r="CX975" s="399"/>
      <c r="CY975" s="399"/>
      <c r="CZ975" s="399"/>
      <c r="DA975" s="399"/>
      <c r="DB975" s="399"/>
      <c r="DC975" s="399"/>
      <c r="DD975" s="399"/>
      <c r="DE975" s="399"/>
      <c r="DF975" s="399"/>
      <c r="DG975" s="399"/>
      <c r="DH975" s="399"/>
      <c r="DI975" s="399"/>
      <c r="DJ975" s="399"/>
      <c r="DK975" s="399"/>
      <c r="DL975" s="399"/>
      <c r="DM975" s="399"/>
      <c r="DN975" s="399"/>
      <c r="DO975" s="399"/>
      <c r="DP975" s="399"/>
      <c r="DQ975" s="399"/>
    </row>
    <row r="976" spans="1:121" ht="14.45" customHeight="1" x14ac:dyDescent="0.25">
      <c r="A976" s="266">
        <f t="shared" si="15"/>
        <v>58</v>
      </c>
      <c r="B976" s="389">
        <v>41116</v>
      </c>
      <c r="C976" s="390" t="s">
        <v>451</v>
      </c>
      <c r="D976" s="391" t="s">
        <v>451</v>
      </c>
      <c r="E976" s="390" t="s">
        <v>380</v>
      </c>
      <c r="F976" s="262" t="s">
        <v>173</v>
      </c>
      <c r="G976" s="262" t="s">
        <v>178</v>
      </c>
      <c r="H976" s="261"/>
      <c r="I976" s="261"/>
      <c r="J976" s="261"/>
      <c r="K976" s="261">
        <v>21</v>
      </c>
      <c r="L976" s="261">
        <v>17</v>
      </c>
      <c r="M976" s="261">
        <v>21</v>
      </c>
      <c r="N976" s="261">
        <v>17</v>
      </c>
      <c r="O976" s="261">
        <v>17</v>
      </c>
      <c r="P976" s="261">
        <v>17</v>
      </c>
      <c r="Q976" s="261">
        <v>17</v>
      </c>
      <c r="R976" s="261"/>
      <c r="S976" s="261"/>
      <c r="T976" s="261"/>
      <c r="U976" s="261"/>
      <c r="V976" s="762"/>
      <c r="W976" s="261"/>
      <c r="X976" s="261"/>
      <c r="Y976" s="264">
        <f>IF(NFI_Expiration=1,IF($A976&lt;VLOOKUP(H$5,NFI,5,0),1,0)*Table_NFI[[#This Row],[Hygiene Kit]],Table_NFI[Hygiene Kit])</f>
        <v>0</v>
      </c>
      <c r="Z976" s="264">
        <f>IF(NFI_Expiration=1,IF($A976&lt;VLOOKUP(I$5,NFI,5,0),1,0)*Table_NFI[[#This Row],[NFI Core Kit]],Table_NFI[NFI Core Kit])</f>
        <v>0</v>
      </c>
      <c r="AA976" s="264">
        <f>IF(NFI_Expiration=1,IF($A976&lt;VLOOKUP(J$5,NFI,5,0),1,0)*Table_NFI[[#This Row],[Sanitary Kit]],Table_NFI[Sanitary Kit])</f>
        <v>0</v>
      </c>
      <c r="AB976" s="264">
        <f>IF(NFI_Expiration=1,IF($A976&lt;VLOOKUP(K$5,NFI,5,0),1,0)*Table_NFI[[#This Row],[Mosquito net]],Table_NFI[Mosquito net])</f>
        <v>0</v>
      </c>
      <c r="AC976" s="264">
        <f>IF(NFI_Expiration=1,IF($A976&lt;VLOOKUP(L$5,NFI,5,0),1,0)*Table_NFI[[#This Row],[Tarpaulin]],Table_NFI[[#This Row],[Tarpaulin]])</f>
        <v>0</v>
      </c>
      <c r="AD976" s="264">
        <f>IF(NFI_Expiration=1,IF($A976&lt;VLOOKUP(M$5,NFI,5,0),1,0)*Table_NFI[[#This Row],[Blanket]],Table_NFI[[#This Row],[Blanket]])</f>
        <v>0</v>
      </c>
      <c r="AE976" s="264">
        <f>IF(NFI_Expiration=1,IF($A976&lt;VLOOKUP(N$5,NFI,5,0),1,0)*Table_NFI[[#This Row],[Kitchen Set]],Table_NFI[Kitchen Set])</f>
        <v>0</v>
      </c>
      <c r="AF976" s="264">
        <f>IF(NFI_Expiration=1,IF($A976&lt;VLOOKUP(O$5,NFI,5,0),1,0)*Table_NFI[[#This Row],[Clothes Kit]],Table_NFI[Clothes Kit])</f>
        <v>0</v>
      </c>
      <c r="AG976" s="264">
        <f>IF(NFI_Expiration=1,IF($A976&lt;VLOOKUP(P$5,NFI,5,0),1,0)*Table_NFI[[#This Row],[Plastic Bucket]],Table_NFI[Plastic Bucket])</f>
        <v>0</v>
      </c>
      <c r="AH976" s="264">
        <f>IF(NFI_Expiration=1,IF($A976&lt;VLOOKUP(Q$5,NFI,5,0),1,0)*Table_NFI[[#This Row],[Plastic Mat]],Table_NFI[Plastic Mat])*IF(Table_NFI[[#This Row],[Distribution Date]]&gt;"2014-04-01",1,2.5)</f>
        <v>0</v>
      </c>
      <c r="AI976" s="264">
        <f>IF(NFI_Expiration=1,IF($A976&lt;VLOOKUP(R$5,NFI,5,0),1,0)*Table_NFI[[#This Row],[Winter Clothes Adult]],Table_NFI[Winter Clothes Adult])</f>
        <v>0</v>
      </c>
      <c r="AJ976" s="264">
        <f>IF(NFI_Expiration=1,IF($A976&lt;VLOOKUP(S$5,NFI,5,0),1,0)*Table_NFI[[#This Row],[Winter Clothes Children]],Table_NFI[Winter Clothes Children])</f>
        <v>0</v>
      </c>
      <c r="AK976" s="264">
        <f>IF(NFI_Expiration=1,IF($A976&lt;VLOOKUP(T$5,NFI,5,0),1,0)*Table_NFI[[#This Row],[Winter Items Other]],Table_NFI[Winter Items Other])</f>
        <v>0</v>
      </c>
      <c r="AL976" s="264">
        <f>IF(NFI_Expiration=1,IF($A976&lt;VLOOKUP(M$5,NFI,5,0),1,0)*Table_NFI[[#This Row],[Winter Blanket]],Table_NFI[[#This Row],[Winter Blanket]])</f>
        <v>0</v>
      </c>
      <c r="AM976" s="264">
        <f>IF(Table_NFI[[#This Row],[Winter Clothes Adult]]+Table_NFI[[#This Row],[Winter Clothes Children]]+Table_NFI[[#This Row],[Winter Items Other]]+Table_NFI[[#This Row],[Winter Blanket]]&gt;0,1,0)</f>
        <v>0</v>
      </c>
      <c r="AN976" s="296">
        <f>IF(NFI_Expiration=1,IF($A976&lt;VLOOKUP(V$5,NFI,5,0),1,0)*Table_NFI[[#This Row],[Jerry Can]],Table_NFI[Jerry Can])</f>
        <v>0</v>
      </c>
      <c r="AO976" s="296">
        <f>IF(NFI_Expiration=1,IF($A976&lt;VLOOKUP(V$5,NFI,5,0),1,0)*Table_NFI[[#This Row],[Shelter Tool kit]],Table_NFI[Shelter Tool kit])</f>
        <v>0</v>
      </c>
      <c r="AP976" s="296">
        <f>IF(NFI_Expiration=1,IF($A976&lt;VLOOKUP(V$5,NFI,5,0),1,0)*Table_NFI[[#This Row],[Tent]],Table_NFI[Tent])</f>
        <v>0</v>
      </c>
      <c r="AQ976" s="396" t="str">
        <f>IFERROR(VLOOKUP(Table_NFI[[#This Row],[Camp Name]],CL,2,0),"")</f>
        <v>MMR001CMP079</v>
      </c>
      <c r="AR976" s="702">
        <f ca="1">IF(Table_NFI[[#This Row],[Pcode]]="","",IF(OFFSET(CampList[Opening Date],MATCH(Table_NFI[[#This Row],[Pcode]],CampList[CP_Pcode],0)-1,0,1,1)&gt;=NFI_Monitor_Date,1,0))</f>
        <v>0</v>
      </c>
      <c r="AS976" s="396" t="str">
        <f>IFERROR(VLOOKUP(Table_NFI[[#This Row],[Camp Name]],CL,3,0),"")</f>
        <v>Open</v>
      </c>
      <c r="AT976" s="264" t="str">
        <f ca="1">IF(Table_NFI[[#This Row],[Pcode]]="","",OFFSET(CampList[Priority],MATCH(Table_NFI[[#This Row],[Pcode]],CampList[CP_Pcode],0)-1,0,1,1))</f>
        <v>P4</v>
      </c>
      <c r="AU976" s="263">
        <f>IFERROR(Table_NFI[[#This Row],[Kitchen Set]]/VLOOKUP(Table_NFI[[#This Row],[Camp Name]],CL,4,0),"")</f>
        <v>4.1494788742707902E-4</v>
      </c>
      <c r="AV976" s="390" t="s">
        <v>1087</v>
      </c>
      <c r="AW976" s="392"/>
    </row>
    <row r="977" spans="1:121" s="760" customFormat="1" ht="14.45" customHeight="1" x14ac:dyDescent="0.25">
      <c r="A977" s="266">
        <f t="shared" si="15"/>
        <v>58.1</v>
      </c>
      <c r="B977" s="389">
        <v>41113</v>
      </c>
      <c r="C977" s="390" t="s">
        <v>451</v>
      </c>
      <c r="D977" s="391" t="s">
        <v>451</v>
      </c>
      <c r="E977" s="390" t="s">
        <v>380</v>
      </c>
      <c r="F977" s="262" t="s">
        <v>237</v>
      </c>
      <c r="G977" s="262" t="s">
        <v>255</v>
      </c>
      <c r="H977" s="261"/>
      <c r="I977" s="261"/>
      <c r="J977" s="261"/>
      <c r="K977" s="261">
        <v>19</v>
      </c>
      <c r="L977" s="261">
        <v>10</v>
      </c>
      <c r="M977" s="261">
        <v>19</v>
      </c>
      <c r="N977" s="261">
        <v>10</v>
      </c>
      <c r="O977" s="261">
        <v>11</v>
      </c>
      <c r="P977" s="261">
        <v>11</v>
      </c>
      <c r="Q977" s="261">
        <v>11</v>
      </c>
      <c r="R977" s="261"/>
      <c r="S977" s="261"/>
      <c r="T977" s="261"/>
      <c r="U977" s="261"/>
      <c r="V977" s="762"/>
      <c r="W977" s="261"/>
      <c r="X977" s="261"/>
      <c r="Y977" s="264">
        <f>IF(NFI_Expiration=1,IF($A977&lt;VLOOKUP(H$5,NFI,5,0),1,0)*Table_NFI[[#This Row],[Hygiene Kit]],Table_NFI[Hygiene Kit])</f>
        <v>0</v>
      </c>
      <c r="Z977" s="264">
        <f>IF(NFI_Expiration=1,IF($A977&lt;VLOOKUP(I$5,NFI,5,0),1,0)*Table_NFI[[#This Row],[NFI Core Kit]],Table_NFI[NFI Core Kit])</f>
        <v>0</v>
      </c>
      <c r="AA977" s="264">
        <f>IF(NFI_Expiration=1,IF($A977&lt;VLOOKUP(J$5,NFI,5,0),1,0)*Table_NFI[[#This Row],[Sanitary Kit]],Table_NFI[Sanitary Kit])</f>
        <v>0</v>
      </c>
      <c r="AB977" s="264">
        <f>IF(NFI_Expiration=1,IF($A977&lt;VLOOKUP(K$5,NFI,5,0),1,0)*Table_NFI[[#This Row],[Mosquito net]],Table_NFI[Mosquito net])</f>
        <v>0</v>
      </c>
      <c r="AC977" s="264">
        <f>IF(NFI_Expiration=1,IF($A977&lt;VLOOKUP(L$5,NFI,5,0),1,0)*Table_NFI[[#This Row],[Tarpaulin]],Table_NFI[[#This Row],[Tarpaulin]])</f>
        <v>0</v>
      </c>
      <c r="AD977" s="264">
        <f>IF(NFI_Expiration=1,IF($A977&lt;VLOOKUP(M$5,NFI,5,0),1,0)*Table_NFI[[#This Row],[Blanket]],Table_NFI[[#This Row],[Blanket]])</f>
        <v>0</v>
      </c>
      <c r="AE977" s="264">
        <f>IF(NFI_Expiration=1,IF($A977&lt;VLOOKUP(N$5,NFI,5,0),1,0)*Table_NFI[[#This Row],[Kitchen Set]],Table_NFI[Kitchen Set])</f>
        <v>0</v>
      </c>
      <c r="AF977" s="264">
        <f>IF(NFI_Expiration=1,IF($A977&lt;VLOOKUP(O$5,NFI,5,0),1,0)*Table_NFI[[#This Row],[Clothes Kit]],Table_NFI[Clothes Kit])</f>
        <v>0</v>
      </c>
      <c r="AG977" s="264">
        <f>IF(NFI_Expiration=1,IF($A977&lt;VLOOKUP(P$5,NFI,5,0),1,0)*Table_NFI[[#This Row],[Plastic Bucket]],Table_NFI[Plastic Bucket])</f>
        <v>0</v>
      </c>
      <c r="AH977" s="264">
        <f>IF(NFI_Expiration=1,IF($A977&lt;VLOOKUP(Q$5,NFI,5,0),1,0)*Table_NFI[[#This Row],[Plastic Mat]],Table_NFI[Plastic Mat])*IF(Table_NFI[[#This Row],[Distribution Date]]&gt;"2014-04-01",1,2.5)</f>
        <v>0</v>
      </c>
      <c r="AI977" s="264">
        <f>IF(NFI_Expiration=1,IF($A977&lt;VLOOKUP(R$5,NFI,5,0),1,0)*Table_NFI[[#This Row],[Winter Clothes Adult]],Table_NFI[Winter Clothes Adult])</f>
        <v>0</v>
      </c>
      <c r="AJ977" s="264">
        <f>IF(NFI_Expiration=1,IF($A977&lt;VLOOKUP(S$5,NFI,5,0),1,0)*Table_NFI[[#This Row],[Winter Clothes Children]],Table_NFI[Winter Clothes Children])</f>
        <v>0</v>
      </c>
      <c r="AK977" s="264">
        <f>IF(NFI_Expiration=1,IF($A977&lt;VLOOKUP(T$5,NFI,5,0),1,0)*Table_NFI[[#This Row],[Winter Items Other]],Table_NFI[Winter Items Other])</f>
        <v>0</v>
      </c>
      <c r="AL977" s="264">
        <f>IF(NFI_Expiration=1,IF($A977&lt;VLOOKUP(M$5,NFI,5,0),1,0)*Table_NFI[[#This Row],[Winter Blanket]],Table_NFI[[#This Row],[Winter Blanket]])</f>
        <v>0</v>
      </c>
      <c r="AM977" s="264">
        <f>IF(Table_NFI[[#This Row],[Winter Clothes Adult]]+Table_NFI[[#This Row],[Winter Clothes Children]]+Table_NFI[[#This Row],[Winter Items Other]]+Table_NFI[[#This Row],[Winter Blanket]]&gt;0,1,0)</f>
        <v>0</v>
      </c>
      <c r="AN977" s="296">
        <f>IF(NFI_Expiration=1,IF($A977&lt;VLOOKUP(V$5,NFI,5,0),1,0)*Table_NFI[[#This Row],[Jerry Can]],Table_NFI[Jerry Can])</f>
        <v>0</v>
      </c>
      <c r="AO977" s="296">
        <f>IF(NFI_Expiration=1,IF($A977&lt;VLOOKUP(V$5,NFI,5,0),1,0)*Table_NFI[[#This Row],[Shelter Tool kit]],Table_NFI[Shelter Tool kit])</f>
        <v>0</v>
      </c>
      <c r="AP977" s="296">
        <f>IF(NFI_Expiration=1,IF($A977&lt;VLOOKUP(V$5,NFI,5,0),1,0)*Table_NFI[[#This Row],[Tent]],Table_NFI[Tent])</f>
        <v>0</v>
      </c>
      <c r="AQ977" s="396" t="str">
        <f>IFERROR(VLOOKUP(Table_NFI[[#This Row],[Camp Name]],CL,2,0),"")</f>
        <v>MMR001CMP019</v>
      </c>
      <c r="AR977" s="702">
        <f ca="1">IF(Table_NFI[[#This Row],[Pcode]]="","",IF(OFFSET(CampList[Opening Date],MATCH(Table_NFI[[#This Row],[Pcode]],CampList[CP_Pcode],0)-1,0,1,1)&gt;=NFI_Monitor_Date,1,0))</f>
        <v>0</v>
      </c>
      <c r="AS977" s="396" t="str">
        <f>IFERROR(VLOOKUP(Table_NFI[[#This Row],[Camp Name]],CL,3,0),"")</f>
        <v>Open</v>
      </c>
      <c r="AT977" s="264" t="str">
        <f ca="1">IF(Table_NFI[[#This Row],[Pcode]]="","",OFFSET(CampList[Priority],MATCH(Table_NFI[[#This Row],[Pcode]],CampList[CP_Pcode],0)-1,0,1,1))</f>
        <v>P4</v>
      </c>
      <c r="AU977" s="263">
        <f>IFERROR(Table_NFI[[#This Row],[Kitchen Set]]/VLOOKUP(Table_NFI[[#This Row],[Camp Name]],CL,4,0),"")</f>
        <v>2.4554941682013506E-4</v>
      </c>
      <c r="AV977" s="390" t="s">
        <v>1087</v>
      </c>
      <c r="AW977" s="392"/>
      <c r="AX977" s="399"/>
      <c r="AY977" s="399"/>
      <c r="AZ977" s="399"/>
      <c r="BA977" s="399"/>
      <c r="BB977" s="399"/>
      <c r="BC977" s="399"/>
      <c r="BD977" s="399"/>
      <c r="BE977" s="399"/>
      <c r="BF977" s="399"/>
      <c r="BG977" s="399"/>
      <c r="BH977" s="399"/>
      <c r="BI977" s="399"/>
      <c r="BJ977" s="399"/>
      <c r="BK977" s="399"/>
      <c r="BL977" s="399"/>
      <c r="BM977" s="399"/>
      <c r="BN977" s="399"/>
      <c r="BO977" s="399"/>
      <c r="BP977" s="399"/>
      <c r="BQ977" s="399"/>
      <c r="BR977" s="399"/>
      <c r="BS977" s="399"/>
      <c r="BT977" s="399"/>
      <c r="BU977" s="399"/>
      <c r="BV977" s="399"/>
      <c r="BW977" s="399"/>
      <c r="BX977" s="399"/>
      <c r="BY977" s="399"/>
      <c r="BZ977" s="399"/>
      <c r="CA977" s="399"/>
      <c r="CB977" s="399"/>
      <c r="CC977" s="399"/>
      <c r="CD977" s="399"/>
      <c r="CE977" s="399"/>
      <c r="CF977" s="399"/>
      <c r="CG977" s="399"/>
      <c r="CH977" s="399"/>
      <c r="CI977" s="399"/>
      <c r="CJ977" s="399"/>
      <c r="CK977" s="399"/>
      <c r="CL977" s="399"/>
      <c r="CM977" s="399"/>
      <c r="CN977" s="399"/>
      <c r="CO977" s="399"/>
      <c r="CP977" s="399"/>
      <c r="CQ977" s="399"/>
      <c r="CR977" s="399"/>
      <c r="CS977" s="399"/>
      <c r="CT977" s="399"/>
      <c r="CU977" s="399"/>
      <c r="CV977" s="399"/>
      <c r="CW977" s="399"/>
      <c r="CX977" s="399"/>
      <c r="CY977" s="399"/>
      <c r="CZ977" s="399"/>
      <c r="DA977" s="399"/>
      <c r="DB977" s="399"/>
      <c r="DC977" s="399"/>
      <c r="DD977" s="399"/>
      <c r="DE977" s="399"/>
      <c r="DF977" s="399"/>
      <c r="DG977" s="399"/>
      <c r="DH977" s="399"/>
      <c r="DI977" s="399"/>
      <c r="DJ977" s="399"/>
      <c r="DK977" s="399"/>
      <c r="DL977" s="399"/>
      <c r="DM977" s="399"/>
      <c r="DN977" s="399"/>
      <c r="DO977" s="399"/>
      <c r="DP977" s="399"/>
      <c r="DQ977" s="399"/>
    </row>
    <row r="978" spans="1:121" s="760" customFormat="1" ht="14.45" customHeight="1" x14ac:dyDescent="0.25">
      <c r="A978" s="266">
        <f t="shared" si="15"/>
        <v>58.1</v>
      </c>
      <c r="B978" s="389">
        <v>41113</v>
      </c>
      <c r="C978" s="390" t="s">
        <v>451</v>
      </c>
      <c r="D978" s="391" t="s">
        <v>451</v>
      </c>
      <c r="E978" s="390" t="s">
        <v>380</v>
      </c>
      <c r="F978" s="262" t="s">
        <v>237</v>
      </c>
      <c r="G978" s="262" t="s">
        <v>259</v>
      </c>
      <c r="H978" s="261"/>
      <c r="I978" s="261"/>
      <c r="J978" s="261"/>
      <c r="K978" s="261">
        <v>72</v>
      </c>
      <c r="L978" s="261">
        <v>39</v>
      </c>
      <c r="M978" s="261">
        <v>72</v>
      </c>
      <c r="N978" s="261">
        <v>39</v>
      </c>
      <c r="O978" s="261">
        <v>39</v>
      </c>
      <c r="P978" s="261">
        <v>39</v>
      </c>
      <c r="Q978" s="261">
        <v>39</v>
      </c>
      <c r="R978" s="261"/>
      <c r="S978" s="261"/>
      <c r="T978" s="261"/>
      <c r="U978" s="261"/>
      <c r="V978" s="762"/>
      <c r="W978" s="261"/>
      <c r="X978" s="261"/>
      <c r="Y978" s="264">
        <f>IF(NFI_Expiration=1,IF($A978&lt;VLOOKUP(H$5,NFI,5,0),1,0)*Table_NFI[[#This Row],[Hygiene Kit]],Table_NFI[Hygiene Kit])</f>
        <v>0</v>
      </c>
      <c r="Z978" s="264">
        <f>IF(NFI_Expiration=1,IF($A978&lt;VLOOKUP(I$5,NFI,5,0),1,0)*Table_NFI[[#This Row],[NFI Core Kit]],Table_NFI[NFI Core Kit])</f>
        <v>0</v>
      </c>
      <c r="AA978" s="264">
        <f>IF(NFI_Expiration=1,IF($A978&lt;VLOOKUP(J$5,NFI,5,0),1,0)*Table_NFI[[#This Row],[Sanitary Kit]],Table_NFI[Sanitary Kit])</f>
        <v>0</v>
      </c>
      <c r="AB978" s="264">
        <f>IF(NFI_Expiration=1,IF($A978&lt;VLOOKUP(K$5,NFI,5,0),1,0)*Table_NFI[[#This Row],[Mosquito net]],Table_NFI[Mosquito net])</f>
        <v>0</v>
      </c>
      <c r="AC978" s="264">
        <f>IF(NFI_Expiration=1,IF($A978&lt;VLOOKUP(L$5,NFI,5,0),1,0)*Table_NFI[[#This Row],[Tarpaulin]],Table_NFI[[#This Row],[Tarpaulin]])</f>
        <v>0</v>
      </c>
      <c r="AD978" s="264">
        <f>IF(NFI_Expiration=1,IF($A978&lt;VLOOKUP(M$5,NFI,5,0),1,0)*Table_NFI[[#This Row],[Blanket]],Table_NFI[[#This Row],[Blanket]])</f>
        <v>0</v>
      </c>
      <c r="AE978" s="264">
        <f>IF(NFI_Expiration=1,IF($A978&lt;VLOOKUP(N$5,NFI,5,0),1,0)*Table_NFI[[#This Row],[Kitchen Set]],Table_NFI[Kitchen Set])</f>
        <v>0</v>
      </c>
      <c r="AF978" s="264">
        <f>IF(NFI_Expiration=1,IF($A978&lt;VLOOKUP(O$5,NFI,5,0),1,0)*Table_NFI[[#This Row],[Clothes Kit]],Table_NFI[Clothes Kit])</f>
        <v>0</v>
      </c>
      <c r="AG978" s="264">
        <f>IF(NFI_Expiration=1,IF($A978&lt;VLOOKUP(P$5,NFI,5,0),1,0)*Table_NFI[[#This Row],[Plastic Bucket]],Table_NFI[Plastic Bucket])</f>
        <v>0</v>
      </c>
      <c r="AH978" s="264">
        <f>IF(NFI_Expiration=1,IF($A978&lt;VLOOKUP(Q$5,NFI,5,0),1,0)*Table_NFI[[#This Row],[Plastic Mat]],Table_NFI[Plastic Mat])*IF(Table_NFI[[#This Row],[Distribution Date]]&gt;"2014-04-01",1,2.5)</f>
        <v>0</v>
      </c>
      <c r="AI978" s="264">
        <f>IF(NFI_Expiration=1,IF($A978&lt;VLOOKUP(R$5,NFI,5,0),1,0)*Table_NFI[[#This Row],[Winter Clothes Adult]],Table_NFI[Winter Clothes Adult])</f>
        <v>0</v>
      </c>
      <c r="AJ978" s="264">
        <f>IF(NFI_Expiration=1,IF($A978&lt;VLOOKUP(S$5,NFI,5,0),1,0)*Table_NFI[[#This Row],[Winter Clothes Children]],Table_NFI[Winter Clothes Children])</f>
        <v>0</v>
      </c>
      <c r="AK978" s="264">
        <f>IF(NFI_Expiration=1,IF($A978&lt;VLOOKUP(T$5,NFI,5,0),1,0)*Table_NFI[[#This Row],[Winter Items Other]],Table_NFI[Winter Items Other])</f>
        <v>0</v>
      </c>
      <c r="AL978" s="264">
        <f>IF(NFI_Expiration=1,IF($A978&lt;VLOOKUP(M$5,NFI,5,0),1,0)*Table_NFI[[#This Row],[Winter Blanket]],Table_NFI[[#This Row],[Winter Blanket]])</f>
        <v>0</v>
      </c>
      <c r="AM978" s="264">
        <f>IF(Table_NFI[[#This Row],[Winter Clothes Adult]]+Table_NFI[[#This Row],[Winter Clothes Children]]+Table_NFI[[#This Row],[Winter Items Other]]+Table_NFI[[#This Row],[Winter Blanket]]&gt;0,1,0)</f>
        <v>0</v>
      </c>
      <c r="AN978" s="296">
        <f>IF(NFI_Expiration=1,IF($A978&lt;VLOOKUP(V$5,NFI,5,0),1,0)*Table_NFI[[#This Row],[Jerry Can]],Table_NFI[Jerry Can])</f>
        <v>0</v>
      </c>
      <c r="AO978" s="296">
        <f>IF(NFI_Expiration=1,IF($A978&lt;VLOOKUP(V$5,NFI,5,0),1,0)*Table_NFI[[#This Row],[Shelter Tool kit]],Table_NFI[Shelter Tool kit])</f>
        <v>0</v>
      </c>
      <c r="AP978" s="296">
        <f>IF(NFI_Expiration=1,IF($A978&lt;VLOOKUP(V$5,NFI,5,0),1,0)*Table_NFI[[#This Row],[Tent]],Table_NFI[Tent])</f>
        <v>0</v>
      </c>
      <c r="AQ978" s="396" t="str">
        <f>IFERROR(VLOOKUP(Table_NFI[[#This Row],[Camp Name]],CL,2,0),"")</f>
        <v>MMR001CMP016</v>
      </c>
      <c r="AR978" s="702">
        <f ca="1">IF(Table_NFI[[#This Row],[Pcode]]="","",IF(OFFSET(CampList[Opening Date],MATCH(Table_NFI[[#This Row],[Pcode]],CampList[CP_Pcode],0)-1,0,1,1)&gt;=NFI_Monitor_Date,1,0))</f>
        <v>0</v>
      </c>
      <c r="AS978" s="396" t="str">
        <f>IFERROR(VLOOKUP(Table_NFI[[#This Row],[Camp Name]],CL,3,0),"")</f>
        <v>Open</v>
      </c>
      <c r="AT978" s="264" t="str">
        <f ca="1">IF(Table_NFI[[#This Row],[Pcode]]="","",OFFSET(CampList[Priority],MATCH(Table_NFI[[#This Row],[Pcode]],CampList[CP_Pcode],0)-1,0,1,1))</f>
        <v>P4</v>
      </c>
      <c r="AU978" s="263">
        <f>IFERROR(Table_NFI[[#This Row],[Kitchen Set]]/VLOOKUP(Table_NFI[[#This Row],[Camp Name]],CL,4,0),"")</f>
        <v>9.5691431936402005E-4</v>
      </c>
      <c r="AV978" s="390" t="s">
        <v>1087</v>
      </c>
      <c r="AW978" s="392"/>
      <c r="AX978" s="399"/>
      <c r="AY978" s="399"/>
      <c r="AZ978" s="399"/>
      <c r="BA978" s="399"/>
      <c r="BB978" s="399"/>
      <c r="BC978" s="399"/>
      <c r="BD978" s="399"/>
      <c r="BE978" s="399"/>
      <c r="BF978" s="399"/>
      <c r="BG978" s="399"/>
      <c r="BH978" s="399"/>
      <c r="BI978" s="399"/>
      <c r="BJ978" s="399"/>
      <c r="BK978" s="399"/>
      <c r="BL978" s="399"/>
      <c r="BM978" s="399"/>
      <c r="BN978" s="399"/>
      <c r="BO978" s="399"/>
      <c r="BP978" s="399"/>
      <c r="BQ978" s="399"/>
      <c r="BR978" s="399"/>
      <c r="BS978" s="399"/>
      <c r="BT978" s="399"/>
      <c r="BU978" s="399"/>
      <c r="BV978" s="399"/>
      <c r="BW978" s="399"/>
      <c r="BX978" s="399"/>
      <c r="BY978" s="399"/>
      <c r="BZ978" s="399"/>
      <c r="CA978" s="399"/>
      <c r="CB978" s="399"/>
      <c r="CC978" s="399"/>
      <c r="CD978" s="399"/>
      <c r="CE978" s="399"/>
      <c r="CF978" s="399"/>
      <c r="CG978" s="399"/>
      <c r="CH978" s="399"/>
      <c r="CI978" s="399"/>
      <c r="CJ978" s="399"/>
      <c r="CK978" s="399"/>
      <c r="CL978" s="399"/>
      <c r="CM978" s="399"/>
      <c r="CN978" s="399"/>
      <c r="CO978" s="399"/>
      <c r="CP978" s="399"/>
      <c r="CQ978" s="399"/>
      <c r="CR978" s="399"/>
      <c r="CS978" s="399"/>
      <c r="CT978" s="399"/>
      <c r="CU978" s="399"/>
      <c r="CV978" s="399"/>
      <c r="CW978" s="399"/>
      <c r="CX978" s="399"/>
      <c r="CY978" s="399"/>
      <c r="CZ978" s="399"/>
      <c r="DA978" s="399"/>
      <c r="DB978" s="399"/>
      <c r="DC978" s="399"/>
      <c r="DD978" s="399"/>
      <c r="DE978" s="399"/>
      <c r="DF978" s="399"/>
      <c r="DG978" s="399"/>
      <c r="DH978" s="399"/>
      <c r="DI978" s="399"/>
      <c r="DJ978" s="399"/>
      <c r="DK978" s="399"/>
      <c r="DL978" s="399"/>
      <c r="DM978" s="399"/>
      <c r="DN978" s="399"/>
      <c r="DO978" s="399"/>
      <c r="DP978" s="399"/>
      <c r="DQ978" s="399"/>
    </row>
    <row r="979" spans="1:121" s="760" customFormat="1" ht="14.45" customHeight="1" x14ac:dyDescent="0.25">
      <c r="A979" s="266">
        <f t="shared" si="15"/>
        <v>58.1</v>
      </c>
      <c r="B979" s="389">
        <v>41113</v>
      </c>
      <c r="C979" s="390" t="s">
        <v>451</v>
      </c>
      <c r="D979" s="391" t="s">
        <v>451</v>
      </c>
      <c r="E979" s="390" t="s">
        <v>380</v>
      </c>
      <c r="F979" s="262" t="s">
        <v>237</v>
      </c>
      <c r="G979" s="262" t="s">
        <v>279</v>
      </c>
      <c r="H979" s="261"/>
      <c r="I979" s="763"/>
      <c r="J979" s="261"/>
      <c r="K979" s="261">
        <v>30</v>
      </c>
      <c r="L979" s="261">
        <v>12</v>
      </c>
      <c r="M979" s="261">
        <v>30</v>
      </c>
      <c r="N979" s="261">
        <v>12</v>
      </c>
      <c r="O979" s="261">
        <v>14</v>
      </c>
      <c r="P979" s="261">
        <v>14</v>
      </c>
      <c r="Q979" s="261">
        <v>14</v>
      </c>
      <c r="R979" s="261"/>
      <c r="S979" s="261"/>
      <c r="T979" s="261"/>
      <c r="U979" s="261"/>
      <c r="V979" s="762"/>
      <c r="W979" s="261"/>
      <c r="X979" s="261"/>
      <c r="Y979" s="264">
        <f>IF(NFI_Expiration=1,IF($A979&lt;VLOOKUP(H$5,NFI,5,0),1,0)*Table_NFI[[#This Row],[Hygiene Kit]],Table_NFI[Hygiene Kit])</f>
        <v>0</v>
      </c>
      <c r="Z979" s="264">
        <f>IF(NFI_Expiration=1,IF($A979&lt;VLOOKUP(I$5,NFI,5,0),1,0)*Table_NFI[[#This Row],[NFI Core Kit]],Table_NFI[NFI Core Kit])</f>
        <v>0</v>
      </c>
      <c r="AA979" s="264">
        <f>IF(NFI_Expiration=1,IF($A979&lt;VLOOKUP(J$5,NFI,5,0),1,0)*Table_NFI[[#This Row],[Sanitary Kit]],Table_NFI[Sanitary Kit])</f>
        <v>0</v>
      </c>
      <c r="AB979" s="264">
        <f>IF(NFI_Expiration=1,IF($A979&lt;VLOOKUP(K$5,NFI,5,0),1,0)*Table_NFI[[#This Row],[Mosquito net]],Table_NFI[Mosquito net])</f>
        <v>0</v>
      </c>
      <c r="AC979" s="264">
        <f>IF(NFI_Expiration=1,IF($A979&lt;VLOOKUP(L$5,NFI,5,0),1,0)*Table_NFI[[#This Row],[Tarpaulin]],Table_NFI[[#This Row],[Tarpaulin]])</f>
        <v>0</v>
      </c>
      <c r="AD979" s="264">
        <f>IF(NFI_Expiration=1,IF($A979&lt;VLOOKUP(M$5,NFI,5,0),1,0)*Table_NFI[[#This Row],[Blanket]],Table_NFI[[#This Row],[Blanket]])</f>
        <v>0</v>
      </c>
      <c r="AE979" s="264">
        <f>IF(NFI_Expiration=1,IF($A979&lt;VLOOKUP(N$5,NFI,5,0),1,0)*Table_NFI[[#This Row],[Kitchen Set]],Table_NFI[Kitchen Set])</f>
        <v>0</v>
      </c>
      <c r="AF979" s="264">
        <f>IF(NFI_Expiration=1,IF($A979&lt;VLOOKUP(O$5,NFI,5,0),1,0)*Table_NFI[[#This Row],[Clothes Kit]],Table_NFI[Clothes Kit])</f>
        <v>0</v>
      </c>
      <c r="AG979" s="264">
        <f>IF(NFI_Expiration=1,IF($A979&lt;VLOOKUP(P$5,NFI,5,0),1,0)*Table_NFI[[#This Row],[Plastic Bucket]],Table_NFI[Plastic Bucket])</f>
        <v>0</v>
      </c>
      <c r="AH979" s="264">
        <f>IF(NFI_Expiration=1,IF($A979&lt;VLOOKUP(Q$5,NFI,5,0),1,0)*Table_NFI[[#This Row],[Plastic Mat]],Table_NFI[Plastic Mat])*IF(Table_NFI[[#This Row],[Distribution Date]]&gt;"2014-04-01",1,2.5)</f>
        <v>0</v>
      </c>
      <c r="AI979" s="264">
        <f>IF(NFI_Expiration=1,IF($A979&lt;VLOOKUP(R$5,NFI,5,0),1,0)*Table_NFI[[#This Row],[Winter Clothes Adult]],Table_NFI[Winter Clothes Adult])</f>
        <v>0</v>
      </c>
      <c r="AJ979" s="264">
        <f>IF(NFI_Expiration=1,IF($A979&lt;VLOOKUP(S$5,NFI,5,0),1,0)*Table_NFI[[#This Row],[Winter Clothes Children]],Table_NFI[Winter Clothes Children])</f>
        <v>0</v>
      </c>
      <c r="AK979" s="264">
        <f>IF(NFI_Expiration=1,IF($A979&lt;VLOOKUP(T$5,NFI,5,0),1,0)*Table_NFI[[#This Row],[Winter Items Other]],Table_NFI[Winter Items Other])</f>
        <v>0</v>
      </c>
      <c r="AL979" s="264">
        <f>IF(NFI_Expiration=1,IF($A979&lt;VLOOKUP(M$5,NFI,5,0),1,0)*Table_NFI[[#This Row],[Winter Blanket]],Table_NFI[[#This Row],[Winter Blanket]])</f>
        <v>0</v>
      </c>
      <c r="AM979" s="264">
        <f>IF(Table_NFI[[#This Row],[Winter Clothes Adult]]+Table_NFI[[#This Row],[Winter Clothes Children]]+Table_NFI[[#This Row],[Winter Items Other]]+Table_NFI[[#This Row],[Winter Blanket]]&gt;0,1,0)</f>
        <v>0</v>
      </c>
      <c r="AN979" s="296">
        <f>IF(NFI_Expiration=1,IF($A979&lt;VLOOKUP(V$5,NFI,5,0),1,0)*Table_NFI[[#This Row],[Jerry Can]],Table_NFI[Jerry Can])</f>
        <v>0</v>
      </c>
      <c r="AO979" s="296">
        <f>IF(NFI_Expiration=1,IF($A979&lt;VLOOKUP(V$5,NFI,5,0),1,0)*Table_NFI[[#This Row],[Shelter Tool kit]],Table_NFI[Shelter Tool kit])</f>
        <v>0</v>
      </c>
      <c r="AP979" s="296">
        <f>IF(NFI_Expiration=1,IF($A979&lt;VLOOKUP(V$5,NFI,5,0),1,0)*Table_NFI[[#This Row],[Tent]],Table_NFI[Tent])</f>
        <v>0</v>
      </c>
      <c r="AQ979" s="396" t="str">
        <f>IFERROR(VLOOKUP(Table_NFI[[#This Row],[Camp Name]],CL,2,0),"")</f>
        <v>MMR001CMP007</v>
      </c>
      <c r="AR979" s="702">
        <f ca="1">IF(Table_NFI[[#This Row],[Pcode]]="","",IF(OFFSET(CampList[Opening Date],MATCH(Table_NFI[[#This Row],[Pcode]],CampList[CP_Pcode],0)-1,0,1,1)&gt;=NFI_Monitor_Date,1,0))</f>
        <v>0</v>
      </c>
      <c r="AS979" s="396" t="str">
        <f>IFERROR(VLOOKUP(Table_NFI[[#This Row],[Camp Name]],CL,3,0),"")</f>
        <v>Open</v>
      </c>
      <c r="AT979" s="264" t="str">
        <f ca="1">IF(Table_NFI[[#This Row],[Pcode]]="","",OFFSET(CampList[Priority],MATCH(Table_NFI[[#This Row],[Pcode]],CampList[CP_Pcode],0)-1,0,1,1))</f>
        <v>P4</v>
      </c>
      <c r="AU979" s="263">
        <f>IFERROR(Table_NFI[[#This Row],[Kitchen Set]]/VLOOKUP(Table_NFI[[#This Row],[Camp Name]],CL,4,0),"")</f>
        <v>2.9333398518663372E-4</v>
      </c>
      <c r="AV979" s="390" t="s">
        <v>1087</v>
      </c>
      <c r="AW979" s="392"/>
      <c r="AX979" s="399"/>
      <c r="AY979" s="399"/>
      <c r="AZ979" s="399"/>
      <c r="BA979" s="399"/>
      <c r="BB979" s="399"/>
      <c r="BC979" s="399"/>
      <c r="BD979" s="399"/>
      <c r="BE979" s="399"/>
      <c r="BF979" s="399"/>
      <c r="BG979" s="399"/>
      <c r="BH979" s="399"/>
      <c r="BI979" s="399"/>
      <c r="BJ979" s="399"/>
      <c r="BK979" s="399"/>
      <c r="BL979" s="399"/>
      <c r="BM979" s="399"/>
      <c r="BN979" s="399"/>
      <c r="BO979" s="399"/>
      <c r="BP979" s="399"/>
      <c r="BQ979" s="399"/>
      <c r="BR979" s="399"/>
      <c r="BS979" s="399"/>
      <c r="BT979" s="399"/>
      <c r="BU979" s="399"/>
      <c r="BV979" s="399"/>
      <c r="BW979" s="399"/>
      <c r="BX979" s="399"/>
      <c r="BY979" s="399"/>
      <c r="BZ979" s="399"/>
      <c r="CA979" s="399"/>
      <c r="CB979" s="399"/>
      <c r="CC979" s="399"/>
      <c r="CD979" s="399"/>
      <c r="CE979" s="399"/>
      <c r="CF979" s="399"/>
      <c r="CG979" s="399"/>
      <c r="CH979" s="399"/>
      <c r="CI979" s="399"/>
      <c r="CJ979" s="399"/>
      <c r="CK979" s="399"/>
      <c r="CL979" s="399"/>
      <c r="CM979" s="399"/>
      <c r="CN979" s="399"/>
      <c r="CO979" s="399"/>
      <c r="CP979" s="399"/>
      <c r="CQ979" s="399"/>
      <c r="CR979" s="399"/>
      <c r="CS979" s="399"/>
      <c r="CT979" s="399"/>
      <c r="CU979" s="399"/>
      <c r="CV979" s="399"/>
      <c r="CW979" s="399"/>
      <c r="CX979" s="399"/>
      <c r="CY979" s="399"/>
      <c r="CZ979" s="399"/>
      <c r="DA979" s="399"/>
      <c r="DB979" s="399"/>
      <c r="DC979" s="399"/>
      <c r="DD979" s="399"/>
      <c r="DE979" s="399"/>
      <c r="DF979" s="399"/>
      <c r="DG979" s="399"/>
      <c r="DH979" s="399"/>
      <c r="DI979" s="399"/>
      <c r="DJ979" s="399"/>
      <c r="DK979" s="399"/>
      <c r="DL979" s="399"/>
      <c r="DM979" s="399"/>
      <c r="DN979" s="399"/>
      <c r="DO979" s="399"/>
      <c r="DP979" s="399"/>
      <c r="DQ979" s="399"/>
    </row>
    <row r="980" spans="1:121" s="760" customFormat="1" ht="14.45" customHeight="1" x14ac:dyDescent="0.25">
      <c r="A980" s="266">
        <f t="shared" si="15"/>
        <v>58.1</v>
      </c>
      <c r="B980" s="389">
        <v>41113</v>
      </c>
      <c r="C980" s="390" t="s">
        <v>451</v>
      </c>
      <c r="D980" s="390" t="s">
        <v>451</v>
      </c>
      <c r="E980" s="390" t="s">
        <v>380</v>
      </c>
      <c r="F980" s="262" t="s">
        <v>237</v>
      </c>
      <c r="G980" s="262" t="s">
        <v>275</v>
      </c>
      <c r="H980" s="261"/>
      <c r="I980" s="261"/>
      <c r="J980" s="261"/>
      <c r="K980" s="261">
        <v>24</v>
      </c>
      <c r="L980" s="261">
        <v>8</v>
      </c>
      <c r="M980" s="261">
        <v>24</v>
      </c>
      <c r="N980" s="261">
        <v>8</v>
      </c>
      <c r="O980" s="261">
        <v>13</v>
      </c>
      <c r="P980" s="261">
        <v>13</v>
      </c>
      <c r="Q980" s="261">
        <v>13</v>
      </c>
      <c r="R980" s="261"/>
      <c r="S980" s="261"/>
      <c r="T980" s="261"/>
      <c r="U980" s="261"/>
      <c r="V980" s="762"/>
      <c r="W980" s="261"/>
      <c r="X980" s="261"/>
      <c r="Y980" s="264">
        <f>IF(NFI_Expiration=1,IF($A980&lt;VLOOKUP(H$5,NFI,5,0),1,0)*Table_NFI[[#This Row],[Hygiene Kit]],Table_NFI[Hygiene Kit])</f>
        <v>0</v>
      </c>
      <c r="Z980" s="264">
        <f>IF(NFI_Expiration=1,IF($A980&lt;VLOOKUP(I$5,NFI,5,0),1,0)*Table_NFI[[#This Row],[NFI Core Kit]],Table_NFI[NFI Core Kit])</f>
        <v>0</v>
      </c>
      <c r="AA980" s="264">
        <f>IF(NFI_Expiration=1,IF($A980&lt;VLOOKUP(J$5,NFI,5,0),1,0)*Table_NFI[[#This Row],[Sanitary Kit]],Table_NFI[Sanitary Kit])</f>
        <v>0</v>
      </c>
      <c r="AB980" s="264">
        <f>IF(NFI_Expiration=1,IF($A980&lt;VLOOKUP(K$5,NFI,5,0),1,0)*Table_NFI[[#This Row],[Mosquito net]],Table_NFI[Mosquito net])</f>
        <v>0</v>
      </c>
      <c r="AC980" s="264">
        <f>IF(NFI_Expiration=1,IF($A980&lt;VLOOKUP(L$5,NFI,5,0),1,0)*Table_NFI[[#This Row],[Tarpaulin]],Table_NFI[[#This Row],[Tarpaulin]])</f>
        <v>0</v>
      </c>
      <c r="AD980" s="264">
        <f>IF(NFI_Expiration=1,IF($A980&lt;VLOOKUP(M$5,NFI,5,0),1,0)*Table_NFI[[#This Row],[Blanket]],Table_NFI[[#This Row],[Blanket]])</f>
        <v>0</v>
      </c>
      <c r="AE980" s="264">
        <f>IF(NFI_Expiration=1,IF($A980&lt;VLOOKUP(N$5,NFI,5,0),1,0)*Table_NFI[[#This Row],[Kitchen Set]],Table_NFI[Kitchen Set])</f>
        <v>0</v>
      </c>
      <c r="AF980" s="264">
        <f>IF(NFI_Expiration=1,IF($A980&lt;VLOOKUP(O$5,NFI,5,0),1,0)*Table_NFI[[#This Row],[Clothes Kit]],Table_NFI[Clothes Kit])</f>
        <v>0</v>
      </c>
      <c r="AG980" s="264">
        <f>IF(NFI_Expiration=1,IF($A980&lt;VLOOKUP(P$5,NFI,5,0),1,0)*Table_NFI[[#This Row],[Plastic Bucket]],Table_NFI[Plastic Bucket])</f>
        <v>0</v>
      </c>
      <c r="AH980" s="264">
        <f>IF(NFI_Expiration=1,IF($A980&lt;VLOOKUP(Q$5,NFI,5,0),1,0)*Table_NFI[[#This Row],[Plastic Mat]],Table_NFI[Plastic Mat])*IF(Table_NFI[[#This Row],[Distribution Date]]&gt;"2014-04-01",1,2.5)</f>
        <v>0</v>
      </c>
      <c r="AI980" s="264">
        <f>IF(NFI_Expiration=1,IF($A980&lt;VLOOKUP(R$5,NFI,5,0),1,0)*Table_NFI[[#This Row],[Winter Clothes Adult]],Table_NFI[Winter Clothes Adult])</f>
        <v>0</v>
      </c>
      <c r="AJ980" s="264">
        <f>IF(NFI_Expiration=1,IF($A980&lt;VLOOKUP(S$5,NFI,5,0),1,0)*Table_NFI[[#This Row],[Winter Clothes Children]],Table_NFI[Winter Clothes Children])</f>
        <v>0</v>
      </c>
      <c r="AK980" s="264">
        <f>IF(NFI_Expiration=1,IF($A980&lt;VLOOKUP(T$5,NFI,5,0),1,0)*Table_NFI[[#This Row],[Winter Items Other]],Table_NFI[Winter Items Other])</f>
        <v>0</v>
      </c>
      <c r="AL980" s="264">
        <f>IF(NFI_Expiration=1,IF($A980&lt;VLOOKUP(M$5,NFI,5,0),1,0)*Table_NFI[[#This Row],[Winter Blanket]],Table_NFI[[#This Row],[Winter Blanket]])</f>
        <v>0</v>
      </c>
      <c r="AM980" s="264">
        <f>IF(Table_NFI[[#This Row],[Winter Clothes Adult]]+Table_NFI[[#This Row],[Winter Clothes Children]]+Table_NFI[[#This Row],[Winter Items Other]]+Table_NFI[[#This Row],[Winter Blanket]]&gt;0,1,0)</f>
        <v>0</v>
      </c>
      <c r="AN980" s="296">
        <f>IF(NFI_Expiration=1,IF($A980&lt;VLOOKUP(V$5,NFI,5,0),1,0)*Table_NFI[[#This Row],[Jerry Can]],Table_NFI[Jerry Can])</f>
        <v>0</v>
      </c>
      <c r="AO980" s="296">
        <f>IF(NFI_Expiration=1,IF($A980&lt;VLOOKUP(V$5,NFI,5,0),1,0)*Table_NFI[[#This Row],[Shelter Tool kit]],Table_NFI[Shelter Tool kit])</f>
        <v>0</v>
      </c>
      <c r="AP980" s="296">
        <f>IF(NFI_Expiration=1,IF($A980&lt;VLOOKUP(V$5,NFI,5,0),1,0)*Table_NFI[[#This Row],[Tent]],Table_NFI[Tent])</f>
        <v>0</v>
      </c>
      <c r="AQ980" s="396" t="str">
        <f>IFERROR(VLOOKUP(Table_NFI[[#This Row],[Camp Name]],CL,2,0),"")</f>
        <v>MMR001CMP005</v>
      </c>
      <c r="AR980" s="702">
        <f ca="1">IF(Table_NFI[[#This Row],[Pcode]]="","",IF(OFFSET(CampList[Opening Date],MATCH(Table_NFI[[#This Row],[Pcode]],CampList[CP_Pcode],0)-1,0,1,1)&gt;=NFI_Monitor_Date,1,0))</f>
        <v>0</v>
      </c>
      <c r="AS980" s="396" t="str">
        <f>IFERROR(VLOOKUP(Table_NFI[[#This Row],[Camp Name]],CL,3,0),"")</f>
        <v>Open</v>
      </c>
      <c r="AT980" s="264" t="str">
        <f ca="1">IF(Table_NFI[[#This Row],[Pcode]]="","",OFFSET(CampList[Priority],MATCH(Table_NFI[[#This Row],[Pcode]],CampList[CP_Pcode],0)-1,0,1,1))</f>
        <v>P4</v>
      </c>
      <c r="AU980" s="263">
        <f>IFERROR(Table_NFI[[#This Row],[Kitchen Set]]/VLOOKUP(Table_NFI[[#This Row],[Camp Name]],CL,4,0),"")</f>
        <v>1.9599676605336011E-4</v>
      </c>
      <c r="AV980" s="390" t="s">
        <v>1087</v>
      </c>
      <c r="AW980" s="392"/>
      <c r="AX980" s="399"/>
      <c r="AY980" s="399"/>
      <c r="AZ980" s="399"/>
      <c r="BA980" s="399"/>
      <c r="BB980" s="399"/>
      <c r="BC980" s="399"/>
      <c r="BD980" s="399"/>
      <c r="BE980" s="399"/>
      <c r="BF980" s="399"/>
      <c r="BG980" s="399"/>
      <c r="BH980" s="399"/>
      <c r="BI980" s="399"/>
      <c r="BJ980" s="399"/>
      <c r="BK980" s="399"/>
      <c r="BL980" s="399"/>
      <c r="BM980" s="399"/>
      <c r="BN980" s="399"/>
      <c r="BO980" s="399"/>
      <c r="BP980" s="399"/>
      <c r="BQ980" s="399"/>
      <c r="BR980" s="399"/>
      <c r="BS980" s="399"/>
      <c r="BT980" s="399"/>
      <c r="BU980" s="399"/>
      <c r="BV980" s="399"/>
      <c r="BW980" s="399"/>
      <c r="BX980" s="399"/>
      <c r="BY980" s="399"/>
      <c r="BZ980" s="399"/>
      <c r="CA980" s="399"/>
      <c r="CB980" s="399"/>
      <c r="CC980" s="399"/>
      <c r="CD980" s="399"/>
      <c r="CE980" s="399"/>
      <c r="CF980" s="399"/>
      <c r="CG980" s="399"/>
      <c r="CH980" s="399"/>
      <c r="CI980" s="399"/>
      <c r="CJ980" s="399"/>
      <c r="CK980" s="399"/>
      <c r="CL980" s="399"/>
      <c r="CM980" s="399"/>
      <c r="CN980" s="399"/>
      <c r="CO980" s="399"/>
      <c r="CP980" s="399"/>
      <c r="CQ980" s="399"/>
      <c r="CR980" s="399"/>
      <c r="CS980" s="399"/>
      <c r="CT980" s="399"/>
      <c r="CU980" s="399"/>
      <c r="CV980" s="399"/>
      <c r="CW980" s="399"/>
      <c r="CX980" s="399"/>
      <c r="CY980" s="399"/>
      <c r="CZ980" s="399"/>
      <c r="DA980" s="399"/>
      <c r="DB980" s="399"/>
      <c r="DC980" s="399"/>
      <c r="DD980" s="399"/>
      <c r="DE980" s="399"/>
      <c r="DF980" s="399"/>
      <c r="DG980" s="399"/>
      <c r="DH980" s="399"/>
      <c r="DI980" s="399"/>
      <c r="DJ980" s="399"/>
      <c r="DK980" s="399"/>
      <c r="DL980" s="399"/>
      <c r="DM980" s="399"/>
      <c r="DN980" s="399"/>
      <c r="DO980" s="399"/>
      <c r="DP980" s="399"/>
      <c r="DQ980" s="399"/>
    </row>
    <row r="981" spans="1:121" s="760" customFormat="1" ht="14.45" customHeight="1" x14ac:dyDescent="0.25">
      <c r="A981" s="266">
        <f t="shared" si="15"/>
        <v>58.233333333333334</v>
      </c>
      <c r="B981" s="389">
        <v>41109</v>
      </c>
      <c r="C981" s="390" t="s">
        <v>451</v>
      </c>
      <c r="D981" s="391" t="s">
        <v>451</v>
      </c>
      <c r="E981" s="390" t="s">
        <v>380</v>
      </c>
      <c r="F981" s="262" t="s">
        <v>237</v>
      </c>
      <c r="G981" s="262" t="s">
        <v>257</v>
      </c>
      <c r="H981" s="261"/>
      <c r="I981" s="261"/>
      <c r="J981" s="261"/>
      <c r="K981" s="261">
        <v>6</v>
      </c>
      <c r="L981" s="261">
        <v>4</v>
      </c>
      <c r="M981" s="261">
        <v>6</v>
      </c>
      <c r="N981" s="261">
        <v>4</v>
      </c>
      <c r="O981" s="261">
        <v>4</v>
      </c>
      <c r="P981" s="261">
        <v>4</v>
      </c>
      <c r="Q981" s="261">
        <v>4</v>
      </c>
      <c r="R981" s="261"/>
      <c r="S981" s="261"/>
      <c r="T981" s="261"/>
      <c r="U981" s="261"/>
      <c r="V981" s="762"/>
      <c r="W981" s="261"/>
      <c r="X981" s="261"/>
      <c r="Y981" s="264">
        <f>IF(NFI_Expiration=1,IF($A981&lt;VLOOKUP(H$5,NFI,5,0),1,0)*Table_NFI[[#This Row],[Hygiene Kit]],Table_NFI[Hygiene Kit])</f>
        <v>0</v>
      </c>
      <c r="Z981" s="264">
        <f>IF(NFI_Expiration=1,IF($A981&lt;VLOOKUP(I$5,NFI,5,0),1,0)*Table_NFI[[#This Row],[NFI Core Kit]],Table_NFI[NFI Core Kit])</f>
        <v>0</v>
      </c>
      <c r="AA981" s="264">
        <f>IF(NFI_Expiration=1,IF($A981&lt;VLOOKUP(J$5,NFI,5,0),1,0)*Table_NFI[[#This Row],[Sanitary Kit]],Table_NFI[Sanitary Kit])</f>
        <v>0</v>
      </c>
      <c r="AB981" s="264">
        <f>IF(NFI_Expiration=1,IF($A981&lt;VLOOKUP(K$5,NFI,5,0),1,0)*Table_NFI[[#This Row],[Mosquito net]],Table_NFI[Mosquito net])</f>
        <v>0</v>
      </c>
      <c r="AC981" s="264">
        <f>IF(NFI_Expiration=1,IF($A981&lt;VLOOKUP(L$5,NFI,5,0),1,0)*Table_NFI[[#This Row],[Tarpaulin]],Table_NFI[[#This Row],[Tarpaulin]])</f>
        <v>0</v>
      </c>
      <c r="AD981" s="264">
        <f>IF(NFI_Expiration=1,IF($A981&lt;VLOOKUP(M$5,NFI,5,0),1,0)*Table_NFI[[#This Row],[Blanket]],Table_NFI[[#This Row],[Blanket]])</f>
        <v>0</v>
      </c>
      <c r="AE981" s="264">
        <f>IF(NFI_Expiration=1,IF($A981&lt;VLOOKUP(N$5,NFI,5,0),1,0)*Table_NFI[[#This Row],[Kitchen Set]],Table_NFI[Kitchen Set])</f>
        <v>0</v>
      </c>
      <c r="AF981" s="264">
        <f>IF(NFI_Expiration=1,IF($A981&lt;VLOOKUP(O$5,NFI,5,0),1,0)*Table_NFI[[#This Row],[Clothes Kit]],Table_NFI[Clothes Kit])</f>
        <v>0</v>
      </c>
      <c r="AG981" s="264">
        <f>IF(NFI_Expiration=1,IF($A981&lt;VLOOKUP(P$5,NFI,5,0),1,0)*Table_NFI[[#This Row],[Plastic Bucket]],Table_NFI[Plastic Bucket])</f>
        <v>0</v>
      </c>
      <c r="AH981" s="264">
        <f>IF(NFI_Expiration=1,IF($A981&lt;VLOOKUP(Q$5,NFI,5,0),1,0)*Table_NFI[[#This Row],[Plastic Mat]],Table_NFI[Plastic Mat])*IF(Table_NFI[[#This Row],[Distribution Date]]&gt;"2014-04-01",1,2.5)</f>
        <v>0</v>
      </c>
      <c r="AI981" s="264">
        <f>IF(NFI_Expiration=1,IF($A981&lt;VLOOKUP(R$5,NFI,5,0),1,0)*Table_NFI[[#This Row],[Winter Clothes Adult]],Table_NFI[Winter Clothes Adult])</f>
        <v>0</v>
      </c>
      <c r="AJ981" s="264">
        <f>IF(NFI_Expiration=1,IF($A981&lt;VLOOKUP(S$5,NFI,5,0),1,0)*Table_NFI[[#This Row],[Winter Clothes Children]],Table_NFI[Winter Clothes Children])</f>
        <v>0</v>
      </c>
      <c r="AK981" s="264">
        <f>IF(NFI_Expiration=1,IF($A981&lt;VLOOKUP(T$5,NFI,5,0),1,0)*Table_NFI[[#This Row],[Winter Items Other]],Table_NFI[Winter Items Other])</f>
        <v>0</v>
      </c>
      <c r="AL981" s="264">
        <f>IF(NFI_Expiration=1,IF($A981&lt;VLOOKUP(M$5,NFI,5,0),1,0)*Table_NFI[[#This Row],[Winter Blanket]],Table_NFI[[#This Row],[Winter Blanket]])</f>
        <v>0</v>
      </c>
      <c r="AM981" s="264">
        <f>IF(Table_NFI[[#This Row],[Winter Clothes Adult]]+Table_NFI[[#This Row],[Winter Clothes Children]]+Table_NFI[[#This Row],[Winter Items Other]]+Table_NFI[[#This Row],[Winter Blanket]]&gt;0,1,0)</f>
        <v>0</v>
      </c>
      <c r="AN981" s="296">
        <f>IF(NFI_Expiration=1,IF($A981&lt;VLOOKUP(V$5,NFI,5,0),1,0)*Table_NFI[[#This Row],[Jerry Can]],Table_NFI[Jerry Can])</f>
        <v>0</v>
      </c>
      <c r="AO981" s="296">
        <f>IF(NFI_Expiration=1,IF($A981&lt;VLOOKUP(V$5,NFI,5,0),1,0)*Table_NFI[[#This Row],[Shelter Tool kit]],Table_NFI[Shelter Tool kit])</f>
        <v>0</v>
      </c>
      <c r="AP981" s="296">
        <f>IF(NFI_Expiration=1,IF($A981&lt;VLOOKUP(V$5,NFI,5,0),1,0)*Table_NFI[[#This Row],[Tent]],Table_NFI[Tent])</f>
        <v>0</v>
      </c>
      <c r="AQ981" s="396" t="str">
        <f>IFERROR(VLOOKUP(Table_NFI[[#This Row],[Camp Name]],CL,2,0),"")</f>
        <v>MMR001CMP013</v>
      </c>
      <c r="AR981" s="702">
        <f ca="1">IF(Table_NFI[[#This Row],[Pcode]]="","",IF(OFFSET(CampList[Opening Date],MATCH(Table_NFI[[#This Row],[Pcode]],CampList[CP_Pcode],0)-1,0,1,1)&gt;=NFI_Monitor_Date,1,0))</f>
        <v>0</v>
      </c>
      <c r="AS981" s="396" t="str">
        <f>IFERROR(VLOOKUP(Table_NFI[[#This Row],[Camp Name]],CL,3,0),"")</f>
        <v>Open</v>
      </c>
      <c r="AT981" s="264" t="str">
        <f ca="1">IF(Table_NFI[[#This Row],[Pcode]]="","",OFFSET(CampList[Priority],MATCH(Table_NFI[[#This Row],[Pcode]],CampList[CP_Pcode],0)-1,0,1,1))</f>
        <v>P4</v>
      </c>
      <c r="AU981" s="263">
        <f>IFERROR(Table_NFI[[#This Row],[Kitchen Set]]/VLOOKUP(Table_NFI[[#This Row],[Camp Name]],CL,4,0),"")</f>
        <v>9.7777995062211254E-5</v>
      </c>
      <c r="AV981" s="390" t="s">
        <v>1087</v>
      </c>
      <c r="AW981" s="392"/>
      <c r="AX981" s="399"/>
      <c r="AY981" s="399"/>
      <c r="AZ981" s="399"/>
      <c r="BA981" s="399"/>
      <c r="BB981" s="399"/>
      <c r="BC981" s="399"/>
      <c r="BD981" s="399"/>
      <c r="BE981" s="399"/>
      <c r="BF981" s="399"/>
      <c r="BG981" s="399"/>
      <c r="BH981" s="399"/>
      <c r="BI981" s="399"/>
      <c r="BJ981" s="399"/>
      <c r="BK981" s="399"/>
      <c r="BL981" s="399"/>
      <c r="BM981" s="399"/>
      <c r="BN981" s="399"/>
      <c r="BO981" s="399"/>
      <c r="BP981" s="399"/>
      <c r="BQ981" s="399"/>
      <c r="BR981" s="399"/>
      <c r="BS981" s="399"/>
      <c r="BT981" s="399"/>
      <c r="BU981" s="399"/>
      <c r="BV981" s="399"/>
      <c r="BW981" s="399"/>
      <c r="BX981" s="399"/>
      <c r="BY981" s="399"/>
      <c r="BZ981" s="399"/>
      <c r="CA981" s="399"/>
      <c r="CB981" s="399"/>
      <c r="CC981" s="399"/>
      <c r="CD981" s="399"/>
      <c r="CE981" s="399"/>
      <c r="CF981" s="399"/>
      <c r="CG981" s="399"/>
      <c r="CH981" s="399"/>
      <c r="CI981" s="399"/>
      <c r="CJ981" s="399"/>
      <c r="CK981" s="399"/>
      <c r="CL981" s="399"/>
      <c r="CM981" s="399"/>
      <c r="CN981" s="399"/>
      <c r="CO981" s="399"/>
      <c r="CP981" s="399"/>
      <c r="CQ981" s="399"/>
      <c r="CR981" s="399"/>
      <c r="CS981" s="399"/>
      <c r="CT981" s="399"/>
      <c r="CU981" s="399"/>
      <c r="CV981" s="399"/>
      <c r="CW981" s="399"/>
      <c r="CX981" s="399"/>
      <c r="CY981" s="399"/>
      <c r="CZ981" s="399"/>
      <c r="DA981" s="399"/>
      <c r="DB981" s="399"/>
      <c r="DC981" s="399"/>
      <c r="DD981" s="399"/>
      <c r="DE981" s="399"/>
      <c r="DF981" s="399"/>
      <c r="DG981" s="399"/>
      <c r="DH981" s="399"/>
      <c r="DI981" s="399"/>
      <c r="DJ981" s="399"/>
      <c r="DK981" s="399"/>
      <c r="DL981" s="399"/>
      <c r="DM981" s="399"/>
      <c r="DN981" s="399"/>
      <c r="DO981" s="399"/>
      <c r="DP981" s="399"/>
      <c r="DQ981" s="399"/>
    </row>
    <row r="982" spans="1:121" s="760" customFormat="1" ht="14.45" customHeight="1" x14ac:dyDescent="0.25">
      <c r="A982" s="266">
        <f t="shared" si="15"/>
        <v>58.233333333333334</v>
      </c>
      <c r="B982" s="389">
        <v>41109</v>
      </c>
      <c r="C982" s="390" t="s">
        <v>451</v>
      </c>
      <c r="D982" s="390" t="s">
        <v>451</v>
      </c>
      <c r="E982" s="390" t="s">
        <v>380</v>
      </c>
      <c r="F982" s="262" t="s">
        <v>237</v>
      </c>
      <c r="G982" s="262" t="s">
        <v>1232</v>
      </c>
      <c r="H982" s="261"/>
      <c r="I982" s="261"/>
      <c r="J982" s="261"/>
      <c r="K982" s="261">
        <v>3</v>
      </c>
      <c r="L982" s="261">
        <v>2</v>
      </c>
      <c r="M982" s="261">
        <v>3</v>
      </c>
      <c r="N982" s="261">
        <v>2</v>
      </c>
      <c r="O982" s="261">
        <v>2</v>
      </c>
      <c r="P982" s="261">
        <v>2</v>
      </c>
      <c r="Q982" s="261">
        <v>2</v>
      </c>
      <c r="R982" s="261"/>
      <c r="S982" s="261"/>
      <c r="T982" s="261"/>
      <c r="U982" s="261"/>
      <c r="V982" s="762"/>
      <c r="W982" s="261"/>
      <c r="X982" s="261"/>
      <c r="Y982" s="264">
        <f>IF(NFI_Expiration=1,IF($A982&lt;VLOOKUP(H$5,NFI,5,0),1,0)*Table_NFI[[#This Row],[Hygiene Kit]],Table_NFI[Hygiene Kit])</f>
        <v>0</v>
      </c>
      <c r="Z982" s="264">
        <f>IF(NFI_Expiration=1,IF($A982&lt;VLOOKUP(I$5,NFI,5,0),1,0)*Table_NFI[[#This Row],[NFI Core Kit]],Table_NFI[NFI Core Kit])</f>
        <v>0</v>
      </c>
      <c r="AA982" s="264">
        <f>IF(NFI_Expiration=1,IF($A982&lt;VLOOKUP(J$5,NFI,5,0),1,0)*Table_NFI[[#This Row],[Sanitary Kit]],Table_NFI[Sanitary Kit])</f>
        <v>0</v>
      </c>
      <c r="AB982" s="264">
        <f>IF(NFI_Expiration=1,IF($A982&lt;VLOOKUP(K$5,NFI,5,0),1,0)*Table_NFI[[#This Row],[Mosquito net]],Table_NFI[Mosquito net])</f>
        <v>0</v>
      </c>
      <c r="AC982" s="264">
        <f>IF(NFI_Expiration=1,IF($A982&lt;VLOOKUP(L$5,NFI,5,0),1,0)*Table_NFI[[#This Row],[Tarpaulin]],Table_NFI[[#This Row],[Tarpaulin]])</f>
        <v>0</v>
      </c>
      <c r="AD982" s="264">
        <f>IF(NFI_Expiration=1,IF($A982&lt;VLOOKUP(M$5,NFI,5,0),1,0)*Table_NFI[[#This Row],[Blanket]],Table_NFI[[#This Row],[Blanket]])</f>
        <v>0</v>
      </c>
      <c r="AE982" s="264">
        <f>IF(NFI_Expiration=1,IF($A982&lt;VLOOKUP(N$5,NFI,5,0),1,0)*Table_NFI[[#This Row],[Kitchen Set]],Table_NFI[Kitchen Set])</f>
        <v>0</v>
      </c>
      <c r="AF982" s="264">
        <f>IF(NFI_Expiration=1,IF($A982&lt;VLOOKUP(O$5,NFI,5,0),1,0)*Table_NFI[[#This Row],[Clothes Kit]],Table_NFI[Clothes Kit])</f>
        <v>0</v>
      </c>
      <c r="AG982" s="264">
        <f>IF(NFI_Expiration=1,IF($A982&lt;VLOOKUP(P$5,NFI,5,0),1,0)*Table_NFI[[#This Row],[Plastic Bucket]],Table_NFI[Plastic Bucket])</f>
        <v>0</v>
      </c>
      <c r="AH982" s="264">
        <f>IF(NFI_Expiration=1,IF($A982&lt;VLOOKUP(Q$5,NFI,5,0),1,0)*Table_NFI[[#This Row],[Plastic Mat]],Table_NFI[Plastic Mat])*IF(Table_NFI[[#This Row],[Distribution Date]]&gt;"2014-04-01",1,2.5)</f>
        <v>0</v>
      </c>
      <c r="AI982" s="264">
        <f>IF(NFI_Expiration=1,IF($A982&lt;VLOOKUP(R$5,NFI,5,0),1,0)*Table_NFI[[#This Row],[Winter Clothes Adult]],Table_NFI[Winter Clothes Adult])</f>
        <v>0</v>
      </c>
      <c r="AJ982" s="264">
        <f>IF(NFI_Expiration=1,IF($A982&lt;VLOOKUP(S$5,NFI,5,0),1,0)*Table_NFI[[#This Row],[Winter Clothes Children]],Table_NFI[Winter Clothes Children])</f>
        <v>0</v>
      </c>
      <c r="AK982" s="264">
        <f>IF(NFI_Expiration=1,IF($A982&lt;VLOOKUP(T$5,NFI,5,0),1,0)*Table_NFI[[#This Row],[Winter Items Other]],Table_NFI[Winter Items Other])</f>
        <v>0</v>
      </c>
      <c r="AL982" s="264">
        <f>IF(NFI_Expiration=1,IF($A982&lt;VLOOKUP(M$5,NFI,5,0),1,0)*Table_NFI[[#This Row],[Winter Blanket]],Table_NFI[[#This Row],[Winter Blanket]])</f>
        <v>0</v>
      </c>
      <c r="AM982" s="264">
        <f>IF(Table_NFI[[#This Row],[Winter Clothes Adult]]+Table_NFI[[#This Row],[Winter Clothes Children]]+Table_NFI[[#This Row],[Winter Items Other]]+Table_NFI[[#This Row],[Winter Blanket]]&gt;0,1,0)</f>
        <v>0</v>
      </c>
      <c r="AN982" s="296">
        <f>IF(NFI_Expiration=1,IF($A982&lt;VLOOKUP(V$5,NFI,5,0),1,0)*Table_NFI[[#This Row],[Jerry Can]],Table_NFI[Jerry Can])</f>
        <v>0</v>
      </c>
      <c r="AO982" s="296">
        <f>IF(NFI_Expiration=1,IF($A982&lt;VLOOKUP(V$5,NFI,5,0),1,0)*Table_NFI[[#This Row],[Shelter Tool kit]],Table_NFI[Shelter Tool kit])</f>
        <v>0</v>
      </c>
      <c r="AP982" s="296">
        <f>IF(NFI_Expiration=1,IF($A982&lt;VLOOKUP(V$5,NFI,5,0),1,0)*Table_NFI[[#This Row],[Tent]],Table_NFI[Tent])</f>
        <v>0</v>
      </c>
      <c r="AQ982" s="396" t="str">
        <f>IFERROR(VLOOKUP(Table_NFI[[#This Row],[Camp Name]],CL,2,0),"")</f>
        <v>MMR001CMP023</v>
      </c>
      <c r="AR982" s="702">
        <f ca="1">IF(Table_NFI[[#This Row],[Pcode]]="","",IF(OFFSET(CampList[Opening Date],MATCH(Table_NFI[[#This Row],[Pcode]],CampList[CP_Pcode],0)-1,0,1,1)&gt;=NFI_Monitor_Date,1,0))</f>
        <v>0</v>
      </c>
      <c r="AS982" s="396" t="str">
        <f>IFERROR(VLOOKUP(Table_NFI[[#This Row],[Camp Name]],CL,3,0),"")</f>
        <v>Open</v>
      </c>
      <c r="AT982" s="264" t="str">
        <f ca="1">IF(Table_NFI[[#This Row],[Pcode]]="","",OFFSET(CampList[Priority],MATCH(Table_NFI[[#This Row],[Pcode]],CampList[CP_Pcode],0)-1,0,1,1))</f>
        <v>P4</v>
      </c>
      <c r="AU982" s="263">
        <f>IFERROR(Table_NFI[[#This Row],[Kitchen Set]]/VLOOKUP(Table_NFI[[#This Row],[Camp Name]],CL,4,0),"")</f>
        <v>4.8780487804878051E-5</v>
      </c>
      <c r="AV982" s="390" t="s">
        <v>1087</v>
      </c>
      <c r="AW982" s="392"/>
      <c r="AX982" s="399"/>
      <c r="AY982" s="399"/>
      <c r="AZ982" s="399"/>
      <c r="BA982" s="399"/>
      <c r="BB982" s="399"/>
      <c r="BC982" s="399"/>
      <c r="BD982" s="399"/>
      <c r="BE982" s="399"/>
      <c r="BF982" s="399"/>
      <c r="BG982" s="399"/>
      <c r="BH982" s="399"/>
      <c r="BI982" s="399"/>
      <c r="BJ982" s="399"/>
      <c r="BK982" s="399"/>
      <c r="BL982" s="399"/>
      <c r="BM982" s="399"/>
      <c r="BN982" s="399"/>
      <c r="BO982" s="399"/>
      <c r="BP982" s="399"/>
      <c r="BQ982" s="399"/>
      <c r="BR982" s="399"/>
      <c r="BS982" s="399"/>
      <c r="BT982" s="399"/>
      <c r="BU982" s="399"/>
      <c r="BV982" s="399"/>
      <c r="BW982" s="399"/>
      <c r="BX982" s="399"/>
      <c r="BY982" s="399"/>
      <c r="BZ982" s="399"/>
      <c r="CA982" s="399"/>
      <c r="CB982" s="399"/>
      <c r="CC982" s="399"/>
      <c r="CD982" s="399"/>
      <c r="CE982" s="399"/>
      <c r="CF982" s="399"/>
      <c r="CG982" s="399"/>
      <c r="CH982" s="399"/>
      <c r="CI982" s="399"/>
      <c r="CJ982" s="399"/>
      <c r="CK982" s="399"/>
      <c r="CL982" s="399"/>
      <c r="CM982" s="399"/>
      <c r="CN982" s="399"/>
      <c r="CO982" s="399"/>
      <c r="CP982" s="399"/>
      <c r="CQ982" s="399"/>
      <c r="CR982" s="399"/>
      <c r="CS982" s="399"/>
      <c r="CT982" s="399"/>
      <c r="CU982" s="399"/>
      <c r="CV982" s="399"/>
      <c r="CW982" s="399"/>
      <c r="CX982" s="399"/>
      <c r="CY982" s="399"/>
      <c r="CZ982" s="399"/>
      <c r="DA982" s="399"/>
      <c r="DB982" s="399"/>
      <c r="DC982" s="399"/>
      <c r="DD982" s="399"/>
      <c r="DE982" s="399"/>
      <c r="DF982" s="399"/>
      <c r="DG982" s="399"/>
      <c r="DH982" s="399"/>
      <c r="DI982" s="399"/>
      <c r="DJ982" s="399"/>
      <c r="DK982" s="399"/>
      <c r="DL982" s="399"/>
      <c r="DM982" s="399"/>
      <c r="DN982" s="399"/>
      <c r="DO982" s="399"/>
      <c r="DP982" s="399"/>
      <c r="DQ982" s="399"/>
    </row>
    <row r="983" spans="1:121" s="760" customFormat="1" ht="14.45" customHeight="1" x14ac:dyDescent="0.25">
      <c r="A983" s="266">
        <f t="shared" si="15"/>
        <v>58.233333333333334</v>
      </c>
      <c r="B983" s="389">
        <v>41109</v>
      </c>
      <c r="C983" s="390" t="s">
        <v>451</v>
      </c>
      <c r="D983" s="390" t="s">
        <v>451</v>
      </c>
      <c r="E983" s="390" t="s">
        <v>380</v>
      </c>
      <c r="F983" s="262" t="s">
        <v>237</v>
      </c>
      <c r="G983" s="262" t="s">
        <v>283</v>
      </c>
      <c r="H983" s="261"/>
      <c r="I983" s="261"/>
      <c r="J983" s="261"/>
      <c r="K983" s="261">
        <v>9</v>
      </c>
      <c r="L983" s="261">
        <v>5</v>
      </c>
      <c r="M983" s="261">
        <v>9</v>
      </c>
      <c r="N983" s="261">
        <v>5</v>
      </c>
      <c r="O983" s="261">
        <v>5</v>
      </c>
      <c r="P983" s="261">
        <v>5</v>
      </c>
      <c r="Q983" s="261">
        <v>5</v>
      </c>
      <c r="R983" s="261"/>
      <c r="S983" s="261"/>
      <c r="T983" s="261"/>
      <c r="U983" s="261"/>
      <c r="V983" s="762"/>
      <c r="W983" s="261"/>
      <c r="X983" s="261"/>
      <c r="Y983" s="264">
        <f>IF(NFI_Expiration=1,IF($A983&lt;VLOOKUP(H$5,NFI,5,0),1,0)*Table_NFI[[#This Row],[Hygiene Kit]],Table_NFI[Hygiene Kit])</f>
        <v>0</v>
      </c>
      <c r="Z983" s="264">
        <f>IF(NFI_Expiration=1,IF($A983&lt;VLOOKUP(I$5,NFI,5,0),1,0)*Table_NFI[[#This Row],[NFI Core Kit]],Table_NFI[NFI Core Kit])</f>
        <v>0</v>
      </c>
      <c r="AA983" s="264">
        <f>IF(NFI_Expiration=1,IF($A983&lt;VLOOKUP(J$5,NFI,5,0),1,0)*Table_NFI[[#This Row],[Sanitary Kit]],Table_NFI[Sanitary Kit])</f>
        <v>0</v>
      </c>
      <c r="AB983" s="264">
        <f>IF(NFI_Expiration=1,IF($A983&lt;VLOOKUP(K$5,NFI,5,0),1,0)*Table_NFI[[#This Row],[Mosquito net]],Table_NFI[Mosquito net])</f>
        <v>0</v>
      </c>
      <c r="AC983" s="264">
        <f>IF(NFI_Expiration=1,IF($A983&lt;VLOOKUP(L$5,NFI,5,0),1,0)*Table_NFI[[#This Row],[Tarpaulin]],Table_NFI[[#This Row],[Tarpaulin]])</f>
        <v>0</v>
      </c>
      <c r="AD983" s="264">
        <f>IF(NFI_Expiration=1,IF($A983&lt;VLOOKUP(M$5,NFI,5,0),1,0)*Table_NFI[[#This Row],[Blanket]],Table_NFI[[#This Row],[Blanket]])</f>
        <v>0</v>
      </c>
      <c r="AE983" s="264">
        <f>IF(NFI_Expiration=1,IF($A983&lt;VLOOKUP(N$5,NFI,5,0),1,0)*Table_NFI[[#This Row],[Kitchen Set]],Table_NFI[Kitchen Set])</f>
        <v>0</v>
      </c>
      <c r="AF983" s="264">
        <f>IF(NFI_Expiration=1,IF($A983&lt;VLOOKUP(O$5,NFI,5,0),1,0)*Table_NFI[[#This Row],[Clothes Kit]],Table_NFI[Clothes Kit])</f>
        <v>0</v>
      </c>
      <c r="AG983" s="264">
        <f>IF(NFI_Expiration=1,IF($A983&lt;VLOOKUP(P$5,NFI,5,0),1,0)*Table_NFI[[#This Row],[Plastic Bucket]],Table_NFI[Plastic Bucket])</f>
        <v>0</v>
      </c>
      <c r="AH983" s="264">
        <f>IF(NFI_Expiration=1,IF($A983&lt;VLOOKUP(Q$5,NFI,5,0),1,0)*Table_NFI[[#This Row],[Plastic Mat]],Table_NFI[Plastic Mat])*IF(Table_NFI[[#This Row],[Distribution Date]]&gt;"2014-04-01",1,2.5)</f>
        <v>0</v>
      </c>
      <c r="AI983" s="264">
        <f>IF(NFI_Expiration=1,IF($A983&lt;VLOOKUP(R$5,NFI,5,0),1,0)*Table_NFI[[#This Row],[Winter Clothes Adult]],Table_NFI[Winter Clothes Adult])</f>
        <v>0</v>
      </c>
      <c r="AJ983" s="264">
        <f>IF(NFI_Expiration=1,IF($A983&lt;VLOOKUP(S$5,NFI,5,0),1,0)*Table_NFI[[#This Row],[Winter Clothes Children]],Table_NFI[Winter Clothes Children])</f>
        <v>0</v>
      </c>
      <c r="AK983" s="264">
        <f>IF(NFI_Expiration=1,IF($A983&lt;VLOOKUP(T$5,NFI,5,0),1,0)*Table_NFI[[#This Row],[Winter Items Other]],Table_NFI[Winter Items Other])</f>
        <v>0</v>
      </c>
      <c r="AL983" s="264">
        <f>IF(NFI_Expiration=1,IF($A983&lt;VLOOKUP(M$5,NFI,5,0),1,0)*Table_NFI[[#This Row],[Winter Blanket]],Table_NFI[[#This Row],[Winter Blanket]])</f>
        <v>0</v>
      </c>
      <c r="AM983" s="264">
        <f>IF(Table_NFI[[#This Row],[Winter Clothes Adult]]+Table_NFI[[#This Row],[Winter Clothes Children]]+Table_NFI[[#This Row],[Winter Items Other]]+Table_NFI[[#This Row],[Winter Blanket]]&gt;0,1,0)</f>
        <v>0</v>
      </c>
      <c r="AN983" s="296">
        <f>IF(NFI_Expiration=1,IF($A983&lt;VLOOKUP(V$5,NFI,5,0),1,0)*Table_NFI[[#This Row],[Jerry Can]],Table_NFI[Jerry Can])</f>
        <v>0</v>
      </c>
      <c r="AO983" s="296">
        <f>IF(NFI_Expiration=1,IF($A983&lt;VLOOKUP(V$5,NFI,5,0),1,0)*Table_NFI[[#This Row],[Shelter Tool kit]],Table_NFI[Shelter Tool kit])</f>
        <v>0</v>
      </c>
      <c r="AP983" s="296">
        <f>IF(NFI_Expiration=1,IF($A983&lt;VLOOKUP(V$5,NFI,5,0),1,0)*Table_NFI[[#This Row],[Tent]],Table_NFI[Tent])</f>
        <v>0</v>
      </c>
      <c r="AQ983" s="396" t="str">
        <f>IFERROR(VLOOKUP(Table_NFI[[#This Row],[Camp Name]],CL,2,0),"")</f>
        <v>MMR001CMP022</v>
      </c>
      <c r="AR983" s="702">
        <f ca="1">IF(Table_NFI[[#This Row],[Pcode]]="","",IF(OFFSET(CampList[Opening Date],MATCH(Table_NFI[[#This Row],[Pcode]],CampList[CP_Pcode],0)-1,0,1,1)&gt;=NFI_Monitor_Date,1,0))</f>
        <v>0</v>
      </c>
      <c r="AS983" s="396" t="str">
        <f>IFERROR(VLOOKUP(Table_NFI[[#This Row],[Camp Name]],CL,3,0),"")</f>
        <v>Open</v>
      </c>
      <c r="AT983" s="264" t="str">
        <f ca="1">IF(Table_NFI[[#This Row],[Pcode]]="","",OFFSET(CampList[Priority],MATCH(Table_NFI[[#This Row],[Pcode]],CampList[CP_Pcode],0)-1,0,1,1))</f>
        <v>P4</v>
      </c>
      <c r="AU983" s="263">
        <f>IFERROR(Table_NFI[[#This Row],[Kitchen Set]]/VLOOKUP(Table_NFI[[#This Row],[Camp Name]],CL,4,0),"")</f>
        <v>1.2195121951219512E-4</v>
      </c>
      <c r="AV983" s="390" t="s">
        <v>1087</v>
      </c>
      <c r="AW983" s="392"/>
      <c r="AX983" s="399"/>
      <c r="AY983" s="399"/>
      <c r="AZ983" s="399"/>
      <c r="BA983" s="399"/>
      <c r="BB983" s="399"/>
      <c r="BC983" s="399"/>
      <c r="BD983" s="399"/>
      <c r="BE983" s="399"/>
      <c r="BF983" s="399"/>
      <c r="BG983" s="399"/>
      <c r="BH983" s="399"/>
      <c r="BI983" s="399"/>
      <c r="BJ983" s="399"/>
      <c r="BK983" s="399"/>
      <c r="BL983" s="399"/>
      <c r="BM983" s="399"/>
      <c r="BN983" s="399"/>
      <c r="BO983" s="399"/>
      <c r="BP983" s="399"/>
      <c r="BQ983" s="399"/>
      <c r="BR983" s="399"/>
      <c r="BS983" s="399"/>
      <c r="BT983" s="399"/>
      <c r="BU983" s="399"/>
      <c r="BV983" s="399"/>
      <c r="BW983" s="399"/>
      <c r="BX983" s="399"/>
      <c r="BY983" s="399"/>
      <c r="BZ983" s="399"/>
      <c r="CA983" s="399"/>
      <c r="CB983" s="399"/>
      <c r="CC983" s="399"/>
      <c r="CD983" s="399"/>
      <c r="CE983" s="399"/>
      <c r="CF983" s="399"/>
      <c r="CG983" s="399"/>
      <c r="CH983" s="399"/>
      <c r="CI983" s="399"/>
      <c r="CJ983" s="399"/>
      <c r="CK983" s="399"/>
      <c r="CL983" s="399"/>
      <c r="CM983" s="399"/>
      <c r="CN983" s="399"/>
      <c r="CO983" s="399"/>
      <c r="CP983" s="399"/>
      <c r="CQ983" s="399"/>
      <c r="CR983" s="399"/>
      <c r="CS983" s="399"/>
      <c r="CT983" s="399"/>
      <c r="CU983" s="399"/>
      <c r="CV983" s="399"/>
      <c r="CW983" s="399"/>
      <c r="CX983" s="399"/>
      <c r="CY983" s="399"/>
      <c r="CZ983" s="399"/>
      <c r="DA983" s="399"/>
      <c r="DB983" s="399"/>
      <c r="DC983" s="399"/>
      <c r="DD983" s="399"/>
      <c r="DE983" s="399"/>
      <c r="DF983" s="399"/>
      <c r="DG983" s="399"/>
      <c r="DH983" s="399"/>
      <c r="DI983" s="399"/>
      <c r="DJ983" s="399"/>
      <c r="DK983" s="399"/>
      <c r="DL983" s="399"/>
      <c r="DM983" s="399"/>
      <c r="DN983" s="399"/>
      <c r="DO983" s="399"/>
      <c r="DP983" s="399"/>
      <c r="DQ983" s="399"/>
    </row>
    <row r="984" spans="1:121" s="760" customFormat="1" ht="14.45" customHeight="1" x14ac:dyDescent="0.25">
      <c r="A984" s="266">
        <f t="shared" si="15"/>
        <v>58.266666666666666</v>
      </c>
      <c r="B984" s="389">
        <v>41108</v>
      </c>
      <c r="C984" s="390" t="s">
        <v>904</v>
      </c>
      <c r="D984" s="390" t="s">
        <v>1001</v>
      </c>
      <c r="E984" s="390" t="s">
        <v>380</v>
      </c>
      <c r="F984" s="390" t="s">
        <v>185</v>
      </c>
      <c r="G984" s="390" t="s">
        <v>192</v>
      </c>
      <c r="H984" s="261">
        <v>33</v>
      </c>
      <c r="I984" s="261"/>
      <c r="J984" s="261"/>
      <c r="K984" s="261"/>
      <c r="L984" s="261"/>
      <c r="M984" s="261"/>
      <c r="N984" s="261"/>
      <c r="O984" s="261"/>
      <c r="P984" s="261"/>
      <c r="Q984" s="261"/>
      <c r="R984" s="261"/>
      <c r="S984" s="261"/>
      <c r="T984" s="261"/>
      <c r="U984" s="261"/>
      <c r="V984" s="762"/>
      <c r="W984" s="261"/>
      <c r="X984" s="261"/>
      <c r="Y984" s="264">
        <f>IF(NFI_Expiration=1,IF($A984&lt;VLOOKUP(H$5,NFI,5,0),1,0)*Table_NFI[[#This Row],[Hygiene Kit]],Table_NFI[Hygiene Kit])</f>
        <v>0</v>
      </c>
      <c r="Z984" s="264">
        <f>IF(NFI_Expiration=1,IF($A984&lt;VLOOKUP(I$5,NFI,5,0),1,0)*Table_NFI[[#This Row],[NFI Core Kit]],Table_NFI[NFI Core Kit])</f>
        <v>0</v>
      </c>
      <c r="AA984" s="264">
        <f>IF(NFI_Expiration=1,IF($A984&lt;VLOOKUP(J$5,NFI,5,0),1,0)*Table_NFI[[#This Row],[Sanitary Kit]],Table_NFI[Sanitary Kit])</f>
        <v>0</v>
      </c>
      <c r="AB984" s="264">
        <f>IF(NFI_Expiration=1,IF($A984&lt;VLOOKUP(K$5,NFI,5,0),1,0)*Table_NFI[[#This Row],[Mosquito net]],Table_NFI[Mosquito net])</f>
        <v>0</v>
      </c>
      <c r="AC984" s="264">
        <f>IF(NFI_Expiration=1,IF($A984&lt;VLOOKUP(L$5,NFI,5,0),1,0)*Table_NFI[[#This Row],[Tarpaulin]],Table_NFI[[#This Row],[Tarpaulin]])</f>
        <v>0</v>
      </c>
      <c r="AD984" s="264">
        <f>IF(NFI_Expiration=1,IF($A984&lt;VLOOKUP(M$5,NFI,5,0),1,0)*Table_NFI[[#This Row],[Blanket]],Table_NFI[[#This Row],[Blanket]])</f>
        <v>0</v>
      </c>
      <c r="AE984" s="264">
        <f>IF(NFI_Expiration=1,IF($A984&lt;VLOOKUP(N$5,NFI,5,0),1,0)*Table_NFI[[#This Row],[Kitchen Set]],Table_NFI[Kitchen Set])</f>
        <v>0</v>
      </c>
      <c r="AF984" s="264">
        <f>IF(NFI_Expiration=1,IF($A984&lt;VLOOKUP(O$5,NFI,5,0),1,0)*Table_NFI[[#This Row],[Clothes Kit]],Table_NFI[Clothes Kit])</f>
        <v>0</v>
      </c>
      <c r="AG984" s="264">
        <f>IF(NFI_Expiration=1,IF($A984&lt;VLOOKUP(P$5,NFI,5,0),1,0)*Table_NFI[[#This Row],[Plastic Bucket]],Table_NFI[Plastic Bucket])</f>
        <v>0</v>
      </c>
      <c r="AH984" s="264">
        <f>IF(NFI_Expiration=1,IF($A984&lt;VLOOKUP(Q$5,NFI,5,0),1,0)*Table_NFI[[#This Row],[Plastic Mat]],Table_NFI[Plastic Mat])*IF(Table_NFI[[#This Row],[Distribution Date]]&gt;"2014-04-01",1,2.5)</f>
        <v>0</v>
      </c>
      <c r="AI984" s="264">
        <f>IF(NFI_Expiration=1,IF($A984&lt;VLOOKUP(R$5,NFI,5,0),1,0)*Table_NFI[[#This Row],[Winter Clothes Adult]],Table_NFI[Winter Clothes Adult])</f>
        <v>0</v>
      </c>
      <c r="AJ984" s="264">
        <f>IF(NFI_Expiration=1,IF($A984&lt;VLOOKUP(S$5,NFI,5,0),1,0)*Table_NFI[[#This Row],[Winter Clothes Children]],Table_NFI[Winter Clothes Children])</f>
        <v>0</v>
      </c>
      <c r="AK984" s="264">
        <f>IF(NFI_Expiration=1,IF($A984&lt;VLOOKUP(T$5,NFI,5,0),1,0)*Table_NFI[[#This Row],[Winter Items Other]],Table_NFI[Winter Items Other])</f>
        <v>0</v>
      </c>
      <c r="AL984" s="264">
        <f>IF(NFI_Expiration=1,IF($A984&lt;VLOOKUP(M$5,NFI,5,0),1,0)*Table_NFI[[#This Row],[Winter Blanket]],Table_NFI[[#This Row],[Winter Blanket]])</f>
        <v>0</v>
      </c>
      <c r="AM984" s="264">
        <f>IF(Table_NFI[[#This Row],[Winter Clothes Adult]]+Table_NFI[[#This Row],[Winter Clothes Children]]+Table_NFI[[#This Row],[Winter Items Other]]+Table_NFI[[#This Row],[Winter Blanket]]&gt;0,1,0)</f>
        <v>0</v>
      </c>
      <c r="AN984" s="296">
        <f>IF(NFI_Expiration=1,IF($A984&lt;VLOOKUP(V$5,NFI,5,0),1,0)*Table_NFI[[#This Row],[Jerry Can]],Table_NFI[Jerry Can])</f>
        <v>0</v>
      </c>
      <c r="AO984" s="296">
        <f>IF(NFI_Expiration=1,IF($A984&lt;VLOOKUP(V$5,NFI,5,0),1,0)*Table_NFI[[#This Row],[Shelter Tool kit]],Table_NFI[Shelter Tool kit])</f>
        <v>0</v>
      </c>
      <c r="AP984" s="296">
        <f>IF(NFI_Expiration=1,IF($A984&lt;VLOOKUP(V$5,NFI,5,0),1,0)*Table_NFI[[#This Row],[Tent]],Table_NFI[Tent])</f>
        <v>0</v>
      </c>
      <c r="AQ984" s="396" t="str">
        <f>IFERROR(VLOOKUP(Table_NFI[[#This Row],[Camp Name]],CL,2,0),"")</f>
        <v>MMR001CMP123</v>
      </c>
      <c r="AR984" s="702">
        <f ca="1">IF(Table_NFI[[#This Row],[Pcode]]="","",IF(OFFSET(CampList[Opening Date],MATCH(Table_NFI[[#This Row],[Pcode]],CampList[CP_Pcode],0)-1,0,1,1)&gt;=NFI_Monitor_Date,1,0))</f>
        <v>0</v>
      </c>
      <c r="AS984" s="396" t="str">
        <f>IFERROR(VLOOKUP(Table_NFI[[#This Row],[Camp Name]],CL,3,0),"")</f>
        <v>Open</v>
      </c>
      <c r="AT984" s="264" t="str">
        <f ca="1">IF(Table_NFI[[#This Row],[Pcode]]="","",OFFSET(CampList[Priority],MATCH(Table_NFI[[#This Row],[Pcode]],CampList[CP_Pcode],0)-1,0,1,1))</f>
        <v>P2</v>
      </c>
      <c r="AU984" s="263">
        <f>IFERROR(Table_NFI[[#This Row],[Kitchen Set]]/VLOOKUP(Table_NFI[[#This Row],[Camp Name]],CL,4,0),"")</f>
        <v>0</v>
      </c>
      <c r="AV984" s="390"/>
      <c r="AW984" s="392"/>
      <c r="AX984" s="399"/>
      <c r="AY984" s="399"/>
      <c r="AZ984" s="399"/>
      <c r="BA984" s="399"/>
      <c r="BB984" s="399"/>
      <c r="BC984" s="399"/>
      <c r="BD984" s="399"/>
      <c r="BE984" s="399"/>
      <c r="BF984" s="399"/>
      <c r="BG984" s="399"/>
      <c r="BH984" s="399"/>
      <c r="BI984" s="399"/>
      <c r="BJ984" s="399"/>
      <c r="BK984" s="399"/>
      <c r="BL984" s="399"/>
      <c r="BM984" s="399"/>
      <c r="BN984" s="399"/>
      <c r="BO984" s="399"/>
      <c r="BP984" s="399"/>
      <c r="BQ984" s="399"/>
      <c r="BR984" s="399"/>
      <c r="BS984" s="399"/>
      <c r="BT984" s="399"/>
      <c r="BU984" s="399"/>
      <c r="BV984" s="399"/>
      <c r="BW984" s="399"/>
      <c r="BX984" s="399"/>
      <c r="BY984" s="399"/>
      <c r="BZ984" s="399"/>
      <c r="CA984" s="399"/>
      <c r="CB984" s="399"/>
      <c r="CC984" s="399"/>
      <c r="CD984" s="399"/>
      <c r="CE984" s="399"/>
      <c r="CF984" s="399"/>
      <c r="CG984" s="399"/>
      <c r="CH984" s="399"/>
      <c r="CI984" s="399"/>
      <c r="CJ984" s="399"/>
      <c r="CK984" s="399"/>
      <c r="CL984" s="399"/>
      <c r="CM984" s="399"/>
      <c r="CN984" s="399"/>
      <c r="CO984" s="399"/>
      <c r="CP984" s="399"/>
      <c r="CQ984" s="399"/>
      <c r="CR984" s="399"/>
      <c r="CS984" s="399"/>
      <c r="CT984" s="399"/>
      <c r="CU984" s="399"/>
      <c r="CV984" s="399"/>
      <c r="CW984" s="399"/>
      <c r="CX984" s="399"/>
      <c r="CY984" s="399"/>
      <c r="CZ984" s="399"/>
      <c r="DA984" s="399"/>
      <c r="DB984" s="399"/>
      <c r="DC984" s="399"/>
      <c r="DD984" s="399"/>
      <c r="DE984" s="399"/>
      <c r="DF984" s="399"/>
      <c r="DG984" s="399"/>
      <c r="DH984" s="399"/>
      <c r="DI984" s="399"/>
      <c r="DJ984" s="399"/>
      <c r="DK984" s="399"/>
      <c r="DL984" s="399"/>
      <c r="DM984" s="399"/>
      <c r="DN984" s="399"/>
      <c r="DO984" s="399"/>
      <c r="DP984" s="399"/>
      <c r="DQ984" s="399"/>
    </row>
    <row r="985" spans="1:121" s="760" customFormat="1" ht="14.45" customHeight="1" x14ac:dyDescent="0.25">
      <c r="A985" s="266">
        <f t="shared" si="15"/>
        <v>58.266666666666666</v>
      </c>
      <c r="B985" s="389">
        <v>41108</v>
      </c>
      <c r="C985" s="390" t="s">
        <v>451</v>
      </c>
      <c r="D985" s="391" t="s">
        <v>451</v>
      </c>
      <c r="E985" s="390" t="s">
        <v>380</v>
      </c>
      <c r="F985" s="262" t="s">
        <v>151</v>
      </c>
      <c r="G985" s="262" t="s">
        <v>517</v>
      </c>
      <c r="H985" s="261"/>
      <c r="I985" s="261"/>
      <c r="J985" s="261"/>
      <c r="K985" s="261">
        <v>170</v>
      </c>
      <c r="L985" s="261">
        <v>16</v>
      </c>
      <c r="M985" s="261">
        <v>170</v>
      </c>
      <c r="N985" s="261">
        <v>85</v>
      </c>
      <c r="O985" s="261">
        <v>85</v>
      </c>
      <c r="P985" s="261">
        <v>85</v>
      </c>
      <c r="Q985" s="261">
        <v>85</v>
      </c>
      <c r="R985" s="261"/>
      <c r="S985" s="261"/>
      <c r="T985" s="261"/>
      <c r="U985" s="261"/>
      <c r="V985" s="762"/>
      <c r="W985" s="261"/>
      <c r="X985" s="261"/>
      <c r="Y985" s="264">
        <f>IF(NFI_Expiration=1,IF($A985&lt;VLOOKUP(H$5,NFI,5,0),1,0)*Table_NFI[[#This Row],[Hygiene Kit]],Table_NFI[Hygiene Kit])</f>
        <v>0</v>
      </c>
      <c r="Z985" s="264">
        <f>IF(NFI_Expiration=1,IF($A985&lt;VLOOKUP(I$5,NFI,5,0),1,0)*Table_NFI[[#This Row],[NFI Core Kit]],Table_NFI[NFI Core Kit])</f>
        <v>0</v>
      </c>
      <c r="AA985" s="264">
        <f>IF(NFI_Expiration=1,IF($A985&lt;VLOOKUP(J$5,NFI,5,0),1,0)*Table_NFI[[#This Row],[Sanitary Kit]],Table_NFI[Sanitary Kit])</f>
        <v>0</v>
      </c>
      <c r="AB985" s="264">
        <f>IF(NFI_Expiration=1,IF($A985&lt;VLOOKUP(K$5,NFI,5,0),1,0)*Table_NFI[[#This Row],[Mosquito net]],Table_NFI[Mosquito net])</f>
        <v>0</v>
      </c>
      <c r="AC985" s="264">
        <f>IF(NFI_Expiration=1,IF($A985&lt;VLOOKUP(L$5,NFI,5,0),1,0)*Table_NFI[[#This Row],[Tarpaulin]],Table_NFI[[#This Row],[Tarpaulin]])</f>
        <v>0</v>
      </c>
      <c r="AD985" s="264">
        <f>IF(NFI_Expiration=1,IF($A985&lt;VLOOKUP(M$5,NFI,5,0),1,0)*Table_NFI[[#This Row],[Blanket]],Table_NFI[[#This Row],[Blanket]])</f>
        <v>0</v>
      </c>
      <c r="AE985" s="264">
        <f>IF(NFI_Expiration=1,IF($A985&lt;VLOOKUP(N$5,NFI,5,0),1,0)*Table_NFI[[#This Row],[Kitchen Set]],Table_NFI[Kitchen Set])</f>
        <v>0</v>
      </c>
      <c r="AF985" s="264">
        <f>IF(NFI_Expiration=1,IF($A985&lt;VLOOKUP(O$5,NFI,5,0),1,0)*Table_NFI[[#This Row],[Clothes Kit]],Table_NFI[Clothes Kit])</f>
        <v>0</v>
      </c>
      <c r="AG985" s="264">
        <f>IF(NFI_Expiration=1,IF($A985&lt;VLOOKUP(P$5,NFI,5,0),1,0)*Table_NFI[[#This Row],[Plastic Bucket]],Table_NFI[Plastic Bucket])</f>
        <v>0</v>
      </c>
      <c r="AH985" s="264">
        <f>IF(NFI_Expiration=1,IF($A985&lt;VLOOKUP(Q$5,NFI,5,0),1,0)*Table_NFI[[#This Row],[Plastic Mat]],Table_NFI[Plastic Mat])*IF(Table_NFI[[#This Row],[Distribution Date]]&gt;"2014-04-01",1,2.5)</f>
        <v>0</v>
      </c>
      <c r="AI985" s="264">
        <f>IF(NFI_Expiration=1,IF($A985&lt;VLOOKUP(R$5,NFI,5,0),1,0)*Table_NFI[[#This Row],[Winter Clothes Adult]],Table_NFI[Winter Clothes Adult])</f>
        <v>0</v>
      </c>
      <c r="AJ985" s="264">
        <f>IF(NFI_Expiration=1,IF($A985&lt;VLOOKUP(S$5,NFI,5,0),1,0)*Table_NFI[[#This Row],[Winter Clothes Children]],Table_NFI[Winter Clothes Children])</f>
        <v>0</v>
      </c>
      <c r="AK985" s="264">
        <f>IF(NFI_Expiration=1,IF($A985&lt;VLOOKUP(T$5,NFI,5,0),1,0)*Table_NFI[[#This Row],[Winter Items Other]],Table_NFI[Winter Items Other])</f>
        <v>0</v>
      </c>
      <c r="AL985" s="264">
        <f>IF(NFI_Expiration=1,IF($A985&lt;VLOOKUP(M$5,NFI,5,0),1,0)*Table_NFI[[#This Row],[Winter Blanket]],Table_NFI[[#This Row],[Winter Blanket]])</f>
        <v>0</v>
      </c>
      <c r="AM985" s="264">
        <f>IF(Table_NFI[[#This Row],[Winter Clothes Adult]]+Table_NFI[[#This Row],[Winter Clothes Children]]+Table_NFI[[#This Row],[Winter Items Other]]+Table_NFI[[#This Row],[Winter Blanket]]&gt;0,1,0)</f>
        <v>0</v>
      </c>
      <c r="AN985" s="296">
        <f>IF(NFI_Expiration=1,IF($A985&lt;VLOOKUP(V$5,NFI,5,0),1,0)*Table_NFI[[#This Row],[Jerry Can]],Table_NFI[Jerry Can])</f>
        <v>0</v>
      </c>
      <c r="AO985" s="296">
        <f>IF(NFI_Expiration=1,IF($A985&lt;VLOOKUP(V$5,NFI,5,0),1,0)*Table_NFI[[#This Row],[Shelter Tool kit]],Table_NFI[Shelter Tool kit])</f>
        <v>0</v>
      </c>
      <c r="AP985" s="296">
        <f>IF(NFI_Expiration=1,IF($A985&lt;VLOOKUP(V$5,NFI,5,0),1,0)*Table_NFI[[#This Row],[Tent]],Table_NFI[Tent])</f>
        <v>0</v>
      </c>
      <c r="AQ985" s="396" t="str">
        <f>IFERROR(VLOOKUP(Table_NFI[[#This Row],[Camp Name]],CL,2,0),"")</f>
        <v>MMR001CMP203</v>
      </c>
      <c r="AR985" s="702">
        <f ca="1">IF(Table_NFI[[#This Row],[Pcode]]="","",IF(OFFSET(CampList[Opening Date],MATCH(Table_NFI[[#This Row],[Pcode]],CampList[CP_Pcode],0)-1,0,1,1)&gt;=NFI_Monitor_Date,1,0))</f>
        <v>0</v>
      </c>
      <c r="AS985" s="396" t="str">
        <f>IFERROR(VLOOKUP(Table_NFI[[#This Row],[Camp Name]],CL,3,0),"")</f>
        <v>Closed</v>
      </c>
      <c r="AT985" s="264" t="str">
        <f ca="1">IF(Table_NFI[[#This Row],[Pcode]]="","",OFFSET(CampList[Priority],MATCH(Table_NFI[[#This Row],[Pcode]],CampList[CP_Pcode],0)-1,0,1,1))</f>
        <v/>
      </c>
      <c r="AU985" s="263">
        <f>IFERROR(Table_NFI[[#This Row],[Kitchen Set]]/VLOOKUP(Table_NFI[[#This Row],[Camp Name]],CL,4,0),"")</f>
        <v>2.0685794942931542E-3</v>
      </c>
      <c r="AV985" s="390" t="s">
        <v>1087</v>
      </c>
      <c r="AW985" s="392"/>
      <c r="AX985" s="399"/>
      <c r="AY985" s="399"/>
      <c r="AZ985" s="399"/>
      <c r="BA985" s="399"/>
      <c r="BB985" s="399"/>
      <c r="BC985" s="399"/>
      <c r="BD985" s="399"/>
      <c r="BE985" s="399"/>
      <c r="BF985" s="399"/>
      <c r="BG985" s="399"/>
      <c r="BH985" s="399"/>
      <c r="BI985" s="399"/>
      <c r="BJ985" s="399"/>
      <c r="BK985" s="399"/>
      <c r="BL985" s="399"/>
      <c r="BM985" s="399"/>
      <c r="BN985" s="399"/>
      <c r="BO985" s="399"/>
      <c r="BP985" s="399"/>
      <c r="BQ985" s="399"/>
      <c r="BR985" s="399"/>
      <c r="BS985" s="399"/>
      <c r="BT985" s="399"/>
      <c r="BU985" s="399"/>
      <c r="BV985" s="399"/>
      <c r="BW985" s="399"/>
      <c r="BX985" s="399"/>
      <c r="BY985" s="399"/>
      <c r="BZ985" s="399"/>
      <c r="CA985" s="399"/>
      <c r="CB985" s="399"/>
      <c r="CC985" s="399"/>
      <c r="CD985" s="399"/>
      <c r="CE985" s="399"/>
      <c r="CF985" s="399"/>
      <c r="CG985" s="399"/>
      <c r="CH985" s="399"/>
      <c r="CI985" s="399"/>
      <c r="CJ985" s="399"/>
      <c r="CK985" s="399"/>
      <c r="CL985" s="399"/>
      <c r="CM985" s="399"/>
      <c r="CN985" s="399"/>
      <c r="CO985" s="399"/>
      <c r="CP985" s="399"/>
      <c r="CQ985" s="399"/>
      <c r="CR985" s="399"/>
      <c r="CS985" s="399"/>
      <c r="CT985" s="399"/>
      <c r="CU985" s="399"/>
      <c r="CV985" s="399"/>
      <c r="CW985" s="399"/>
      <c r="CX985" s="399"/>
      <c r="CY985" s="399"/>
      <c r="CZ985" s="399"/>
      <c r="DA985" s="399"/>
      <c r="DB985" s="399"/>
      <c r="DC985" s="399"/>
      <c r="DD985" s="399"/>
      <c r="DE985" s="399"/>
      <c r="DF985" s="399"/>
      <c r="DG985" s="399"/>
      <c r="DH985" s="399"/>
      <c r="DI985" s="399"/>
      <c r="DJ985" s="399"/>
      <c r="DK985" s="399"/>
      <c r="DL985" s="399"/>
      <c r="DM985" s="399"/>
      <c r="DN985" s="399"/>
      <c r="DO985" s="399"/>
      <c r="DP985" s="399"/>
      <c r="DQ985" s="399"/>
    </row>
    <row r="986" spans="1:121" s="760" customFormat="1" ht="14.45" customHeight="1" x14ac:dyDescent="0.25">
      <c r="A986" s="266">
        <f t="shared" si="15"/>
        <v>58.266666666666666</v>
      </c>
      <c r="B986" s="389">
        <v>41108</v>
      </c>
      <c r="C986" s="390" t="s">
        <v>451</v>
      </c>
      <c r="D986" s="391" t="s">
        <v>451</v>
      </c>
      <c r="E986" s="390" t="s">
        <v>380</v>
      </c>
      <c r="F986" s="262" t="s">
        <v>151</v>
      </c>
      <c r="G986" s="262" t="s">
        <v>164</v>
      </c>
      <c r="H986" s="261"/>
      <c r="I986" s="261"/>
      <c r="J986" s="261"/>
      <c r="K986" s="261">
        <v>206</v>
      </c>
      <c r="L986" s="261">
        <v>78</v>
      </c>
      <c r="M986" s="261">
        <v>206</v>
      </c>
      <c r="N986" s="261">
        <v>103</v>
      </c>
      <c r="O986" s="261">
        <v>103</v>
      </c>
      <c r="P986" s="261">
        <v>103</v>
      </c>
      <c r="Q986" s="261">
        <v>103</v>
      </c>
      <c r="R986" s="261"/>
      <c r="S986" s="261"/>
      <c r="T986" s="261"/>
      <c r="U986" s="261"/>
      <c r="V986" s="762"/>
      <c r="W986" s="261"/>
      <c r="X986" s="261"/>
      <c r="Y986" s="264">
        <f>IF(NFI_Expiration=1,IF($A986&lt;VLOOKUP(H$5,NFI,5,0),1,0)*Table_NFI[[#This Row],[Hygiene Kit]],Table_NFI[Hygiene Kit])</f>
        <v>0</v>
      </c>
      <c r="Z986" s="264">
        <f>IF(NFI_Expiration=1,IF($A986&lt;VLOOKUP(I$5,NFI,5,0),1,0)*Table_NFI[[#This Row],[NFI Core Kit]],Table_NFI[NFI Core Kit])</f>
        <v>0</v>
      </c>
      <c r="AA986" s="264">
        <f>IF(NFI_Expiration=1,IF($A986&lt;VLOOKUP(J$5,NFI,5,0),1,0)*Table_NFI[[#This Row],[Sanitary Kit]],Table_NFI[Sanitary Kit])</f>
        <v>0</v>
      </c>
      <c r="AB986" s="264">
        <f>IF(NFI_Expiration=1,IF($A986&lt;VLOOKUP(K$5,NFI,5,0),1,0)*Table_NFI[[#This Row],[Mosquito net]],Table_NFI[Mosquito net])</f>
        <v>0</v>
      </c>
      <c r="AC986" s="264">
        <f>IF(NFI_Expiration=1,IF($A986&lt;VLOOKUP(L$5,NFI,5,0),1,0)*Table_NFI[[#This Row],[Tarpaulin]],Table_NFI[[#This Row],[Tarpaulin]])</f>
        <v>0</v>
      </c>
      <c r="AD986" s="264">
        <f>IF(NFI_Expiration=1,IF($A986&lt;VLOOKUP(M$5,NFI,5,0),1,0)*Table_NFI[[#This Row],[Blanket]],Table_NFI[[#This Row],[Blanket]])</f>
        <v>0</v>
      </c>
      <c r="AE986" s="264">
        <f>IF(NFI_Expiration=1,IF($A986&lt;VLOOKUP(N$5,NFI,5,0),1,0)*Table_NFI[[#This Row],[Kitchen Set]],Table_NFI[Kitchen Set])</f>
        <v>0</v>
      </c>
      <c r="AF986" s="264">
        <f>IF(NFI_Expiration=1,IF($A986&lt;VLOOKUP(O$5,NFI,5,0),1,0)*Table_NFI[[#This Row],[Clothes Kit]],Table_NFI[Clothes Kit])</f>
        <v>0</v>
      </c>
      <c r="AG986" s="264">
        <f>IF(NFI_Expiration=1,IF($A986&lt;VLOOKUP(P$5,NFI,5,0),1,0)*Table_NFI[[#This Row],[Plastic Bucket]],Table_NFI[Plastic Bucket])</f>
        <v>0</v>
      </c>
      <c r="AH986" s="264">
        <f>IF(NFI_Expiration=1,IF($A986&lt;VLOOKUP(Q$5,NFI,5,0),1,0)*Table_NFI[[#This Row],[Plastic Mat]],Table_NFI[Plastic Mat])*IF(Table_NFI[[#This Row],[Distribution Date]]&gt;"2014-04-01",1,2.5)</f>
        <v>0</v>
      </c>
      <c r="AI986" s="264">
        <f>IF(NFI_Expiration=1,IF($A986&lt;VLOOKUP(R$5,NFI,5,0),1,0)*Table_NFI[[#This Row],[Winter Clothes Adult]],Table_NFI[Winter Clothes Adult])</f>
        <v>0</v>
      </c>
      <c r="AJ986" s="264">
        <f>IF(NFI_Expiration=1,IF($A986&lt;VLOOKUP(S$5,NFI,5,0),1,0)*Table_NFI[[#This Row],[Winter Clothes Children]],Table_NFI[Winter Clothes Children])</f>
        <v>0</v>
      </c>
      <c r="AK986" s="264">
        <f>IF(NFI_Expiration=1,IF($A986&lt;VLOOKUP(T$5,NFI,5,0),1,0)*Table_NFI[[#This Row],[Winter Items Other]],Table_NFI[Winter Items Other])</f>
        <v>0</v>
      </c>
      <c r="AL986" s="264">
        <f>IF(NFI_Expiration=1,IF($A986&lt;VLOOKUP(M$5,NFI,5,0),1,0)*Table_NFI[[#This Row],[Winter Blanket]],Table_NFI[[#This Row],[Winter Blanket]])</f>
        <v>0</v>
      </c>
      <c r="AM986" s="264">
        <f>IF(Table_NFI[[#This Row],[Winter Clothes Adult]]+Table_NFI[[#This Row],[Winter Clothes Children]]+Table_NFI[[#This Row],[Winter Items Other]]+Table_NFI[[#This Row],[Winter Blanket]]&gt;0,1,0)</f>
        <v>0</v>
      </c>
      <c r="AN986" s="296">
        <f>IF(NFI_Expiration=1,IF($A986&lt;VLOOKUP(V$5,NFI,5,0),1,0)*Table_NFI[[#This Row],[Jerry Can]],Table_NFI[Jerry Can])</f>
        <v>0</v>
      </c>
      <c r="AO986" s="296">
        <f>IF(NFI_Expiration=1,IF($A986&lt;VLOOKUP(V$5,NFI,5,0),1,0)*Table_NFI[[#This Row],[Shelter Tool kit]],Table_NFI[Shelter Tool kit])</f>
        <v>0</v>
      </c>
      <c r="AP986" s="296">
        <f>IF(NFI_Expiration=1,IF($A986&lt;VLOOKUP(V$5,NFI,5,0),1,0)*Table_NFI[[#This Row],[Tent]],Table_NFI[Tent])</f>
        <v>0</v>
      </c>
      <c r="AQ986" s="396" t="str">
        <f>IFERROR(VLOOKUP(Table_NFI[[#This Row],[Camp Name]],CL,2,0),"")</f>
        <v>MMR001CMP137</v>
      </c>
      <c r="AR986" s="702">
        <f ca="1">IF(Table_NFI[[#This Row],[Pcode]]="","",IF(OFFSET(CampList[Opening Date],MATCH(Table_NFI[[#This Row],[Pcode]],CampList[CP_Pcode],0)-1,0,1,1)&gt;=NFI_Monitor_Date,1,0))</f>
        <v>0</v>
      </c>
      <c r="AS986" s="396" t="str">
        <f>IFERROR(VLOOKUP(Table_NFI[[#This Row],[Camp Name]],CL,3,0),"")</f>
        <v>Closed</v>
      </c>
      <c r="AT986" s="264" t="str">
        <f ca="1">IF(Table_NFI[[#This Row],[Pcode]]="","",OFFSET(CampList[Priority],MATCH(Table_NFI[[#This Row],[Pcode]],CampList[CP_Pcode],0)-1,0,1,1))</f>
        <v/>
      </c>
      <c r="AU986" s="263" t="str">
        <f>IFERROR(Table_NFI[[#This Row],[Kitchen Set]]/VLOOKUP(Table_NFI[[#This Row],[Camp Name]],CL,4,0),"")</f>
        <v/>
      </c>
      <c r="AV986" s="390" t="s">
        <v>1087</v>
      </c>
      <c r="AW986" s="392"/>
      <c r="AX986" s="399"/>
      <c r="AY986" s="399"/>
      <c r="AZ986" s="399"/>
      <c r="BA986" s="399"/>
      <c r="BB986" s="399"/>
      <c r="BC986" s="399"/>
      <c r="BD986" s="399"/>
      <c r="BE986" s="399"/>
      <c r="BF986" s="399"/>
      <c r="BG986" s="399"/>
      <c r="BH986" s="399"/>
      <c r="BI986" s="399"/>
      <c r="BJ986" s="399"/>
      <c r="BK986" s="399"/>
      <c r="BL986" s="399"/>
      <c r="BM986" s="399"/>
      <c r="BN986" s="399"/>
      <c r="BO986" s="399"/>
      <c r="BP986" s="399"/>
      <c r="BQ986" s="399"/>
      <c r="BR986" s="399"/>
      <c r="BS986" s="399"/>
      <c r="BT986" s="399"/>
      <c r="BU986" s="399"/>
      <c r="BV986" s="399"/>
      <c r="BW986" s="399"/>
      <c r="BX986" s="399"/>
      <c r="BY986" s="399"/>
      <c r="BZ986" s="399"/>
      <c r="CA986" s="399"/>
      <c r="CB986" s="399"/>
      <c r="CC986" s="399"/>
      <c r="CD986" s="399"/>
      <c r="CE986" s="399"/>
      <c r="CF986" s="399"/>
      <c r="CG986" s="399"/>
      <c r="CH986" s="399"/>
      <c r="CI986" s="399"/>
      <c r="CJ986" s="399"/>
      <c r="CK986" s="399"/>
      <c r="CL986" s="399"/>
      <c r="CM986" s="399"/>
      <c r="CN986" s="399"/>
      <c r="CO986" s="399"/>
      <c r="CP986" s="399"/>
      <c r="CQ986" s="399"/>
      <c r="CR986" s="399"/>
      <c r="CS986" s="399"/>
      <c r="CT986" s="399"/>
      <c r="CU986" s="399"/>
      <c r="CV986" s="399"/>
      <c r="CW986" s="399"/>
      <c r="CX986" s="399"/>
      <c r="CY986" s="399"/>
      <c r="CZ986" s="399"/>
      <c r="DA986" s="399"/>
      <c r="DB986" s="399"/>
      <c r="DC986" s="399"/>
      <c r="DD986" s="399"/>
      <c r="DE986" s="399"/>
      <c r="DF986" s="399"/>
      <c r="DG986" s="399"/>
      <c r="DH986" s="399"/>
      <c r="DI986" s="399"/>
      <c r="DJ986" s="399"/>
      <c r="DK986" s="399"/>
      <c r="DL986" s="399"/>
      <c r="DM986" s="399"/>
      <c r="DN986" s="399"/>
      <c r="DO986" s="399"/>
      <c r="DP986" s="399"/>
      <c r="DQ986" s="399"/>
    </row>
    <row r="987" spans="1:121" s="760" customFormat="1" ht="14.45" customHeight="1" x14ac:dyDescent="0.25">
      <c r="A987" s="266">
        <f t="shared" si="15"/>
        <v>58.3</v>
      </c>
      <c r="B987" s="389">
        <v>41107</v>
      </c>
      <c r="C987" s="390" t="s">
        <v>451</v>
      </c>
      <c r="D987" s="390" t="s">
        <v>451</v>
      </c>
      <c r="E987" s="390" t="s">
        <v>380</v>
      </c>
      <c r="F987" s="390" t="s">
        <v>310</v>
      </c>
      <c r="G987" s="262" t="s">
        <v>334</v>
      </c>
      <c r="H987" s="261"/>
      <c r="I987" s="261"/>
      <c r="J987" s="261"/>
      <c r="K987" s="261">
        <v>19</v>
      </c>
      <c r="L987" s="261">
        <v>19</v>
      </c>
      <c r="M987" s="261">
        <v>19</v>
      </c>
      <c r="N987" s="261">
        <v>19</v>
      </c>
      <c r="O987" s="261">
        <v>19</v>
      </c>
      <c r="P987" s="261">
        <v>19</v>
      </c>
      <c r="Q987" s="261">
        <v>19</v>
      </c>
      <c r="R987" s="261"/>
      <c r="S987" s="261"/>
      <c r="T987" s="261"/>
      <c r="U987" s="261"/>
      <c r="V987" s="762"/>
      <c r="W987" s="261"/>
      <c r="X987" s="261"/>
      <c r="Y987" s="264">
        <f>IF(NFI_Expiration=1,IF($A987&lt;VLOOKUP(H$5,NFI,5,0),1,0)*Table_NFI[[#This Row],[Hygiene Kit]],Table_NFI[Hygiene Kit])</f>
        <v>0</v>
      </c>
      <c r="Z987" s="264">
        <f>IF(NFI_Expiration=1,IF($A987&lt;VLOOKUP(I$5,NFI,5,0),1,0)*Table_NFI[[#This Row],[NFI Core Kit]],Table_NFI[NFI Core Kit])</f>
        <v>0</v>
      </c>
      <c r="AA987" s="264">
        <f>IF(NFI_Expiration=1,IF($A987&lt;VLOOKUP(J$5,NFI,5,0),1,0)*Table_NFI[[#This Row],[Sanitary Kit]],Table_NFI[Sanitary Kit])</f>
        <v>0</v>
      </c>
      <c r="AB987" s="264">
        <f>IF(NFI_Expiration=1,IF($A987&lt;VLOOKUP(K$5,NFI,5,0),1,0)*Table_NFI[[#This Row],[Mosquito net]],Table_NFI[Mosquito net])</f>
        <v>0</v>
      </c>
      <c r="AC987" s="264">
        <f>IF(NFI_Expiration=1,IF($A987&lt;VLOOKUP(L$5,NFI,5,0),1,0)*Table_NFI[[#This Row],[Tarpaulin]],Table_NFI[[#This Row],[Tarpaulin]])</f>
        <v>0</v>
      </c>
      <c r="AD987" s="264">
        <f>IF(NFI_Expiration=1,IF($A987&lt;VLOOKUP(M$5,NFI,5,0),1,0)*Table_NFI[[#This Row],[Blanket]],Table_NFI[[#This Row],[Blanket]])</f>
        <v>0</v>
      </c>
      <c r="AE987" s="264">
        <f>IF(NFI_Expiration=1,IF($A987&lt;VLOOKUP(N$5,NFI,5,0),1,0)*Table_NFI[[#This Row],[Kitchen Set]],Table_NFI[Kitchen Set])</f>
        <v>0</v>
      </c>
      <c r="AF987" s="264">
        <f>IF(NFI_Expiration=1,IF($A987&lt;VLOOKUP(O$5,NFI,5,0),1,0)*Table_NFI[[#This Row],[Clothes Kit]],Table_NFI[Clothes Kit])</f>
        <v>0</v>
      </c>
      <c r="AG987" s="264">
        <f>IF(NFI_Expiration=1,IF($A987&lt;VLOOKUP(P$5,NFI,5,0),1,0)*Table_NFI[[#This Row],[Plastic Bucket]],Table_NFI[Plastic Bucket])</f>
        <v>0</v>
      </c>
      <c r="AH987" s="264">
        <f>IF(NFI_Expiration=1,IF($A987&lt;VLOOKUP(Q$5,NFI,5,0),1,0)*Table_NFI[[#This Row],[Plastic Mat]],Table_NFI[Plastic Mat])*IF(Table_NFI[[#This Row],[Distribution Date]]&gt;"2014-04-01",1,2.5)</f>
        <v>0</v>
      </c>
      <c r="AI987" s="264">
        <f>IF(NFI_Expiration=1,IF($A987&lt;VLOOKUP(R$5,NFI,5,0),1,0)*Table_NFI[[#This Row],[Winter Clothes Adult]],Table_NFI[Winter Clothes Adult])</f>
        <v>0</v>
      </c>
      <c r="AJ987" s="264">
        <f>IF(NFI_Expiration=1,IF($A987&lt;VLOOKUP(S$5,NFI,5,0),1,0)*Table_NFI[[#This Row],[Winter Clothes Children]],Table_NFI[Winter Clothes Children])</f>
        <v>0</v>
      </c>
      <c r="AK987" s="264">
        <f>IF(NFI_Expiration=1,IF($A987&lt;VLOOKUP(T$5,NFI,5,0),1,0)*Table_NFI[[#This Row],[Winter Items Other]],Table_NFI[Winter Items Other])</f>
        <v>0</v>
      </c>
      <c r="AL987" s="264">
        <f>IF(NFI_Expiration=1,IF($A987&lt;VLOOKUP(M$5,NFI,5,0),1,0)*Table_NFI[[#This Row],[Winter Blanket]],Table_NFI[[#This Row],[Winter Blanket]])</f>
        <v>0</v>
      </c>
      <c r="AM987" s="264">
        <f>IF(Table_NFI[[#This Row],[Winter Clothes Adult]]+Table_NFI[[#This Row],[Winter Clothes Children]]+Table_NFI[[#This Row],[Winter Items Other]]+Table_NFI[[#This Row],[Winter Blanket]]&gt;0,1,0)</f>
        <v>0</v>
      </c>
      <c r="AN987" s="296">
        <f>IF(NFI_Expiration=1,IF($A987&lt;VLOOKUP(V$5,NFI,5,0),1,0)*Table_NFI[[#This Row],[Jerry Can]],Table_NFI[Jerry Can])</f>
        <v>0</v>
      </c>
      <c r="AO987" s="296">
        <f>IF(NFI_Expiration=1,IF($A987&lt;VLOOKUP(V$5,NFI,5,0),1,0)*Table_NFI[[#This Row],[Shelter Tool kit]],Table_NFI[Shelter Tool kit])</f>
        <v>0</v>
      </c>
      <c r="AP987" s="296">
        <f>IF(NFI_Expiration=1,IF($A987&lt;VLOOKUP(V$5,NFI,5,0),1,0)*Table_NFI[[#This Row],[Tent]],Table_NFI[Tent])</f>
        <v>0</v>
      </c>
      <c r="AQ987" s="396" t="str">
        <f>IFERROR(VLOOKUP(Table_NFI[[#This Row],[Camp Name]],CL,2,0),"")</f>
        <v>MMR001CMP113</v>
      </c>
      <c r="AR987" s="702">
        <f ca="1">IF(Table_NFI[[#This Row],[Pcode]]="","",IF(OFFSET(CampList[Opening Date],MATCH(Table_NFI[[#This Row],[Pcode]],CampList[CP_Pcode],0)-1,0,1,1)&gt;=NFI_Monitor_Date,1,0))</f>
        <v>0</v>
      </c>
      <c r="AS987" s="396" t="str">
        <f>IFERROR(VLOOKUP(Table_NFI[[#This Row],[Camp Name]],CL,3,0),"")</f>
        <v>Open</v>
      </c>
      <c r="AT987" s="264" t="str">
        <f ca="1">IF(Table_NFI[[#This Row],[Pcode]]="","",OFFSET(CampList[Priority],MATCH(Table_NFI[[#This Row],[Pcode]],CampList[CP_Pcode],0)-1,0,1,1))</f>
        <v>P1</v>
      </c>
      <c r="AU987" s="263">
        <f>IFERROR(Table_NFI[[#This Row],[Kitchen Set]]/VLOOKUP(Table_NFI[[#This Row],[Camp Name]],CL,4,0),"")</f>
        <v>4.6513905209557383E-4</v>
      </c>
      <c r="AV987" s="390" t="s">
        <v>1087</v>
      </c>
      <c r="AW987" s="392"/>
      <c r="AX987" s="399"/>
      <c r="AY987" s="399"/>
      <c r="AZ987" s="399"/>
      <c r="BA987" s="399"/>
      <c r="BB987" s="399"/>
      <c r="BC987" s="399"/>
      <c r="BD987" s="399"/>
      <c r="BE987" s="399"/>
      <c r="BF987" s="399"/>
      <c r="BG987" s="399"/>
      <c r="BH987" s="399"/>
      <c r="BI987" s="399"/>
      <c r="BJ987" s="399"/>
      <c r="BK987" s="399"/>
      <c r="BL987" s="399"/>
      <c r="BM987" s="399"/>
      <c r="BN987" s="399"/>
      <c r="BO987" s="399"/>
      <c r="BP987" s="399"/>
      <c r="BQ987" s="399"/>
      <c r="BR987" s="399"/>
      <c r="BS987" s="399"/>
      <c r="BT987" s="399"/>
      <c r="BU987" s="399"/>
      <c r="BV987" s="399"/>
      <c r="BW987" s="399"/>
      <c r="BX987" s="399"/>
      <c r="BY987" s="399"/>
      <c r="BZ987" s="399"/>
      <c r="CA987" s="399"/>
      <c r="CB987" s="399"/>
      <c r="CC987" s="399"/>
      <c r="CD987" s="399"/>
      <c r="CE987" s="399"/>
      <c r="CF987" s="399"/>
      <c r="CG987" s="399"/>
      <c r="CH987" s="399"/>
      <c r="CI987" s="399"/>
      <c r="CJ987" s="399"/>
      <c r="CK987" s="399"/>
      <c r="CL987" s="399"/>
      <c r="CM987" s="399"/>
      <c r="CN987" s="399"/>
      <c r="CO987" s="399"/>
      <c r="CP987" s="399"/>
      <c r="CQ987" s="399"/>
      <c r="CR987" s="399"/>
      <c r="CS987" s="399"/>
      <c r="CT987" s="399"/>
      <c r="CU987" s="399"/>
      <c r="CV987" s="399"/>
      <c r="CW987" s="399"/>
      <c r="CX987" s="399"/>
      <c r="CY987" s="399"/>
      <c r="CZ987" s="399"/>
      <c r="DA987" s="399"/>
      <c r="DB987" s="399"/>
      <c r="DC987" s="399"/>
      <c r="DD987" s="399"/>
      <c r="DE987" s="399"/>
      <c r="DF987" s="399"/>
      <c r="DG987" s="399"/>
      <c r="DH987" s="399"/>
      <c r="DI987" s="399"/>
      <c r="DJ987" s="399"/>
      <c r="DK987" s="399"/>
      <c r="DL987" s="399"/>
      <c r="DM987" s="399"/>
      <c r="DN987" s="399"/>
      <c r="DO987" s="399"/>
      <c r="DP987" s="399"/>
      <c r="DQ987" s="399"/>
    </row>
    <row r="988" spans="1:121" s="760" customFormat="1" ht="14.45" customHeight="1" x14ac:dyDescent="0.25">
      <c r="A988" s="266">
        <f t="shared" si="15"/>
        <v>58.3</v>
      </c>
      <c r="B988" s="389">
        <v>41107</v>
      </c>
      <c r="C988" s="390" t="s">
        <v>451</v>
      </c>
      <c r="D988" s="391" t="s">
        <v>451</v>
      </c>
      <c r="E988" s="390" t="s">
        <v>380</v>
      </c>
      <c r="F988" s="262" t="s">
        <v>237</v>
      </c>
      <c r="G988" s="262" t="s">
        <v>243</v>
      </c>
      <c r="H988" s="261"/>
      <c r="I988" s="261"/>
      <c r="J988" s="261"/>
      <c r="K988" s="261">
        <v>5</v>
      </c>
      <c r="L988" s="261">
        <v>5</v>
      </c>
      <c r="M988" s="261">
        <v>5</v>
      </c>
      <c r="N988" s="261">
        <v>5</v>
      </c>
      <c r="O988" s="261">
        <v>5</v>
      </c>
      <c r="P988" s="261">
        <v>5</v>
      </c>
      <c r="Q988" s="261">
        <v>5</v>
      </c>
      <c r="R988" s="261"/>
      <c r="S988" s="261"/>
      <c r="T988" s="261"/>
      <c r="U988" s="261"/>
      <c r="V988" s="762"/>
      <c r="W988" s="261"/>
      <c r="X988" s="261"/>
      <c r="Y988" s="264">
        <f>IF(NFI_Expiration=1,IF($A988&lt;VLOOKUP(H$5,NFI,5,0),1,0)*Table_NFI[[#This Row],[Hygiene Kit]],Table_NFI[Hygiene Kit])</f>
        <v>0</v>
      </c>
      <c r="Z988" s="264">
        <f>IF(NFI_Expiration=1,IF($A988&lt;VLOOKUP(I$5,NFI,5,0),1,0)*Table_NFI[[#This Row],[NFI Core Kit]],Table_NFI[NFI Core Kit])</f>
        <v>0</v>
      </c>
      <c r="AA988" s="264">
        <f>IF(NFI_Expiration=1,IF($A988&lt;VLOOKUP(J$5,NFI,5,0),1,0)*Table_NFI[[#This Row],[Sanitary Kit]],Table_NFI[Sanitary Kit])</f>
        <v>0</v>
      </c>
      <c r="AB988" s="264">
        <f>IF(NFI_Expiration=1,IF($A988&lt;VLOOKUP(K$5,NFI,5,0),1,0)*Table_NFI[[#This Row],[Mosquito net]],Table_NFI[Mosquito net])</f>
        <v>0</v>
      </c>
      <c r="AC988" s="264">
        <f>IF(NFI_Expiration=1,IF($A988&lt;VLOOKUP(L$5,NFI,5,0),1,0)*Table_NFI[[#This Row],[Tarpaulin]],Table_NFI[[#This Row],[Tarpaulin]])</f>
        <v>0</v>
      </c>
      <c r="AD988" s="264">
        <f>IF(NFI_Expiration=1,IF($A988&lt;VLOOKUP(M$5,NFI,5,0),1,0)*Table_NFI[[#This Row],[Blanket]],Table_NFI[[#This Row],[Blanket]])</f>
        <v>0</v>
      </c>
      <c r="AE988" s="264">
        <f>IF(NFI_Expiration=1,IF($A988&lt;VLOOKUP(N$5,NFI,5,0),1,0)*Table_NFI[[#This Row],[Kitchen Set]],Table_NFI[Kitchen Set])</f>
        <v>0</v>
      </c>
      <c r="AF988" s="264">
        <f>IF(NFI_Expiration=1,IF($A988&lt;VLOOKUP(O$5,NFI,5,0),1,0)*Table_NFI[[#This Row],[Clothes Kit]],Table_NFI[Clothes Kit])</f>
        <v>0</v>
      </c>
      <c r="AG988" s="264">
        <f>IF(NFI_Expiration=1,IF($A988&lt;VLOOKUP(P$5,NFI,5,0),1,0)*Table_NFI[[#This Row],[Plastic Bucket]],Table_NFI[Plastic Bucket])</f>
        <v>0</v>
      </c>
      <c r="AH988" s="264">
        <f>IF(NFI_Expiration=1,IF($A988&lt;VLOOKUP(Q$5,NFI,5,0),1,0)*Table_NFI[[#This Row],[Plastic Mat]],Table_NFI[Plastic Mat])*IF(Table_NFI[[#This Row],[Distribution Date]]&gt;"2014-04-01",1,2.5)</f>
        <v>0</v>
      </c>
      <c r="AI988" s="264">
        <f>IF(NFI_Expiration=1,IF($A988&lt;VLOOKUP(R$5,NFI,5,0),1,0)*Table_NFI[[#This Row],[Winter Clothes Adult]],Table_NFI[Winter Clothes Adult])</f>
        <v>0</v>
      </c>
      <c r="AJ988" s="264">
        <f>IF(NFI_Expiration=1,IF($A988&lt;VLOOKUP(S$5,NFI,5,0),1,0)*Table_NFI[[#This Row],[Winter Clothes Children]],Table_NFI[Winter Clothes Children])</f>
        <v>0</v>
      </c>
      <c r="AK988" s="264">
        <f>IF(NFI_Expiration=1,IF($A988&lt;VLOOKUP(T$5,NFI,5,0),1,0)*Table_NFI[[#This Row],[Winter Items Other]],Table_NFI[Winter Items Other])</f>
        <v>0</v>
      </c>
      <c r="AL988" s="264">
        <f>IF(NFI_Expiration=1,IF($A988&lt;VLOOKUP(M$5,NFI,5,0),1,0)*Table_NFI[[#This Row],[Winter Blanket]],Table_NFI[[#This Row],[Winter Blanket]])</f>
        <v>0</v>
      </c>
      <c r="AM988" s="264">
        <f>IF(Table_NFI[[#This Row],[Winter Clothes Adult]]+Table_NFI[[#This Row],[Winter Clothes Children]]+Table_NFI[[#This Row],[Winter Items Other]]+Table_NFI[[#This Row],[Winter Blanket]]&gt;0,1,0)</f>
        <v>0</v>
      </c>
      <c r="AN988" s="296">
        <f>IF(NFI_Expiration=1,IF($A988&lt;VLOOKUP(V$5,NFI,5,0),1,0)*Table_NFI[[#This Row],[Jerry Can]],Table_NFI[Jerry Can])</f>
        <v>0</v>
      </c>
      <c r="AO988" s="296">
        <f>IF(NFI_Expiration=1,IF($A988&lt;VLOOKUP(V$5,NFI,5,0),1,0)*Table_NFI[[#This Row],[Shelter Tool kit]],Table_NFI[Shelter Tool kit])</f>
        <v>0</v>
      </c>
      <c r="AP988" s="296">
        <f>IF(NFI_Expiration=1,IF($A988&lt;VLOOKUP(V$5,NFI,5,0),1,0)*Table_NFI[[#This Row],[Tent]],Table_NFI[Tent])</f>
        <v>0</v>
      </c>
      <c r="AQ988" s="396" t="str">
        <f>IFERROR(VLOOKUP(Table_NFI[[#This Row],[Camp Name]],CL,2,0),"")</f>
        <v>MMR001CMP012</v>
      </c>
      <c r="AR988" s="702">
        <f ca="1">IF(Table_NFI[[#This Row],[Pcode]]="","",IF(OFFSET(CampList[Opening Date],MATCH(Table_NFI[[#This Row],[Pcode]],CampList[CP_Pcode],0)-1,0,1,1)&gt;=NFI_Monitor_Date,1,0))</f>
        <v>0</v>
      </c>
      <c r="AS988" s="396" t="str">
        <f>IFERROR(VLOOKUP(Table_NFI[[#This Row],[Camp Name]],CL,3,0),"")</f>
        <v>Open</v>
      </c>
      <c r="AT988" s="264" t="str">
        <f ca="1">IF(Table_NFI[[#This Row],[Pcode]]="","",OFFSET(CampList[Priority],MATCH(Table_NFI[[#This Row],[Pcode]],CampList[CP_Pcode],0)-1,0,1,1))</f>
        <v>P4</v>
      </c>
      <c r="AU988" s="263">
        <f>IFERROR(Table_NFI[[#This Row],[Kitchen Set]]/VLOOKUP(Table_NFI[[#This Row],[Camp Name]],CL,4,0),"")</f>
        <v>1.2286521685710776E-4</v>
      </c>
      <c r="AV988" s="390" t="s">
        <v>1087</v>
      </c>
      <c r="AW988" s="392"/>
      <c r="AX988" s="399"/>
      <c r="AY988" s="399"/>
      <c r="AZ988" s="399"/>
      <c r="BA988" s="399"/>
      <c r="BB988" s="399"/>
      <c r="BC988" s="399"/>
      <c r="BD988" s="399"/>
      <c r="BE988" s="399"/>
      <c r="BF988" s="399"/>
      <c r="BG988" s="399"/>
      <c r="BH988" s="399"/>
      <c r="BI988" s="399"/>
      <c r="BJ988" s="399"/>
      <c r="BK988" s="399"/>
      <c r="BL988" s="399"/>
      <c r="BM988" s="399"/>
      <c r="BN988" s="399"/>
      <c r="BO988" s="399"/>
      <c r="BP988" s="399"/>
      <c r="BQ988" s="399"/>
      <c r="BR988" s="399"/>
      <c r="BS988" s="399"/>
      <c r="BT988" s="399"/>
      <c r="BU988" s="399"/>
      <c r="BV988" s="399"/>
      <c r="BW988" s="399"/>
      <c r="BX988" s="399"/>
      <c r="BY988" s="399"/>
      <c r="BZ988" s="399"/>
      <c r="CA988" s="399"/>
      <c r="CB988" s="399"/>
      <c r="CC988" s="399"/>
      <c r="CD988" s="399"/>
      <c r="CE988" s="399"/>
      <c r="CF988" s="399"/>
      <c r="CG988" s="399"/>
      <c r="CH988" s="399"/>
      <c r="CI988" s="399"/>
      <c r="CJ988" s="399"/>
      <c r="CK988" s="399"/>
      <c r="CL988" s="399"/>
      <c r="CM988" s="399"/>
      <c r="CN988" s="399"/>
      <c r="CO988" s="399"/>
      <c r="CP988" s="399"/>
      <c r="CQ988" s="399"/>
      <c r="CR988" s="399"/>
      <c r="CS988" s="399"/>
      <c r="CT988" s="399"/>
      <c r="CU988" s="399"/>
      <c r="CV988" s="399"/>
      <c r="CW988" s="399"/>
      <c r="CX988" s="399"/>
      <c r="CY988" s="399"/>
      <c r="CZ988" s="399"/>
      <c r="DA988" s="399"/>
      <c r="DB988" s="399"/>
      <c r="DC988" s="399"/>
      <c r="DD988" s="399"/>
      <c r="DE988" s="399"/>
      <c r="DF988" s="399"/>
      <c r="DG988" s="399"/>
      <c r="DH988" s="399"/>
      <c r="DI988" s="399"/>
      <c r="DJ988" s="399"/>
      <c r="DK988" s="399"/>
      <c r="DL988" s="399"/>
      <c r="DM988" s="399"/>
      <c r="DN988" s="399"/>
      <c r="DO988" s="399"/>
      <c r="DP988" s="399"/>
      <c r="DQ988" s="399"/>
    </row>
    <row r="989" spans="1:121" s="760" customFormat="1" ht="14.45" customHeight="1" x14ac:dyDescent="0.25">
      <c r="A989" s="266">
        <f t="shared" si="15"/>
        <v>58.3</v>
      </c>
      <c r="B989" s="389">
        <v>41107</v>
      </c>
      <c r="C989" s="390" t="s">
        <v>451</v>
      </c>
      <c r="D989" s="390" t="s">
        <v>451</v>
      </c>
      <c r="E989" s="390" t="s">
        <v>380</v>
      </c>
      <c r="F989" s="262" t="s">
        <v>237</v>
      </c>
      <c r="G989" s="262" t="s">
        <v>245</v>
      </c>
      <c r="H989" s="261"/>
      <c r="I989" s="261"/>
      <c r="J989" s="261"/>
      <c r="K989" s="261">
        <v>6</v>
      </c>
      <c r="L989" s="261">
        <v>6</v>
      </c>
      <c r="M989" s="261">
        <v>6</v>
      </c>
      <c r="N989" s="261">
        <v>6</v>
      </c>
      <c r="O989" s="261">
        <v>6</v>
      </c>
      <c r="P989" s="261">
        <v>6</v>
      </c>
      <c r="Q989" s="261">
        <v>6</v>
      </c>
      <c r="R989" s="261"/>
      <c r="S989" s="261"/>
      <c r="T989" s="261"/>
      <c r="U989" s="261"/>
      <c r="V989" s="762"/>
      <c r="W989" s="261"/>
      <c r="X989" s="261"/>
      <c r="Y989" s="264">
        <f>IF(NFI_Expiration=1,IF($A989&lt;VLOOKUP(H$5,NFI,5,0),1,0)*Table_NFI[[#This Row],[Hygiene Kit]],Table_NFI[Hygiene Kit])</f>
        <v>0</v>
      </c>
      <c r="Z989" s="264">
        <f>IF(NFI_Expiration=1,IF($A989&lt;VLOOKUP(I$5,NFI,5,0),1,0)*Table_NFI[[#This Row],[NFI Core Kit]],Table_NFI[NFI Core Kit])</f>
        <v>0</v>
      </c>
      <c r="AA989" s="264">
        <f>IF(NFI_Expiration=1,IF($A989&lt;VLOOKUP(J$5,NFI,5,0),1,0)*Table_NFI[[#This Row],[Sanitary Kit]],Table_NFI[Sanitary Kit])</f>
        <v>0</v>
      </c>
      <c r="AB989" s="264">
        <f>IF(NFI_Expiration=1,IF($A989&lt;VLOOKUP(K$5,NFI,5,0),1,0)*Table_NFI[[#This Row],[Mosquito net]],Table_NFI[Mosquito net])</f>
        <v>0</v>
      </c>
      <c r="AC989" s="264">
        <f>IF(NFI_Expiration=1,IF($A989&lt;VLOOKUP(L$5,NFI,5,0),1,0)*Table_NFI[[#This Row],[Tarpaulin]],Table_NFI[[#This Row],[Tarpaulin]])</f>
        <v>0</v>
      </c>
      <c r="AD989" s="264">
        <f>IF(NFI_Expiration=1,IF($A989&lt;VLOOKUP(M$5,NFI,5,0),1,0)*Table_NFI[[#This Row],[Blanket]],Table_NFI[[#This Row],[Blanket]])</f>
        <v>0</v>
      </c>
      <c r="AE989" s="264">
        <f>IF(NFI_Expiration=1,IF($A989&lt;VLOOKUP(N$5,NFI,5,0),1,0)*Table_NFI[[#This Row],[Kitchen Set]],Table_NFI[Kitchen Set])</f>
        <v>0</v>
      </c>
      <c r="AF989" s="264">
        <f>IF(NFI_Expiration=1,IF($A989&lt;VLOOKUP(O$5,NFI,5,0),1,0)*Table_NFI[[#This Row],[Clothes Kit]],Table_NFI[Clothes Kit])</f>
        <v>0</v>
      </c>
      <c r="AG989" s="264">
        <f>IF(NFI_Expiration=1,IF($A989&lt;VLOOKUP(P$5,NFI,5,0),1,0)*Table_NFI[[#This Row],[Plastic Bucket]],Table_NFI[Plastic Bucket])</f>
        <v>0</v>
      </c>
      <c r="AH989" s="264">
        <f>IF(NFI_Expiration=1,IF($A989&lt;VLOOKUP(Q$5,NFI,5,0),1,0)*Table_NFI[[#This Row],[Plastic Mat]],Table_NFI[Plastic Mat])*IF(Table_NFI[[#This Row],[Distribution Date]]&gt;"2014-04-01",1,2.5)</f>
        <v>0</v>
      </c>
      <c r="AI989" s="264">
        <f>IF(NFI_Expiration=1,IF($A989&lt;VLOOKUP(R$5,NFI,5,0),1,0)*Table_NFI[[#This Row],[Winter Clothes Adult]],Table_NFI[Winter Clothes Adult])</f>
        <v>0</v>
      </c>
      <c r="AJ989" s="264">
        <f>IF(NFI_Expiration=1,IF($A989&lt;VLOOKUP(S$5,NFI,5,0),1,0)*Table_NFI[[#This Row],[Winter Clothes Children]],Table_NFI[Winter Clothes Children])</f>
        <v>0</v>
      </c>
      <c r="AK989" s="264">
        <f>IF(NFI_Expiration=1,IF($A989&lt;VLOOKUP(T$5,NFI,5,0),1,0)*Table_NFI[[#This Row],[Winter Items Other]],Table_NFI[Winter Items Other])</f>
        <v>0</v>
      </c>
      <c r="AL989" s="264">
        <f>IF(NFI_Expiration=1,IF($A989&lt;VLOOKUP(M$5,NFI,5,0),1,0)*Table_NFI[[#This Row],[Winter Blanket]],Table_NFI[[#This Row],[Winter Blanket]])</f>
        <v>0</v>
      </c>
      <c r="AM989" s="264">
        <f>IF(Table_NFI[[#This Row],[Winter Clothes Adult]]+Table_NFI[[#This Row],[Winter Clothes Children]]+Table_NFI[[#This Row],[Winter Items Other]]+Table_NFI[[#This Row],[Winter Blanket]]&gt;0,1,0)</f>
        <v>0</v>
      </c>
      <c r="AN989" s="296">
        <f>IF(NFI_Expiration=1,IF($A989&lt;VLOOKUP(V$5,NFI,5,0),1,0)*Table_NFI[[#This Row],[Jerry Can]],Table_NFI[Jerry Can])</f>
        <v>0</v>
      </c>
      <c r="AO989" s="296">
        <f>IF(NFI_Expiration=1,IF($A989&lt;VLOOKUP(V$5,NFI,5,0),1,0)*Table_NFI[[#This Row],[Shelter Tool kit]],Table_NFI[Shelter Tool kit])</f>
        <v>0</v>
      </c>
      <c r="AP989" s="296">
        <f>IF(NFI_Expiration=1,IF($A989&lt;VLOOKUP(V$5,NFI,5,0),1,0)*Table_NFI[[#This Row],[Tent]],Table_NFI[Tent])</f>
        <v>0</v>
      </c>
      <c r="AQ989" s="396" t="str">
        <f>IFERROR(VLOOKUP(Table_NFI[[#This Row],[Camp Name]],CL,2,0),"")</f>
        <v>MMR001CMP010</v>
      </c>
      <c r="AR989" s="702">
        <f ca="1">IF(Table_NFI[[#This Row],[Pcode]]="","",IF(OFFSET(CampList[Opening Date],MATCH(Table_NFI[[#This Row],[Pcode]],CampList[CP_Pcode],0)-1,0,1,1)&gt;=NFI_Monitor_Date,1,0))</f>
        <v>0</v>
      </c>
      <c r="AS989" s="396" t="str">
        <f>IFERROR(VLOOKUP(Table_NFI[[#This Row],[Camp Name]],CL,3,0),"")</f>
        <v>Open</v>
      </c>
      <c r="AT989" s="264" t="str">
        <f ca="1">IF(Table_NFI[[#This Row],[Pcode]]="","",OFFSET(CampList[Priority],MATCH(Table_NFI[[#This Row],[Pcode]],CampList[CP_Pcode],0)-1,0,1,1))</f>
        <v>P4</v>
      </c>
      <c r="AU989" s="263">
        <f>IFERROR(Table_NFI[[#This Row],[Kitchen Set]]/VLOOKUP(Table_NFI[[#This Row],[Camp Name]],CL,4,0),"")</f>
        <v>1.474382602285293E-4</v>
      </c>
      <c r="AV989" s="390" t="s">
        <v>1087</v>
      </c>
      <c r="AW989" s="392"/>
      <c r="AX989" s="399"/>
      <c r="AY989" s="399"/>
      <c r="AZ989" s="399"/>
      <c r="BA989" s="399"/>
      <c r="BB989" s="399"/>
      <c r="BC989" s="399"/>
      <c r="BD989" s="399"/>
      <c r="BE989" s="399"/>
      <c r="BF989" s="399"/>
      <c r="BG989" s="399"/>
      <c r="BH989" s="399"/>
      <c r="BI989" s="399"/>
      <c r="BJ989" s="399"/>
      <c r="BK989" s="399"/>
      <c r="BL989" s="399"/>
      <c r="BM989" s="399"/>
      <c r="BN989" s="399"/>
      <c r="BO989" s="399"/>
      <c r="BP989" s="399"/>
      <c r="BQ989" s="399"/>
      <c r="BR989" s="399"/>
      <c r="BS989" s="399"/>
      <c r="BT989" s="399"/>
      <c r="BU989" s="399"/>
      <c r="BV989" s="399"/>
      <c r="BW989" s="399"/>
      <c r="BX989" s="399"/>
      <c r="BY989" s="399"/>
      <c r="BZ989" s="399"/>
      <c r="CA989" s="399"/>
      <c r="CB989" s="399"/>
      <c r="CC989" s="399"/>
      <c r="CD989" s="399"/>
      <c r="CE989" s="399"/>
      <c r="CF989" s="399"/>
      <c r="CG989" s="399"/>
      <c r="CH989" s="399"/>
      <c r="CI989" s="399"/>
      <c r="CJ989" s="399"/>
      <c r="CK989" s="399"/>
      <c r="CL989" s="399"/>
      <c r="CM989" s="399"/>
      <c r="CN989" s="399"/>
      <c r="CO989" s="399"/>
      <c r="CP989" s="399"/>
      <c r="CQ989" s="399"/>
      <c r="CR989" s="399"/>
      <c r="CS989" s="399"/>
      <c r="CT989" s="399"/>
      <c r="CU989" s="399"/>
      <c r="CV989" s="399"/>
      <c r="CW989" s="399"/>
      <c r="CX989" s="399"/>
      <c r="CY989" s="399"/>
      <c r="CZ989" s="399"/>
      <c r="DA989" s="399"/>
      <c r="DB989" s="399"/>
      <c r="DC989" s="399"/>
      <c r="DD989" s="399"/>
      <c r="DE989" s="399"/>
      <c r="DF989" s="399"/>
      <c r="DG989" s="399"/>
      <c r="DH989" s="399"/>
      <c r="DI989" s="399"/>
      <c r="DJ989" s="399"/>
      <c r="DK989" s="399"/>
      <c r="DL989" s="399"/>
      <c r="DM989" s="399"/>
      <c r="DN989" s="399"/>
      <c r="DO989" s="399"/>
      <c r="DP989" s="399"/>
      <c r="DQ989" s="399"/>
    </row>
    <row r="990" spans="1:121" s="760" customFormat="1" ht="14.45" customHeight="1" x14ac:dyDescent="0.25">
      <c r="A990" s="266">
        <f t="shared" si="15"/>
        <v>58.3</v>
      </c>
      <c r="B990" s="389">
        <v>41107</v>
      </c>
      <c r="C990" s="390" t="s">
        <v>451</v>
      </c>
      <c r="D990" s="390" t="s">
        <v>451</v>
      </c>
      <c r="E990" s="390" t="s">
        <v>380</v>
      </c>
      <c r="F990" s="262" t="s">
        <v>237</v>
      </c>
      <c r="G990" s="262" t="s">
        <v>247</v>
      </c>
      <c r="H990" s="261"/>
      <c r="I990" s="261"/>
      <c r="J990" s="261"/>
      <c r="K990" s="261">
        <v>6</v>
      </c>
      <c r="L990" s="261">
        <v>6</v>
      </c>
      <c r="M990" s="261">
        <v>6</v>
      </c>
      <c r="N990" s="261">
        <v>6</v>
      </c>
      <c r="O990" s="261">
        <v>6</v>
      </c>
      <c r="P990" s="261">
        <v>6</v>
      </c>
      <c r="Q990" s="261">
        <v>6</v>
      </c>
      <c r="R990" s="261"/>
      <c r="S990" s="261"/>
      <c r="T990" s="261"/>
      <c r="U990" s="261"/>
      <c r="V990" s="762"/>
      <c r="W990" s="261"/>
      <c r="X990" s="261"/>
      <c r="Y990" s="264">
        <f>IF(NFI_Expiration=1,IF($A990&lt;VLOOKUP(H$5,NFI,5,0),1,0)*Table_NFI[[#This Row],[Hygiene Kit]],Table_NFI[Hygiene Kit])</f>
        <v>0</v>
      </c>
      <c r="Z990" s="264">
        <f>IF(NFI_Expiration=1,IF($A990&lt;VLOOKUP(I$5,NFI,5,0),1,0)*Table_NFI[[#This Row],[NFI Core Kit]],Table_NFI[NFI Core Kit])</f>
        <v>0</v>
      </c>
      <c r="AA990" s="264">
        <f>IF(NFI_Expiration=1,IF($A990&lt;VLOOKUP(J$5,NFI,5,0),1,0)*Table_NFI[[#This Row],[Sanitary Kit]],Table_NFI[Sanitary Kit])</f>
        <v>0</v>
      </c>
      <c r="AB990" s="264">
        <f>IF(NFI_Expiration=1,IF($A990&lt;VLOOKUP(K$5,NFI,5,0),1,0)*Table_NFI[[#This Row],[Mosquito net]],Table_NFI[Mosquito net])</f>
        <v>0</v>
      </c>
      <c r="AC990" s="264">
        <f>IF(NFI_Expiration=1,IF($A990&lt;VLOOKUP(L$5,NFI,5,0),1,0)*Table_NFI[[#This Row],[Tarpaulin]],Table_NFI[[#This Row],[Tarpaulin]])</f>
        <v>0</v>
      </c>
      <c r="AD990" s="264">
        <f>IF(NFI_Expiration=1,IF($A990&lt;VLOOKUP(M$5,NFI,5,0),1,0)*Table_NFI[[#This Row],[Blanket]],Table_NFI[[#This Row],[Blanket]])</f>
        <v>0</v>
      </c>
      <c r="AE990" s="264">
        <f>IF(NFI_Expiration=1,IF($A990&lt;VLOOKUP(N$5,NFI,5,0),1,0)*Table_NFI[[#This Row],[Kitchen Set]],Table_NFI[Kitchen Set])</f>
        <v>0</v>
      </c>
      <c r="AF990" s="264">
        <f>IF(NFI_Expiration=1,IF($A990&lt;VLOOKUP(O$5,NFI,5,0),1,0)*Table_NFI[[#This Row],[Clothes Kit]],Table_NFI[Clothes Kit])</f>
        <v>0</v>
      </c>
      <c r="AG990" s="264">
        <f>IF(NFI_Expiration=1,IF($A990&lt;VLOOKUP(P$5,NFI,5,0),1,0)*Table_NFI[[#This Row],[Plastic Bucket]],Table_NFI[Plastic Bucket])</f>
        <v>0</v>
      </c>
      <c r="AH990" s="264">
        <f>IF(NFI_Expiration=1,IF($A990&lt;VLOOKUP(Q$5,NFI,5,0),1,0)*Table_NFI[[#This Row],[Plastic Mat]],Table_NFI[Plastic Mat])*IF(Table_NFI[[#This Row],[Distribution Date]]&gt;"2014-04-01",1,2.5)</f>
        <v>0</v>
      </c>
      <c r="AI990" s="264">
        <f>IF(NFI_Expiration=1,IF($A990&lt;VLOOKUP(R$5,NFI,5,0),1,0)*Table_NFI[[#This Row],[Winter Clothes Adult]],Table_NFI[Winter Clothes Adult])</f>
        <v>0</v>
      </c>
      <c r="AJ990" s="264">
        <f>IF(NFI_Expiration=1,IF($A990&lt;VLOOKUP(S$5,NFI,5,0),1,0)*Table_NFI[[#This Row],[Winter Clothes Children]],Table_NFI[Winter Clothes Children])</f>
        <v>0</v>
      </c>
      <c r="AK990" s="264">
        <f>IF(NFI_Expiration=1,IF($A990&lt;VLOOKUP(T$5,NFI,5,0),1,0)*Table_NFI[[#This Row],[Winter Items Other]],Table_NFI[Winter Items Other])</f>
        <v>0</v>
      </c>
      <c r="AL990" s="264">
        <f>IF(NFI_Expiration=1,IF($A990&lt;VLOOKUP(M$5,NFI,5,0),1,0)*Table_NFI[[#This Row],[Winter Blanket]],Table_NFI[[#This Row],[Winter Blanket]])</f>
        <v>0</v>
      </c>
      <c r="AM990" s="264">
        <f>IF(Table_NFI[[#This Row],[Winter Clothes Adult]]+Table_NFI[[#This Row],[Winter Clothes Children]]+Table_NFI[[#This Row],[Winter Items Other]]+Table_NFI[[#This Row],[Winter Blanket]]&gt;0,1,0)</f>
        <v>0</v>
      </c>
      <c r="AN990" s="296">
        <f>IF(NFI_Expiration=1,IF($A990&lt;VLOOKUP(V$5,NFI,5,0),1,0)*Table_NFI[[#This Row],[Jerry Can]],Table_NFI[Jerry Can])</f>
        <v>0</v>
      </c>
      <c r="AO990" s="296">
        <f>IF(NFI_Expiration=1,IF($A990&lt;VLOOKUP(V$5,NFI,5,0),1,0)*Table_NFI[[#This Row],[Shelter Tool kit]],Table_NFI[Shelter Tool kit])</f>
        <v>0</v>
      </c>
      <c r="AP990" s="296">
        <f>IF(NFI_Expiration=1,IF($A990&lt;VLOOKUP(V$5,NFI,5,0),1,0)*Table_NFI[[#This Row],[Tent]],Table_NFI[Tent])</f>
        <v>0</v>
      </c>
      <c r="AQ990" s="396" t="str">
        <f>IFERROR(VLOOKUP(Table_NFI[[#This Row],[Camp Name]],CL,2,0),"")</f>
        <v>MMR001CMP011</v>
      </c>
      <c r="AR990" s="702">
        <f ca="1">IF(Table_NFI[[#This Row],[Pcode]]="","",IF(OFFSET(CampList[Opening Date],MATCH(Table_NFI[[#This Row],[Pcode]],CampList[CP_Pcode],0)-1,0,1,1)&gt;=NFI_Monitor_Date,1,0))</f>
        <v>0</v>
      </c>
      <c r="AS990" s="396" t="str">
        <f>IFERROR(VLOOKUP(Table_NFI[[#This Row],[Camp Name]],CL,3,0),"")</f>
        <v>Open</v>
      </c>
      <c r="AT990" s="264" t="str">
        <f ca="1">IF(Table_NFI[[#This Row],[Pcode]]="","",OFFSET(CampList[Priority],MATCH(Table_NFI[[#This Row],[Pcode]],CampList[CP_Pcode],0)-1,0,1,1))</f>
        <v>P4</v>
      </c>
      <c r="AU990" s="263">
        <f>IFERROR(Table_NFI[[#This Row],[Kitchen Set]]/VLOOKUP(Table_NFI[[#This Row],[Camp Name]],CL,4,0),"")</f>
        <v>1.474382602285293E-4</v>
      </c>
      <c r="AV990" s="390" t="s">
        <v>1087</v>
      </c>
      <c r="AW990" s="392"/>
      <c r="AX990" s="399"/>
      <c r="AY990" s="399"/>
      <c r="AZ990" s="399"/>
      <c r="BA990" s="399"/>
      <c r="BB990" s="399"/>
      <c r="BC990" s="399"/>
      <c r="BD990" s="399"/>
      <c r="BE990" s="399"/>
      <c r="BF990" s="399"/>
      <c r="BG990" s="399"/>
      <c r="BH990" s="399"/>
      <c r="BI990" s="399"/>
      <c r="BJ990" s="399"/>
      <c r="BK990" s="399"/>
      <c r="BL990" s="399"/>
      <c r="BM990" s="399"/>
      <c r="BN990" s="399"/>
      <c r="BO990" s="399"/>
      <c r="BP990" s="399"/>
      <c r="BQ990" s="399"/>
      <c r="BR990" s="399"/>
      <c r="BS990" s="399"/>
      <c r="BT990" s="399"/>
      <c r="BU990" s="399"/>
      <c r="BV990" s="399"/>
      <c r="BW990" s="399"/>
      <c r="BX990" s="399"/>
      <c r="BY990" s="399"/>
      <c r="BZ990" s="399"/>
      <c r="CA990" s="399"/>
      <c r="CB990" s="399"/>
      <c r="CC990" s="399"/>
      <c r="CD990" s="399"/>
      <c r="CE990" s="399"/>
      <c r="CF990" s="399"/>
      <c r="CG990" s="399"/>
      <c r="CH990" s="399"/>
      <c r="CI990" s="399"/>
      <c r="CJ990" s="399"/>
      <c r="CK990" s="399"/>
      <c r="CL990" s="399"/>
      <c r="CM990" s="399"/>
      <c r="CN990" s="399"/>
      <c r="CO990" s="399"/>
      <c r="CP990" s="399"/>
      <c r="CQ990" s="399"/>
      <c r="CR990" s="399"/>
      <c r="CS990" s="399"/>
      <c r="CT990" s="399"/>
      <c r="CU990" s="399"/>
      <c r="CV990" s="399"/>
      <c r="CW990" s="399"/>
      <c r="CX990" s="399"/>
      <c r="CY990" s="399"/>
      <c r="CZ990" s="399"/>
      <c r="DA990" s="399"/>
      <c r="DB990" s="399"/>
      <c r="DC990" s="399"/>
      <c r="DD990" s="399"/>
      <c r="DE990" s="399"/>
      <c r="DF990" s="399"/>
      <c r="DG990" s="399"/>
      <c r="DH990" s="399"/>
      <c r="DI990" s="399"/>
      <c r="DJ990" s="399"/>
      <c r="DK990" s="399"/>
      <c r="DL990" s="399"/>
      <c r="DM990" s="399"/>
      <c r="DN990" s="399"/>
      <c r="DO990" s="399"/>
      <c r="DP990" s="399"/>
      <c r="DQ990" s="399"/>
    </row>
    <row r="991" spans="1:121" s="760" customFormat="1" ht="14.45" customHeight="1" x14ac:dyDescent="0.25">
      <c r="A991" s="266">
        <f t="shared" si="15"/>
        <v>58.3</v>
      </c>
      <c r="B991" s="389">
        <v>41107</v>
      </c>
      <c r="C991" s="390" t="s">
        <v>451</v>
      </c>
      <c r="D991" s="391" t="s">
        <v>451</v>
      </c>
      <c r="E991" s="390" t="s">
        <v>380</v>
      </c>
      <c r="F991" s="262" t="s">
        <v>185</v>
      </c>
      <c r="G991" s="262" t="s">
        <v>192</v>
      </c>
      <c r="H991" s="261"/>
      <c r="I991" s="763"/>
      <c r="J991" s="261"/>
      <c r="K991" s="261">
        <v>380</v>
      </c>
      <c r="L991" s="261">
        <v>156</v>
      </c>
      <c r="M991" s="261">
        <v>380</v>
      </c>
      <c r="N991" s="261">
        <v>156</v>
      </c>
      <c r="O991" s="261">
        <v>156</v>
      </c>
      <c r="P991" s="261">
        <v>156</v>
      </c>
      <c r="Q991" s="261">
        <v>156</v>
      </c>
      <c r="R991" s="261"/>
      <c r="S991" s="261"/>
      <c r="T991" s="261"/>
      <c r="U991" s="261"/>
      <c r="V991" s="762"/>
      <c r="W991" s="261"/>
      <c r="X991" s="261"/>
      <c r="Y991" s="264">
        <f>IF(NFI_Expiration=1,IF($A991&lt;VLOOKUP(H$5,NFI,5,0),1,0)*Table_NFI[[#This Row],[Hygiene Kit]],Table_NFI[Hygiene Kit])</f>
        <v>0</v>
      </c>
      <c r="Z991" s="264">
        <f>IF(NFI_Expiration=1,IF($A991&lt;VLOOKUP(I$5,NFI,5,0),1,0)*Table_NFI[[#This Row],[NFI Core Kit]],Table_NFI[NFI Core Kit])</f>
        <v>0</v>
      </c>
      <c r="AA991" s="264">
        <f>IF(NFI_Expiration=1,IF($A991&lt;VLOOKUP(J$5,NFI,5,0),1,0)*Table_NFI[[#This Row],[Sanitary Kit]],Table_NFI[Sanitary Kit])</f>
        <v>0</v>
      </c>
      <c r="AB991" s="264">
        <f>IF(NFI_Expiration=1,IF($A991&lt;VLOOKUP(K$5,NFI,5,0),1,0)*Table_NFI[[#This Row],[Mosquito net]],Table_NFI[Mosquito net])</f>
        <v>0</v>
      </c>
      <c r="AC991" s="264">
        <f>IF(NFI_Expiration=1,IF($A991&lt;VLOOKUP(L$5,NFI,5,0),1,0)*Table_NFI[[#This Row],[Tarpaulin]],Table_NFI[[#This Row],[Tarpaulin]])</f>
        <v>0</v>
      </c>
      <c r="AD991" s="264">
        <f>IF(NFI_Expiration=1,IF($A991&lt;VLOOKUP(M$5,NFI,5,0),1,0)*Table_NFI[[#This Row],[Blanket]],Table_NFI[[#This Row],[Blanket]])</f>
        <v>0</v>
      </c>
      <c r="AE991" s="264">
        <f>IF(NFI_Expiration=1,IF($A991&lt;VLOOKUP(N$5,NFI,5,0),1,0)*Table_NFI[[#This Row],[Kitchen Set]],Table_NFI[Kitchen Set])</f>
        <v>0</v>
      </c>
      <c r="AF991" s="264">
        <f>IF(NFI_Expiration=1,IF($A991&lt;VLOOKUP(O$5,NFI,5,0),1,0)*Table_NFI[[#This Row],[Clothes Kit]],Table_NFI[Clothes Kit])</f>
        <v>0</v>
      </c>
      <c r="AG991" s="264">
        <f>IF(NFI_Expiration=1,IF($A991&lt;VLOOKUP(P$5,NFI,5,0),1,0)*Table_NFI[[#This Row],[Plastic Bucket]],Table_NFI[Plastic Bucket])</f>
        <v>0</v>
      </c>
      <c r="AH991" s="264">
        <f>IF(NFI_Expiration=1,IF($A991&lt;VLOOKUP(Q$5,NFI,5,0),1,0)*Table_NFI[[#This Row],[Plastic Mat]],Table_NFI[Plastic Mat])*IF(Table_NFI[[#This Row],[Distribution Date]]&gt;"2014-04-01",1,2.5)</f>
        <v>0</v>
      </c>
      <c r="AI991" s="264">
        <f>IF(NFI_Expiration=1,IF($A991&lt;VLOOKUP(R$5,NFI,5,0),1,0)*Table_NFI[[#This Row],[Winter Clothes Adult]],Table_NFI[Winter Clothes Adult])</f>
        <v>0</v>
      </c>
      <c r="AJ991" s="264">
        <f>IF(NFI_Expiration=1,IF($A991&lt;VLOOKUP(S$5,NFI,5,0),1,0)*Table_NFI[[#This Row],[Winter Clothes Children]],Table_NFI[Winter Clothes Children])</f>
        <v>0</v>
      </c>
      <c r="AK991" s="264">
        <f>IF(NFI_Expiration=1,IF($A991&lt;VLOOKUP(T$5,NFI,5,0),1,0)*Table_NFI[[#This Row],[Winter Items Other]],Table_NFI[Winter Items Other])</f>
        <v>0</v>
      </c>
      <c r="AL991" s="264">
        <f>IF(NFI_Expiration=1,IF($A991&lt;VLOOKUP(M$5,NFI,5,0),1,0)*Table_NFI[[#This Row],[Winter Blanket]],Table_NFI[[#This Row],[Winter Blanket]])</f>
        <v>0</v>
      </c>
      <c r="AM991" s="264">
        <f>IF(Table_NFI[[#This Row],[Winter Clothes Adult]]+Table_NFI[[#This Row],[Winter Clothes Children]]+Table_NFI[[#This Row],[Winter Items Other]]+Table_NFI[[#This Row],[Winter Blanket]]&gt;0,1,0)</f>
        <v>0</v>
      </c>
      <c r="AN991" s="296">
        <f>IF(NFI_Expiration=1,IF($A991&lt;VLOOKUP(V$5,NFI,5,0),1,0)*Table_NFI[[#This Row],[Jerry Can]],Table_NFI[Jerry Can])</f>
        <v>0</v>
      </c>
      <c r="AO991" s="296">
        <f>IF(NFI_Expiration=1,IF($A991&lt;VLOOKUP(V$5,NFI,5,0),1,0)*Table_NFI[[#This Row],[Shelter Tool kit]],Table_NFI[Shelter Tool kit])</f>
        <v>0</v>
      </c>
      <c r="AP991" s="296">
        <f>IF(NFI_Expiration=1,IF($A991&lt;VLOOKUP(V$5,NFI,5,0),1,0)*Table_NFI[[#This Row],[Tent]],Table_NFI[Tent])</f>
        <v>0</v>
      </c>
      <c r="AQ991" s="396" t="str">
        <f>IFERROR(VLOOKUP(Table_NFI[[#This Row],[Camp Name]],CL,2,0),"")</f>
        <v>MMR001CMP123</v>
      </c>
      <c r="AR991" s="702">
        <f ca="1">IF(Table_NFI[[#This Row],[Pcode]]="","",IF(OFFSET(CampList[Opening Date],MATCH(Table_NFI[[#This Row],[Pcode]],CampList[CP_Pcode],0)-1,0,1,1)&gt;=NFI_Monitor_Date,1,0))</f>
        <v>0</v>
      </c>
      <c r="AS991" s="396" t="str">
        <f>IFERROR(VLOOKUP(Table_NFI[[#This Row],[Camp Name]],CL,3,0),"")</f>
        <v>Open</v>
      </c>
      <c r="AT991" s="264" t="str">
        <f ca="1">IF(Table_NFI[[#This Row],[Pcode]]="","",OFFSET(CampList[Priority],MATCH(Table_NFI[[#This Row],[Pcode]],CampList[CP_Pcode],0)-1,0,1,1))</f>
        <v>P2</v>
      </c>
      <c r="AU991" s="263">
        <f>IFERROR(Table_NFI[[#This Row],[Kitchen Set]]/VLOOKUP(Table_NFI[[#This Row],[Camp Name]],CL,4,0),"")</f>
        <v>3.8276572774560802E-3</v>
      </c>
      <c r="AV991" s="390" t="s">
        <v>1087</v>
      </c>
      <c r="AW991" s="392"/>
      <c r="AX991" s="399"/>
      <c r="AY991" s="399"/>
      <c r="AZ991" s="399"/>
      <c r="BA991" s="399"/>
      <c r="BB991" s="399"/>
      <c r="BC991" s="399"/>
      <c r="BD991" s="399"/>
      <c r="BE991" s="399"/>
      <c r="BF991" s="399"/>
      <c r="BG991" s="399"/>
      <c r="BH991" s="399"/>
      <c r="BI991" s="399"/>
      <c r="BJ991" s="399"/>
      <c r="BK991" s="399"/>
      <c r="BL991" s="399"/>
      <c r="BM991" s="399"/>
      <c r="BN991" s="399"/>
      <c r="BO991" s="399"/>
      <c r="BP991" s="399"/>
      <c r="BQ991" s="399"/>
      <c r="BR991" s="399"/>
      <c r="BS991" s="399"/>
      <c r="BT991" s="399"/>
      <c r="BU991" s="399"/>
      <c r="BV991" s="399"/>
      <c r="BW991" s="399"/>
      <c r="BX991" s="399"/>
      <c r="BY991" s="399"/>
      <c r="BZ991" s="399"/>
      <c r="CA991" s="399"/>
      <c r="CB991" s="399"/>
      <c r="CC991" s="399"/>
      <c r="CD991" s="399"/>
      <c r="CE991" s="399"/>
      <c r="CF991" s="399"/>
      <c r="CG991" s="399"/>
      <c r="CH991" s="399"/>
      <c r="CI991" s="399"/>
      <c r="CJ991" s="399"/>
      <c r="CK991" s="399"/>
      <c r="CL991" s="399"/>
      <c r="CM991" s="399"/>
      <c r="CN991" s="399"/>
      <c r="CO991" s="399"/>
      <c r="CP991" s="399"/>
      <c r="CQ991" s="399"/>
      <c r="CR991" s="399"/>
      <c r="CS991" s="399"/>
      <c r="CT991" s="399"/>
      <c r="CU991" s="399"/>
      <c r="CV991" s="399"/>
      <c r="CW991" s="399"/>
      <c r="CX991" s="399"/>
      <c r="CY991" s="399"/>
      <c r="CZ991" s="399"/>
      <c r="DA991" s="399"/>
      <c r="DB991" s="399"/>
      <c r="DC991" s="399"/>
      <c r="DD991" s="399"/>
      <c r="DE991" s="399"/>
      <c r="DF991" s="399"/>
      <c r="DG991" s="399"/>
      <c r="DH991" s="399"/>
      <c r="DI991" s="399"/>
      <c r="DJ991" s="399"/>
      <c r="DK991" s="399"/>
      <c r="DL991" s="399"/>
      <c r="DM991" s="399"/>
      <c r="DN991" s="399"/>
      <c r="DO991" s="399"/>
      <c r="DP991" s="399"/>
      <c r="DQ991" s="399"/>
    </row>
    <row r="992" spans="1:121" s="760" customFormat="1" ht="14.45" customHeight="1" x14ac:dyDescent="0.25">
      <c r="A992" s="266">
        <f t="shared" si="15"/>
        <v>58.3</v>
      </c>
      <c r="B992" s="389">
        <v>41107</v>
      </c>
      <c r="C992" s="390" t="s">
        <v>451</v>
      </c>
      <c r="D992" s="391" t="s">
        <v>451</v>
      </c>
      <c r="E992" s="390" t="s">
        <v>380</v>
      </c>
      <c r="F992" s="262" t="s">
        <v>185</v>
      </c>
      <c r="G992" s="262" t="s">
        <v>194</v>
      </c>
      <c r="H992" s="261"/>
      <c r="I992" s="763"/>
      <c r="J992" s="261"/>
      <c r="K992" s="261">
        <v>0</v>
      </c>
      <c r="L992" s="261">
        <v>0</v>
      </c>
      <c r="M992" s="261">
        <v>0</v>
      </c>
      <c r="N992" s="261">
        <v>0</v>
      </c>
      <c r="O992" s="261">
        <v>0</v>
      </c>
      <c r="P992" s="261"/>
      <c r="Q992" s="261"/>
      <c r="R992" s="261"/>
      <c r="S992" s="261"/>
      <c r="T992" s="261"/>
      <c r="U992" s="261"/>
      <c r="V992" s="762"/>
      <c r="W992" s="261"/>
      <c r="X992" s="261"/>
      <c r="Y992" s="264">
        <f>IF(NFI_Expiration=1,IF($A992&lt;VLOOKUP(H$5,NFI,5,0),1,0)*Table_NFI[[#This Row],[Hygiene Kit]],Table_NFI[Hygiene Kit])</f>
        <v>0</v>
      </c>
      <c r="Z992" s="264">
        <f>IF(NFI_Expiration=1,IF($A992&lt;VLOOKUP(I$5,NFI,5,0),1,0)*Table_NFI[[#This Row],[NFI Core Kit]],Table_NFI[NFI Core Kit])</f>
        <v>0</v>
      </c>
      <c r="AA992" s="264">
        <f>IF(NFI_Expiration=1,IF($A992&lt;VLOOKUP(J$5,NFI,5,0),1,0)*Table_NFI[[#This Row],[Sanitary Kit]],Table_NFI[Sanitary Kit])</f>
        <v>0</v>
      </c>
      <c r="AB992" s="264">
        <f>IF(NFI_Expiration=1,IF($A992&lt;VLOOKUP(K$5,NFI,5,0),1,0)*Table_NFI[[#This Row],[Mosquito net]],Table_NFI[Mosquito net])</f>
        <v>0</v>
      </c>
      <c r="AC992" s="264">
        <f>IF(NFI_Expiration=1,IF($A992&lt;VLOOKUP(L$5,NFI,5,0),1,0)*Table_NFI[[#This Row],[Tarpaulin]],Table_NFI[[#This Row],[Tarpaulin]])</f>
        <v>0</v>
      </c>
      <c r="AD992" s="264">
        <f>IF(NFI_Expiration=1,IF($A992&lt;VLOOKUP(M$5,NFI,5,0),1,0)*Table_NFI[[#This Row],[Blanket]],Table_NFI[[#This Row],[Blanket]])</f>
        <v>0</v>
      </c>
      <c r="AE992" s="264">
        <f>IF(NFI_Expiration=1,IF($A992&lt;VLOOKUP(N$5,NFI,5,0),1,0)*Table_NFI[[#This Row],[Kitchen Set]],Table_NFI[Kitchen Set])</f>
        <v>0</v>
      </c>
      <c r="AF992" s="264">
        <f>IF(NFI_Expiration=1,IF($A992&lt;VLOOKUP(O$5,NFI,5,0),1,0)*Table_NFI[[#This Row],[Clothes Kit]],Table_NFI[Clothes Kit])</f>
        <v>0</v>
      </c>
      <c r="AG992" s="264">
        <f>IF(NFI_Expiration=1,IF($A992&lt;VLOOKUP(P$5,NFI,5,0),1,0)*Table_NFI[[#This Row],[Plastic Bucket]],Table_NFI[Plastic Bucket])</f>
        <v>0</v>
      </c>
      <c r="AH992" s="264">
        <f>IF(NFI_Expiration=1,IF($A992&lt;VLOOKUP(Q$5,NFI,5,0),1,0)*Table_NFI[[#This Row],[Plastic Mat]],Table_NFI[Plastic Mat])*IF(Table_NFI[[#This Row],[Distribution Date]]&gt;"2014-04-01",1,2.5)</f>
        <v>0</v>
      </c>
      <c r="AI992" s="264">
        <f>IF(NFI_Expiration=1,IF($A992&lt;VLOOKUP(R$5,NFI,5,0),1,0)*Table_NFI[[#This Row],[Winter Clothes Adult]],Table_NFI[Winter Clothes Adult])</f>
        <v>0</v>
      </c>
      <c r="AJ992" s="264">
        <f>IF(NFI_Expiration=1,IF($A992&lt;VLOOKUP(S$5,NFI,5,0),1,0)*Table_NFI[[#This Row],[Winter Clothes Children]],Table_NFI[Winter Clothes Children])</f>
        <v>0</v>
      </c>
      <c r="AK992" s="264">
        <f>IF(NFI_Expiration=1,IF($A992&lt;VLOOKUP(T$5,NFI,5,0),1,0)*Table_NFI[[#This Row],[Winter Items Other]],Table_NFI[Winter Items Other])</f>
        <v>0</v>
      </c>
      <c r="AL992" s="264">
        <f>IF(NFI_Expiration=1,IF($A992&lt;VLOOKUP(M$5,NFI,5,0),1,0)*Table_NFI[[#This Row],[Winter Blanket]],Table_NFI[[#This Row],[Winter Blanket]])</f>
        <v>0</v>
      </c>
      <c r="AM992" s="264">
        <f>IF(Table_NFI[[#This Row],[Winter Clothes Adult]]+Table_NFI[[#This Row],[Winter Clothes Children]]+Table_NFI[[#This Row],[Winter Items Other]]+Table_NFI[[#This Row],[Winter Blanket]]&gt;0,1,0)</f>
        <v>0</v>
      </c>
      <c r="AN992" s="296">
        <f>IF(NFI_Expiration=1,IF($A992&lt;VLOOKUP(V$5,NFI,5,0),1,0)*Table_NFI[[#This Row],[Jerry Can]],Table_NFI[Jerry Can])</f>
        <v>0</v>
      </c>
      <c r="AO992" s="296">
        <f>IF(NFI_Expiration=1,IF($A992&lt;VLOOKUP(V$5,NFI,5,0),1,0)*Table_NFI[[#This Row],[Shelter Tool kit]],Table_NFI[Shelter Tool kit])</f>
        <v>0</v>
      </c>
      <c r="AP992" s="296">
        <f>IF(NFI_Expiration=1,IF($A992&lt;VLOOKUP(V$5,NFI,5,0),1,0)*Table_NFI[[#This Row],[Tent]],Table_NFI[Tent])</f>
        <v>0</v>
      </c>
      <c r="AQ992" s="396" t="str">
        <f>IFERROR(VLOOKUP(Table_NFI[[#This Row],[Camp Name]],CL,2,0),"")</f>
        <v>MMR001CMP122</v>
      </c>
      <c r="AR992" s="702">
        <f ca="1">IF(Table_NFI[[#This Row],[Pcode]]="","",IF(OFFSET(CampList[Opening Date],MATCH(Table_NFI[[#This Row],[Pcode]],CampList[CP_Pcode],0)-1,0,1,1)&gt;=NFI_Monitor_Date,1,0))</f>
        <v>0</v>
      </c>
      <c r="AS992" s="396" t="str">
        <f>IFERROR(VLOOKUP(Table_NFI[[#This Row],[Camp Name]],CL,3,0),"")</f>
        <v>Open</v>
      </c>
      <c r="AT992" s="264" t="str">
        <f ca="1">IF(Table_NFI[[#This Row],[Pcode]]="","",OFFSET(CampList[Priority],MATCH(Table_NFI[[#This Row],[Pcode]],CampList[CP_Pcode],0)-1,0,1,1))</f>
        <v>P2</v>
      </c>
      <c r="AU992" s="263">
        <f>IFERROR(Table_NFI[[#This Row],[Kitchen Set]]/VLOOKUP(Table_NFI[[#This Row],[Camp Name]],CL,4,0),"")</f>
        <v>0</v>
      </c>
      <c r="AV992" s="390" t="s">
        <v>1087</v>
      </c>
      <c r="AW992" s="392"/>
      <c r="AX992" s="399"/>
      <c r="AY992" s="399"/>
      <c r="AZ992" s="399"/>
      <c r="BA992" s="399"/>
      <c r="BB992" s="399"/>
      <c r="BC992" s="399"/>
      <c r="BD992" s="399"/>
      <c r="BE992" s="399"/>
      <c r="BF992" s="399"/>
      <c r="BG992" s="399"/>
      <c r="BH992" s="399"/>
      <c r="BI992" s="399"/>
      <c r="BJ992" s="399"/>
      <c r="BK992" s="399"/>
      <c r="BL992" s="399"/>
      <c r="BM992" s="399"/>
      <c r="BN992" s="399"/>
      <c r="BO992" s="399"/>
      <c r="BP992" s="399"/>
      <c r="BQ992" s="399"/>
      <c r="BR992" s="399"/>
      <c r="BS992" s="399"/>
      <c r="BT992" s="399"/>
      <c r="BU992" s="399"/>
      <c r="BV992" s="399"/>
      <c r="BW992" s="399"/>
      <c r="BX992" s="399"/>
      <c r="BY992" s="399"/>
      <c r="BZ992" s="399"/>
      <c r="CA992" s="399"/>
      <c r="CB992" s="399"/>
      <c r="CC992" s="399"/>
      <c r="CD992" s="399"/>
      <c r="CE992" s="399"/>
      <c r="CF992" s="399"/>
      <c r="CG992" s="399"/>
      <c r="CH992" s="399"/>
      <c r="CI992" s="399"/>
      <c r="CJ992" s="399"/>
      <c r="CK992" s="399"/>
      <c r="CL992" s="399"/>
      <c r="CM992" s="399"/>
      <c r="CN992" s="399"/>
      <c r="CO992" s="399"/>
      <c r="CP992" s="399"/>
      <c r="CQ992" s="399"/>
      <c r="CR992" s="399"/>
      <c r="CS992" s="399"/>
      <c r="CT992" s="399"/>
      <c r="CU992" s="399"/>
      <c r="CV992" s="399"/>
      <c r="CW992" s="399"/>
      <c r="CX992" s="399"/>
      <c r="CY992" s="399"/>
      <c r="CZ992" s="399"/>
      <c r="DA992" s="399"/>
      <c r="DB992" s="399"/>
      <c r="DC992" s="399"/>
      <c r="DD992" s="399"/>
      <c r="DE992" s="399"/>
      <c r="DF992" s="399"/>
      <c r="DG992" s="399"/>
      <c r="DH992" s="399"/>
      <c r="DI992" s="399"/>
      <c r="DJ992" s="399"/>
      <c r="DK992" s="399"/>
      <c r="DL992" s="399"/>
      <c r="DM992" s="399"/>
      <c r="DN992" s="399"/>
      <c r="DO992" s="399"/>
      <c r="DP992" s="399"/>
      <c r="DQ992" s="399"/>
    </row>
    <row r="993" spans="1:121" s="760" customFormat="1" ht="14.45" customHeight="1" x14ac:dyDescent="0.25">
      <c r="A993" s="266">
        <f t="shared" si="15"/>
        <v>58.3</v>
      </c>
      <c r="B993" s="389">
        <v>41107</v>
      </c>
      <c r="C993" s="390" t="s">
        <v>451</v>
      </c>
      <c r="D993" s="391" t="s">
        <v>451</v>
      </c>
      <c r="E993" s="390" t="s">
        <v>380</v>
      </c>
      <c r="F993" s="262" t="s">
        <v>237</v>
      </c>
      <c r="G993" s="262" t="s">
        <v>253</v>
      </c>
      <c r="H993" s="261"/>
      <c r="I993" s="261"/>
      <c r="J993" s="261"/>
      <c r="K993" s="261">
        <v>21</v>
      </c>
      <c r="L993" s="261">
        <v>21</v>
      </c>
      <c r="M993" s="261">
        <v>21</v>
      </c>
      <c r="N993" s="261">
        <v>21</v>
      </c>
      <c r="O993" s="261">
        <v>21</v>
      </c>
      <c r="P993" s="261">
        <v>21</v>
      </c>
      <c r="Q993" s="261">
        <v>21</v>
      </c>
      <c r="R993" s="261"/>
      <c r="S993" s="261"/>
      <c r="T993" s="261"/>
      <c r="U993" s="261"/>
      <c r="V993" s="762"/>
      <c r="W993" s="762"/>
      <c r="X993" s="762"/>
      <c r="Y993" s="264">
        <f>IF(NFI_Expiration=1,IF($A993&lt;VLOOKUP(H$5,NFI,5,0),1,0)*Table_NFI[[#This Row],[Hygiene Kit]],Table_NFI[Hygiene Kit])</f>
        <v>0</v>
      </c>
      <c r="Z993" s="264">
        <f>IF(NFI_Expiration=1,IF($A993&lt;VLOOKUP(I$5,NFI,5,0),1,0)*Table_NFI[[#This Row],[NFI Core Kit]],Table_NFI[NFI Core Kit])</f>
        <v>0</v>
      </c>
      <c r="AA993" s="264">
        <f>IF(NFI_Expiration=1,IF($A993&lt;VLOOKUP(J$5,NFI,5,0),1,0)*Table_NFI[[#This Row],[Sanitary Kit]],Table_NFI[Sanitary Kit])</f>
        <v>0</v>
      </c>
      <c r="AB993" s="264">
        <f>IF(NFI_Expiration=1,IF($A993&lt;VLOOKUP(K$5,NFI,5,0),1,0)*Table_NFI[[#This Row],[Mosquito net]],Table_NFI[Mosquito net])</f>
        <v>0</v>
      </c>
      <c r="AC993" s="264">
        <f>IF(NFI_Expiration=1,IF($A993&lt;VLOOKUP(L$5,NFI,5,0),1,0)*Table_NFI[[#This Row],[Tarpaulin]],Table_NFI[[#This Row],[Tarpaulin]])</f>
        <v>0</v>
      </c>
      <c r="AD993" s="264">
        <f>IF(NFI_Expiration=1,IF($A993&lt;VLOOKUP(M$5,NFI,5,0),1,0)*Table_NFI[[#This Row],[Blanket]],Table_NFI[[#This Row],[Blanket]])</f>
        <v>0</v>
      </c>
      <c r="AE993" s="264">
        <f>IF(NFI_Expiration=1,IF($A993&lt;VLOOKUP(N$5,NFI,5,0),1,0)*Table_NFI[[#This Row],[Kitchen Set]],Table_NFI[Kitchen Set])</f>
        <v>0</v>
      </c>
      <c r="AF993" s="264">
        <f>IF(NFI_Expiration=1,IF($A993&lt;VLOOKUP(O$5,NFI,5,0),1,0)*Table_NFI[[#This Row],[Clothes Kit]],Table_NFI[Clothes Kit])</f>
        <v>0</v>
      </c>
      <c r="AG993" s="264">
        <f>IF(NFI_Expiration=1,IF($A993&lt;VLOOKUP(P$5,NFI,5,0),1,0)*Table_NFI[[#This Row],[Plastic Bucket]],Table_NFI[Plastic Bucket])</f>
        <v>0</v>
      </c>
      <c r="AH993" s="264">
        <f>IF(NFI_Expiration=1,IF($A993&lt;VLOOKUP(Q$5,NFI,5,0),1,0)*Table_NFI[[#This Row],[Plastic Mat]],Table_NFI[Plastic Mat])*IF(Table_NFI[[#This Row],[Distribution Date]]&gt;"2014-04-01",1,2.5)</f>
        <v>0</v>
      </c>
      <c r="AI993" s="264">
        <f>IF(NFI_Expiration=1,IF($A993&lt;VLOOKUP(R$5,NFI,5,0),1,0)*Table_NFI[[#This Row],[Winter Clothes Adult]],Table_NFI[Winter Clothes Adult])</f>
        <v>0</v>
      </c>
      <c r="AJ993" s="264">
        <f>IF(NFI_Expiration=1,IF($A993&lt;VLOOKUP(S$5,NFI,5,0),1,0)*Table_NFI[[#This Row],[Winter Clothes Children]],Table_NFI[Winter Clothes Children])</f>
        <v>0</v>
      </c>
      <c r="AK993" s="264">
        <f>IF(NFI_Expiration=1,IF($A993&lt;VLOOKUP(T$5,NFI,5,0),1,0)*Table_NFI[[#This Row],[Winter Items Other]],Table_NFI[Winter Items Other])</f>
        <v>0</v>
      </c>
      <c r="AL993" s="264">
        <f>IF(NFI_Expiration=1,IF($A993&lt;VLOOKUP(M$5,NFI,5,0),1,0)*Table_NFI[[#This Row],[Winter Blanket]],Table_NFI[[#This Row],[Winter Blanket]])</f>
        <v>0</v>
      </c>
      <c r="AM993" s="264">
        <f>IF(Table_NFI[[#This Row],[Winter Clothes Adult]]+Table_NFI[[#This Row],[Winter Clothes Children]]+Table_NFI[[#This Row],[Winter Items Other]]+Table_NFI[[#This Row],[Winter Blanket]]&gt;0,1,0)</f>
        <v>0</v>
      </c>
      <c r="AN993" s="296">
        <f>IF(NFI_Expiration=1,IF($A993&lt;VLOOKUP(V$5,NFI,5,0),1,0)*Table_NFI[[#This Row],[Jerry Can]],Table_NFI[Jerry Can])</f>
        <v>0</v>
      </c>
      <c r="AO993" s="296">
        <f>IF(NFI_Expiration=1,IF($A993&lt;VLOOKUP(V$5,NFI,5,0),1,0)*Table_NFI[[#This Row],[Shelter Tool kit]],Table_NFI[Shelter Tool kit])</f>
        <v>0</v>
      </c>
      <c r="AP993" s="296">
        <f>IF(NFI_Expiration=1,IF($A993&lt;VLOOKUP(V$5,NFI,5,0),1,0)*Table_NFI[[#This Row],[Tent]],Table_NFI[Tent])</f>
        <v>0</v>
      </c>
      <c r="AQ993" s="396" t="str">
        <f>IFERROR(VLOOKUP(Table_NFI[[#This Row],[Camp Name]],CL,2,0),"")</f>
        <v>MMR001CMP018</v>
      </c>
      <c r="AR993" s="702">
        <f ca="1">IF(Table_NFI[[#This Row],[Pcode]]="","",IF(OFFSET(CampList[Opening Date],MATCH(Table_NFI[[#This Row],[Pcode]],CampList[CP_Pcode],0)-1,0,1,1)&gt;=NFI_Monitor_Date,1,0))</f>
        <v>0</v>
      </c>
      <c r="AS993" s="396" t="str">
        <f>IFERROR(VLOOKUP(Table_NFI[[#This Row],[Camp Name]],CL,3,0),"")</f>
        <v>Open</v>
      </c>
      <c r="AT993" s="264" t="str">
        <f ca="1">IF(Table_NFI[[#This Row],[Pcode]]="","",OFFSET(CampList[Priority],MATCH(Table_NFI[[#This Row],[Pcode]],CampList[CP_Pcode],0)-1,0,1,1))</f>
        <v>P4</v>
      </c>
      <c r="AU993" s="263">
        <f>IFERROR(Table_NFI[[#This Row],[Kitchen Set]]/VLOOKUP(Table_NFI[[#This Row],[Camp Name]],CL,4,0),"")</f>
        <v>5.1565377532228362E-4</v>
      </c>
      <c r="AV993" s="390" t="s">
        <v>1087</v>
      </c>
      <c r="AW993" s="392"/>
      <c r="AX993" s="399"/>
      <c r="AY993" s="399"/>
      <c r="AZ993" s="399"/>
      <c r="BA993" s="399"/>
      <c r="BB993" s="399"/>
      <c r="BC993" s="399"/>
      <c r="BD993" s="399"/>
      <c r="BE993" s="399"/>
      <c r="BF993" s="399"/>
      <c r="BG993" s="399"/>
      <c r="BH993" s="399"/>
      <c r="BI993" s="399"/>
      <c r="BJ993" s="399"/>
      <c r="BK993" s="399"/>
      <c r="BL993" s="399"/>
      <c r="BM993" s="399"/>
      <c r="BN993" s="399"/>
      <c r="BO993" s="399"/>
      <c r="BP993" s="399"/>
      <c r="BQ993" s="399"/>
      <c r="BR993" s="399"/>
      <c r="BS993" s="399"/>
      <c r="BT993" s="399"/>
      <c r="BU993" s="399"/>
      <c r="BV993" s="399"/>
      <c r="BW993" s="399"/>
      <c r="BX993" s="399"/>
      <c r="BY993" s="399"/>
      <c r="BZ993" s="399"/>
      <c r="CA993" s="399"/>
      <c r="CB993" s="399"/>
      <c r="CC993" s="399"/>
      <c r="CD993" s="399"/>
      <c r="CE993" s="399"/>
      <c r="CF993" s="399"/>
      <c r="CG993" s="399"/>
      <c r="CH993" s="399"/>
      <c r="CI993" s="399"/>
      <c r="CJ993" s="399"/>
      <c r="CK993" s="399"/>
      <c r="CL993" s="399"/>
      <c r="CM993" s="399"/>
      <c r="CN993" s="399"/>
      <c r="CO993" s="399"/>
      <c r="CP993" s="399"/>
      <c r="CQ993" s="399"/>
      <c r="CR993" s="399"/>
      <c r="CS993" s="399"/>
      <c r="CT993" s="399"/>
      <c r="CU993" s="399"/>
      <c r="CV993" s="399"/>
      <c r="CW993" s="399"/>
      <c r="CX993" s="399"/>
      <c r="CY993" s="399"/>
      <c r="CZ993" s="399"/>
      <c r="DA993" s="399"/>
      <c r="DB993" s="399"/>
      <c r="DC993" s="399"/>
      <c r="DD993" s="399"/>
      <c r="DE993" s="399"/>
      <c r="DF993" s="399"/>
      <c r="DG993" s="399"/>
      <c r="DH993" s="399"/>
      <c r="DI993" s="399"/>
      <c r="DJ993" s="399"/>
      <c r="DK993" s="399"/>
      <c r="DL993" s="399"/>
      <c r="DM993" s="399"/>
      <c r="DN993" s="399"/>
      <c r="DO993" s="399"/>
      <c r="DP993" s="399"/>
      <c r="DQ993" s="399"/>
    </row>
    <row r="994" spans="1:121" s="760" customFormat="1" ht="14.45" customHeight="1" x14ac:dyDescent="0.25">
      <c r="A994" s="266">
        <f t="shared" si="15"/>
        <v>58.3</v>
      </c>
      <c r="B994" s="389">
        <v>41107</v>
      </c>
      <c r="C994" s="390" t="s">
        <v>451</v>
      </c>
      <c r="D994" s="391" t="s">
        <v>451</v>
      </c>
      <c r="E994" s="390" t="s">
        <v>380</v>
      </c>
      <c r="F994" s="262" t="s">
        <v>185</v>
      </c>
      <c r="G994" s="262" t="s">
        <v>190</v>
      </c>
      <c r="H994" s="261"/>
      <c r="I994" s="261"/>
      <c r="J994" s="261"/>
      <c r="K994" s="261">
        <v>0</v>
      </c>
      <c r="L994" s="261">
        <v>0</v>
      </c>
      <c r="M994" s="261">
        <v>0</v>
      </c>
      <c r="N994" s="261">
        <v>0</v>
      </c>
      <c r="O994" s="261">
        <v>0</v>
      </c>
      <c r="P994" s="261"/>
      <c r="Q994" s="261"/>
      <c r="R994" s="261"/>
      <c r="S994" s="261"/>
      <c r="T994" s="261"/>
      <c r="U994" s="261"/>
      <c r="V994" s="762"/>
      <c r="W994" s="261"/>
      <c r="X994" s="261"/>
      <c r="Y994" s="264">
        <f>IF(NFI_Expiration=1,IF($A994&lt;VLOOKUP(H$5,NFI,5,0),1,0)*Table_NFI[[#This Row],[Hygiene Kit]],Table_NFI[Hygiene Kit])</f>
        <v>0</v>
      </c>
      <c r="Z994" s="264">
        <f>IF(NFI_Expiration=1,IF($A994&lt;VLOOKUP(I$5,NFI,5,0),1,0)*Table_NFI[[#This Row],[NFI Core Kit]],Table_NFI[NFI Core Kit])</f>
        <v>0</v>
      </c>
      <c r="AA994" s="264">
        <f>IF(NFI_Expiration=1,IF($A994&lt;VLOOKUP(J$5,NFI,5,0),1,0)*Table_NFI[[#This Row],[Sanitary Kit]],Table_NFI[Sanitary Kit])</f>
        <v>0</v>
      </c>
      <c r="AB994" s="264">
        <f>IF(NFI_Expiration=1,IF($A994&lt;VLOOKUP(K$5,NFI,5,0),1,0)*Table_NFI[[#This Row],[Mosquito net]],Table_NFI[Mosquito net])</f>
        <v>0</v>
      </c>
      <c r="AC994" s="264">
        <f>IF(NFI_Expiration=1,IF($A994&lt;VLOOKUP(L$5,NFI,5,0),1,0)*Table_NFI[[#This Row],[Tarpaulin]],Table_NFI[[#This Row],[Tarpaulin]])</f>
        <v>0</v>
      </c>
      <c r="AD994" s="264">
        <f>IF(NFI_Expiration=1,IF($A994&lt;VLOOKUP(M$5,NFI,5,0),1,0)*Table_NFI[[#This Row],[Blanket]],Table_NFI[[#This Row],[Blanket]])</f>
        <v>0</v>
      </c>
      <c r="AE994" s="264">
        <f>IF(NFI_Expiration=1,IF($A994&lt;VLOOKUP(N$5,NFI,5,0),1,0)*Table_NFI[[#This Row],[Kitchen Set]],Table_NFI[Kitchen Set])</f>
        <v>0</v>
      </c>
      <c r="AF994" s="264">
        <f>IF(NFI_Expiration=1,IF($A994&lt;VLOOKUP(O$5,NFI,5,0),1,0)*Table_NFI[[#This Row],[Clothes Kit]],Table_NFI[Clothes Kit])</f>
        <v>0</v>
      </c>
      <c r="AG994" s="264">
        <f>IF(NFI_Expiration=1,IF($A994&lt;VLOOKUP(P$5,NFI,5,0),1,0)*Table_NFI[[#This Row],[Plastic Bucket]],Table_NFI[Plastic Bucket])</f>
        <v>0</v>
      </c>
      <c r="AH994" s="264">
        <f>IF(NFI_Expiration=1,IF($A994&lt;VLOOKUP(Q$5,NFI,5,0),1,0)*Table_NFI[[#This Row],[Plastic Mat]],Table_NFI[Plastic Mat])*IF(Table_NFI[[#This Row],[Distribution Date]]&gt;"2014-04-01",1,2.5)</f>
        <v>0</v>
      </c>
      <c r="AI994" s="264">
        <f>IF(NFI_Expiration=1,IF($A994&lt;VLOOKUP(R$5,NFI,5,0),1,0)*Table_NFI[[#This Row],[Winter Clothes Adult]],Table_NFI[Winter Clothes Adult])</f>
        <v>0</v>
      </c>
      <c r="AJ994" s="264">
        <f>IF(NFI_Expiration=1,IF($A994&lt;VLOOKUP(S$5,NFI,5,0),1,0)*Table_NFI[[#This Row],[Winter Clothes Children]],Table_NFI[Winter Clothes Children])</f>
        <v>0</v>
      </c>
      <c r="AK994" s="264">
        <f>IF(NFI_Expiration=1,IF($A994&lt;VLOOKUP(T$5,NFI,5,0),1,0)*Table_NFI[[#This Row],[Winter Items Other]],Table_NFI[Winter Items Other])</f>
        <v>0</v>
      </c>
      <c r="AL994" s="264">
        <f>IF(NFI_Expiration=1,IF($A994&lt;VLOOKUP(M$5,NFI,5,0),1,0)*Table_NFI[[#This Row],[Winter Blanket]],Table_NFI[[#This Row],[Winter Blanket]])</f>
        <v>0</v>
      </c>
      <c r="AM994" s="264">
        <f>IF(Table_NFI[[#This Row],[Winter Clothes Adult]]+Table_NFI[[#This Row],[Winter Clothes Children]]+Table_NFI[[#This Row],[Winter Items Other]]+Table_NFI[[#This Row],[Winter Blanket]]&gt;0,1,0)</f>
        <v>0</v>
      </c>
      <c r="AN994" s="296">
        <f>IF(NFI_Expiration=1,IF($A994&lt;VLOOKUP(V$5,NFI,5,0),1,0)*Table_NFI[[#This Row],[Jerry Can]],Table_NFI[Jerry Can])</f>
        <v>0</v>
      </c>
      <c r="AO994" s="296">
        <f>IF(NFI_Expiration=1,IF($A994&lt;VLOOKUP(V$5,NFI,5,0),1,0)*Table_NFI[[#This Row],[Shelter Tool kit]],Table_NFI[Shelter Tool kit])</f>
        <v>0</v>
      </c>
      <c r="AP994" s="296">
        <f>IF(NFI_Expiration=1,IF($A994&lt;VLOOKUP(V$5,NFI,5,0),1,0)*Table_NFI[[#This Row],[Tent]],Table_NFI[Tent])</f>
        <v>0</v>
      </c>
      <c r="AQ994" s="396" t="str">
        <f>IFERROR(VLOOKUP(Table_NFI[[#This Row],[Camp Name]],CL,2,0),"")</f>
        <v>MMR001CMP070</v>
      </c>
      <c r="AR994" s="702">
        <f ca="1">IF(Table_NFI[[#This Row],[Pcode]]="","",IF(OFFSET(CampList[Opening Date],MATCH(Table_NFI[[#This Row],[Pcode]],CampList[CP_Pcode],0)-1,0,1,1)&gt;=NFI_Monitor_Date,1,0))</f>
        <v>0</v>
      </c>
      <c r="AS994" s="396" t="str">
        <f>IFERROR(VLOOKUP(Table_NFI[[#This Row],[Camp Name]],CL,3,0),"")</f>
        <v>Open</v>
      </c>
      <c r="AT994" s="264" t="str">
        <f ca="1">IF(Table_NFI[[#This Row],[Pcode]]="","",OFFSET(CampList[Priority],MATCH(Table_NFI[[#This Row],[Pcode]],CampList[CP_Pcode],0)-1,0,1,1))</f>
        <v>P3</v>
      </c>
      <c r="AU994" s="263">
        <f>IFERROR(Table_NFI[[#This Row],[Kitchen Set]]/VLOOKUP(Table_NFI[[#This Row],[Camp Name]],CL,4,0),"")</f>
        <v>0</v>
      </c>
      <c r="AV994" s="390" t="s">
        <v>1087</v>
      </c>
      <c r="AW994" s="392"/>
      <c r="AX994" s="399"/>
      <c r="AY994" s="399"/>
      <c r="AZ994" s="399"/>
      <c r="BA994" s="399"/>
      <c r="BB994" s="399"/>
      <c r="BC994" s="399"/>
      <c r="BD994" s="399"/>
      <c r="BE994" s="399"/>
      <c r="BF994" s="399"/>
      <c r="BG994" s="399"/>
      <c r="BH994" s="399"/>
      <c r="BI994" s="399"/>
      <c r="BJ994" s="399"/>
      <c r="BK994" s="399"/>
      <c r="BL994" s="399"/>
      <c r="BM994" s="399"/>
      <c r="BN994" s="399"/>
      <c r="BO994" s="399"/>
      <c r="BP994" s="399"/>
      <c r="BQ994" s="399"/>
      <c r="BR994" s="399"/>
      <c r="BS994" s="399"/>
      <c r="BT994" s="399"/>
      <c r="BU994" s="399"/>
      <c r="BV994" s="399"/>
      <c r="BW994" s="399"/>
      <c r="BX994" s="399"/>
      <c r="BY994" s="399"/>
      <c r="BZ994" s="399"/>
      <c r="CA994" s="399"/>
      <c r="CB994" s="399"/>
      <c r="CC994" s="399"/>
      <c r="CD994" s="399"/>
      <c r="CE994" s="399"/>
      <c r="CF994" s="399"/>
      <c r="CG994" s="399"/>
      <c r="CH994" s="399"/>
      <c r="CI994" s="399"/>
      <c r="CJ994" s="399"/>
      <c r="CK994" s="399"/>
      <c r="CL994" s="399"/>
      <c r="CM994" s="399"/>
      <c r="CN994" s="399"/>
      <c r="CO994" s="399"/>
      <c r="CP994" s="399"/>
      <c r="CQ994" s="399"/>
      <c r="CR994" s="399"/>
      <c r="CS994" s="399"/>
      <c r="CT994" s="399"/>
      <c r="CU994" s="399"/>
      <c r="CV994" s="399"/>
      <c r="CW994" s="399"/>
      <c r="CX994" s="399"/>
      <c r="CY994" s="399"/>
      <c r="CZ994" s="399"/>
      <c r="DA994" s="399"/>
      <c r="DB994" s="399"/>
      <c r="DC994" s="399"/>
      <c r="DD994" s="399"/>
      <c r="DE994" s="399"/>
      <c r="DF994" s="399"/>
      <c r="DG994" s="399"/>
      <c r="DH994" s="399"/>
      <c r="DI994" s="399"/>
      <c r="DJ994" s="399"/>
      <c r="DK994" s="399"/>
      <c r="DL994" s="399"/>
      <c r="DM994" s="399"/>
      <c r="DN994" s="399"/>
      <c r="DO994" s="399"/>
      <c r="DP994" s="399"/>
      <c r="DQ994" s="399"/>
    </row>
    <row r="995" spans="1:121" ht="14.45" customHeight="1" x14ac:dyDescent="0.25">
      <c r="A995" s="266">
        <f t="shared" si="15"/>
        <v>58.3</v>
      </c>
      <c r="B995" s="389">
        <v>41107</v>
      </c>
      <c r="C995" s="390" t="s">
        <v>451</v>
      </c>
      <c r="D995" s="390" t="s">
        <v>451</v>
      </c>
      <c r="E995" s="390" t="s">
        <v>380</v>
      </c>
      <c r="F995" s="262" t="s">
        <v>185</v>
      </c>
      <c r="G995" s="262" t="s">
        <v>200</v>
      </c>
      <c r="H995" s="261"/>
      <c r="I995" s="261"/>
      <c r="J995" s="261"/>
      <c r="K995" s="261">
        <v>0</v>
      </c>
      <c r="L995" s="261">
        <v>0</v>
      </c>
      <c r="M995" s="261">
        <v>0</v>
      </c>
      <c r="N995" s="261">
        <v>0</v>
      </c>
      <c r="O995" s="261">
        <v>0</v>
      </c>
      <c r="P995" s="261"/>
      <c r="Q995" s="261"/>
      <c r="R995" s="261"/>
      <c r="S995" s="261"/>
      <c r="T995" s="261"/>
      <c r="U995" s="261"/>
      <c r="V995" s="762"/>
      <c r="W995" s="261"/>
      <c r="X995" s="261"/>
      <c r="Y995" s="264">
        <f>IF(NFI_Expiration=1,IF($A995&lt;VLOOKUP(H$5,NFI,5,0),1,0)*Table_NFI[[#This Row],[Hygiene Kit]],Table_NFI[Hygiene Kit])</f>
        <v>0</v>
      </c>
      <c r="Z995" s="264">
        <f>IF(NFI_Expiration=1,IF($A995&lt;VLOOKUP(I$5,NFI,5,0),1,0)*Table_NFI[[#This Row],[NFI Core Kit]],Table_NFI[NFI Core Kit])</f>
        <v>0</v>
      </c>
      <c r="AA995" s="264">
        <f>IF(NFI_Expiration=1,IF($A995&lt;VLOOKUP(J$5,NFI,5,0),1,0)*Table_NFI[[#This Row],[Sanitary Kit]],Table_NFI[Sanitary Kit])</f>
        <v>0</v>
      </c>
      <c r="AB995" s="264">
        <f>IF(NFI_Expiration=1,IF($A995&lt;VLOOKUP(K$5,NFI,5,0),1,0)*Table_NFI[[#This Row],[Mosquito net]],Table_NFI[Mosquito net])</f>
        <v>0</v>
      </c>
      <c r="AC995" s="264">
        <f>IF(NFI_Expiration=1,IF($A995&lt;VLOOKUP(L$5,NFI,5,0),1,0)*Table_NFI[[#This Row],[Tarpaulin]],Table_NFI[[#This Row],[Tarpaulin]])</f>
        <v>0</v>
      </c>
      <c r="AD995" s="264">
        <f>IF(NFI_Expiration=1,IF($A995&lt;VLOOKUP(M$5,NFI,5,0),1,0)*Table_NFI[[#This Row],[Blanket]],Table_NFI[[#This Row],[Blanket]])</f>
        <v>0</v>
      </c>
      <c r="AE995" s="264">
        <f>IF(NFI_Expiration=1,IF($A995&lt;VLOOKUP(N$5,NFI,5,0),1,0)*Table_NFI[[#This Row],[Kitchen Set]],Table_NFI[Kitchen Set])</f>
        <v>0</v>
      </c>
      <c r="AF995" s="264">
        <f>IF(NFI_Expiration=1,IF($A995&lt;VLOOKUP(O$5,NFI,5,0),1,0)*Table_NFI[[#This Row],[Clothes Kit]],Table_NFI[Clothes Kit])</f>
        <v>0</v>
      </c>
      <c r="AG995" s="264">
        <f>IF(NFI_Expiration=1,IF($A995&lt;VLOOKUP(P$5,NFI,5,0),1,0)*Table_NFI[[#This Row],[Plastic Bucket]],Table_NFI[Plastic Bucket])</f>
        <v>0</v>
      </c>
      <c r="AH995" s="264">
        <f>IF(NFI_Expiration=1,IF($A995&lt;VLOOKUP(Q$5,NFI,5,0),1,0)*Table_NFI[[#This Row],[Plastic Mat]],Table_NFI[Plastic Mat])*IF(Table_NFI[[#This Row],[Distribution Date]]&gt;"2014-04-01",1,2.5)</f>
        <v>0</v>
      </c>
      <c r="AI995" s="264">
        <f>IF(NFI_Expiration=1,IF($A995&lt;VLOOKUP(R$5,NFI,5,0),1,0)*Table_NFI[[#This Row],[Winter Clothes Adult]],Table_NFI[Winter Clothes Adult])</f>
        <v>0</v>
      </c>
      <c r="AJ995" s="264">
        <f>IF(NFI_Expiration=1,IF($A995&lt;VLOOKUP(S$5,NFI,5,0),1,0)*Table_NFI[[#This Row],[Winter Clothes Children]],Table_NFI[Winter Clothes Children])</f>
        <v>0</v>
      </c>
      <c r="AK995" s="264">
        <f>IF(NFI_Expiration=1,IF($A995&lt;VLOOKUP(T$5,NFI,5,0),1,0)*Table_NFI[[#This Row],[Winter Items Other]],Table_NFI[Winter Items Other])</f>
        <v>0</v>
      </c>
      <c r="AL995" s="264">
        <f>IF(NFI_Expiration=1,IF($A995&lt;VLOOKUP(M$5,NFI,5,0),1,0)*Table_NFI[[#This Row],[Winter Blanket]],Table_NFI[[#This Row],[Winter Blanket]])</f>
        <v>0</v>
      </c>
      <c r="AM995" s="264">
        <f>IF(Table_NFI[[#This Row],[Winter Clothes Adult]]+Table_NFI[[#This Row],[Winter Clothes Children]]+Table_NFI[[#This Row],[Winter Items Other]]+Table_NFI[[#This Row],[Winter Blanket]]&gt;0,1,0)</f>
        <v>0</v>
      </c>
      <c r="AN995" s="296">
        <f>IF(NFI_Expiration=1,IF($A995&lt;VLOOKUP(V$5,NFI,5,0),1,0)*Table_NFI[[#This Row],[Jerry Can]],Table_NFI[Jerry Can])</f>
        <v>0</v>
      </c>
      <c r="AO995" s="296">
        <f>IF(NFI_Expiration=1,IF($A995&lt;VLOOKUP(V$5,NFI,5,0),1,0)*Table_NFI[[#This Row],[Shelter Tool kit]],Table_NFI[Shelter Tool kit])</f>
        <v>0</v>
      </c>
      <c r="AP995" s="296">
        <f>IF(NFI_Expiration=1,IF($A995&lt;VLOOKUP(V$5,NFI,5,0),1,0)*Table_NFI[[#This Row],[Tent]],Table_NFI[Tent])</f>
        <v>0</v>
      </c>
      <c r="AQ995" s="396" t="str">
        <f>IFERROR(VLOOKUP(Table_NFI[[#This Row],[Camp Name]],CL,2,0),"")</f>
        <v>MMR001CMP064</v>
      </c>
      <c r="AR995" s="702">
        <f ca="1">IF(Table_NFI[[#This Row],[Pcode]]="","",IF(OFFSET(CampList[Opening Date],MATCH(Table_NFI[[#This Row],[Pcode]],CampList[CP_Pcode],0)-1,0,1,1)&gt;=NFI_Monitor_Date,1,0))</f>
        <v>0</v>
      </c>
      <c r="AS995" s="396" t="str">
        <f>IFERROR(VLOOKUP(Table_NFI[[#This Row],[Camp Name]],CL,3,0),"")</f>
        <v>Closed</v>
      </c>
      <c r="AT995" s="264" t="str">
        <f ca="1">IF(Table_NFI[[#This Row],[Pcode]]="","",OFFSET(CampList[Priority],MATCH(Table_NFI[[#This Row],[Pcode]],CampList[CP_Pcode],0)-1,0,1,1))</f>
        <v>P4</v>
      </c>
      <c r="AU995" s="263" t="str">
        <f>IFERROR(Table_NFI[[#This Row],[Kitchen Set]]/VLOOKUP(Table_NFI[[#This Row],[Camp Name]],CL,4,0),"")</f>
        <v/>
      </c>
      <c r="AV995" s="390" t="s">
        <v>1087</v>
      </c>
      <c r="AW995" s="392"/>
    </row>
    <row r="996" spans="1:121" s="393" customFormat="1" ht="14.45" customHeight="1" x14ac:dyDescent="0.25">
      <c r="A996" s="266">
        <f t="shared" si="15"/>
        <v>58.3</v>
      </c>
      <c r="B996" s="389">
        <v>41107</v>
      </c>
      <c r="C996" s="390" t="s">
        <v>451</v>
      </c>
      <c r="D996" s="391" t="s">
        <v>451</v>
      </c>
      <c r="E996" s="390" t="s">
        <v>380</v>
      </c>
      <c r="F996" s="262" t="s">
        <v>185</v>
      </c>
      <c r="G996" s="262" t="s">
        <v>200</v>
      </c>
      <c r="H996" s="261"/>
      <c r="I996" s="261"/>
      <c r="J996" s="261"/>
      <c r="K996" s="261">
        <v>0</v>
      </c>
      <c r="L996" s="261">
        <v>0</v>
      </c>
      <c r="M996" s="261">
        <v>0</v>
      </c>
      <c r="N996" s="261">
        <v>0</v>
      </c>
      <c r="O996" s="261">
        <v>0</v>
      </c>
      <c r="P996" s="261"/>
      <c r="Q996" s="261"/>
      <c r="R996" s="261"/>
      <c r="S996" s="261"/>
      <c r="T996" s="261"/>
      <c r="U996" s="261"/>
      <c r="V996" s="762"/>
      <c r="W996" s="261"/>
      <c r="X996" s="261"/>
      <c r="Y996" s="264">
        <f>IF(NFI_Expiration=1,IF($A996&lt;VLOOKUP(H$5,NFI,5,0),1,0)*Table_NFI[[#This Row],[Hygiene Kit]],Table_NFI[Hygiene Kit])</f>
        <v>0</v>
      </c>
      <c r="Z996" s="264">
        <f>IF(NFI_Expiration=1,IF($A996&lt;VLOOKUP(I$5,NFI,5,0),1,0)*Table_NFI[[#This Row],[NFI Core Kit]],Table_NFI[NFI Core Kit])</f>
        <v>0</v>
      </c>
      <c r="AA996" s="264">
        <f>IF(NFI_Expiration=1,IF($A996&lt;VLOOKUP(J$5,NFI,5,0),1,0)*Table_NFI[[#This Row],[Sanitary Kit]],Table_NFI[Sanitary Kit])</f>
        <v>0</v>
      </c>
      <c r="AB996" s="264">
        <f>IF(NFI_Expiration=1,IF($A996&lt;VLOOKUP(K$5,NFI,5,0),1,0)*Table_NFI[[#This Row],[Mosquito net]],Table_NFI[Mosquito net])</f>
        <v>0</v>
      </c>
      <c r="AC996" s="264">
        <f>IF(NFI_Expiration=1,IF($A996&lt;VLOOKUP(L$5,NFI,5,0),1,0)*Table_NFI[[#This Row],[Tarpaulin]],Table_NFI[[#This Row],[Tarpaulin]])</f>
        <v>0</v>
      </c>
      <c r="AD996" s="264">
        <f>IF(NFI_Expiration=1,IF($A996&lt;VLOOKUP(M$5,NFI,5,0),1,0)*Table_NFI[[#This Row],[Blanket]],Table_NFI[[#This Row],[Blanket]])</f>
        <v>0</v>
      </c>
      <c r="AE996" s="264">
        <f>IF(NFI_Expiration=1,IF($A996&lt;VLOOKUP(N$5,NFI,5,0),1,0)*Table_NFI[[#This Row],[Kitchen Set]],Table_NFI[Kitchen Set])</f>
        <v>0</v>
      </c>
      <c r="AF996" s="264">
        <f>IF(NFI_Expiration=1,IF($A996&lt;VLOOKUP(O$5,NFI,5,0),1,0)*Table_NFI[[#This Row],[Clothes Kit]],Table_NFI[Clothes Kit])</f>
        <v>0</v>
      </c>
      <c r="AG996" s="264">
        <f>IF(NFI_Expiration=1,IF($A996&lt;VLOOKUP(P$5,NFI,5,0),1,0)*Table_NFI[[#This Row],[Plastic Bucket]],Table_NFI[Plastic Bucket])</f>
        <v>0</v>
      </c>
      <c r="AH996" s="264">
        <f>IF(NFI_Expiration=1,IF($A996&lt;VLOOKUP(Q$5,NFI,5,0),1,0)*Table_NFI[[#This Row],[Plastic Mat]],Table_NFI[Plastic Mat])*IF(Table_NFI[[#This Row],[Distribution Date]]&gt;"2014-04-01",1,2.5)</f>
        <v>0</v>
      </c>
      <c r="AI996" s="264">
        <f>IF(NFI_Expiration=1,IF($A996&lt;VLOOKUP(R$5,NFI,5,0),1,0)*Table_NFI[[#This Row],[Winter Clothes Adult]],Table_NFI[Winter Clothes Adult])</f>
        <v>0</v>
      </c>
      <c r="AJ996" s="264">
        <f>IF(NFI_Expiration=1,IF($A996&lt;VLOOKUP(S$5,NFI,5,0),1,0)*Table_NFI[[#This Row],[Winter Clothes Children]],Table_NFI[Winter Clothes Children])</f>
        <v>0</v>
      </c>
      <c r="AK996" s="264">
        <f>IF(NFI_Expiration=1,IF($A996&lt;VLOOKUP(T$5,NFI,5,0),1,0)*Table_NFI[[#This Row],[Winter Items Other]],Table_NFI[Winter Items Other])</f>
        <v>0</v>
      </c>
      <c r="AL996" s="264">
        <f>IF(NFI_Expiration=1,IF($A996&lt;VLOOKUP(M$5,NFI,5,0),1,0)*Table_NFI[[#This Row],[Winter Blanket]],Table_NFI[[#This Row],[Winter Blanket]])</f>
        <v>0</v>
      </c>
      <c r="AM996" s="264">
        <f>IF(Table_NFI[[#This Row],[Winter Clothes Adult]]+Table_NFI[[#This Row],[Winter Clothes Children]]+Table_NFI[[#This Row],[Winter Items Other]]+Table_NFI[[#This Row],[Winter Blanket]]&gt;0,1,0)</f>
        <v>0</v>
      </c>
      <c r="AN996" s="296">
        <f>IF(NFI_Expiration=1,IF($A996&lt;VLOOKUP(V$5,NFI,5,0),1,0)*Table_NFI[[#This Row],[Jerry Can]],Table_NFI[Jerry Can])</f>
        <v>0</v>
      </c>
      <c r="AO996" s="296">
        <f>IF(NFI_Expiration=1,IF($A996&lt;VLOOKUP(V$5,NFI,5,0),1,0)*Table_NFI[[#This Row],[Shelter Tool kit]],Table_NFI[Shelter Tool kit])</f>
        <v>0</v>
      </c>
      <c r="AP996" s="296">
        <f>IF(NFI_Expiration=1,IF($A996&lt;VLOOKUP(V$5,NFI,5,0),1,0)*Table_NFI[[#This Row],[Tent]],Table_NFI[Tent])</f>
        <v>0</v>
      </c>
      <c r="AQ996" s="396" t="str">
        <f>IFERROR(VLOOKUP(Table_NFI[[#This Row],[Camp Name]],CL,2,0),"")</f>
        <v>MMR001CMP064</v>
      </c>
      <c r="AR996" s="702">
        <f ca="1">IF(Table_NFI[[#This Row],[Pcode]]="","",IF(OFFSET(CampList[Opening Date],MATCH(Table_NFI[[#This Row],[Pcode]],CampList[CP_Pcode],0)-1,0,1,1)&gt;=NFI_Monitor_Date,1,0))</f>
        <v>0</v>
      </c>
      <c r="AS996" s="396" t="str">
        <f>IFERROR(VLOOKUP(Table_NFI[[#This Row],[Camp Name]],CL,3,0),"")</f>
        <v>Closed</v>
      </c>
      <c r="AT996" s="264" t="str">
        <f ca="1">IF(Table_NFI[[#This Row],[Pcode]]="","",OFFSET(CampList[Priority],MATCH(Table_NFI[[#This Row],[Pcode]],CampList[CP_Pcode],0)-1,0,1,1))</f>
        <v>P4</v>
      </c>
      <c r="AU996" s="263" t="str">
        <f>IFERROR(Table_NFI[[#This Row],[Kitchen Set]]/VLOOKUP(Table_NFI[[#This Row],[Camp Name]],CL,4,0),"")</f>
        <v/>
      </c>
      <c r="AV996" s="390" t="s">
        <v>1087</v>
      </c>
      <c r="AW996" s="392"/>
      <c r="AX996" s="399"/>
      <c r="AY996" s="399"/>
      <c r="AZ996" s="399"/>
      <c r="BA996" s="399"/>
      <c r="BB996" s="399"/>
      <c r="BC996" s="399"/>
      <c r="BD996" s="399"/>
      <c r="BE996" s="399"/>
      <c r="BF996" s="399"/>
      <c r="BG996" s="399"/>
      <c r="BH996" s="399"/>
      <c r="BI996" s="399"/>
      <c r="BJ996" s="399"/>
      <c r="BK996" s="399"/>
      <c r="BL996" s="399"/>
      <c r="BM996" s="399"/>
      <c r="BN996" s="399"/>
      <c r="BO996" s="399"/>
      <c r="BP996" s="399"/>
      <c r="BQ996" s="399"/>
      <c r="BR996" s="399"/>
      <c r="BS996" s="399"/>
      <c r="BT996" s="399"/>
      <c r="BU996" s="399"/>
      <c r="BV996" s="399"/>
      <c r="BW996" s="399"/>
      <c r="BX996" s="399"/>
      <c r="BY996" s="399"/>
      <c r="BZ996" s="399"/>
      <c r="CA996" s="399"/>
      <c r="CB996" s="399"/>
      <c r="CC996" s="399"/>
      <c r="CD996" s="399"/>
      <c r="CE996" s="399"/>
      <c r="CF996" s="399"/>
      <c r="CG996" s="399"/>
      <c r="CH996" s="399"/>
      <c r="CI996" s="399"/>
      <c r="CJ996" s="399"/>
      <c r="CK996" s="399"/>
      <c r="CL996" s="399"/>
      <c r="CM996" s="399"/>
      <c r="CN996" s="399"/>
      <c r="CO996" s="399"/>
      <c r="CP996" s="399"/>
      <c r="CQ996" s="399"/>
      <c r="CR996" s="399"/>
      <c r="CS996" s="399"/>
      <c r="CT996" s="399"/>
      <c r="CU996" s="399"/>
      <c r="CV996" s="399"/>
      <c r="CW996" s="399"/>
      <c r="CX996" s="399"/>
      <c r="CY996" s="399"/>
      <c r="CZ996" s="399"/>
      <c r="DA996" s="399"/>
      <c r="DB996" s="399"/>
      <c r="DC996" s="399"/>
      <c r="DD996" s="399"/>
      <c r="DE996" s="399"/>
      <c r="DF996" s="399"/>
      <c r="DG996" s="399"/>
      <c r="DH996" s="399"/>
      <c r="DI996" s="399"/>
      <c r="DJ996" s="399"/>
      <c r="DK996" s="399"/>
      <c r="DL996" s="399"/>
      <c r="DM996" s="399"/>
      <c r="DN996" s="399"/>
      <c r="DO996" s="399"/>
      <c r="DP996" s="399"/>
      <c r="DQ996" s="399"/>
    </row>
    <row r="997" spans="1:121" s="760" customFormat="1" ht="14.45" customHeight="1" x14ac:dyDescent="0.25">
      <c r="A997" s="266">
        <f t="shared" si="15"/>
        <v>58.3</v>
      </c>
      <c r="B997" s="389">
        <v>41107</v>
      </c>
      <c r="C997" s="390" t="s">
        <v>451</v>
      </c>
      <c r="D997" s="391" t="s">
        <v>451</v>
      </c>
      <c r="E997" s="390" t="s">
        <v>380</v>
      </c>
      <c r="F997" s="262" t="s">
        <v>151</v>
      </c>
      <c r="G997" s="262" t="s">
        <v>160</v>
      </c>
      <c r="H997" s="261"/>
      <c r="I997" s="261"/>
      <c r="J997" s="261"/>
      <c r="K997" s="261">
        <v>0</v>
      </c>
      <c r="L997" s="261">
        <v>0</v>
      </c>
      <c r="M997" s="261">
        <v>0</v>
      </c>
      <c r="N997" s="261">
        <v>0</v>
      </c>
      <c r="O997" s="261">
        <v>0</v>
      </c>
      <c r="P997" s="261"/>
      <c r="Q997" s="261"/>
      <c r="R997" s="261"/>
      <c r="S997" s="261"/>
      <c r="T997" s="261"/>
      <c r="U997" s="261"/>
      <c r="V997" s="762"/>
      <c r="W997" s="261"/>
      <c r="X997" s="261"/>
      <c r="Y997" s="264">
        <f>IF(NFI_Expiration=1,IF($A997&lt;VLOOKUP(H$5,NFI,5,0),1,0)*Table_NFI[[#This Row],[Hygiene Kit]],Table_NFI[Hygiene Kit])</f>
        <v>0</v>
      </c>
      <c r="Z997" s="264">
        <f>IF(NFI_Expiration=1,IF($A997&lt;VLOOKUP(I$5,NFI,5,0),1,0)*Table_NFI[[#This Row],[NFI Core Kit]],Table_NFI[NFI Core Kit])</f>
        <v>0</v>
      </c>
      <c r="AA997" s="264">
        <f>IF(NFI_Expiration=1,IF($A997&lt;VLOOKUP(J$5,NFI,5,0),1,0)*Table_NFI[[#This Row],[Sanitary Kit]],Table_NFI[Sanitary Kit])</f>
        <v>0</v>
      </c>
      <c r="AB997" s="264">
        <f>IF(NFI_Expiration=1,IF($A997&lt;VLOOKUP(K$5,NFI,5,0),1,0)*Table_NFI[[#This Row],[Mosquito net]],Table_NFI[Mosquito net])</f>
        <v>0</v>
      </c>
      <c r="AC997" s="264">
        <f>IF(NFI_Expiration=1,IF($A997&lt;VLOOKUP(L$5,NFI,5,0),1,0)*Table_NFI[[#This Row],[Tarpaulin]],Table_NFI[[#This Row],[Tarpaulin]])</f>
        <v>0</v>
      </c>
      <c r="AD997" s="264">
        <f>IF(NFI_Expiration=1,IF($A997&lt;VLOOKUP(M$5,NFI,5,0),1,0)*Table_NFI[[#This Row],[Blanket]],Table_NFI[[#This Row],[Blanket]])</f>
        <v>0</v>
      </c>
      <c r="AE997" s="264">
        <f>IF(NFI_Expiration=1,IF($A997&lt;VLOOKUP(N$5,NFI,5,0),1,0)*Table_NFI[[#This Row],[Kitchen Set]],Table_NFI[Kitchen Set])</f>
        <v>0</v>
      </c>
      <c r="AF997" s="264">
        <f>IF(NFI_Expiration=1,IF($A997&lt;VLOOKUP(O$5,NFI,5,0),1,0)*Table_NFI[[#This Row],[Clothes Kit]],Table_NFI[Clothes Kit])</f>
        <v>0</v>
      </c>
      <c r="AG997" s="264">
        <f>IF(NFI_Expiration=1,IF($A997&lt;VLOOKUP(P$5,NFI,5,0),1,0)*Table_NFI[[#This Row],[Plastic Bucket]],Table_NFI[Plastic Bucket])</f>
        <v>0</v>
      </c>
      <c r="AH997" s="264">
        <f>IF(NFI_Expiration=1,IF($A997&lt;VLOOKUP(Q$5,NFI,5,0),1,0)*Table_NFI[[#This Row],[Plastic Mat]],Table_NFI[Plastic Mat])*IF(Table_NFI[[#This Row],[Distribution Date]]&gt;"2014-04-01",1,2.5)</f>
        <v>0</v>
      </c>
      <c r="AI997" s="264">
        <f>IF(NFI_Expiration=1,IF($A997&lt;VLOOKUP(R$5,NFI,5,0),1,0)*Table_NFI[[#This Row],[Winter Clothes Adult]],Table_NFI[Winter Clothes Adult])</f>
        <v>0</v>
      </c>
      <c r="AJ997" s="264">
        <f>IF(NFI_Expiration=1,IF($A997&lt;VLOOKUP(S$5,NFI,5,0),1,0)*Table_NFI[[#This Row],[Winter Clothes Children]],Table_NFI[Winter Clothes Children])</f>
        <v>0</v>
      </c>
      <c r="AK997" s="264">
        <f>IF(NFI_Expiration=1,IF($A997&lt;VLOOKUP(T$5,NFI,5,0),1,0)*Table_NFI[[#This Row],[Winter Items Other]],Table_NFI[Winter Items Other])</f>
        <v>0</v>
      </c>
      <c r="AL997" s="264">
        <f>IF(NFI_Expiration=1,IF($A997&lt;VLOOKUP(M$5,NFI,5,0),1,0)*Table_NFI[[#This Row],[Winter Blanket]],Table_NFI[[#This Row],[Winter Blanket]])</f>
        <v>0</v>
      </c>
      <c r="AM997" s="264">
        <f>IF(Table_NFI[[#This Row],[Winter Clothes Adult]]+Table_NFI[[#This Row],[Winter Clothes Children]]+Table_NFI[[#This Row],[Winter Items Other]]+Table_NFI[[#This Row],[Winter Blanket]]&gt;0,1,0)</f>
        <v>0</v>
      </c>
      <c r="AN997" s="296">
        <f>IF(NFI_Expiration=1,IF($A997&lt;VLOOKUP(V$5,NFI,5,0),1,0)*Table_NFI[[#This Row],[Jerry Can]],Table_NFI[Jerry Can])</f>
        <v>0</v>
      </c>
      <c r="AO997" s="296">
        <f>IF(NFI_Expiration=1,IF($A997&lt;VLOOKUP(V$5,NFI,5,0),1,0)*Table_NFI[[#This Row],[Shelter Tool kit]],Table_NFI[Shelter Tool kit])</f>
        <v>0</v>
      </c>
      <c r="AP997" s="296">
        <f>IF(NFI_Expiration=1,IF($A997&lt;VLOOKUP(V$5,NFI,5,0),1,0)*Table_NFI[[#This Row],[Tent]],Table_NFI[Tent])</f>
        <v>0</v>
      </c>
      <c r="AQ997" s="396" t="str">
        <f>IFERROR(VLOOKUP(Table_NFI[[#This Row],[Camp Name]],CL,2,0),"")</f>
        <v>MMR001CMP133</v>
      </c>
      <c r="AR997" s="702">
        <f ca="1">IF(Table_NFI[[#This Row],[Pcode]]="","",IF(OFFSET(CampList[Opening Date],MATCH(Table_NFI[[#This Row],[Pcode]],CampList[CP_Pcode],0)-1,0,1,1)&gt;=NFI_Monitor_Date,1,0))</f>
        <v>0</v>
      </c>
      <c r="AS997" s="396" t="str">
        <f>IFERROR(VLOOKUP(Table_NFI[[#This Row],[Camp Name]],CL,3,0),"")</f>
        <v>Open</v>
      </c>
      <c r="AT997" s="264" t="str">
        <f ca="1">IF(Table_NFI[[#This Row],[Pcode]]="","",OFFSET(CampList[Priority],MATCH(Table_NFI[[#This Row],[Pcode]],CampList[CP_Pcode],0)-1,0,1,1))</f>
        <v>P4</v>
      </c>
      <c r="AU997" s="263">
        <f>IFERROR(Table_NFI[[#This Row],[Kitchen Set]]/VLOOKUP(Table_NFI[[#This Row],[Camp Name]],CL,4,0),"")</f>
        <v>0</v>
      </c>
      <c r="AV997" s="390" t="s">
        <v>1087</v>
      </c>
      <c r="AW997" s="392"/>
      <c r="AX997" s="399"/>
      <c r="AY997" s="399"/>
      <c r="AZ997" s="399"/>
      <c r="BA997" s="399"/>
      <c r="BB997" s="399"/>
      <c r="BC997" s="399"/>
      <c r="BD997" s="399"/>
      <c r="BE997" s="399"/>
      <c r="BF997" s="399"/>
      <c r="BG997" s="399"/>
      <c r="BH997" s="399"/>
      <c r="BI997" s="399"/>
      <c r="BJ997" s="399"/>
      <c r="BK997" s="399"/>
      <c r="BL997" s="399"/>
      <c r="BM997" s="399"/>
      <c r="BN997" s="399"/>
      <c r="BO997" s="399"/>
      <c r="BP997" s="399"/>
      <c r="BQ997" s="399"/>
      <c r="BR997" s="399"/>
      <c r="BS997" s="399"/>
      <c r="BT997" s="399"/>
      <c r="BU997" s="399"/>
      <c r="BV997" s="399"/>
      <c r="BW997" s="399"/>
      <c r="BX997" s="399"/>
      <c r="BY997" s="399"/>
      <c r="BZ997" s="399"/>
      <c r="CA997" s="399"/>
      <c r="CB997" s="399"/>
      <c r="CC997" s="399"/>
      <c r="CD997" s="399"/>
      <c r="CE997" s="399"/>
      <c r="CF997" s="399"/>
      <c r="CG997" s="399"/>
      <c r="CH997" s="399"/>
      <c r="CI997" s="399"/>
      <c r="CJ997" s="399"/>
      <c r="CK997" s="399"/>
      <c r="CL997" s="399"/>
      <c r="CM997" s="399"/>
      <c r="CN997" s="399"/>
      <c r="CO997" s="399"/>
      <c r="CP997" s="399"/>
      <c r="CQ997" s="399"/>
      <c r="CR997" s="399"/>
      <c r="CS997" s="399"/>
      <c r="CT997" s="399"/>
      <c r="CU997" s="399"/>
      <c r="CV997" s="399"/>
      <c r="CW997" s="399"/>
      <c r="CX997" s="399"/>
      <c r="CY997" s="399"/>
      <c r="CZ997" s="399"/>
      <c r="DA997" s="399"/>
      <c r="DB997" s="399"/>
      <c r="DC997" s="399"/>
      <c r="DD997" s="399"/>
      <c r="DE997" s="399"/>
      <c r="DF997" s="399"/>
      <c r="DG997" s="399"/>
      <c r="DH997" s="399"/>
      <c r="DI997" s="399"/>
      <c r="DJ997" s="399"/>
      <c r="DK997" s="399"/>
      <c r="DL997" s="399"/>
      <c r="DM997" s="399"/>
      <c r="DN997" s="399"/>
      <c r="DO997" s="399"/>
      <c r="DP997" s="399"/>
      <c r="DQ997" s="399"/>
    </row>
    <row r="998" spans="1:121" s="760" customFormat="1" ht="14.45" customHeight="1" x14ac:dyDescent="0.25">
      <c r="A998" s="266">
        <f t="shared" si="15"/>
        <v>58.3</v>
      </c>
      <c r="B998" s="389">
        <v>41107</v>
      </c>
      <c r="C998" s="390" t="s">
        <v>451</v>
      </c>
      <c r="D998" s="391" t="s">
        <v>451</v>
      </c>
      <c r="E998" s="390" t="s">
        <v>380</v>
      </c>
      <c r="F998" s="262" t="s">
        <v>237</v>
      </c>
      <c r="G998" s="262" t="s">
        <v>263</v>
      </c>
      <c r="H998" s="261"/>
      <c r="I998" s="261"/>
      <c r="J998" s="261"/>
      <c r="K998" s="261">
        <v>0</v>
      </c>
      <c r="L998" s="261">
        <v>0</v>
      </c>
      <c r="M998" s="261">
        <v>0</v>
      </c>
      <c r="N998" s="261">
        <v>0</v>
      </c>
      <c r="O998" s="261">
        <v>0</v>
      </c>
      <c r="P998" s="261"/>
      <c r="Q998" s="261"/>
      <c r="R998" s="261"/>
      <c r="S998" s="261"/>
      <c r="T998" s="261"/>
      <c r="U998" s="261"/>
      <c r="V998" s="762"/>
      <c r="W998" s="261"/>
      <c r="X998" s="261"/>
      <c r="Y998" s="264">
        <f>IF(NFI_Expiration=1,IF($A998&lt;VLOOKUP(H$5,NFI,5,0),1,0)*Table_NFI[[#This Row],[Hygiene Kit]],Table_NFI[Hygiene Kit])</f>
        <v>0</v>
      </c>
      <c r="Z998" s="264">
        <f>IF(NFI_Expiration=1,IF($A998&lt;VLOOKUP(I$5,NFI,5,0),1,0)*Table_NFI[[#This Row],[NFI Core Kit]],Table_NFI[NFI Core Kit])</f>
        <v>0</v>
      </c>
      <c r="AA998" s="264">
        <f>IF(NFI_Expiration=1,IF($A998&lt;VLOOKUP(J$5,NFI,5,0),1,0)*Table_NFI[[#This Row],[Sanitary Kit]],Table_NFI[Sanitary Kit])</f>
        <v>0</v>
      </c>
      <c r="AB998" s="264">
        <f>IF(NFI_Expiration=1,IF($A998&lt;VLOOKUP(K$5,NFI,5,0),1,0)*Table_NFI[[#This Row],[Mosquito net]],Table_NFI[Mosquito net])</f>
        <v>0</v>
      </c>
      <c r="AC998" s="264">
        <f>IF(NFI_Expiration=1,IF($A998&lt;VLOOKUP(L$5,NFI,5,0),1,0)*Table_NFI[[#This Row],[Tarpaulin]],Table_NFI[[#This Row],[Tarpaulin]])</f>
        <v>0</v>
      </c>
      <c r="AD998" s="264">
        <f>IF(NFI_Expiration=1,IF($A998&lt;VLOOKUP(M$5,NFI,5,0),1,0)*Table_NFI[[#This Row],[Blanket]],Table_NFI[[#This Row],[Blanket]])</f>
        <v>0</v>
      </c>
      <c r="AE998" s="264">
        <f>IF(NFI_Expiration=1,IF($A998&lt;VLOOKUP(N$5,NFI,5,0),1,0)*Table_NFI[[#This Row],[Kitchen Set]],Table_NFI[Kitchen Set])</f>
        <v>0</v>
      </c>
      <c r="AF998" s="264">
        <f>IF(NFI_Expiration=1,IF($A998&lt;VLOOKUP(O$5,NFI,5,0),1,0)*Table_NFI[[#This Row],[Clothes Kit]],Table_NFI[Clothes Kit])</f>
        <v>0</v>
      </c>
      <c r="AG998" s="264">
        <f>IF(NFI_Expiration=1,IF($A998&lt;VLOOKUP(P$5,NFI,5,0),1,0)*Table_NFI[[#This Row],[Plastic Bucket]],Table_NFI[Plastic Bucket])</f>
        <v>0</v>
      </c>
      <c r="AH998" s="264">
        <f>IF(NFI_Expiration=1,IF($A998&lt;VLOOKUP(Q$5,NFI,5,0),1,0)*Table_NFI[[#This Row],[Plastic Mat]],Table_NFI[Plastic Mat])*IF(Table_NFI[[#This Row],[Distribution Date]]&gt;"2014-04-01",1,2.5)</f>
        <v>0</v>
      </c>
      <c r="AI998" s="264">
        <f>IF(NFI_Expiration=1,IF($A998&lt;VLOOKUP(R$5,NFI,5,0),1,0)*Table_NFI[[#This Row],[Winter Clothes Adult]],Table_NFI[Winter Clothes Adult])</f>
        <v>0</v>
      </c>
      <c r="AJ998" s="264">
        <f>IF(NFI_Expiration=1,IF($A998&lt;VLOOKUP(S$5,NFI,5,0),1,0)*Table_NFI[[#This Row],[Winter Clothes Children]],Table_NFI[Winter Clothes Children])</f>
        <v>0</v>
      </c>
      <c r="AK998" s="264">
        <f>IF(NFI_Expiration=1,IF($A998&lt;VLOOKUP(T$5,NFI,5,0),1,0)*Table_NFI[[#This Row],[Winter Items Other]],Table_NFI[Winter Items Other])</f>
        <v>0</v>
      </c>
      <c r="AL998" s="264">
        <f>IF(NFI_Expiration=1,IF($A998&lt;VLOOKUP(M$5,NFI,5,0),1,0)*Table_NFI[[#This Row],[Winter Blanket]],Table_NFI[[#This Row],[Winter Blanket]])</f>
        <v>0</v>
      </c>
      <c r="AM998" s="264">
        <f>IF(Table_NFI[[#This Row],[Winter Clothes Adult]]+Table_NFI[[#This Row],[Winter Clothes Children]]+Table_NFI[[#This Row],[Winter Items Other]]+Table_NFI[[#This Row],[Winter Blanket]]&gt;0,1,0)</f>
        <v>0</v>
      </c>
      <c r="AN998" s="296">
        <f>IF(NFI_Expiration=1,IF($A998&lt;VLOOKUP(V$5,NFI,5,0),1,0)*Table_NFI[[#This Row],[Jerry Can]],Table_NFI[Jerry Can])</f>
        <v>0</v>
      </c>
      <c r="AO998" s="296">
        <f>IF(NFI_Expiration=1,IF($A998&lt;VLOOKUP(V$5,NFI,5,0),1,0)*Table_NFI[[#This Row],[Shelter Tool kit]],Table_NFI[Shelter Tool kit])</f>
        <v>0</v>
      </c>
      <c r="AP998" s="296">
        <f>IF(NFI_Expiration=1,IF($A998&lt;VLOOKUP(V$5,NFI,5,0),1,0)*Table_NFI[[#This Row],[Tent]],Table_NFI[Tent])</f>
        <v>0</v>
      </c>
      <c r="AQ998" s="396" t="str">
        <f>IFERROR(VLOOKUP(Table_NFI[[#This Row],[Camp Name]],CL,2,0),"")</f>
        <v>MMR001CMP020</v>
      </c>
      <c r="AR998" s="702">
        <f ca="1">IF(Table_NFI[[#This Row],[Pcode]]="","",IF(OFFSET(CampList[Opening Date],MATCH(Table_NFI[[#This Row],[Pcode]],CampList[CP_Pcode],0)-1,0,1,1)&gt;=NFI_Monitor_Date,1,0))</f>
        <v>0</v>
      </c>
      <c r="AS998" s="396" t="str">
        <f>IFERROR(VLOOKUP(Table_NFI[[#This Row],[Camp Name]],CL,3,0),"")</f>
        <v>Open</v>
      </c>
      <c r="AT998" s="264" t="str">
        <f ca="1">IF(Table_NFI[[#This Row],[Pcode]]="","",OFFSET(CampList[Priority],MATCH(Table_NFI[[#This Row],[Pcode]],CampList[CP_Pcode],0)-1,0,1,1))</f>
        <v>P4</v>
      </c>
      <c r="AU998" s="263">
        <f>IFERROR(Table_NFI[[#This Row],[Kitchen Set]]/VLOOKUP(Table_NFI[[#This Row],[Camp Name]],CL,4,0),"")</f>
        <v>0</v>
      </c>
      <c r="AV998" s="390" t="s">
        <v>1087</v>
      </c>
      <c r="AW998" s="392"/>
      <c r="AX998" s="399"/>
      <c r="AY998" s="399"/>
      <c r="AZ998" s="399"/>
      <c r="BA998" s="399"/>
      <c r="BB998" s="399"/>
      <c r="BC998" s="399"/>
      <c r="BD998" s="399"/>
      <c r="BE998" s="399"/>
      <c r="BF998" s="399"/>
      <c r="BG998" s="399"/>
      <c r="BH998" s="399"/>
      <c r="BI998" s="399"/>
      <c r="BJ998" s="399"/>
      <c r="BK998" s="399"/>
      <c r="BL998" s="399"/>
      <c r="BM998" s="399"/>
      <c r="BN998" s="399"/>
      <c r="BO998" s="399"/>
      <c r="BP998" s="399"/>
      <c r="BQ998" s="399"/>
      <c r="BR998" s="399"/>
      <c r="BS998" s="399"/>
      <c r="BT998" s="399"/>
      <c r="BU998" s="399"/>
      <c r="BV998" s="399"/>
      <c r="BW998" s="399"/>
      <c r="BX998" s="399"/>
      <c r="BY998" s="399"/>
      <c r="BZ998" s="399"/>
      <c r="CA998" s="399"/>
      <c r="CB998" s="399"/>
      <c r="CC998" s="399"/>
      <c r="CD998" s="399"/>
      <c r="CE998" s="399"/>
      <c r="CF998" s="399"/>
      <c r="CG998" s="399"/>
      <c r="CH998" s="399"/>
      <c r="CI998" s="399"/>
      <c r="CJ998" s="399"/>
      <c r="CK998" s="399"/>
      <c r="CL998" s="399"/>
      <c r="CM998" s="399"/>
      <c r="CN998" s="399"/>
      <c r="CO998" s="399"/>
      <c r="CP998" s="399"/>
      <c r="CQ998" s="399"/>
      <c r="CR998" s="399"/>
      <c r="CS998" s="399"/>
      <c r="CT998" s="399"/>
      <c r="CU998" s="399"/>
      <c r="CV998" s="399"/>
      <c r="CW998" s="399"/>
      <c r="CX998" s="399"/>
      <c r="CY998" s="399"/>
      <c r="CZ998" s="399"/>
      <c r="DA998" s="399"/>
      <c r="DB998" s="399"/>
      <c r="DC998" s="399"/>
      <c r="DD998" s="399"/>
      <c r="DE998" s="399"/>
      <c r="DF998" s="399"/>
      <c r="DG998" s="399"/>
      <c r="DH998" s="399"/>
      <c r="DI998" s="399"/>
      <c r="DJ998" s="399"/>
      <c r="DK998" s="399"/>
      <c r="DL998" s="399"/>
      <c r="DM998" s="399"/>
      <c r="DN998" s="399"/>
      <c r="DO998" s="399"/>
      <c r="DP998" s="399"/>
      <c r="DQ998" s="399"/>
    </row>
    <row r="999" spans="1:121" s="760" customFormat="1" ht="14.45" customHeight="1" x14ac:dyDescent="0.25">
      <c r="A999" s="266">
        <f t="shared" si="15"/>
        <v>58.3</v>
      </c>
      <c r="B999" s="389">
        <v>41107</v>
      </c>
      <c r="C999" s="390" t="s">
        <v>451</v>
      </c>
      <c r="D999" s="391" t="s">
        <v>451</v>
      </c>
      <c r="E999" s="390" t="s">
        <v>380</v>
      </c>
      <c r="F999" s="262" t="s">
        <v>237</v>
      </c>
      <c r="G999" s="262" t="s">
        <v>263</v>
      </c>
      <c r="H999" s="261"/>
      <c r="I999" s="261"/>
      <c r="J999" s="261"/>
      <c r="K999" s="261">
        <v>19</v>
      </c>
      <c r="L999" s="261">
        <v>19</v>
      </c>
      <c r="M999" s="261">
        <v>19</v>
      </c>
      <c r="N999" s="261">
        <v>19</v>
      </c>
      <c r="O999" s="261">
        <v>19</v>
      </c>
      <c r="P999" s="261">
        <v>19</v>
      </c>
      <c r="Q999" s="261">
        <v>19</v>
      </c>
      <c r="R999" s="261"/>
      <c r="S999" s="261"/>
      <c r="T999" s="261"/>
      <c r="U999" s="261"/>
      <c r="V999" s="762"/>
      <c r="W999" s="261"/>
      <c r="X999" s="261"/>
      <c r="Y999" s="264">
        <f>IF(NFI_Expiration=1,IF($A999&lt;VLOOKUP(H$5,NFI,5,0),1,0)*Table_NFI[[#This Row],[Hygiene Kit]],Table_NFI[Hygiene Kit])</f>
        <v>0</v>
      </c>
      <c r="Z999" s="264">
        <f>IF(NFI_Expiration=1,IF($A999&lt;VLOOKUP(I$5,NFI,5,0),1,0)*Table_NFI[[#This Row],[NFI Core Kit]],Table_NFI[NFI Core Kit])</f>
        <v>0</v>
      </c>
      <c r="AA999" s="264">
        <f>IF(NFI_Expiration=1,IF($A999&lt;VLOOKUP(J$5,NFI,5,0),1,0)*Table_NFI[[#This Row],[Sanitary Kit]],Table_NFI[Sanitary Kit])</f>
        <v>0</v>
      </c>
      <c r="AB999" s="264">
        <f>IF(NFI_Expiration=1,IF($A999&lt;VLOOKUP(K$5,NFI,5,0),1,0)*Table_NFI[[#This Row],[Mosquito net]],Table_NFI[Mosquito net])</f>
        <v>0</v>
      </c>
      <c r="AC999" s="264">
        <f>IF(NFI_Expiration=1,IF($A999&lt;VLOOKUP(L$5,NFI,5,0),1,0)*Table_NFI[[#This Row],[Tarpaulin]],Table_NFI[[#This Row],[Tarpaulin]])</f>
        <v>0</v>
      </c>
      <c r="AD999" s="264">
        <f>IF(NFI_Expiration=1,IF($A999&lt;VLOOKUP(M$5,NFI,5,0),1,0)*Table_NFI[[#This Row],[Blanket]],Table_NFI[[#This Row],[Blanket]])</f>
        <v>0</v>
      </c>
      <c r="AE999" s="264">
        <f>IF(NFI_Expiration=1,IF($A999&lt;VLOOKUP(N$5,NFI,5,0),1,0)*Table_NFI[[#This Row],[Kitchen Set]],Table_NFI[Kitchen Set])</f>
        <v>0</v>
      </c>
      <c r="AF999" s="264">
        <f>IF(NFI_Expiration=1,IF($A999&lt;VLOOKUP(O$5,NFI,5,0),1,0)*Table_NFI[[#This Row],[Clothes Kit]],Table_NFI[Clothes Kit])</f>
        <v>0</v>
      </c>
      <c r="AG999" s="264">
        <f>IF(NFI_Expiration=1,IF($A999&lt;VLOOKUP(P$5,NFI,5,0),1,0)*Table_NFI[[#This Row],[Plastic Bucket]],Table_NFI[Plastic Bucket])</f>
        <v>0</v>
      </c>
      <c r="AH999" s="264">
        <f>IF(NFI_Expiration=1,IF($A999&lt;VLOOKUP(Q$5,NFI,5,0),1,0)*Table_NFI[[#This Row],[Plastic Mat]],Table_NFI[Plastic Mat])*IF(Table_NFI[[#This Row],[Distribution Date]]&gt;"2014-04-01",1,2.5)</f>
        <v>0</v>
      </c>
      <c r="AI999" s="264">
        <f>IF(NFI_Expiration=1,IF($A999&lt;VLOOKUP(R$5,NFI,5,0),1,0)*Table_NFI[[#This Row],[Winter Clothes Adult]],Table_NFI[Winter Clothes Adult])</f>
        <v>0</v>
      </c>
      <c r="AJ999" s="264">
        <f>IF(NFI_Expiration=1,IF($A999&lt;VLOOKUP(S$5,NFI,5,0),1,0)*Table_NFI[[#This Row],[Winter Clothes Children]],Table_NFI[Winter Clothes Children])</f>
        <v>0</v>
      </c>
      <c r="AK999" s="264">
        <f>IF(NFI_Expiration=1,IF($A999&lt;VLOOKUP(T$5,NFI,5,0),1,0)*Table_NFI[[#This Row],[Winter Items Other]],Table_NFI[Winter Items Other])</f>
        <v>0</v>
      </c>
      <c r="AL999" s="264">
        <f>IF(NFI_Expiration=1,IF($A999&lt;VLOOKUP(M$5,NFI,5,0),1,0)*Table_NFI[[#This Row],[Winter Blanket]],Table_NFI[[#This Row],[Winter Blanket]])</f>
        <v>0</v>
      </c>
      <c r="AM999" s="264">
        <f>IF(Table_NFI[[#This Row],[Winter Clothes Adult]]+Table_NFI[[#This Row],[Winter Clothes Children]]+Table_NFI[[#This Row],[Winter Items Other]]+Table_NFI[[#This Row],[Winter Blanket]]&gt;0,1,0)</f>
        <v>0</v>
      </c>
      <c r="AN999" s="296">
        <f>IF(NFI_Expiration=1,IF($A999&lt;VLOOKUP(V$5,NFI,5,0),1,0)*Table_NFI[[#This Row],[Jerry Can]],Table_NFI[Jerry Can])</f>
        <v>0</v>
      </c>
      <c r="AO999" s="296">
        <f>IF(NFI_Expiration=1,IF($A999&lt;VLOOKUP(V$5,NFI,5,0),1,0)*Table_NFI[[#This Row],[Shelter Tool kit]],Table_NFI[Shelter Tool kit])</f>
        <v>0</v>
      </c>
      <c r="AP999" s="296">
        <f>IF(NFI_Expiration=1,IF($A999&lt;VLOOKUP(V$5,NFI,5,0),1,0)*Table_NFI[[#This Row],[Tent]],Table_NFI[Tent])</f>
        <v>0</v>
      </c>
      <c r="AQ999" s="396" t="str">
        <f>IFERROR(VLOOKUP(Table_NFI[[#This Row],[Camp Name]],CL,2,0),"")</f>
        <v>MMR001CMP020</v>
      </c>
      <c r="AR999" s="702">
        <f ca="1">IF(Table_NFI[[#This Row],[Pcode]]="","",IF(OFFSET(CampList[Opening Date],MATCH(Table_NFI[[#This Row],[Pcode]],CampList[CP_Pcode],0)-1,0,1,1)&gt;=NFI_Monitor_Date,1,0))</f>
        <v>0</v>
      </c>
      <c r="AS999" s="396" t="str">
        <f>IFERROR(VLOOKUP(Table_NFI[[#This Row],[Camp Name]],CL,3,0),"")</f>
        <v>Open</v>
      </c>
      <c r="AT999" s="264" t="str">
        <f ca="1">IF(Table_NFI[[#This Row],[Pcode]]="","",OFFSET(CampList[Priority],MATCH(Table_NFI[[#This Row],[Pcode]],CampList[CP_Pcode],0)-1,0,1,1))</f>
        <v>P4</v>
      </c>
      <c r="AU999" s="263">
        <f>IFERROR(Table_NFI[[#This Row],[Kitchen Set]]/VLOOKUP(Table_NFI[[#This Row],[Camp Name]],CL,4,0),"")</f>
        <v>4.6549231937673027E-4</v>
      </c>
      <c r="AV999" s="390" t="s">
        <v>1087</v>
      </c>
      <c r="AW999" s="392"/>
      <c r="AX999" s="399"/>
      <c r="AY999" s="399"/>
      <c r="AZ999" s="399"/>
      <c r="BA999" s="399"/>
      <c r="BB999" s="399"/>
      <c r="BC999" s="399"/>
      <c r="BD999" s="399"/>
      <c r="BE999" s="399"/>
      <c r="BF999" s="399"/>
      <c r="BG999" s="399"/>
      <c r="BH999" s="399"/>
      <c r="BI999" s="399"/>
      <c r="BJ999" s="399"/>
      <c r="BK999" s="399"/>
      <c r="BL999" s="399"/>
      <c r="BM999" s="399"/>
      <c r="BN999" s="399"/>
      <c r="BO999" s="399"/>
      <c r="BP999" s="399"/>
      <c r="BQ999" s="399"/>
      <c r="BR999" s="399"/>
      <c r="BS999" s="399"/>
      <c r="BT999" s="399"/>
      <c r="BU999" s="399"/>
      <c r="BV999" s="399"/>
      <c r="BW999" s="399"/>
      <c r="BX999" s="399"/>
      <c r="BY999" s="399"/>
      <c r="BZ999" s="399"/>
      <c r="CA999" s="399"/>
      <c r="CB999" s="399"/>
      <c r="CC999" s="399"/>
      <c r="CD999" s="399"/>
      <c r="CE999" s="399"/>
      <c r="CF999" s="399"/>
      <c r="CG999" s="399"/>
      <c r="CH999" s="399"/>
      <c r="CI999" s="399"/>
      <c r="CJ999" s="399"/>
      <c r="CK999" s="399"/>
      <c r="CL999" s="399"/>
      <c r="CM999" s="399"/>
      <c r="CN999" s="399"/>
      <c r="CO999" s="399"/>
      <c r="CP999" s="399"/>
      <c r="CQ999" s="399"/>
      <c r="CR999" s="399"/>
      <c r="CS999" s="399"/>
      <c r="CT999" s="399"/>
      <c r="CU999" s="399"/>
      <c r="CV999" s="399"/>
      <c r="CW999" s="399"/>
      <c r="CX999" s="399"/>
      <c r="CY999" s="399"/>
      <c r="CZ999" s="399"/>
      <c r="DA999" s="399"/>
      <c r="DB999" s="399"/>
      <c r="DC999" s="399"/>
      <c r="DD999" s="399"/>
      <c r="DE999" s="399"/>
      <c r="DF999" s="399"/>
      <c r="DG999" s="399"/>
      <c r="DH999" s="399"/>
      <c r="DI999" s="399"/>
      <c r="DJ999" s="399"/>
      <c r="DK999" s="399"/>
      <c r="DL999" s="399"/>
      <c r="DM999" s="399"/>
      <c r="DN999" s="399"/>
      <c r="DO999" s="399"/>
      <c r="DP999" s="399"/>
      <c r="DQ999" s="399"/>
    </row>
    <row r="1000" spans="1:121" s="760" customFormat="1" ht="14.45" customHeight="1" x14ac:dyDescent="0.25">
      <c r="A1000" s="266">
        <f t="shared" si="15"/>
        <v>58.3</v>
      </c>
      <c r="B1000" s="389">
        <v>41107</v>
      </c>
      <c r="C1000" s="390" t="s">
        <v>451</v>
      </c>
      <c r="D1000" s="391" t="s">
        <v>451</v>
      </c>
      <c r="E1000" s="390" t="s">
        <v>380</v>
      </c>
      <c r="F1000" s="262" t="s">
        <v>237</v>
      </c>
      <c r="G1000" s="262" t="s">
        <v>271</v>
      </c>
      <c r="H1000" s="261"/>
      <c r="I1000" s="261"/>
      <c r="J1000" s="261"/>
      <c r="K1000" s="261">
        <v>6</v>
      </c>
      <c r="L1000" s="261">
        <v>6</v>
      </c>
      <c r="M1000" s="261">
        <v>6</v>
      </c>
      <c r="N1000" s="261">
        <v>6</v>
      </c>
      <c r="O1000" s="261">
        <v>6</v>
      </c>
      <c r="P1000" s="261">
        <v>6</v>
      </c>
      <c r="Q1000" s="261">
        <v>6</v>
      </c>
      <c r="R1000" s="261"/>
      <c r="S1000" s="261"/>
      <c r="T1000" s="261"/>
      <c r="U1000" s="261"/>
      <c r="V1000" s="762"/>
      <c r="W1000" s="261"/>
      <c r="X1000" s="261"/>
      <c r="Y1000" s="264">
        <f>IF(NFI_Expiration=1,IF($A1000&lt;VLOOKUP(H$5,NFI,5,0),1,0)*Table_NFI[[#This Row],[Hygiene Kit]],Table_NFI[Hygiene Kit])</f>
        <v>0</v>
      </c>
      <c r="Z1000" s="264">
        <f>IF(NFI_Expiration=1,IF($A1000&lt;VLOOKUP(I$5,NFI,5,0),1,0)*Table_NFI[[#This Row],[NFI Core Kit]],Table_NFI[NFI Core Kit])</f>
        <v>0</v>
      </c>
      <c r="AA1000" s="264">
        <f>IF(NFI_Expiration=1,IF($A1000&lt;VLOOKUP(J$5,NFI,5,0),1,0)*Table_NFI[[#This Row],[Sanitary Kit]],Table_NFI[Sanitary Kit])</f>
        <v>0</v>
      </c>
      <c r="AB1000" s="264">
        <f>IF(NFI_Expiration=1,IF($A1000&lt;VLOOKUP(K$5,NFI,5,0),1,0)*Table_NFI[[#This Row],[Mosquito net]],Table_NFI[Mosquito net])</f>
        <v>0</v>
      </c>
      <c r="AC1000" s="264">
        <f>IF(NFI_Expiration=1,IF($A1000&lt;VLOOKUP(L$5,NFI,5,0),1,0)*Table_NFI[[#This Row],[Tarpaulin]],Table_NFI[[#This Row],[Tarpaulin]])</f>
        <v>0</v>
      </c>
      <c r="AD1000" s="264">
        <f>IF(NFI_Expiration=1,IF($A1000&lt;VLOOKUP(M$5,NFI,5,0),1,0)*Table_NFI[[#This Row],[Blanket]],Table_NFI[[#This Row],[Blanket]])</f>
        <v>0</v>
      </c>
      <c r="AE1000" s="264">
        <f>IF(NFI_Expiration=1,IF($A1000&lt;VLOOKUP(N$5,NFI,5,0),1,0)*Table_NFI[[#This Row],[Kitchen Set]],Table_NFI[Kitchen Set])</f>
        <v>0</v>
      </c>
      <c r="AF1000" s="264">
        <f>IF(NFI_Expiration=1,IF($A1000&lt;VLOOKUP(O$5,NFI,5,0),1,0)*Table_NFI[[#This Row],[Clothes Kit]],Table_NFI[Clothes Kit])</f>
        <v>0</v>
      </c>
      <c r="AG1000" s="264">
        <f>IF(NFI_Expiration=1,IF($A1000&lt;VLOOKUP(P$5,NFI,5,0),1,0)*Table_NFI[[#This Row],[Plastic Bucket]],Table_NFI[Plastic Bucket])</f>
        <v>0</v>
      </c>
      <c r="AH1000" s="264">
        <f>IF(NFI_Expiration=1,IF($A1000&lt;VLOOKUP(Q$5,NFI,5,0),1,0)*Table_NFI[[#This Row],[Plastic Mat]],Table_NFI[Plastic Mat])*IF(Table_NFI[[#This Row],[Distribution Date]]&gt;"2014-04-01",1,2.5)</f>
        <v>0</v>
      </c>
      <c r="AI1000" s="264">
        <f>IF(NFI_Expiration=1,IF($A1000&lt;VLOOKUP(R$5,NFI,5,0),1,0)*Table_NFI[[#This Row],[Winter Clothes Adult]],Table_NFI[Winter Clothes Adult])</f>
        <v>0</v>
      </c>
      <c r="AJ1000" s="264">
        <f>IF(NFI_Expiration=1,IF($A1000&lt;VLOOKUP(S$5,NFI,5,0),1,0)*Table_NFI[[#This Row],[Winter Clothes Children]],Table_NFI[Winter Clothes Children])</f>
        <v>0</v>
      </c>
      <c r="AK1000" s="264">
        <f>IF(NFI_Expiration=1,IF($A1000&lt;VLOOKUP(T$5,NFI,5,0),1,0)*Table_NFI[[#This Row],[Winter Items Other]],Table_NFI[Winter Items Other])</f>
        <v>0</v>
      </c>
      <c r="AL1000" s="264">
        <f>IF(NFI_Expiration=1,IF($A1000&lt;VLOOKUP(M$5,NFI,5,0),1,0)*Table_NFI[[#This Row],[Winter Blanket]],Table_NFI[[#This Row],[Winter Blanket]])</f>
        <v>0</v>
      </c>
      <c r="AM1000" s="264">
        <f>IF(Table_NFI[[#This Row],[Winter Clothes Adult]]+Table_NFI[[#This Row],[Winter Clothes Children]]+Table_NFI[[#This Row],[Winter Items Other]]+Table_NFI[[#This Row],[Winter Blanket]]&gt;0,1,0)</f>
        <v>0</v>
      </c>
      <c r="AN1000" s="296">
        <f>IF(NFI_Expiration=1,IF($A1000&lt;VLOOKUP(V$5,NFI,5,0),1,0)*Table_NFI[[#This Row],[Jerry Can]],Table_NFI[Jerry Can])</f>
        <v>0</v>
      </c>
      <c r="AO1000" s="296">
        <f>IF(NFI_Expiration=1,IF($A1000&lt;VLOOKUP(V$5,NFI,5,0),1,0)*Table_NFI[[#This Row],[Shelter Tool kit]],Table_NFI[Shelter Tool kit])</f>
        <v>0</v>
      </c>
      <c r="AP1000" s="296">
        <f>IF(NFI_Expiration=1,IF($A1000&lt;VLOOKUP(V$5,NFI,5,0),1,0)*Table_NFI[[#This Row],[Tent]],Table_NFI[Tent])</f>
        <v>0</v>
      </c>
      <c r="AQ1000" s="396" t="str">
        <f>IFERROR(VLOOKUP(Table_NFI[[#This Row],[Camp Name]],CL,2,0),"")</f>
        <v>MMR001CMP024</v>
      </c>
      <c r="AR1000" s="702">
        <f ca="1">IF(Table_NFI[[#This Row],[Pcode]]="","",IF(OFFSET(CampList[Opening Date],MATCH(Table_NFI[[#This Row],[Pcode]],CampList[CP_Pcode],0)-1,0,1,1)&gt;=NFI_Monitor_Date,1,0))</f>
        <v>0</v>
      </c>
      <c r="AS1000" s="396" t="str">
        <f>IFERROR(VLOOKUP(Table_NFI[[#This Row],[Camp Name]],CL,3,0),"")</f>
        <v>Open</v>
      </c>
      <c r="AT1000" s="264" t="str">
        <f ca="1">IF(Table_NFI[[#This Row],[Pcode]]="","",OFFSET(CampList[Priority],MATCH(Table_NFI[[#This Row],[Pcode]],CampList[CP_Pcode],0)-1,0,1,1))</f>
        <v>P4</v>
      </c>
      <c r="AU1000" s="263">
        <f>IFERROR(Table_NFI[[#This Row],[Kitchen Set]]/VLOOKUP(Table_NFI[[#This Row],[Camp Name]],CL,4,0),"")</f>
        <v>1.4666699259331686E-4</v>
      </c>
      <c r="AV1000" s="390" t="s">
        <v>1087</v>
      </c>
      <c r="AW1000" s="392"/>
      <c r="AX1000" s="399"/>
      <c r="AY1000" s="399"/>
      <c r="AZ1000" s="399"/>
      <c r="BA1000" s="399"/>
      <c r="BB1000" s="399"/>
      <c r="BC1000" s="399"/>
      <c r="BD1000" s="399"/>
      <c r="BE1000" s="399"/>
      <c r="BF1000" s="399"/>
      <c r="BG1000" s="399"/>
      <c r="BH1000" s="399"/>
      <c r="BI1000" s="399"/>
      <c r="BJ1000" s="399"/>
      <c r="BK1000" s="399"/>
      <c r="BL1000" s="399"/>
      <c r="BM1000" s="399"/>
      <c r="BN1000" s="399"/>
      <c r="BO1000" s="399"/>
      <c r="BP1000" s="399"/>
      <c r="BQ1000" s="399"/>
      <c r="BR1000" s="399"/>
      <c r="BS1000" s="399"/>
      <c r="BT1000" s="399"/>
      <c r="BU1000" s="399"/>
      <c r="BV1000" s="399"/>
      <c r="BW1000" s="399"/>
      <c r="BX1000" s="399"/>
      <c r="BY1000" s="399"/>
      <c r="BZ1000" s="399"/>
      <c r="CA1000" s="399"/>
      <c r="CB1000" s="399"/>
      <c r="CC1000" s="399"/>
      <c r="CD1000" s="399"/>
      <c r="CE1000" s="399"/>
      <c r="CF1000" s="399"/>
      <c r="CG1000" s="399"/>
      <c r="CH1000" s="399"/>
      <c r="CI1000" s="399"/>
      <c r="CJ1000" s="399"/>
      <c r="CK1000" s="399"/>
      <c r="CL1000" s="399"/>
      <c r="CM1000" s="399"/>
      <c r="CN1000" s="399"/>
      <c r="CO1000" s="399"/>
      <c r="CP1000" s="399"/>
      <c r="CQ1000" s="399"/>
      <c r="CR1000" s="399"/>
      <c r="CS1000" s="399"/>
      <c r="CT1000" s="399"/>
      <c r="CU1000" s="399"/>
      <c r="CV1000" s="399"/>
      <c r="CW1000" s="399"/>
      <c r="CX1000" s="399"/>
      <c r="CY1000" s="399"/>
      <c r="CZ1000" s="399"/>
      <c r="DA1000" s="399"/>
      <c r="DB1000" s="399"/>
      <c r="DC1000" s="399"/>
      <c r="DD1000" s="399"/>
      <c r="DE1000" s="399"/>
      <c r="DF1000" s="399"/>
      <c r="DG1000" s="399"/>
      <c r="DH1000" s="399"/>
      <c r="DI1000" s="399"/>
      <c r="DJ1000" s="399"/>
      <c r="DK1000" s="399"/>
      <c r="DL1000" s="399"/>
      <c r="DM1000" s="399"/>
      <c r="DN1000" s="399"/>
      <c r="DO1000" s="399"/>
      <c r="DP1000" s="399"/>
      <c r="DQ1000" s="399"/>
    </row>
    <row r="1001" spans="1:121" s="760" customFormat="1" ht="14.45" customHeight="1" x14ac:dyDescent="0.25">
      <c r="A1001" s="266">
        <f t="shared" si="15"/>
        <v>58.3</v>
      </c>
      <c r="B1001" s="389">
        <v>41107</v>
      </c>
      <c r="C1001" s="390" t="s">
        <v>451</v>
      </c>
      <c r="D1001" s="391" t="s">
        <v>451</v>
      </c>
      <c r="E1001" s="390" t="s">
        <v>380</v>
      </c>
      <c r="F1001" s="262" t="s">
        <v>185</v>
      </c>
      <c r="G1001" s="262" t="s">
        <v>219</v>
      </c>
      <c r="H1001" s="261"/>
      <c r="I1001" s="261"/>
      <c r="J1001" s="261"/>
      <c r="K1001" s="261">
        <v>0</v>
      </c>
      <c r="L1001" s="261">
        <v>0</v>
      </c>
      <c r="M1001" s="261">
        <v>0</v>
      </c>
      <c r="N1001" s="261">
        <v>0</v>
      </c>
      <c r="O1001" s="261">
        <v>0</v>
      </c>
      <c r="P1001" s="261"/>
      <c r="Q1001" s="261"/>
      <c r="R1001" s="261"/>
      <c r="S1001" s="261"/>
      <c r="T1001" s="261"/>
      <c r="U1001" s="261"/>
      <c r="V1001" s="762"/>
      <c r="W1001" s="261"/>
      <c r="X1001" s="261"/>
      <c r="Y1001" s="264">
        <f>IF(NFI_Expiration=1,IF($A1001&lt;VLOOKUP(H$5,NFI,5,0),1,0)*Table_NFI[[#This Row],[Hygiene Kit]],Table_NFI[Hygiene Kit])</f>
        <v>0</v>
      </c>
      <c r="Z1001" s="264">
        <f>IF(NFI_Expiration=1,IF($A1001&lt;VLOOKUP(I$5,NFI,5,0),1,0)*Table_NFI[[#This Row],[NFI Core Kit]],Table_NFI[NFI Core Kit])</f>
        <v>0</v>
      </c>
      <c r="AA1001" s="264">
        <f>IF(NFI_Expiration=1,IF($A1001&lt;VLOOKUP(J$5,NFI,5,0),1,0)*Table_NFI[[#This Row],[Sanitary Kit]],Table_NFI[Sanitary Kit])</f>
        <v>0</v>
      </c>
      <c r="AB1001" s="264">
        <f>IF(NFI_Expiration=1,IF($A1001&lt;VLOOKUP(K$5,NFI,5,0),1,0)*Table_NFI[[#This Row],[Mosquito net]],Table_NFI[Mosquito net])</f>
        <v>0</v>
      </c>
      <c r="AC1001" s="264">
        <f>IF(NFI_Expiration=1,IF($A1001&lt;VLOOKUP(L$5,NFI,5,0),1,0)*Table_NFI[[#This Row],[Tarpaulin]],Table_NFI[[#This Row],[Tarpaulin]])</f>
        <v>0</v>
      </c>
      <c r="AD1001" s="264">
        <f>IF(NFI_Expiration=1,IF($A1001&lt;VLOOKUP(M$5,NFI,5,0),1,0)*Table_NFI[[#This Row],[Blanket]],Table_NFI[[#This Row],[Blanket]])</f>
        <v>0</v>
      </c>
      <c r="AE1001" s="264">
        <f>IF(NFI_Expiration=1,IF($A1001&lt;VLOOKUP(N$5,NFI,5,0),1,0)*Table_NFI[[#This Row],[Kitchen Set]],Table_NFI[Kitchen Set])</f>
        <v>0</v>
      </c>
      <c r="AF1001" s="264">
        <f>IF(NFI_Expiration=1,IF($A1001&lt;VLOOKUP(O$5,NFI,5,0),1,0)*Table_NFI[[#This Row],[Clothes Kit]],Table_NFI[Clothes Kit])</f>
        <v>0</v>
      </c>
      <c r="AG1001" s="264">
        <f>IF(NFI_Expiration=1,IF($A1001&lt;VLOOKUP(P$5,NFI,5,0),1,0)*Table_NFI[[#This Row],[Plastic Bucket]],Table_NFI[Plastic Bucket])</f>
        <v>0</v>
      </c>
      <c r="AH1001" s="264">
        <f>IF(NFI_Expiration=1,IF($A1001&lt;VLOOKUP(Q$5,NFI,5,0),1,0)*Table_NFI[[#This Row],[Plastic Mat]],Table_NFI[Plastic Mat])*IF(Table_NFI[[#This Row],[Distribution Date]]&gt;"2014-04-01",1,2.5)</f>
        <v>0</v>
      </c>
      <c r="AI1001" s="264">
        <f>IF(NFI_Expiration=1,IF($A1001&lt;VLOOKUP(R$5,NFI,5,0),1,0)*Table_NFI[[#This Row],[Winter Clothes Adult]],Table_NFI[Winter Clothes Adult])</f>
        <v>0</v>
      </c>
      <c r="AJ1001" s="264">
        <f>IF(NFI_Expiration=1,IF($A1001&lt;VLOOKUP(S$5,NFI,5,0),1,0)*Table_NFI[[#This Row],[Winter Clothes Children]],Table_NFI[Winter Clothes Children])</f>
        <v>0</v>
      </c>
      <c r="AK1001" s="264">
        <f>IF(NFI_Expiration=1,IF($A1001&lt;VLOOKUP(T$5,NFI,5,0),1,0)*Table_NFI[[#This Row],[Winter Items Other]],Table_NFI[Winter Items Other])</f>
        <v>0</v>
      </c>
      <c r="AL1001" s="264">
        <f>IF(NFI_Expiration=1,IF($A1001&lt;VLOOKUP(M$5,NFI,5,0),1,0)*Table_NFI[[#This Row],[Winter Blanket]],Table_NFI[[#This Row],[Winter Blanket]])</f>
        <v>0</v>
      </c>
      <c r="AM1001" s="264">
        <f>IF(Table_NFI[[#This Row],[Winter Clothes Adult]]+Table_NFI[[#This Row],[Winter Clothes Children]]+Table_NFI[[#This Row],[Winter Items Other]]+Table_NFI[[#This Row],[Winter Blanket]]&gt;0,1,0)</f>
        <v>0</v>
      </c>
      <c r="AN1001" s="296">
        <f>IF(NFI_Expiration=1,IF($A1001&lt;VLOOKUP(V$5,NFI,5,0),1,0)*Table_NFI[[#This Row],[Jerry Can]],Table_NFI[Jerry Can])</f>
        <v>0</v>
      </c>
      <c r="AO1001" s="296">
        <f>IF(NFI_Expiration=1,IF($A1001&lt;VLOOKUP(V$5,NFI,5,0),1,0)*Table_NFI[[#This Row],[Shelter Tool kit]],Table_NFI[Shelter Tool kit])</f>
        <v>0</v>
      </c>
      <c r="AP1001" s="296">
        <f>IF(NFI_Expiration=1,IF($A1001&lt;VLOOKUP(V$5,NFI,5,0),1,0)*Table_NFI[[#This Row],[Tent]],Table_NFI[Tent])</f>
        <v>0</v>
      </c>
      <c r="AQ1001" s="396" t="str">
        <f>IFERROR(VLOOKUP(Table_NFI[[#This Row],[Camp Name]],CL,2,0),"")</f>
        <v>MMR001CMP126</v>
      </c>
      <c r="AR1001" s="702">
        <f ca="1">IF(Table_NFI[[#This Row],[Pcode]]="","",IF(OFFSET(CampList[Opening Date],MATCH(Table_NFI[[#This Row],[Pcode]],CampList[CP_Pcode],0)-1,0,1,1)&gt;=NFI_Monitor_Date,1,0))</f>
        <v>0</v>
      </c>
      <c r="AS1001" s="396" t="str">
        <f>IFERROR(VLOOKUP(Table_NFI[[#This Row],[Camp Name]],CL,3,0),"")</f>
        <v>Open</v>
      </c>
      <c r="AT1001" s="264" t="str">
        <f ca="1">IF(Table_NFI[[#This Row],[Pcode]]="","",OFFSET(CampList[Priority],MATCH(Table_NFI[[#This Row],[Pcode]],CampList[CP_Pcode],0)-1,0,1,1))</f>
        <v>P2</v>
      </c>
      <c r="AU1001" s="263">
        <f>IFERROR(Table_NFI[[#This Row],[Kitchen Set]]/VLOOKUP(Table_NFI[[#This Row],[Camp Name]],CL,4,0),"")</f>
        <v>0</v>
      </c>
      <c r="AV1001" s="390" t="s">
        <v>1087</v>
      </c>
      <c r="AW1001" s="392"/>
      <c r="AX1001" s="399"/>
      <c r="AY1001" s="399"/>
      <c r="AZ1001" s="399"/>
      <c r="BA1001" s="399"/>
      <c r="BB1001" s="399"/>
      <c r="BC1001" s="399"/>
      <c r="BD1001" s="399"/>
      <c r="BE1001" s="399"/>
      <c r="BF1001" s="399"/>
      <c r="BG1001" s="399"/>
      <c r="BH1001" s="399"/>
      <c r="BI1001" s="399"/>
      <c r="BJ1001" s="399"/>
      <c r="BK1001" s="399"/>
      <c r="BL1001" s="399"/>
      <c r="BM1001" s="399"/>
      <c r="BN1001" s="399"/>
      <c r="BO1001" s="399"/>
      <c r="BP1001" s="399"/>
      <c r="BQ1001" s="399"/>
      <c r="BR1001" s="399"/>
      <c r="BS1001" s="399"/>
      <c r="BT1001" s="399"/>
      <c r="BU1001" s="399"/>
      <c r="BV1001" s="399"/>
      <c r="BW1001" s="399"/>
      <c r="BX1001" s="399"/>
      <c r="BY1001" s="399"/>
      <c r="BZ1001" s="399"/>
      <c r="CA1001" s="399"/>
      <c r="CB1001" s="399"/>
      <c r="CC1001" s="399"/>
      <c r="CD1001" s="399"/>
      <c r="CE1001" s="399"/>
      <c r="CF1001" s="399"/>
      <c r="CG1001" s="399"/>
      <c r="CH1001" s="399"/>
      <c r="CI1001" s="399"/>
      <c r="CJ1001" s="399"/>
      <c r="CK1001" s="399"/>
      <c r="CL1001" s="399"/>
      <c r="CM1001" s="399"/>
      <c r="CN1001" s="399"/>
      <c r="CO1001" s="399"/>
      <c r="CP1001" s="399"/>
      <c r="CQ1001" s="399"/>
      <c r="CR1001" s="399"/>
      <c r="CS1001" s="399"/>
      <c r="CT1001" s="399"/>
      <c r="CU1001" s="399"/>
      <c r="CV1001" s="399"/>
      <c r="CW1001" s="399"/>
      <c r="CX1001" s="399"/>
      <c r="CY1001" s="399"/>
      <c r="CZ1001" s="399"/>
      <c r="DA1001" s="399"/>
      <c r="DB1001" s="399"/>
      <c r="DC1001" s="399"/>
      <c r="DD1001" s="399"/>
      <c r="DE1001" s="399"/>
      <c r="DF1001" s="399"/>
      <c r="DG1001" s="399"/>
      <c r="DH1001" s="399"/>
      <c r="DI1001" s="399"/>
      <c r="DJ1001" s="399"/>
      <c r="DK1001" s="399"/>
      <c r="DL1001" s="399"/>
      <c r="DM1001" s="399"/>
      <c r="DN1001" s="399"/>
      <c r="DO1001" s="399"/>
      <c r="DP1001" s="399"/>
      <c r="DQ1001" s="399"/>
    </row>
    <row r="1002" spans="1:121" s="393" customFormat="1" ht="15" customHeight="1" x14ac:dyDescent="0.25">
      <c r="A1002" s="266">
        <f t="shared" si="15"/>
        <v>58.3</v>
      </c>
      <c r="B1002" s="389">
        <v>41107</v>
      </c>
      <c r="C1002" s="390" t="s">
        <v>451</v>
      </c>
      <c r="D1002" s="391" t="s">
        <v>451</v>
      </c>
      <c r="E1002" s="390" t="s">
        <v>380</v>
      </c>
      <c r="F1002" s="262" t="s">
        <v>185</v>
      </c>
      <c r="G1002" s="262" t="s">
        <v>219</v>
      </c>
      <c r="H1002" s="261"/>
      <c r="I1002" s="261"/>
      <c r="J1002" s="261"/>
      <c r="K1002" s="261">
        <v>0</v>
      </c>
      <c r="L1002" s="261">
        <v>0</v>
      </c>
      <c r="M1002" s="261">
        <v>0</v>
      </c>
      <c r="N1002" s="261">
        <v>0</v>
      </c>
      <c r="O1002" s="261">
        <v>0</v>
      </c>
      <c r="P1002" s="261"/>
      <c r="Q1002" s="261"/>
      <c r="R1002" s="261"/>
      <c r="S1002" s="261"/>
      <c r="T1002" s="261"/>
      <c r="U1002" s="261"/>
      <c r="V1002" s="762"/>
      <c r="W1002" s="261"/>
      <c r="X1002" s="261"/>
      <c r="Y1002" s="264">
        <f>IF(NFI_Expiration=1,IF($A1002&lt;VLOOKUP(H$5,NFI,5,0),1,0)*Table_NFI[[#This Row],[Hygiene Kit]],Table_NFI[Hygiene Kit])</f>
        <v>0</v>
      </c>
      <c r="Z1002" s="264">
        <f>IF(NFI_Expiration=1,IF($A1002&lt;VLOOKUP(I$5,NFI,5,0),1,0)*Table_NFI[[#This Row],[NFI Core Kit]],Table_NFI[NFI Core Kit])</f>
        <v>0</v>
      </c>
      <c r="AA1002" s="264">
        <f>IF(NFI_Expiration=1,IF($A1002&lt;VLOOKUP(J$5,NFI,5,0),1,0)*Table_NFI[[#This Row],[Sanitary Kit]],Table_NFI[Sanitary Kit])</f>
        <v>0</v>
      </c>
      <c r="AB1002" s="264">
        <f>IF(NFI_Expiration=1,IF($A1002&lt;VLOOKUP(K$5,NFI,5,0),1,0)*Table_NFI[[#This Row],[Mosquito net]],Table_NFI[Mosquito net])</f>
        <v>0</v>
      </c>
      <c r="AC1002" s="264">
        <f>IF(NFI_Expiration=1,IF($A1002&lt;VLOOKUP(L$5,NFI,5,0),1,0)*Table_NFI[[#This Row],[Tarpaulin]],Table_NFI[[#This Row],[Tarpaulin]])</f>
        <v>0</v>
      </c>
      <c r="AD1002" s="264">
        <f>IF(NFI_Expiration=1,IF($A1002&lt;VLOOKUP(M$5,NFI,5,0),1,0)*Table_NFI[[#This Row],[Blanket]],Table_NFI[[#This Row],[Blanket]])</f>
        <v>0</v>
      </c>
      <c r="AE1002" s="264">
        <f>IF(NFI_Expiration=1,IF($A1002&lt;VLOOKUP(N$5,NFI,5,0),1,0)*Table_NFI[[#This Row],[Kitchen Set]],Table_NFI[Kitchen Set])</f>
        <v>0</v>
      </c>
      <c r="AF1002" s="264">
        <f>IF(NFI_Expiration=1,IF($A1002&lt;VLOOKUP(O$5,NFI,5,0),1,0)*Table_NFI[[#This Row],[Clothes Kit]],Table_NFI[Clothes Kit])</f>
        <v>0</v>
      </c>
      <c r="AG1002" s="264">
        <f>IF(NFI_Expiration=1,IF($A1002&lt;VLOOKUP(P$5,NFI,5,0),1,0)*Table_NFI[[#This Row],[Plastic Bucket]],Table_NFI[Plastic Bucket])</f>
        <v>0</v>
      </c>
      <c r="AH1002" s="264">
        <f>IF(NFI_Expiration=1,IF($A1002&lt;VLOOKUP(Q$5,NFI,5,0),1,0)*Table_NFI[[#This Row],[Plastic Mat]],Table_NFI[Plastic Mat])*IF(Table_NFI[[#This Row],[Distribution Date]]&gt;"2014-04-01",1,2.5)</f>
        <v>0</v>
      </c>
      <c r="AI1002" s="264">
        <f>IF(NFI_Expiration=1,IF($A1002&lt;VLOOKUP(R$5,NFI,5,0),1,0)*Table_NFI[[#This Row],[Winter Clothes Adult]],Table_NFI[Winter Clothes Adult])</f>
        <v>0</v>
      </c>
      <c r="AJ1002" s="264">
        <f>IF(NFI_Expiration=1,IF($A1002&lt;VLOOKUP(S$5,NFI,5,0),1,0)*Table_NFI[[#This Row],[Winter Clothes Children]],Table_NFI[Winter Clothes Children])</f>
        <v>0</v>
      </c>
      <c r="AK1002" s="264">
        <f>IF(NFI_Expiration=1,IF($A1002&lt;VLOOKUP(T$5,NFI,5,0),1,0)*Table_NFI[[#This Row],[Winter Items Other]],Table_NFI[Winter Items Other])</f>
        <v>0</v>
      </c>
      <c r="AL1002" s="264">
        <f>IF(NFI_Expiration=1,IF($A1002&lt;VLOOKUP(M$5,NFI,5,0),1,0)*Table_NFI[[#This Row],[Winter Blanket]],Table_NFI[[#This Row],[Winter Blanket]])</f>
        <v>0</v>
      </c>
      <c r="AM1002" s="264">
        <f>IF(Table_NFI[[#This Row],[Winter Clothes Adult]]+Table_NFI[[#This Row],[Winter Clothes Children]]+Table_NFI[[#This Row],[Winter Items Other]]+Table_NFI[[#This Row],[Winter Blanket]]&gt;0,1,0)</f>
        <v>0</v>
      </c>
      <c r="AN1002" s="296">
        <f>IF(NFI_Expiration=1,IF($A1002&lt;VLOOKUP(V$5,NFI,5,0),1,0)*Table_NFI[[#This Row],[Jerry Can]],Table_NFI[Jerry Can])</f>
        <v>0</v>
      </c>
      <c r="AO1002" s="296">
        <f>IF(NFI_Expiration=1,IF($A1002&lt;VLOOKUP(V$5,NFI,5,0),1,0)*Table_NFI[[#This Row],[Shelter Tool kit]],Table_NFI[Shelter Tool kit])</f>
        <v>0</v>
      </c>
      <c r="AP1002" s="296">
        <f>IF(NFI_Expiration=1,IF($A1002&lt;VLOOKUP(V$5,NFI,5,0),1,0)*Table_NFI[[#This Row],[Tent]],Table_NFI[Tent])</f>
        <v>0</v>
      </c>
      <c r="AQ1002" s="396" t="str">
        <f>IFERROR(VLOOKUP(Table_NFI[[#This Row],[Camp Name]],CL,2,0),"")</f>
        <v>MMR001CMP126</v>
      </c>
      <c r="AR1002" s="702">
        <f ca="1">IF(Table_NFI[[#This Row],[Pcode]]="","",IF(OFFSET(CampList[Opening Date],MATCH(Table_NFI[[#This Row],[Pcode]],CampList[CP_Pcode],0)-1,0,1,1)&gt;=NFI_Monitor_Date,1,0))</f>
        <v>0</v>
      </c>
      <c r="AS1002" s="396" t="str">
        <f>IFERROR(VLOOKUP(Table_NFI[[#This Row],[Camp Name]],CL,3,0),"")</f>
        <v>Open</v>
      </c>
      <c r="AT1002" s="264" t="str">
        <f ca="1">IF(Table_NFI[[#This Row],[Pcode]]="","",OFFSET(CampList[Priority],MATCH(Table_NFI[[#This Row],[Pcode]],CampList[CP_Pcode],0)-1,0,1,1))</f>
        <v>P2</v>
      </c>
      <c r="AU1002" s="263">
        <f>IFERROR(Table_NFI[[#This Row],[Kitchen Set]]/VLOOKUP(Table_NFI[[#This Row],[Camp Name]],CL,4,0),"")</f>
        <v>0</v>
      </c>
      <c r="AV1002" s="390" t="s">
        <v>1087</v>
      </c>
      <c r="AW1002" s="392"/>
      <c r="AX1002" s="399"/>
      <c r="AY1002" s="399"/>
      <c r="AZ1002" s="399"/>
      <c r="BA1002" s="399"/>
      <c r="BB1002" s="399"/>
      <c r="BC1002" s="399"/>
      <c r="BD1002" s="399"/>
      <c r="BE1002" s="399"/>
      <c r="BF1002" s="399"/>
      <c r="BG1002" s="399"/>
      <c r="BH1002" s="399"/>
      <c r="BI1002" s="399"/>
      <c r="BJ1002" s="399"/>
      <c r="BK1002" s="399"/>
      <c r="BL1002" s="399"/>
      <c r="BM1002" s="399"/>
      <c r="BN1002" s="399"/>
      <c r="BO1002" s="399"/>
      <c r="BP1002" s="399"/>
      <c r="BQ1002" s="399"/>
      <c r="BR1002" s="399"/>
      <c r="BS1002" s="399"/>
      <c r="BT1002" s="399"/>
      <c r="BU1002" s="399"/>
      <c r="BV1002" s="399"/>
      <c r="BW1002" s="399"/>
      <c r="BX1002" s="399"/>
      <c r="BY1002" s="399"/>
      <c r="BZ1002" s="399"/>
      <c r="CA1002" s="399"/>
      <c r="CB1002" s="399"/>
      <c r="CC1002" s="399"/>
      <c r="CD1002" s="399"/>
      <c r="CE1002" s="399"/>
      <c r="CF1002" s="399"/>
      <c r="CG1002" s="399"/>
      <c r="CH1002" s="399"/>
      <c r="CI1002" s="399"/>
      <c r="CJ1002" s="399"/>
      <c r="CK1002" s="399"/>
      <c r="CL1002" s="399"/>
      <c r="CM1002" s="399"/>
      <c r="CN1002" s="399"/>
      <c r="CO1002" s="399"/>
      <c r="CP1002" s="399"/>
      <c r="CQ1002" s="399"/>
      <c r="CR1002" s="399"/>
      <c r="CS1002" s="399"/>
      <c r="CT1002" s="399"/>
      <c r="CU1002" s="399"/>
      <c r="CV1002" s="399"/>
      <c r="CW1002" s="399"/>
      <c r="CX1002" s="399"/>
      <c r="CY1002" s="399"/>
      <c r="CZ1002" s="399"/>
      <c r="DA1002" s="399"/>
      <c r="DB1002" s="399"/>
      <c r="DC1002" s="399"/>
      <c r="DD1002" s="399"/>
      <c r="DE1002" s="399"/>
      <c r="DF1002" s="399"/>
      <c r="DG1002" s="399"/>
      <c r="DH1002" s="399"/>
      <c r="DI1002" s="399"/>
      <c r="DJ1002" s="399"/>
      <c r="DK1002" s="399"/>
      <c r="DL1002" s="399"/>
      <c r="DM1002" s="399"/>
      <c r="DN1002" s="399"/>
      <c r="DO1002" s="399"/>
      <c r="DP1002" s="399"/>
      <c r="DQ1002" s="399"/>
    </row>
    <row r="1003" spans="1:121" s="393" customFormat="1" ht="15" customHeight="1" x14ac:dyDescent="0.25">
      <c r="A1003" s="266">
        <f t="shared" si="15"/>
        <v>58.3</v>
      </c>
      <c r="B1003" s="389">
        <v>41107</v>
      </c>
      <c r="C1003" s="390" t="s">
        <v>451</v>
      </c>
      <c r="D1003" s="390" t="s">
        <v>451</v>
      </c>
      <c r="E1003" s="390" t="s">
        <v>380</v>
      </c>
      <c r="F1003" s="390" t="s">
        <v>237</v>
      </c>
      <c r="G1003" s="262" t="s">
        <v>279</v>
      </c>
      <c r="H1003" s="261"/>
      <c r="I1003" s="261"/>
      <c r="J1003" s="261"/>
      <c r="K1003" s="261">
        <v>3</v>
      </c>
      <c r="L1003" s="261">
        <v>3</v>
      </c>
      <c r="M1003" s="261">
        <v>3</v>
      </c>
      <c r="N1003" s="261">
        <v>3</v>
      </c>
      <c r="O1003" s="261">
        <v>3</v>
      </c>
      <c r="P1003" s="261">
        <v>3</v>
      </c>
      <c r="Q1003" s="261">
        <v>3</v>
      </c>
      <c r="R1003" s="261"/>
      <c r="S1003" s="261"/>
      <c r="T1003" s="261"/>
      <c r="U1003" s="261"/>
      <c r="V1003" s="762"/>
      <c r="W1003" s="261"/>
      <c r="X1003" s="261"/>
      <c r="Y1003" s="264">
        <f>IF(NFI_Expiration=1,IF($A1003&lt;VLOOKUP(H$5,NFI,5,0),1,0)*Table_NFI[[#This Row],[Hygiene Kit]],Table_NFI[Hygiene Kit])</f>
        <v>0</v>
      </c>
      <c r="Z1003" s="264">
        <f>IF(NFI_Expiration=1,IF($A1003&lt;VLOOKUP(I$5,NFI,5,0),1,0)*Table_NFI[[#This Row],[NFI Core Kit]],Table_NFI[NFI Core Kit])</f>
        <v>0</v>
      </c>
      <c r="AA1003" s="264">
        <f>IF(NFI_Expiration=1,IF($A1003&lt;VLOOKUP(J$5,NFI,5,0),1,0)*Table_NFI[[#This Row],[Sanitary Kit]],Table_NFI[Sanitary Kit])</f>
        <v>0</v>
      </c>
      <c r="AB1003" s="264">
        <f>IF(NFI_Expiration=1,IF($A1003&lt;VLOOKUP(K$5,NFI,5,0),1,0)*Table_NFI[[#This Row],[Mosquito net]],Table_NFI[Mosquito net])</f>
        <v>0</v>
      </c>
      <c r="AC1003" s="264">
        <f>IF(NFI_Expiration=1,IF($A1003&lt;VLOOKUP(L$5,NFI,5,0),1,0)*Table_NFI[[#This Row],[Tarpaulin]],Table_NFI[[#This Row],[Tarpaulin]])</f>
        <v>0</v>
      </c>
      <c r="AD1003" s="264">
        <f>IF(NFI_Expiration=1,IF($A1003&lt;VLOOKUP(M$5,NFI,5,0),1,0)*Table_NFI[[#This Row],[Blanket]],Table_NFI[[#This Row],[Blanket]])</f>
        <v>0</v>
      </c>
      <c r="AE1003" s="264">
        <f>IF(NFI_Expiration=1,IF($A1003&lt;VLOOKUP(N$5,NFI,5,0),1,0)*Table_NFI[[#This Row],[Kitchen Set]],Table_NFI[Kitchen Set])</f>
        <v>0</v>
      </c>
      <c r="AF1003" s="264">
        <f>IF(NFI_Expiration=1,IF($A1003&lt;VLOOKUP(O$5,NFI,5,0),1,0)*Table_NFI[[#This Row],[Clothes Kit]],Table_NFI[Clothes Kit])</f>
        <v>0</v>
      </c>
      <c r="AG1003" s="264">
        <f>IF(NFI_Expiration=1,IF($A1003&lt;VLOOKUP(P$5,NFI,5,0),1,0)*Table_NFI[[#This Row],[Plastic Bucket]],Table_NFI[Plastic Bucket])</f>
        <v>0</v>
      </c>
      <c r="AH1003" s="264">
        <f>IF(NFI_Expiration=1,IF($A1003&lt;VLOOKUP(Q$5,NFI,5,0),1,0)*Table_NFI[[#This Row],[Plastic Mat]],Table_NFI[Plastic Mat])*IF(Table_NFI[[#This Row],[Distribution Date]]&gt;"2014-04-01",1,2.5)</f>
        <v>0</v>
      </c>
      <c r="AI1003" s="264">
        <f>IF(NFI_Expiration=1,IF($A1003&lt;VLOOKUP(R$5,NFI,5,0),1,0)*Table_NFI[[#This Row],[Winter Clothes Adult]],Table_NFI[Winter Clothes Adult])</f>
        <v>0</v>
      </c>
      <c r="AJ1003" s="264">
        <f>IF(NFI_Expiration=1,IF($A1003&lt;VLOOKUP(S$5,NFI,5,0),1,0)*Table_NFI[[#This Row],[Winter Clothes Children]],Table_NFI[Winter Clothes Children])</f>
        <v>0</v>
      </c>
      <c r="AK1003" s="264">
        <f>IF(NFI_Expiration=1,IF($A1003&lt;VLOOKUP(T$5,NFI,5,0),1,0)*Table_NFI[[#This Row],[Winter Items Other]],Table_NFI[Winter Items Other])</f>
        <v>0</v>
      </c>
      <c r="AL1003" s="264">
        <f>IF(NFI_Expiration=1,IF($A1003&lt;VLOOKUP(M$5,NFI,5,0),1,0)*Table_NFI[[#This Row],[Winter Blanket]],Table_NFI[[#This Row],[Winter Blanket]])</f>
        <v>0</v>
      </c>
      <c r="AM1003" s="264">
        <f>IF(Table_NFI[[#This Row],[Winter Clothes Adult]]+Table_NFI[[#This Row],[Winter Clothes Children]]+Table_NFI[[#This Row],[Winter Items Other]]+Table_NFI[[#This Row],[Winter Blanket]]&gt;0,1,0)</f>
        <v>0</v>
      </c>
      <c r="AN1003" s="296">
        <f>IF(NFI_Expiration=1,IF($A1003&lt;VLOOKUP(V$5,NFI,5,0),1,0)*Table_NFI[[#This Row],[Jerry Can]],Table_NFI[Jerry Can])</f>
        <v>0</v>
      </c>
      <c r="AO1003" s="296">
        <f>IF(NFI_Expiration=1,IF($A1003&lt;VLOOKUP(V$5,NFI,5,0),1,0)*Table_NFI[[#This Row],[Shelter Tool kit]],Table_NFI[Shelter Tool kit])</f>
        <v>0</v>
      </c>
      <c r="AP1003" s="296">
        <f>IF(NFI_Expiration=1,IF($A1003&lt;VLOOKUP(V$5,NFI,5,0),1,0)*Table_NFI[[#This Row],[Tent]],Table_NFI[Tent])</f>
        <v>0</v>
      </c>
      <c r="AQ1003" s="396" t="str">
        <f>IFERROR(VLOOKUP(Table_NFI[[#This Row],[Camp Name]],CL,2,0),"")</f>
        <v>MMR001CMP007</v>
      </c>
      <c r="AR1003" s="702">
        <f ca="1">IF(Table_NFI[[#This Row],[Pcode]]="","",IF(OFFSET(CampList[Opening Date],MATCH(Table_NFI[[#This Row],[Pcode]],CampList[CP_Pcode],0)-1,0,1,1)&gt;=NFI_Monitor_Date,1,0))</f>
        <v>0</v>
      </c>
      <c r="AS1003" s="396" t="str">
        <f>IFERROR(VLOOKUP(Table_NFI[[#This Row],[Camp Name]],CL,3,0),"")</f>
        <v>Open</v>
      </c>
      <c r="AT1003" s="264" t="str">
        <f ca="1">IF(Table_NFI[[#This Row],[Pcode]]="","",OFFSET(CampList[Priority],MATCH(Table_NFI[[#This Row],[Pcode]],CampList[CP_Pcode],0)-1,0,1,1))</f>
        <v>P4</v>
      </c>
      <c r="AU1003" s="263">
        <f>IFERROR(Table_NFI[[#This Row],[Kitchen Set]]/VLOOKUP(Table_NFI[[#This Row],[Camp Name]],CL,4,0),"")</f>
        <v>7.333349629665843E-5</v>
      </c>
      <c r="AV1003" s="390" t="s">
        <v>1087</v>
      </c>
      <c r="AW1003" s="392"/>
      <c r="AX1003" s="399"/>
      <c r="AY1003" s="399"/>
      <c r="AZ1003" s="399"/>
      <c r="BA1003" s="399"/>
      <c r="BB1003" s="399"/>
      <c r="BC1003" s="399"/>
      <c r="BD1003" s="399"/>
      <c r="BE1003" s="399"/>
      <c r="BF1003" s="399"/>
      <c r="BG1003" s="399"/>
      <c r="BH1003" s="399"/>
      <c r="BI1003" s="399"/>
      <c r="BJ1003" s="399"/>
      <c r="BK1003" s="399"/>
      <c r="BL1003" s="399"/>
      <c r="BM1003" s="399"/>
      <c r="BN1003" s="399"/>
      <c r="BO1003" s="399"/>
      <c r="BP1003" s="399"/>
      <c r="BQ1003" s="399"/>
      <c r="BR1003" s="399"/>
      <c r="BS1003" s="399"/>
      <c r="BT1003" s="399"/>
      <c r="BU1003" s="399"/>
      <c r="BV1003" s="399"/>
      <c r="BW1003" s="399"/>
      <c r="BX1003" s="399"/>
      <c r="BY1003" s="399"/>
      <c r="BZ1003" s="399"/>
      <c r="CA1003" s="399"/>
      <c r="CB1003" s="399"/>
      <c r="CC1003" s="399"/>
      <c r="CD1003" s="399"/>
      <c r="CE1003" s="399"/>
      <c r="CF1003" s="399"/>
      <c r="CG1003" s="399"/>
      <c r="CH1003" s="399"/>
      <c r="CI1003" s="399"/>
      <c r="CJ1003" s="399"/>
      <c r="CK1003" s="399"/>
      <c r="CL1003" s="399"/>
      <c r="CM1003" s="399"/>
      <c r="CN1003" s="399"/>
      <c r="CO1003" s="399"/>
      <c r="CP1003" s="399"/>
      <c r="CQ1003" s="399"/>
      <c r="CR1003" s="399"/>
      <c r="CS1003" s="399"/>
      <c r="CT1003" s="399"/>
      <c r="CU1003" s="399"/>
      <c r="CV1003" s="399"/>
      <c r="CW1003" s="399"/>
      <c r="CX1003" s="399"/>
      <c r="CY1003" s="399"/>
      <c r="CZ1003" s="399"/>
      <c r="DA1003" s="399"/>
      <c r="DB1003" s="399"/>
      <c r="DC1003" s="399"/>
      <c r="DD1003" s="399"/>
      <c r="DE1003" s="399"/>
      <c r="DF1003" s="399"/>
      <c r="DG1003" s="399"/>
      <c r="DH1003" s="399"/>
      <c r="DI1003" s="399"/>
      <c r="DJ1003" s="399"/>
      <c r="DK1003" s="399"/>
      <c r="DL1003" s="399"/>
      <c r="DM1003" s="399"/>
      <c r="DN1003" s="399"/>
      <c r="DO1003" s="399"/>
      <c r="DP1003" s="399"/>
      <c r="DQ1003" s="399"/>
    </row>
    <row r="1004" spans="1:121" ht="14.45" customHeight="1" x14ac:dyDescent="0.25">
      <c r="A1004" s="266">
        <f t="shared" si="15"/>
        <v>58.3</v>
      </c>
      <c r="B1004" s="389">
        <v>41107</v>
      </c>
      <c r="C1004" s="390" t="s">
        <v>451</v>
      </c>
      <c r="D1004" s="391" t="s">
        <v>451</v>
      </c>
      <c r="E1004" s="390" t="s">
        <v>380</v>
      </c>
      <c r="F1004" s="262" t="s">
        <v>237</v>
      </c>
      <c r="G1004" s="262" t="s">
        <v>251</v>
      </c>
      <c r="H1004" s="261"/>
      <c r="I1004" s="261"/>
      <c r="J1004" s="261"/>
      <c r="K1004" s="261">
        <v>7</v>
      </c>
      <c r="L1004" s="261">
        <v>7</v>
      </c>
      <c r="M1004" s="261">
        <v>7</v>
      </c>
      <c r="N1004" s="261">
        <v>7</v>
      </c>
      <c r="O1004" s="261">
        <v>7</v>
      </c>
      <c r="P1004" s="261">
        <v>7</v>
      </c>
      <c r="Q1004" s="261">
        <v>7</v>
      </c>
      <c r="R1004" s="261"/>
      <c r="S1004" s="261"/>
      <c r="T1004" s="261"/>
      <c r="U1004" s="261"/>
      <c r="V1004" s="762"/>
      <c r="W1004" s="261"/>
      <c r="X1004" s="261"/>
      <c r="Y1004" s="264">
        <f>IF(NFI_Expiration=1,IF($A1004&lt;VLOOKUP(H$5,NFI,5,0),1,0)*Table_NFI[[#This Row],[Hygiene Kit]],Table_NFI[Hygiene Kit])</f>
        <v>0</v>
      </c>
      <c r="Z1004" s="264">
        <f>IF(NFI_Expiration=1,IF($A1004&lt;VLOOKUP(I$5,NFI,5,0),1,0)*Table_NFI[[#This Row],[NFI Core Kit]],Table_NFI[NFI Core Kit])</f>
        <v>0</v>
      </c>
      <c r="AA1004" s="264">
        <f>IF(NFI_Expiration=1,IF($A1004&lt;VLOOKUP(J$5,NFI,5,0),1,0)*Table_NFI[[#This Row],[Sanitary Kit]],Table_NFI[Sanitary Kit])</f>
        <v>0</v>
      </c>
      <c r="AB1004" s="264">
        <f>IF(NFI_Expiration=1,IF($A1004&lt;VLOOKUP(K$5,NFI,5,0),1,0)*Table_NFI[[#This Row],[Mosquito net]],Table_NFI[Mosquito net])</f>
        <v>0</v>
      </c>
      <c r="AC1004" s="264">
        <f>IF(NFI_Expiration=1,IF($A1004&lt;VLOOKUP(L$5,NFI,5,0),1,0)*Table_NFI[[#This Row],[Tarpaulin]],Table_NFI[[#This Row],[Tarpaulin]])</f>
        <v>0</v>
      </c>
      <c r="AD1004" s="264">
        <f>IF(NFI_Expiration=1,IF($A1004&lt;VLOOKUP(M$5,NFI,5,0),1,0)*Table_NFI[[#This Row],[Blanket]],Table_NFI[[#This Row],[Blanket]])</f>
        <v>0</v>
      </c>
      <c r="AE1004" s="264">
        <f>IF(NFI_Expiration=1,IF($A1004&lt;VLOOKUP(N$5,NFI,5,0),1,0)*Table_NFI[[#This Row],[Kitchen Set]],Table_NFI[Kitchen Set])</f>
        <v>0</v>
      </c>
      <c r="AF1004" s="264">
        <f>IF(NFI_Expiration=1,IF($A1004&lt;VLOOKUP(O$5,NFI,5,0),1,0)*Table_NFI[[#This Row],[Clothes Kit]],Table_NFI[Clothes Kit])</f>
        <v>0</v>
      </c>
      <c r="AG1004" s="264">
        <f>IF(NFI_Expiration=1,IF($A1004&lt;VLOOKUP(P$5,NFI,5,0),1,0)*Table_NFI[[#This Row],[Plastic Bucket]],Table_NFI[Plastic Bucket])</f>
        <v>0</v>
      </c>
      <c r="AH1004" s="264">
        <f>IF(NFI_Expiration=1,IF($A1004&lt;VLOOKUP(Q$5,NFI,5,0),1,0)*Table_NFI[[#This Row],[Plastic Mat]],Table_NFI[Plastic Mat])*IF(Table_NFI[[#This Row],[Distribution Date]]&gt;"2014-04-01",1,2.5)</f>
        <v>0</v>
      </c>
      <c r="AI1004" s="264">
        <f>IF(NFI_Expiration=1,IF($A1004&lt;VLOOKUP(R$5,NFI,5,0),1,0)*Table_NFI[[#This Row],[Winter Clothes Adult]],Table_NFI[Winter Clothes Adult])</f>
        <v>0</v>
      </c>
      <c r="AJ1004" s="264">
        <f>IF(NFI_Expiration=1,IF($A1004&lt;VLOOKUP(S$5,NFI,5,0),1,0)*Table_NFI[[#This Row],[Winter Clothes Children]],Table_NFI[Winter Clothes Children])</f>
        <v>0</v>
      </c>
      <c r="AK1004" s="264">
        <f>IF(NFI_Expiration=1,IF($A1004&lt;VLOOKUP(T$5,NFI,5,0),1,0)*Table_NFI[[#This Row],[Winter Items Other]],Table_NFI[Winter Items Other])</f>
        <v>0</v>
      </c>
      <c r="AL1004" s="264">
        <f>IF(NFI_Expiration=1,IF($A1004&lt;VLOOKUP(M$5,NFI,5,0),1,0)*Table_NFI[[#This Row],[Winter Blanket]],Table_NFI[[#This Row],[Winter Blanket]])</f>
        <v>0</v>
      </c>
      <c r="AM1004" s="264">
        <f>IF(Table_NFI[[#This Row],[Winter Clothes Adult]]+Table_NFI[[#This Row],[Winter Clothes Children]]+Table_NFI[[#This Row],[Winter Items Other]]+Table_NFI[[#This Row],[Winter Blanket]]&gt;0,1,0)</f>
        <v>0</v>
      </c>
      <c r="AN1004" s="296">
        <f>IF(NFI_Expiration=1,IF($A1004&lt;VLOOKUP(V$5,NFI,5,0),1,0)*Table_NFI[[#This Row],[Jerry Can]],Table_NFI[Jerry Can])</f>
        <v>0</v>
      </c>
      <c r="AO1004" s="296">
        <f>IF(NFI_Expiration=1,IF($A1004&lt;VLOOKUP(V$5,NFI,5,0),1,0)*Table_NFI[[#This Row],[Shelter Tool kit]],Table_NFI[Shelter Tool kit])</f>
        <v>0</v>
      </c>
      <c r="AP1004" s="296">
        <f>IF(NFI_Expiration=1,IF($A1004&lt;VLOOKUP(V$5,NFI,5,0),1,0)*Table_NFI[[#This Row],[Tent]],Table_NFI[Tent])</f>
        <v>0</v>
      </c>
      <c r="AQ1004" s="396" t="str">
        <f>IFERROR(VLOOKUP(Table_NFI[[#This Row],[Camp Name]],CL,2,0),"")</f>
        <v>MMR001CMP003</v>
      </c>
      <c r="AR1004" s="702">
        <f ca="1">IF(Table_NFI[[#This Row],[Pcode]]="","",IF(OFFSET(CampList[Opening Date],MATCH(Table_NFI[[#This Row],[Pcode]],CampList[CP_Pcode],0)-1,0,1,1)&gt;=NFI_Monitor_Date,1,0))</f>
        <v>0</v>
      </c>
      <c r="AS1004" s="396" t="str">
        <f>IFERROR(VLOOKUP(Table_NFI[[#This Row],[Camp Name]],CL,3,0),"")</f>
        <v>Open</v>
      </c>
      <c r="AT1004" s="264" t="str">
        <f ca="1">IF(Table_NFI[[#This Row],[Pcode]]="","",OFFSET(CampList[Priority],MATCH(Table_NFI[[#This Row],[Pcode]],CampList[CP_Pcode],0)-1,0,1,1))</f>
        <v>P4</v>
      </c>
      <c r="AU1004" s="263">
        <f>IFERROR(Table_NFI[[#This Row],[Kitchen Set]]/VLOOKUP(Table_NFI[[#This Row],[Camp Name]],CL,4,0),"")</f>
        <v>1.7188459177409454E-4</v>
      </c>
      <c r="AV1004" s="390" t="s">
        <v>1087</v>
      </c>
      <c r="AW1004" s="392"/>
    </row>
    <row r="1005" spans="1:121" s="760" customFormat="1" ht="14.45" customHeight="1" x14ac:dyDescent="0.25">
      <c r="A1005" s="266">
        <f t="shared" si="15"/>
        <v>58.3</v>
      </c>
      <c r="B1005" s="389">
        <v>41107</v>
      </c>
      <c r="C1005" s="390" t="s">
        <v>451</v>
      </c>
      <c r="D1005" s="391" t="s">
        <v>451</v>
      </c>
      <c r="E1005" s="390" t="s">
        <v>380</v>
      </c>
      <c r="F1005" s="262" t="s">
        <v>151</v>
      </c>
      <c r="G1005" s="262" t="s">
        <v>158</v>
      </c>
      <c r="H1005" s="261"/>
      <c r="I1005" s="261"/>
      <c r="J1005" s="261"/>
      <c r="K1005" s="261">
        <v>0</v>
      </c>
      <c r="L1005" s="261">
        <v>0</v>
      </c>
      <c r="M1005" s="261">
        <v>0</v>
      </c>
      <c r="N1005" s="261">
        <v>0</v>
      </c>
      <c r="O1005" s="261">
        <v>0</v>
      </c>
      <c r="P1005" s="261"/>
      <c r="Q1005" s="261"/>
      <c r="R1005" s="261"/>
      <c r="S1005" s="261"/>
      <c r="T1005" s="261"/>
      <c r="U1005" s="261"/>
      <c r="V1005" s="762"/>
      <c r="W1005" s="261"/>
      <c r="X1005" s="261"/>
      <c r="Y1005" s="264">
        <f>IF(NFI_Expiration=1,IF($A1005&lt;VLOOKUP(H$5,NFI,5,0),1,0)*Table_NFI[[#This Row],[Hygiene Kit]],Table_NFI[Hygiene Kit])</f>
        <v>0</v>
      </c>
      <c r="Z1005" s="264">
        <f>IF(NFI_Expiration=1,IF($A1005&lt;VLOOKUP(I$5,NFI,5,0),1,0)*Table_NFI[[#This Row],[NFI Core Kit]],Table_NFI[NFI Core Kit])</f>
        <v>0</v>
      </c>
      <c r="AA1005" s="264">
        <f>IF(NFI_Expiration=1,IF($A1005&lt;VLOOKUP(J$5,NFI,5,0),1,0)*Table_NFI[[#This Row],[Sanitary Kit]],Table_NFI[Sanitary Kit])</f>
        <v>0</v>
      </c>
      <c r="AB1005" s="264">
        <f>IF(NFI_Expiration=1,IF($A1005&lt;VLOOKUP(K$5,NFI,5,0),1,0)*Table_NFI[[#This Row],[Mosquito net]],Table_NFI[Mosquito net])</f>
        <v>0</v>
      </c>
      <c r="AC1005" s="264">
        <f>IF(NFI_Expiration=1,IF($A1005&lt;VLOOKUP(L$5,NFI,5,0),1,0)*Table_NFI[[#This Row],[Tarpaulin]],Table_NFI[[#This Row],[Tarpaulin]])</f>
        <v>0</v>
      </c>
      <c r="AD1005" s="264">
        <f>IF(NFI_Expiration=1,IF($A1005&lt;VLOOKUP(M$5,NFI,5,0),1,0)*Table_NFI[[#This Row],[Blanket]],Table_NFI[[#This Row],[Blanket]])</f>
        <v>0</v>
      </c>
      <c r="AE1005" s="264">
        <f>IF(NFI_Expiration=1,IF($A1005&lt;VLOOKUP(N$5,NFI,5,0),1,0)*Table_NFI[[#This Row],[Kitchen Set]],Table_NFI[Kitchen Set])</f>
        <v>0</v>
      </c>
      <c r="AF1005" s="264">
        <f>IF(NFI_Expiration=1,IF($A1005&lt;VLOOKUP(O$5,NFI,5,0),1,0)*Table_NFI[[#This Row],[Clothes Kit]],Table_NFI[Clothes Kit])</f>
        <v>0</v>
      </c>
      <c r="AG1005" s="264">
        <f>IF(NFI_Expiration=1,IF($A1005&lt;VLOOKUP(P$5,NFI,5,0),1,0)*Table_NFI[[#This Row],[Plastic Bucket]],Table_NFI[Plastic Bucket])</f>
        <v>0</v>
      </c>
      <c r="AH1005" s="264">
        <f>IF(NFI_Expiration=1,IF($A1005&lt;VLOOKUP(Q$5,NFI,5,0),1,0)*Table_NFI[[#This Row],[Plastic Mat]],Table_NFI[Plastic Mat])*IF(Table_NFI[[#This Row],[Distribution Date]]&gt;"2014-04-01",1,2.5)</f>
        <v>0</v>
      </c>
      <c r="AI1005" s="264">
        <f>IF(NFI_Expiration=1,IF($A1005&lt;VLOOKUP(R$5,NFI,5,0),1,0)*Table_NFI[[#This Row],[Winter Clothes Adult]],Table_NFI[Winter Clothes Adult])</f>
        <v>0</v>
      </c>
      <c r="AJ1005" s="264">
        <f>IF(NFI_Expiration=1,IF($A1005&lt;VLOOKUP(S$5,NFI,5,0),1,0)*Table_NFI[[#This Row],[Winter Clothes Children]],Table_NFI[Winter Clothes Children])</f>
        <v>0</v>
      </c>
      <c r="AK1005" s="264">
        <f>IF(NFI_Expiration=1,IF($A1005&lt;VLOOKUP(T$5,NFI,5,0),1,0)*Table_NFI[[#This Row],[Winter Items Other]],Table_NFI[Winter Items Other])</f>
        <v>0</v>
      </c>
      <c r="AL1005" s="264">
        <f>IF(NFI_Expiration=1,IF($A1005&lt;VLOOKUP(M$5,NFI,5,0),1,0)*Table_NFI[[#This Row],[Winter Blanket]],Table_NFI[[#This Row],[Winter Blanket]])</f>
        <v>0</v>
      </c>
      <c r="AM1005" s="264">
        <f>IF(Table_NFI[[#This Row],[Winter Clothes Adult]]+Table_NFI[[#This Row],[Winter Clothes Children]]+Table_NFI[[#This Row],[Winter Items Other]]+Table_NFI[[#This Row],[Winter Blanket]]&gt;0,1,0)</f>
        <v>0</v>
      </c>
      <c r="AN1005" s="296">
        <f>IF(NFI_Expiration=1,IF($A1005&lt;VLOOKUP(V$5,NFI,5,0),1,0)*Table_NFI[[#This Row],[Jerry Can]],Table_NFI[Jerry Can])</f>
        <v>0</v>
      </c>
      <c r="AO1005" s="296">
        <f>IF(NFI_Expiration=1,IF($A1005&lt;VLOOKUP(V$5,NFI,5,0),1,0)*Table_NFI[[#This Row],[Shelter Tool kit]],Table_NFI[Shelter Tool kit])</f>
        <v>0</v>
      </c>
      <c r="AP1005" s="296">
        <f>IF(NFI_Expiration=1,IF($A1005&lt;VLOOKUP(V$5,NFI,5,0),1,0)*Table_NFI[[#This Row],[Tent]],Table_NFI[Tent])</f>
        <v>0</v>
      </c>
      <c r="AQ1005" s="396" t="str">
        <f>IFERROR(VLOOKUP(Table_NFI[[#This Row],[Camp Name]],CL,2,0),"")</f>
        <v>MMR001CMP135</v>
      </c>
      <c r="AR1005" s="702">
        <f ca="1">IF(Table_NFI[[#This Row],[Pcode]]="","",IF(OFFSET(CampList[Opening Date],MATCH(Table_NFI[[#This Row],[Pcode]],CampList[CP_Pcode],0)-1,0,1,1)&gt;=NFI_Monitor_Date,1,0))</f>
        <v>0</v>
      </c>
      <c r="AS1005" s="396" t="str">
        <f>IFERROR(VLOOKUP(Table_NFI[[#This Row],[Camp Name]],CL,3,0),"")</f>
        <v>Closed</v>
      </c>
      <c r="AT1005" s="264" t="str">
        <f ca="1">IF(Table_NFI[[#This Row],[Pcode]]="","",OFFSET(CampList[Priority],MATCH(Table_NFI[[#This Row],[Pcode]],CampList[CP_Pcode],0)-1,0,1,1))</f>
        <v>P2</v>
      </c>
      <c r="AU1005" s="263">
        <f>IFERROR(Table_NFI[[#This Row],[Kitchen Set]]/VLOOKUP(Table_NFI[[#This Row],[Camp Name]],CL,4,0),"")</f>
        <v>0</v>
      </c>
      <c r="AV1005" s="390" t="s">
        <v>1087</v>
      </c>
      <c r="AW1005" s="392"/>
      <c r="AX1005" s="399"/>
      <c r="AY1005" s="399"/>
      <c r="AZ1005" s="399"/>
      <c r="BA1005" s="399"/>
      <c r="BB1005" s="399"/>
      <c r="BC1005" s="399"/>
      <c r="BD1005" s="399"/>
      <c r="BE1005" s="399"/>
      <c r="BF1005" s="399"/>
      <c r="BG1005" s="399"/>
      <c r="BH1005" s="399"/>
      <c r="BI1005" s="399"/>
      <c r="BJ1005" s="399"/>
      <c r="BK1005" s="399"/>
      <c r="BL1005" s="399"/>
      <c r="BM1005" s="399"/>
      <c r="BN1005" s="399"/>
      <c r="BO1005" s="399"/>
      <c r="BP1005" s="399"/>
      <c r="BQ1005" s="399"/>
      <c r="BR1005" s="399"/>
      <c r="BS1005" s="399"/>
      <c r="BT1005" s="399"/>
      <c r="BU1005" s="399"/>
      <c r="BV1005" s="399"/>
      <c r="BW1005" s="399"/>
      <c r="BX1005" s="399"/>
      <c r="BY1005" s="399"/>
      <c r="BZ1005" s="399"/>
      <c r="CA1005" s="399"/>
      <c r="CB1005" s="399"/>
      <c r="CC1005" s="399"/>
      <c r="CD1005" s="399"/>
      <c r="CE1005" s="399"/>
      <c r="CF1005" s="399"/>
      <c r="CG1005" s="399"/>
      <c r="CH1005" s="399"/>
      <c r="CI1005" s="399"/>
      <c r="CJ1005" s="399"/>
      <c r="CK1005" s="399"/>
      <c r="CL1005" s="399"/>
      <c r="CM1005" s="399"/>
      <c r="CN1005" s="399"/>
      <c r="CO1005" s="399"/>
      <c r="CP1005" s="399"/>
      <c r="CQ1005" s="399"/>
      <c r="CR1005" s="399"/>
      <c r="CS1005" s="399"/>
      <c r="CT1005" s="399"/>
      <c r="CU1005" s="399"/>
      <c r="CV1005" s="399"/>
      <c r="CW1005" s="399"/>
      <c r="CX1005" s="399"/>
      <c r="CY1005" s="399"/>
      <c r="CZ1005" s="399"/>
      <c r="DA1005" s="399"/>
      <c r="DB1005" s="399"/>
      <c r="DC1005" s="399"/>
      <c r="DD1005" s="399"/>
      <c r="DE1005" s="399"/>
      <c r="DF1005" s="399"/>
      <c r="DG1005" s="399"/>
      <c r="DH1005" s="399"/>
      <c r="DI1005" s="399"/>
      <c r="DJ1005" s="399"/>
      <c r="DK1005" s="399"/>
      <c r="DL1005" s="399"/>
      <c r="DM1005" s="399"/>
      <c r="DN1005" s="399"/>
      <c r="DO1005" s="399"/>
      <c r="DP1005" s="399"/>
      <c r="DQ1005" s="399"/>
    </row>
    <row r="1006" spans="1:121" s="393" customFormat="1" ht="14.45" customHeight="1" x14ac:dyDescent="0.25">
      <c r="A1006" s="266">
        <f t="shared" si="15"/>
        <v>58.3</v>
      </c>
      <c r="B1006" s="389">
        <v>41107</v>
      </c>
      <c r="C1006" s="390" t="s">
        <v>451</v>
      </c>
      <c r="D1006" s="391" t="s">
        <v>451</v>
      </c>
      <c r="E1006" s="390" t="s">
        <v>380</v>
      </c>
      <c r="F1006" s="262" t="s">
        <v>310</v>
      </c>
      <c r="G1006" s="262" t="s">
        <v>1234</v>
      </c>
      <c r="H1006" s="261"/>
      <c r="I1006" s="261"/>
      <c r="J1006" s="261"/>
      <c r="K1006" s="261">
        <v>0</v>
      </c>
      <c r="L1006" s="261">
        <v>0</v>
      </c>
      <c r="M1006" s="261">
        <v>0</v>
      </c>
      <c r="N1006" s="261">
        <v>0</v>
      </c>
      <c r="O1006" s="261">
        <v>0</v>
      </c>
      <c r="P1006" s="261"/>
      <c r="Q1006" s="261"/>
      <c r="R1006" s="261"/>
      <c r="S1006" s="261"/>
      <c r="T1006" s="261"/>
      <c r="U1006" s="261"/>
      <c r="V1006" s="762"/>
      <c r="W1006" s="261"/>
      <c r="X1006" s="261"/>
      <c r="Y1006" s="264">
        <f>IF(NFI_Expiration=1,IF($A1006&lt;VLOOKUP(H$5,NFI,5,0),1,0)*Table_NFI[[#This Row],[Hygiene Kit]],Table_NFI[Hygiene Kit])</f>
        <v>0</v>
      </c>
      <c r="Z1006" s="264">
        <f>IF(NFI_Expiration=1,IF($A1006&lt;VLOOKUP(I$5,NFI,5,0),1,0)*Table_NFI[[#This Row],[NFI Core Kit]],Table_NFI[NFI Core Kit])</f>
        <v>0</v>
      </c>
      <c r="AA1006" s="264">
        <f>IF(NFI_Expiration=1,IF($A1006&lt;VLOOKUP(J$5,NFI,5,0),1,0)*Table_NFI[[#This Row],[Sanitary Kit]],Table_NFI[Sanitary Kit])</f>
        <v>0</v>
      </c>
      <c r="AB1006" s="264">
        <f>IF(NFI_Expiration=1,IF($A1006&lt;VLOOKUP(K$5,NFI,5,0),1,0)*Table_NFI[[#This Row],[Mosquito net]],Table_NFI[Mosquito net])</f>
        <v>0</v>
      </c>
      <c r="AC1006" s="264">
        <f>IF(NFI_Expiration=1,IF($A1006&lt;VLOOKUP(L$5,NFI,5,0),1,0)*Table_NFI[[#This Row],[Tarpaulin]],Table_NFI[[#This Row],[Tarpaulin]])</f>
        <v>0</v>
      </c>
      <c r="AD1006" s="264">
        <f>IF(NFI_Expiration=1,IF($A1006&lt;VLOOKUP(M$5,NFI,5,0),1,0)*Table_NFI[[#This Row],[Blanket]],Table_NFI[[#This Row],[Blanket]])</f>
        <v>0</v>
      </c>
      <c r="AE1006" s="264">
        <f>IF(NFI_Expiration=1,IF($A1006&lt;VLOOKUP(N$5,NFI,5,0),1,0)*Table_NFI[[#This Row],[Kitchen Set]],Table_NFI[Kitchen Set])</f>
        <v>0</v>
      </c>
      <c r="AF1006" s="264">
        <f>IF(NFI_Expiration=1,IF($A1006&lt;VLOOKUP(O$5,NFI,5,0),1,0)*Table_NFI[[#This Row],[Clothes Kit]],Table_NFI[Clothes Kit])</f>
        <v>0</v>
      </c>
      <c r="AG1006" s="264">
        <f>IF(NFI_Expiration=1,IF($A1006&lt;VLOOKUP(P$5,NFI,5,0),1,0)*Table_NFI[[#This Row],[Plastic Bucket]],Table_NFI[Plastic Bucket])</f>
        <v>0</v>
      </c>
      <c r="AH1006" s="264">
        <f>IF(NFI_Expiration=1,IF($A1006&lt;VLOOKUP(Q$5,NFI,5,0),1,0)*Table_NFI[[#This Row],[Plastic Mat]],Table_NFI[Plastic Mat])*IF(Table_NFI[[#This Row],[Distribution Date]]&gt;"2014-04-01",1,2.5)</f>
        <v>0</v>
      </c>
      <c r="AI1006" s="264">
        <f>IF(NFI_Expiration=1,IF($A1006&lt;VLOOKUP(R$5,NFI,5,0),1,0)*Table_NFI[[#This Row],[Winter Clothes Adult]],Table_NFI[Winter Clothes Adult])</f>
        <v>0</v>
      </c>
      <c r="AJ1006" s="264">
        <f>IF(NFI_Expiration=1,IF($A1006&lt;VLOOKUP(S$5,NFI,5,0),1,0)*Table_NFI[[#This Row],[Winter Clothes Children]],Table_NFI[Winter Clothes Children])</f>
        <v>0</v>
      </c>
      <c r="AK1006" s="264">
        <f>IF(NFI_Expiration=1,IF($A1006&lt;VLOOKUP(T$5,NFI,5,0),1,0)*Table_NFI[[#This Row],[Winter Items Other]],Table_NFI[Winter Items Other])</f>
        <v>0</v>
      </c>
      <c r="AL1006" s="264">
        <f>IF(NFI_Expiration=1,IF($A1006&lt;VLOOKUP(M$5,NFI,5,0),1,0)*Table_NFI[[#This Row],[Winter Blanket]],Table_NFI[[#This Row],[Winter Blanket]])</f>
        <v>0</v>
      </c>
      <c r="AM1006" s="264">
        <f>IF(Table_NFI[[#This Row],[Winter Clothes Adult]]+Table_NFI[[#This Row],[Winter Clothes Children]]+Table_NFI[[#This Row],[Winter Items Other]]+Table_NFI[[#This Row],[Winter Blanket]]&gt;0,1,0)</f>
        <v>0</v>
      </c>
      <c r="AN1006" s="296">
        <f>IF(NFI_Expiration=1,IF($A1006&lt;VLOOKUP(V$5,NFI,5,0),1,0)*Table_NFI[[#This Row],[Jerry Can]],Table_NFI[Jerry Can])</f>
        <v>0</v>
      </c>
      <c r="AO1006" s="296">
        <f>IF(NFI_Expiration=1,IF($A1006&lt;VLOOKUP(V$5,NFI,5,0),1,0)*Table_NFI[[#This Row],[Shelter Tool kit]],Table_NFI[Shelter Tool kit])</f>
        <v>0</v>
      </c>
      <c r="AP1006" s="296">
        <f>IF(NFI_Expiration=1,IF($A1006&lt;VLOOKUP(V$5,NFI,5,0),1,0)*Table_NFI[[#This Row],[Tent]],Table_NFI[Tent])</f>
        <v>0</v>
      </c>
      <c r="AQ1006" s="396" t="str">
        <f>IFERROR(VLOOKUP(Table_NFI[[#This Row],[Camp Name]],CL,2,0),"")</f>
        <v>MMR001CMP035</v>
      </c>
      <c r="AR1006" s="702">
        <f ca="1">IF(Table_NFI[[#This Row],[Pcode]]="","",IF(OFFSET(CampList[Opening Date],MATCH(Table_NFI[[#This Row],[Pcode]],CampList[CP_Pcode],0)-1,0,1,1)&gt;=NFI_Monitor_Date,1,0))</f>
        <v>0</v>
      </c>
      <c r="AS1006" s="396" t="str">
        <f>IFERROR(VLOOKUP(Table_NFI[[#This Row],[Camp Name]],CL,3,0),"")</f>
        <v>Closed</v>
      </c>
      <c r="AT1006" s="264" t="str">
        <f ca="1">IF(Table_NFI[[#This Row],[Pcode]]="","",OFFSET(CampList[Priority],MATCH(Table_NFI[[#This Row],[Pcode]],CampList[CP_Pcode],0)-1,0,1,1))</f>
        <v/>
      </c>
      <c r="AU1006" s="263" t="str">
        <f>IFERROR(Table_NFI[[#This Row],[Kitchen Set]]/VLOOKUP(Table_NFI[[#This Row],[Camp Name]],CL,4,0),"")</f>
        <v/>
      </c>
      <c r="AV1006" s="390" t="s">
        <v>1087</v>
      </c>
      <c r="AW1006" s="392"/>
      <c r="AX1006" s="399"/>
      <c r="AY1006" s="399"/>
      <c r="AZ1006" s="399"/>
      <c r="BA1006" s="399"/>
      <c r="BB1006" s="399"/>
      <c r="BC1006" s="399"/>
      <c r="BD1006" s="399"/>
      <c r="BE1006" s="399"/>
      <c r="BF1006" s="399"/>
      <c r="BG1006" s="399"/>
      <c r="BH1006" s="399"/>
      <c r="BI1006" s="399"/>
      <c r="BJ1006" s="399"/>
      <c r="BK1006" s="399"/>
      <c r="BL1006" s="399"/>
      <c r="BM1006" s="399"/>
      <c r="BN1006" s="399"/>
      <c r="BO1006" s="399"/>
      <c r="BP1006" s="399"/>
      <c r="BQ1006" s="399"/>
      <c r="BR1006" s="399"/>
      <c r="BS1006" s="399"/>
      <c r="BT1006" s="399"/>
      <c r="BU1006" s="399"/>
      <c r="BV1006" s="399"/>
      <c r="BW1006" s="399"/>
      <c r="BX1006" s="399"/>
      <c r="BY1006" s="399"/>
      <c r="BZ1006" s="399"/>
      <c r="CA1006" s="399"/>
      <c r="CB1006" s="399"/>
      <c r="CC1006" s="399"/>
      <c r="CD1006" s="399"/>
      <c r="CE1006" s="399"/>
      <c r="CF1006" s="399"/>
      <c r="CG1006" s="399"/>
      <c r="CH1006" s="399"/>
      <c r="CI1006" s="399"/>
      <c r="CJ1006" s="399"/>
      <c r="CK1006" s="399"/>
      <c r="CL1006" s="399"/>
      <c r="CM1006" s="399"/>
      <c r="CN1006" s="399"/>
      <c r="CO1006" s="399"/>
      <c r="CP1006" s="399"/>
      <c r="CQ1006" s="399"/>
      <c r="CR1006" s="399"/>
      <c r="CS1006" s="399"/>
      <c r="CT1006" s="399"/>
      <c r="CU1006" s="399"/>
      <c r="CV1006" s="399"/>
      <c r="CW1006" s="399"/>
      <c r="CX1006" s="399"/>
      <c r="CY1006" s="399"/>
      <c r="CZ1006" s="399"/>
      <c r="DA1006" s="399"/>
      <c r="DB1006" s="399"/>
      <c r="DC1006" s="399"/>
      <c r="DD1006" s="399"/>
      <c r="DE1006" s="399"/>
      <c r="DF1006" s="399"/>
      <c r="DG1006" s="399"/>
      <c r="DH1006" s="399"/>
      <c r="DI1006" s="399"/>
      <c r="DJ1006" s="399"/>
      <c r="DK1006" s="399"/>
      <c r="DL1006" s="399"/>
      <c r="DM1006" s="399"/>
      <c r="DN1006" s="399"/>
      <c r="DO1006" s="399"/>
      <c r="DP1006" s="399"/>
      <c r="DQ1006" s="399"/>
    </row>
    <row r="1007" spans="1:121" s="760" customFormat="1" ht="14.45" customHeight="1" x14ac:dyDescent="0.25">
      <c r="A1007" s="266">
        <f t="shared" si="15"/>
        <v>58.333333333333336</v>
      </c>
      <c r="B1007" s="389">
        <v>41106</v>
      </c>
      <c r="C1007" s="390" t="s">
        <v>451</v>
      </c>
      <c r="D1007" s="391" t="s">
        <v>451</v>
      </c>
      <c r="E1007" s="390" t="s">
        <v>380</v>
      </c>
      <c r="F1007" s="262" t="s">
        <v>237</v>
      </c>
      <c r="G1007" s="262" t="s">
        <v>257</v>
      </c>
      <c r="H1007" s="261"/>
      <c r="I1007" s="261"/>
      <c r="J1007" s="261"/>
      <c r="K1007" s="261">
        <v>33</v>
      </c>
      <c r="L1007" s="261">
        <v>33</v>
      </c>
      <c r="M1007" s="261">
        <v>33</v>
      </c>
      <c r="N1007" s="261">
        <v>33</v>
      </c>
      <c r="O1007" s="261">
        <v>33</v>
      </c>
      <c r="P1007" s="261">
        <v>33</v>
      </c>
      <c r="Q1007" s="261">
        <v>33</v>
      </c>
      <c r="R1007" s="261"/>
      <c r="S1007" s="261"/>
      <c r="T1007" s="261"/>
      <c r="U1007" s="261"/>
      <c r="V1007" s="762"/>
      <c r="W1007" s="261"/>
      <c r="X1007" s="261"/>
      <c r="Y1007" s="264">
        <f>IF(NFI_Expiration=1,IF($A1007&lt;VLOOKUP(H$5,NFI,5,0),1,0)*Table_NFI[[#This Row],[Hygiene Kit]],Table_NFI[Hygiene Kit])</f>
        <v>0</v>
      </c>
      <c r="Z1007" s="264">
        <f>IF(NFI_Expiration=1,IF($A1007&lt;VLOOKUP(I$5,NFI,5,0),1,0)*Table_NFI[[#This Row],[NFI Core Kit]],Table_NFI[NFI Core Kit])</f>
        <v>0</v>
      </c>
      <c r="AA1007" s="264">
        <f>IF(NFI_Expiration=1,IF($A1007&lt;VLOOKUP(J$5,NFI,5,0),1,0)*Table_NFI[[#This Row],[Sanitary Kit]],Table_NFI[Sanitary Kit])</f>
        <v>0</v>
      </c>
      <c r="AB1007" s="264">
        <f>IF(NFI_Expiration=1,IF($A1007&lt;VLOOKUP(K$5,NFI,5,0),1,0)*Table_NFI[[#This Row],[Mosquito net]],Table_NFI[Mosquito net])</f>
        <v>0</v>
      </c>
      <c r="AC1007" s="264">
        <f>IF(NFI_Expiration=1,IF($A1007&lt;VLOOKUP(L$5,NFI,5,0),1,0)*Table_NFI[[#This Row],[Tarpaulin]],Table_NFI[[#This Row],[Tarpaulin]])</f>
        <v>0</v>
      </c>
      <c r="AD1007" s="264">
        <f>IF(NFI_Expiration=1,IF($A1007&lt;VLOOKUP(M$5,NFI,5,0),1,0)*Table_NFI[[#This Row],[Blanket]],Table_NFI[[#This Row],[Blanket]])</f>
        <v>0</v>
      </c>
      <c r="AE1007" s="264">
        <f>IF(NFI_Expiration=1,IF($A1007&lt;VLOOKUP(N$5,NFI,5,0),1,0)*Table_NFI[[#This Row],[Kitchen Set]],Table_NFI[Kitchen Set])</f>
        <v>0</v>
      </c>
      <c r="AF1007" s="264">
        <f>IF(NFI_Expiration=1,IF($A1007&lt;VLOOKUP(O$5,NFI,5,0),1,0)*Table_NFI[[#This Row],[Clothes Kit]],Table_NFI[Clothes Kit])</f>
        <v>0</v>
      </c>
      <c r="AG1007" s="264">
        <f>IF(NFI_Expiration=1,IF($A1007&lt;VLOOKUP(P$5,NFI,5,0),1,0)*Table_NFI[[#This Row],[Plastic Bucket]],Table_NFI[Plastic Bucket])</f>
        <v>0</v>
      </c>
      <c r="AH1007" s="264">
        <f>IF(NFI_Expiration=1,IF($A1007&lt;VLOOKUP(Q$5,NFI,5,0),1,0)*Table_NFI[[#This Row],[Plastic Mat]],Table_NFI[Plastic Mat])*IF(Table_NFI[[#This Row],[Distribution Date]]&gt;"2014-04-01",1,2.5)</f>
        <v>0</v>
      </c>
      <c r="AI1007" s="264">
        <f>IF(NFI_Expiration=1,IF($A1007&lt;VLOOKUP(R$5,NFI,5,0),1,0)*Table_NFI[[#This Row],[Winter Clothes Adult]],Table_NFI[Winter Clothes Adult])</f>
        <v>0</v>
      </c>
      <c r="AJ1007" s="264">
        <f>IF(NFI_Expiration=1,IF($A1007&lt;VLOOKUP(S$5,NFI,5,0),1,0)*Table_NFI[[#This Row],[Winter Clothes Children]],Table_NFI[Winter Clothes Children])</f>
        <v>0</v>
      </c>
      <c r="AK1007" s="264">
        <f>IF(NFI_Expiration=1,IF($A1007&lt;VLOOKUP(T$5,NFI,5,0),1,0)*Table_NFI[[#This Row],[Winter Items Other]],Table_NFI[Winter Items Other])</f>
        <v>0</v>
      </c>
      <c r="AL1007" s="264">
        <f>IF(NFI_Expiration=1,IF($A1007&lt;VLOOKUP(M$5,NFI,5,0),1,0)*Table_NFI[[#This Row],[Winter Blanket]],Table_NFI[[#This Row],[Winter Blanket]])</f>
        <v>0</v>
      </c>
      <c r="AM1007" s="264">
        <f>IF(Table_NFI[[#This Row],[Winter Clothes Adult]]+Table_NFI[[#This Row],[Winter Clothes Children]]+Table_NFI[[#This Row],[Winter Items Other]]+Table_NFI[[#This Row],[Winter Blanket]]&gt;0,1,0)</f>
        <v>0</v>
      </c>
      <c r="AN1007" s="296">
        <f>IF(NFI_Expiration=1,IF($A1007&lt;VLOOKUP(V$5,NFI,5,0),1,0)*Table_NFI[[#This Row],[Jerry Can]],Table_NFI[Jerry Can])</f>
        <v>0</v>
      </c>
      <c r="AO1007" s="296">
        <f>IF(NFI_Expiration=1,IF($A1007&lt;VLOOKUP(V$5,NFI,5,0),1,0)*Table_NFI[[#This Row],[Shelter Tool kit]],Table_NFI[Shelter Tool kit])</f>
        <v>0</v>
      </c>
      <c r="AP1007" s="296">
        <f>IF(NFI_Expiration=1,IF($A1007&lt;VLOOKUP(V$5,NFI,5,0),1,0)*Table_NFI[[#This Row],[Tent]],Table_NFI[Tent])</f>
        <v>0</v>
      </c>
      <c r="AQ1007" s="396" t="str">
        <f>IFERROR(VLOOKUP(Table_NFI[[#This Row],[Camp Name]],CL,2,0),"")</f>
        <v>MMR001CMP013</v>
      </c>
      <c r="AR1007" s="702">
        <f ca="1">IF(Table_NFI[[#This Row],[Pcode]]="","",IF(OFFSET(CampList[Opening Date],MATCH(Table_NFI[[#This Row],[Pcode]],CampList[CP_Pcode],0)-1,0,1,1)&gt;=NFI_Monitor_Date,1,0))</f>
        <v>0</v>
      </c>
      <c r="AS1007" s="396" t="str">
        <f>IFERROR(VLOOKUP(Table_NFI[[#This Row],[Camp Name]],CL,3,0),"")</f>
        <v>Open</v>
      </c>
      <c r="AT1007" s="264" t="str">
        <f ca="1">IF(Table_NFI[[#This Row],[Pcode]]="","",OFFSET(CampList[Priority],MATCH(Table_NFI[[#This Row],[Pcode]],CampList[CP_Pcode],0)-1,0,1,1))</f>
        <v>P4</v>
      </c>
      <c r="AU1007" s="263">
        <f>IFERROR(Table_NFI[[#This Row],[Kitchen Set]]/VLOOKUP(Table_NFI[[#This Row],[Camp Name]],CL,4,0),"")</f>
        <v>8.0666845926324286E-4</v>
      </c>
      <c r="AV1007" s="390" t="s">
        <v>1087</v>
      </c>
      <c r="AW1007" s="392"/>
      <c r="AX1007" s="399"/>
      <c r="AY1007" s="399"/>
      <c r="AZ1007" s="399"/>
      <c r="BA1007" s="399"/>
      <c r="BB1007" s="399"/>
      <c r="BC1007" s="399"/>
      <c r="BD1007" s="399"/>
      <c r="BE1007" s="399"/>
      <c r="BF1007" s="399"/>
      <c r="BG1007" s="399"/>
      <c r="BH1007" s="399"/>
      <c r="BI1007" s="399"/>
      <c r="BJ1007" s="399"/>
      <c r="BK1007" s="399"/>
      <c r="BL1007" s="399"/>
      <c r="BM1007" s="399"/>
      <c r="BN1007" s="399"/>
      <c r="BO1007" s="399"/>
      <c r="BP1007" s="399"/>
      <c r="BQ1007" s="399"/>
      <c r="BR1007" s="399"/>
      <c r="BS1007" s="399"/>
      <c r="BT1007" s="399"/>
      <c r="BU1007" s="399"/>
      <c r="BV1007" s="399"/>
      <c r="BW1007" s="399"/>
      <c r="BX1007" s="399"/>
      <c r="BY1007" s="399"/>
      <c r="BZ1007" s="399"/>
      <c r="CA1007" s="399"/>
      <c r="CB1007" s="399"/>
      <c r="CC1007" s="399"/>
      <c r="CD1007" s="399"/>
      <c r="CE1007" s="399"/>
      <c r="CF1007" s="399"/>
      <c r="CG1007" s="399"/>
      <c r="CH1007" s="399"/>
      <c r="CI1007" s="399"/>
      <c r="CJ1007" s="399"/>
      <c r="CK1007" s="399"/>
      <c r="CL1007" s="399"/>
      <c r="CM1007" s="399"/>
      <c r="CN1007" s="399"/>
      <c r="CO1007" s="399"/>
      <c r="CP1007" s="399"/>
      <c r="CQ1007" s="399"/>
      <c r="CR1007" s="399"/>
      <c r="CS1007" s="399"/>
      <c r="CT1007" s="399"/>
      <c r="CU1007" s="399"/>
      <c r="CV1007" s="399"/>
      <c r="CW1007" s="399"/>
      <c r="CX1007" s="399"/>
      <c r="CY1007" s="399"/>
      <c r="CZ1007" s="399"/>
      <c r="DA1007" s="399"/>
      <c r="DB1007" s="399"/>
      <c r="DC1007" s="399"/>
      <c r="DD1007" s="399"/>
      <c r="DE1007" s="399"/>
      <c r="DF1007" s="399"/>
      <c r="DG1007" s="399"/>
      <c r="DH1007" s="399"/>
      <c r="DI1007" s="399"/>
      <c r="DJ1007" s="399"/>
      <c r="DK1007" s="399"/>
      <c r="DL1007" s="399"/>
      <c r="DM1007" s="399"/>
      <c r="DN1007" s="399"/>
      <c r="DO1007" s="399"/>
      <c r="DP1007" s="399"/>
      <c r="DQ1007" s="399"/>
    </row>
    <row r="1008" spans="1:121" s="94" customFormat="1" ht="14.45" customHeight="1" x14ac:dyDescent="0.25">
      <c r="A1008" s="266">
        <f t="shared" si="15"/>
        <v>58.333333333333336</v>
      </c>
      <c r="B1008" s="389">
        <v>41106</v>
      </c>
      <c r="C1008" s="390" t="s">
        <v>451</v>
      </c>
      <c r="D1008" s="391" t="s">
        <v>451</v>
      </c>
      <c r="E1008" s="390" t="s">
        <v>380</v>
      </c>
      <c r="F1008" s="262" t="s">
        <v>237</v>
      </c>
      <c r="G1008" s="262" t="s">
        <v>240</v>
      </c>
      <c r="H1008" s="261"/>
      <c r="I1008" s="261"/>
      <c r="J1008" s="261"/>
      <c r="K1008" s="261">
        <v>6</v>
      </c>
      <c r="L1008" s="261">
        <v>6</v>
      </c>
      <c r="M1008" s="261">
        <v>6</v>
      </c>
      <c r="N1008" s="261">
        <v>6</v>
      </c>
      <c r="O1008" s="261">
        <v>6</v>
      </c>
      <c r="P1008" s="261">
        <v>6</v>
      </c>
      <c r="Q1008" s="261">
        <v>6</v>
      </c>
      <c r="R1008" s="261"/>
      <c r="S1008" s="261"/>
      <c r="T1008" s="261"/>
      <c r="U1008" s="261"/>
      <c r="V1008" s="762"/>
      <c r="W1008" s="261"/>
      <c r="X1008" s="261"/>
      <c r="Y1008" s="264">
        <f>IF(NFI_Expiration=1,IF($A1008&lt;VLOOKUP(H$5,NFI,5,0),1,0)*Table_NFI[[#This Row],[Hygiene Kit]],Table_NFI[Hygiene Kit])</f>
        <v>0</v>
      </c>
      <c r="Z1008" s="264">
        <f>IF(NFI_Expiration=1,IF($A1008&lt;VLOOKUP(I$5,NFI,5,0),1,0)*Table_NFI[[#This Row],[NFI Core Kit]],Table_NFI[NFI Core Kit])</f>
        <v>0</v>
      </c>
      <c r="AA1008" s="264">
        <f>IF(NFI_Expiration=1,IF($A1008&lt;VLOOKUP(J$5,NFI,5,0),1,0)*Table_NFI[[#This Row],[Sanitary Kit]],Table_NFI[Sanitary Kit])</f>
        <v>0</v>
      </c>
      <c r="AB1008" s="264">
        <f>IF(NFI_Expiration=1,IF($A1008&lt;VLOOKUP(K$5,NFI,5,0),1,0)*Table_NFI[[#This Row],[Mosquito net]],Table_NFI[Mosquito net])</f>
        <v>0</v>
      </c>
      <c r="AC1008" s="264">
        <f>IF(NFI_Expiration=1,IF($A1008&lt;VLOOKUP(L$5,NFI,5,0),1,0)*Table_NFI[[#This Row],[Tarpaulin]],Table_NFI[[#This Row],[Tarpaulin]])</f>
        <v>0</v>
      </c>
      <c r="AD1008" s="264">
        <f>IF(NFI_Expiration=1,IF($A1008&lt;VLOOKUP(M$5,NFI,5,0),1,0)*Table_NFI[[#This Row],[Blanket]],Table_NFI[[#This Row],[Blanket]])</f>
        <v>0</v>
      </c>
      <c r="AE1008" s="264">
        <f>IF(NFI_Expiration=1,IF($A1008&lt;VLOOKUP(N$5,NFI,5,0),1,0)*Table_NFI[[#This Row],[Kitchen Set]],Table_NFI[Kitchen Set])</f>
        <v>0</v>
      </c>
      <c r="AF1008" s="264">
        <f>IF(NFI_Expiration=1,IF($A1008&lt;VLOOKUP(O$5,NFI,5,0),1,0)*Table_NFI[[#This Row],[Clothes Kit]],Table_NFI[Clothes Kit])</f>
        <v>0</v>
      </c>
      <c r="AG1008" s="264">
        <f>IF(NFI_Expiration=1,IF($A1008&lt;VLOOKUP(P$5,NFI,5,0),1,0)*Table_NFI[[#This Row],[Plastic Bucket]],Table_NFI[Plastic Bucket])</f>
        <v>0</v>
      </c>
      <c r="AH1008" s="264">
        <f>IF(NFI_Expiration=1,IF($A1008&lt;VLOOKUP(Q$5,NFI,5,0),1,0)*Table_NFI[[#This Row],[Plastic Mat]],Table_NFI[Plastic Mat])*IF(Table_NFI[[#This Row],[Distribution Date]]&gt;"2014-04-01",1,2.5)</f>
        <v>0</v>
      </c>
      <c r="AI1008" s="264">
        <f>IF(NFI_Expiration=1,IF($A1008&lt;VLOOKUP(R$5,NFI,5,0),1,0)*Table_NFI[[#This Row],[Winter Clothes Adult]],Table_NFI[Winter Clothes Adult])</f>
        <v>0</v>
      </c>
      <c r="AJ1008" s="264">
        <f>IF(NFI_Expiration=1,IF($A1008&lt;VLOOKUP(S$5,NFI,5,0),1,0)*Table_NFI[[#This Row],[Winter Clothes Children]],Table_NFI[Winter Clothes Children])</f>
        <v>0</v>
      </c>
      <c r="AK1008" s="264">
        <f>IF(NFI_Expiration=1,IF($A1008&lt;VLOOKUP(T$5,NFI,5,0),1,0)*Table_NFI[[#This Row],[Winter Items Other]],Table_NFI[Winter Items Other])</f>
        <v>0</v>
      </c>
      <c r="AL1008" s="264">
        <f>IF(NFI_Expiration=1,IF($A1008&lt;VLOOKUP(M$5,NFI,5,0),1,0)*Table_NFI[[#This Row],[Winter Blanket]],Table_NFI[[#This Row],[Winter Blanket]])</f>
        <v>0</v>
      </c>
      <c r="AM1008" s="264">
        <f>IF(Table_NFI[[#This Row],[Winter Clothes Adult]]+Table_NFI[[#This Row],[Winter Clothes Children]]+Table_NFI[[#This Row],[Winter Items Other]]+Table_NFI[[#This Row],[Winter Blanket]]&gt;0,1,0)</f>
        <v>0</v>
      </c>
      <c r="AN1008" s="296">
        <f>IF(NFI_Expiration=1,IF($A1008&lt;VLOOKUP(V$5,NFI,5,0),1,0)*Table_NFI[[#This Row],[Jerry Can]],Table_NFI[Jerry Can])</f>
        <v>0</v>
      </c>
      <c r="AO1008" s="296">
        <f>IF(NFI_Expiration=1,IF($A1008&lt;VLOOKUP(V$5,NFI,5,0),1,0)*Table_NFI[[#This Row],[Shelter Tool kit]],Table_NFI[Shelter Tool kit])</f>
        <v>0</v>
      </c>
      <c r="AP1008" s="296">
        <f>IF(NFI_Expiration=1,IF($A1008&lt;VLOOKUP(V$5,NFI,5,0),1,0)*Table_NFI[[#This Row],[Tent]],Table_NFI[Tent])</f>
        <v>0</v>
      </c>
      <c r="AQ1008" s="396" t="str">
        <f>IFERROR(VLOOKUP(Table_NFI[[#This Row],[Camp Name]],CL,2,0),"")</f>
        <v>MMR001CMP015</v>
      </c>
      <c r="AR1008" s="702">
        <f ca="1">IF(Table_NFI[[#This Row],[Pcode]]="","",IF(OFFSET(CampList[Opening Date],MATCH(Table_NFI[[#This Row],[Pcode]],CampList[CP_Pcode],0)-1,0,1,1)&gt;=NFI_Monitor_Date,1,0))</f>
        <v>0</v>
      </c>
      <c r="AS1008" s="396" t="str">
        <f>IFERROR(VLOOKUP(Table_NFI[[#This Row],[Camp Name]],CL,3,0),"")</f>
        <v>Open</v>
      </c>
      <c r="AT1008" s="264" t="str">
        <f ca="1">IF(Table_NFI[[#This Row],[Pcode]]="","",OFFSET(CampList[Priority],MATCH(Table_NFI[[#This Row],[Pcode]],CampList[CP_Pcode],0)-1,0,1,1))</f>
        <v>P4</v>
      </c>
      <c r="AU1008" s="263">
        <f>IFERROR(Table_NFI[[#This Row],[Kitchen Set]]/VLOOKUP(Table_NFI[[#This Row],[Camp Name]],CL,4,0),"")</f>
        <v>1.4777233209368765E-4</v>
      </c>
      <c r="AV1008" s="390" t="s">
        <v>1087</v>
      </c>
      <c r="AW1008" s="392"/>
      <c r="AX1008" s="402"/>
      <c r="AY1008" s="402"/>
      <c r="AZ1008" s="402"/>
      <c r="BA1008" s="402"/>
      <c r="BB1008" s="402"/>
      <c r="BC1008" s="402"/>
      <c r="BD1008" s="402"/>
      <c r="BE1008" s="402"/>
      <c r="BF1008" s="402"/>
      <c r="BG1008" s="402"/>
      <c r="BH1008" s="402"/>
      <c r="BI1008" s="402"/>
      <c r="BJ1008" s="402"/>
      <c r="BK1008" s="402"/>
      <c r="BL1008" s="402"/>
      <c r="BM1008" s="402"/>
      <c r="BN1008" s="402"/>
      <c r="BO1008" s="402"/>
      <c r="BP1008" s="402"/>
      <c r="BQ1008" s="402"/>
      <c r="BR1008" s="402"/>
      <c r="BS1008" s="402"/>
      <c r="BT1008" s="402"/>
      <c r="BU1008" s="402"/>
      <c r="BV1008" s="402"/>
      <c r="BW1008" s="402"/>
      <c r="BX1008" s="402"/>
      <c r="BY1008" s="402"/>
      <c r="BZ1008" s="402"/>
      <c r="CA1008" s="402"/>
      <c r="CB1008" s="402"/>
      <c r="CC1008" s="402"/>
      <c r="CD1008" s="402"/>
      <c r="CE1008" s="402"/>
      <c r="CF1008" s="402"/>
      <c r="CG1008" s="402"/>
      <c r="CH1008" s="402"/>
      <c r="CI1008" s="402"/>
      <c r="CJ1008" s="402"/>
      <c r="CK1008" s="402"/>
      <c r="CL1008" s="402"/>
      <c r="CM1008" s="402"/>
      <c r="CN1008" s="402"/>
      <c r="CO1008" s="402"/>
      <c r="CP1008" s="402"/>
      <c r="CQ1008" s="402"/>
      <c r="CR1008" s="402"/>
      <c r="CS1008" s="402"/>
      <c r="CT1008" s="402"/>
      <c r="CU1008" s="402"/>
      <c r="CV1008" s="402"/>
      <c r="CW1008" s="402"/>
      <c r="CX1008" s="402"/>
      <c r="CY1008" s="402"/>
      <c r="CZ1008" s="402"/>
      <c r="DA1008" s="402"/>
      <c r="DB1008" s="402"/>
      <c r="DC1008" s="402"/>
      <c r="DD1008" s="402"/>
      <c r="DE1008" s="402"/>
      <c r="DF1008" s="402"/>
      <c r="DG1008" s="402"/>
      <c r="DH1008" s="402"/>
      <c r="DI1008" s="402"/>
      <c r="DJ1008" s="402"/>
      <c r="DK1008" s="402"/>
      <c r="DL1008" s="402"/>
      <c r="DM1008" s="402"/>
      <c r="DN1008" s="402"/>
      <c r="DO1008" s="402"/>
      <c r="DP1008" s="402"/>
      <c r="DQ1008" s="402"/>
    </row>
    <row r="1009" spans="1:121" s="94" customFormat="1" ht="14.45" customHeight="1" x14ac:dyDescent="0.25">
      <c r="A1009" s="266">
        <f t="shared" si="15"/>
        <v>58.333333333333336</v>
      </c>
      <c r="B1009" s="389">
        <v>41106</v>
      </c>
      <c r="C1009" s="390" t="s">
        <v>451</v>
      </c>
      <c r="D1009" s="390" t="s">
        <v>451</v>
      </c>
      <c r="E1009" s="390" t="s">
        <v>380</v>
      </c>
      <c r="F1009" s="262" t="s">
        <v>237</v>
      </c>
      <c r="G1009" s="262" t="s">
        <v>240</v>
      </c>
      <c r="H1009" s="261"/>
      <c r="I1009" s="261"/>
      <c r="J1009" s="261"/>
      <c r="K1009" s="261">
        <v>13</v>
      </c>
      <c r="L1009" s="261">
        <v>13</v>
      </c>
      <c r="M1009" s="261">
        <v>13</v>
      </c>
      <c r="N1009" s="261">
        <v>13</v>
      </c>
      <c r="O1009" s="261">
        <v>13</v>
      </c>
      <c r="P1009" s="261">
        <v>13</v>
      </c>
      <c r="Q1009" s="261">
        <v>13</v>
      </c>
      <c r="R1009" s="261"/>
      <c r="S1009" s="261"/>
      <c r="T1009" s="261"/>
      <c r="U1009" s="261"/>
      <c r="V1009" s="762"/>
      <c r="W1009" s="261"/>
      <c r="X1009" s="261"/>
      <c r="Y1009" s="264">
        <f>IF(NFI_Expiration=1,IF($A1009&lt;VLOOKUP(H$5,NFI,5,0),1,0)*Table_NFI[[#This Row],[Hygiene Kit]],Table_NFI[Hygiene Kit])</f>
        <v>0</v>
      </c>
      <c r="Z1009" s="264">
        <f>IF(NFI_Expiration=1,IF($A1009&lt;VLOOKUP(I$5,NFI,5,0),1,0)*Table_NFI[[#This Row],[NFI Core Kit]],Table_NFI[NFI Core Kit])</f>
        <v>0</v>
      </c>
      <c r="AA1009" s="264">
        <f>IF(NFI_Expiration=1,IF($A1009&lt;VLOOKUP(J$5,NFI,5,0),1,0)*Table_NFI[[#This Row],[Sanitary Kit]],Table_NFI[Sanitary Kit])</f>
        <v>0</v>
      </c>
      <c r="AB1009" s="264">
        <f>IF(NFI_Expiration=1,IF($A1009&lt;VLOOKUP(K$5,NFI,5,0),1,0)*Table_NFI[[#This Row],[Mosquito net]],Table_NFI[Mosquito net])</f>
        <v>0</v>
      </c>
      <c r="AC1009" s="264">
        <f>IF(NFI_Expiration=1,IF($A1009&lt;VLOOKUP(L$5,NFI,5,0),1,0)*Table_NFI[[#This Row],[Tarpaulin]],Table_NFI[[#This Row],[Tarpaulin]])</f>
        <v>0</v>
      </c>
      <c r="AD1009" s="264">
        <f>IF(NFI_Expiration=1,IF($A1009&lt;VLOOKUP(M$5,NFI,5,0),1,0)*Table_NFI[[#This Row],[Blanket]],Table_NFI[[#This Row],[Blanket]])</f>
        <v>0</v>
      </c>
      <c r="AE1009" s="264">
        <f>IF(NFI_Expiration=1,IF($A1009&lt;VLOOKUP(N$5,NFI,5,0),1,0)*Table_NFI[[#This Row],[Kitchen Set]],Table_NFI[Kitchen Set])</f>
        <v>0</v>
      </c>
      <c r="AF1009" s="264">
        <f>IF(NFI_Expiration=1,IF($A1009&lt;VLOOKUP(O$5,NFI,5,0),1,0)*Table_NFI[[#This Row],[Clothes Kit]],Table_NFI[Clothes Kit])</f>
        <v>0</v>
      </c>
      <c r="AG1009" s="264">
        <f>IF(NFI_Expiration=1,IF($A1009&lt;VLOOKUP(P$5,NFI,5,0),1,0)*Table_NFI[[#This Row],[Plastic Bucket]],Table_NFI[Plastic Bucket])</f>
        <v>0</v>
      </c>
      <c r="AH1009" s="264">
        <f>IF(NFI_Expiration=1,IF($A1009&lt;VLOOKUP(Q$5,NFI,5,0),1,0)*Table_NFI[[#This Row],[Plastic Mat]],Table_NFI[Plastic Mat])*IF(Table_NFI[[#This Row],[Distribution Date]]&gt;"2014-04-01",1,2.5)</f>
        <v>0</v>
      </c>
      <c r="AI1009" s="264">
        <f>IF(NFI_Expiration=1,IF($A1009&lt;VLOOKUP(R$5,NFI,5,0),1,0)*Table_NFI[[#This Row],[Winter Clothes Adult]],Table_NFI[Winter Clothes Adult])</f>
        <v>0</v>
      </c>
      <c r="AJ1009" s="264">
        <f>IF(NFI_Expiration=1,IF($A1009&lt;VLOOKUP(S$5,NFI,5,0),1,0)*Table_NFI[[#This Row],[Winter Clothes Children]],Table_NFI[Winter Clothes Children])</f>
        <v>0</v>
      </c>
      <c r="AK1009" s="264">
        <f>IF(NFI_Expiration=1,IF($A1009&lt;VLOOKUP(T$5,NFI,5,0),1,0)*Table_NFI[[#This Row],[Winter Items Other]],Table_NFI[Winter Items Other])</f>
        <v>0</v>
      </c>
      <c r="AL1009" s="264">
        <f>IF(NFI_Expiration=1,IF($A1009&lt;VLOOKUP(M$5,NFI,5,0),1,0)*Table_NFI[[#This Row],[Winter Blanket]],Table_NFI[[#This Row],[Winter Blanket]])</f>
        <v>0</v>
      </c>
      <c r="AM1009" s="264">
        <f>IF(Table_NFI[[#This Row],[Winter Clothes Adult]]+Table_NFI[[#This Row],[Winter Clothes Children]]+Table_NFI[[#This Row],[Winter Items Other]]+Table_NFI[[#This Row],[Winter Blanket]]&gt;0,1,0)</f>
        <v>0</v>
      </c>
      <c r="AN1009" s="296">
        <f>IF(NFI_Expiration=1,IF($A1009&lt;VLOOKUP(V$5,NFI,5,0),1,0)*Table_NFI[[#This Row],[Jerry Can]],Table_NFI[Jerry Can])</f>
        <v>0</v>
      </c>
      <c r="AO1009" s="296">
        <f>IF(NFI_Expiration=1,IF($A1009&lt;VLOOKUP(V$5,NFI,5,0),1,0)*Table_NFI[[#This Row],[Shelter Tool kit]],Table_NFI[Shelter Tool kit])</f>
        <v>0</v>
      </c>
      <c r="AP1009" s="296">
        <f>IF(NFI_Expiration=1,IF($A1009&lt;VLOOKUP(V$5,NFI,5,0),1,0)*Table_NFI[[#This Row],[Tent]],Table_NFI[Tent])</f>
        <v>0</v>
      </c>
      <c r="AQ1009" s="396" t="str">
        <f>IFERROR(VLOOKUP(Table_NFI[[#This Row],[Camp Name]],CL,2,0),"")</f>
        <v>MMR001CMP015</v>
      </c>
      <c r="AR1009" s="702">
        <f ca="1">IF(Table_NFI[[#This Row],[Pcode]]="","",IF(OFFSET(CampList[Opening Date],MATCH(Table_NFI[[#This Row],[Pcode]],CampList[CP_Pcode],0)-1,0,1,1)&gt;=NFI_Monitor_Date,1,0))</f>
        <v>0</v>
      </c>
      <c r="AS1009" s="396" t="str">
        <f>IFERROR(VLOOKUP(Table_NFI[[#This Row],[Camp Name]],CL,3,0),"")</f>
        <v>Open</v>
      </c>
      <c r="AT1009" s="264" t="str">
        <f ca="1">IF(Table_NFI[[#This Row],[Pcode]]="","",OFFSET(CampList[Priority],MATCH(Table_NFI[[#This Row],[Pcode]],CampList[CP_Pcode],0)-1,0,1,1))</f>
        <v>P4</v>
      </c>
      <c r="AU1009" s="263">
        <f>IFERROR(Table_NFI[[#This Row],[Kitchen Set]]/VLOOKUP(Table_NFI[[#This Row],[Camp Name]],CL,4,0),"")</f>
        <v>3.2017338620298993E-4</v>
      </c>
      <c r="AV1009" s="390" t="s">
        <v>1087</v>
      </c>
      <c r="AW1009" s="392"/>
      <c r="AX1009" s="402"/>
      <c r="AY1009" s="402"/>
      <c r="AZ1009" s="402"/>
      <c r="BA1009" s="402"/>
      <c r="BB1009" s="402"/>
      <c r="BC1009" s="402"/>
      <c r="BD1009" s="402"/>
      <c r="BE1009" s="402"/>
      <c r="BF1009" s="402"/>
      <c r="BG1009" s="402"/>
      <c r="BH1009" s="402"/>
      <c r="BI1009" s="402"/>
      <c r="BJ1009" s="402"/>
      <c r="BK1009" s="402"/>
      <c r="BL1009" s="402"/>
      <c r="BM1009" s="402"/>
      <c r="BN1009" s="402"/>
      <c r="BO1009" s="402"/>
      <c r="BP1009" s="402"/>
      <c r="BQ1009" s="402"/>
      <c r="BR1009" s="402"/>
      <c r="BS1009" s="402"/>
      <c r="BT1009" s="402"/>
      <c r="BU1009" s="402"/>
      <c r="BV1009" s="402"/>
      <c r="BW1009" s="402"/>
      <c r="BX1009" s="402"/>
      <c r="BY1009" s="402"/>
      <c r="BZ1009" s="402"/>
      <c r="CA1009" s="402"/>
      <c r="CB1009" s="402"/>
      <c r="CC1009" s="402"/>
      <c r="CD1009" s="402"/>
      <c r="CE1009" s="402"/>
      <c r="CF1009" s="402"/>
      <c r="CG1009" s="402"/>
      <c r="CH1009" s="402"/>
      <c r="CI1009" s="402"/>
      <c r="CJ1009" s="402"/>
      <c r="CK1009" s="402"/>
      <c r="CL1009" s="402"/>
      <c r="CM1009" s="402"/>
      <c r="CN1009" s="402"/>
      <c r="CO1009" s="402"/>
      <c r="CP1009" s="402"/>
      <c r="CQ1009" s="402"/>
      <c r="CR1009" s="402"/>
      <c r="CS1009" s="402"/>
      <c r="CT1009" s="402"/>
      <c r="CU1009" s="402"/>
      <c r="CV1009" s="402"/>
      <c r="CW1009" s="402"/>
      <c r="CX1009" s="402"/>
      <c r="CY1009" s="402"/>
      <c r="CZ1009" s="402"/>
      <c r="DA1009" s="402"/>
      <c r="DB1009" s="402"/>
      <c r="DC1009" s="402"/>
      <c r="DD1009" s="402"/>
      <c r="DE1009" s="402"/>
      <c r="DF1009" s="402"/>
      <c r="DG1009" s="402"/>
      <c r="DH1009" s="402"/>
      <c r="DI1009" s="402"/>
      <c r="DJ1009" s="402"/>
      <c r="DK1009" s="402"/>
      <c r="DL1009" s="402"/>
      <c r="DM1009" s="402"/>
      <c r="DN1009" s="402"/>
      <c r="DO1009" s="402"/>
      <c r="DP1009" s="402"/>
      <c r="DQ1009" s="402"/>
    </row>
    <row r="1010" spans="1:121" s="94" customFormat="1" ht="14.45" customHeight="1" x14ac:dyDescent="0.25">
      <c r="A1010" s="266">
        <f t="shared" si="15"/>
        <v>58.333333333333336</v>
      </c>
      <c r="B1010" s="389">
        <v>41106</v>
      </c>
      <c r="C1010" s="390" t="s">
        <v>451</v>
      </c>
      <c r="D1010" s="391" t="s">
        <v>451</v>
      </c>
      <c r="E1010" s="390" t="s">
        <v>380</v>
      </c>
      <c r="F1010" s="262" t="s">
        <v>237</v>
      </c>
      <c r="G1010" s="262" t="s">
        <v>285</v>
      </c>
      <c r="H1010" s="261"/>
      <c r="I1010" s="261"/>
      <c r="J1010" s="261"/>
      <c r="K1010" s="261">
        <v>50</v>
      </c>
      <c r="L1010" s="261">
        <v>50</v>
      </c>
      <c r="M1010" s="261">
        <v>50</v>
      </c>
      <c r="N1010" s="261">
        <v>50</v>
      </c>
      <c r="O1010" s="261">
        <v>50</v>
      </c>
      <c r="P1010" s="261">
        <v>50</v>
      </c>
      <c r="Q1010" s="261">
        <v>50</v>
      </c>
      <c r="R1010" s="261"/>
      <c r="S1010" s="261"/>
      <c r="T1010" s="261"/>
      <c r="U1010" s="261"/>
      <c r="V1010" s="762"/>
      <c r="W1010" s="261"/>
      <c r="X1010" s="261"/>
      <c r="Y1010" s="264">
        <f>IF(NFI_Expiration=1,IF($A1010&lt;VLOOKUP(H$5,NFI,5,0),1,0)*Table_NFI[[#This Row],[Hygiene Kit]],Table_NFI[Hygiene Kit])</f>
        <v>0</v>
      </c>
      <c r="Z1010" s="264">
        <f>IF(NFI_Expiration=1,IF($A1010&lt;VLOOKUP(I$5,NFI,5,0),1,0)*Table_NFI[[#This Row],[NFI Core Kit]],Table_NFI[NFI Core Kit])</f>
        <v>0</v>
      </c>
      <c r="AA1010" s="264">
        <f>IF(NFI_Expiration=1,IF($A1010&lt;VLOOKUP(J$5,NFI,5,0),1,0)*Table_NFI[[#This Row],[Sanitary Kit]],Table_NFI[Sanitary Kit])</f>
        <v>0</v>
      </c>
      <c r="AB1010" s="264">
        <f>IF(NFI_Expiration=1,IF($A1010&lt;VLOOKUP(K$5,NFI,5,0),1,0)*Table_NFI[[#This Row],[Mosquito net]],Table_NFI[Mosquito net])</f>
        <v>0</v>
      </c>
      <c r="AC1010" s="264">
        <f>IF(NFI_Expiration=1,IF($A1010&lt;VLOOKUP(L$5,NFI,5,0),1,0)*Table_NFI[[#This Row],[Tarpaulin]],Table_NFI[[#This Row],[Tarpaulin]])</f>
        <v>0</v>
      </c>
      <c r="AD1010" s="264">
        <f>IF(NFI_Expiration=1,IF($A1010&lt;VLOOKUP(M$5,NFI,5,0),1,0)*Table_NFI[[#This Row],[Blanket]],Table_NFI[[#This Row],[Blanket]])</f>
        <v>0</v>
      </c>
      <c r="AE1010" s="264">
        <f>IF(NFI_Expiration=1,IF($A1010&lt;VLOOKUP(N$5,NFI,5,0),1,0)*Table_NFI[[#This Row],[Kitchen Set]],Table_NFI[Kitchen Set])</f>
        <v>0</v>
      </c>
      <c r="AF1010" s="264">
        <f>IF(NFI_Expiration=1,IF($A1010&lt;VLOOKUP(O$5,NFI,5,0),1,0)*Table_NFI[[#This Row],[Clothes Kit]],Table_NFI[Clothes Kit])</f>
        <v>0</v>
      </c>
      <c r="AG1010" s="264">
        <f>IF(NFI_Expiration=1,IF($A1010&lt;VLOOKUP(P$5,NFI,5,0),1,0)*Table_NFI[[#This Row],[Plastic Bucket]],Table_NFI[Plastic Bucket])</f>
        <v>0</v>
      </c>
      <c r="AH1010" s="264">
        <f>IF(NFI_Expiration=1,IF($A1010&lt;VLOOKUP(Q$5,NFI,5,0),1,0)*Table_NFI[[#This Row],[Plastic Mat]],Table_NFI[Plastic Mat])*IF(Table_NFI[[#This Row],[Distribution Date]]&gt;"2014-04-01",1,2.5)</f>
        <v>0</v>
      </c>
      <c r="AI1010" s="264">
        <f>IF(NFI_Expiration=1,IF($A1010&lt;VLOOKUP(R$5,NFI,5,0),1,0)*Table_NFI[[#This Row],[Winter Clothes Adult]],Table_NFI[Winter Clothes Adult])</f>
        <v>0</v>
      </c>
      <c r="AJ1010" s="264">
        <f>IF(NFI_Expiration=1,IF($A1010&lt;VLOOKUP(S$5,NFI,5,0),1,0)*Table_NFI[[#This Row],[Winter Clothes Children]],Table_NFI[Winter Clothes Children])</f>
        <v>0</v>
      </c>
      <c r="AK1010" s="264">
        <f>IF(NFI_Expiration=1,IF($A1010&lt;VLOOKUP(T$5,NFI,5,0),1,0)*Table_NFI[[#This Row],[Winter Items Other]],Table_NFI[Winter Items Other])</f>
        <v>0</v>
      </c>
      <c r="AL1010" s="264">
        <f>IF(NFI_Expiration=1,IF($A1010&lt;VLOOKUP(M$5,NFI,5,0),1,0)*Table_NFI[[#This Row],[Winter Blanket]],Table_NFI[[#This Row],[Winter Blanket]])</f>
        <v>0</v>
      </c>
      <c r="AM1010" s="264">
        <f>IF(Table_NFI[[#This Row],[Winter Clothes Adult]]+Table_NFI[[#This Row],[Winter Clothes Children]]+Table_NFI[[#This Row],[Winter Items Other]]+Table_NFI[[#This Row],[Winter Blanket]]&gt;0,1,0)</f>
        <v>0</v>
      </c>
      <c r="AN1010" s="296">
        <f>IF(NFI_Expiration=1,IF($A1010&lt;VLOOKUP(V$5,NFI,5,0),1,0)*Table_NFI[[#This Row],[Jerry Can]],Table_NFI[Jerry Can])</f>
        <v>0</v>
      </c>
      <c r="AO1010" s="296">
        <f>IF(NFI_Expiration=1,IF($A1010&lt;VLOOKUP(V$5,NFI,5,0),1,0)*Table_NFI[[#This Row],[Shelter Tool kit]],Table_NFI[Shelter Tool kit])</f>
        <v>0</v>
      </c>
      <c r="AP1010" s="296">
        <f>IF(NFI_Expiration=1,IF($A1010&lt;VLOOKUP(V$5,NFI,5,0),1,0)*Table_NFI[[#This Row],[Tent]],Table_NFI[Tent])</f>
        <v>0</v>
      </c>
      <c r="AQ1010" s="396" t="str">
        <f>IFERROR(VLOOKUP(Table_NFI[[#This Row],[Camp Name]],CL,2,0),"")</f>
        <v>MMR001CMP014</v>
      </c>
      <c r="AR1010" s="702">
        <f ca="1">IF(Table_NFI[[#This Row],[Pcode]]="","",IF(OFFSET(CampList[Opening Date],MATCH(Table_NFI[[#This Row],[Pcode]],CampList[CP_Pcode],0)-1,0,1,1)&gt;=NFI_Monitor_Date,1,0))</f>
        <v>0</v>
      </c>
      <c r="AS1010" s="396" t="str">
        <f>IFERROR(VLOOKUP(Table_NFI[[#This Row],[Camp Name]],CL,3,0),"")</f>
        <v>Open</v>
      </c>
      <c r="AT1010" s="264" t="str">
        <f ca="1">IF(Table_NFI[[#This Row],[Pcode]]="","",OFFSET(CampList[Priority],MATCH(Table_NFI[[#This Row],[Pcode]],CampList[CP_Pcode],0)-1,0,1,1))</f>
        <v>P4</v>
      </c>
      <c r="AU1010" s="263">
        <f>IFERROR(Table_NFI[[#This Row],[Kitchen Set]]/VLOOKUP(Table_NFI[[#This Row],[Camp Name]],CL,4,0),"")</f>
        <v>1.2286521685710775E-3</v>
      </c>
      <c r="AV1010" s="390" t="s">
        <v>1087</v>
      </c>
      <c r="AW1010" s="392"/>
      <c r="AX1010" s="402"/>
      <c r="AY1010" s="402"/>
      <c r="AZ1010" s="402"/>
      <c r="BA1010" s="402"/>
      <c r="BB1010" s="402"/>
      <c r="BC1010" s="402"/>
      <c r="BD1010" s="402"/>
      <c r="BE1010" s="402"/>
      <c r="BF1010" s="402"/>
      <c r="BG1010" s="402"/>
      <c r="BH1010" s="402"/>
      <c r="BI1010" s="402"/>
      <c r="BJ1010" s="402"/>
      <c r="BK1010" s="402"/>
      <c r="BL1010" s="402"/>
      <c r="BM1010" s="402"/>
      <c r="BN1010" s="402"/>
      <c r="BO1010" s="402"/>
      <c r="BP1010" s="402"/>
      <c r="BQ1010" s="402"/>
      <c r="BR1010" s="402"/>
      <c r="BS1010" s="402"/>
      <c r="BT1010" s="402"/>
      <c r="BU1010" s="402"/>
      <c r="BV1010" s="402"/>
      <c r="BW1010" s="402"/>
      <c r="BX1010" s="402"/>
      <c r="BY1010" s="402"/>
      <c r="BZ1010" s="402"/>
      <c r="CA1010" s="402"/>
      <c r="CB1010" s="402"/>
      <c r="CC1010" s="402"/>
      <c r="CD1010" s="402"/>
      <c r="CE1010" s="402"/>
      <c r="CF1010" s="402"/>
      <c r="CG1010" s="402"/>
      <c r="CH1010" s="402"/>
      <c r="CI1010" s="402"/>
      <c r="CJ1010" s="402"/>
      <c r="CK1010" s="402"/>
      <c r="CL1010" s="402"/>
      <c r="CM1010" s="402"/>
      <c r="CN1010" s="402"/>
      <c r="CO1010" s="402"/>
      <c r="CP1010" s="402"/>
      <c r="CQ1010" s="402"/>
      <c r="CR1010" s="402"/>
      <c r="CS1010" s="402"/>
      <c r="CT1010" s="402"/>
      <c r="CU1010" s="402"/>
      <c r="CV1010" s="402"/>
      <c r="CW1010" s="402"/>
      <c r="CX1010" s="402"/>
      <c r="CY1010" s="402"/>
      <c r="CZ1010" s="402"/>
      <c r="DA1010" s="402"/>
      <c r="DB1010" s="402"/>
      <c r="DC1010" s="402"/>
      <c r="DD1010" s="402"/>
      <c r="DE1010" s="402"/>
      <c r="DF1010" s="402"/>
      <c r="DG1010" s="402"/>
      <c r="DH1010" s="402"/>
      <c r="DI1010" s="402"/>
      <c r="DJ1010" s="402"/>
      <c r="DK1010" s="402"/>
      <c r="DL1010" s="402"/>
      <c r="DM1010" s="402"/>
      <c r="DN1010" s="402"/>
      <c r="DO1010" s="402"/>
      <c r="DP1010" s="402"/>
      <c r="DQ1010" s="402"/>
    </row>
    <row r="1011" spans="1:121" s="759" customFormat="1" ht="14.45" customHeight="1" x14ac:dyDescent="0.25">
      <c r="A1011" s="266">
        <f t="shared" si="15"/>
        <v>58.333333333333336</v>
      </c>
      <c r="B1011" s="389">
        <v>41106</v>
      </c>
      <c r="C1011" s="390" t="s">
        <v>451</v>
      </c>
      <c r="D1011" s="390" t="s">
        <v>451</v>
      </c>
      <c r="E1011" s="390" t="s">
        <v>380</v>
      </c>
      <c r="F1011" s="262" t="s">
        <v>237</v>
      </c>
      <c r="G1011" s="262" t="s">
        <v>259</v>
      </c>
      <c r="H1011" s="261"/>
      <c r="I1011" s="261"/>
      <c r="J1011" s="261"/>
      <c r="K1011" s="261">
        <v>3</v>
      </c>
      <c r="L1011" s="261">
        <v>3</v>
      </c>
      <c r="M1011" s="261">
        <v>3</v>
      </c>
      <c r="N1011" s="261">
        <v>3</v>
      </c>
      <c r="O1011" s="261">
        <v>3</v>
      </c>
      <c r="P1011" s="261">
        <v>3</v>
      </c>
      <c r="Q1011" s="261">
        <v>3</v>
      </c>
      <c r="R1011" s="261"/>
      <c r="S1011" s="261"/>
      <c r="T1011" s="261"/>
      <c r="U1011" s="261"/>
      <c r="V1011" s="762"/>
      <c r="W1011" s="261"/>
      <c r="X1011" s="261"/>
      <c r="Y1011" s="264">
        <f>IF(NFI_Expiration=1,IF($A1011&lt;VLOOKUP(H$5,NFI,5,0),1,0)*Table_NFI[[#This Row],[Hygiene Kit]],Table_NFI[Hygiene Kit])</f>
        <v>0</v>
      </c>
      <c r="Z1011" s="264">
        <f>IF(NFI_Expiration=1,IF($A1011&lt;VLOOKUP(I$5,NFI,5,0),1,0)*Table_NFI[[#This Row],[NFI Core Kit]],Table_NFI[NFI Core Kit])</f>
        <v>0</v>
      </c>
      <c r="AA1011" s="264">
        <f>IF(NFI_Expiration=1,IF($A1011&lt;VLOOKUP(J$5,NFI,5,0),1,0)*Table_NFI[[#This Row],[Sanitary Kit]],Table_NFI[Sanitary Kit])</f>
        <v>0</v>
      </c>
      <c r="AB1011" s="264">
        <f>IF(NFI_Expiration=1,IF($A1011&lt;VLOOKUP(K$5,NFI,5,0),1,0)*Table_NFI[[#This Row],[Mosquito net]],Table_NFI[Mosquito net])</f>
        <v>0</v>
      </c>
      <c r="AC1011" s="264">
        <f>IF(NFI_Expiration=1,IF($A1011&lt;VLOOKUP(L$5,NFI,5,0),1,0)*Table_NFI[[#This Row],[Tarpaulin]],Table_NFI[[#This Row],[Tarpaulin]])</f>
        <v>0</v>
      </c>
      <c r="AD1011" s="264">
        <f>IF(NFI_Expiration=1,IF($A1011&lt;VLOOKUP(M$5,NFI,5,0),1,0)*Table_NFI[[#This Row],[Blanket]],Table_NFI[[#This Row],[Blanket]])</f>
        <v>0</v>
      </c>
      <c r="AE1011" s="264">
        <f>IF(NFI_Expiration=1,IF($A1011&lt;VLOOKUP(N$5,NFI,5,0),1,0)*Table_NFI[[#This Row],[Kitchen Set]],Table_NFI[Kitchen Set])</f>
        <v>0</v>
      </c>
      <c r="AF1011" s="264">
        <f>IF(NFI_Expiration=1,IF($A1011&lt;VLOOKUP(O$5,NFI,5,0),1,0)*Table_NFI[[#This Row],[Clothes Kit]],Table_NFI[Clothes Kit])</f>
        <v>0</v>
      </c>
      <c r="AG1011" s="264">
        <f>IF(NFI_Expiration=1,IF($A1011&lt;VLOOKUP(P$5,NFI,5,0),1,0)*Table_NFI[[#This Row],[Plastic Bucket]],Table_NFI[Plastic Bucket])</f>
        <v>0</v>
      </c>
      <c r="AH1011" s="264">
        <f>IF(NFI_Expiration=1,IF($A1011&lt;VLOOKUP(Q$5,NFI,5,0),1,0)*Table_NFI[[#This Row],[Plastic Mat]],Table_NFI[Plastic Mat])*IF(Table_NFI[[#This Row],[Distribution Date]]&gt;"2014-04-01",1,2.5)</f>
        <v>0</v>
      </c>
      <c r="AI1011" s="264">
        <f>IF(NFI_Expiration=1,IF($A1011&lt;VLOOKUP(R$5,NFI,5,0),1,0)*Table_NFI[[#This Row],[Winter Clothes Adult]],Table_NFI[Winter Clothes Adult])</f>
        <v>0</v>
      </c>
      <c r="AJ1011" s="264">
        <f>IF(NFI_Expiration=1,IF($A1011&lt;VLOOKUP(S$5,NFI,5,0),1,0)*Table_NFI[[#This Row],[Winter Clothes Children]],Table_NFI[Winter Clothes Children])</f>
        <v>0</v>
      </c>
      <c r="AK1011" s="264">
        <f>IF(NFI_Expiration=1,IF($A1011&lt;VLOOKUP(T$5,NFI,5,0),1,0)*Table_NFI[[#This Row],[Winter Items Other]],Table_NFI[Winter Items Other])</f>
        <v>0</v>
      </c>
      <c r="AL1011" s="264">
        <f>IF(NFI_Expiration=1,IF($A1011&lt;VLOOKUP(M$5,NFI,5,0),1,0)*Table_NFI[[#This Row],[Winter Blanket]],Table_NFI[[#This Row],[Winter Blanket]])</f>
        <v>0</v>
      </c>
      <c r="AM1011" s="264">
        <f>IF(Table_NFI[[#This Row],[Winter Clothes Adult]]+Table_NFI[[#This Row],[Winter Clothes Children]]+Table_NFI[[#This Row],[Winter Items Other]]+Table_NFI[[#This Row],[Winter Blanket]]&gt;0,1,0)</f>
        <v>0</v>
      </c>
      <c r="AN1011" s="296">
        <f>IF(NFI_Expiration=1,IF($A1011&lt;VLOOKUP(V$5,NFI,5,0),1,0)*Table_NFI[[#This Row],[Jerry Can]],Table_NFI[Jerry Can])</f>
        <v>0</v>
      </c>
      <c r="AO1011" s="296">
        <f>IF(NFI_Expiration=1,IF($A1011&lt;VLOOKUP(V$5,NFI,5,0),1,0)*Table_NFI[[#This Row],[Shelter Tool kit]],Table_NFI[Shelter Tool kit])</f>
        <v>0</v>
      </c>
      <c r="AP1011" s="296">
        <f>IF(NFI_Expiration=1,IF($A1011&lt;VLOOKUP(V$5,NFI,5,0),1,0)*Table_NFI[[#This Row],[Tent]],Table_NFI[Tent])</f>
        <v>0</v>
      </c>
      <c r="AQ1011" s="396" t="str">
        <f>IFERROR(VLOOKUP(Table_NFI[[#This Row],[Camp Name]],CL,2,0),"")</f>
        <v>MMR001CMP016</v>
      </c>
      <c r="AR1011" s="702">
        <f ca="1">IF(Table_NFI[[#This Row],[Pcode]]="","",IF(OFFSET(CampList[Opening Date],MATCH(Table_NFI[[#This Row],[Pcode]],CampList[CP_Pcode],0)-1,0,1,1)&gt;=NFI_Monitor_Date,1,0))</f>
        <v>0</v>
      </c>
      <c r="AS1011" s="396" t="str">
        <f>IFERROR(VLOOKUP(Table_NFI[[#This Row],[Camp Name]],CL,3,0),"")</f>
        <v>Open</v>
      </c>
      <c r="AT1011" s="264" t="str">
        <f ca="1">IF(Table_NFI[[#This Row],[Pcode]]="","",OFFSET(CampList[Priority],MATCH(Table_NFI[[#This Row],[Pcode]],CampList[CP_Pcode],0)-1,0,1,1))</f>
        <v>P4</v>
      </c>
      <c r="AU1011" s="263">
        <f>IFERROR(Table_NFI[[#This Row],[Kitchen Set]]/VLOOKUP(Table_NFI[[#This Row],[Camp Name]],CL,4,0),"")</f>
        <v>7.3608793797232309E-5</v>
      </c>
      <c r="AV1011" s="390" t="s">
        <v>1087</v>
      </c>
      <c r="AW1011" s="392"/>
      <c r="AX1011" s="402"/>
      <c r="AY1011" s="402"/>
      <c r="AZ1011" s="402"/>
      <c r="BA1011" s="402"/>
      <c r="BB1011" s="402"/>
      <c r="BC1011" s="402"/>
      <c r="BD1011" s="402"/>
      <c r="BE1011" s="402"/>
      <c r="BF1011" s="402"/>
      <c r="BG1011" s="402"/>
      <c r="BH1011" s="402"/>
      <c r="BI1011" s="402"/>
      <c r="BJ1011" s="402"/>
      <c r="BK1011" s="402"/>
      <c r="BL1011" s="402"/>
      <c r="BM1011" s="402"/>
      <c r="BN1011" s="402"/>
      <c r="BO1011" s="402"/>
      <c r="BP1011" s="402"/>
      <c r="BQ1011" s="402"/>
      <c r="BR1011" s="402"/>
      <c r="BS1011" s="402"/>
      <c r="BT1011" s="402"/>
      <c r="BU1011" s="402"/>
      <c r="BV1011" s="402"/>
      <c r="BW1011" s="402"/>
      <c r="BX1011" s="402"/>
      <c r="BY1011" s="402"/>
      <c r="BZ1011" s="402"/>
      <c r="CA1011" s="402"/>
      <c r="CB1011" s="402"/>
      <c r="CC1011" s="402"/>
      <c r="CD1011" s="402"/>
      <c r="CE1011" s="402"/>
      <c r="CF1011" s="402"/>
      <c r="CG1011" s="402"/>
      <c r="CH1011" s="402"/>
      <c r="CI1011" s="402"/>
      <c r="CJ1011" s="402"/>
      <c r="CK1011" s="402"/>
      <c r="CL1011" s="402"/>
      <c r="CM1011" s="402"/>
      <c r="CN1011" s="402"/>
      <c r="CO1011" s="402"/>
      <c r="CP1011" s="402"/>
      <c r="CQ1011" s="402"/>
      <c r="CR1011" s="402"/>
      <c r="CS1011" s="402"/>
      <c r="CT1011" s="402"/>
      <c r="CU1011" s="402"/>
      <c r="CV1011" s="402"/>
      <c r="CW1011" s="402"/>
      <c r="CX1011" s="402"/>
      <c r="CY1011" s="402"/>
      <c r="CZ1011" s="402"/>
      <c r="DA1011" s="402"/>
      <c r="DB1011" s="402"/>
      <c r="DC1011" s="402"/>
      <c r="DD1011" s="402"/>
      <c r="DE1011" s="402"/>
      <c r="DF1011" s="402"/>
      <c r="DG1011" s="402"/>
      <c r="DH1011" s="402"/>
      <c r="DI1011" s="402"/>
      <c r="DJ1011" s="402"/>
      <c r="DK1011" s="402"/>
      <c r="DL1011" s="402"/>
      <c r="DM1011" s="402"/>
      <c r="DN1011" s="402"/>
      <c r="DO1011" s="402"/>
      <c r="DP1011" s="402"/>
      <c r="DQ1011" s="402"/>
    </row>
    <row r="1012" spans="1:121" s="759" customFormat="1" ht="14.45" customHeight="1" x14ac:dyDescent="0.25">
      <c r="A1012" s="266">
        <f t="shared" si="15"/>
        <v>58.333333333333336</v>
      </c>
      <c r="B1012" s="389">
        <v>41106</v>
      </c>
      <c r="C1012" s="390" t="s">
        <v>451</v>
      </c>
      <c r="D1012" s="390" t="s">
        <v>451</v>
      </c>
      <c r="E1012" s="390" t="s">
        <v>380</v>
      </c>
      <c r="F1012" s="390" t="s">
        <v>237</v>
      </c>
      <c r="G1012" s="262" t="s">
        <v>269</v>
      </c>
      <c r="H1012" s="261"/>
      <c r="I1012" s="261"/>
      <c r="J1012" s="261"/>
      <c r="K1012" s="261">
        <v>25</v>
      </c>
      <c r="L1012" s="261">
        <v>25</v>
      </c>
      <c r="M1012" s="261">
        <v>25</v>
      </c>
      <c r="N1012" s="261">
        <v>25</v>
      </c>
      <c r="O1012" s="261">
        <v>25</v>
      </c>
      <c r="P1012" s="261">
        <v>25</v>
      </c>
      <c r="Q1012" s="261">
        <v>25</v>
      </c>
      <c r="R1012" s="261"/>
      <c r="S1012" s="261"/>
      <c r="T1012" s="261"/>
      <c r="U1012" s="261"/>
      <c r="V1012" s="762"/>
      <c r="W1012" s="261"/>
      <c r="X1012" s="261"/>
      <c r="Y1012" s="264">
        <f>IF(NFI_Expiration=1,IF($A1012&lt;VLOOKUP(H$5,NFI,5,0),1,0)*Table_NFI[[#This Row],[Hygiene Kit]],Table_NFI[Hygiene Kit])</f>
        <v>0</v>
      </c>
      <c r="Z1012" s="264">
        <f>IF(NFI_Expiration=1,IF($A1012&lt;VLOOKUP(I$5,NFI,5,0),1,0)*Table_NFI[[#This Row],[NFI Core Kit]],Table_NFI[NFI Core Kit])</f>
        <v>0</v>
      </c>
      <c r="AA1012" s="264">
        <f>IF(NFI_Expiration=1,IF($A1012&lt;VLOOKUP(J$5,NFI,5,0),1,0)*Table_NFI[[#This Row],[Sanitary Kit]],Table_NFI[Sanitary Kit])</f>
        <v>0</v>
      </c>
      <c r="AB1012" s="264">
        <f>IF(NFI_Expiration=1,IF($A1012&lt;VLOOKUP(K$5,NFI,5,0),1,0)*Table_NFI[[#This Row],[Mosquito net]],Table_NFI[Mosquito net])</f>
        <v>0</v>
      </c>
      <c r="AC1012" s="264">
        <f>IF(NFI_Expiration=1,IF($A1012&lt;VLOOKUP(L$5,NFI,5,0),1,0)*Table_NFI[[#This Row],[Tarpaulin]],Table_NFI[[#This Row],[Tarpaulin]])</f>
        <v>0</v>
      </c>
      <c r="AD1012" s="264">
        <f>IF(NFI_Expiration=1,IF($A1012&lt;VLOOKUP(M$5,NFI,5,0),1,0)*Table_NFI[[#This Row],[Blanket]],Table_NFI[[#This Row],[Blanket]])</f>
        <v>0</v>
      </c>
      <c r="AE1012" s="264">
        <f>IF(NFI_Expiration=1,IF($A1012&lt;VLOOKUP(N$5,NFI,5,0),1,0)*Table_NFI[[#This Row],[Kitchen Set]],Table_NFI[Kitchen Set])</f>
        <v>0</v>
      </c>
      <c r="AF1012" s="264">
        <f>IF(NFI_Expiration=1,IF($A1012&lt;VLOOKUP(O$5,NFI,5,0),1,0)*Table_NFI[[#This Row],[Clothes Kit]],Table_NFI[Clothes Kit])</f>
        <v>0</v>
      </c>
      <c r="AG1012" s="264">
        <f>IF(NFI_Expiration=1,IF($A1012&lt;VLOOKUP(P$5,NFI,5,0),1,0)*Table_NFI[[#This Row],[Plastic Bucket]],Table_NFI[Plastic Bucket])</f>
        <v>0</v>
      </c>
      <c r="AH1012" s="264">
        <f>IF(NFI_Expiration=1,IF($A1012&lt;VLOOKUP(Q$5,NFI,5,0),1,0)*Table_NFI[[#This Row],[Plastic Mat]],Table_NFI[Plastic Mat])*IF(Table_NFI[[#This Row],[Distribution Date]]&gt;"2014-04-01",1,2.5)</f>
        <v>0</v>
      </c>
      <c r="AI1012" s="264">
        <f>IF(NFI_Expiration=1,IF($A1012&lt;VLOOKUP(R$5,NFI,5,0),1,0)*Table_NFI[[#This Row],[Winter Clothes Adult]],Table_NFI[Winter Clothes Adult])</f>
        <v>0</v>
      </c>
      <c r="AJ1012" s="264">
        <f>IF(NFI_Expiration=1,IF($A1012&lt;VLOOKUP(S$5,NFI,5,0),1,0)*Table_NFI[[#This Row],[Winter Clothes Children]],Table_NFI[Winter Clothes Children])</f>
        <v>0</v>
      </c>
      <c r="AK1012" s="264">
        <f>IF(NFI_Expiration=1,IF($A1012&lt;VLOOKUP(T$5,NFI,5,0),1,0)*Table_NFI[[#This Row],[Winter Items Other]],Table_NFI[Winter Items Other])</f>
        <v>0</v>
      </c>
      <c r="AL1012" s="264">
        <f>IF(NFI_Expiration=1,IF($A1012&lt;VLOOKUP(M$5,NFI,5,0),1,0)*Table_NFI[[#This Row],[Winter Blanket]],Table_NFI[[#This Row],[Winter Blanket]])</f>
        <v>0</v>
      </c>
      <c r="AM1012" s="264">
        <f>IF(Table_NFI[[#This Row],[Winter Clothes Adult]]+Table_NFI[[#This Row],[Winter Clothes Children]]+Table_NFI[[#This Row],[Winter Items Other]]+Table_NFI[[#This Row],[Winter Blanket]]&gt;0,1,0)</f>
        <v>0</v>
      </c>
      <c r="AN1012" s="296">
        <f>IF(NFI_Expiration=1,IF($A1012&lt;VLOOKUP(V$5,NFI,5,0),1,0)*Table_NFI[[#This Row],[Jerry Can]],Table_NFI[Jerry Can])</f>
        <v>0</v>
      </c>
      <c r="AO1012" s="296">
        <f>IF(NFI_Expiration=1,IF($A1012&lt;VLOOKUP(V$5,NFI,5,0),1,0)*Table_NFI[[#This Row],[Shelter Tool kit]],Table_NFI[Shelter Tool kit])</f>
        <v>0</v>
      </c>
      <c r="AP1012" s="296">
        <f>IF(NFI_Expiration=1,IF($A1012&lt;VLOOKUP(V$5,NFI,5,0),1,0)*Table_NFI[[#This Row],[Tent]],Table_NFI[Tent])</f>
        <v>0</v>
      </c>
      <c r="AQ1012" s="396" t="str">
        <f>IFERROR(VLOOKUP(Table_NFI[[#This Row],[Camp Name]],CL,2,0),"")</f>
        <v>MMR001CMP002</v>
      </c>
      <c r="AR1012" s="702">
        <f ca="1">IF(Table_NFI[[#This Row],[Pcode]]="","",IF(OFFSET(CampList[Opening Date],MATCH(Table_NFI[[#This Row],[Pcode]],CampList[CP_Pcode],0)-1,0,1,1)&gt;=NFI_Monitor_Date,1,0))</f>
        <v>0</v>
      </c>
      <c r="AS1012" s="396" t="str">
        <f>IFERROR(VLOOKUP(Table_NFI[[#This Row],[Camp Name]],CL,3,0),"")</f>
        <v>Open</v>
      </c>
      <c r="AT1012" s="264" t="str">
        <f ca="1">IF(Table_NFI[[#This Row],[Pcode]]="","",OFFSET(CampList[Priority],MATCH(Table_NFI[[#This Row],[Pcode]],CampList[CP_Pcode],0)-1,0,1,1))</f>
        <v>P4</v>
      </c>
      <c r="AU1012" s="263">
        <f>IFERROR(Table_NFI[[#This Row],[Kitchen Set]]/VLOOKUP(Table_NFI[[#This Row],[Camp Name]],CL,4,0),"")</f>
        <v>6.1432608428553873E-4</v>
      </c>
      <c r="AV1012" s="390" t="s">
        <v>1087</v>
      </c>
      <c r="AW1012" s="392"/>
      <c r="AX1012" s="402"/>
      <c r="AY1012" s="402"/>
      <c r="AZ1012" s="402"/>
      <c r="BA1012" s="402"/>
      <c r="BB1012" s="402"/>
      <c r="BC1012" s="402"/>
      <c r="BD1012" s="402"/>
      <c r="BE1012" s="402"/>
      <c r="BF1012" s="402"/>
      <c r="BG1012" s="402"/>
      <c r="BH1012" s="402"/>
      <c r="BI1012" s="402"/>
      <c r="BJ1012" s="402"/>
      <c r="BK1012" s="402"/>
      <c r="BL1012" s="402"/>
      <c r="BM1012" s="402"/>
      <c r="BN1012" s="402"/>
      <c r="BO1012" s="402"/>
      <c r="BP1012" s="402"/>
      <c r="BQ1012" s="402"/>
      <c r="BR1012" s="402"/>
      <c r="BS1012" s="402"/>
      <c r="BT1012" s="402"/>
      <c r="BU1012" s="402"/>
      <c r="BV1012" s="402"/>
      <c r="BW1012" s="402"/>
      <c r="BX1012" s="402"/>
      <c r="BY1012" s="402"/>
      <c r="BZ1012" s="402"/>
      <c r="CA1012" s="402"/>
      <c r="CB1012" s="402"/>
      <c r="CC1012" s="402"/>
      <c r="CD1012" s="402"/>
      <c r="CE1012" s="402"/>
      <c r="CF1012" s="402"/>
      <c r="CG1012" s="402"/>
      <c r="CH1012" s="402"/>
      <c r="CI1012" s="402"/>
      <c r="CJ1012" s="402"/>
      <c r="CK1012" s="402"/>
      <c r="CL1012" s="402"/>
      <c r="CM1012" s="402"/>
      <c r="CN1012" s="402"/>
      <c r="CO1012" s="402"/>
      <c r="CP1012" s="402"/>
      <c r="CQ1012" s="402"/>
      <c r="CR1012" s="402"/>
      <c r="CS1012" s="402"/>
      <c r="CT1012" s="402"/>
      <c r="CU1012" s="402"/>
      <c r="CV1012" s="402"/>
      <c r="CW1012" s="402"/>
      <c r="CX1012" s="402"/>
      <c r="CY1012" s="402"/>
      <c r="CZ1012" s="402"/>
      <c r="DA1012" s="402"/>
      <c r="DB1012" s="402"/>
      <c r="DC1012" s="402"/>
      <c r="DD1012" s="402"/>
      <c r="DE1012" s="402"/>
      <c r="DF1012" s="402"/>
      <c r="DG1012" s="402"/>
      <c r="DH1012" s="402"/>
      <c r="DI1012" s="402"/>
      <c r="DJ1012" s="402"/>
      <c r="DK1012" s="402"/>
      <c r="DL1012" s="402"/>
      <c r="DM1012" s="402"/>
      <c r="DN1012" s="402"/>
      <c r="DO1012" s="402"/>
      <c r="DP1012" s="402"/>
      <c r="DQ1012" s="402"/>
    </row>
    <row r="1013" spans="1:121" s="759" customFormat="1" ht="14.45" customHeight="1" x14ac:dyDescent="0.25">
      <c r="A1013" s="266">
        <f t="shared" si="15"/>
        <v>58.43333333333333</v>
      </c>
      <c r="B1013" s="389">
        <v>41103</v>
      </c>
      <c r="C1013" s="390" t="s">
        <v>451</v>
      </c>
      <c r="D1013" s="390" t="s">
        <v>451</v>
      </c>
      <c r="E1013" s="390" t="s">
        <v>380</v>
      </c>
      <c r="F1013" s="390" t="s">
        <v>310</v>
      </c>
      <c r="G1013" s="262" t="s">
        <v>313</v>
      </c>
      <c r="H1013" s="261"/>
      <c r="I1013" s="261"/>
      <c r="J1013" s="261"/>
      <c r="K1013" s="261">
        <v>9</v>
      </c>
      <c r="L1013" s="261">
        <v>9</v>
      </c>
      <c r="M1013" s="261">
        <v>9</v>
      </c>
      <c r="N1013" s="261">
        <v>9</v>
      </c>
      <c r="O1013" s="261">
        <v>9</v>
      </c>
      <c r="P1013" s="261">
        <v>9</v>
      </c>
      <c r="Q1013" s="261">
        <v>9</v>
      </c>
      <c r="R1013" s="261"/>
      <c r="S1013" s="261"/>
      <c r="T1013" s="261"/>
      <c r="U1013" s="261"/>
      <c r="V1013" s="762"/>
      <c r="W1013" s="261"/>
      <c r="X1013" s="261"/>
      <c r="Y1013" s="264">
        <f>IF(NFI_Expiration=1,IF($A1013&lt;VLOOKUP(H$5,NFI,5,0),1,0)*Table_NFI[[#This Row],[Hygiene Kit]],Table_NFI[Hygiene Kit])</f>
        <v>0</v>
      </c>
      <c r="Z1013" s="264">
        <f>IF(NFI_Expiration=1,IF($A1013&lt;VLOOKUP(I$5,NFI,5,0),1,0)*Table_NFI[[#This Row],[NFI Core Kit]],Table_NFI[NFI Core Kit])</f>
        <v>0</v>
      </c>
      <c r="AA1013" s="264">
        <f>IF(NFI_Expiration=1,IF($A1013&lt;VLOOKUP(J$5,NFI,5,0),1,0)*Table_NFI[[#This Row],[Sanitary Kit]],Table_NFI[Sanitary Kit])</f>
        <v>0</v>
      </c>
      <c r="AB1013" s="264">
        <f>IF(NFI_Expiration=1,IF($A1013&lt;VLOOKUP(K$5,NFI,5,0),1,0)*Table_NFI[[#This Row],[Mosquito net]],Table_NFI[Mosquito net])</f>
        <v>0</v>
      </c>
      <c r="AC1013" s="264">
        <f>IF(NFI_Expiration=1,IF($A1013&lt;VLOOKUP(L$5,NFI,5,0),1,0)*Table_NFI[[#This Row],[Tarpaulin]],Table_NFI[[#This Row],[Tarpaulin]])</f>
        <v>0</v>
      </c>
      <c r="AD1013" s="264">
        <f>IF(NFI_Expiration=1,IF($A1013&lt;VLOOKUP(M$5,NFI,5,0),1,0)*Table_NFI[[#This Row],[Blanket]],Table_NFI[[#This Row],[Blanket]])</f>
        <v>0</v>
      </c>
      <c r="AE1013" s="264">
        <f>IF(NFI_Expiration=1,IF($A1013&lt;VLOOKUP(N$5,NFI,5,0),1,0)*Table_NFI[[#This Row],[Kitchen Set]],Table_NFI[Kitchen Set])</f>
        <v>0</v>
      </c>
      <c r="AF1013" s="264">
        <f>IF(NFI_Expiration=1,IF($A1013&lt;VLOOKUP(O$5,NFI,5,0),1,0)*Table_NFI[[#This Row],[Clothes Kit]],Table_NFI[Clothes Kit])</f>
        <v>0</v>
      </c>
      <c r="AG1013" s="264">
        <f>IF(NFI_Expiration=1,IF($A1013&lt;VLOOKUP(P$5,NFI,5,0),1,0)*Table_NFI[[#This Row],[Plastic Bucket]],Table_NFI[Plastic Bucket])</f>
        <v>0</v>
      </c>
      <c r="AH1013" s="264">
        <f>IF(NFI_Expiration=1,IF($A1013&lt;VLOOKUP(Q$5,NFI,5,0),1,0)*Table_NFI[[#This Row],[Plastic Mat]],Table_NFI[Plastic Mat])*IF(Table_NFI[[#This Row],[Distribution Date]]&gt;"2014-04-01",1,2.5)</f>
        <v>0</v>
      </c>
      <c r="AI1013" s="264">
        <f>IF(NFI_Expiration=1,IF($A1013&lt;VLOOKUP(R$5,NFI,5,0),1,0)*Table_NFI[[#This Row],[Winter Clothes Adult]],Table_NFI[Winter Clothes Adult])</f>
        <v>0</v>
      </c>
      <c r="AJ1013" s="264">
        <f>IF(NFI_Expiration=1,IF($A1013&lt;VLOOKUP(S$5,NFI,5,0),1,0)*Table_NFI[[#This Row],[Winter Clothes Children]],Table_NFI[Winter Clothes Children])</f>
        <v>0</v>
      </c>
      <c r="AK1013" s="264">
        <f>IF(NFI_Expiration=1,IF($A1013&lt;VLOOKUP(T$5,NFI,5,0),1,0)*Table_NFI[[#This Row],[Winter Items Other]],Table_NFI[Winter Items Other])</f>
        <v>0</v>
      </c>
      <c r="AL1013" s="264">
        <f>IF(NFI_Expiration=1,IF($A1013&lt;VLOOKUP(M$5,NFI,5,0),1,0)*Table_NFI[[#This Row],[Winter Blanket]],Table_NFI[[#This Row],[Winter Blanket]])</f>
        <v>0</v>
      </c>
      <c r="AM1013" s="264">
        <f>IF(Table_NFI[[#This Row],[Winter Clothes Adult]]+Table_NFI[[#This Row],[Winter Clothes Children]]+Table_NFI[[#This Row],[Winter Items Other]]+Table_NFI[[#This Row],[Winter Blanket]]&gt;0,1,0)</f>
        <v>0</v>
      </c>
      <c r="AN1013" s="296">
        <f>IF(NFI_Expiration=1,IF($A1013&lt;VLOOKUP(V$5,NFI,5,0),1,0)*Table_NFI[[#This Row],[Jerry Can]],Table_NFI[Jerry Can])</f>
        <v>0</v>
      </c>
      <c r="AO1013" s="296">
        <f>IF(NFI_Expiration=1,IF($A1013&lt;VLOOKUP(V$5,NFI,5,0),1,0)*Table_NFI[[#This Row],[Shelter Tool kit]],Table_NFI[Shelter Tool kit])</f>
        <v>0</v>
      </c>
      <c r="AP1013" s="296">
        <f>IF(NFI_Expiration=1,IF($A1013&lt;VLOOKUP(V$5,NFI,5,0),1,0)*Table_NFI[[#This Row],[Tent]],Table_NFI[Tent])</f>
        <v>0</v>
      </c>
      <c r="AQ1013" s="396" t="str">
        <f>IFERROR(VLOOKUP(Table_NFI[[#This Row],[Camp Name]],CL,2,0),"")</f>
        <v>MMR001CMP028</v>
      </c>
      <c r="AR1013" s="702">
        <f ca="1">IF(Table_NFI[[#This Row],[Pcode]]="","",IF(OFFSET(CampList[Opening Date],MATCH(Table_NFI[[#This Row],[Pcode]],CampList[CP_Pcode],0)-1,0,1,1)&gt;=NFI_Monitor_Date,1,0))</f>
        <v>0</v>
      </c>
      <c r="AS1013" s="396" t="str">
        <f>IFERROR(VLOOKUP(Table_NFI[[#This Row],[Camp Name]],CL,3,0),"")</f>
        <v>Open</v>
      </c>
      <c r="AT1013" s="264" t="str">
        <f ca="1">IF(Table_NFI[[#This Row],[Pcode]]="","",OFFSET(CampList[Priority],MATCH(Table_NFI[[#This Row],[Pcode]],CampList[CP_Pcode],0)-1,0,1,1))</f>
        <v>P4</v>
      </c>
      <c r="AU1013" s="263">
        <f>IFERROR(Table_NFI[[#This Row],[Kitchen Set]]/VLOOKUP(Table_NFI[[#This Row],[Camp Name]],CL,4,0),"")</f>
        <v>2.2115739034279396E-4</v>
      </c>
      <c r="AV1013" s="390" t="s">
        <v>1087</v>
      </c>
      <c r="AW1013" s="392"/>
      <c r="AX1013" s="402"/>
      <c r="AY1013" s="402"/>
      <c r="AZ1013" s="402"/>
      <c r="BA1013" s="402"/>
      <c r="BB1013" s="402"/>
      <c r="BC1013" s="402"/>
      <c r="BD1013" s="402"/>
      <c r="BE1013" s="402"/>
      <c r="BF1013" s="402"/>
      <c r="BG1013" s="402"/>
      <c r="BH1013" s="402"/>
      <c r="BI1013" s="402"/>
      <c r="BJ1013" s="402"/>
      <c r="BK1013" s="402"/>
      <c r="BL1013" s="402"/>
      <c r="BM1013" s="402"/>
      <c r="BN1013" s="402"/>
      <c r="BO1013" s="402"/>
      <c r="BP1013" s="402"/>
      <c r="BQ1013" s="402"/>
      <c r="BR1013" s="402"/>
      <c r="BS1013" s="402"/>
      <c r="BT1013" s="402"/>
      <c r="BU1013" s="402"/>
      <c r="BV1013" s="402"/>
      <c r="BW1013" s="402"/>
      <c r="BX1013" s="402"/>
      <c r="BY1013" s="402"/>
      <c r="BZ1013" s="402"/>
      <c r="CA1013" s="402"/>
      <c r="CB1013" s="402"/>
      <c r="CC1013" s="402"/>
      <c r="CD1013" s="402"/>
      <c r="CE1013" s="402"/>
      <c r="CF1013" s="402"/>
      <c r="CG1013" s="402"/>
      <c r="CH1013" s="402"/>
      <c r="CI1013" s="402"/>
      <c r="CJ1013" s="402"/>
      <c r="CK1013" s="402"/>
      <c r="CL1013" s="402"/>
      <c r="CM1013" s="402"/>
      <c r="CN1013" s="402"/>
      <c r="CO1013" s="402"/>
      <c r="CP1013" s="402"/>
      <c r="CQ1013" s="402"/>
      <c r="CR1013" s="402"/>
      <c r="CS1013" s="402"/>
      <c r="CT1013" s="402"/>
      <c r="CU1013" s="402"/>
      <c r="CV1013" s="402"/>
      <c r="CW1013" s="402"/>
      <c r="CX1013" s="402"/>
      <c r="CY1013" s="402"/>
      <c r="CZ1013" s="402"/>
      <c r="DA1013" s="402"/>
      <c r="DB1013" s="402"/>
      <c r="DC1013" s="402"/>
      <c r="DD1013" s="402"/>
      <c r="DE1013" s="402"/>
      <c r="DF1013" s="402"/>
      <c r="DG1013" s="402"/>
      <c r="DH1013" s="402"/>
      <c r="DI1013" s="402"/>
      <c r="DJ1013" s="402"/>
      <c r="DK1013" s="402"/>
      <c r="DL1013" s="402"/>
      <c r="DM1013" s="402"/>
      <c r="DN1013" s="402"/>
      <c r="DO1013" s="402"/>
      <c r="DP1013" s="402"/>
      <c r="DQ1013" s="402"/>
    </row>
    <row r="1014" spans="1:121" s="759" customFormat="1" ht="14.45" customHeight="1" x14ac:dyDescent="0.25">
      <c r="A1014" s="266">
        <f t="shared" si="15"/>
        <v>58.43333333333333</v>
      </c>
      <c r="B1014" s="389">
        <v>41103</v>
      </c>
      <c r="C1014" s="390" t="s">
        <v>451</v>
      </c>
      <c r="D1014" s="391" t="s">
        <v>451</v>
      </c>
      <c r="E1014" s="390" t="s">
        <v>380</v>
      </c>
      <c r="F1014" s="262" t="s">
        <v>310</v>
      </c>
      <c r="G1014" s="262" t="s">
        <v>326</v>
      </c>
      <c r="H1014" s="261"/>
      <c r="I1014" s="261"/>
      <c r="J1014" s="261"/>
      <c r="K1014" s="261">
        <v>6</v>
      </c>
      <c r="L1014" s="261">
        <v>6</v>
      </c>
      <c r="M1014" s="261">
        <v>6</v>
      </c>
      <c r="N1014" s="261">
        <v>6</v>
      </c>
      <c r="O1014" s="261">
        <v>6</v>
      </c>
      <c r="P1014" s="261">
        <v>6</v>
      </c>
      <c r="Q1014" s="261">
        <v>6</v>
      </c>
      <c r="R1014" s="261"/>
      <c r="S1014" s="261"/>
      <c r="T1014" s="261"/>
      <c r="U1014" s="261"/>
      <c r="V1014" s="762"/>
      <c r="W1014" s="261"/>
      <c r="X1014" s="261"/>
      <c r="Y1014" s="264">
        <f>IF(NFI_Expiration=1,IF($A1014&lt;VLOOKUP(H$5,NFI,5,0),1,0)*Table_NFI[[#This Row],[Hygiene Kit]],Table_NFI[Hygiene Kit])</f>
        <v>0</v>
      </c>
      <c r="Z1014" s="264">
        <f>IF(NFI_Expiration=1,IF($A1014&lt;VLOOKUP(I$5,NFI,5,0),1,0)*Table_NFI[[#This Row],[NFI Core Kit]],Table_NFI[NFI Core Kit])</f>
        <v>0</v>
      </c>
      <c r="AA1014" s="264">
        <f>IF(NFI_Expiration=1,IF($A1014&lt;VLOOKUP(J$5,NFI,5,0),1,0)*Table_NFI[[#This Row],[Sanitary Kit]],Table_NFI[Sanitary Kit])</f>
        <v>0</v>
      </c>
      <c r="AB1014" s="264">
        <f>IF(NFI_Expiration=1,IF($A1014&lt;VLOOKUP(K$5,NFI,5,0),1,0)*Table_NFI[[#This Row],[Mosquito net]],Table_NFI[Mosquito net])</f>
        <v>0</v>
      </c>
      <c r="AC1014" s="264">
        <f>IF(NFI_Expiration=1,IF($A1014&lt;VLOOKUP(L$5,NFI,5,0),1,0)*Table_NFI[[#This Row],[Tarpaulin]],Table_NFI[[#This Row],[Tarpaulin]])</f>
        <v>0</v>
      </c>
      <c r="AD1014" s="264">
        <f>IF(NFI_Expiration=1,IF($A1014&lt;VLOOKUP(M$5,NFI,5,0),1,0)*Table_NFI[[#This Row],[Blanket]],Table_NFI[[#This Row],[Blanket]])</f>
        <v>0</v>
      </c>
      <c r="AE1014" s="264">
        <f>IF(NFI_Expiration=1,IF($A1014&lt;VLOOKUP(N$5,NFI,5,0),1,0)*Table_NFI[[#This Row],[Kitchen Set]],Table_NFI[Kitchen Set])</f>
        <v>0</v>
      </c>
      <c r="AF1014" s="264">
        <f>IF(NFI_Expiration=1,IF($A1014&lt;VLOOKUP(O$5,NFI,5,0),1,0)*Table_NFI[[#This Row],[Clothes Kit]],Table_NFI[Clothes Kit])</f>
        <v>0</v>
      </c>
      <c r="AG1014" s="264">
        <f>IF(NFI_Expiration=1,IF($A1014&lt;VLOOKUP(P$5,NFI,5,0),1,0)*Table_NFI[[#This Row],[Plastic Bucket]],Table_NFI[Plastic Bucket])</f>
        <v>0</v>
      </c>
      <c r="AH1014" s="264">
        <f>IF(NFI_Expiration=1,IF($A1014&lt;VLOOKUP(Q$5,NFI,5,0),1,0)*Table_NFI[[#This Row],[Plastic Mat]],Table_NFI[Plastic Mat])*IF(Table_NFI[[#This Row],[Distribution Date]]&gt;"2014-04-01",1,2.5)</f>
        <v>0</v>
      </c>
      <c r="AI1014" s="264">
        <f>IF(NFI_Expiration=1,IF($A1014&lt;VLOOKUP(R$5,NFI,5,0),1,0)*Table_NFI[[#This Row],[Winter Clothes Adult]],Table_NFI[Winter Clothes Adult])</f>
        <v>0</v>
      </c>
      <c r="AJ1014" s="264">
        <f>IF(NFI_Expiration=1,IF($A1014&lt;VLOOKUP(S$5,NFI,5,0),1,0)*Table_NFI[[#This Row],[Winter Clothes Children]],Table_NFI[Winter Clothes Children])</f>
        <v>0</v>
      </c>
      <c r="AK1014" s="264">
        <f>IF(NFI_Expiration=1,IF($A1014&lt;VLOOKUP(T$5,NFI,5,0),1,0)*Table_NFI[[#This Row],[Winter Items Other]],Table_NFI[Winter Items Other])</f>
        <v>0</v>
      </c>
      <c r="AL1014" s="264">
        <f>IF(NFI_Expiration=1,IF($A1014&lt;VLOOKUP(M$5,NFI,5,0),1,0)*Table_NFI[[#This Row],[Winter Blanket]],Table_NFI[[#This Row],[Winter Blanket]])</f>
        <v>0</v>
      </c>
      <c r="AM1014" s="264">
        <f>IF(Table_NFI[[#This Row],[Winter Clothes Adult]]+Table_NFI[[#This Row],[Winter Clothes Children]]+Table_NFI[[#This Row],[Winter Items Other]]+Table_NFI[[#This Row],[Winter Blanket]]&gt;0,1,0)</f>
        <v>0</v>
      </c>
      <c r="AN1014" s="296">
        <f>IF(NFI_Expiration=1,IF($A1014&lt;VLOOKUP(V$5,NFI,5,0),1,0)*Table_NFI[[#This Row],[Jerry Can]],Table_NFI[Jerry Can])</f>
        <v>0</v>
      </c>
      <c r="AO1014" s="296">
        <f>IF(NFI_Expiration=1,IF($A1014&lt;VLOOKUP(V$5,NFI,5,0),1,0)*Table_NFI[[#This Row],[Shelter Tool kit]],Table_NFI[Shelter Tool kit])</f>
        <v>0</v>
      </c>
      <c r="AP1014" s="296">
        <f>IF(NFI_Expiration=1,IF($A1014&lt;VLOOKUP(V$5,NFI,5,0),1,0)*Table_NFI[[#This Row],[Tent]],Table_NFI[Tent])</f>
        <v>0</v>
      </c>
      <c r="AQ1014" s="396" t="str">
        <f>IFERROR(VLOOKUP(Table_NFI[[#This Row],[Camp Name]],CL,2,0),"")</f>
        <v>MMR001CMP039</v>
      </c>
      <c r="AR1014" s="702">
        <f ca="1">IF(Table_NFI[[#This Row],[Pcode]]="","",IF(OFFSET(CampList[Opening Date],MATCH(Table_NFI[[#This Row],[Pcode]],CampList[CP_Pcode],0)-1,0,1,1)&gt;=NFI_Monitor_Date,1,0))</f>
        <v>0</v>
      </c>
      <c r="AS1014" s="396" t="str">
        <f>IFERROR(VLOOKUP(Table_NFI[[#This Row],[Camp Name]],CL,3,0),"")</f>
        <v>Open</v>
      </c>
      <c r="AT1014" s="264" t="str">
        <f ca="1">IF(Table_NFI[[#This Row],[Pcode]]="","",OFFSET(CampList[Priority],MATCH(Table_NFI[[#This Row],[Pcode]],CampList[CP_Pcode],0)-1,0,1,1))</f>
        <v>P4</v>
      </c>
      <c r="AU1014" s="263">
        <f>IFERROR(Table_NFI[[#This Row],[Kitchen Set]]/VLOOKUP(Table_NFI[[#This Row],[Camp Name]],CL,4,0),"")</f>
        <v>1.4677821811243211E-4</v>
      </c>
      <c r="AV1014" s="390" t="s">
        <v>1087</v>
      </c>
      <c r="AW1014" s="392"/>
      <c r="AX1014" s="402"/>
      <c r="AY1014" s="402"/>
      <c r="AZ1014" s="402"/>
      <c r="BA1014" s="402"/>
      <c r="BB1014" s="402"/>
      <c r="BC1014" s="402"/>
      <c r="BD1014" s="402"/>
      <c r="BE1014" s="402"/>
      <c r="BF1014" s="402"/>
      <c r="BG1014" s="402"/>
      <c r="BH1014" s="402"/>
      <c r="BI1014" s="402"/>
      <c r="BJ1014" s="402"/>
      <c r="BK1014" s="402"/>
      <c r="BL1014" s="402"/>
      <c r="BM1014" s="402"/>
      <c r="BN1014" s="402"/>
      <c r="BO1014" s="402"/>
      <c r="BP1014" s="402"/>
      <c r="BQ1014" s="402"/>
      <c r="BR1014" s="402"/>
      <c r="BS1014" s="402"/>
      <c r="BT1014" s="402"/>
      <c r="BU1014" s="402"/>
      <c r="BV1014" s="402"/>
      <c r="BW1014" s="402"/>
      <c r="BX1014" s="402"/>
      <c r="BY1014" s="402"/>
      <c r="BZ1014" s="402"/>
      <c r="CA1014" s="402"/>
      <c r="CB1014" s="402"/>
      <c r="CC1014" s="402"/>
      <c r="CD1014" s="402"/>
      <c r="CE1014" s="402"/>
      <c r="CF1014" s="402"/>
      <c r="CG1014" s="402"/>
      <c r="CH1014" s="402"/>
      <c r="CI1014" s="402"/>
      <c r="CJ1014" s="402"/>
      <c r="CK1014" s="402"/>
      <c r="CL1014" s="402"/>
      <c r="CM1014" s="402"/>
      <c r="CN1014" s="402"/>
      <c r="CO1014" s="402"/>
      <c r="CP1014" s="402"/>
      <c r="CQ1014" s="402"/>
      <c r="CR1014" s="402"/>
      <c r="CS1014" s="402"/>
      <c r="CT1014" s="402"/>
      <c r="CU1014" s="402"/>
      <c r="CV1014" s="402"/>
      <c r="CW1014" s="402"/>
      <c r="CX1014" s="402"/>
      <c r="CY1014" s="402"/>
      <c r="CZ1014" s="402"/>
      <c r="DA1014" s="402"/>
      <c r="DB1014" s="402"/>
      <c r="DC1014" s="402"/>
      <c r="DD1014" s="402"/>
      <c r="DE1014" s="402"/>
      <c r="DF1014" s="402"/>
      <c r="DG1014" s="402"/>
      <c r="DH1014" s="402"/>
      <c r="DI1014" s="402"/>
      <c r="DJ1014" s="402"/>
      <c r="DK1014" s="402"/>
      <c r="DL1014" s="402"/>
      <c r="DM1014" s="402"/>
      <c r="DN1014" s="402"/>
      <c r="DO1014" s="402"/>
      <c r="DP1014" s="402"/>
      <c r="DQ1014" s="402"/>
    </row>
    <row r="1015" spans="1:121" s="94" customFormat="1" ht="14.45" customHeight="1" x14ac:dyDescent="0.25">
      <c r="A1015" s="266">
        <f t="shared" si="15"/>
        <v>58.43333333333333</v>
      </c>
      <c r="B1015" s="389">
        <v>41103</v>
      </c>
      <c r="C1015" s="390" t="s">
        <v>451</v>
      </c>
      <c r="D1015" s="391" t="s">
        <v>451</v>
      </c>
      <c r="E1015" s="390" t="s">
        <v>380</v>
      </c>
      <c r="F1015" s="262" t="s">
        <v>310</v>
      </c>
      <c r="G1015" s="262" t="s">
        <v>318</v>
      </c>
      <c r="H1015" s="261"/>
      <c r="I1015" s="261"/>
      <c r="J1015" s="261"/>
      <c r="K1015" s="261">
        <v>13</v>
      </c>
      <c r="L1015" s="261">
        <v>13</v>
      </c>
      <c r="M1015" s="261">
        <v>13</v>
      </c>
      <c r="N1015" s="261">
        <v>13</v>
      </c>
      <c r="O1015" s="261">
        <v>13</v>
      </c>
      <c r="P1015" s="261">
        <v>13</v>
      </c>
      <c r="Q1015" s="261">
        <v>13</v>
      </c>
      <c r="R1015" s="261"/>
      <c r="S1015" s="261"/>
      <c r="T1015" s="261"/>
      <c r="U1015" s="261"/>
      <c r="V1015" s="762"/>
      <c r="W1015" s="261"/>
      <c r="X1015" s="261"/>
      <c r="Y1015" s="264">
        <f>IF(NFI_Expiration=1,IF($A1015&lt;VLOOKUP(H$5,NFI,5,0),1,0)*Table_NFI[[#This Row],[Hygiene Kit]],Table_NFI[Hygiene Kit])</f>
        <v>0</v>
      </c>
      <c r="Z1015" s="264">
        <f>IF(NFI_Expiration=1,IF($A1015&lt;VLOOKUP(I$5,NFI,5,0),1,0)*Table_NFI[[#This Row],[NFI Core Kit]],Table_NFI[NFI Core Kit])</f>
        <v>0</v>
      </c>
      <c r="AA1015" s="264">
        <f>IF(NFI_Expiration=1,IF($A1015&lt;VLOOKUP(J$5,NFI,5,0),1,0)*Table_NFI[[#This Row],[Sanitary Kit]],Table_NFI[Sanitary Kit])</f>
        <v>0</v>
      </c>
      <c r="AB1015" s="264">
        <f>IF(NFI_Expiration=1,IF($A1015&lt;VLOOKUP(K$5,NFI,5,0),1,0)*Table_NFI[[#This Row],[Mosquito net]],Table_NFI[Mosquito net])</f>
        <v>0</v>
      </c>
      <c r="AC1015" s="264">
        <f>IF(NFI_Expiration=1,IF($A1015&lt;VLOOKUP(L$5,NFI,5,0),1,0)*Table_NFI[[#This Row],[Tarpaulin]],Table_NFI[[#This Row],[Tarpaulin]])</f>
        <v>0</v>
      </c>
      <c r="AD1015" s="264">
        <f>IF(NFI_Expiration=1,IF($A1015&lt;VLOOKUP(M$5,NFI,5,0),1,0)*Table_NFI[[#This Row],[Blanket]],Table_NFI[[#This Row],[Blanket]])</f>
        <v>0</v>
      </c>
      <c r="AE1015" s="264">
        <f>IF(NFI_Expiration=1,IF($A1015&lt;VLOOKUP(N$5,NFI,5,0),1,0)*Table_NFI[[#This Row],[Kitchen Set]],Table_NFI[Kitchen Set])</f>
        <v>0</v>
      </c>
      <c r="AF1015" s="264">
        <f>IF(NFI_Expiration=1,IF($A1015&lt;VLOOKUP(O$5,NFI,5,0),1,0)*Table_NFI[[#This Row],[Clothes Kit]],Table_NFI[Clothes Kit])</f>
        <v>0</v>
      </c>
      <c r="AG1015" s="264">
        <f>IF(NFI_Expiration=1,IF($A1015&lt;VLOOKUP(P$5,NFI,5,0),1,0)*Table_NFI[[#This Row],[Plastic Bucket]],Table_NFI[Plastic Bucket])</f>
        <v>0</v>
      </c>
      <c r="AH1015" s="264">
        <f>IF(NFI_Expiration=1,IF($A1015&lt;VLOOKUP(Q$5,NFI,5,0),1,0)*Table_NFI[[#This Row],[Plastic Mat]],Table_NFI[Plastic Mat])*IF(Table_NFI[[#This Row],[Distribution Date]]&gt;"2014-04-01",1,2.5)</f>
        <v>0</v>
      </c>
      <c r="AI1015" s="264">
        <f>IF(NFI_Expiration=1,IF($A1015&lt;VLOOKUP(R$5,NFI,5,0),1,0)*Table_NFI[[#This Row],[Winter Clothes Adult]],Table_NFI[Winter Clothes Adult])</f>
        <v>0</v>
      </c>
      <c r="AJ1015" s="264">
        <f>IF(NFI_Expiration=1,IF($A1015&lt;VLOOKUP(S$5,NFI,5,0),1,0)*Table_NFI[[#This Row],[Winter Clothes Children]],Table_NFI[Winter Clothes Children])</f>
        <v>0</v>
      </c>
      <c r="AK1015" s="264">
        <f>IF(NFI_Expiration=1,IF($A1015&lt;VLOOKUP(T$5,NFI,5,0),1,0)*Table_NFI[[#This Row],[Winter Items Other]],Table_NFI[Winter Items Other])</f>
        <v>0</v>
      </c>
      <c r="AL1015" s="264">
        <f>IF(NFI_Expiration=1,IF($A1015&lt;VLOOKUP(M$5,NFI,5,0),1,0)*Table_NFI[[#This Row],[Winter Blanket]],Table_NFI[[#This Row],[Winter Blanket]])</f>
        <v>0</v>
      </c>
      <c r="AM1015" s="264">
        <f>IF(Table_NFI[[#This Row],[Winter Clothes Adult]]+Table_NFI[[#This Row],[Winter Clothes Children]]+Table_NFI[[#This Row],[Winter Items Other]]+Table_NFI[[#This Row],[Winter Blanket]]&gt;0,1,0)</f>
        <v>0</v>
      </c>
      <c r="AN1015" s="296">
        <f>IF(NFI_Expiration=1,IF($A1015&lt;VLOOKUP(V$5,NFI,5,0),1,0)*Table_NFI[[#This Row],[Jerry Can]],Table_NFI[Jerry Can])</f>
        <v>0</v>
      </c>
      <c r="AO1015" s="296">
        <f>IF(NFI_Expiration=1,IF($A1015&lt;VLOOKUP(V$5,NFI,5,0),1,0)*Table_NFI[[#This Row],[Shelter Tool kit]],Table_NFI[Shelter Tool kit])</f>
        <v>0</v>
      </c>
      <c r="AP1015" s="296">
        <f>IF(NFI_Expiration=1,IF($A1015&lt;VLOOKUP(V$5,NFI,5,0),1,0)*Table_NFI[[#This Row],[Tent]],Table_NFI[Tent])</f>
        <v>0</v>
      </c>
      <c r="AQ1015" s="396" t="str">
        <f>IFERROR(VLOOKUP(Table_NFI[[#This Row],[Camp Name]],CL,2,0),"")</f>
        <v>MMR001CMP032</v>
      </c>
      <c r="AR1015" s="702">
        <f ca="1">IF(Table_NFI[[#This Row],[Pcode]]="","",IF(OFFSET(CampList[Opening Date],MATCH(Table_NFI[[#This Row],[Pcode]],CampList[CP_Pcode],0)-1,0,1,1)&gt;=NFI_Monitor_Date,1,0))</f>
        <v>0</v>
      </c>
      <c r="AS1015" s="396" t="str">
        <f>IFERROR(VLOOKUP(Table_NFI[[#This Row],[Camp Name]],CL,3,0),"")</f>
        <v>Open</v>
      </c>
      <c r="AT1015" s="264" t="str">
        <f ca="1">IF(Table_NFI[[#This Row],[Pcode]]="","",OFFSET(CampList[Priority],MATCH(Table_NFI[[#This Row],[Pcode]],CampList[CP_Pcode],0)-1,0,1,1))</f>
        <v>P4</v>
      </c>
      <c r="AU1015" s="263">
        <f>IFERROR(Table_NFI[[#This Row],[Kitchen Set]]/VLOOKUP(Table_NFI[[#This Row],[Camp Name]],CL,4,0),"")</f>
        <v>3.1921424186617559E-4</v>
      </c>
      <c r="AV1015" s="390" t="s">
        <v>1087</v>
      </c>
      <c r="AW1015" s="392"/>
      <c r="AX1015" s="402"/>
      <c r="AY1015" s="402"/>
      <c r="AZ1015" s="402"/>
      <c r="BA1015" s="402"/>
      <c r="BB1015" s="402"/>
      <c r="BC1015" s="402"/>
      <c r="BD1015" s="402"/>
      <c r="BE1015" s="402"/>
      <c r="BF1015" s="402"/>
      <c r="BG1015" s="402"/>
      <c r="BH1015" s="402"/>
      <c r="BI1015" s="402"/>
      <c r="BJ1015" s="402"/>
      <c r="BK1015" s="402"/>
      <c r="BL1015" s="402"/>
      <c r="BM1015" s="402"/>
      <c r="BN1015" s="402"/>
      <c r="BO1015" s="402"/>
      <c r="BP1015" s="402"/>
      <c r="BQ1015" s="402"/>
      <c r="BR1015" s="402"/>
      <c r="BS1015" s="402"/>
      <c r="BT1015" s="402"/>
      <c r="BU1015" s="402"/>
      <c r="BV1015" s="402"/>
      <c r="BW1015" s="402"/>
      <c r="BX1015" s="402"/>
      <c r="BY1015" s="402"/>
      <c r="BZ1015" s="402"/>
      <c r="CA1015" s="402"/>
      <c r="CB1015" s="402"/>
      <c r="CC1015" s="402"/>
      <c r="CD1015" s="402"/>
      <c r="CE1015" s="402"/>
      <c r="CF1015" s="402"/>
      <c r="CG1015" s="402"/>
      <c r="CH1015" s="402"/>
      <c r="CI1015" s="402"/>
      <c r="CJ1015" s="402"/>
      <c r="CK1015" s="402"/>
      <c r="CL1015" s="402"/>
      <c r="CM1015" s="402"/>
      <c r="CN1015" s="402"/>
      <c r="CO1015" s="402"/>
      <c r="CP1015" s="402"/>
      <c r="CQ1015" s="402"/>
      <c r="CR1015" s="402"/>
      <c r="CS1015" s="402"/>
      <c r="CT1015" s="402"/>
      <c r="CU1015" s="402"/>
      <c r="CV1015" s="402"/>
      <c r="CW1015" s="402"/>
      <c r="CX1015" s="402"/>
      <c r="CY1015" s="402"/>
      <c r="CZ1015" s="402"/>
      <c r="DA1015" s="402"/>
      <c r="DB1015" s="402"/>
      <c r="DC1015" s="402"/>
      <c r="DD1015" s="402"/>
      <c r="DE1015" s="402"/>
      <c r="DF1015" s="402"/>
      <c r="DG1015" s="402"/>
      <c r="DH1015" s="402"/>
      <c r="DI1015" s="402"/>
      <c r="DJ1015" s="402"/>
      <c r="DK1015" s="402"/>
      <c r="DL1015" s="402"/>
      <c r="DM1015" s="402"/>
      <c r="DN1015" s="402"/>
      <c r="DO1015" s="402"/>
      <c r="DP1015" s="402"/>
      <c r="DQ1015" s="402"/>
    </row>
    <row r="1016" spans="1:121" s="94" customFormat="1" ht="14.45" customHeight="1" x14ac:dyDescent="0.25">
      <c r="A1016" s="266">
        <f t="shared" si="15"/>
        <v>58.43333333333333</v>
      </c>
      <c r="B1016" s="389">
        <v>41103</v>
      </c>
      <c r="C1016" s="390" t="s">
        <v>451</v>
      </c>
      <c r="D1016" s="391" t="s">
        <v>451</v>
      </c>
      <c r="E1016" s="390" t="s">
        <v>380</v>
      </c>
      <c r="F1016" s="262" t="s">
        <v>310</v>
      </c>
      <c r="G1016" s="262" t="s">
        <v>351</v>
      </c>
      <c r="H1016" s="261"/>
      <c r="I1016" s="261"/>
      <c r="J1016" s="261"/>
      <c r="K1016" s="261">
        <v>3</v>
      </c>
      <c r="L1016" s="261">
        <v>3</v>
      </c>
      <c r="M1016" s="261">
        <v>3</v>
      </c>
      <c r="N1016" s="261">
        <v>3</v>
      </c>
      <c r="O1016" s="261">
        <v>3</v>
      </c>
      <c r="P1016" s="261">
        <v>3</v>
      </c>
      <c r="Q1016" s="261">
        <v>3</v>
      </c>
      <c r="R1016" s="261"/>
      <c r="S1016" s="261"/>
      <c r="T1016" s="261"/>
      <c r="U1016" s="261"/>
      <c r="V1016" s="762"/>
      <c r="W1016" s="261"/>
      <c r="X1016" s="261"/>
      <c r="Y1016" s="264">
        <f>IF(NFI_Expiration=1,IF($A1016&lt;VLOOKUP(H$5,NFI,5,0),1,0)*Table_NFI[[#This Row],[Hygiene Kit]],Table_NFI[Hygiene Kit])</f>
        <v>0</v>
      </c>
      <c r="Z1016" s="264">
        <f>IF(NFI_Expiration=1,IF($A1016&lt;VLOOKUP(I$5,NFI,5,0),1,0)*Table_NFI[[#This Row],[NFI Core Kit]],Table_NFI[NFI Core Kit])</f>
        <v>0</v>
      </c>
      <c r="AA1016" s="264">
        <f>IF(NFI_Expiration=1,IF($A1016&lt;VLOOKUP(J$5,NFI,5,0),1,0)*Table_NFI[[#This Row],[Sanitary Kit]],Table_NFI[Sanitary Kit])</f>
        <v>0</v>
      </c>
      <c r="AB1016" s="264">
        <f>IF(NFI_Expiration=1,IF($A1016&lt;VLOOKUP(K$5,NFI,5,0),1,0)*Table_NFI[[#This Row],[Mosquito net]],Table_NFI[Mosquito net])</f>
        <v>0</v>
      </c>
      <c r="AC1016" s="264">
        <f>IF(NFI_Expiration=1,IF($A1016&lt;VLOOKUP(L$5,NFI,5,0),1,0)*Table_NFI[[#This Row],[Tarpaulin]],Table_NFI[[#This Row],[Tarpaulin]])</f>
        <v>0</v>
      </c>
      <c r="AD1016" s="264">
        <f>IF(NFI_Expiration=1,IF($A1016&lt;VLOOKUP(M$5,NFI,5,0),1,0)*Table_NFI[[#This Row],[Blanket]],Table_NFI[[#This Row],[Blanket]])</f>
        <v>0</v>
      </c>
      <c r="AE1016" s="264">
        <f>IF(NFI_Expiration=1,IF($A1016&lt;VLOOKUP(N$5,NFI,5,0),1,0)*Table_NFI[[#This Row],[Kitchen Set]],Table_NFI[Kitchen Set])</f>
        <v>0</v>
      </c>
      <c r="AF1016" s="264">
        <f>IF(NFI_Expiration=1,IF($A1016&lt;VLOOKUP(O$5,NFI,5,0),1,0)*Table_NFI[[#This Row],[Clothes Kit]],Table_NFI[Clothes Kit])</f>
        <v>0</v>
      </c>
      <c r="AG1016" s="264">
        <f>IF(NFI_Expiration=1,IF($A1016&lt;VLOOKUP(P$5,NFI,5,0),1,0)*Table_NFI[[#This Row],[Plastic Bucket]],Table_NFI[Plastic Bucket])</f>
        <v>0</v>
      </c>
      <c r="AH1016" s="264">
        <f>IF(NFI_Expiration=1,IF($A1016&lt;VLOOKUP(Q$5,NFI,5,0),1,0)*Table_NFI[[#This Row],[Plastic Mat]],Table_NFI[Plastic Mat])*IF(Table_NFI[[#This Row],[Distribution Date]]&gt;"2014-04-01",1,2.5)</f>
        <v>0</v>
      </c>
      <c r="AI1016" s="264">
        <f>IF(NFI_Expiration=1,IF($A1016&lt;VLOOKUP(R$5,NFI,5,0),1,0)*Table_NFI[[#This Row],[Winter Clothes Adult]],Table_NFI[Winter Clothes Adult])</f>
        <v>0</v>
      </c>
      <c r="AJ1016" s="264">
        <f>IF(NFI_Expiration=1,IF($A1016&lt;VLOOKUP(S$5,NFI,5,0),1,0)*Table_NFI[[#This Row],[Winter Clothes Children]],Table_NFI[Winter Clothes Children])</f>
        <v>0</v>
      </c>
      <c r="AK1016" s="264">
        <f>IF(NFI_Expiration=1,IF($A1016&lt;VLOOKUP(T$5,NFI,5,0),1,0)*Table_NFI[[#This Row],[Winter Items Other]],Table_NFI[Winter Items Other])</f>
        <v>0</v>
      </c>
      <c r="AL1016" s="264">
        <f>IF(NFI_Expiration=1,IF($A1016&lt;VLOOKUP(M$5,NFI,5,0),1,0)*Table_NFI[[#This Row],[Winter Blanket]],Table_NFI[[#This Row],[Winter Blanket]])</f>
        <v>0</v>
      </c>
      <c r="AM1016" s="264">
        <f>IF(Table_NFI[[#This Row],[Winter Clothes Adult]]+Table_NFI[[#This Row],[Winter Clothes Children]]+Table_NFI[[#This Row],[Winter Items Other]]+Table_NFI[[#This Row],[Winter Blanket]]&gt;0,1,0)</f>
        <v>0</v>
      </c>
      <c r="AN1016" s="296">
        <f>IF(NFI_Expiration=1,IF($A1016&lt;VLOOKUP(V$5,NFI,5,0),1,0)*Table_NFI[[#This Row],[Jerry Can]],Table_NFI[Jerry Can])</f>
        <v>0</v>
      </c>
      <c r="AO1016" s="296">
        <f>IF(NFI_Expiration=1,IF($A1016&lt;VLOOKUP(V$5,NFI,5,0),1,0)*Table_NFI[[#This Row],[Shelter Tool kit]],Table_NFI[Shelter Tool kit])</f>
        <v>0</v>
      </c>
      <c r="AP1016" s="296">
        <f>IF(NFI_Expiration=1,IF($A1016&lt;VLOOKUP(V$5,NFI,5,0),1,0)*Table_NFI[[#This Row],[Tent]],Table_NFI[Tent])</f>
        <v>0</v>
      </c>
      <c r="AQ1016" s="396" t="str">
        <f>IFERROR(VLOOKUP(Table_NFI[[#This Row],[Camp Name]],CL,2,0),"")</f>
        <v>MMR001CMP026</v>
      </c>
      <c r="AR1016" s="702">
        <f ca="1">IF(Table_NFI[[#This Row],[Pcode]]="","",IF(OFFSET(CampList[Opening Date],MATCH(Table_NFI[[#This Row],[Pcode]],CampList[CP_Pcode],0)-1,0,1,1)&gt;=NFI_Monitor_Date,1,0))</f>
        <v>0</v>
      </c>
      <c r="AS1016" s="396" t="str">
        <f>IFERROR(VLOOKUP(Table_NFI[[#This Row],[Camp Name]],CL,3,0),"")</f>
        <v>Open</v>
      </c>
      <c r="AT1016" s="264" t="str">
        <f ca="1">IF(Table_NFI[[#This Row],[Pcode]]="","",OFFSET(CampList[Priority],MATCH(Table_NFI[[#This Row],[Pcode]],CampList[CP_Pcode],0)-1,0,1,1))</f>
        <v>P4</v>
      </c>
      <c r="AU1016" s="263">
        <f>IFERROR(Table_NFI[[#This Row],[Kitchen Set]]/VLOOKUP(Table_NFI[[#This Row],[Camp Name]],CL,4,0),"")</f>
        <v>7.3277967757694182E-5</v>
      </c>
      <c r="AV1016" s="390" t="s">
        <v>1087</v>
      </c>
      <c r="AW1016" s="392"/>
      <c r="AX1016" s="402"/>
      <c r="AY1016" s="402"/>
      <c r="AZ1016" s="402"/>
      <c r="BA1016" s="402"/>
      <c r="BB1016" s="402"/>
      <c r="BC1016" s="402"/>
      <c r="BD1016" s="402"/>
      <c r="BE1016" s="402"/>
      <c r="BF1016" s="402"/>
      <c r="BG1016" s="402"/>
      <c r="BH1016" s="402"/>
      <c r="BI1016" s="402"/>
      <c r="BJ1016" s="402"/>
      <c r="BK1016" s="402"/>
      <c r="BL1016" s="402"/>
      <c r="BM1016" s="402"/>
      <c r="BN1016" s="402"/>
      <c r="BO1016" s="402"/>
      <c r="BP1016" s="402"/>
      <c r="BQ1016" s="402"/>
      <c r="BR1016" s="402"/>
      <c r="BS1016" s="402"/>
      <c r="BT1016" s="402"/>
      <c r="BU1016" s="402"/>
      <c r="BV1016" s="402"/>
      <c r="BW1016" s="402"/>
      <c r="BX1016" s="402"/>
      <c r="BY1016" s="402"/>
      <c r="BZ1016" s="402"/>
      <c r="CA1016" s="402"/>
      <c r="CB1016" s="402"/>
      <c r="CC1016" s="402"/>
      <c r="CD1016" s="402"/>
      <c r="CE1016" s="402"/>
      <c r="CF1016" s="402"/>
      <c r="CG1016" s="402"/>
      <c r="CH1016" s="402"/>
      <c r="CI1016" s="402"/>
      <c r="CJ1016" s="402"/>
      <c r="CK1016" s="402"/>
      <c r="CL1016" s="402"/>
      <c r="CM1016" s="402"/>
      <c r="CN1016" s="402"/>
      <c r="CO1016" s="402"/>
      <c r="CP1016" s="402"/>
      <c r="CQ1016" s="402"/>
      <c r="CR1016" s="402"/>
      <c r="CS1016" s="402"/>
      <c r="CT1016" s="402"/>
      <c r="CU1016" s="402"/>
      <c r="CV1016" s="402"/>
      <c r="CW1016" s="402"/>
      <c r="CX1016" s="402"/>
      <c r="CY1016" s="402"/>
      <c r="CZ1016" s="402"/>
      <c r="DA1016" s="402"/>
      <c r="DB1016" s="402"/>
      <c r="DC1016" s="402"/>
      <c r="DD1016" s="402"/>
      <c r="DE1016" s="402"/>
      <c r="DF1016" s="402"/>
      <c r="DG1016" s="402"/>
      <c r="DH1016" s="402"/>
      <c r="DI1016" s="402"/>
      <c r="DJ1016" s="402"/>
      <c r="DK1016" s="402"/>
      <c r="DL1016" s="402"/>
      <c r="DM1016" s="402"/>
      <c r="DN1016" s="402"/>
      <c r="DO1016" s="402"/>
      <c r="DP1016" s="402"/>
      <c r="DQ1016" s="402"/>
    </row>
    <row r="1017" spans="1:121" s="759" customFormat="1" ht="14.45" customHeight="1" x14ac:dyDescent="0.25">
      <c r="A1017" s="266">
        <f t="shared" si="15"/>
        <v>58.43333333333333</v>
      </c>
      <c r="B1017" s="389">
        <v>41103</v>
      </c>
      <c r="C1017" s="390" t="s">
        <v>451</v>
      </c>
      <c r="D1017" s="390" t="s">
        <v>451</v>
      </c>
      <c r="E1017" s="390" t="s">
        <v>380</v>
      </c>
      <c r="F1017" s="262" t="s">
        <v>310</v>
      </c>
      <c r="G1017" s="262" t="s">
        <v>349</v>
      </c>
      <c r="H1017" s="261"/>
      <c r="I1017" s="261"/>
      <c r="J1017" s="261"/>
      <c r="K1017" s="261">
        <v>8</v>
      </c>
      <c r="L1017" s="261">
        <v>8</v>
      </c>
      <c r="M1017" s="261">
        <v>8</v>
      </c>
      <c r="N1017" s="261">
        <v>8</v>
      </c>
      <c r="O1017" s="261">
        <v>8</v>
      </c>
      <c r="P1017" s="261">
        <v>8</v>
      </c>
      <c r="Q1017" s="261">
        <v>8</v>
      </c>
      <c r="R1017" s="261"/>
      <c r="S1017" s="261"/>
      <c r="T1017" s="261"/>
      <c r="U1017" s="261"/>
      <c r="V1017" s="762"/>
      <c r="W1017" s="261"/>
      <c r="X1017" s="261"/>
      <c r="Y1017" s="264">
        <f>IF(NFI_Expiration=1,IF($A1017&lt;VLOOKUP(H$5,NFI,5,0),1,0)*Table_NFI[[#This Row],[Hygiene Kit]],Table_NFI[Hygiene Kit])</f>
        <v>0</v>
      </c>
      <c r="Z1017" s="264">
        <f>IF(NFI_Expiration=1,IF($A1017&lt;VLOOKUP(I$5,NFI,5,0),1,0)*Table_NFI[[#This Row],[NFI Core Kit]],Table_NFI[NFI Core Kit])</f>
        <v>0</v>
      </c>
      <c r="AA1017" s="264">
        <f>IF(NFI_Expiration=1,IF($A1017&lt;VLOOKUP(J$5,NFI,5,0),1,0)*Table_NFI[[#This Row],[Sanitary Kit]],Table_NFI[Sanitary Kit])</f>
        <v>0</v>
      </c>
      <c r="AB1017" s="264">
        <f>IF(NFI_Expiration=1,IF($A1017&lt;VLOOKUP(K$5,NFI,5,0),1,0)*Table_NFI[[#This Row],[Mosquito net]],Table_NFI[Mosquito net])</f>
        <v>0</v>
      </c>
      <c r="AC1017" s="264">
        <f>IF(NFI_Expiration=1,IF($A1017&lt;VLOOKUP(L$5,NFI,5,0),1,0)*Table_NFI[[#This Row],[Tarpaulin]],Table_NFI[[#This Row],[Tarpaulin]])</f>
        <v>0</v>
      </c>
      <c r="AD1017" s="264">
        <f>IF(NFI_Expiration=1,IF($A1017&lt;VLOOKUP(M$5,NFI,5,0),1,0)*Table_NFI[[#This Row],[Blanket]],Table_NFI[[#This Row],[Blanket]])</f>
        <v>0</v>
      </c>
      <c r="AE1017" s="264">
        <f>IF(NFI_Expiration=1,IF($A1017&lt;VLOOKUP(N$5,NFI,5,0),1,0)*Table_NFI[[#This Row],[Kitchen Set]],Table_NFI[Kitchen Set])</f>
        <v>0</v>
      </c>
      <c r="AF1017" s="264">
        <f>IF(NFI_Expiration=1,IF($A1017&lt;VLOOKUP(O$5,NFI,5,0),1,0)*Table_NFI[[#This Row],[Clothes Kit]],Table_NFI[Clothes Kit])</f>
        <v>0</v>
      </c>
      <c r="AG1017" s="264">
        <f>IF(NFI_Expiration=1,IF($A1017&lt;VLOOKUP(P$5,NFI,5,0),1,0)*Table_NFI[[#This Row],[Plastic Bucket]],Table_NFI[Plastic Bucket])</f>
        <v>0</v>
      </c>
      <c r="AH1017" s="264">
        <f>IF(NFI_Expiration=1,IF($A1017&lt;VLOOKUP(Q$5,NFI,5,0),1,0)*Table_NFI[[#This Row],[Plastic Mat]],Table_NFI[Plastic Mat])*IF(Table_NFI[[#This Row],[Distribution Date]]&gt;"2014-04-01",1,2.5)</f>
        <v>0</v>
      </c>
      <c r="AI1017" s="264">
        <f>IF(NFI_Expiration=1,IF($A1017&lt;VLOOKUP(R$5,NFI,5,0),1,0)*Table_NFI[[#This Row],[Winter Clothes Adult]],Table_NFI[Winter Clothes Adult])</f>
        <v>0</v>
      </c>
      <c r="AJ1017" s="264">
        <f>IF(NFI_Expiration=1,IF($A1017&lt;VLOOKUP(S$5,NFI,5,0),1,0)*Table_NFI[[#This Row],[Winter Clothes Children]],Table_NFI[Winter Clothes Children])</f>
        <v>0</v>
      </c>
      <c r="AK1017" s="264">
        <f>IF(NFI_Expiration=1,IF($A1017&lt;VLOOKUP(T$5,NFI,5,0),1,0)*Table_NFI[[#This Row],[Winter Items Other]],Table_NFI[Winter Items Other])</f>
        <v>0</v>
      </c>
      <c r="AL1017" s="264">
        <f>IF(NFI_Expiration=1,IF($A1017&lt;VLOOKUP(M$5,NFI,5,0),1,0)*Table_NFI[[#This Row],[Winter Blanket]],Table_NFI[[#This Row],[Winter Blanket]])</f>
        <v>0</v>
      </c>
      <c r="AM1017" s="264">
        <f>IF(Table_NFI[[#This Row],[Winter Clothes Adult]]+Table_NFI[[#This Row],[Winter Clothes Children]]+Table_NFI[[#This Row],[Winter Items Other]]+Table_NFI[[#This Row],[Winter Blanket]]&gt;0,1,0)</f>
        <v>0</v>
      </c>
      <c r="AN1017" s="296">
        <f>IF(NFI_Expiration=1,IF($A1017&lt;VLOOKUP(V$5,NFI,5,0),1,0)*Table_NFI[[#This Row],[Jerry Can]],Table_NFI[Jerry Can])</f>
        <v>0</v>
      </c>
      <c r="AO1017" s="296">
        <f>IF(NFI_Expiration=1,IF($A1017&lt;VLOOKUP(V$5,NFI,5,0),1,0)*Table_NFI[[#This Row],[Shelter Tool kit]],Table_NFI[Shelter Tool kit])</f>
        <v>0</v>
      </c>
      <c r="AP1017" s="296">
        <f>IF(NFI_Expiration=1,IF($A1017&lt;VLOOKUP(V$5,NFI,5,0),1,0)*Table_NFI[[#This Row],[Tent]],Table_NFI[Tent])</f>
        <v>0</v>
      </c>
      <c r="AQ1017" s="396" t="str">
        <f>IFERROR(VLOOKUP(Table_NFI[[#This Row],[Camp Name]],CL,2,0),"")</f>
        <v>MMR001CMP037</v>
      </c>
      <c r="AR1017" s="702">
        <f ca="1">IF(Table_NFI[[#This Row],[Pcode]]="","",IF(OFFSET(CampList[Opening Date],MATCH(Table_NFI[[#This Row],[Pcode]],CampList[CP_Pcode],0)-1,0,1,1)&gt;=NFI_Monitor_Date,1,0))</f>
        <v>0</v>
      </c>
      <c r="AS1017" s="396" t="str">
        <f>IFERROR(VLOOKUP(Table_NFI[[#This Row],[Camp Name]],CL,3,0),"")</f>
        <v>Open</v>
      </c>
      <c r="AT1017" s="264" t="str">
        <f ca="1">IF(Table_NFI[[#This Row],[Pcode]]="","",OFFSET(CampList[Priority],MATCH(Table_NFI[[#This Row],[Pcode]],CampList[CP_Pcode],0)-1,0,1,1))</f>
        <v>P4</v>
      </c>
      <c r="AU1017" s="263">
        <f>IFERROR(Table_NFI[[#This Row],[Kitchen Set]]/VLOOKUP(Table_NFI[[#This Row],[Camp Name]],CL,4,0),"")</f>
        <v>1.9584802193497845E-4</v>
      </c>
      <c r="AV1017" s="390" t="s">
        <v>1087</v>
      </c>
      <c r="AW1017" s="392"/>
      <c r="AX1017" s="402"/>
      <c r="AY1017" s="402"/>
      <c r="AZ1017" s="402"/>
      <c r="BA1017" s="402"/>
      <c r="BB1017" s="402"/>
      <c r="BC1017" s="402"/>
      <c r="BD1017" s="402"/>
      <c r="BE1017" s="402"/>
      <c r="BF1017" s="402"/>
      <c r="BG1017" s="402"/>
      <c r="BH1017" s="402"/>
      <c r="BI1017" s="402"/>
      <c r="BJ1017" s="402"/>
      <c r="BK1017" s="402"/>
      <c r="BL1017" s="402"/>
      <c r="BM1017" s="402"/>
      <c r="BN1017" s="402"/>
      <c r="BO1017" s="402"/>
      <c r="BP1017" s="402"/>
      <c r="BQ1017" s="402"/>
      <c r="BR1017" s="402"/>
      <c r="BS1017" s="402"/>
      <c r="BT1017" s="402"/>
      <c r="BU1017" s="402"/>
      <c r="BV1017" s="402"/>
      <c r="BW1017" s="402"/>
      <c r="BX1017" s="402"/>
      <c r="BY1017" s="402"/>
      <c r="BZ1017" s="402"/>
      <c r="CA1017" s="402"/>
      <c r="CB1017" s="402"/>
      <c r="CC1017" s="402"/>
      <c r="CD1017" s="402"/>
      <c r="CE1017" s="402"/>
      <c r="CF1017" s="402"/>
      <c r="CG1017" s="402"/>
      <c r="CH1017" s="402"/>
      <c r="CI1017" s="402"/>
      <c r="CJ1017" s="402"/>
      <c r="CK1017" s="402"/>
      <c r="CL1017" s="402"/>
      <c r="CM1017" s="402"/>
      <c r="CN1017" s="402"/>
      <c r="CO1017" s="402"/>
      <c r="CP1017" s="402"/>
      <c r="CQ1017" s="402"/>
      <c r="CR1017" s="402"/>
      <c r="CS1017" s="402"/>
      <c r="CT1017" s="402"/>
      <c r="CU1017" s="402"/>
      <c r="CV1017" s="402"/>
      <c r="CW1017" s="402"/>
      <c r="CX1017" s="402"/>
      <c r="CY1017" s="402"/>
      <c r="CZ1017" s="402"/>
      <c r="DA1017" s="402"/>
      <c r="DB1017" s="402"/>
      <c r="DC1017" s="402"/>
      <c r="DD1017" s="402"/>
      <c r="DE1017" s="402"/>
      <c r="DF1017" s="402"/>
      <c r="DG1017" s="402"/>
      <c r="DH1017" s="402"/>
      <c r="DI1017" s="402"/>
      <c r="DJ1017" s="402"/>
      <c r="DK1017" s="402"/>
      <c r="DL1017" s="402"/>
      <c r="DM1017" s="402"/>
      <c r="DN1017" s="402"/>
      <c r="DO1017" s="402"/>
      <c r="DP1017" s="402"/>
      <c r="DQ1017" s="402"/>
    </row>
    <row r="1018" spans="1:121" s="759" customFormat="1" ht="14.45" customHeight="1" x14ac:dyDescent="0.25">
      <c r="A1018" s="266">
        <f t="shared" si="15"/>
        <v>58.43333333333333</v>
      </c>
      <c r="B1018" s="389">
        <v>41103</v>
      </c>
      <c r="C1018" s="390" t="s">
        <v>451</v>
      </c>
      <c r="D1018" s="391" t="s">
        <v>451</v>
      </c>
      <c r="E1018" s="390" t="s">
        <v>380</v>
      </c>
      <c r="F1018" s="262" t="s">
        <v>310</v>
      </c>
      <c r="G1018" s="262" t="s">
        <v>311</v>
      </c>
      <c r="H1018" s="261"/>
      <c r="I1018" s="261"/>
      <c r="J1018" s="261"/>
      <c r="K1018" s="261">
        <v>2</v>
      </c>
      <c r="L1018" s="261">
        <v>2</v>
      </c>
      <c r="M1018" s="261">
        <v>2</v>
      </c>
      <c r="N1018" s="261">
        <v>2</v>
      </c>
      <c r="O1018" s="261">
        <v>2</v>
      </c>
      <c r="P1018" s="261">
        <v>2</v>
      </c>
      <c r="Q1018" s="261">
        <v>2</v>
      </c>
      <c r="R1018" s="261"/>
      <c r="S1018" s="261"/>
      <c r="T1018" s="261"/>
      <c r="U1018" s="261"/>
      <c r="V1018" s="762"/>
      <c r="W1018" s="261"/>
      <c r="X1018" s="261"/>
      <c r="Y1018" s="264">
        <f>IF(NFI_Expiration=1,IF($A1018&lt;VLOOKUP(H$5,NFI,5,0),1,0)*Table_NFI[[#This Row],[Hygiene Kit]],Table_NFI[Hygiene Kit])</f>
        <v>0</v>
      </c>
      <c r="Z1018" s="264">
        <f>IF(NFI_Expiration=1,IF($A1018&lt;VLOOKUP(I$5,NFI,5,0),1,0)*Table_NFI[[#This Row],[NFI Core Kit]],Table_NFI[NFI Core Kit])</f>
        <v>0</v>
      </c>
      <c r="AA1018" s="264">
        <f>IF(NFI_Expiration=1,IF($A1018&lt;VLOOKUP(J$5,NFI,5,0),1,0)*Table_NFI[[#This Row],[Sanitary Kit]],Table_NFI[Sanitary Kit])</f>
        <v>0</v>
      </c>
      <c r="AB1018" s="264">
        <f>IF(NFI_Expiration=1,IF($A1018&lt;VLOOKUP(K$5,NFI,5,0),1,0)*Table_NFI[[#This Row],[Mosquito net]],Table_NFI[Mosquito net])</f>
        <v>0</v>
      </c>
      <c r="AC1018" s="264">
        <f>IF(NFI_Expiration=1,IF($A1018&lt;VLOOKUP(L$5,NFI,5,0),1,0)*Table_NFI[[#This Row],[Tarpaulin]],Table_NFI[[#This Row],[Tarpaulin]])</f>
        <v>0</v>
      </c>
      <c r="AD1018" s="264">
        <f>IF(NFI_Expiration=1,IF($A1018&lt;VLOOKUP(M$5,NFI,5,0),1,0)*Table_NFI[[#This Row],[Blanket]],Table_NFI[[#This Row],[Blanket]])</f>
        <v>0</v>
      </c>
      <c r="AE1018" s="264">
        <f>IF(NFI_Expiration=1,IF($A1018&lt;VLOOKUP(N$5,NFI,5,0),1,0)*Table_NFI[[#This Row],[Kitchen Set]],Table_NFI[Kitchen Set])</f>
        <v>0</v>
      </c>
      <c r="AF1018" s="264">
        <f>IF(NFI_Expiration=1,IF($A1018&lt;VLOOKUP(O$5,NFI,5,0),1,0)*Table_NFI[[#This Row],[Clothes Kit]],Table_NFI[Clothes Kit])</f>
        <v>0</v>
      </c>
      <c r="AG1018" s="264">
        <f>IF(NFI_Expiration=1,IF($A1018&lt;VLOOKUP(P$5,NFI,5,0),1,0)*Table_NFI[[#This Row],[Plastic Bucket]],Table_NFI[Plastic Bucket])</f>
        <v>0</v>
      </c>
      <c r="AH1018" s="264">
        <f>IF(NFI_Expiration=1,IF($A1018&lt;VLOOKUP(Q$5,NFI,5,0),1,0)*Table_NFI[[#This Row],[Plastic Mat]],Table_NFI[Plastic Mat])*IF(Table_NFI[[#This Row],[Distribution Date]]&gt;"2014-04-01",1,2.5)</f>
        <v>0</v>
      </c>
      <c r="AI1018" s="264">
        <f>IF(NFI_Expiration=1,IF($A1018&lt;VLOOKUP(R$5,NFI,5,0),1,0)*Table_NFI[[#This Row],[Winter Clothes Adult]],Table_NFI[Winter Clothes Adult])</f>
        <v>0</v>
      </c>
      <c r="AJ1018" s="264">
        <f>IF(NFI_Expiration=1,IF($A1018&lt;VLOOKUP(S$5,NFI,5,0),1,0)*Table_NFI[[#This Row],[Winter Clothes Children]],Table_NFI[Winter Clothes Children])</f>
        <v>0</v>
      </c>
      <c r="AK1018" s="264">
        <f>IF(NFI_Expiration=1,IF($A1018&lt;VLOOKUP(T$5,NFI,5,0),1,0)*Table_NFI[[#This Row],[Winter Items Other]],Table_NFI[Winter Items Other])</f>
        <v>0</v>
      </c>
      <c r="AL1018" s="264">
        <f>IF(NFI_Expiration=1,IF($A1018&lt;VLOOKUP(M$5,NFI,5,0),1,0)*Table_NFI[[#This Row],[Winter Blanket]],Table_NFI[[#This Row],[Winter Blanket]])</f>
        <v>0</v>
      </c>
      <c r="AM1018" s="264">
        <f>IF(Table_NFI[[#This Row],[Winter Clothes Adult]]+Table_NFI[[#This Row],[Winter Clothes Children]]+Table_NFI[[#This Row],[Winter Items Other]]+Table_NFI[[#This Row],[Winter Blanket]]&gt;0,1,0)</f>
        <v>0</v>
      </c>
      <c r="AN1018" s="296">
        <f>IF(NFI_Expiration=1,IF($A1018&lt;VLOOKUP(V$5,NFI,5,0),1,0)*Table_NFI[[#This Row],[Jerry Can]],Table_NFI[Jerry Can])</f>
        <v>0</v>
      </c>
      <c r="AO1018" s="296">
        <f>IF(NFI_Expiration=1,IF($A1018&lt;VLOOKUP(V$5,NFI,5,0),1,0)*Table_NFI[[#This Row],[Shelter Tool kit]],Table_NFI[Shelter Tool kit])</f>
        <v>0</v>
      </c>
      <c r="AP1018" s="296">
        <f>IF(NFI_Expiration=1,IF($A1018&lt;VLOOKUP(V$5,NFI,5,0),1,0)*Table_NFI[[#This Row],[Tent]],Table_NFI[Tent])</f>
        <v>0</v>
      </c>
      <c r="AQ1018" s="396" t="str">
        <f>IFERROR(VLOOKUP(Table_NFI[[#This Row],[Camp Name]],CL,2,0),"")</f>
        <v>MMR001CMP036</v>
      </c>
      <c r="AR1018" s="702">
        <f ca="1">IF(Table_NFI[[#This Row],[Pcode]]="","",IF(OFFSET(CampList[Opening Date],MATCH(Table_NFI[[#This Row],[Pcode]],CampList[CP_Pcode],0)-1,0,1,1)&gt;=NFI_Monitor_Date,1,0))</f>
        <v>0</v>
      </c>
      <c r="AS1018" s="396" t="str">
        <f>IFERROR(VLOOKUP(Table_NFI[[#This Row],[Camp Name]],CL,3,0),"")</f>
        <v>Closed</v>
      </c>
      <c r="AT1018" s="264" t="str">
        <f ca="1">IF(Table_NFI[[#This Row],[Pcode]]="","",OFFSET(CampList[Priority],MATCH(Table_NFI[[#This Row],[Pcode]],CampList[CP_Pcode],0)-1,0,1,1))</f>
        <v>P4</v>
      </c>
      <c r="AU1018" s="263">
        <f>IFERROR(Table_NFI[[#This Row],[Kitchen Set]]/VLOOKUP(Table_NFI[[#This Row],[Camp Name]],CL,4,0),"")</f>
        <v>4.8962005483744613E-5</v>
      </c>
      <c r="AV1018" s="390" t="s">
        <v>1087</v>
      </c>
      <c r="AW1018" s="392"/>
      <c r="AX1018" s="402"/>
      <c r="AY1018" s="402"/>
      <c r="AZ1018" s="402"/>
      <c r="BA1018" s="402"/>
      <c r="BB1018" s="402"/>
      <c r="BC1018" s="402"/>
      <c r="BD1018" s="402"/>
      <c r="BE1018" s="402"/>
      <c r="BF1018" s="402"/>
      <c r="BG1018" s="402"/>
      <c r="BH1018" s="402"/>
      <c r="BI1018" s="402"/>
      <c r="BJ1018" s="402"/>
      <c r="BK1018" s="402"/>
      <c r="BL1018" s="402"/>
      <c r="BM1018" s="402"/>
      <c r="BN1018" s="402"/>
      <c r="BO1018" s="402"/>
      <c r="BP1018" s="402"/>
      <c r="BQ1018" s="402"/>
      <c r="BR1018" s="402"/>
      <c r="BS1018" s="402"/>
      <c r="BT1018" s="402"/>
      <c r="BU1018" s="402"/>
      <c r="BV1018" s="402"/>
      <c r="BW1018" s="402"/>
      <c r="BX1018" s="402"/>
      <c r="BY1018" s="402"/>
      <c r="BZ1018" s="402"/>
      <c r="CA1018" s="402"/>
      <c r="CB1018" s="402"/>
      <c r="CC1018" s="402"/>
      <c r="CD1018" s="402"/>
      <c r="CE1018" s="402"/>
      <c r="CF1018" s="402"/>
      <c r="CG1018" s="402"/>
      <c r="CH1018" s="402"/>
      <c r="CI1018" s="402"/>
      <c r="CJ1018" s="402"/>
      <c r="CK1018" s="402"/>
      <c r="CL1018" s="402"/>
      <c r="CM1018" s="402"/>
      <c r="CN1018" s="402"/>
      <c r="CO1018" s="402"/>
      <c r="CP1018" s="402"/>
      <c r="CQ1018" s="402"/>
      <c r="CR1018" s="402"/>
      <c r="CS1018" s="402"/>
      <c r="CT1018" s="402"/>
      <c r="CU1018" s="402"/>
      <c r="CV1018" s="402"/>
      <c r="CW1018" s="402"/>
      <c r="CX1018" s="402"/>
      <c r="CY1018" s="402"/>
      <c r="CZ1018" s="402"/>
      <c r="DA1018" s="402"/>
      <c r="DB1018" s="402"/>
      <c r="DC1018" s="402"/>
      <c r="DD1018" s="402"/>
      <c r="DE1018" s="402"/>
      <c r="DF1018" s="402"/>
      <c r="DG1018" s="402"/>
      <c r="DH1018" s="402"/>
      <c r="DI1018" s="402"/>
      <c r="DJ1018" s="402"/>
      <c r="DK1018" s="402"/>
      <c r="DL1018" s="402"/>
      <c r="DM1018" s="402"/>
      <c r="DN1018" s="402"/>
      <c r="DO1018" s="402"/>
      <c r="DP1018" s="402"/>
      <c r="DQ1018" s="402"/>
    </row>
    <row r="1019" spans="1:121" s="759" customFormat="1" ht="14.45" customHeight="1" x14ac:dyDescent="0.25">
      <c r="A1019" s="266">
        <f t="shared" si="15"/>
        <v>58.533333333333331</v>
      </c>
      <c r="B1019" s="389">
        <v>41100</v>
      </c>
      <c r="C1019" s="390" t="s">
        <v>451</v>
      </c>
      <c r="D1019" s="391" t="s">
        <v>505</v>
      </c>
      <c r="E1019" s="390" t="s">
        <v>380</v>
      </c>
      <c r="F1019" s="262" t="s">
        <v>310</v>
      </c>
      <c r="G1019" s="262" t="s">
        <v>322</v>
      </c>
      <c r="H1019" s="261"/>
      <c r="I1019" s="261"/>
      <c r="J1019" s="261"/>
      <c r="K1019" s="261">
        <v>0</v>
      </c>
      <c r="L1019" s="261">
        <v>599</v>
      </c>
      <c r="M1019" s="261">
        <v>675</v>
      </c>
      <c r="N1019" s="261">
        <v>599</v>
      </c>
      <c r="O1019" s="261">
        <v>0</v>
      </c>
      <c r="P1019" s="261"/>
      <c r="Q1019" s="261"/>
      <c r="R1019" s="261"/>
      <c r="S1019" s="261"/>
      <c r="T1019" s="261"/>
      <c r="U1019" s="261"/>
      <c r="V1019" s="762"/>
      <c r="W1019" s="261"/>
      <c r="X1019" s="261"/>
      <c r="Y1019" s="264">
        <f>IF(NFI_Expiration=1,IF($A1019&lt;VLOOKUP(H$5,NFI,5,0),1,0)*Table_NFI[[#This Row],[Hygiene Kit]],Table_NFI[Hygiene Kit])</f>
        <v>0</v>
      </c>
      <c r="Z1019" s="264">
        <f>IF(NFI_Expiration=1,IF($A1019&lt;VLOOKUP(I$5,NFI,5,0),1,0)*Table_NFI[[#This Row],[NFI Core Kit]],Table_NFI[NFI Core Kit])</f>
        <v>0</v>
      </c>
      <c r="AA1019" s="264">
        <f>IF(NFI_Expiration=1,IF($A1019&lt;VLOOKUP(J$5,NFI,5,0),1,0)*Table_NFI[[#This Row],[Sanitary Kit]],Table_NFI[Sanitary Kit])</f>
        <v>0</v>
      </c>
      <c r="AB1019" s="264">
        <f>IF(NFI_Expiration=1,IF($A1019&lt;VLOOKUP(K$5,NFI,5,0),1,0)*Table_NFI[[#This Row],[Mosquito net]],Table_NFI[Mosquito net])</f>
        <v>0</v>
      </c>
      <c r="AC1019" s="264">
        <f>IF(NFI_Expiration=1,IF($A1019&lt;VLOOKUP(L$5,NFI,5,0),1,0)*Table_NFI[[#This Row],[Tarpaulin]],Table_NFI[[#This Row],[Tarpaulin]])</f>
        <v>0</v>
      </c>
      <c r="AD1019" s="264">
        <f>IF(NFI_Expiration=1,IF($A1019&lt;VLOOKUP(M$5,NFI,5,0),1,0)*Table_NFI[[#This Row],[Blanket]],Table_NFI[[#This Row],[Blanket]])</f>
        <v>0</v>
      </c>
      <c r="AE1019" s="264">
        <f>IF(NFI_Expiration=1,IF($A1019&lt;VLOOKUP(N$5,NFI,5,0),1,0)*Table_NFI[[#This Row],[Kitchen Set]],Table_NFI[Kitchen Set])</f>
        <v>0</v>
      </c>
      <c r="AF1019" s="264">
        <f>IF(NFI_Expiration=1,IF($A1019&lt;VLOOKUP(O$5,NFI,5,0),1,0)*Table_NFI[[#This Row],[Clothes Kit]],Table_NFI[Clothes Kit])</f>
        <v>0</v>
      </c>
      <c r="AG1019" s="264">
        <f>IF(NFI_Expiration=1,IF($A1019&lt;VLOOKUP(P$5,NFI,5,0),1,0)*Table_NFI[[#This Row],[Plastic Bucket]],Table_NFI[Plastic Bucket])</f>
        <v>0</v>
      </c>
      <c r="AH1019" s="264">
        <f>IF(NFI_Expiration=1,IF($A1019&lt;VLOOKUP(Q$5,NFI,5,0),1,0)*Table_NFI[[#This Row],[Plastic Mat]],Table_NFI[Plastic Mat])*IF(Table_NFI[[#This Row],[Distribution Date]]&gt;"2014-04-01",1,2.5)</f>
        <v>0</v>
      </c>
      <c r="AI1019" s="264">
        <f>IF(NFI_Expiration=1,IF($A1019&lt;VLOOKUP(R$5,NFI,5,0),1,0)*Table_NFI[[#This Row],[Winter Clothes Adult]],Table_NFI[Winter Clothes Adult])</f>
        <v>0</v>
      </c>
      <c r="AJ1019" s="264">
        <f>IF(NFI_Expiration=1,IF($A1019&lt;VLOOKUP(S$5,NFI,5,0),1,0)*Table_NFI[[#This Row],[Winter Clothes Children]],Table_NFI[Winter Clothes Children])</f>
        <v>0</v>
      </c>
      <c r="AK1019" s="264">
        <f>IF(NFI_Expiration=1,IF($A1019&lt;VLOOKUP(T$5,NFI,5,0),1,0)*Table_NFI[[#This Row],[Winter Items Other]],Table_NFI[Winter Items Other])</f>
        <v>0</v>
      </c>
      <c r="AL1019" s="264">
        <f>IF(NFI_Expiration=1,IF($A1019&lt;VLOOKUP(M$5,NFI,5,0),1,0)*Table_NFI[[#This Row],[Winter Blanket]],Table_NFI[[#This Row],[Winter Blanket]])</f>
        <v>0</v>
      </c>
      <c r="AM1019" s="264">
        <f>IF(Table_NFI[[#This Row],[Winter Clothes Adult]]+Table_NFI[[#This Row],[Winter Clothes Children]]+Table_NFI[[#This Row],[Winter Items Other]]+Table_NFI[[#This Row],[Winter Blanket]]&gt;0,1,0)</f>
        <v>0</v>
      </c>
      <c r="AN1019" s="296">
        <f>IF(NFI_Expiration=1,IF($A1019&lt;VLOOKUP(V$5,NFI,5,0),1,0)*Table_NFI[[#This Row],[Jerry Can]],Table_NFI[Jerry Can])</f>
        <v>0</v>
      </c>
      <c r="AO1019" s="296">
        <f>IF(NFI_Expiration=1,IF($A1019&lt;VLOOKUP(V$5,NFI,5,0),1,0)*Table_NFI[[#This Row],[Shelter Tool kit]],Table_NFI[Shelter Tool kit])</f>
        <v>0</v>
      </c>
      <c r="AP1019" s="296">
        <f>IF(NFI_Expiration=1,IF($A1019&lt;VLOOKUP(V$5,NFI,5,0),1,0)*Table_NFI[[#This Row],[Tent]],Table_NFI[Tent])</f>
        <v>0</v>
      </c>
      <c r="AQ1019" s="396" t="str">
        <f>IFERROR(VLOOKUP(Table_NFI[[#This Row],[Camp Name]],CL,2,0),"")</f>
        <v>MMR001CMP119</v>
      </c>
      <c r="AR1019" s="702">
        <f ca="1">IF(Table_NFI[[#This Row],[Pcode]]="","",IF(OFFSET(CampList[Opening Date],MATCH(Table_NFI[[#This Row],[Pcode]],CampList[CP_Pcode],0)-1,0,1,1)&gt;=NFI_Monitor_Date,1,0))</f>
        <v>0</v>
      </c>
      <c r="AS1019" s="396" t="str">
        <f>IFERROR(VLOOKUP(Table_NFI[[#This Row],[Camp Name]],CL,3,0),"")</f>
        <v>Open</v>
      </c>
      <c r="AT1019" s="264" t="str">
        <f ca="1">IF(Table_NFI[[#This Row],[Pcode]]="","",OFFSET(CampList[Priority],MATCH(Table_NFI[[#This Row],[Pcode]],CampList[CP_Pcode],0)-1,0,1,1))</f>
        <v>P2</v>
      </c>
      <c r="AU1019" s="263">
        <f>IFERROR(Table_NFI[[#This Row],[Kitchen Set]]/VLOOKUP(Table_NFI[[#This Row],[Camp Name]],CL,4,0),"")</f>
        <v>1.4719252979481508E-2</v>
      </c>
      <c r="AV1019" s="390" t="s">
        <v>1087</v>
      </c>
      <c r="AW1019" s="392"/>
      <c r="AX1019" s="402"/>
      <c r="AY1019" s="402"/>
      <c r="AZ1019" s="402"/>
      <c r="BA1019" s="402"/>
      <c r="BB1019" s="402"/>
      <c r="BC1019" s="402"/>
      <c r="BD1019" s="402"/>
      <c r="BE1019" s="402"/>
      <c r="BF1019" s="402"/>
      <c r="BG1019" s="402"/>
      <c r="BH1019" s="402"/>
      <c r="BI1019" s="402"/>
      <c r="BJ1019" s="402"/>
      <c r="BK1019" s="402"/>
      <c r="BL1019" s="402"/>
      <c r="BM1019" s="402"/>
      <c r="BN1019" s="402"/>
      <c r="BO1019" s="402"/>
      <c r="BP1019" s="402"/>
      <c r="BQ1019" s="402"/>
      <c r="BR1019" s="402"/>
      <c r="BS1019" s="402"/>
      <c r="BT1019" s="402"/>
      <c r="BU1019" s="402"/>
      <c r="BV1019" s="402"/>
      <c r="BW1019" s="402"/>
      <c r="BX1019" s="402"/>
      <c r="BY1019" s="402"/>
      <c r="BZ1019" s="402"/>
      <c r="CA1019" s="402"/>
      <c r="CB1019" s="402"/>
      <c r="CC1019" s="402"/>
      <c r="CD1019" s="402"/>
      <c r="CE1019" s="402"/>
      <c r="CF1019" s="402"/>
      <c r="CG1019" s="402"/>
      <c r="CH1019" s="402"/>
      <c r="CI1019" s="402"/>
      <c r="CJ1019" s="402"/>
      <c r="CK1019" s="402"/>
      <c r="CL1019" s="402"/>
      <c r="CM1019" s="402"/>
      <c r="CN1019" s="402"/>
      <c r="CO1019" s="402"/>
      <c r="CP1019" s="402"/>
      <c r="CQ1019" s="402"/>
      <c r="CR1019" s="402"/>
      <c r="CS1019" s="402"/>
      <c r="CT1019" s="402"/>
      <c r="CU1019" s="402"/>
      <c r="CV1019" s="402"/>
      <c r="CW1019" s="402"/>
      <c r="CX1019" s="402"/>
      <c r="CY1019" s="402"/>
      <c r="CZ1019" s="402"/>
      <c r="DA1019" s="402"/>
      <c r="DB1019" s="402"/>
      <c r="DC1019" s="402"/>
      <c r="DD1019" s="402"/>
      <c r="DE1019" s="402"/>
      <c r="DF1019" s="402"/>
      <c r="DG1019" s="402"/>
      <c r="DH1019" s="402"/>
      <c r="DI1019" s="402"/>
      <c r="DJ1019" s="402"/>
      <c r="DK1019" s="402"/>
      <c r="DL1019" s="402"/>
      <c r="DM1019" s="402"/>
      <c r="DN1019" s="402"/>
      <c r="DO1019" s="402"/>
      <c r="DP1019" s="402"/>
      <c r="DQ1019" s="402"/>
    </row>
    <row r="1020" spans="1:121" s="760" customFormat="1" ht="14.45" customHeight="1" x14ac:dyDescent="0.25">
      <c r="A1020" s="266">
        <f t="shared" si="15"/>
        <v>58.56666666666667</v>
      </c>
      <c r="B1020" s="389">
        <v>41099</v>
      </c>
      <c r="C1020" s="390" t="s">
        <v>451</v>
      </c>
      <c r="D1020" s="390" t="s">
        <v>451</v>
      </c>
      <c r="E1020" s="390" t="s">
        <v>380</v>
      </c>
      <c r="F1020" s="390" t="s">
        <v>310</v>
      </c>
      <c r="G1020" s="262" t="s">
        <v>318</v>
      </c>
      <c r="H1020" s="261"/>
      <c r="I1020" s="261"/>
      <c r="J1020" s="261"/>
      <c r="K1020" s="261">
        <v>77</v>
      </c>
      <c r="L1020" s="261">
        <v>34</v>
      </c>
      <c r="M1020" s="261">
        <v>77</v>
      </c>
      <c r="N1020" s="261">
        <v>35</v>
      </c>
      <c r="O1020" s="261">
        <v>52</v>
      </c>
      <c r="P1020" s="261">
        <v>52</v>
      </c>
      <c r="Q1020" s="261">
        <v>52</v>
      </c>
      <c r="R1020" s="261"/>
      <c r="S1020" s="261"/>
      <c r="T1020" s="261"/>
      <c r="U1020" s="261"/>
      <c r="V1020" s="762"/>
      <c r="W1020" s="261"/>
      <c r="X1020" s="261"/>
      <c r="Y1020" s="264">
        <f>IF(NFI_Expiration=1,IF($A1020&lt;VLOOKUP(H$5,NFI,5,0),1,0)*Table_NFI[[#This Row],[Hygiene Kit]],Table_NFI[Hygiene Kit])</f>
        <v>0</v>
      </c>
      <c r="Z1020" s="264">
        <f>IF(NFI_Expiration=1,IF($A1020&lt;VLOOKUP(I$5,NFI,5,0),1,0)*Table_NFI[[#This Row],[NFI Core Kit]],Table_NFI[NFI Core Kit])</f>
        <v>0</v>
      </c>
      <c r="AA1020" s="264">
        <f>IF(NFI_Expiration=1,IF($A1020&lt;VLOOKUP(J$5,NFI,5,0),1,0)*Table_NFI[[#This Row],[Sanitary Kit]],Table_NFI[Sanitary Kit])</f>
        <v>0</v>
      </c>
      <c r="AB1020" s="264">
        <f>IF(NFI_Expiration=1,IF($A1020&lt;VLOOKUP(K$5,NFI,5,0),1,0)*Table_NFI[[#This Row],[Mosquito net]],Table_NFI[Mosquito net])</f>
        <v>0</v>
      </c>
      <c r="AC1020" s="264">
        <f>IF(NFI_Expiration=1,IF($A1020&lt;VLOOKUP(L$5,NFI,5,0),1,0)*Table_NFI[[#This Row],[Tarpaulin]],Table_NFI[[#This Row],[Tarpaulin]])</f>
        <v>0</v>
      </c>
      <c r="AD1020" s="264">
        <f>IF(NFI_Expiration=1,IF($A1020&lt;VLOOKUP(M$5,NFI,5,0),1,0)*Table_NFI[[#This Row],[Blanket]],Table_NFI[[#This Row],[Blanket]])</f>
        <v>0</v>
      </c>
      <c r="AE1020" s="264">
        <f>IF(NFI_Expiration=1,IF($A1020&lt;VLOOKUP(N$5,NFI,5,0),1,0)*Table_NFI[[#This Row],[Kitchen Set]],Table_NFI[Kitchen Set])</f>
        <v>0</v>
      </c>
      <c r="AF1020" s="264">
        <f>IF(NFI_Expiration=1,IF($A1020&lt;VLOOKUP(O$5,NFI,5,0),1,0)*Table_NFI[[#This Row],[Clothes Kit]],Table_NFI[Clothes Kit])</f>
        <v>0</v>
      </c>
      <c r="AG1020" s="264">
        <f>IF(NFI_Expiration=1,IF($A1020&lt;VLOOKUP(P$5,NFI,5,0),1,0)*Table_NFI[[#This Row],[Plastic Bucket]],Table_NFI[Plastic Bucket])</f>
        <v>0</v>
      </c>
      <c r="AH1020" s="264">
        <f>IF(NFI_Expiration=1,IF($A1020&lt;VLOOKUP(Q$5,NFI,5,0),1,0)*Table_NFI[[#This Row],[Plastic Mat]],Table_NFI[Plastic Mat])*IF(Table_NFI[[#This Row],[Distribution Date]]&gt;"2014-04-01",1,2.5)</f>
        <v>0</v>
      </c>
      <c r="AI1020" s="264">
        <f>IF(NFI_Expiration=1,IF($A1020&lt;VLOOKUP(R$5,NFI,5,0),1,0)*Table_NFI[[#This Row],[Winter Clothes Adult]],Table_NFI[Winter Clothes Adult])</f>
        <v>0</v>
      </c>
      <c r="AJ1020" s="264">
        <f>IF(NFI_Expiration=1,IF($A1020&lt;VLOOKUP(S$5,NFI,5,0),1,0)*Table_NFI[[#This Row],[Winter Clothes Children]],Table_NFI[Winter Clothes Children])</f>
        <v>0</v>
      </c>
      <c r="AK1020" s="264">
        <f>IF(NFI_Expiration=1,IF($A1020&lt;VLOOKUP(T$5,NFI,5,0),1,0)*Table_NFI[[#This Row],[Winter Items Other]],Table_NFI[Winter Items Other])</f>
        <v>0</v>
      </c>
      <c r="AL1020" s="264">
        <f>IF(NFI_Expiration=1,IF($A1020&lt;VLOOKUP(M$5,NFI,5,0),1,0)*Table_NFI[[#This Row],[Winter Blanket]],Table_NFI[[#This Row],[Winter Blanket]])</f>
        <v>0</v>
      </c>
      <c r="AM1020" s="264">
        <f>IF(Table_NFI[[#This Row],[Winter Clothes Adult]]+Table_NFI[[#This Row],[Winter Clothes Children]]+Table_NFI[[#This Row],[Winter Items Other]]+Table_NFI[[#This Row],[Winter Blanket]]&gt;0,1,0)</f>
        <v>0</v>
      </c>
      <c r="AN1020" s="296">
        <f>IF(NFI_Expiration=1,IF($A1020&lt;VLOOKUP(V$5,NFI,5,0),1,0)*Table_NFI[[#This Row],[Jerry Can]],Table_NFI[Jerry Can])</f>
        <v>0</v>
      </c>
      <c r="AO1020" s="296">
        <f>IF(NFI_Expiration=1,IF($A1020&lt;VLOOKUP(V$5,NFI,5,0),1,0)*Table_NFI[[#This Row],[Shelter Tool kit]],Table_NFI[Shelter Tool kit])</f>
        <v>0</v>
      </c>
      <c r="AP1020" s="296">
        <f>IF(NFI_Expiration=1,IF($A1020&lt;VLOOKUP(V$5,NFI,5,0),1,0)*Table_NFI[[#This Row],[Tent]],Table_NFI[Tent])</f>
        <v>0</v>
      </c>
      <c r="AQ1020" s="396" t="str">
        <f>IFERROR(VLOOKUP(Table_NFI[[#This Row],[Camp Name]],CL,2,0),"")</f>
        <v>MMR001CMP032</v>
      </c>
      <c r="AR1020" s="702">
        <f ca="1">IF(Table_NFI[[#This Row],[Pcode]]="","",IF(OFFSET(CampList[Opening Date],MATCH(Table_NFI[[#This Row],[Pcode]],CampList[CP_Pcode],0)-1,0,1,1)&gt;=NFI_Monitor_Date,1,0))</f>
        <v>0</v>
      </c>
      <c r="AS1020" s="396" t="str">
        <f>IFERROR(VLOOKUP(Table_NFI[[#This Row],[Camp Name]],CL,3,0),"")</f>
        <v>Open</v>
      </c>
      <c r="AT1020" s="264" t="str">
        <f ca="1">IF(Table_NFI[[#This Row],[Pcode]]="","",OFFSET(CampList[Priority],MATCH(Table_NFI[[#This Row],[Pcode]],CampList[CP_Pcode],0)-1,0,1,1))</f>
        <v>P4</v>
      </c>
      <c r="AU1020" s="263">
        <f>IFERROR(Table_NFI[[#This Row],[Kitchen Set]]/VLOOKUP(Table_NFI[[#This Row],[Camp Name]],CL,4,0),"")</f>
        <v>8.594229588704727E-4</v>
      </c>
      <c r="AV1020" s="390" t="s">
        <v>1087</v>
      </c>
      <c r="AW1020" s="392"/>
      <c r="AX1020" s="399"/>
      <c r="AY1020" s="399"/>
      <c r="AZ1020" s="399"/>
      <c r="BA1020" s="399"/>
      <c r="BB1020" s="399"/>
      <c r="BC1020" s="399"/>
      <c r="BD1020" s="399"/>
      <c r="BE1020" s="399"/>
      <c r="BF1020" s="399"/>
      <c r="BG1020" s="399"/>
      <c r="BH1020" s="399"/>
      <c r="BI1020" s="399"/>
      <c r="BJ1020" s="399"/>
      <c r="BK1020" s="399"/>
      <c r="BL1020" s="399"/>
      <c r="BM1020" s="399"/>
      <c r="BN1020" s="399"/>
      <c r="BO1020" s="399"/>
      <c r="BP1020" s="399"/>
      <c r="BQ1020" s="399"/>
      <c r="BR1020" s="399"/>
      <c r="BS1020" s="399"/>
      <c r="BT1020" s="399"/>
      <c r="BU1020" s="399"/>
      <c r="BV1020" s="399"/>
      <c r="BW1020" s="399"/>
      <c r="BX1020" s="399"/>
      <c r="BY1020" s="399"/>
      <c r="BZ1020" s="399"/>
      <c r="CA1020" s="399"/>
      <c r="CB1020" s="399"/>
      <c r="CC1020" s="399"/>
      <c r="CD1020" s="399"/>
      <c r="CE1020" s="399"/>
      <c r="CF1020" s="399"/>
      <c r="CG1020" s="399"/>
      <c r="CH1020" s="399"/>
      <c r="CI1020" s="399"/>
      <c r="CJ1020" s="399"/>
      <c r="CK1020" s="399"/>
      <c r="CL1020" s="399"/>
      <c r="CM1020" s="399"/>
      <c r="CN1020" s="399"/>
      <c r="CO1020" s="399"/>
      <c r="CP1020" s="399"/>
      <c r="CQ1020" s="399"/>
      <c r="CR1020" s="399"/>
      <c r="CS1020" s="399"/>
      <c r="CT1020" s="399"/>
      <c r="CU1020" s="399"/>
      <c r="CV1020" s="399"/>
      <c r="CW1020" s="399"/>
      <c r="CX1020" s="399"/>
      <c r="CY1020" s="399"/>
      <c r="CZ1020" s="399"/>
      <c r="DA1020" s="399"/>
      <c r="DB1020" s="399"/>
      <c r="DC1020" s="399"/>
      <c r="DD1020" s="399"/>
      <c r="DE1020" s="399"/>
      <c r="DF1020" s="399"/>
      <c r="DG1020" s="399"/>
      <c r="DH1020" s="399"/>
      <c r="DI1020" s="399"/>
      <c r="DJ1020" s="399"/>
      <c r="DK1020" s="399"/>
      <c r="DL1020" s="399"/>
      <c r="DM1020" s="399"/>
      <c r="DN1020" s="399"/>
      <c r="DO1020" s="399"/>
      <c r="DP1020" s="399"/>
      <c r="DQ1020" s="399"/>
    </row>
    <row r="1021" spans="1:121" s="760" customFormat="1" ht="14.45" customHeight="1" x14ac:dyDescent="0.25">
      <c r="A1021" s="266">
        <f t="shared" si="15"/>
        <v>58.6</v>
      </c>
      <c r="B1021" s="389">
        <v>41098</v>
      </c>
      <c r="C1021" s="390" t="s">
        <v>904</v>
      </c>
      <c r="D1021" s="390" t="s">
        <v>904</v>
      </c>
      <c r="E1021" s="390" t="s">
        <v>380</v>
      </c>
      <c r="F1021" s="390" t="s">
        <v>185</v>
      </c>
      <c r="G1021" s="390" t="s">
        <v>209</v>
      </c>
      <c r="H1021" s="261">
        <v>64</v>
      </c>
      <c r="I1021" s="261"/>
      <c r="J1021" s="261"/>
      <c r="K1021" s="261"/>
      <c r="L1021" s="261"/>
      <c r="M1021" s="261"/>
      <c r="N1021" s="261"/>
      <c r="O1021" s="261"/>
      <c r="P1021" s="261"/>
      <c r="Q1021" s="261"/>
      <c r="R1021" s="261"/>
      <c r="S1021" s="261"/>
      <c r="T1021" s="261"/>
      <c r="U1021" s="261"/>
      <c r="V1021" s="762"/>
      <c r="W1021" s="261"/>
      <c r="X1021" s="261"/>
      <c r="Y1021" s="264">
        <f>IF(NFI_Expiration=1,IF($A1021&lt;VLOOKUP(H$5,NFI,5,0),1,0)*Table_NFI[[#This Row],[Hygiene Kit]],Table_NFI[Hygiene Kit])</f>
        <v>0</v>
      </c>
      <c r="Z1021" s="264">
        <f>IF(NFI_Expiration=1,IF($A1021&lt;VLOOKUP(I$5,NFI,5,0),1,0)*Table_NFI[[#This Row],[NFI Core Kit]],Table_NFI[NFI Core Kit])</f>
        <v>0</v>
      </c>
      <c r="AA1021" s="264">
        <f>IF(NFI_Expiration=1,IF($A1021&lt;VLOOKUP(J$5,NFI,5,0),1,0)*Table_NFI[[#This Row],[Sanitary Kit]],Table_NFI[Sanitary Kit])</f>
        <v>0</v>
      </c>
      <c r="AB1021" s="264">
        <f>IF(NFI_Expiration=1,IF($A1021&lt;VLOOKUP(K$5,NFI,5,0),1,0)*Table_NFI[[#This Row],[Mosquito net]],Table_NFI[Mosquito net])</f>
        <v>0</v>
      </c>
      <c r="AC1021" s="264">
        <f>IF(NFI_Expiration=1,IF($A1021&lt;VLOOKUP(L$5,NFI,5,0),1,0)*Table_NFI[[#This Row],[Tarpaulin]],Table_NFI[[#This Row],[Tarpaulin]])</f>
        <v>0</v>
      </c>
      <c r="AD1021" s="264">
        <f>IF(NFI_Expiration=1,IF($A1021&lt;VLOOKUP(M$5,NFI,5,0),1,0)*Table_NFI[[#This Row],[Blanket]],Table_NFI[[#This Row],[Blanket]])</f>
        <v>0</v>
      </c>
      <c r="AE1021" s="264">
        <f>IF(NFI_Expiration=1,IF($A1021&lt;VLOOKUP(N$5,NFI,5,0),1,0)*Table_NFI[[#This Row],[Kitchen Set]],Table_NFI[Kitchen Set])</f>
        <v>0</v>
      </c>
      <c r="AF1021" s="264">
        <f>IF(NFI_Expiration=1,IF($A1021&lt;VLOOKUP(O$5,NFI,5,0),1,0)*Table_NFI[[#This Row],[Clothes Kit]],Table_NFI[Clothes Kit])</f>
        <v>0</v>
      </c>
      <c r="AG1021" s="264">
        <f>IF(NFI_Expiration=1,IF($A1021&lt;VLOOKUP(P$5,NFI,5,0),1,0)*Table_NFI[[#This Row],[Plastic Bucket]],Table_NFI[Plastic Bucket])</f>
        <v>0</v>
      </c>
      <c r="AH1021" s="264">
        <f>IF(NFI_Expiration=1,IF($A1021&lt;VLOOKUP(Q$5,NFI,5,0),1,0)*Table_NFI[[#This Row],[Plastic Mat]],Table_NFI[Plastic Mat])*IF(Table_NFI[[#This Row],[Distribution Date]]&gt;"2014-04-01",1,2.5)</f>
        <v>0</v>
      </c>
      <c r="AI1021" s="264">
        <f>IF(NFI_Expiration=1,IF($A1021&lt;VLOOKUP(R$5,NFI,5,0),1,0)*Table_NFI[[#This Row],[Winter Clothes Adult]],Table_NFI[Winter Clothes Adult])</f>
        <v>0</v>
      </c>
      <c r="AJ1021" s="264">
        <f>IF(NFI_Expiration=1,IF($A1021&lt;VLOOKUP(S$5,NFI,5,0),1,0)*Table_NFI[[#This Row],[Winter Clothes Children]],Table_NFI[Winter Clothes Children])</f>
        <v>0</v>
      </c>
      <c r="AK1021" s="264">
        <f>IF(NFI_Expiration=1,IF($A1021&lt;VLOOKUP(T$5,NFI,5,0),1,0)*Table_NFI[[#This Row],[Winter Items Other]],Table_NFI[Winter Items Other])</f>
        <v>0</v>
      </c>
      <c r="AL1021" s="264">
        <f>IF(NFI_Expiration=1,IF($A1021&lt;VLOOKUP(M$5,NFI,5,0),1,0)*Table_NFI[[#This Row],[Winter Blanket]],Table_NFI[[#This Row],[Winter Blanket]])</f>
        <v>0</v>
      </c>
      <c r="AM1021" s="264">
        <f>IF(Table_NFI[[#This Row],[Winter Clothes Adult]]+Table_NFI[[#This Row],[Winter Clothes Children]]+Table_NFI[[#This Row],[Winter Items Other]]+Table_NFI[[#This Row],[Winter Blanket]]&gt;0,1,0)</f>
        <v>0</v>
      </c>
      <c r="AN1021" s="296">
        <f>IF(NFI_Expiration=1,IF($A1021&lt;VLOOKUP(V$5,NFI,5,0),1,0)*Table_NFI[[#This Row],[Jerry Can]],Table_NFI[Jerry Can])</f>
        <v>0</v>
      </c>
      <c r="AO1021" s="296">
        <f>IF(NFI_Expiration=1,IF($A1021&lt;VLOOKUP(V$5,NFI,5,0),1,0)*Table_NFI[[#This Row],[Shelter Tool kit]],Table_NFI[Shelter Tool kit])</f>
        <v>0</v>
      </c>
      <c r="AP1021" s="296">
        <f>IF(NFI_Expiration=1,IF($A1021&lt;VLOOKUP(V$5,NFI,5,0),1,0)*Table_NFI[[#This Row],[Tent]],Table_NFI[Tent])</f>
        <v>0</v>
      </c>
      <c r="AQ1021" s="396" t="str">
        <f>IFERROR(VLOOKUP(Table_NFI[[#This Row],[Camp Name]],CL,2,0),"")</f>
        <v>MMR001CMP056</v>
      </c>
      <c r="AR1021" s="702">
        <f ca="1">IF(Table_NFI[[#This Row],[Pcode]]="","",IF(OFFSET(CampList[Opening Date],MATCH(Table_NFI[[#This Row],[Pcode]],CampList[CP_Pcode],0)-1,0,1,1)&gt;=NFI_Monitor_Date,1,0))</f>
        <v>0</v>
      </c>
      <c r="AS1021" s="396" t="str">
        <f>IFERROR(VLOOKUP(Table_NFI[[#This Row],[Camp Name]],CL,3,0),"")</f>
        <v>Open</v>
      </c>
      <c r="AT1021" s="264" t="str">
        <f ca="1">IF(Table_NFI[[#This Row],[Pcode]]="","",OFFSET(CampList[Priority],MATCH(Table_NFI[[#This Row],[Pcode]],CampList[CP_Pcode],0)-1,0,1,1))</f>
        <v>P4</v>
      </c>
      <c r="AU1021" s="263">
        <f>IFERROR(Table_NFI[[#This Row],[Kitchen Set]]/VLOOKUP(Table_NFI[[#This Row],[Camp Name]],CL,4,0),"")</f>
        <v>0</v>
      </c>
      <c r="AV1021" s="390"/>
      <c r="AW1021" s="392"/>
      <c r="AX1021" s="399"/>
      <c r="AY1021" s="399"/>
      <c r="AZ1021" s="399"/>
      <c r="BA1021" s="399"/>
      <c r="BB1021" s="399"/>
      <c r="BC1021" s="399"/>
      <c r="BD1021" s="399"/>
      <c r="BE1021" s="399"/>
      <c r="BF1021" s="399"/>
      <c r="BG1021" s="399"/>
      <c r="BH1021" s="399"/>
      <c r="BI1021" s="399"/>
      <c r="BJ1021" s="399"/>
      <c r="BK1021" s="399"/>
      <c r="BL1021" s="399"/>
      <c r="BM1021" s="399"/>
      <c r="BN1021" s="399"/>
      <c r="BO1021" s="399"/>
      <c r="BP1021" s="399"/>
      <c r="BQ1021" s="399"/>
      <c r="BR1021" s="399"/>
      <c r="BS1021" s="399"/>
      <c r="BT1021" s="399"/>
      <c r="BU1021" s="399"/>
      <c r="BV1021" s="399"/>
      <c r="BW1021" s="399"/>
      <c r="BX1021" s="399"/>
      <c r="BY1021" s="399"/>
      <c r="BZ1021" s="399"/>
      <c r="CA1021" s="399"/>
      <c r="CB1021" s="399"/>
      <c r="CC1021" s="399"/>
      <c r="CD1021" s="399"/>
      <c r="CE1021" s="399"/>
      <c r="CF1021" s="399"/>
      <c r="CG1021" s="399"/>
      <c r="CH1021" s="399"/>
      <c r="CI1021" s="399"/>
      <c r="CJ1021" s="399"/>
      <c r="CK1021" s="399"/>
      <c r="CL1021" s="399"/>
      <c r="CM1021" s="399"/>
      <c r="CN1021" s="399"/>
      <c r="CO1021" s="399"/>
      <c r="CP1021" s="399"/>
      <c r="CQ1021" s="399"/>
      <c r="CR1021" s="399"/>
      <c r="CS1021" s="399"/>
      <c r="CT1021" s="399"/>
      <c r="CU1021" s="399"/>
      <c r="CV1021" s="399"/>
      <c r="CW1021" s="399"/>
      <c r="CX1021" s="399"/>
      <c r="CY1021" s="399"/>
      <c r="CZ1021" s="399"/>
      <c r="DA1021" s="399"/>
      <c r="DB1021" s="399"/>
      <c r="DC1021" s="399"/>
      <c r="DD1021" s="399"/>
      <c r="DE1021" s="399"/>
      <c r="DF1021" s="399"/>
      <c r="DG1021" s="399"/>
      <c r="DH1021" s="399"/>
      <c r="DI1021" s="399"/>
      <c r="DJ1021" s="399"/>
      <c r="DK1021" s="399"/>
      <c r="DL1021" s="399"/>
      <c r="DM1021" s="399"/>
      <c r="DN1021" s="399"/>
      <c r="DO1021" s="399"/>
      <c r="DP1021" s="399"/>
      <c r="DQ1021" s="399"/>
    </row>
    <row r="1022" spans="1:121" s="760" customFormat="1" ht="14.45" customHeight="1" x14ac:dyDescent="0.25">
      <c r="A1022" s="266">
        <f t="shared" si="15"/>
        <v>58.6</v>
      </c>
      <c r="B1022" s="389">
        <v>41098</v>
      </c>
      <c r="C1022" s="390" t="s">
        <v>904</v>
      </c>
      <c r="D1022" s="390" t="s">
        <v>904</v>
      </c>
      <c r="E1022" s="390" t="s">
        <v>380</v>
      </c>
      <c r="F1022" s="390" t="s">
        <v>5</v>
      </c>
      <c r="G1022" s="390" t="s">
        <v>1409</v>
      </c>
      <c r="H1022" s="261">
        <v>3</v>
      </c>
      <c r="I1022" s="261"/>
      <c r="J1022" s="261"/>
      <c r="K1022" s="261"/>
      <c r="L1022" s="261"/>
      <c r="M1022" s="261"/>
      <c r="N1022" s="261"/>
      <c r="O1022" s="261"/>
      <c r="P1022" s="261"/>
      <c r="Q1022" s="261"/>
      <c r="R1022" s="261"/>
      <c r="S1022" s="261"/>
      <c r="T1022" s="261"/>
      <c r="U1022" s="261"/>
      <c r="V1022" s="762"/>
      <c r="W1022" s="261"/>
      <c r="X1022" s="261"/>
      <c r="Y1022" s="264">
        <f>IF(NFI_Expiration=1,IF($A1022&lt;VLOOKUP(H$5,NFI,5,0),1,0)*Table_NFI[[#This Row],[Hygiene Kit]],Table_NFI[Hygiene Kit])</f>
        <v>0</v>
      </c>
      <c r="Z1022" s="264">
        <f>IF(NFI_Expiration=1,IF($A1022&lt;VLOOKUP(I$5,NFI,5,0),1,0)*Table_NFI[[#This Row],[NFI Core Kit]],Table_NFI[NFI Core Kit])</f>
        <v>0</v>
      </c>
      <c r="AA1022" s="264">
        <f>IF(NFI_Expiration=1,IF($A1022&lt;VLOOKUP(J$5,NFI,5,0),1,0)*Table_NFI[[#This Row],[Sanitary Kit]],Table_NFI[Sanitary Kit])</f>
        <v>0</v>
      </c>
      <c r="AB1022" s="264">
        <f>IF(NFI_Expiration=1,IF($A1022&lt;VLOOKUP(K$5,NFI,5,0),1,0)*Table_NFI[[#This Row],[Mosquito net]],Table_NFI[Mosquito net])</f>
        <v>0</v>
      </c>
      <c r="AC1022" s="264">
        <f>IF(NFI_Expiration=1,IF($A1022&lt;VLOOKUP(L$5,NFI,5,0),1,0)*Table_NFI[[#This Row],[Tarpaulin]],Table_NFI[[#This Row],[Tarpaulin]])</f>
        <v>0</v>
      </c>
      <c r="AD1022" s="264">
        <f>IF(NFI_Expiration=1,IF($A1022&lt;VLOOKUP(M$5,NFI,5,0),1,0)*Table_NFI[[#This Row],[Blanket]],Table_NFI[[#This Row],[Blanket]])</f>
        <v>0</v>
      </c>
      <c r="AE1022" s="264">
        <f>IF(NFI_Expiration=1,IF($A1022&lt;VLOOKUP(N$5,NFI,5,0),1,0)*Table_NFI[[#This Row],[Kitchen Set]],Table_NFI[Kitchen Set])</f>
        <v>0</v>
      </c>
      <c r="AF1022" s="264">
        <f>IF(NFI_Expiration=1,IF($A1022&lt;VLOOKUP(O$5,NFI,5,0),1,0)*Table_NFI[[#This Row],[Clothes Kit]],Table_NFI[Clothes Kit])</f>
        <v>0</v>
      </c>
      <c r="AG1022" s="264">
        <f>IF(NFI_Expiration=1,IF($A1022&lt;VLOOKUP(P$5,NFI,5,0),1,0)*Table_NFI[[#This Row],[Plastic Bucket]],Table_NFI[Plastic Bucket])</f>
        <v>0</v>
      </c>
      <c r="AH1022" s="264">
        <f>IF(NFI_Expiration=1,IF($A1022&lt;VLOOKUP(Q$5,NFI,5,0),1,0)*Table_NFI[[#This Row],[Plastic Mat]],Table_NFI[Plastic Mat])*IF(Table_NFI[[#This Row],[Distribution Date]]&gt;"2014-04-01",1,2.5)</f>
        <v>0</v>
      </c>
      <c r="AI1022" s="264">
        <f>IF(NFI_Expiration=1,IF($A1022&lt;VLOOKUP(R$5,NFI,5,0),1,0)*Table_NFI[[#This Row],[Winter Clothes Adult]],Table_NFI[Winter Clothes Adult])</f>
        <v>0</v>
      </c>
      <c r="AJ1022" s="264">
        <f>IF(NFI_Expiration=1,IF($A1022&lt;VLOOKUP(S$5,NFI,5,0),1,0)*Table_NFI[[#This Row],[Winter Clothes Children]],Table_NFI[Winter Clothes Children])</f>
        <v>0</v>
      </c>
      <c r="AK1022" s="264">
        <f>IF(NFI_Expiration=1,IF($A1022&lt;VLOOKUP(T$5,NFI,5,0),1,0)*Table_NFI[[#This Row],[Winter Items Other]],Table_NFI[Winter Items Other])</f>
        <v>0</v>
      </c>
      <c r="AL1022" s="264">
        <f>IF(NFI_Expiration=1,IF($A1022&lt;VLOOKUP(M$5,NFI,5,0),1,0)*Table_NFI[[#This Row],[Winter Blanket]],Table_NFI[[#This Row],[Winter Blanket]])</f>
        <v>0</v>
      </c>
      <c r="AM1022" s="264">
        <f>IF(Table_NFI[[#This Row],[Winter Clothes Adult]]+Table_NFI[[#This Row],[Winter Clothes Children]]+Table_NFI[[#This Row],[Winter Items Other]]+Table_NFI[[#This Row],[Winter Blanket]]&gt;0,1,0)</f>
        <v>0</v>
      </c>
      <c r="AN1022" s="296">
        <f>IF(NFI_Expiration=1,IF($A1022&lt;VLOOKUP(V$5,NFI,5,0),1,0)*Table_NFI[[#This Row],[Jerry Can]],Table_NFI[Jerry Can])</f>
        <v>0</v>
      </c>
      <c r="AO1022" s="296">
        <f>IF(NFI_Expiration=1,IF($A1022&lt;VLOOKUP(V$5,NFI,5,0),1,0)*Table_NFI[[#This Row],[Shelter Tool kit]],Table_NFI[Shelter Tool kit])</f>
        <v>0</v>
      </c>
      <c r="AP1022" s="296">
        <f>IF(NFI_Expiration=1,IF($A1022&lt;VLOOKUP(V$5,NFI,5,0),1,0)*Table_NFI[[#This Row],[Tent]],Table_NFI[Tent])</f>
        <v>0</v>
      </c>
      <c r="AQ1022" s="396" t="str">
        <f>IFERROR(VLOOKUP(Table_NFI[[#This Row],[Camp Name]],CL,2,0),"")</f>
        <v/>
      </c>
      <c r="AR1022" s="702" t="str">
        <f ca="1">IF(Table_NFI[[#This Row],[Pcode]]="","",IF(OFFSET(CampList[Opening Date],MATCH(Table_NFI[[#This Row],[Pcode]],CampList[CP_Pcode],0)-1,0,1,1)&gt;=NFI_Monitor_Date,1,0))</f>
        <v/>
      </c>
      <c r="AS1022" s="396" t="str">
        <f>IFERROR(VLOOKUP(Table_NFI[[#This Row],[Camp Name]],CL,3,0),"")</f>
        <v/>
      </c>
      <c r="AT1022" s="264" t="str">
        <f ca="1">IF(Table_NFI[[#This Row],[Pcode]]="","",OFFSET(CampList[Priority],MATCH(Table_NFI[[#This Row],[Pcode]],CampList[CP_Pcode],0)-1,0,1,1))</f>
        <v/>
      </c>
      <c r="AU1022" s="263" t="str">
        <f>IFERROR(Table_NFI[[#This Row],[Kitchen Set]]/VLOOKUP(Table_NFI[[#This Row],[Camp Name]],CL,4,0),"")</f>
        <v/>
      </c>
      <c r="AV1022" s="390"/>
      <c r="AW1022" s="392"/>
      <c r="AX1022" s="399"/>
      <c r="AY1022" s="399"/>
      <c r="AZ1022" s="399"/>
      <c r="BA1022" s="399"/>
      <c r="BB1022" s="399"/>
      <c r="BC1022" s="399"/>
      <c r="BD1022" s="399"/>
      <c r="BE1022" s="399"/>
      <c r="BF1022" s="399"/>
      <c r="BG1022" s="399"/>
      <c r="BH1022" s="399"/>
      <c r="BI1022" s="399"/>
      <c r="BJ1022" s="399"/>
      <c r="BK1022" s="399"/>
      <c r="BL1022" s="399"/>
      <c r="BM1022" s="399"/>
      <c r="BN1022" s="399"/>
      <c r="BO1022" s="399"/>
      <c r="BP1022" s="399"/>
      <c r="BQ1022" s="399"/>
      <c r="BR1022" s="399"/>
      <c r="BS1022" s="399"/>
      <c r="BT1022" s="399"/>
      <c r="BU1022" s="399"/>
      <c r="BV1022" s="399"/>
      <c r="BW1022" s="399"/>
      <c r="BX1022" s="399"/>
      <c r="BY1022" s="399"/>
      <c r="BZ1022" s="399"/>
      <c r="CA1022" s="399"/>
      <c r="CB1022" s="399"/>
      <c r="CC1022" s="399"/>
      <c r="CD1022" s="399"/>
      <c r="CE1022" s="399"/>
      <c r="CF1022" s="399"/>
      <c r="CG1022" s="399"/>
      <c r="CH1022" s="399"/>
      <c r="CI1022" s="399"/>
      <c r="CJ1022" s="399"/>
      <c r="CK1022" s="399"/>
      <c r="CL1022" s="399"/>
      <c r="CM1022" s="399"/>
      <c r="CN1022" s="399"/>
      <c r="CO1022" s="399"/>
      <c r="CP1022" s="399"/>
      <c r="CQ1022" s="399"/>
      <c r="CR1022" s="399"/>
      <c r="CS1022" s="399"/>
      <c r="CT1022" s="399"/>
      <c r="CU1022" s="399"/>
      <c r="CV1022" s="399"/>
      <c r="CW1022" s="399"/>
      <c r="CX1022" s="399"/>
      <c r="CY1022" s="399"/>
      <c r="CZ1022" s="399"/>
      <c r="DA1022" s="399"/>
      <c r="DB1022" s="399"/>
      <c r="DC1022" s="399"/>
      <c r="DD1022" s="399"/>
      <c r="DE1022" s="399"/>
      <c r="DF1022" s="399"/>
      <c r="DG1022" s="399"/>
      <c r="DH1022" s="399"/>
      <c r="DI1022" s="399"/>
      <c r="DJ1022" s="399"/>
      <c r="DK1022" s="399"/>
      <c r="DL1022" s="399"/>
      <c r="DM1022" s="399"/>
      <c r="DN1022" s="399"/>
      <c r="DO1022" s="399"/>
      <c r="DP1022" s="399"/>
      <c r="DQ1022" s="399"/>
    </row>
    <row r="1023" spans="1:121" s="759" customFormat="1" ht="14.45" customHeight="1" x14ac:dyDescent="0.25">
      <c r="A1023" s="266">
        <f t="shared" si="15"/>
        <v>58.6</v>
      </c>
      <c r="B1023" s="389">
        <v>41098</v>
      </c>
      <c r="C1023" s="390" t="s">
        <v>451</v>
      </c>
      <c r="D1023" s="390" t="s">
        <v>504</v>
      </c>
      <c r="E1023" s="390" t="s">
        <v>380</v>
      </c>
      <c r="F1023" s="390" t="s">
        <v>185</v>
      </c>
      <c r="G1023" s="390" t="s">
        <v>217</v>
      </c>
      <c r="H1023" s="261">
        <v>16</v>
      </c>
      <c r="I1023" s="261"/>
      <c r="J1023" s="261"/>
      <c r="K1023" s="261"/>
      <c r="L1023" s="261"/>
      <c r="M1023" s="261"/>
      <c r="N1023" s="261"/>
      <c r="O1023" s="261"/>
      <c r="P1023" s="261"/>
      <c r="Q1023" s="261"/>
      <c r="R1023" s="261"/>
      <c r="S1023" s="261"/>
      <c r="T1023" s="261"/>
      <c r="U1023" s="261"/>
      <c r="V1023" s="762"/>
      <c r="W1023" s="261"/>
      <c r="X1023" s="261"/>
      <c r="Y1023" s="264">
        <f>IF(NFI_Expiration=1,IF($A1023&lt;VLOOKUP(H$5,NFI,5,0),1,0)*Table_NFI[[#This Row],[Hygiene Kit]],Table_NFI[Hygiene Kit])</f>
        <v>0</v>
      </c>
      <c r="Z1023" s="264">
        <f>IF(NFI_Expiration=1,IF($A1023&lt;VLOOKUP(I$5,NFI,5,0),1,0)*Table_NFI[[#This Row],[NFI Core Kit]],Table_NFI[NFI Core Kit])</f>
        <v>0</v>
      </c>
      <c r="AA1023" s="264">
        <f>IF(NFI_Expiration=1,IF($A1023&lt;VLOOKUP(J$5,NFI,5,0),1,0)*Table_NFI[[#This Row],[Sanitary Kit]],Table_NFI[Sanitary Kit])</f>
        <v>0</v>
      </c>
      <c r="AB1023" s="264">
        <f>IF(NFI_Expiration=1,IF($A1023&lt;VLOOKUP(K$5,NFI,5,0),1,0)*Table_NFI[[#This Row],[Mosquito net]],Table_NFI[Mosquito net])</f>
        <v>0</v>
      </c>
      <c r="AC1023" s="264">
        <f>IF(NFI_Expiration=1,IF($A1023&lt;VLOOKUP(L$5,NFI,5,0),1,0)*Table_NFI[[#This Row],[Tarpaulin]],Table_NFI[[#This Row],[Tarpaulin]])</f>
        <v>0</v>
      </c>
      <c r="AD1023" s="264">
        <f>IF(NFI_Expiration=1,IF($A1023&lt;VLOOKUP(M$5,NFI,5,0),1,0)*Table_NFI[[#This Row],[Blanket]],Table_NFI[[#This Row],[Blanket]])</f>
        <v>0</v>
      </c>
      <c r="AE1023" s="264">
        <f>IF(NFI_Expiration=1,IF($A1023&lt;VLOOKUP(N$5,NFI,5,0),1,0)*Table_NFI[[#This Row],[Kitchen Set]],Table_NFI[Kitchen Set])</f>
        <v>0</v>
      </c>
      <c r="AF1023" s="264">
        <f>IF(NFI_Expiration=1,IF($A1023&lt;VLOOKUP(O$5,NFI,5,0),1,0)*Table_NFI[[#This Row],[Clothes Kit]],Table_NFI[Clothes Kit])</f>
        <v>0</v>
      </c>
      <c r="AG1023" s="264">
        <f>IF(NFI_Expiration=1,IF($A1023&lt;VLOOKUP(P$5,NFI,5,0),1,0)*Table_NFI[[#This Row],[Plastic Bucket]],Table_NFI[Plastic Bucket])</f>
        <v>0</v>
      </c>
      <c r="AH1023" s="264">
        <f>IF(NFI_Expiration=1,IF($A1023&lt;VLOOKUP(Q$5,NFI,5,0),1,0)*Table_NFI[[#This Row],[Plastic Mat]],Table_NFI[Plastic Mat])*IF(Table_NFI[[#This Row],[Distribution Date]]&gt;"2014-04-01",1,2.5)</f>
        <v>0</v>
      </c>
      <c r="AI1023" s="264">
        <f>IF(NFI_Expiration=1,IF($A1023&lt;VLOOKUP(R$5,NFI,5,0),1,0)*Table_NFI[[#This Row],[Winter Clothes Adult]],Table_NFI[Winter Clothes Adult])</f>
        <v>0</v>
      </c>
      <c r="AJ1023" s="264">
        <f>IF(NFI_Expiration=1,IF($A1023&lt;VLOOKUP(S$5,NFI,5,0),1,0)*Table_NFI[[#This Row],[Winter Clothes Children]],Table_NFI[Winter Clothes Children])</f>
        <v>0</v>
      </c>
      <c r="AK1023" s="264">
        <f>IF(NFI_Expiration=1,IF($A1023&lt;VLOOKUP(T$5,NFI,5,0),1,0)*Table_NFI[[#This Row],[Winter Items Other]],Table_NFI[Winter Items Other])</f>
        <v>0</v>
      </c>
      <c r="AL1023" s="264">
        <f>IF(NFI_Expiration=1,IF($A1023&lt;VLOOKUP(M$5,NFI,5,0),1,0)*Table_NFI[[#This Row],[Winter Blanket]],Table_NFI[[#This Row],[Winter Blanket]])</f>
        <v>0</v>
      </c>
      <c r="AM1023" s="264">
        <f>IF(Table_NFI[[#This Row],[Winter Clothes Adult]]+Table_NFI[[#This Row],[Winter Clothes Children]]+Table_NFI[[#This Row],[Winter Items Other]]+Table_NFI[[#This Row],[Winter Blanket]]&gt;0,1,0)</f>
        <v>0</v>
      </c>
      <c r="AN1023" s="296">
        <f>IF(NFI_Expiration=1,IF($A1023&lt;VLOOKUP(V$5,NFI,5,0),1,0)*Table_NFI[[#This Row],[Jerry Can]],Table_NFI[Jerry Can])</f>
        <v>0</v>
      </c>
      <c r="AO1023" s="296">
        <f>IF(NFI_Expiration=1,IF($A1023&lt;VLOOKUP(V$5,NFI,5,0),1,0)*Table_NFI[[#This Row],[Shelter Tool kit]],Table_NFI[Shelter Tool kit])</f>
        <v>0</v>
      </c>
      <c r="AP1023" s="296">
        <f>IF(NFI_Expiration=1,IF($A1023&lt;VLOOKUP(V$5,NFI,5,0),1,0)*Table_NFI[[#This Row],[Tent]],Table_NFI[Tent])</f>
        <v>0</v>
      </c>
      <c r="AQ1023" s="396" t="str">
        <f>IFERROR(VLOOKUP(Table_NFI[[#This Row],[Camp Name]],CL,2,0),"")</f>
        <v>MMR001CMP059</v>
      </c>
      <c r="AR1023" s="702">
        <f ca="1">IF(Table_NFI[[#This Row],[Pcode]]="","",IF(OFFSET(CampList[Opening Date],MATCH(Table_NFI[[#This Row],[Pcode]],CampList[CP_Pcode],0)-1,0,1,1)&gt;=NFI_Monitor_Date,1,0))</f>
        <v>0</v>
      </c>
      <c r="AS1023" s="396" t="str">
        <f>IFERROR(VLOOKUP(Table_NFI[[#This Row],[Camp Name]],CL,3,0),"")</f>
        <v>Closed</v>
      </c>
      <c r="AT1023" s="264" t="str">
        <f ca="1">IF(Table_NFI[[#This Row],[Pcode]]="","",OFFSET(CampList[Priority],MATCH(Table_NFI[[#This Row],[Pcode]],CampList[CP_Pcode],0)-1,0,1,1))</f>
        <v>P4</v>
      </c>
      <c r="AU1023" s="263">
        <f>IFERROR(Table_NFI[[#This Row],[Kitchen Set]]/VLOOKUP(Table_NFI[[#This Row],[Camp Name]],CL,4,0),"")</f>
        <v>0</v>
      </c>
      <c r="AV1023" s="390"/>
      <c r="AW1023" s="392"/>
      <c r="AX1023" s="402"/>
      <c r="AY1023" s="402"/>
      <c r="AZ1023" s="402"/>
      <c r="BA1023" s="402"/>
      <c r="BB1023" s="402"/>
      <c r="BC1023" s="402"/>
      <c r="BD1023" s="402"/>
      <c r="BE1023" s="402"/>
      <c r="BF1023" s="402"/>
      <c r="BG1023" s="402"/>
      <c r="BH1023" s="402"/>
      <c r="BI1023" s="402"/>
      <c r="BJ1023" s="402"/>
      <c r="BK1023" s="402"/>
      <c r="BL1023" s="402"/>
      <c r="BM1023" s="402"/>
      <c r="BN1023" s="402"/>
      <c r="BO1023" s="402"/>
      <c r="BP1023" s="402"/>
      <c r="BQ1023" s="402"/>
      <c r="BR1023" s="402"/>
      <c r="BS1023" s="402"/>
      <c r="BT1023" s="402"/>
      <c r="BU1023" s="402"/>
      <c r="BV1023" s="402"/>
      <c r="BW1023" s="402"/>
      <c r="BX1023" s="402"/>
      <c r="BY1023" s="402"/>
      <c r="BZ1023" s="402"/>
      <c r="CA1023" s="402"/>
      <c r="CB1023" s="402"/>
      <c r="CC1023" s="402"/>
      <c r="CD1023" s="402"/>
      <c r="CE1023" s="402"/>
      <c r="CF1023" s="402"/>
      <c r="CG1023" s="402"/>
      <c r="CH1023" s="402"/>
      <c r="CI1023" s="402"/>
      <c r="CJ1023" s="402"/>
      <c r="CK1023" s="402"/>
      <c r="CL1023" s="402"/>
      <c r="CM1023" s="402"/>
      <c r="CN1023" s="402"/>
      <c r="CO1023" s="402"/>
      <c r="CP1023" s="402"/>
      <c r="CQ1023" s="402"/>
      <c r="CR1023" s="402"/>
      <c r="CS1023" s="402"/>
      <c r="CT1023" s="402"/>
      <c r="CU1023" s="402"/>
      <c r="CV1023" s="402"/>
      <c r="CW1023" s="402"/>
      <c r="CX1023" s="402"/>
      <c r="CY1023" s="402"/>
      <c r="CZ1023" s="402"/>
      <c r="DA1023" s="402"/>
      <c r="DB1023" s="402"/>
      <c r="DC1023" s="402"/>
      <c r="DD1023" s="402"/>
      <c r="DE1023" s="402"/>
      <c r="DF1023" s="402"/>
      <c r="DG1023" s="402"/>
      <c r="DH1023" s="402"/>
      <c r="DI1023" s="402"/>
      <c r="DJ1023" s="402"/>
      <c r="DK1023" s="402"/>
      <c r="DL1023" s="402"/>
      <c r="DM1023" s="402"/>
      <c r="DN1023" s="402"/>
      <c r="DO1023" s="402"/>
      <c r="DP1023" s="402"/>
      <c r="DQ1023" s="402"/>
    </row>
    <row r="1024" spans="1:121" s="759" customFormat="1" ht="14.45" customHeight="1" x14ac:dyDescent="0.25">
      <c r="A1024" s="266">
        <f t="shared" si="15"/>
        <v>58.6</v>
      </c>
      <c r="B1024" s="389">
        <v>41098</v>
      </c>
      <c r="C1024" s="390" t="s">
        <v>904</v>
      </c>
      <c r="D1024" s="390" t="s">
        <v>904</v>
      </c>
      <c r="E1024" s="390" t="s">
        <v>380</v>
      </c>
      <c r="F1024" s="390" t="s">
        <v>185</v>
      </c>
      <c r="G1024" s="262" t="s">
        <v>217</v>
      </c>
      <c r="H1024" s="261">
        <v>16</v>
      </c>
      <c r="I1024" s="261"/>
      <c r="J1024" s="261"/>
      <c r="K1024" s="261"/>
      <c r="L1024" s="261"/>
      <c r="M1024" s="261"/>
      <c r="N1024" s="261"/>
      <c r="O1024" s="261"/>
      <c r="P1024" s="261"/>
      <c r="Q1024" s="261"/>
      <c r="R1024" s="261"/>
      <c r="S1024" s="261"/>
      <c r="T1024" s="261"/>
      <c r="U1024" s="261"/>
      <c r="V1024" s="762"/>
      <c r="W1024" s="261"/>
      <c r="X1024" s="261"/>
      <c r="Y1024" s="264">
        <f>IF(NFI_Expiration=1,IF($A1024&lt;VLOOKUP(H$5,NFI,5,0),1,0)*Table_NFI[[#This Row],[Hygiene Kit]],Table_NFI[Hygiene Kit])</f>
        <v>0</v>
      </c>
      <c r="Z1024" s="264">
        <f>IF(NFI_Expiration=1,IF($A1024&lt;VLOOKUP(I$5,NFI,5,0),1,0)*Table_NFI[[#This Row],[NFI Core Kit]],Table_NFI[NFI Core Kit])</f>
        <v>0</v>
      </c>
      <c r="AA1024" s="264">
        <f>IF(NFI_Expiration=1,IF($A1024&lt;VLOOKUP(J$5,NFI,5,0),1,0)*Table_NFI[[#This Row],[Sanitary Kit]],Table_NFI[Sanitary Kit])</f>
        <v>0</v>
      </c>
      <c r="AB1024" s="264">
        <f>IF(NFI_Expiration=1,IF($A1024&lt;VLOOKUP(K$5,NFI,5,0),1,0)*Table_NFI[[#This Row],[Mosquito net]],Table_NFI[Mosquito net])</f>
        <v>0</v>
      </c>
      <c r="AC1024" s="264">
        <f>IF(NFI_Expiration=1,IF($A1024&lt;VLOOKUP(L$5,NFI,5,0),1,0)*Table_NFI[[#This Row],[Tarpaulin]],Table_NFI[[#This Row],[Tarpaulin]])</f>
        <v>0</v>
      </c>
      <c r="AD1024" s="264">
        <f>IF(NFI_Expiration=1,IF($A1024&lt;VLOOKUP(M$5,NFI,5,0),1,0)*Table_NFI[[#This Row],[Blanket]],Table_NFI[[#This Row],[Blanket]])</f>
        <v>0</v>
      </c>
      <c r="AE1024" s="264">
        <f>IF(NFI_Expiration=1,IF($A1024&lt;VLOOKUP(N$5,NFI,5,0),1,0)*Table_NFI[[#This Row],[Kitchen Set]],Table_NFI[Kitchen Set])</f>
        <v>0</v>
      </c>
      <c r="AF1024" s="264">
        <f>IF(NFI_Expiration=1,IF($A1024&lt;VLOOKUP(O$5,NFI,5,0),1,0)*Table_NFI[[#This Row],[Clothes Kit]],Table_NFI[Clothes Kit])</f>
        <v>0</v>
      </c>
      <c r="AG1024" s="264">
        <f>IF(NFI_Expiration=1,IF($A1024&lt;VLOOKUP(P$5,NFI,5,0),1,0)*Table_NFI[[#This Row],[Plastic Bucket]],Table_NFI[Plastic Bucket])</f>
        <v>0</v>
      </c>
      <c r="AH1024" s="264">
        <f>IF(NFI_Expiration=1,IF($A1024&lt;VLOOKUP(Q$5,NFI,5,0),1,0)*Table_NFI[[#This Row],[Plastic Mat]],Table_NFI[Plastic Mat])*IF(Table_NFI[[#This Row],[Distribution Date]]&gt;"2014-04-01",1,2.5)</f>
        <v>0</v>
      </c>
      <c r="AI1024" s="264">
        <f>IF(NFI_Expiration=1,IF($A1024&lt;VLOOKUP(R$5,NFI,5,0),1,0)*Table_NFI[[#This Row],[Winter Clothes Adult]],Table_NFI[Winter Clothes Adult])</f>
        <v>0</v>
      </c>
      <c r="AJ1024" s="264">
        <f>IF(NFI_Expiration=1,IF($A1024&lt;VLOOKUP(S$5,NFI,5,0),1,0)*Table_NFI[[#This Row],[Winter Clothes Children]],Table_NFI[Winter Clothes Children])</f>
        <v>0</v>
      </c>
      <c r="AK1024" s="264">
        <f>IF(NFI_Expiration=1,IF($A1024&lt;VLOOKUP(T$5,NFI,5,0),1,0)*Table_NFI[[#This Row],[Winter Items Other]],Table_NFI[Winter Items Other])</f>
        <v>0</v>
      </c>
      <c r="AL1024" s="264">
        <f>IF(NFI_Expiration=1,IF($A1024&lt;VLOOKUP(M$5,NFI,5,0),1,0)*Table_NFI[[#This Row],[Winter Blanket]],Table_NFI[[#This Row],[Winter Blanket]])</f>
        <v>0</v>
      </c>
      <c r="AM1024" s="264">
        <f>IF(Table_NFI[[#This Row],[Winter Clothes Adult]]+Table_NFI[[#This Row],[Winter Clothes Children]]+Table_NFI[[#This Row],[Winter Items Other]]+Table_NFI[[#This Row],[Winter Blanket]]&gt;0,1,0)</f>
        <v>0</v>
      </c>
      <c r="AN1024" s="296">
        <f>IF(NFI_Expiration=1,IF($A1024&lt;VLOOKUP(V$5,NFI,5,0),1,0)*Table_NFI[[#This Row],[Jerry Can]],Table_NFI[Jerry Can])</f>
        <v>0</v>
      </c>
      <c r="AO1024" s="296">
        <f>IF(NFI_Expiration=1,IF($A1024&lt;VLOOKUP(V$5,NFI,5,0),1,0)*Table_NFI[[#This Row],[Shelter Tool kit]],Table_NFI[Shelter Tool kit])</f>
        <v>0</v>
      </c>
      <c r="AP1024" s="296">
        <f>IF(NFI_Expiration=1,IF($A1024&lt;VLOOKUP(V$5,NFI,5,0),1,0)*Table_NFI[[#This Row],[Tent]],Table_NFI[Tent])</f>
        <v>0</v>
      </c>
      <c r="AQ1024" s="396" t="str">
        <f>IFERROR(VLOOKUP(Table_NFI[[#This Row],[Camp Name]],CL,2,0),"")</f>
        <v>MMR001CMP059</v>
      </c>
      <c r="AR1024" s="702">
        <f ca="1">IF(Table_NFI[[#This Row],[Pcode]]="","",IF(OFFSET(CampList[Opening Date],MATCH(Table_NFI[[#This Row],[Pcode]],CampList[CP_Pcode],0)-1,0,1,1)&gt;=NFI_Monitor_Date,1,0))</f>
        <v>0</v>
      </c>
      <c r="AS1024" s="396" t="str">
        <f>IFERROR(VLOOKUP(Table_NFI[[#This Row],[Camp Name]],CL,3,0),"")</f>
        <v>Closed</v>
      </c>
      <c r="AT1024" s="264" t="str">
        <f ca="1">IF(Table_NFI[[#This Row],[Pcode]]="","",OFFSET(CampList[Priority],MATCH(Table_NFI[[#This Row],[Pcode]],CampList[CP_Pcode],0)-1,0,1,1))</f>
        <v>P4</v>
      </c>
      <c r="AU1024" s="263">
        <f>IFERROR(Table_NFI[[#This Row],[Kitchen Set]]/VLOOKUP(Table_NFI[[#This Row],[Camp Name]],CL,4,0),"")</f>
        <v>0</v>
      </c>
      <c r="AV1024" s="390"/>
      <c r="AW1024" s="392"/>
      <c r="AX1024" s="402"/>
      <c r="AY1024" s="402"/>
      <c r="AZ1024" s="402"/>
      <c r="BA1024" s="402"/>
      <c r="BB1024" s="402"/>
      <c r="BC1024" s="402"/>
      <c r="BD1024" s="402"/>
      <c r="BE1024" s="402"/>
      <c r="BF1024" s="402"/>
      <c r="BG1024" s="402"/>
      <c r="BH1024" s="402"/>
      <c r="BI1024" s="402"/>
      <c r="BJ1024" s="402"/>
      <c r="BK1024" s="402"/>
      <c r="BL1024" s="402"/>
      <c r="BM1024" s="402"/>
      <c r="BN1024" s="402"/>
      <c r="BO1024" s="402"/>
      <c r="BP1024" s="402"/>
      <c r="BQ1024" s="402"/>
      <c r="BR1024" s="402"/>
      <c r="BS1024" s="402"/>
      <c r="BT1024" s="402"/>
      <c r="BU1024" s="402"/>
      <c r="BV1024" s="402"/>
      <c r="BW1024" s="402"/>
      <c r="BX1024" s="402"/>
      <c r="BY1024" s="402"/>
      <c r="BZ1024" s="402"/>
      <c r="CA1024" s="402"/>
      <c r="CB1024" s="402"/>
      <c r="CC1024" s="402"/>
      <c r="CD1024" s="402"/>
      <c r="CE1024" s="402"/>
      <c r="CF1024" s="402"/>
      <c r="CG1024" s="402"/>
      <c r="CH1024" s="402"/>
      <c r="CI1024" s="402"/>
      <c r="CJ1024" s="402"/>
      <c r="CK1024" s="402"/>
      <c r="CL1024" s="402"/>
      <c r="CM1024" s="402"/>
      <c r="CN1024" s="402"/>
      <c r="CO1024" s="402"/>
      <c r="CP1024" s="402"/>
      <c r="CQ1024" s="402"/>
      <c r="CR1024" s="402"/>
      <c r="CS1024" s="402"/>
      <c r="CT1024" s="402"/>
      <c r="CU1024" s="402"/>
      <c r="CV1024" s="402"/>
      <c r="CW1024" s="402"/>
      <c r="CX1024" s="402"/>
      <c r="CY1024" s="402"/>
      <c r="CZ1024" s="402"/>
      <c r="DA1024" s="402"/>
      <c r="DB1024" s="402"/>
      <c r="DC1024" s="402"/>
      <c r="DD1024" s="402"/>
      <c r="DE1024" s="402"/>
      <c r="DF1024" s="402"/>
      <c r="DG1024" s="402"/>
      <c r="DH1024" s="402"/>
      <c r="DI1024" s="402"/>
      <c r="DJ1024" s="402"/>
      <c r="DK1024" s="402"/>
      <c r="DL1024" s="402"/>
      <c r="DM1024" s="402"/>
      <c r="DN1024" s="402"/>
      <c r="DO1024" s="402"/>
      <c r="DP1024" s="402"/>
      <c r="DQ1024" s="402"/>
    </row>
    <row r="1025" spans="1:121" s="760" customFormat="1" ht="14.45" customHeight="1" x14ac:dyDescent="0.25">
      <c r="A1025" s="266">
        <f t="shared" si="15"/>
        <v>58.666666666666664</v>
      </c>
      <c r="B1025" s="389">
        <v>41096</v>
      </c>
      <c r="C1025" s="390" t="s">
        <v>451</v>
      </c>
      <c r="D1025" s="390" t="s">
        <v>451</v>
      </c>
      <c r="E1025" s="390" t="s">
        <v>380</v>
      </c>
      <c r="F1025" s="390" t="s">
        <v>310</v>
      </c>
      <c r="G1025" s="262" t="s">
        <v>316</v>
      </c>
      <c r="H1025" s="261"/>
      <c r="I1025" s="261"/>
      <c r="J1025" s="261"/>
      <c r="K1025" s="261">
        <v>17</v>
      </c>
      <c r="L1025" s="261">
        <v>17</v>
      </c>
      <c r="M1025" s="261">
        <v>17</v>
      </c>
      <c r="N1025" s="261">
        <v>17</v>
      </c>
      <c r="O1025" s="261">
        <v>17</v>
      </c>
      <c r="P1025" s="261">
        <v>17</v>
      </c>
      <c r="Q1025" s="261">
        <v>17</v>
      </c>
      <c r="R1025" s="261"/>
      <c r="S1025" s="261"/>
      <c r="T1025" s="261"/>
      <c r="U1025" s="261"/>
      <c r="V1025" s="762"/>
      <c r="W1025" s="261"/>
      <c r="X1025" s="261"/>
      <c r="Y1025" s="264">
        <f>IF(NFI_Expiration=1,IF($A1025&lt;VLOOKUP(H$5,NFI,5,0),1,0)*Table_NFI[[#This Row],[Hygiene Kit]],Table_NFI[Hygiene Kit])</f>
        <v>0</v>
      </c>
      <c r="Z1025" s="264">
        <f>IF(NFI_Expiration=1,IF($A1025&lt;VLOOKUP(I$5,NFI,5,0),1,0)*Table_NFI[[#This Row],[NFI Core Kit]],Table_NFI[NFI Core Kit])</f>
        <v>0</v>
      </c>
      <c r="AA1025" s="264">
        <f>IF(NFI_Expiration=1,IF($A1025&lt;VLOOKUP(J$5,NFI,5,0),1,0)*Table_NFI[[#This Row],[Sanitary Kit]],Table_NFI[Sanitary Kit])</f>
        <v>0</v>
      </c>
      <c r="AB1025" s="264">
        <f>IF(NFI_Expiration=1,IF($A1025&lt;VLOOKUP(K$5,NFI,5,0),1,0)*Table_NFI[[#This Row],[Mosquito net]],Table_NFI[Mosquito net])</f>
        <v>0</v>
      </c>
      <c r="AC1025" s="264">
        <f>IF(NFI_Expiration=1,IF($A1025&lt;VLOOKUP(L$5,NFI,5,0),1,0)*Table_NFI[[#This Row],[Tarpaulin]],Table_NFI[[#This Row],[Tarpaulin]])</f>
        <v>0</v>
      </c>
      <c r="AD1025" s="264">
        <f>IF(NFI_Expiration=1,IF($A1025&lt;VLOOKUP(M$5,NFI,5,0),1,0)*Table_NFI[[#This Row],[Blanket]],Table_NFI[[#This Row],[Blanket]])</f>
        <v>0</v>
      </c>
      <c r="AE1025" s="264">
        <f>IF(NFI_Expiration=1,IF($A1025&lt;VLOOKUP(N$5,NFI,5,0),1,0)*Table_NFI[[#This Row],[Kitchen Set]],Table_NFI[Kitchen Set])</f>
        <v>0</v>
      </c>
      <c r="AF1025" s="264">
        <f>IF(NFI_Expiration=1,IF($A1025&lt;VLOOKUP(O$5,NFI,5,0),1,0)*Table_NFI[[#This Row],[Clothes Kit]],Table_NFI[Clothes Kit])</f>
        <v>0</v>
      </c>
      <c r="AG1025" s="264">
        <f>IF(NFI_Expiration=1,IF($A1025&lt;VLOOKUP(P$5,NFI,5,0),1,0)*Table_NFI[[#This Row],[Plastic Bucket]],Table_NFI[Plastic Bucket])</f>
        <v>0</v>
      </c>
      <c r="AH1025" s="264">
        <f>IF(NFI_Expiration=1,IF($A1025&lt;VLOOKUP(Q$5,NFI,5,0),1,0)*Table_NFI[[#This Row],[Plastic Mat]],Table_NFI[Plastic Mat])*IF(Table_NFI[[#This Row],[Distribution Date]]&gt;"2014-04-01",1,2.5)</f>
        <v>0</v>
      </c>
      <c r="AI1025" s="264">
        <f>IF(NFI_Expiration=1,IF($A1025&lt;VLOOKUP(R$5,NFI,5,0),1,0)*Table_NFI[[#This Row],[Winter Clothes Adult]],Table_NFI[Winter Clothes Adult])</f>
        <v>0</v>
      </c>
      <c r="AJ1025" s="264">
        <f>IF(NFI_Expiration=1,IF($A1025&lt;VLOOKUP(S$5,NFI,5,0),1,0)*Table_NFI[[#This Row],[Winter Clothes Children]],Table_NFI[Winter Clothes Children])</f>
        <v>0</v>
      </c>
      <c r="AK1025" s="264">
        <f>IF(NFI_Expiration=1,IF($A1025&lt;VLOOKUP(T$5,NFI,5,0),1,0)*Table_NFI[[#This Row],[Winter Items Other]],Table_NFI[Winter Items Other])</f>
        <v>0</v>
      </c>
      <c r="AL1025" s="264">
        <f>IF(NFI_Expiration=1,IF($A1025&lt;VLOOKUP(M$5,NFI,5,0),1,0)*Table_NFI[[#This Row],[Winter Blanket]],Table_NFI[[#This Row],[Winter Blanket]])</f>
        <v>0</v>
      </c>
      <c r="AM1025" s="264">
        <f>IF(Table_NFI[[#This Row],[Winter Clothes Adult]]+Table_NFI[[#This Row],[Winter Clothes Children]]+Table_NFI[[#This Row],[Winter Items Other]]+Table_NFI[[#This Row],[Winter Blanket]]&gt;0,1,0)</f>
        <v>0</v>
      </c>
      <c r="AN1025" s="296">
        <f>IF(NFI_Expiration=1,IF($A1025&lt;VLOOKUP(V$5,NFI,5,0),1,0)*Table_NFI[[#This Row],[Jerry Can]],Table_NFI[Jerry Can])</f>
        <v>0</v>
      </c>
      <c r="AO1025" s="296">
        <f>IF(NFI_Expiration=1,IF($A1025&lt;VLOOKUP(V$5,NFI,5,0),1,0)*Table_NFI[[#This Row],[Shelter Tool kit]],Table_NFI[Shelter Tool kit])</f>
        <v>0</v>
      </c>
      <c r="AP1025" s="296">
        <f>IF(NFI_Expiration=1,IF($A1025&lt;VLOOKUP(V$5,NFI,5,0),1,0)*Table_NFI[[#This Row],[Tent]],Table_NFI[Tent])</f>
        <v>0</v>
      </c>
      <c r="AQ1025" s="396" t="str">
        <f>IFERROR(VLOOKUP(Table_NFI[[#This Row],[Camp Name]],CL,2,0),"")</f>
        <v>MMR001CMP038</v>
      </c>
      <c r="AR1025" s="702">
        <f ca="1">IF(Table_NFI[[#This Row],[Pcode]]="","",IF(OFFSET(CampList[Opening Date],MATCH(Table_NFI[[#This Row],[Pcode]],CampList[CP_Pcode],0)-1,0,1,1)&gt;=NFI_Monitor_Date,1,0))</f>
        <v>0</v>
      </c>
      <c r="AS1025" s="396" t="str">
        <f>IFERROR(VLOOKUP(Table_NFI[[#This Row],[Camp Name]],CL,3,0),"")</f>
        <v>Open</v>
      </c>
      <c r="AT1025" s="264" t="str">
        <f ca="1">IF(Table_NFI[[#This Row],[Pcode]]="","",OFFSET(CampList[Priority],MATCH(Table_NFI[[#This Row],[Pcode]],CampList[CP_Pcode],0)-1,0,1,1))</f>
        <v>P4</v>
      </c>
      <c r="AU1025" s="263">
        <f>IFERROR(Table_NFI[[#This Row],[Kitchen Set]]/VLOOKUP(Table_NFI[[#This Row],[Camp Name]],CL,4,0),"")</f>
        <v>4.1617704661182925E-4</v>
      </c>
      <c r="AV1025" s="390" t="s">
        <v>1087</v>
      </c>
      <c r="AW1025" s="392"/>
      <c r="AX1025" s="399"/>
      <c r="AY1025" s="399"/>
      <c r="AZ1025" s="399"/>
      <c r="BA1025" s="399"/>
      <c r="BB1025" s="399"/>
      <c r="BC1025" s="399"/>
      <c r="BD1025" s="399"/>
      <c r="BE1025" s="399"/>
      <c r="BF1025" s="399"/>
      <c r="BG1025" s="399"/>
      <c r="BH1025" s="399"/>
      <c r="BI1025" s="399"/>
      <c r="BJ1025" s="399"/>
      <c r="BK1025" s="399"/>
      <c r="BL1025" s="399"/>
      <c r="BM1025" s="399"/>
      <c r="BN1025" s="399"/>
      <c r="BO1025" s="399"/>
      <c r="BP1025" s="399"/>
      <c r="BQ1025" s="399"/>
      <c r="BR1025" s="399"/>
      <c r="BS1025" s="399"/>
      <c r="BT1025" s="399"/>
      <c r="BU1025" s="399"/>
      <c r="BV1025" s="399"/>
      <c r="BW1025" s="399"/>
      <c r="BX1025" s="399"/>
      <c r="BY1025" s="399"/>
      <c r="BZ1025" s="399"/>
      <c r="CA1025" s="399"/>
      <c r="CB1025" s="399"/>
      <c r="CC1025" s="399"/>
      <c r="CD1025" s="399"/>
      <c r="CE1025" s="399"/>
      <c r="CF1025" s="399"/>
      <c r="CG1025" s="399"/>
      <c r="CH1025" s="399"/>
      <c r="CI1025" s="399"/>
      <c r="CJ1025" s="399"/>
      <c r="CK1025" s="399"/>
      <c r="CL1025" s="399"/>
      <c r="CM1025" s="399"/>
      <c r="CN1025" s="399"/>
      <c r="CO1025" s="399"/>
      <c r="CP1025" s="399"/>
      <c r="CQ1025" s="399"/>
      <c r="CR1025" s="399"/>
      <c r="CS1025" s="399"/>
      <c r="CT1025" s="399"/>
      <c r="CU1025" s="399"/>
      <c r="CV1025" s="399"/>
      <c r="CW1025" s="399"/>
      <c r="CX1025" s="399"/>
      <c r="CY1025" s="399"/>
      <c r="CZ1025" s="399"/>
      <c r="DA1025" s="399"/>
      <c r="DB1025" s="399"/>
      <c r="DC1025" s="399"/>
      <c r="DD1025" s="399"/>
      <c r="DE1025" s="399"/>
      <c r="DF1025" s="399"/>
      <c r="DG1025" s="399"/>
      <c r="DH1025" s="399"/>
      <c r="DI1025" s="399"/>
      <c r="DJ1025" s="399"/>
      <c r="DK1025" s="399"/>
      <c r="DL1025" s="399"/>
      <c r="DM1025" s="399"/>
      <c r="DN1025" s="399"/>
      <c r="DO1025" s="399"/>
      <c r="DP1025" s="399"/>
      <c r="DQ1025" s="399"/>
    </row>
    <row r="1026" spans="1:121" s="760" customFormat="1" ht="14.45" customHeight="1" x14ac:dyDescent="0.25">
      <c r="A1026" s="266">
        <f t="shared" si="15"/>
        <v>58.7</v>
      </c>
      <c r="B1026" s="389">
        <v>41095</v>
      </c>
      <c r="C1026" s="390" t="s">
        <v>451</v>
      </c>
      <c r="D1026" s="390" t="s">
        <v>451</v>
      </c>
      <c r="E1026" s="390" t="s">
        <v>380</v>
      </c>
      <c r="F1026" s="262" t="s">
        <v>5</v>
      </c>
      <c r="G1026" s="262" t="s">
        <v>24</v>
      </c>
      <c r="H1026" s="261"/>
      <c r="I1026" s="261"/>
      <c r="J1026" s="261"/>
      <c r="K1026" s="261">
        <v>36</v>
      </c>
      <c r="L1026" s="261">
        <v>14</v>
      </c>
      <c r="M1026" s="261">
        <v>36</v>
      </c>
      <c r="N1026" s="261">
        <v>14</v>
      </c>
      <c r="O1026" s="261">
        <v>14</v>
      </c>
      <c r="P1026" s="261">
        <v>14</v>
      </c>
      <c r="Q1026" s="261">
        <v>14</v>
      </c>
      <c r="R1026" s="261"/>
      <c r="S1026" s="261"/>
      <c r="T1026" s="261"/>
      <c r="U1026" s="261"/>
      <c r="V1026" s="762"/>
      <c r="W1026" s="261"/>
      <c r="X1026" s="261"/>
      <c r="Y1026" s="264">
        <f>IF(NFI_Expiration=1,IF($A1026&lt;VLOOKUP(H$5,NFI,5,0),1,0)*Table_NFI[[#This Row],[Hygiene Kit]],Table_NFI[Hygiene Kit])</f>
        <v>0</v>
      </c>
      <c r="Z1026" s="264">
        <f>IF(NFI_Expiration=1,IF($A1026&lt;VLOOKUP(I$5,NFI,5,0),1,0)*Table_NFI[[#This Row],[NFI Core Kit]],Table_NFI[NFI Core Kit])</f>
        <v>0</v>
      </c>
      <c r="AA1026" s="264">
        <f>IF(NFI_Expiration=1,IF($A1026&lt;VLOOKUP(J$5,NFI,5,0),1,0)*Table_NFI[[#This Row],[Sanitary Kit]],Table_NFI[Sanitary Kit])</f>
        <v>0</v>
      </c>
      <c r="AB1026" s="264">
        <f>IF(NFI_Expiration=1,IF($A1026&lt;VLOOKUP(K$5,NFI,5,0),1,0)*Table_NFI[[#This Row],[Mosquito net]],Table_NFI[Mosquito net])</f>
        <v>0</v>
      </c>
      <c r="AC1026" s="264">
        <f>IF(NFI_Expiration=1,IF($A1026&lt;VLOOKUP(L$5,NFI,5,0),1,0)*Table_NFI[[#This Row],[Tarpaulin]],Table_NFI[[#This Row],[Tarpaulin]])</f>
        <v>0</v>
      </c>
      <c r="AD1026" s="264">
        <f>IF(NFI_Expiration=1,IF($A1026&lt;VLOOKUP(M$5,NFI,5,0),1,0)*Table_NFI[[#This Row],[Blanket]],Table_NFI[[#This Row],[Blanket]])</f>
        <v>0</v>
      </c>
      <c r="AE1026" s="264">
        <f>IF(NFI_Expiration=1,IF($A1026&lt;VLOOKUP(N$5,NFI,5,0),1,0)*Table_NFI[[#This Row],[Kitchen Set]],Table_NFI[Kitchen Set])</f>
        <v>0</v>
      </c>
      <c r="AF1026" s="264">
        <f>IF(NFI_Expiration=1,IF($A1026&lt;VLOOKUP(O$5,NFI,5,0),1,0)*Table_NFI[[#This Row],[Clothes Kit]],Table_NFI[Clothes Kit])</f>
        <v>0</v>
      </c>
      <c r="AG1026" s="264">
        <f>IF(NFI_Expiration=1,IF($A1026&lt;VLOOKUP(P$5,NFI,5,0),1,0)*Table_NFI[[#This Row],[Plastic Bucket]],Table_NFI[Plastic Bucket])</f>
        <v>0</v>
      </c>
      <c r="AH1026" s="264">
        <f>IF(NFI_Expiration=1,IF($A1026&lt;VLOOKUP(Q$5,NFI,5,0),1,0)*Table_NFI[[#This Row],[Plastic Mat]],Table_NFI[Plastic Mat])*IF(Table_NFI[[#This Row],[Distribution Date]]&gt;"2014-04-01",1,2.5)</f>
        <v>0</v>
      </c>
      <c r="AI1026" s="264">
        <f>IF(NFI_Expiration=1,IF($A1026&lt;VLOOKUP(R$5,NFI,5,0),1,0)*Table_NFI[[#This Row],[Winter Clothes Adult]],Table_NFI[Winter Clothes Adult])</f>
        <v>0</v>
      </c>
      <c r="AJ1026" s="264">
        <f>IF(NFI_Expiration=1,IF($A1026&lt;VLOOKUP(S$5,NFI,5,0),1,0)*Table_NFI[[#This Row],[Winter Clothes Children]],Table_NFI[Winter Clothes Children])</f>
        <v>0</v>
      </c>
      <c r="AK1026" s="264">
        <f>IF(NFI_Expiration=1,IF($A1026&lt;VLOOKUP(T$5,NFI,5,0),1,0)*Table_NFI[[#This Row],[Winter Items Other]],Table_NFI[Winter Items Other])</f>
        <v>0</v>
      </c>
      <c r="AL1026" s="264">
        <f>IF(NFI_Expiration=1,IF($A1026&lt;VLOOKUP(M$5,NFI,5,0),1,0)*Table_NFI[[#This Row],[Winter Blanket]],Table_NFI[[#This Row],[Winter Blanket]])</f>
        <v>0</v>
      </c>
      <c r="AM1026" s="264">
        <f>IF(Table_NFI[[#This Row],[Winter Clothes Adult]]+Table_NFI[[#This Row],[Winter Clothes Children]]+Table_NFI[[#This Row],[Winter Items Other]]+Table_NFI[[#This Row],[Winter Blanket]]&gt;0,1,0)</f>
        <v>0</v>
      </c>
      <c r="AN1026" s="296">
        <f>IF(NFI_Expiration=1,IF($A1026&lt;VLOOKUP(V$5,NFI,5,0),1,0)*Table_NFI[[#This Row],[Jerry Can]],Table_NFI[Jerry Can])</f>
        <v>0</v>
      </c>
      <c r="AO1026" s="296">
        <f>IF(NFI_Expiration=1,IF($A1026&lt;VLOOKUP(V$5,NFI,5,0),1,0)*Table_NFI[[#This Row],[Shelter Tool kit]],Table_NFI[Shelter Tool kit])</f>
        <v>0</v>
      </c>
      <c r="AP1026" s="296">
        <f>IF(NFI_Expiration=1,IF($A1026&lt;VLOOKUP(V$5,NFI,5,0),1,0)*Table_NFI[[#This Row],[Tent]],Table_NFI[Tent])</f>
        <v>0</v>
      </c>
      <c r="AQ1026" s="396" t="str">
        <f>IFERROR(VLOOKUP(Table_NFI[[#This Row],[Camp Name]],CL,2,0),"")</f>
        <v>MMR001CMP055</v>
      </c>
      <c r="AR1026" s="702">
        <f ca="1">IF(Table_NFI[[#This Row],[Pcode]]="","",IF(OFFSET(CampList[Opening Date],MATCH(Table_NFI[[#This Row],[Pcode]],CampList[CP_Pcode],0)-1,0,1,1)&gt;=NFI_Monitor_Date,1,0))</f>
        <v>0</v>
      </c>
      <c r="AS1026" s="396" t="str">
        <f>IFERROR(VLOOKUP(Table_NFI[[#This Row],[Camp Name]],CL,3,0),"")</f>
        <v>Open</v>
      </c>
      <c r="AT1026" s="264" t="str">
        <f ca="1">IF(Table_NFI[[#This Row],[Pcode]]="","",OFFSET(CampList[Priority],MATCH(Table_NFI[[#This Row],[Pcode]],CampList[CP_Pcode],0)-1,0,1,1))</f>
        <v>P4</v>
      </c>
      <c r="AU1026" s="263">
        <f>IFERROR(Table_NFI[[#This Row],[Kitchen Set]]/VLOOKUP(Table_NFI[[#This Row],[Camp Name]],CL,4,0),"")</f>
        <v>3.4121374603948332E-4</v>
      </c>
      <c r="AV1026" s="390" t="s">
        <v>1087</v>
      </c>
      <c r="AW1026" s="392"/>
      <c r="AX1026" s="399"/>
      <c r="AY1026" s="399"/>
      <c r="AZ1026" s="399"/>
      <c r="BA1026" s="399"/>
      <c r="BB1026" s="399"/>
      <c r="BC1026" s="399"/>
      <c r="BD1026" s="399"/>
      <c r="BE1026" s="399"/>
      <c r="BF1026" s="399"/>
      <c r="BG1026" s="399"/>
      <c r="BH1026" s="399"/>
      <c r="BI1026" s="399"/>
      <c r="BJ1026" s="399"/>
      <c r="BK1026" s="399"/>
      <c r="BL1026" s="399"/>
      <c r="BM1026" s="399"/>
      <c r="BN1026" s="399"/>
      <c r="BO1026" s="399"/>
      <c r="BP1026" s="399"/>
      <c r="BQ1026" s="399"/>
      <c r="BR1026" s="399"/>
      <c r="BS1026" s="399"/>
      <c r="BT1026" s="399"/>
      <c r="BU1026" s="399"/>
      <c r="BV1026" s="399"/>
      <c r="BW1026" s="399"/>
      <c r="BX1026" s="399"/>
      <c r="BY1026" s="399"/>
      <c r="BZ1026" s="399"/>
      <c r="CA1026" s="399"/>
      <c r="CB1026" s="399"/>
      <c r="CC1026" s="399"/>
      <c r="CD1026" s="399"/>
      <c r="CE1026" s="399"/>
      <c r="CF1026" s="399"/>
      <c r="CG1026" s="399"/>
      <c r="CH1026" s="399"/>
      <c r="CI1026" s="399"/>
      <c r="CJ1026" s="399"/>
      <c r="CK1026" s="399"/>
      <c r="CL1026" s="399"/>
      <c r="CM1026" s="399"/>
      <c r="CN1026" s="399"/>
      <c r="CO1026" s="399"/>
      <c r="CP1026" s="399"/>
      <c r="CQ1026" s="399"/>
      <c r="CR1026" s="399"/>
      <c r="CS1026" s="399"/>
      <c r="CT1026" s="399"/>
      <c r="CU1026" s="399"/>
      <c r="CV1026" s="399"/>
      <c r="CW1026" s="399"/>
      <c r="CX1026" s="399"/>
      <c r="CY1026" s="399"/>
      <c r="CZ1026" s="399"/>
      <c r="DA1026" s="399"/>
      <c r="DB1026" s="399"/>
      <c r="DC1026" s="399"/>
      <c r="DD1026" s="399"/>
      <c r="DE1026" s="399"/>
      <c r="DF1026" s="399"/>
      <c r="DG1026" s="399"/>
      <c r="DH1026" s="399"/>
      <c r="DI1026" s="399"/>
      <c r="DJ1026" s="399"/>
      <c r="DK1026" s="399"/>
      <c r="DL1026" s="399"/>
      <c r="DM1026" s="399"/>
      <c r="DN1026" s="399"/>
      <c r="DO1026" s="399"/>
      <c r="DP1026" s="399"/>
      <c r="DQ1026" s="399"/>
    </row>
    <row r="1027" spans="1:121" s="760" customFormat="1" ht="14.45" customHeight="1" x14ac:dyDescent="0.25">
      <c r="A1027" s="266">
        <f t="shared" si="15"/>
        <v>59.033333333333331</v>
      </c>
      <c r="B1027" s="389">
        <v>41085</v>
      </c>
      <c r="C1027" s="390" t="s">
        <v>451</v>
      </c>
      <c r="D1027" s="391" t="s">
        <v>451</v>
      </c>
      <c r="E1027" s="390" t="s">
        <v>380</v>
      </c>
      <c r="F1027" s="262" t="s">
        <v>185</v>
      </c>
      <c r="G1027" s="262" t="s">
        <v>209</v>
      </c>
      <c r="H1027" s="261"/>
      <c r="I1027" s="763"/>
      <c r="J1027" s="261"/>
      <c r="K1027" s="261">
        <v>290</v>
      </c>
      <c r="L1027" s="261">
        <v>145</v>
      </c>
      <c r="M1027" s="261">
        <v>290</v>
      </c>
      <c r="N1027" s="261">
        <v>145</v>
      </c>
      <c r="O1027" s="261">
        <v>145</v>
      </c>
      <c r="P1027" s="261">
        <v>145</v>
      </c>
      <c r="Q1027" s="261">
        <v>145</v>
      </c>
      <c r="R1027" s="261"/>
      <c r="S1027" s="261"/>
      <c r="T1027" s="261"/>
      <c r="U1027" s="261"/>
      <c r="V1027" s="762"/>
      <c r="W1027" s="261"/>
      <c r="X1027" s="261"/>
      <c r="Y1027" s="264">
        <f>IF(NFI_Expiration=1,IF($A1027&lt;VLOOKUP(H$5,NFI,5,0),1,0)*Table_NFI[[#This Row],[Hygiene Kit]],Table_NFI[Hygiene Kit])</f>
        <v>0</v>
      </c>
      <c r="Z1027" s="264">
        <f>IF(NFI_Expiration=1,IF($A1027&lt;VLOOKUP(I$5,NFI,5,0),1,0)*Table_NFI[[#This Row],[NFI Core Kit]],Table_NFI[NFI Core Kit])</f>
        <v>0</v>
      </c>
      <c r="AA1027" s="264">
        <f>IF(NFI_Expiration=1,IF($A1027&lt;VLOOKUP(J$5,NFI,5,0),1,0)*Table_NFI[[#This Row],[Sanitary Kit]],Table_NFI[Sanitary Kit])</f>
        <v>0</v>
      </c>
      <c r="AB1027" s="264">
        <f>IF(NFI_Expiration=1,IF($A1027&lt;VLOOKUP(K$5,NFI,5,0),1,0)*Table_NFI[[#This Row],[Mosquito net]],Table_NFI[Mosquito net])</f>
        <v>0</v>
      </c>
      <c r="AC1027" s="264">
        <f>IF(NFI_Expiration=1,IF($A1027&lt;VLOOKUP(L$5,NFI,5,0),1,0)*Table_NFI[[#This Row],[Tarpaulin]],Table_NFI[[#This Row],[Tarpaulin]])</f>
        <v>0</v>
      </c>
      <c r="AD1027" s="264">
        <f>IF(NFI_Expiration=1,IF($A1027&lt;VLOOKUP(M$5,NFI,5,0),1,0)*Table_NFI[[#This Row],[Blanket]],Table_NFI[[#This Row],[Blanket]])</f>
        <v>0</v>
      </c>
      <c r="AE1027" s="264">
        <f>IF(NFI_Expiration=1,IF($A1027&lt;VLOOKUP(N$5,NFI,5,0),1,0)*Table_NFI[[#This Row],[Kitchen Set]],Table_NFI[Kitchen Set])</f>
        <v>0</v>
      </c>
      <c r="AF1027" s="264">
        <f>IF(NFI_Expiration=1,IF($A1027&lt;VLOOKUP(O$5,NFI,5,0),1,0)*Table_NFI[[#This Row],[Clothes Kit]],Table_NFI[Clothes Kit])</f>
        <v>0</v>
      </c>
      <c r="AG1027" s="264">
        <f>IF(NFI_Expiration=1,IF($A1027&lt;VLOOKUP(P$5,NFI,5,0),1,0)*Table_NFI[[#This Row],[Plastic Bucket]],Table_NFI[Plastic Bucket])</f>
        <v>0</v>
      </c>
      <c r="AH1027" s="264">
        <f>IF(NFI_Expiration=1,IF($A1027&lt;VLOOKUP(Q$5,NFI,5,0),1,0)*Table_NFI[[#This Row],[Plastic Mat]],Table_NFI[Plastic Mat])*IF(Table_NFI[[#This Row],[Distribution Date]]&gt;"2014-04-01",1,2.5)</f>
        <v>0</v>
      </c>
      <c r="AI1027" s="264">
        <f>IF(NFI_Expiration=1,IF($A1027&lt;VLOOKUP(R$5,NFI,5,0),1,0)*Table_NFI[[#This Row],[Winter Clothes Adult]],Table_NFI[Winter Clothes Adult])</f>
        <v>0</v>
      </c>
      <c r="AJ1027" s="264">
        <f>IF(NFI_Expiration=1,IF($A1027&lt;VLOOKUP(S$5,NFI,5,0),1,0)*Table_NFI[[#This Row],[Winter Clothes Children]],Table_NFI[Winter Clothes Children])</f>
        <v>0</v>
      </c>
      <c r="AK1027" s="264">
        <f>IF(NFI_Expiration=1,IF($A1027&lt;VLOOKUP(T$5,NFI,5,0),1,0)*Table_NFI[[#This Row],[Winter Items Other]],Table_NFI[Winter Items Other])</f>
        <v>0</v>
      </c>
      <c r="AL1027" s="264">
        <f>IF(NFI_Expiration=1,IF($A1027&lt;VLOOKUP(M$5,NFI,5,0),1,0)*Table_NFI[[#This Row],[Winter Blanket]],Table_NFI[[#This Row],[Winter Blanket]])</f>
        <v>0</v>
      </c>
      <c r="AM1027" s="264">
        <f>IF(Table_NFI[[#This Row],[Winter Clothes Adult]]+Table_NFI[[#This Row],[Winter Clothes Children]]+Table_NFI[[#This Row],[Winter Items Other]]+Table_NFI[[#This Row],[Winter Blanket]]&gt;0,1,0)</f>
        <v>0</v>
      </c>
      <c r="AN1027" s="296">
        <f>IF(NFI_Expiration=1,IF($A1027&lt;VLOOKUP(V$5,NFI,5,0),1,0)*Table_NFI[[#This Row],[Jerry Can]],Table_NFI[Jerry Can])</f>
        <v>0</v>
      </c>
      <c r="AO1027" s="296">
        <f>IF(NFI_Expiration=1,IF($A1027&lt;VLOOKUP(V$5,NFI,5,0),1,0)*Table_NFI[[#This Row],[Shelter Tool kit]],Table_NFI[Shelter Tool kit])</f>
        <v>0</v>
      </c>
      <c r="AP1027" s="296">
        <f>IF(NFI_Expiration=1,IF($A1027&lt;VLOOKUP(V$5,NFI,5,0),1,0)*Table_NFI[[#This Row],[Tent]],Table_NFI[Tent])</f>
        <v>0</v>
      </c>
      <c r="AQ1027" s="396" t="str">
        <f>IFERROR(VLOOKUP(Table_NFI[[#This Row],[Camp Name]],CL,2,0),"")</f>
        <v>MMR001CMP056</v>
      </c>
      <c r="AR1027" s="702">
        <f ca="1">IF(Table_NFI[[#This Row],[Pcode]]="","",IF(OFFSET(CampList[Opening Date],MATCH(Table_NFI[[#This Row],[Pcode]],CampList[CP_Pcode],0)-1,0,1,1)&gt;=NFI_Monitor_Date,1,0))</f>
        <v>0</v>
      </c>
      <c r="AS1027" s="396" t="str">
        <f>IFERROR(VLOOKUP(Table_NFI[[#This Row],[Camp Name]],CL,3,0),"")</f>
        <v>Open</v>
      </c>
      <c r="AT1027" s="264" t="str">
        <f ca="1">IF(Table_NFI[[#This Row],[Pcode]]="","",OFFSET(CampList[Priority],MATCH(Table_NFI[[#This Row],[Pcode]],CampList[CP_Pcode],0)-1,0,1,1))</f>
        <v>P4</v>
      </c>
      <c r="AU1027" s="263">
        <f>IFERROR(Table_NFI[[#This Row],[Kitchen Set]]/VLOOKUP(Table_NFI[[#This Row],[Camp Name]],CL,4,0),"")</f>
        <v>3.5630912888561248E-3</v>
      </c>
      <c r="AV1027" s="390" t="s">
        <v>1087</v>
      </c>
      <c r="AW1027" s="392"/>
      <c r="AX1027" s="399"/>
      <c r="AY1027" s="399"/>
      <c r="AZ1027" s="399"/>
      <c r="BA1027" s="399"/>
      <c r="BB1027" s="399"/>
      <c r="BC1027" s="399"/>
      <c r="BD1027" s="399"/>
      <c r="BE1027" s="399"/>
      <c r="BF1027" s="399"/>
      <c r="BG1027" s="399"/>
      <c r="BH1027" s="399"/>
      <c r="BI1027" s="399"/>
      <c r="BJ1027" s="399"/>
      <c r="BK1027" s="399"/>
      <c r="BL1027" s="399"/>
      <c r="BM1027" s="399"/>
      <c r="BN1027" s="399"/>
      <c r="BO1027" s="399"/>
      <c r="BP1027" s="399"/>
      <c r="BQ1027" s="399"/>
      <c r="BR1027" s="399"/>
      <c r="BS1027" s="399"/>
      <c r="BT1027" s="399"/>
      <c r="BU1027" s="399"/>
      <c r="BV1027" s="399"/>
      <c r="BW1027" s="399"/>
      <c r="BX1027" s="399"/>
      <c r="BY1027" s="399"/>
      <c r="BZ1027" s="399"/>
      <c r="CA1027" s="399"/>
      <c r="CB1027" s="399"/>
      <c r="CC1027" s="399"/>
      <c r="CD1027" s="399"/>
      <c r="CE1027" s="399"/>
      <c r="CF1027" s="399"/>
      <c r="CG1027" s="399"/>
      <c r="CH1027" s="399"/>
      <c r="CI1027" s="399"/>
      <c r="CJ1027" s="399"/>
      <c r="CK1027" s="399"/>
      <c r="CL1027" s="399"/>
      <c r="CM1027" s="399"/>
      <c r="CN1027" s="399"/>
      <c r="CO1027" s="399"/>
      <c r="CP1027" s="399"/>
      <c r="CQ1027" s="399"/>
      <c r="CR1027" s="399"/>
      <c r="CS1027" s="399"/>
      <c r="CT1027" s="399"/>
      <c r="CU1027" s="399"/>
      <c r="CV1027" s="399"/>
      <c r="CW1027" s="399"/>
      <c r="CX1027" s="399"/>
      <c r="CY1027" s="399"/>
      <c r="CZ1027" s="399"/>
      <c r="DA1027" s="399"/>
      <c r="DB1027" s="399"/>
      <c r="DC1027" s="399"/>
      <c r="DD1027" s="399"/>
      <c r="DE1027" s="399"/>
      <c r="DF1027" s="399"/>
      <c r="DG1027" s="399"/>
      <c r="DH1027" s="399"/>
      <c r="DI1027" s="399"/>
      <c r="DJ1027" s="399"/>
      <c r="DK1027" s="399"/>
      <c r="DL1027" s="399"/>
      <c r="DM1027" s="399"/>
      <c r="DN1027" s="399"/>
      <c r="DO1027" s="399"/>
      <c r="DP1027" s="399"/>
      <c r="DQ1027" s="399"/>
    </row>
    <row r="1028" spans="1:121" s="760" customFormat="1" ht="14.45" customHeight="1" x14ac:dyDescent="0.25">
      <c r="A1028" s="266">
        <f t="shared" si="15"/>
        <v>59.1</v>
      </c>
      <c r="B1028" s="389">
        <v>41083</v>
      </c>
      <c r="C1028" s="390" t="s">
        <v>451</v>
      </c>
      <c r="D1028" s="391" t="s">
        <v>451</v>
      </c>
      <c r="E1028" s="390" t="s">
        <v>380</v>
      </c>
      <c r="F1028" s="262" t="s">
        <v>185</v>
      </c>
      <c r="G1028" s="262" t="s">
        <v>192</v>
      </c>
      <c r="H1028" s="261"/>
      <c r="I1028" s="763"/>
      <c r="J1028" s="261"/>
      <c r="K1028" s="261">
        <v>24</v>
      </c>
      <c r="L1028" s="261">
        <v>13</v>
      </c>
      <c r="M1028" s="261">
        <v>24</v>
      </c>
      <c r="N1028" s="261">
        <v>13</v>
      </c>
      <c r="O1028" s="261">
        <v>13</v>
      </c>
      <c r="P1028" s="261">
        <v>13</v>
      </c>
      <c r="Q1028" s="261">
        <v>13</v>
      </c>
      <c r="R1028" s="261"/>
      <c r="S1028" s="261"/>
      <c r="T1028" s="261"/>
      <c r="U1028" s="261"/>
      <c r="V1028" s="762"/>
      <c r="W1028" s="261"/>
      <c r="X1028" s="261"/>
      <c r="Y1028" s="264">
        <f>IF(NFI_Expiration=1,IF($A1028&lt;VLOOKUP(H$5,NFI,5,0),1,0)*Table_NFI[[#This Row],[Hygiene Kit]],Table_NFI[Hygiene Kit])</f>
        <v>0</v>
      </c>
      <c r="Z1028" s="264">
        <f>IF(NFI_Expiration=1,IF($A1028&lt;VLOOKUP(I$5,NFI,5,0),1,0)*Table_NFI[[#This Row],[NFI Core Kit]],Table_NFI[NFI Core Kit])</f>
        <v>0</v>
      </c>
      <c r="AA1028" s="264">
        <f>IF(NFI_Expiration=1,IF($A1028&lt;VLOOKUP(J$5,NFI,5,0),1,0)*Table_NFI[[#This Row],[Sanitary Kit]],Table_NFI[Sanitary Kit])</f>
        <v>0</v>
      </c>
      <c r="AB1028" s="264">
        <f>IF(NFI_Expiration=1,IF($A1028&lt;VLOOKUP(K$5,NFI,5,0),1,0)*Table_NFI[[#This Row],[Mosquito net]],Table_NFI[Mosquito net])</f>
        <v>0</v>
      </c>
      <c r="AC1028" s="264">
        <f>IF(NFI_Expiration=1,IF($A1028&lt;VLOOKUP(L$5,NFI,5,0),1,0)*Table_NFI[[#This Row],[Tarpaulin]],Table_NFI[[#This Row],[Tarpaulin]])</f>
        <v>0</v>
      </c>
      <c r="AD1028" s="264">
        <f>IF(NFI_Expiration=1,IF($A1028&lt;VLOOKUP(M$5,NFI,5,0),1,0)*Table_NFI[[#This Row],[Blanket]],Table_NFI[[#This Row],[Blanket]])</f>
        <v>0</v>
      </c>
      <c r="AE1028" s="264">
        <f>IF(NFI_Expiration=1,IF($A1028&lt;VLOOKUP(N$5,NFI,5,0),1,0)*Table_NFI[[#This Row],[Kitchen Set]],Table_NFI[Kitchen Set])</f>
        <v>0</v>
      </c>
      <c r="AF1028" s="264">
        <f>IF(NFI_Expiration=1,IF($A1028&lt;VLOOKUP(O$5,NFI,5,0),1,0)*Table_NFI[[#This Row],[Clothes Kit]],Table_NFI[Clothes Kit])</f>
        <v>0</v>
      </c>
      <c r="AG1028" s="264">
        <f>IF(NFI_Expiration=1,IF($A1028&lt;VLOOKUP(P$5,NFI,5,0),1,0)*Table_NFI[[#This Row],[Plastic Bucket]],Table_NFI[Plastic Bucket])</f>
        <v>0</v>
      </c>
      <c r="AH1028" s="264">
        <f>IF(NFI_Expiration=1,IF($A1028&lt;VLOOKUP(Q$5,NFI,5,0),1,0)*Table_NFI[[#This Row],[Plastic Mat]],Table_NFI[Plastic Mat])*IF(Table_NFI[[#This Row],[Distribution Date]]&gt;"2014-04-01",1,2.5)</f>
        <v>0</v>
      </c>
      <c r="AI1028" s="264">
        <f>IF(NFI_Expiration=1,IF($A1028&lt;VLOOKUP(R$5,NFI,5,0),1,0)*Table_NFI[[#This Row],[Winter Clothes Adult]],Table_NFI[Winter Clothes Adult])</f>
        <v>0</v>
      </c>
      <c r="AJ1028" s="264">
        <f>IF(NFI_Expiration=1,IF($A1028&lt;VLOOKUP(S$5,NFI,5,0),1,0)*Table_NFI[[#This Row],[Winter Clothes Children]],Table_NFI[Winter Clothes Children])</f>
        <v>0</v>
      </c>
      <c r="AK1028" s="264">
        <f>IF(NFI_Expiration=1,IF($A1028&lt;VLOOKUP(T$5,NFI,5,0),1,0)*Table_NFI[[#This Row],[Winter Items Other]],Table_NFI[Winter Items Other])</f>
        <v>0</v>
      </c>
      <c r="AL1028" s="264">
        <f>IF(NFI_Expiration=1,IF($A1028&lt;VLOOKUP(M$5,NFI,5,0),1,0)*Table_NFI[[#This Row],[Winter Blanket]],Table_NFI[[#This Row],[Winter Blanket]])</f>
        <v>0</v>
      </c>
      <c r="AM1028" s="264">
        <f>IF(Table_NFI[[#This Row],[Winter Clothes Adult]]+Table_NFI[[#This Row],[Winter Clothes Children]]+Table_NFI[[#This Row],[Winter Items Other]]+Table_NFI[[#This Row],[Winter Blanket]]&gt;0,1,0)</f>
        <v>0</v>
      </c>
      <c r="AN1028" s="296">
        <f>IF(NFI_Expiration=1,IF($A1028&lt;VLOOKUP(V$5,NFI,5,0),1,0)*Table_NFI[[#This Row],[Jerry Can]],Table_NFI[Jerry Can])</f>
        <v>0</v>
      </c>
      <c r="AO1028" s="296">
        <f>IF(NFI_Expiration=1,IF($A1028&lt;VLOOKUP(V$5,NFI,5,0),1,0)*Table_NFI[[#This Row],[Shelter Tool kit]],Table_NFI[Shelter Tool kit])</f>
        <v>0</v>
      </c>
      <c r="AP1028" s="296">
        <f>IF(NFI_Expiration=1,IF($A1028&lt;VLOOKUP(V$5,NFI,5,0),1,0)*Table_NFI[[#This Row],[Tent]],Table_NFI[Tent])</f>
        <v>0</v>
      </c>
      <c r="AQ1028" s="396" t="str">
        <f>IFERROR(VLOOKUP(Table_NFI[[#This Row],[Camp Name]],CL,2,0),"")</f>
        <v>MMR001CMP123</v>
      </c>
      <c r="AR1028" s="702">
        <f ca="1">IF(Table_NFI[[#This Row],[Pcode]]="","",IF(OFFSET(CampList[Opening Date],MATCH(Table_NFI[[#This Row],[Pcode]],CampList[CP_Pcode],0)-1,0,1,1)&gt;=NFI_Monitor_Date,1,0))</f>
        <v>0</v>
      </c>
      <c r="AS1028" s="396" t="str">
        <f>IFERROR(VLOOKUP(Table_NFI[[#This Row],[Camp Name]],CL,3,0),"")</f>
        <v>Open</v>
      </c>
      <c r="AT1028" s="264" t="str">
        <f ca="1">IF(Table_NFI[[#This Row],[Pcode]]="","",OFFSET(CampList[Priority],MATCH(Table_NFI[[#This Row],[Pcode]],CampList[CP_Pcode],0)-1,0,1,1))</f>
        <v>P2</v>
      </c>
      <c r="AU1028" s="263">
        <f>IFERROR(Table_NFI[[#This Row],[Kitchen Set]]/VLOOKUP(Table_NFI[[#This Row],[Camp Name]],CL,4,0),"")</f>
        <v>3.1897143978800666E-4</v>
      </c>
      <c r="AV1028" s="390" t="s">
        <v>1087</v>
      </c>
      <c r="AW1028" s="392"/>
      <c r="AX1028" s="399"/>
      <c r="AY1028" s="399"/>
      <c r="AZ1028" s="399"/>
      <c r="BA1028" s="399"/>
      <c r="BB1028" s="399"/>
      <c r="BC1028" s="399"/>
      <c r="BD1028" s="399"/>
      <c r="BE1028" s="399"/>
      <c r="BF1028" s="399"/>
      <c r="BG1028" s="399"/>
      <c r="BH1028" s="399"/>
      <c r="BI1028" s="399"/>
      <c r="BJ1028" s="399"/>
      <c r="BK1028" s="399"/>
      <c r="BL1028" s="399"/>
      <c r="BM1028" s="399"/>
      <c r="BN1028" s="399"/>
      <c r="BO1028" s="399"/>
      <c r="BP1028" s="399"/>
      <c r="BQ1028" s="399"/>
      <c r="BR1028" s="399"/>
      <c r="BS1028" s="399"/>
      <c r="BT1028" s="399"/>
      <c r="BU1028" s="399"/>
      <c r="BV1028" s="399"/>
      <c r="BW1028" s="399"/>
      <c r="BX1028" s="399"/>
      <c r="BY1028" s="399"/>
      <c r="BZ1028" s="399"/>
      <c r="CA1028" s="399"/>
      <c r="CB1028" s="399"/>
      <c r="CC1028" s="399"/>
      <c r="CD1028" s="399"/>
      <c r="CE1028" s="399"/>
      <c r="CF1028" s="399"/>
      <c r="CG1028" s="399"/>
      <c r="CH1028" s="399"/>
      <c r="CI1028" s="399"/>
      <c r="CJ1028" s="399"/>
      <c r="CK1028" s="399"/>
      <c r="CL1028" s="399"/>
      <c r="CM1028" s="399"/>
      <c r="CN1028" s="399"/>
      <c r="CO1028" s="399"/>
      <c r="CP1028" s="399"/>
      <c r="CQ1028" s="399"/>
      <c r="CR1028" s="399"/>
      <c r="CS1028" s="399"/>
      <c r="CT1028" s="399"/>
      <c r="CU1028" s="399"/>
      <c r="CV1028" s="399"/>
      <c r="CW1028" s="399"/>
      <c r="CX1028" s="399"/>
      <c r="CY1028" s="399"/>
      <c r="CZ1028" s="399"/>
      <c r="DA1028" s="399"/>
      <c r="DB1028" s="399"/>
      <c r="DC1028" s="399"/>
      <c r="DD1028" s="399"/>
      <c r="DE1028" s="399"/>
      <c r="DF1028" s="399"/>
      <c r="DG1028" s="399"/>
      <c r="DH1028" s="399"/>
      <c r="DI1028" s="399"/>
      <c r="DJ1028" s="399"/>
      <c r="DK1028" s="399"/>
      <c r="DL1028" s="399"/>
      <c r="DM1028" s="399"/>
      <c r="DN1028" s="399"/>
      <c r="DO1028" s="399"/>
      <c r="DP1028" s="399"/>
      <c r="DQ1028" s="399"/>
    </row>
    <row r="1029" spans="1:121" s="393" customFormat="1" ht="15" customHeight="1" x14ac:dyDescent="0.25">
      <c r="A1029" s="266">
        <f t="shared" si="15"/>
        <v>59.133333333333333</v>
      </c>
      <c r="B1029" s="389">
        <v>41082</v>
      </c>
      <c r="C1029" s="390" t="s">
        <v>451</v>
      </c>
      <c r="D1029" s="390" t="s">
        <v>451</v>
      </c>
      <c r="E1029" s="390" t="s">
        <v>380</v>
      </c>
      <c r="F1029" s="262" t="s">
        <v>185</v>
      </c>
      <c r="G1029" s="262" t="s">
        <v>215</v>
      </c>
      <c r="H1029" s="261"/>
      <c r="I1029" s="261"/>
      <c r="J1029" s="261"/>
      <c r="K1029" s="261">
        <v>140</v>
      </c>
      <c r="L1029" s="261">
        <v>70</v>
      </c>
      <c r="M1029" s="261">
        <v>140</v>
      </c>
      <c r="N1029" s="261">
        <v>70</v>
      </c>
      <c r="O1029" s="261">
        <v>70</v>
      </c>
      <c r="P1029" s="261">
        <v>70</v>
      </c>
      <c r="Q1029" s="261">
        <v>70</v>
      </c>
      <c r="R1029" s="261"/>
      <c r="S1029" s="261"/>
      <c r="T1029" s="261"/>
      <c r="U1029" s="261"/>
      <c r="V1029" s="762"/>
      <c r="W1029" s="261"/>
      <c r="X1029" s="261"/>
      <c r="Y1029" s="264">
        <f>IF(NFI_Expiration=1,IF($A1029&lt;VLOOKUP(H$5,NFI,5,0),1,0)*Table_NFI[[#This Row],[Hygiene Kit]],Table_NFI[Hygiene Kit])</f>
        <v>0</v>
      </c>
      <c r="Z1029" s="264">
        <f>IF(NFI_Expiration=1,IF($A1029&lt;VLOOKUP(I$5,NFI,5,0),1,0)*Table_NFI[[#This Row],[NFI Core Kit]],Table_NFI[NFI Core Kit])</f>
        <v>0</v>
      </c>
      <c r="AA1029" s="264">
        <f>IF(NFI_Expiration=1,IF($A1029&lt;VLOOKUP(J$5,NFI,5,0),1,0)*Table_NFI[[#This Row],[Sanitary Kit]],Table_NFI[Sanitary Kit])</f>
        <v>0</v>
      </c>
      <c r="AB1029" s="264">
        <f>IF(NFI_Expiration=1,IF($A1029&lt;VLOOKUP(K$5,NFI,5,0),1,0)*Table_NFI[[#This Row],[Mosquito net]],Table_NFI[Mosquito net])</f>
        <v>0</v>
      </c>
      <c r="AC1029" s="264">
        <f>IF(NFI_Expiration=1,IF($A1029&lt;VLOOKUP(L$5,NFI,5,0),1,0)*Table_NFI[[#This Row],[Tarpaulin]],Table_NFI[[#This Row],[Tarpaulin]])</f>
        <v>0</v>
      </c>
      <c r="AD1029" s="264">
        <f>IF(NFI_Expiration=1,IF($A1029&lt;VLOOKUP(M$5,NFI,5,0),1,0)*Table_NFI[[#This Row],[Blanket]],Table_NFI[[#This Row],[Blanket]])</f>
        <v>0</v>
      </c>
      <c r="AE1029" s="264">
        <f>IF(NFI_Expiration=1,IF($A1029&lt;VLOOKUP(N$5,NFI,5,0),1,0)*Table_NFI[[#This Row],[Kitchen Set]],Table_NFI[Kitchen Set])</f>
        <v>0</v>
      </c>
      <c r="AF1029" s="264">
        <f>IF(NFI_Expiration=1,IF($A1029&lt;VLOOKUP(O$5,NFI,5,0),1,0)*Table_NFI[[#This Row],[Clothes Kit]],Table_NFI[Clothes Kit])</f>
        <v>0</v>
      </c>
      <c r="AG1029" s="264">
        <f>IF(NFI_Expiration=1,IF($A1029&lt;VLOOKUP(P$5,NFI,5,0),1,0)*Table_NFI[[#This Row],[Plastic Bucket]],Table_NFI[Plastic Bucket])</f>
        <v>0</v>
      </c>
      <c r="AH1029" s="264">
        <f>IF(NFI_Expiration=1,IF($A1029&lt;VLOOKUP(Q$5,NFI,5,0),1,0)*Table_NFI[[#This Row],[Plastic Mat]],Table_NFI[Plastic Mat])*IF(Table_NFI[[#This Row],[Distribution Date]]&gt;"2014-04-01",1,2.5)</f>
        <v>0</v>
      </c>
      <c r="AI1029" s="264">
        <f>IF(NFI_Expiration=1,IF($A1029&lt;VLOOKUP(R$5,NFI,5,0),1,0)*Table_NFI[[#This Row],[Winter Clothes Adult]],Table_NFI[Winter Clothes Adult])</f>
        <v>0</v>
      </c>
      <c r="AJ1029" s="264">
        <f>IF(NFI_Expiration=1,IF($A1029&lt;VLOOKUP(S$5,NFI,5,0),1,0)*Table_NFI[[#This Row],[Winter Clothes Children]],Table_NFI[Winter Clothes Children])</f>
        <v>0</v>
      </c>
      <c r="AK1029" s="264">
        <f>IF(NFI_Expiration=1,IF($A1029&lt;VLOOKUP(T$5,NFI,5,0),1,0)*Table_NFI[[#This Row],[Winter Items Other]],Table_NFI[Winter Items Other])</f>
        <v>0</v>
      </c>
      <c r="AL1029" s="264">
        <f>IF(NFI_Expiration=1,IF($A1029&lt;VLOOKUP(M$5,NFI,5,0),1,0)*Table_NFI[[#This Row],[Winter Blanket]],Table_NFI[[#This Row],[Winter Blanket]])</f>
        <v>0</v>
      </c>
      <c r="AM1029" s="264">
        <f>IF(Table_NFI[[#This Row],[Winter Clothes Adult]]+Table_NFI[[#This Row],[Winter Clothes Children]]+Table_NFI[[#This Row],[Winter Items Other]]+Table_NFI[[#This Row],[Winter Blanket]]&gt;0,1,0)</f>
        <v>0</v>
      </c>
      <c r="AN1029" s="296">
        <f>IF(NFI_Expiration=1,IF($A1029&lt;VLOOKUP(V$5,NFI,5,0),1,0)*Table_NFI[[#This Row],[Jerry Can]],Table_NFI[Jerry Can])</f>
        <v>0</v>
      </c>
      <c r="AO1029" s="296">
        <f>IF(NFI_Expiration=1,IF($A1029&lt;VLOOKUP(V$5,NFI,5,0),1,0)*Table_NFI[[#This Row],[Shelter Tool kit]],Table_NFI[Shelter Tool kit])</f>
        <v>0</v>
      </c>
      <c r="AP1029" s="296">
        <f>IF(NFI_Expiration=1,IF($A1029&lt;VLOOKUP(V$5,NFI,5,0),1,0)*Table_NFI[[#This Row],[Tent]],Table_NFI[Tent])</f>
        <v>0</v>
      </c>
      <c r="AQ1029" s="396" t="str">
        <f>IFERROR(VLOOKUP(Table_NFI[[#This Row],[Camp Name]],CL,2,0),"")</f>
        <v>MMR001CMP131</v>
      </c>
      <c r="AR1029" s="702">
        <f ca="1">IF(Table_NFI[[#This Row],[Pcode]]="","",IF(OFFSET(CampList[Opening Date],MATCH(Table_NFI[[#This Row],[Pcode]],CampList[CP_Pcode],0)-1,0,1,1)&gt;=NFI_Monitor_Date,1,0))</f>
        <v>0</v>
      </c>
      <c r="AS1029" s="396" t="str">
        <f>IFERROR(VLOOKUP(Table_NFI[[#This Row],[Camp Name]],CL,3,0),"")</f>
        <v>Open</v>
      </c>
      <c r="AT1029" s="264" t="str">
        <f ca="1">IF(Table_NFI[[#This Row],[Pcode]]="","",OFFSET(CampList[Priority],MATCH(Table_NFI[[#This Row],[Pcode]],CampList[CP_Pcode],0)-1,0,1,1))</f>
        <v>P1</v>
      </c>
      <c r="AU1029" s="263">
        <f>IFERROR(Table_NFI[[#This Row],[Kitchen Set]]/VLOOKUP(Table_NFI[[#This Row],[Camp Name]],CL,4,0),"")</f>
        <v>1.7073170731707317E-3</v>
      </c>
      <c r="AV1029" s="390" t="s">
        <v>1087</v>
      </c>
      <c r="AW1029" s="392"/>
      <c r="AX1029" s="399"/>
      <c r="AY1029" s="399"/>
      <c r="AZ1029" s="399"/>
      <c r="BA1029" s="399"/>
      <c r="BB1029" s="399"/>
      <c r="BC1029" s="399"/>
      <c r="BD1029" s="399"/>
      <c r="BE1029" s="399"/>
      <c r="BF1029" s="399"/>
      <c r="BG1029" s="399"/>
      <c r="BH1029" s="399"/>
      <c r="BI1029" s="399"/>
      <c r="BJ1029" s="399"/>
      <c r="BK1029" s="399"/>
      <c r="BL1029" s="399"/>
      <c r="BM1029" s="399"/>
      <c r="BN1029" s="399"/>
      <c r="BO1029" s="399"/>
      <c r="BP1029" s="399"/>
      <c r="BQ1029" s="399"/>
      <c r="BR1029" s="399"/>
      <c r="BS1029" s="399"/>
      <c r="BT1029" s="399"/>
      <c r="BU1029" s="399"/>
      <c r="BV1029" s="399"/>
      <c r="BW1029" s="399"/>
      <c r="BX1029" s="399"/>
      <c r="BY1029" s="399"/>
      <c r="BZ1029" s="399"/>
      <c r="CA1029" s="399"/>
      <c r="CB1029" s="399"/>
      <c r="CC1029" s="399"/>
      <c r="CD1029" s="399"/>
      <c r="CE1029" s="399"/>
      <c r="CF1029" s="399"/>
      <c r="CG1029" s="399"/>
      <c r="CH1029" s="399"/>
      <c r="CI1029" s="399"/>
      <c r="CJ1029" s="399"/>
      <c r="CK1029" s="399"/>
      <c r="CL1029" s="399"/>
      <c r="CM1029" s="399"/>
      <c r="CN1029" s="399"/>
      <c r="CO1029" s="399"/>
      <c r="CP1029" s="399"/>
      <c r="CQ1029" s="399"/>
      <c r="CR1029" s="399"/>
      <c r="CS1029" s="399"/>
      <c r="CT1029" s="399"/>
      <c r="CU1029" s="399"/>
      <c r="CV1029" s="399"/>
      <c r="CW1029" s="399"/>
      <c r="CX1029" s="399"/>
      <c r="CY1029" s="399"/>
      <c r="CZ1029" s="399"/>
      <c r="DA1029" s="399"/>
      <c r="DB1029" s="399"/>
      <c r="DC1029" s="399"/>
      <c r="DD1029" s="399"/>
      <c r="DE1029" s="399"/>
      <c r="DF1029" s="399"/>
      <c r="DG1029" s="399"/>
      <c r="DH1029" s="399"/>
      <c r="DI1029" s="399"/>
      <c r="DJ1029" s="399"/>
      <c r="DK1029" s="399"/>
      <c r="DL1029" s="399"/>
      <c r="DM1029" s="399"/>
      <c r="DN1029" s="399"/>
      <c r="DO1029" s="399"/>
      <c r="DP1029" s="399"/>
      <c r="DQ1029" s="399"/>
    </row>
    <row r="1030" spans="1:121" s="393" customFormat="1" ht="14.45" customHeight="1" x14ac:dyDescent="0.25">
      <c r="A1030" s="266">
        <f t="shared" ref="A1030:A1093" si="16">IF(ISBLANK(B1030),"",(Report_Date-B1030)/30)</f>
        <v>59.2</v>
      </c>
      <c r="B1030" s="389">
        <v>41080</v>
      </c>
      <c r="C1030" s="390" t="s">
        <v>451</v>
      </c>
      <c r="D1030" s="391" t="s">
        <v>451</v>
      </c>
      <c r="E1030" s="390" t="s">
        <v>380</v>
      </c>
      <c r="F1030" s="262" t="s">
        <v>310</v>
      </c>
      <c r="G1030" s="262" t="s">
        <v>311</v>
      </c>
      <c r="H1030" s="261"/>
      <c r="I1030" s="261"/>
      <c r="J1030" s="261"/>
      <c r="K1030" s="261">
        <v>141</v>
      </c>
      <c r="L1030" s="261">
        <v>81</v>
      </c>
      <c r="M1030" s="261">
        <v>148</v>
      </c>
      <c r="N1030" s="261">
        <v>84</v>
      </c>
      <c r="O1030" s="261">
        <v>78</v>
      </c>
      <c r="P1030" s="261">
        <v>78</v>
      </c>
      <c r="Q1030" s="261">
        <v>78</v>
      </c>
      <c r="R1030" s="261"/>
      <c r="S1030" s="261"/>
      <c r="T1030" s="261"/>
      <c r="U1030" s="261"/>
      <c r="V1030" s="762"/>
      <c r="W1030" s="261"/>
      <c r="X1030" s="261"/>
      <c r="Y1030" s="264">
        <f>IF(NFI_Expiration=1,IF($A1030&lt;VLOOKUP(H$5,NFI,5,0),1,0)*Table_NFI[[#This Row],[Hygiene Kit]],Table_NFI[Hygiene Kit])</f>
        <v>0</v>
      </c>
      <c r="Z1030" s="264">
        <f>IF(NFI_Expiration=1,IF($A1030&lt;VLOOKUP(I$5,NFI,5,0),1,0)*Table_NFI[[#This Row],[NFI Core Kit]],Table_NFI[NFI Core Kit])</f>
        <v>0</v>
      </c>
      <c r="AA1030" s="264">
        <f>IF(NFI_Expiration=1,IF($A1030&lt;VLOOKUP(J$5,NFI,5,0),1,0)*Table_NFI[[#This Row],[Sanitary Kit]],Table_NFI[Sanitary Kit])</f>
        <v>0</v>
      </c>
      <c r="AB1030" s="264">
        <f>IF(NFI_Expiration=1,IF($A1030&lt;VLOOKUP(K$5,NFI,5,0),1,0)*Table_NFI[[#This Row],[Mosquito net]],Table_NFI[Mosquito net])</f>
        <v>0</v>
      </c>
      <c r="AC1030" s="264">
        <f>IF(NFI_Expiration=1,IF($A1030&lt;VLOOKUP(L$5,NFI,5,0),1,0)*Table_NFI[[#This Row],[Tarpaulin]],Table_NFI[[#This Row],[Tarpaulin]])</f>
        <v>0</v>
      </c>
      <c r="AD1030" s="264">
        <f>IF(NFI_Expiration=1,IF($A1030&lt;VLOOKUP(M$5,NFI,5,0),1,0)*Table_NFI[[#This Row],[Blanket]],Table_NFI[[#This Row],[Blanket]])</f>
        <v>0</v>
      </c>
      <c r="AE1030" s="264">
        <f>IF(NFI_Expiration=1,IF($A1030&lt;VLOOKUP(N$5,NFI,5,0),1,0)*Table_NFI[[#This Row],[Kitchen Set]],Table_NFI[Kitchen Set])</f>
        <v>0</v>
      </c>
      <c r="AF1030" s="264">
        <f>IF(NFI_Expiration=1,IF($A1030&lt;VLOOKUP(O$5,NFI,5,0),1,0)*Table_NFI[[#This Row],[Clothes Kit]],Table_NFI[Clothes Kit])</f>
        <v>0</v>
      </c>
      <c r="AG1030" s="264">
        <f>IF(NFI_Expiration=1,IF($A1030&lt;VLOOKUP(P$5,NFI,5,0),1,0)*Table_NFI[[#This Row],[Plastic Bucket]],Table_NFI[Plastic Bucket])</f>
        <v>0</v>
      </c>
      <c r="AH1030" s="264">
        <f>IF(NFI_Expiration=1,IF($A1030&lt;VLOOKUP(Q$5,NFI,5,0),1,0)*Table_NFI[[#This Row],[Plastic Mat]],Table_NFI[Plastic Mat])*IF(Table_NFI[[#This Row],[Distribution Date]]&gt;"2014-04-01",1,2.5)</f>
        <v>0</v>
      </c>
      <c r="AI1030" s="264">
        <f>IF(NFI_Expiration=1,IF($A1030&lt;VLOOKUP(R$5,NFI,5,0),1,0)*Table_NFI[[#This Row],[Winter Clothes Adult]],Table_NFI[Winter Clothes Adult])</f>
        <v>0</v>
      </c>
      <c r="AJ1030" s="264">
        <f>IF(NFI_Expiration=1,IF($A1030&lt;VLOOKUP(S$5,NFI,5,0),1,0)*Table_NFI[[#This Row],[Winter Clothes Children]],Table_NFI[Winter Clothes Children])</f>
        <v>0</v>
      </c>
      <c r="AK1030" s="264">
        <f>IF(NFI_Expiration=1,IF($A1030&lt;VLOOKUP(T$5,NFI,5,0),1,0)*Table_NFI[[#This Row],[Winter Items Other]],Table_NFI[Winter Items Other])</f>
        <v>0</v>
      </c>
      <c r="AL1030" s="264">
        <f>IF(NFI_Expiration=1,IF($A1030&lt;VLOOKUP(M$5,NFI,5,0),1,0)*Table_NFI[[#This Row],[Winter Blanket]],Table_NFI[[#This Row],[Winter Blanket]])</f>
        <v>0</v>
      </c>
      <c r="AM1030" s="264">
        <f>IF(Table_NFI[[#This Row],[Winter Clothes Adult]]+Table_NFI[[#This Row],[Winter Clothes Children]]+Table_NFI[[#This Row],[Winter Items Other]]+Table_NFI[[#This Row],[Winter Blanket]]&gt;0,1,0)</f>
        <v>0</v>
      </c>
      <c r="AN1030" s="296">
        <f>IF(NFI_Expiration=1,IF($A1030&lt;VLOOKUP(V$5,NFI,5,0),1,0)*Table_NFI[[#This Row],[Jerry Can]],Table_NFI[Jerry Can])</f>
        <v>0</v>
      </c>
      <c r="AO1030" s="296">
        <f>IF(NFI_Expiration=1,IF($A1030&lt;VLOOKUP(V$5,NFI,5,0),1,0)*Table_NFI[[#This Row],[Shelter Tool kit]],Table_NFI[Shelter Tool kit])</f>
        <v>0</v>
      </c>
      <c r="AP1030" s="296">
        <f>IF(NFI_Expiration=1,IF($A1030&lt;VLOOKUP(V$5,NFI,5,0),1,0)*Table_NFI[[#This Row],[Tent]],Table_NFI[Tent])</f>
        <v>0</v>
      </c>
      <c r="AQ1030" s="396" t="str">
        <f>IFERROR(VLOOKUP(Table_NFI[[#This Row],[Camp Name]],CL,2,0),"")</f>
        <v>MMR001CMP036</v>
      </c>
      <c r="AR1030" s="702">
        <f ca="1">IF(Table_NFI[[#This Row],[Pcode]]="","",IF(OFFSET(CampList[Opening Date],MATCH(Table_NFI[[#This Row],[Pcode]],CampList[CP_Pcode],0)-1,0,1,1)&gt;=NFI_Monitor_Date,1,0))</f>
        <v>0</v>
      </c>
      <c r="AS1030" s="396" t="str">
        <f>IFERROR(VLOOKUP(Table_NFI[[#This Row],[Camp Name]],CL,3,0),"")</f>
        <v>Closed</v>
      </c>
      <c r="AT1030" s="264" t="str">
        <f ca="1">IF(Table_NFI[[#This Row],[Pcode]]="","",OFFSET(CampList[Priority],MATCH(Table_NFI[[#This Row],[Pcode]],CampList[CP_Pcode],0)-1,0,1,1))</f>
        <v>P4</v>
      </c>
      <c r="AU1030" s="263">
        <f>IFERROR(Table_NFI[[#This Row],[Kitchen Set]]/VLOOKUP(Table_NFI[[#This Row],[Camp Name]],CL,4,0),"")</f>
        <v>2.0564042303172739E-3</v>
      </c>
      <c r="AV1030" s="390" t="s">
        <v>1087</v>
      </c>
      <c r="AW1030" s="392"/>
      <c r="AX1030" s="399"/>
      <c r="AY1030" s="399"/>
      <c r="AZ1030" s="399"/>
      <c r="BA1030" s="399"/>
      <c r="BB1030" s="399"/>
      <c r="BC1030" s="399"/>
      <c r="BD1030" s="399"/>
      <c r="BE1030" s="399"/>
      <c r="BF1030" s="399"/>
      <c r="BG1030" s="399"/>
      <c r="BH1030" s="399"/>
      <c r="BI1030" s="399"/>
      <c r="BJ1030" s="399"/>
      <c r="BK1030" s="399"/>
      <c r="BL1030" s="399"/>
      <c r="BM1030" s="399"/>
      <c r="BN1030" s="399"/>
      <c r="BO1030" s="399"/>
      <c r="BP1030" s="399"/>
      <c r="BQ1030" s="399"/>
      <c r="BR1030" s="399"/>
      <c r="BS1030" s="399"/>
      <c r="BT1030" s="399"/>
      <c r="BU1030" s="399"/>
      <c r="BV1030" s="399"/>
      <c r="BW1030" s="399"/>
      <c r="BX1030" s="399"/>
      <c r="BY1030" s="399"/>
      <c r="BZ1030" s="399"/>
      <c r="CA1030" s="399"/>
      <c r="CB1030" s="399"/>
      <c r="CC1030" s="399"/>
      <c r="CD1030" s="399"/>
      <c r="CE1030" s="399"/>
      <c r="CF1030" s="399"/>
      <c r="CG1030" s="399"/>
      <c r="CH1030" s="399"/>
      <c r="CI1030" s="399"/>
      <c r="CJ1030" s="399"/>
      <c r="CK1030" s="399"/>
      <c r="CL1030" s="399"/>
      <c r="CM1030" s="399"/>
      <c r="CN1030" s="399"/>
      <c r="CO1030" s="399"/>
      <c r="CP1030" s="399"/>
      <c r="CQ1030" s="399"/>
      <c r="CR1030" s="399"/>
      <c r="CS1030" s="399"/>
      <c r="CT1030" s="399"/>
      <c r="CU1030" s="399"/>
      <c r="CV1030" s="399"/>
      <c r="CW1030" s="399"/>
      <c r="CX1030" s="399"/>
      <c r="CY1030" s="399"/>
      <c r="CZ1030" s="399"/>
      <c r="DA1030" s="399"/>
      <c r="DB1030" s="399"/>
      <c r="DC1030" s="399"/>
      <c r="DD1030" s="399"/>
      <c r="DE1030" s="399"/>
      <c r="DF1030" s="399"/>
      <c r="DG1030" s="399"/>
      <c r="DH1030" s="399"/>
      <c r="DI1030" s="399"/>
      <c r="DJ1030" s="399"/>
      <c r="DK1030" s="399"/>
      <c r="DL1030" s="399"/>
      <c r="DM1030" s="399"/>
      <c r="DN1030" s="399"/>
      <c r="DO1030" s="399"/>
      <c r="DP1030" s="399"/>
      <c r="DQ1030" s="399"/>
    </row>
    <row r="1031" spans="1:121" s="760" customFormat="1" ht="14.45" customHeight="1" x14ac:dyDescent="0.25">
      <c r="A1031" s="266">
        <f t="shared" si="16"/>
        <v>59.233333333333334</v>
      </c>
      <c r="B1031" s="389">
        <v>41079</v>
      </c>
      <c r="C1031" s="390" t="s">
        <v>451</v>
      </c>
      <c r="D1031" s="391" t="s">
        <v>451</v>
      </c>
      <c r="E1031" s="390" t="s">
        <v>380</v>
      </c>
      <c r="F1031" s="262" t="s">
        <v>310</v>
      </c>
      <c r="G1031" s="262" t="s">
        <v>324</v>
      </c>
      <c r="H1031" s="261"/>
      <c r="I1031" s="261"/>
      <c r="J1031" s="261"/>
      <c r="K1031" s="261">
        <v>32</v>
      </c>
      <c r="L1031" s="261">
        <v>17</v>
      </c>
      <c r="M1031" s="261">
        <v>32</v>
      </c>
      <c r="N1031" s="261">
        <v>17</v>
      </c>
      <c r="O1031" s="261">
        <v>17</v>
      </c>
      <c r="P1031" s="261">
        <v>17</v>
      </c>
      <c r="Q1031" s="261">
        <v>17</v>
      </c>
      <c r="R1031" s="261"/>
      <c r="S1031" s="261"/>
      <c r="T1031" s="261"/>
      <c r="U1031" s="261"/>
      <c r="V1031" s="762"/>
      <c r="W1031" s="261"/>
      <c r="X1031" s="261"/>
      <c r="Y1031" s="264">
        <f>IF(NFI_Expiration=1,IF($A1031&lt;VLOOKUP(H$5,NFI,5,0),1,0)*Table_NFI[[#This Row],[Hygiene Kit]],Table_NFI[Hygiene Kit])</f>
        <v>0</v>
      </c>
      <c r="Z1031" s="264">
        <f>IF(NFI_Expiration=1,IF($A1031&lt;VLOOKUP(I$5,NFI,5,0),1,0)*Table_NFI[[#This Row],[NFI Core Kit]],Table_NFI[NFI Core Kit])</f>
        <v>0</v>
      </c>
      <c r="AA1031" s="264">
        <f>IF(NFI_Expiration=1,IF($A1031&lt;VLOOKUP(J$5,NFI,5,0),1,0)*Table_NFI[[#This Row],[Sanitary Kit]],Table_NFI[Sanitary Kit])</f>
        <v>0</v>
      </c>
      <c r="AB1031" s="264">
        <f>IF(NFI_Expiration=1,IF($A1031&lt;VLOOKUP(K$5,NFI,5,0),1,0)*Table_NFI[[#This Row],[Mosquito net]],Table_NFI[Mosquito net])</f>
        <v>0</v>
      </c>
      <c r="AC1031" s="264">
        <f>IF(NFI_Expiration=1,IF($A1031&lt;VLOOKUP(L$5,NFI,5,0),1,0)*Table_NFI[[#This Row],[Tarpaulin]],Table_NFI[[#This Row],[Tarpaulin]])</f>
        <v>0</v>
      </c>
      <c r="AD1031" s="264">
        <f>IF(NFI_Expiration=1,IF($A1031&lt;VLOOKUP(M$5,NFI,5,0),1,0)*Table_NFI[[#This Row],[Blanket]],Table_NFI[[#This Row],[Blanket]])</f>
        <v>0</v>
      </c>
      <c r="AE1031" s="264">
        <f>IF(NFI_Expiration=1,IF($A1031&lt;VLOOKUP(N$5,NFI,5,0),1,0)*Table_NFI[[#This Row],[Kitchen Set]],Table_NFI[Kitchen Set])</f>
        <v>0</v>
      </c>
      <c r="AF1031" s="264">
        <f>IF(NFI_Expiration=1,IF($A1031&lt;VLOOKUP(O$5,NFI,5,0),1,0)*Table_NFI[[#This Row],[Clothes Kit]],Table_NFI[Clothes Kit])</f>
        <v>0</v>
      </c>
      <c r="AG1031" s="264">
        <f>IF(NFI_Expiration=1,IF($A1031&lt;VLOOKUP(P$5,NFI,5,0),1,0)*Table_NFI[[#This Row],[Plastic Bucket]],Table_NFI[Plastic Bucket])</f>
        <v>0</v>
      </c>
      <c r="AH1031" s="264">
        <f>IF(NFI_Expiration=1,IF($A1031&lt;VLOOKUP(Q$5,NFI,5,0),1,0)*Table_NFI[[#This Row],[Plastic Mat]],Table_NFI[Plastic Mat])*IF(Table_NFI[[#This Row],[Distribution Date]]&gt;"2014-04-01",1,2.5)</f>
        <v>0</v>
      </c>
      <c r="AI1031" s="264">
        <f>IF(NFI_Expiration=1,IF($A1031&lt;VLOOKUP(R$5,NFI,5,0),1,0)*Table_NFI[[#This Row],[Winter Clothes Adult]],Table_NFI[Winter Clothes Adult])</f>
        <v>0</v>
      </c>
      <c r="AJ1031" s="264">
        <f>IF(NFI_Expiration=1,IF($A1031&lt;VLOOKUP(S$5,NFI,5,0),1,0)*Table_NFI[[#This Row],[Winter Clothes Children]],Table_NFI[Winter Clothes Children])</f>
        <v>0</v>
      </c>
      <c r="AK1031" s="264">
        <f>IF(NFI_Expiration=1,IF($A1031&lt;VLOOKUP(T$5,NFI,5,0),1,0)*Table_NFI[[#This Row],[Winter Items Other]],Table_NFI[Winter Items Other])</f>
        <v>0</v>
      </c>
      <c r="AL1031" s="264">
        <f>IF(NFI_Expiration=1,IF($A1031&lt;VLOOKUP(M$5,NFI,5,0),1,0)*Table_NFI[[#This Row],[Winter Blanket]],Table_NFI[[#This Row],[Winter Blanket]])</f>
        <v>0</v>
      </c>
      <c r="AM1031" s="264">
        <f>IF(Table_NFI[[#This Row],[Winter Clothes Adult]]+Table_NFI[[#This Row],[Winter Clothes Children]]+Table_NFI[[#This Row],[Winter Items Other]]+Table_NFI[[#This Row],[Winter Blanket]]&gt;0,1,0)</f>
        <v>0</v>
      </c>
      <c r="AN1031" s="296">
        <f>IF(NFI_Expiration=1,IF($A1031&lt;VLOOKUP(V$5,NFI,5,0),1,0)*Table_NFI[[#This Row],[Jerry Can]],Table_NFI[Jerry Can])</f>
        <v>0</v>
      </c>
      <c r="AO1031" s="296">
        <f>IF(NFI_Expiration=1,IF($A1031&lt;VLOOKUP(V$5,NFI,5,0),1,0)*Table_NFI[[#This Row],[Shelter Tool kit]],Table_NFI[Shelter Tool kit])</f>
        <v>0</v>
      </c>
      <c r="AP1031" s="296">
        <f>IF(NFI_Expiration=1,IF($A1031&lt;VLOOKUP(V$5,NFI,5,0),1,0)*Table_NFI[[#This Row],[Tent]],Table_NFI[Tent])</f>
        <v>0</v>
      </c>
      <c r="AQ1031" s="396" t="str">
        <f>IFERROR(VLOOKUP(Table_NFI[[#This Row],[Camp Name]],CL,2,0),"")</f>
        <v>MMR001CMP040</v>
      </c>
      <c r="AR1031" s="702">
        <f ca="1">IF(Table_NFI[[#This Row],[Pcode]]="","",IF(OFFSET(CampList[Opening Date],MATCH(Table_NFI[[#This Row],[Pcode]],CampList[CP_Pcode],0)-1,0,1,1)&gt;=NFI_Monitor_Date,1,0))</f>
        <v>0</v>
      </c>
      <c r="AS1031" s="396" t="str">
        <f>IFERROR(VLOOKUP(Table_NFI[[#This Row],[Camp Name]],CL,3,0),"")</f>
        <v>Open</v>
      </c>
      <c r="AT1031" s="264" t="str">
        <f ca="1">IF(Table_NFI[[#This Row],[Pcode]]="","",OFFSET(CampList[Priority],MATCH(Table_NFI[[#This Row],[Pcode]],CampList[CP_Pcode],0)-1,0,1,1))</f>
        <v>P4</v>
      </c>
      <c r="AU1031" s="263">
        <f>IFERROR(Table_NFI[[#This Row],[Kitchen Set]]/VLOOKUP(Table_NFI[[#This Row],[Camp Name]],CL,4,0),"")</f>
        <v>4.1401816809137626E-4</v>
      </c>
      <c r="AV1031" s="390" t="s">
        <v>1087</v>
      </c>
      <c r="AW1031" s="392"/>
      <c r="AX1031" s="399"/>
      <c r="AY1031" s="399"/>
      <c r="AZ1031" s="399"/>
      <c r="BA1031" s="399"/>
      <c r="BB1031" s="399"/>
      <c r="BC1031" s="399"/>
      <c r="BD1031" s="399"/>
      <c r="BE1031" s="399"/>
      <c r="BF1031" s="399"/>
      <c r="BG1031" s="399"/>
      <c r="BH1031" s="399"/>
      <c r="BI1031" s="399"/>
      <c r="BJ1031" s="399"/>
      <c r="BK1031" s="399"/>
      <c r="BL1031" s="399"/>
      <c r="BM1031" s="399"/>
      <c r="BN1031" s="399"/>
      <c r="BO1031" s="399"/>
      <c r="BP1031" s="399"/>
      <c r="BQ1031" s="399"/>
      <c r="BR1031" s="399"/>
      <c r="BS1031" s="399"/>
      <c r="BT1031" s="399"/>
      <c r="BU1031" s="399"/>
      <c r="BV1031" s="399"/>
      <c r="BW1031" s="399"/>
      <c r="BX1031" s="399"/>
      <c r="BY1031" s="399"/>
      <c r="BZ1031" s="399"/>
      <c r="CA1031" s="399"/>
      <c r="CB1031" s="399"/>
      <c r="CC1031" s="399"/>
      <c r="CD1031" s="399"/>
      <c r="CE1031" s="399"/>
      <c r="CF1031" s="399"/>
      <c r="CG1031" s="399"/>
      <c r="CH1031" s="399"/>
      <c r="CI1031" s="399"/>
      <c r="CJ1031" s="399"/>
      <c r="CK1031" s="399"/>
      <c r="CL1031" s="399"/>
      <c r="CM1031" s="399"/>
      <c r="CN1031" s="399"/>
      <c r="CO1031" s="399"/>
      <c r="CP1031" s="399"/>
      <c r="CQ1031" s="399"/>
      <c r="CR1031" s="399"/>
      <c r="CS1031" s="399"/>
      <c r="CT1031" s="399"/>
      <c r="CU1031" s="399"/>
      <c r="CV1031" s="399"/>
      <c r="CW1031" s="399"/>
      <c r="CX1031" s="399"/>
      <c r="CY1031" s="399"/>
      <c r="CZ1031" s="399"/>
      <c r="DA1031" s="399"/>
      <c r="DB1031" s="399"/>
      <c r="DC1031" s="399"/>
      <c r="DD1031" s="399"/>
      <c r="DE1031" s="399"/>
      <c r="DF1031" s="399"/>
      <c r="DG1031" s="399"/>
      <c r="DH1031" s="399"/>
      <c r="DI1031" s="399"/>
      <c r="DJ1031" s="399"/>
      <c r="DK1031" s="399"/>
      <c r="DL1031" s="399"/>
      <c r="DM1031" s="399"/>
      <c r="DN1031" s="399"/>
      <c r="DO1031" s="399"/>
      <c r="DP1031" s="399"/>
      <c r="DQ1031" s="399"/>
    </row>
    <row r="1032" spans="1:121" s="760" customFormat="1" ht="14.45" customHeight="1" x14ac:dyDescent="0.25">
      <c r="A1032" s="266">
        <f t="shared" si="16"/>
        <v>59.233333333333334</v>
      </c>
      <c r="B1032" s="389">
        <v>41079</v>
      </c>
      <c r="C1032" s="390" t="s">
        <v>451</v>
      </c>
      <c r="D1032" s="391" t="s">
        <v>451</v>
      </c>
      <c r="E1032" s="390" t="s">
        <v>380</v>
      </c>
      <c r="F1032" s="262" t="s">
        <v>310</v>
      </c>
      <c r="G1032" s="262" t="s">
        <v>349</v>
      </c>
      <c r="H1032" s="261"/>
      <c r="I1032" s="261"/>
      <c r="J1032" s="261"/>
      <c r="K1032" s="261">
        <v>31</v>
      </c>
      <c r="L1032" s="261">
        <v>15</v>
      </c>
      <c r="M1032" s="261">
        <v>31</v>
      </c>
      <c r="N1032" s="261">
        <v>15</v>
      </c>
      <c r="O1032" s="261">
        <v>15</v>
      </c>
      <c r="P1032" s="261">
        <v>15</v>
      </c>
      <c r="Q1032" s="261">
        <v>15</v>
      </c>
      <c r="R1032" s="261"/>
      <c r="S1032" s="261"/>
      <c r="T1032" s="261"/>
      <c r="U1032" s="261"/>
      <c r="V1032" s="762"/>
      <c r="W1032" s="261"/>
      <c r="X1032" s="261"/>
      <c r="Y1032" s="264">
        <f>IF(NFI_Expiration=1,IF($A1032&lt;VLOOKUP(H$5,NFI,5,0),1,0)*Table_NFI[[#This Row],[Hygiene Kit]],Table_NFI[Hygiene Kit])</f>
        <v>0</v>
      </c>
      <c r="Z1032" s="264">
        <f>IF(NFI_Expiration=1,IF($A1032&lt;VLOOKUP(I$5,NFI,5,0),1,0)*Table_NFI[[#This Row],[NFI Core Kit]],Table_NFI[NFI Core Kit])</f>
        <v>0</v>
      </c>
      <c r="AA1032" s="264">
        <f>IF(NFI_Expiration=1,IF($A1032&lt;VLOOKUP(J$5,NFI,5,0),1,0)*Table_NFI[[#This Row],[Sanitary Kit]],Table_NFI[Sanitary Kit])</f>
        <v>0</v>
      </c>
      <c r="AB1032" s="264">
        <f>IF(NFI_Expiration=1,IF($A1032&lt;VLOOKUP(K$5,NFI,5,0),1,0)*Table_NFI[[#This Row],[Mosquito net]],Table_NFI[Mosquito net])</f>
        <v>0</v>
      </c>
      <c r="AC1032" s="264">
        <f>IF(NFI_Expiration=1,IF($A1032&lt;VLOOKUP(L$5,NFI,5,0),1,0)*Table_NFI[[#This Row],[Tarpaulin]],Table_NFI[[#This Row],[Tarpaulin]])</f>
        <v>0</v>
      </c>
      <c r="AD1032" s="264">
        <f>IF(NFI_Expiration=1,IF($A1032&lt;VLOOKUP(M$5,NFI,5,0),1,0)*Table_NFI[[#This Row],[Blanket]],Table_NFI[[#This Row],[Blanket]])</f>
        <v>0</v>
      </c>
      <c r="AE1032" s="264">
        <f>IF(NFI_Expiration=1,IF($A1032&lt;VLOOKUP(N$5,NFI,5,0),1,0)*Table_NFI[[#This Row],[Kitchen Set]],Table_NFI[Kitchen Set])</f>
        <v>0</v>
      </c>
      <c r="AF1032" s="264">
        <f>IF(NFI_Expiration=1,IF($A1032&lt;VLOOKUP(O$5,NFI,5,0),1,0)*Table_NFI[[#This Row],[Clothes Kit]],Table_NFI[Clothes Kit])</f>
        <v>0</v>
      </c>
      <c r="AG1032" s="264">
        <f>IF(NFI_Expiration=1,IF($A1032&lt;VLOOKUP(P$5,NFI,5,0),1,0)*Table_NFI[[#This Row],[Plastic Bucket]],Table_NFI[Plastic Bucket])</f>
        <v>0</v>
      </c>
      <c r="AH1032" s="264">
        <f>IF(NFI_Expiration=1,IF($A1032&lt;VLOOKUP(Q$5,NFI,5,0),1,0)*Table_NFI[[#This Row],[Plastic Mat]],Table_NFI[Plastic Mat])*IF(Table_NFI[[#This Row],[Distribution Date]]&gt;"2014-04-01",1,2.5)</f>
        <v>0</v>
      </c>
      <c r="AI1032" s="264">
        <f>IF(NFI_Expiration=1,IF($A1032&lt;VLOOKUP(R$5,NFI,5,0),1,0)*Table_NFI[[#This Row],[Winter Clothes Adult]],Table_NFI[Winter Clothes Adult])</f>
        <v>0</v>
      </c>
      <c r="AJ1032" s="264">
        <f>IF(NFI_Expiration=1,IF($A1032&lt;VLOOKUP(S$5,NFI,5,0),1,0)*Table_NFI[[#This Row],[Winter Clothes Children]],Table_NFI[Winter Clothes Children])</f>
        <v>0</v>
      </c>
      <c r="AK1032" s="264">
        <f>IF(NFI_Expiration=1,IF($A1032&lt;VLOOKUP(T$5,NFI,5,0),1,0)*Table_NFI[[#This Row],[Winter Items Other]],Table_NFI[Winter Items Other])</f>
        <v>0</v>
      </c>
      <c r="AL1032" s="264">
        <f>IF(NFI_Expiration=1,IF($A1032&lt;VLOOKUP(M$5,NFI,5,0),1,0)*Table_NFI[[#This Row],[Winter Blanket]],Table_NFI[[#This Row],[Winter Blanket]])</f>
        <v>0</v>
      </c>
      <c r="AM1032" s="264">
        <f>IF(Table_NFI[[#This Row],[Winter Clothes Adult]]+Table_NFI[[#This Row],[Winter Clothes Children]]+Table_NFI[[#This Row],[Winter Items Other]]+Table_NFI[[#This Row],[Winter Blanket]]&gt;0,1,0)</f>
        <v>0</v>
      </c>
      <c r="AN1032" s="296">
        <f>IF(NFI_Expiration=1,IF($A1032&lt;VLOOKUP(V$5,NFI,5,0),1,0)*Table_NFI[[#This Row],[Jerry Can]],Table_NFI[Jerry Can])</f>
        <v>0</v>
      </c>
      <c r="AO1032" s="296">
        <f>IF(NFI_Expiration=1,IF($A1032&lt;VLOOKUP(V$5,NFI,5,0),1,0)*Table_NFI[[#This Row],[Shelter Tool kit]],Table_NFI[Shelter Tool kit])</f>
        <v>0</v>
      </c>
      <c r="AP1032" s="296">
        <f>IF(NFI_Expiration=1,IF($A1032&lt;VLOOKUP(V$5,NFI,5,0),1,0)*Table_NFI[[#This Row],[Tent]],Table_NFI[Tent])</f>
        <v>0</v>
      </c>
      <c r="AQ1032" s="396" t="str">
        <f>IFERROR(VLOOKUP(Table_NFI[[#This Row],[Camp Name]],CL,2,0),"")</f>
        <v>MMR001CMP037</v>
      </c>
      <c r="AR1032" s="702">
        <f ca="1">IF(Table_NFI[[#This Row],[Pcode]]="","",IF(OFFSET(CampList[Opening Date],MATCH(Table_NFI[[#This Row],[Pcode]],CampList[CP_Pcode],0)-1,0,1,1)&gt;=NFI_Monitor_Date,1,0))</f>
        <v>0</v>
      </c>
      <c r="AS1032" s="396" t="str">
        <f>IFERROR(VLOOKUP(Table_NFI[[#This Row],[Camp Name]],CL,3,0),"")</f>
        <v>Open</v>
      </c>
      <c r="AT1032" s="264" t="str">
        <f ca="1">IF(Table_NFI[[#This Row],[Pcode]]="","",OFFSET(CampList[Priority],MATCH(Table_NFI[[#This Row],[Pcode]],CampList[CP_Pcode],0)-1,0,1,1))</f>
        <v>P4</v>
      </c>
      <c r="AU1032" s="263">
        <f>IFERROR(Table_NFI[[#This Row],[Kitchen Set]]/VLOOKUP(Table_NFI[[#This Row],[Camp Name]],CL,4,0),"")</f>
        <v>3.6721504112808461E-4</v>
      </c>
      <c r="AV1032" s="390" t="s">
        <v>1087</v>
      </c>
      <c r="AW1032" s="392"/>
      <c r="AX1032" s="399"/>
      <c r="AY1032" s="399"/>
      <c r="AZ1032" s="399"/>
      <c r="BA1032" s="399"/>
      <c r="BB1032" s="399"/>
      <c r="BC1032" s="399"/>
      <c r="BD1032" s="399"/>
      <c r="BE1032" s="399"/>
      <c r="BF1032" s="399"/>
      <c r="BG1032" s="399"/>
      <c r="BH1032" s="399"/>
      <c r="BI1032" s="399"/>
      <c r="BJ1032" s="399"/>
      <c r="BK1032" s="399"/>
      <c r="BL1032" s="399"/>
      <c r="BM1032" s="399"/>
      <c r="BN1032" s="399"/>
      <c r="BO1032" s="399"/>
      <c r="BP1032" s="399"/>
      <c r="BQ1032" s="399"/>
      <c r="BR1032" s="399"/>
      <c r="BS1032" s="399"/>
      <c r="BT1032" s="399"/>
      <c r="BU1032" s="399"/>
      <c r="BV1032" s="399"/>
      <c r="BW1032" s="399"/>
      <c r="BX1032" s="399"/>
      <c r="BY1032" s="399"/>
      <c r="BZ1032" s="399"/>
      <c r="CA1032" s="399"/>
      <c r="CB1032" s="399"/>
      <c r="CC1032" s="399"/>
      <c r="CD1032" s="399"/>
      <c r="CE1032" s="399"/>
      <c r="CF1032" s="399"/>
      <c r="CG1032" s="399"/>
      <c r="CH1032" s="399"/>
      <c r="CI1032" s="399"/>
      <c r="CJ1032" s="399"/>
      <c r="CK1032" s="399"/>
      <c r="CL1032" s="399"/>
      <c r="CM1032" s="399"/>
      <c r="CN1032" s="399"/>
      <c r="CO1032" s="399"/>
      <c r="CP1032" s="399"/>
      <c r="CQ1032" s="399"/>
      <c r="CR1032" s="399"/>
      <c r="CS1032" s="399"/>
      <c r="CT1032" s="399"/>
      <c r="CU1032" s="399"/>
      <c r="CV1032" s="399"/>
      <c r="CW1032" s="399"/>
      <c r="CX1032" s="399"/>
      <c r="CY1032" s="399"/>
      <c r="CZ1032" s="399"/>
      <c r="DA1032" s="399"/>
      <c r="DB1032" s="399"/>
      <c r="DC1032" s="399"/>
      <c r="DD1032" s="399"/>
      <c r="DE1032" s="399"/>
      <c r="DF1032" s="399"/>
      <c r="DG1032" s="399"/>
      <c r="DH1032" s="399"/>
      <c r="DI1032" s="399"/>
      <c r="DJ1032" s="399"/>
      <c r="DK1032" s="399"/>
      <c r="DL1032" s="399"/>
      <c r="DM1032" s="399"/>
      <c r="DN1032" s="399"/>
      <c r="DO1032" s="399"/>
      <c r="DP1032" s="399"/>
      <c r="DQ1032" s="399"/>
    </row>
    <row r="1033" spans="1:121" s="393" customFormat="1" ht="14.45" customHeight="1" x14ac:dyDescent="0.25">
      <c r="A1033" s="266">
        <f t="shared" si="16"/>
        <v>59.233333333333334</v>
      </c>
      <c r="B1033" s="389">
        <v>41079</v>
      </c>
      <c r="C1033" s="390" t="s">
        <v>451</v>
      </c>
      <c r="D1033" s="391" t="s">
        <v>451</v>
      </c>
      <c r="E1033" s="390" t="s">
        <v>380</v>
      </c>
      <c r="F1033" s="262" t="s">
        <v>310</v>
      </c>
      <c r="G1033" s="262" t="s">
        <v>316</v>
      </c>
      <c r="H1033" s="261"/>
      <c r="I1033" s="261"/>
      <c r="J1033" s="261"/>
      <c r="K1033" s="261">
        <v>28</v>
      </c>
      <c r="L1033" s="261">
        <v>15</v>
      </c>
      <c r="M1033" s="261">
        <v>28</v>
      </c>
      <c r="N1033" s="261">
        <v>15</v>
      </c>
      <c r="O1033" s="261">
        <v>15</v>
      </c>
      <c r="P1033" s="261">
        <v>15</v>
      </c>
      <c r="Q1033" s="261">
        <v>15</v>
      </c>
      <c r="R1033" s="261"/>
      <c r="S1033" s="261"/>
      <c r="T1033" s="261"/>
      <c r="U1033" s="261"/>
      <c r="V1033" s="762"/>
      <c r="W1033" s="261"/>
      <c r="X1033" s="261"/>
      <c r="Y1033" s="264">
        <f>IF(NFI_Expiration=1,IF($A1033&lt;VLOOKUP(H$5,NFI,5,0),1,0)*Table_NFI[[#This Row],[Hygiene Kit]],Table_NFI[Hygiene Kit])</f>
        <v>0</v>
      </c>
      <c r="Z1033" s="264">
        <f>IF(NFI_Expiration=1,IF($A1033&lt;VLOOKUP(I$5,NFI,5,0),1,0)*Table_NFI[[#This Row],[NFI Core Kit]],Table_NFI[NFI Core Kit])</f>
        <v>0</v>
      </c>
      <c r="AA1033" s="264">
        <f>IF(NFI_Expiration=1,IF($A1033&lt;VLOOKUP(J$5,NFI,5,0),1,0)*Table_NFI[[#This Row],[Sanitary Kit]],Table_NFI[Sanitary Kit])</f>
        <v>0</v>
      </c>
      <c r="AB1033" s="264">
        <f>IF(NFI_Expiration=1,IF($A1033&lt;VLOOKUP(K$5,NFI,5,0),1,0)*Table_NFI[[#This Row],[Mosquito net]],Table_NFI[Mosquito net])</f>
        <v>0</v>
      </c>
      <c r="AC1033" s="264">
        <f>IF(NFI_Expiration=1,IF($A1033&lt;VLOOKUP(L$5,NFI,5,0),1,0)*Table_NFI[[#This Row],[Tarpaulin]],Table_NFI[[#This Row],[Tarpaulin]])</f>
        <v>0</v>
      </c>
      <c r="AD1033" s="264">
        <f>IF(NFI_Expiration=1,IF($A1033&lt;VLOOKUP(M$5,NFI,5,0),1,0)*Table_NFI[[#This Row],[Blanket]],Table_NFI[[#This Row],[Blanket]])</f>
        <v>0</v>
      </c>
      <c r="AE1033" s="264">
        <f>IF(NFI_Expiration=1,IF($A1033&lt;VLOOKUP(N$5,NFI,5,0),1,0)*Table_NFI[[#This Row],[Kitchen Set]],Table_NFI[Kitchen Set])</f>
        <v>0</v>
      </c>
      <c r="AF1033" s="264">
        <f>IF(NFI_Expiration=1,IF($A1033&lt;VLOOKUP(O$5,NFI,5,0),1,0)*Table_NFI[[#This Row],[Clothes Kit]],Table_NFI[Clothes Kit])</f>
        <v>0</v>
      </c>
      <c r="AG1033" s="264">
        <f>IF(NFI_Expiration=1,IF($A1033&lt;VLOOKUP(P$5,NFI,5,0),1,0)*Table_NFI[[#This Row],[Plastic Bucket]],Table_NFI[Plastic Bucket])</f>
        <v>0</v>
      </c>
      <c r="AH1033" s="264">
        <f>IF(NFI_Expiration=1,IF($A1033&lt;VLOOKUP(Q$5,NFI,5,0),1,0)*Table_NFI[[#This Row],[Plastic Mat]],Table_NFI[Plastic Mat])*IF(Table_NFI[[#This Row],[Distribution Date]]&gt;"2014-04-01",1,2.5)</f>
        <v>0</v>
      </c>
      <c r="AI1033" s="264">
        <f>IF(NFI_Expiration=1,IF($A1033&lt;VLOOKUP(R$5,NFI,5,0),1,0)*Table_NFI[[#This Row],[Winter Clothes Adult]],Table_NFI[Winter Clothes Adult])</f>
        <v>0</v>
      </c>
      <c r="AJ1033" s="264">
        <f>IF(NFI_Expiration=1,IF($A1033&lt;VLOOKUP(S$5,NFI,5,0),1,0)*Table_NFI[[#This Row],[Winter Clothes Children]],Table_NFI[Winter Clothes Children])</f>
        <v>0</v>
      </c>
      <c r="AK1033" s="264">
        <f>IF(NFI_Expiration=1,IF($A1033&lt;VLOOKUP(T$5,NFI,5,0),1,0)*Table_NFI[[#This Row],[Winter Items Other]],Table_NFI[Winter Items Other])</f>
        <v>0</v>
      </c>
      <c r="AL1033" s="264">
        <f>IF(NFI_Expiration=1,IF($A1033&lt;VLOOKUP(M$5,NFI,5,0),1,0)*Table_NFI[[#This Row],[Winter Blanket]],Table_NFI[[#This Row],[Winter Blanket]])</f>
        <v>0</v>
      </c>
      <c r="AM1033" s="264">
        <f>IF(Table_NFI[[#This Row],[Winter Clothes Adult]]+Table_NFI[[#This Row],[Winter Clothes Children]]+Table_NFI[[#This Row],[Winter Items Other]]+Table_NFI[[#This Row],[Winter Blanket]]&gt;0,1,0)</f>
        <v>0</v>
      </c>
      <c r="AN1033" s="296">
        <f>IF(NFI_Expiration=1,IF($A1033&lt;VLOOKUP(V$5,NFI,5,0),1,0)*Table_NFI[[#This Row],[Jerry Can]],Table_NFI[Jerry Can])</f>
        <v>0</v>
      </c>
      <c r="AO1033" s="296">
        <f>IF(NFI_Expiration=1,IF($A1033&lt;VLOOKUP(V$5,NFI,5,0),1,0)*Table_NFI[[#This Row],[Shelter Tool kit]],Table_NFI[Shelter Tool kit])</f>
        <v>0</v>
      </c>
      <c r="AP1033" s="296">
        <f>IF(NFI_Expiration=1,IF($A1033&lt;VLOOKUP(V$5,NFI,5,0),1,0)*Table_NFI[[#This Row],[Tent]],Table_NFI[Tent])</f>
        <v>0</v>
      </c>
      <c r="AQ1033" s="396" t="str">
        <f>IFERROR(VLOOKUP(Table_NFI[[#This Row],[Camp Name]],CL,2,0),"")</f>
        <v>MMR001CMP038</v>
      </c>
      <c r="AR1033" s="702">
        <f ca="1">IF(Table_NFI[[#This Row],[Pcode]]="","",IF(OFFSET(CampList[Opening Date],MATCH(Table_NFI[[#This Row],[Pcode]],CampList[CP_Pcode],0)-1,0,1,1)&gt;=NFI_Monitor_Date,1,0))</f>
        <v>0</v>
      </c>
      <c r="AS1033" s="396" t="str">
        <f>IFERROR(VLOOKUP(Table_NFI[[#This Row],[Camp Name]],CL,3,0),"")</f>
        <v>Open</v>
      </c>
      <c r="AT1033" s="264" t="str">
        <f ca="1">IF(Table_NFI[[#This Row],[Pcode]]="","",OFFSET(CampList[Priority],MATCH(Table_NFI[[#This Row],[Pcode]],CampList[CP_Pcode],0)-1,0,1,1))</f>
        <v>P4</v>
      </c>
      <c r="AU1033" s="263">
        <f>IFERROR(Table_NFI[[#This Row],[Kitchen Set]]/VLOOKUP(Table_NFI[[#This Row],[Camp Name]],CL,4,0),"")</f>
        <v>3.6721504112808461E-4</v>
      </c>
      <c r="AV1033" s="390" t="s">
        <v>1087</v>
      </c>
      <c r="AW1033" s="392"/>
      <c r="AX1033" s="399"/>
      <c r="AY1033" s="399"/>
      <c r="AZ1033" s="399"/>
      <c r="BA1033" s="399"/>
      <c r="BB1033" s="399"/>
      <c r="BC1033" s="399"/>
      <c r="BD1033" s="399"/>
      <c r="BE1033" s="399"/>
      <c r="BF1033" s="399"/>
      <c r="BG1033" s="399"/>
      <c r="BH1033" s="399"/>
      <c r="BI1033" s="399"/>
      <c r="BJ1033" s="399"/>
      <c r="BK1033" s="399"/>
      <c r="BL1033" s="399"/>
      <c r="BM1033" s="399"/>
      <c r="BN1033" s="399"/>
      <c r="BO1033" s="399"/>
      <c r="BP1033" s="399"/>
      <c r="BQ1033" s="399"/>
      <c r="BR1033" s="399"/>
      <c r="BS1033" s="399"/>
      <c r="BT1033" s="399"/>
      <c r="BU1033" s="399"/>
      <c r="BV1033" s="399"/>
      <c r="BW1033" s="399"/>
      <c r="BX1033" s="399"/>
      <c r="BY1033" s="399"/>
      <c r="BZ1033" s="399"/>
      <c r="CA1033" s="399"/>
      <c r="CB1033" s="399"/>
      <c r="CC1033" s="399"/>
      <c r="CD1033" s="399"/>
      <c r="CE1033" s="399"/>
      <c r="CF1033" s="399"/>
      <c r="CG1033" s="399"/>
      <c r="CH1033" s="399"/>
      <c r="CI1033" s="399"/>
      <c r="CJ1033" s="399"/>
      <c r="CK1033" s="399"/>
      <c r="CL1033" s="399"/>
      <c r="CM1033" s="399"/>
      <c r="CN1033" s="399"/>
      <c r="CO1033" s="399"/>
      <c r="CP1033" s="399"/>
      <c r="CQ1033" s="399"/>
      <c r="CR1033" s="399"/>
      <c r="CS1033" s="399"/>
      <c r="CT1033" s="399"/>
      <c r="CU1033" s="399"/>
      <c r="CV1033" s="399"/>
      <c r="CW1033" s="399"/>
      <c r="CX1033" s="399"/>
      <c r="CY1033" s="399"/>
      <c r="CZ1033" s="399"/>
      <c r="DA1033" s="399"/>
      <c r="DB1033" s="399"/>
      <c r="DC1033" s="399"/>
      <c r="DD1033" s="399"/>
      <c r="DE1033" s="399"/>
      <c r="DF1033" s="399"/>
      <c r="DG1033" s="399"/>
      <c r="DH1033" s="399"/>
      <c r="DI1033" s="399"/>
      <c r="DJ1033" s="399"/>
      <c r="DK1033" s="399"/>
      <c r="DL1033" s="399"/>
      <c r="DM1033" s="399"/>
      <c r="DN1033" s="399"/>
      <c r="DO1033" s="399"/>
      <c r="DP1033" s="399"/>
      <c r="DQ1033" s="399"/>
    </row>
    <row r="1034" spans="1:121" s="760" customFormat="1" ht="14.45" customHeight="1" x14ac:dyDescent="0.25">
      <c r="A1034" s="266">
        <f t="shared" si="16"/>
        <v>59.533333333333331</v>
      </c>
      <c r="B1034" s="389">
        <v>41070</v>
      </c>
      <c r="C1034" s="390" t="s">
        <v>451</v>
      </c>
      <c r="D1034" s="391" t="s">
        <v>451</v>
      </c>
      <c r="E1034" s="390" t="s">
        <v>380</v>
      </c>
      <c r="F1034" s="262" t="s">
        <v>27</v>
      </c>
      <c r="G1034" s="262" t="s">
        <v>365</v>
      </c>
      <c r="H1034" s="261"/>
      <c r="I1034" s="261"/>
      <c r="J1034" s="261"/>
      <c r="K1034" s="261">
        <v>200</v>
      </c>
      <c r="L1034" s="261">
        <v>100</v>
      </c>
      <c r="M1034" s="261">
        <v>150</v>
      </c>
      <c r="N1034" s="261">
        <v>100</v>
      </c>
      <c r="O1034" s="261">
        <v>100</v>
      </c>
      <c r="P1034" s="261">
        <v>100</v>
      </c>
      <c r="Q1034" s="261">
        <v>100</v>
      </c>
      <c r="R1034" s="261"/>
      <c r="S1034" s="261"/>
      <c r="T1034" s="261"/>
      <c r="U1034" s="261"/>
      <c r="V1034" s="762"/>
      <c r="W1034" s="261"/>
      <c r="X1034" s="261"/>
      <c r="Y1034" s="264">
        <f>IF(NFI_Expiration=1,IF($A1034&lt;VLOOKUP(H$5,NFI,5,0),1,0)*Table_NFI[[#This Row],[Hygiene Kit]],Table_NFI[Hygiene Kit])</f>
        <v>0</v>
      </c>
      <c r="Z1034" s="264">
        <f>IF(NFI_Expiration=1,IF($A1034&lt;VLOOKUP(I$5,NFI,5,0),1,0)*Table_NFI[[#This Row],[NFI Core Kit]],Table_NFI[NFI Core Kit])</f>
        <v>0</v>
      </c>
      <c r="AA1034" s="264">
        <f>IF(NFI_Expiration=1,IF($A1034&lt;VLOOKUP(J$5,NFI,5,0),1,0)*Table_NFI[[#This Row],[Sanitary Kit]],Table_NFI[Sanitary Kit])</f>
        <v>0</v>
      </c>
      <c r="AB1034" s="264">
        <f>IF(NFI_Expiration=1,IF($A1034&lt;VLOOKUP(K$5,NFI,5,0),1,0)*Table_NFI[[#This Row],[Mosquito net]],Table_NFI[Mosquito net])</f>
        <v>0</v>
      </c>
      <c r="AC1034" s="264">
        <f>IF(NFI_Expiration=1,IF($A1034&lt;VLOOKUP(L$5,NFI,5,0),1,0)*Table_NFI[[#This Row],[Tarpaulin]],Table_NFI[[#This Row],[Tarpaulin]])</f>
        <v>0</v>
      </c>
      <c r="AD1034" s="264">
        <f>IF(NFI_Expiration=1,IF($A1034&lt;VLOOKUP(M$5,NFI,5,0),1,0)*Table_NFI[[#This Row],[Blanket]],Table_NFI[[#This Row],[Blanket]])</f>
        <v>0</v>
      </c>
      <c r="AE1034" s="264">
        <f>IF(NFI_Expiration=1,IF($A1034&lt;VLOOKUP(N$5,NFI,5,0),1,0)*Table_NFI[[#This Row],[Kitchen Set]],Table_NFI[Kitchen Set])</f>
        <v>0</v>
      </c>
      <c r="AF1034" s="264">
        <f>IF(NFI_Expiration=1,IF($A1034&lt;VLOOKUP(O$5,NFI,5,0),1,0)*Table_NFI[[#This Row],[Clothes Kit]],Table_NFI[Clothes Kit])</f>
        <v>0</v>
      </c>
      <c r="AG1034" s="264">
        <f>IF(NFI_Expiration=1,IF($A1034&lt;VLOOKUP(P$5,NFI,5,0),1,0)*Table_NFI[[#This Row],[Plastic Bucket]],Table_NFI[Plastic Bucket])</f>
        <v>0</v>
      </c>
      <c r="AH1034" s="264">
        <f>IF(NFI_Expiration=1,IF($A1034&lt;VLOOKUP(Q$5,NFI,5,0),1,0)*Table_NFI[[#This Row],[Plastic Mat]],Table_NFI[Plastic Mat])*IF(Table_NFI[[#This Row],[Distribution Date]]&gt;"2014-04-01",1,2.5)</f>
        <v>0</v>
      </c>
      <c r="AI1034" s="264">
        <f>IF(NFI_Expiration=1,IF($A1034&lt;VLOOKUP(R$5,NFI,5,0),1,0)*Table_NFI[[#This Row],[Winter Clothes Adult]],Table_NFI[Winter Clothes Adult])</f>
        <v>0</v>
      </c>
      <c r="AJ1034" s="264">
        <f>IF(NFI_Expiration=1,IF($A1034&lt;VLOOKUP(S$5,NFI,5,0),1,0)*Table_NFI[[#This Row],[Winter Clothes Children]],Table_NFI[Winter Clothes Children])</f>
        <v>0</v>
      </c>
      <c r="AK1034" s="264">
        <f>IF(NFI_Expiration=1,IF($A1034&lt;VLOOKUP(T$5,NFI,5,0),1,0)*Table_NFI[[#This Row],[Winter Items Other]],Table_NFI[Winter Items Other])</f>
        <v>0</v>
      </c>
      <c r="AL1034" s="264">
        <f>IF(NFI_Expiration=1,IF($A1034&lt;VLOOKUP(M$5,NFI,5,0),1,0)*Table_NFI[[#This Row],[Winter Blanket]],Table_NFI[[#This Row],[Winter Blanket]])</f>
        <v>0</v>
      </c>
      <c r="AM1034" s="264">
        <f>IF(Table_NFI[[#This Row],[Winter Clothes Adult]]+Table_NFI[[#This Row],[Winter Clothes Children]]+Table_NFI[[#This Row],[Winter Items Other]]+Table_NFI[[#This Row],[Winter Blanket]]&gt;0,1,0)</f>
        <v>0</v>
      </c>
      <c r="AN1034" s="296">
        <f>IF(NFI_Expiration=1,IF($A1034&lt;VLOOKUP(V$5,NFI,5,0),1,0)*Table_NFI[[#This Row],[Jerry Can]],Table_NFI[Jerry Can])</f>
        <v>0</v>
      </c>
      <c r="AO1034" s="296">
        <f>IF(NFI_Expiration=1,IF($A1034&lt;VLOOKUP(V$5,NFI,5,0),1,0)*Table_NFI[[#This Row],[Shelter Tool kit]],Table_NFI[Shelter Tool kit])</f>
        <v>0</v>
      </c>
      <c r="AP1034" s="296">
        <f>IF(NFI_Expiration=1,IF($A1034&lt;VLOOKUP(V$5,NFI,5,0),1,0)*Table_NFI[[#This Row],[Tent]],Table_NFI[Tent])</f>
        <v>0</v>
      </c>
      <c r="AQ1034" s="396" t="str">
        <f>IFERROR(VLOOKUP(Table_NFI[[#This Row],[Camp Name]],CL,2,0),"")</f>
        <v>MMR001CMP195</v>
      </c>
      <c r="AR1034" s="702">
        <f ca="1">IF(Table_NFI[[#This Row],[Pcode]]="","",IF(OFFSET(CampList[Opening Date],MATCH(Table_NFI[[#This Row],[Pcode]],CampList[CP_Pcode],0)-1,0,1,1)&gt;=NFI_Monitor_Date,1,0))</f>
        <v>0</v>
      </c>
      <c r="AS1034" s="396" t="str">
        <f>IFERROR(VLOOKUP(Table_NFI[[#This Row],[Camp Name]],CL,3,0),"")</f>
        <v>Open</v>
      </c>
      <c r="AT1034" s="264" t="str">
        <f ca="1">IF(Table_NFI[[#This Row],[Pcode]]="","",OFFSET(CampList[Priority],MATCH(Table_NFI[[#This Row],[Pcode]],CampList[CP_Pcode],0)-1,0,1,1))</f>
        <v>P1</v>
      </c>
      <c r="AU1034" s="263">
        <f>IFERROR(Table_NFI[[#This Row],[Kitchen Set]]/VLOOKUP(Table_NFI[[#This Row],[Camp Name]],CL,4,0),"")</f>
        <v>2.4425989252564728E-3</v>
      </c>
      <c r="AV1034" s="390" t="s">
        <v>1087</v>
      </c>
      <c r="AW1034" s="392"/>
      <c r="AX1034" s="399"/>
      <c r="AY1034" s="399"/>
      <c r="AZ1034" s="399"/>
      <c r="BA1034" s="399"/>
      <c r="BB1034" s="399"/>
      <c r="BC1034" s="399"/>
      <c r="BD1034" s="399"/>
      <c r="BE1034" s="399"/>
      <c r="BF1034" s="399"/>
      <c r="BG1034" s="399"/>
      <c r="BH1034" s="399"/>
      <c r="BI1034" s="399"/>
      <c r="BJ1034" s="399"/>
      <c r="BK1034" s="399"/>
      <c r="BL1034" s="399"/>
      <c r="BM1034" s="399"/>
      <c r="BN1034" s="399"/>
      <c r="BO1034" s="399"/>
      <c r="BP1034" s="399"/>
      <c r="BQ1034" s="399"/>
      <c r="BR1034" s="399"/>
      <c r="BS1034" s="399"/>
      <c r="BT1034" s="399"/>
      <c r="BU1034" s="399"/>
      <c r="BV1034" s="399"/>
      <c r="BW1034" s="399"/>
      <c r="BX1034" s="399"/>
      <c r="BY1034" s="399"/>
      <c r="BZ1034" s="399"/>
      <c r="CA1034" s="399"/>
      <c r="CB1034" s="399"/>
      <c r="CC1034" s="399"/>
      <c r="CD1034" s="399"/>
      <c r="CE1034" s="399"/>
      <c r="CF1034" s="399"/>
      <c r="CG1034" s="399"/>
      <c r="CH1034" s="399"/>
      <c r="CI1034" s="399"/>
      <c r="CJ1034" s="399"/>
      <c r="CK1034" s="399"/>
      <c r="CL1034" s="399"/>
      <c r="CM1034" s="399"/>
      <c r="CN1034" s="399"/>
      <c r="CO1034" s="399"/>
      <c r="CP1034" s="399"/>
      <c r="CQ1034" s="399"/>
      <c r="CR1034" s="399"/>
      <c r="CS1034" s="399"/>
      <c r="CT1034" s="399"/>
      <c r="CU1034" s="399"/>
      <c r="CV1034" s="399"/>
      <c r="CW1034" s="399"/>
      <c r="CX1034" s="399"/>
      <c r="CY1034" s="399"/>
      <c r="CZ1034" s="399"/>
      <c r="DA1034" s="399"/>
      <c r="DB1034" s="399"/>
      <c r="DC1034" s="399"/>
      <c r="DD1034" s="399"/>
      <c r="DE1034" s="399"/>
      <c r="DF1034" s="399"/>
      <c r="DG1034" s="399"/>
      <c r="DH1034" s="399"/>
      <c r="DI1034" s="399"/>
      <c r="DJ1034" s="399"/>
      <c r="DK1034" s="399"/>
      <c r="DL1034" s="399"/>
      <c r="DM1034" s="399"/>
      <c r="DN1034" s="399"/>
      <c r="DO1034" s="399"/>
      <c r="DP1034" s="399"/>
      <c r="DQ1034" s="399"/>
    </row>
    <row r="1035" spans="1:121" s="759" customFormat="1" ht="14.45" customHeight="1" x14ac:dyDescent="0.25">
      <c r="A1035" s="266">
        <f t="shared" si="16"/>
        <v>59.6</v>
      </c>
      <c r="B1035" s="389">
        <v>41068</v>
      </c>
      <c r="C1035" s="390" t="s">
        <v>904</v>
      </c>
      <c r="D1035" s="391" t="s">
        <v>904</v>
      </c>
      <c r="E1035" s="390" t="s">
        <v>380</v>
      </c>
      <c r="F1035" s="262" t="s">
        <v>5</v>
      </c>
      <c r="G1035" s="262" t="s">
        <v>14</v>
      </c>
      <c r="H1035" s="261">
        <v>22</v>
      </c>
      <c r="I1035" s="261"/>
      <c r="J1035" s="261"/>
      <c r="K1035" s="261"/>
      <c r="L1035" s="261"/>
      <c r="M1035" s="261"/>
      <c r="N1035" s="261"/>
      <c r="O1035" s="261"/>
      <c r="P1035" s="261"/>
      <c r="Q1035" s="261"/>
      <c r="R1035" s="261"/>
      <c r="S1035" s="261"/>
      <c r="T1035" s="261"/>
      <c r="U1035" s="261"/>
      <c r="V1035" s="762"/>
      <c r="W1035" s="261"/>
      <c r="X1035" s="261"/>
      <c r="Y1035" s="264">
        <f>IF(NFI_Expiration=1,IF($A1035&lt;VLOOKUP(H$5,NFI,5,0),1,0)*Table_NFI[[#This Row],[Hygiene Kit]],Table_NFI[Hygiene Kit])</f>
        <v>0</v>
      </c>
      <c r="Z1035" s="264">
        <f>IF(NFI_Expiration=1,IF($A1035&lt;VLOOKUP(I$5,NFI,5,0),1,0)*Table_NFI[[#This Row],[NFI Core Kit]],Table_NFI[NFI Core Kit])</f>
        <v>0</v>
      </c>
      <c r="AA1035" s="264">
        <f>IF(NFI_Expiration=1,IF($A1035&lt;VLOOKUP(J$5,NFI,5,0),1,0)*Table_NFI[[#This Row],[Sanitary Kit]],Table_NFI[Sanitary Kit])</f>
        <v>0</v>
      </c>
      <c r="AB1035" s="264">
        <f>IF(NFI_Expiration=1,IF($A1035&lt;VLOOKUP(K$5,NFI,5,0),1,0)*Table_NFI[[#This Row],[Mosquito net]],Table_NFI[Mosquito net])</f>
        <v>0</v>
      </c>
      <c r="AC1035" s="264">
        <f>IF(NFI_Expiration=1,IF($A1035&lt;VLOOKUP(L$5,NFI,5,0),1,0)*Table_NFI[[#This Row],[Tarpaulin]],Table_NFI[[#This Row],[Tarpaulin]])</f>
        <v>0</v>
      </c>
      <c r="AD1035" s="264">
        <f>IF(NFI_Expiration=1,IF($A1035&lt;VLOOKUP(M$5,NFI,5,0),1,0)*Table_NFI[[#This Row],[Blanket]],Table_NFI[[#This Row],[Blanket]])</f>
        <v>0</v>
      </c>
      <c r="AE1035" s="264">
        <f>IF(NFI_Expiration=1,IF($A1035&lt;VLOOKUP(N$5,NFI,5,0),1,0)*Table_NFI[[#This Row],[Kitchen Set]],Table_NFI[Kitchen Set])</f>
        <v>0</v>
      </c>
      <c r="AF1035" s="264">
        <f>IF(NFI_Expiration=1,IF($A1035&lt;VLOOKUP(O$5,NFI,5,0),1,0)*Table_NFI[[#This Row],[Clothes Kit]],Table_NFI[Clothes Kit])</f>
        <v>0</v>
      </c>
      <c r="AG1035" s="264">
        <f>IF(NFI_Expiration=1,IF($A1035&lt;VLOOKUP(P$5,NFI,5,0),1,0)*Table_NFI[[#This Row],[Plastic Bucket]],Table_NFI[Plastic Bucket])</f>
        <v>0</v>
      </c>
      <c r="AH1035" s="264">
        <f>IF(NFI_Expiration=1,IF($A1035&lt;VLOOKUP(Q$5,NFI,5,0),1,0)*Table_NFI[[#This Row],[Plastic Mat]],Table_NFI[Plastic Mat])*IF(Table_NFI[[#This Row],[Distribution Date]]&gt;"2014-04-01",1,2.5)</f>
        <v>0</v>
      </c>
      <c r="AI1035" s="264">
        <f>IF(NFI_Expiration=1,IF($A1035&lt;VLOOKUP(R$5,NFI,5,0),1,0)*Table_NFI[[#This Row],[Winter Clothes Adult]],Table_NFI[Winter Clothes Adult])</f>
        <v>0</v>
      </c>
      <c r="AJ1035" s="264">
        <f>IF(NFI_Expiration=1,IF($A1035&lt;VLOOKUP(S$5,NFI,5,0),1,0)*Table_NFI[[#This Row],[Winter Clothes Children]],Table_NFI[Winter Clothes Children])</f>
        <v>0</v>
      </c>
      <c r="AK1035" s="264">
        <f>IF(NFI_Expiration=1,IF($A1035&lt;VLOOKUP(T$5,NFI,5,0),1,0)*Table_NFI[[#This Row],[Winter Items Other]],Table_NFI[Winter Items Other])</f>
        <v>0</v>
      </c>
      <c r="AL1035" s="264">
        <f>IF(NFI_Expiration=1,IF($A1035&lt;VLOOKUP(M$5,NFI,5,0),1,0)*Table_NFI[[#This Row],[Winter Blanket]],Table_NFI[[#This Row],[Winter Blanket]])</f>
        <v>0</v>
      </c>
      <c r="AM1035" s="264">
        <f>IF(Table_NFI[[#This Row],[Winter Clothes Adult]]+Table_NFI[[#This Row],[Winter Clothes Children]]+Table_NFI[[#This Row],[Winter Items Other]]+Table_NFI[[#This Row],[Winter Blanket]]&gt;0,1,0)</f>
        <v>0</v>
      </c>
      <c r="AN1035" s="296">
        <f>IF(NFI_Expiration=1,IF($A1035&lt;VLOOKUP(V$5,NFI,5,0),1,0)*Table_NFI[[#This Row],[Jerry Can]],Table_NFI[Jerry Can])</f>
        <v>0</v>
      </c>
      <c r="AO1035" s="296">
        <f>IF(NFI_Expiration=1,IF($A1035&lt;VLOOKUP(V$5,NFI,5,0),1,0)*Table_NFI[[#This Row],[Shelter Tool kit]],Table_NFI[Shelter Tool kit])</f>
        <v>0</v>
      </c>
      <c r="AP1035" s="296">
        <f>IF(NFI_Expiration=1,IF($A1035&lt;VLOOKUP(V$5,NFI,5,0),1,0)*Table_NFI[[#This Row],[Tent]],Table_NFI[Tent])</f>
        <v>0</v>
      </c>
      <c r="AQ1035" s="396" t="str">
        <f>IFERROR(VLOOKUP(Table_NFI[[#This Row],[Camp Name]],CL,2,0),"")</f>
        <v>MMR001CMP052</v>
      </c>
      <c r="AR1035" s="702">
        <f ca="1">IF(Table_NFI[[#This Row],[Pcode]]="","",IF(OFFSET(CampList[Opening Date],MATCH(Table_NFI[[#This Row],[Pcode]],CampList[CP_Pcode],0)-1,0,1,1)&gt;=NFI_Monitor_Date,1,0))</f>
        <v>0</v>
      </c>
      <c r="AS1035" s="396" t="str">
        <f>IFERROR(VLOOKUP(Table_NFI[[#This Row],[Camp Name]],CL,3,0),"")</f>
        <v>Open</v>
      </c>
      <c r="AT1035" s="264" t="str">
        <f ca="1">IF(Table_NFI[[#This Row],[Pcode]]="","",OFFSET(CampList[Priority],MATCH(Table_NFI[[#This Row],[Pcode]],CampList[CP_Pcode],0)-1,0,1,1))</f>
        <v>P4</v>
      </c>
      <c r="AU1035" s="263">
        <f>IFERROR(Table_NFI[[#This Row],[Kitchen Set]]/VLOOKUP(Table_NFI[[#This Row],[Camp Name]],CL,4,0),"")</f>
        <v>0</v>
      </c>
      <c r="AV1035" s="390"/>
      <c r="AW1035" s="392"/>
      <c r="AX1035" s="402"/>
      <c r="AY1035" s="402"/>
      <c r="AZ1035" s="402"/>
      <c r="BA1035" s="402"/>
      <c r="BB1035" s="402"/>
      <c r="BC1035" s="402"/>
      <c r="BD1035" s="402"/>
      <c r="BE1035" s="402"/>
      <c r="BF1035" s="402"/>
      <c r="BG1035" s="402"/>
      <c r="BH1035" s="402"/>
      <c r="BI1035" s="402"/>
      <c r="BJ1035" s="402"/>
      <c r="BK1035" s="402"/>
      <c r="BL1035" s="402"/>
      <c r="BM1035" s="402"/>
      <c r="BN1035" s="402"/>
      <c r="BO1035" s="402"/>
      <c r="BP1035" s="402"/>
      <c r="BQ1035" s="402"/>
      <c r="BR1035" s="402"/>
      <c r="BS1035" s="402"/>
      <c r="BT1035" s="402"/>
      <c r="BU1035" s="402"/>
      <c r="BV1035" s="402"/>
      <c r="BW1035" s="402"/>
      <c r="BX1035" s="402"/>
      <c r="BY1035" s="402"/>
      <c r="BZ1035" s="402"/>
      <c r="CA1035" s="402"/>
      <c r="CB1035" s="402"/>
      <c r="CC1035" s="402"/>
      <c r="CD1035" s="402"/>
      <c r="CE1035" s="402"/>
      <c r="CF1035" s="402"/>
      <c r="CG1035" s="402"/>
      <c r="CH1035" s="402"/>
      <c r="CI1035" s="402"/>
      <c r="CJ1035" s="402"/>
      <c r="CK1035" s="402"/>
      <c r="CL1035" s="402"/>
      <c r="CM1035" s="402"/>
      <c r="CN1035" s="402"/>
      <c r="CO1035" s="402"/>
      <c r="CP1035" s="402"/>
      <c r="CQ1035" s="402"/>
      <c r="CR1035" s="402"/>
      <c r="CS1035" s="402"/>
      <c r="CT1035" s="402"/>
      <c r="CU1035" s="402"/>
      <c r="CV1035" s="402"/>
      <c r="CW1035" s="402"/>
      <c r="CX1035" s="402"/>
      <c r="CY1035" s="402"/>
      <c r="CZ1035" s="402"/>
      <c r="DA1035" s="402"/>
      <c r="DB1035" s="402"/>
      <c r="DC1035" s="402"/>
      <c r="DD1035" s="402"/>
      <c r="DE1035" s="402"/>
      <c r="DF1035" s="402"/>
      <c r="DG1035" s="402"/>
      <c r="DH1035" s="402"/>
      <c r="DI1035" s="402"/>
      <c r="DJ1035" s="402"/>
      <c r="DK1035" s="402"/>
      <c r="DL1035" s="402"/>
      <c r="DM1035" s="402"/>
      <c r="DN1035" s="402"/>
      <c r="DO1035" s="402"/>
      <c r="DP1035" s="402"/>
      <c r="DQ1035" s="402"/>
    </row>
    <row r="1036" spans="1:121" s="760" customFormat="1" ht="14.45" customHeight="1" x14ac:dyDescent="0.25">
      <c r="A1036" s="266">
        <f t="shared" si="16"/>
        <v>59.6</v>
      </c>
      <c r="B1036" s="389">
        <v>41068</v>
      </c>
      <c r="C1036" s="390" t="s">
        <v>904</v>
      </c>
      <c r="D1036" s="390" t="s">
        <v>904</v>
      </c>
      <c r="E1036" s="390" t="s">
        <v>380</v>
      </c>
      <c r="F1036" s="262" t="s">
        <v>5</v>
      </c>
      <c r="G1036" s="262" t="s">
        <v>20</v>
      </c>
      <c r="H1036" s="261">
        <v>21</v>
      </c>
      <c r="I1036" s="261"/>
      <c r="J1036" s="261"/>
      <c r="K1036" s="261"/>
      <c r="L1036" s="261"/>
      <c r="M1036" s="261"/>
      <c r="N1036" s="261"/>
      <c r="O1036" s="261"/>
      <c r="P1036" s="261"/>
      <c r="Q1036" s="261"/>
      <c r="R1036" s="261"/>
      <c r="S1036" s="261"/>
      <c r="T1036" s="261"/>
      <c r="U1036" s="261"/>
      <c r="V1036" s="762"/>
      <c r="W1036" s="261"/>
      <c r="X1036" s="261"/>
      <c r="Y1036" s="264">
        <f>IF(NFI_Expiration=1,IF($A1036&lt;VLOOKUP(H$5,NFI,5,0),1,0)*Table_NFI[[#This Row],[Hygiene Kit]],Table_NFI[Hygiene Kit])</f>
        <v>0</v>
      </c>
      <c r="Z1036" s="264">
        <f>IF(NFI_Expiration=1,IF($A1036&lt;VLOOKUP(I$5,NFI,5,0),1,0)*Table_NFI[[#This Row],[NFI Core Kit]],Table_NFI[NFI Core Kit])</f>
        <v>0</v>
      </c>
      <c r="AA1036" s="264">
        <f>IF(NFI_Expiration=1,IF($A1036&lt;VLOOKUP(J$5,NFI,5,0),1,0)*Table_NFI[[#This Row],[Sanitary Kit]],Table_NFI[Sanitary Kit])</f>
        <v>0</v>
      </c>
      <c r="AB1036" s="264">
        <f>IF(NFI_Expiration=1,IF($A1036&lt;VLOOKUP(K$5,NFI,5,0),1,0)*Table_NFI[[#This Row],[Mosquito net]],Table_NFI[Mosquito net])</f>
        <v>0</v>
      </c>
      <c r="AC1036" s="264">
        <f>IF(NFI_Expiration=1,IF($A1036&lt;VLOOKUP(L$5,NFI,5,0),1,0)*Table_NFI[[#This Row],[Tarpaulin]],Table_NFI[[#This Row],[Tarpaulin]])</f>
        <v>0</v>
      </c>
      <c r="AD1036" s="264">
        <f>IF(NFI_Expiration=1,IF($A1036&lt;VLOOKUP(M$5,NFI,5,0),1,0)*Table_NFI[[#This Row],[Blanket]],Table_NFI[[#This Row],[Blanket]])</f>
        <v>0</v>
      </c>
      <c r="AE1036" s="264">
        <f>IF(NFI_Expiration=1,IF($A1036&lt;VLOOKUP(N$5,NFI,5,0),1,0)*Table_NFI[[#This Row],[Kitchen Set]],Table_NFI[Kitchen Set])</f>
        <v>0</v>
      </c>
      <c r="AF1036" s="264">
        <f>IF(NFI_Expiration=1,IF($A1036&lt;VLOOKUP(O$5,NFI,5,0),1,0)*Table_NFI[[#This Row],[Clothes Kit]],Table_NFI[Clothes Kit])</f>
        <v>0</v>
      </c>
      <c r="AG1036" s="264">
        <f>IF(NFI_Expiration=1,IF($A1036&lt;VLOOKUP(P$5,NFI,5,0),1,0)*Table_NFI[[#This Row],[Plastic Bucket]],Table_NFI[Plastic Bucket])</f>
        <v>0</v>
      </c>
      <c r="AH1036" s="264">
        <f>IF(NFI_Expiration=1,IF($A1036&lt;VLOOKUP(Q$5,NFI,5,0),1,0)*Table_NFI[[#This Row],[Plastic Mat]],Table_NFI[Plastic Mat])*IF(Table_NFI[[#This Row],[Distribution Date]]&gt;"2014-04-01",1,2.5)</f>
        <v>0</v>
      </c>
      <c r="AI1036" s="264">
        <f>IF(NFI_Expiration=1,IF($A1036&lt;VLOOKUP(R$5,NFI,5,0),1,0)*Table_NFI[[#This Row],[Winter Clothes Adult]],Table_NFI[Winter Clothes Adult])</f>
        <v>0</v>
      </c>
      <c r="AJ1036" s="264">
        <f>IF(NFI_Expiration=1,IF($A1036&lt;VLOOKUP(S$5,NFI,5,0),1,0)*Table_NFI[[#This Row],[Winter Clothes Children]],Table_NFI[Winter Clothes Children])</f>
        <v>0</v>
      </c>
      <c r="AK1036" s="264">
        <f>IF(NFI_Expiration=1,IF($A1036&lt;VLOOKUP(T$5,NFI,5,0),1,0)*Table_NFI[[#This Row],[Winter Items Other]],Table_NFI[Winter Items Other])</f>
        <v>0</v>
      </c>
      <c r="AL1036" s="264">
        <f>IF(NFI_Expiration=1,IF($A1036&lt;VLOOKUP(M$5,NFI,5,0),1,0)*Table_NFI[[#This Row],[Winter Blanket]],Table_NFI[[#This Row],[Winter Blanket]])</f>
        <v>0</v>
      </c>
      <c r="AM1036" s="264">
        <f>IF(Table_NFI[[#This Row],[Winter Clothes Adult]]+Table_NFI[[#This Row],[Winter Clothes Children]]+Table_NFI[[#This Row],[Winter Items Other]]+Table_NFI[[#This Row],[Winter Blanket]]&gt;0,1,0)</f>
        <v>0</v>
      </c>
      <c r="AN1036" s="296">
        <f>IF(NFI_Expiration=1,IF($A1036&lt;VLOOKUP(V$5,NFI,5,0),1,0)*Table_NFI[[#This Row],[Jerry Can]],Table_NFI[Jerry Can])</f>
        <v>0</v>
      </c>
      <c r="AO1036" s="296">
        <f>IF(NFI_Expiration=1,IF($A1036&lt;VLOOKUP(V$5,NFI,5,0),1,0)*Table_NFI[[#This Row],[Shelter Tool kit]],Table_NFI[Shelter Tool kit])</f>
        <v>0</v>
      </c>
      <c r="AP1036" s="296">
        <f>IF(NFI_Expiration=1,IF($A1036&lt;VLOOKUP(V$5,NFI,5,0),1,0)*Table_NFI[[#This Row],[Tent]],Table_NFI[Tent])</f>
        <v>0</v>
      </c>
      <c r="AQ1036" s="396" t="str">
        <f>IFERROR(VLOOKUP(Table_NFI[[#This Row],[Camp Name]],CL,2,0),"")</f>
        <v>MMR001CMP054</v>
      </c>
      <c r="AR1036" s="702">
        <f ca="1">IF(Table_NFI[[#This Row],[Pcode]]="","",IF(OFFSET(CampList[Opening Date],MATCH(Table_NFI[[#This Row],[Pcode]],CampList[CP_Pcode],0)-1,0,1,1)&gt;=NFI_Monitor_Date,1,0))</f>
        <v>0</v>
      </c>
      <c r="AS1036" s="396" t="str">
        <f>IFERROR(VLOOKUP(Table_NFI[[#This Row],[Camp Name]],CL,3,0),"")</f>
        <v>Open</v>
      </c>
      <c r="AT1036" s="264" t="str">
        <f ca="1">IF(Table_NFI[[#This Row],[Pcode]]="","",OFFSET(CampList[Priority],MATCH(Table_NFI[[#This Row],[Pcode]],CampList[CP_Pcode],0)-1,0,1,1))</f>
        <v>P4</v>
      </c>
      <c r="AU1036" s="263">
        <f>IFERROR(Table_NFI[[#This Row],[Kitchen Set]]/VLOOKUP(Table_NFI[[#This Row],[Camp Name]],CL,4,0),"")</f>
        <v>0</v>
      </c>
      <c r="AV1036" s="390"/>
      <c r="AW1036" s="392"/>
      <c r="AX1036" s="399"/>
      <c r="AY1036" s="399"/>
      <c r="AZ1036" s="399"/>
      <c r="BA1036" s="399"/>
      <c r="BB1036" s="399"/>
      <c r="BC1036" s="399"/>
      <c r="BD1036" s="399"/>
      <c r="BE1036" s="399"/>
      <c r="BF1036" s="399"/>
      <c r="BG1036" s="399"/>
      <c r="BH1036" s="399"/>
      <c r="BI1036" s="399"/>
      <c r="BJ1036" s="399"/>
      <c r="BK1036" s="399"/>
      <c r="BL1036" s="399"/>
      <c r="BM1036" s="399"/>
      <c r="BN1036" s="399"/>
      <c r="BO1036" s="399"/>
      <c r="BP1036" s="399"/>
      <c r="BQ1036" s="399"/>
      <c r="BR1036" s="399"/>
      <c r="BS1036" s="399"/>
      <c r="BT1036" s="399"/>
      <c r="BU1036" s="399"/>
      <c r="BV1036" s="399"/>
      <c r="BW1036" s="399"/>
      <c r="BX1036" s="399"/>
      <c r="BY1036" s="399"/>
      <c r="BZ1036" s="399"/>
      <c r="CA1036" s="399"/>
      <c r="CB1036" s="399"/>
      <c r="CC1036" s="399"/>
      <c r="CD1036" s="399"/>
      <c r="CE1036" s="399"/>
      <c r="CF1036" s="399"/>
      <c r="CG1036" s="399"/>
      <c r="CH1036" s="399"/>
      <c r="CI1036" s="399"/>
      <c r="CJ1036" s="399"/>
      <c r="CK1036" s="399"/>
      <c r="CL1036" s="399"/>
      <c r="CM1036" s="399"/>
      <c r="CN1036" s="399"/>
      <c r="CO1036" s="399"/>
      <c r="CP1036" s="399"/>
      <c r="CQ1036" s="399"/>
      <c r="CR1036" s="399"/>
      <c r="CS1036" s="399"/>
      <c r="CT1036" s="399"/>
      <c r="CU1036" s="399"/>
      <c r="CV1036" s="399"/>
      <c r="CW1036" s="399"/>
      <c r="CX1036" s="399"/>
      <c r="CY1036" s="399"/>
      <c r="CZ1036" s="399"/>
      <c r="DA1036" s="399"/>
      <c r="DB1036" s="399"/>
      <c r="DC1036" s="399"/>
      <c r="DD1036" s="399"/>
      <c r="DE1036" s="399"/>
      <c r="DF1036" s="399"/>
      <c r="DG1036" s="399"/>
      <c r="DH1036" s="399"/>
      <c r="DI1036" s="399"/>
      <c r="DJ1036" s="399"/>
      <c r="DK1036" s="399"/>
      <c r="DL1036" s="399"/>
      <c r="DM1036" s="399"/>
      <c r="DN1036" s="399"/>
      <c r="DO1036" s="399"/>
      <c r="DP1036" s="399"/>
      <c r="DQ1036" s="399"/>
    </row>
    <row r="1037" spans="1:121" s="760" customFormat="1" ht="14.45" customHeight="1" x14ac:dyDescent="0.25">
      <c r="A1037" s="266">
        <f t="shared" si="16"/>
        <v>59.6</v>
      </c>
      <c r="B1037" s="389">
        <v>41068</v>
      </c>
      <c r="C1037" s="390" t="s">
        <v>451</v>
      </c>
      <c r="D1037" s="390" t="s">
        <v>451</v>
      </c>
      <c r="E1037" s="390" t="s">
        <v>380</v>
      </c>
      <c r="F1037" s="262" t="s">
        <v>5</v>
      </c>
      <c r="G1037" s="262" t="s">
        <v>20</v>
      </c>
      <c r="H1037" s="261"/>
      <c r="I1037" s="261"/>
      <c r="J1037" s="261"/>
      <c r="K1037" s="261">
        <v>12</v>
      </c>
      <c r="L1037" s="261">
        <v>6</v>
      </c>
      <c r="M1037" s="261">
        <v>12</v>
      </c>
      <c r="N1037" s="261">
        <v>6</v>
      </c>
      <c r="O1037" s="261">
        <v>6</v>
      </c>
      <c r="P1037" s="261">
        <v>6</v>
      </c>
      <c r="Q1037" s="261">
        <v>6</v>
      </c>
      <c r="R1037" s="261"/>
      <c r="S1037" s="261"/>
      <c r="T1037" s="261"/>
      <c r="U1037" s="261"/>
      <c r="V1037" s="762"/>
      <c r="W1037" s="261"/>
      <c r="X1037" s="261"/>
      <c r="Y1037" s="264">
        <f>IF(NFI_Expiration=1,IF($A1037&lt;VLOOKUP(H$5,NFI,5,0),1,0)*Table_NFI[[#This Row],[Hygiene Kit]],Table_NFI[Hygiene Kit])</f>
        <v>0</v>
      </c>
      <c r="Z1037" s="264">
        <f>IF(NFI_Expiration=1,IF($A1037&lt;VLOOKUP(I$5,NFI,5,0),1,0)*Table_NFI[[#This Row],[NFI Core Kit]],Table_NFI[NFI Core Kit])</f>
        <v>0</v>
      </c>
      <c r="AA1037" s="264">
        <f>IF(NFI_Expiration=1,IF($A1037&lt;VLOOKUP(J$5,NFI,5,0),1,0)*Table_NFI[[#This Row],[Sanitary Kit]],Table_NFI[Sanitary Kit])</f>
        <v>0</v>
      </c>
      <c r="AB1037" s="264">
        <f>IF(NFI_Expiration=1,IF($A1037&lt;VLOOKUP(K$5,NFI,5,0),1,0)*Table_NFI[[#This Row],[Mosquito net]],Table_NFI[Mosquito net])</f>
        <v>0</v>
      </c>
      <c r="AC1037" s="264">
        <f>IF(NFI_Expiration=1,IF($A1037&lt;VLOOKUP(L$5,NFI,5,0),1,0)*Table_NFI[[#This Row],[Tarpaulin]],Table_NFI[[#This Row],[Tarpaulin]])</f>
        <v>0</v>
      </c>
      <c r="AD1037" s="264">
        <f>IF(NFI_Expiration=1,IF($A1037&lt;VLOOKUP(M$5,NFI,5,0),1,0)*Table_NFI[[#This Row],[Blanket]],Table_NFI[[#This Row],[Blanket]])</f>
        <v>0</v>
      </c>
      <c r="AE1037" s="264">
        <f>IF(NFI_Expiration=1,IF($A1037&lt;VLOOKUP(N$5,NFI,5,0),1,0)*Table_NFI[[#This Row],[Kitchen Set]],Table_NFI[Kitchen Set])</f>
        <v>0</v>
      </c>
      <c r="AF1037" s="264">
        <f>IF(NFI_Expiration=1,IF($A1037&lt;VLOOKUP(O$5,NFI,5,0),1,0)*Table_NFI[[#This Row],[Clothes Kit]],Table_NFI[Clothes Kit])</f>
        <v>0</v>
      </c>
      <c r="AG1037" s="264">
        <f>IF(NFI_Expiration=1,IF($A1037&lt;VLOOKUP(P$5,NFI,5,0),1,0)*Table_NFI[[#This Row],[Plastic Bucket]],Table_NFI[Plastic Bucket])</f>
        <v>0</v>
      </c>
      <c r="AH1037" s="264">
        <f>IF(NFI_Expiration=1,IF($A1037&lt;VLOOKUP(Q$5,NFI,5,0),1,0)*Table_NFI[[#This Row],[Plastic Mat]],Table_NFI[Plastic Mat])*IF(Table_NFI[[#This Row],[Distribution Date]]&gt;"2014-04-01",1,2.5)</f>
        <v>0</v>
      </c>
      <c r="AI1037" s="264">
        <f>IF(NFI_Expiration=1,IF($A1037&lt;VLOOKUP(R$5,NFI,5,0),1,0)*Table_NFI[[#This Row],[Winter Clothes Adult]],Table_NFI[Winter Clothes Adult])</f>
        <v>0</v>
      </c>
      <c r="AJ1037" s="264">
        <f>IF(NFI_Expiration=1,IF($A1037&lt;VLOOKUP(S$5,NFI,5,0),1,0)*Table_NFI[[#This Row],[Winter Clothes Children]],Table_NFI[Winter Clothes Children])</f>
        <v>0</v>
      </c>
      <c r="AK1037" s="264">
        <f>IF(NFI_Expiration=1,IF($A1037&lt;VLOOKUP(T$5,NFI,5,0),1,0)*Table_NFI[[#This Row],[Winter Items Other]],Table_NFI[Winter Items Other])</f>
        <v>0</v>
      </c>
      <c r="AL1037" s="264">
        <f>IF(NFI_Expiration=1,IF($A1037&lt;VLOOKUP(M$5,NFI,5,0),1,0)*Table_NFI[[#This Row],[Winter Blanket]],Table_NFI[[#This Row],[Winter Blanket]])</f>
        <v>0</v>
      </c>
      <c r="AM1037" s="264">
        <f>IF(Table_NFI[[#This Row],[Winter Clothes Adult]]+Table_NFI[[#This Row],[Winter Clothes Children]]+Table_NFI[[#This Row],[Winter Items Other]]+Table_NFI[[#This Row],[Winter Blanket]]&gt;0,1,0)</f>
        <v>0</v>
      </c>
      <c r="AN1037" s="296">
        <f>IF(NFI_Expiration=1,IF($A1037&lt;VLOOKUP(V$5,NFI,5,0),1,0)*Table_NFI[[#This Row],[Jerry Can]],Table_NFI[Jerry Can])</f>
        <v>0</v>
      </c>
      <c r="AO1037" s="296">
        <f>IF(NFI_Expiration=1,IF($A1037&lt;VLOOKUP(V$5,NFI,5,0),1,0)*Table_NFI[[#This Row],[Shelter Tool kit]],Table_NFI[Shelter Tool kit])</f>
        <v>0</v>
      </c>
      <c r="AP1037" s="296">
        <f>IF(NFI_Expiration=1,IF($A1037&lt;VLOOKUP(V$5,NFI,5,0),1,0)*Table_NFI[[#This Row],[Tent]],Table_NFI[Tent])</f>
        <v>0</v>
      </c>
      <c r="AQ1037" s="396" t="str">
        <f>IFERROR(VLOOKUP(Table_NFI[[#This Row],[Camp Name]],CL,2,0),"")</f>
        <v>MMR001CMP054</v>
      </c>
      <c r="AR1037" s="702">
        <f ca="1">IF(Table_NFI[[#This Row],[Pcode]]="","",IF(OFFSET(CampList[Opening Date],MATCH(Table_NFI[[#This Row],[Pcode]],CampList[CP_Pcode],0)-1,0,1,1)&gt;=NFI_Monitor_Date,1,0))</f>
        <v>0</v>
      </c>
      <c r="AS1037" s="396" t="str">
        <f>IFERROR(VLOOKUP(Table_NFI[[#This Row],[Camp Name]],CL,3,0),"")</f>
        <v>Open</v>
      </c>
      <c r="AT1037" s="264" t="str">
        <f ca="1">IF(Table_NFI[[#This Row],[Pcode]]="","",OFFSET(CampList[Priority],MATCH(Table_NFI[[#This Row],[Pcode]],CampList[CP_Pcode],0)-1,0,1,1))</f>
        <v>P4</v>
      </c>
      <c r="AU1037" s="263">
        <f>IFERROR(Table_NFI[[#This Row],[Kitchen Set]]/VLOOKUP(Table_NFI[[#This Row],[Camp Name]],CL,4,0),"")</f>
        <v>1.4688601645123384E-4</v>
      </c>
      <c r="AV1037" s="390" t="s">
        <v>1087</v>
      </c>
      <c r="AW1037" s="392"/>
      <c r="AX1037" s="399"/>
      <c r="AY1037" s="399"/>
      <c r="AZ1037" s="399"/>
      <c r="BA1037" s="399"/>
      <c r="BB1037" s="399"/>
      <c r="BC1037" s="399"/>
      <c r="BD1037" s="399"/>
      <c r="BE1037" s="399"/>
      <c r="BF1037" s="399"/>
      <c r="BG1037" s="399"/>
      <c r="BH1037" s="399"/>
      <c r="BI1037" s="399"/>
      <c r="BJ1037" s="399"/>
      <c r="BK1037" s="399"/>
      <c r="BL1037" s="399"/>
      <c r="BM1037" s="399"/>
      <c r="BN1037" s="399"/>
      <c r="BO1037" s="399"/>
      <c r="BP1037" s="399"/>
      <c r="BQ1037" s="399"/>
      <c r="BR1037" s="399"/>
      <c r="BS1037" s="399"/>
      <c r="BT1037" s="399"/>
      <c r="BU1037" s="399"/>
      <c r="BV1037" s="399"/>
      <c r="BW1037" s="399"/>
      <c r="BX1037" s="399"/>
      <c r="BY1037" s="399"/>
      <c r="BZ1037" s="399"/>
      <c r="CA1037" s="399"/>
      <c r="CB1037" s="399"/>
      <c r="CC1037" s="399"/>
      <c r="CD1037" s="399"/>
      <c r="CE1037" s="399"/>
      <c r="CF1037" s="399"/>
      <c r="CG1037" s="399"/>
      <c r="CH1037" s="399"/>
      <c r="CI1037" s="399"/>
      <c r="CJ1037" s="399"/>
      <c r="CK1037" s="399"/>
      <c r="CL1037" s="399"/>
      <c r="CM1037" s="399"/>
      <c r="CN1037" s="399"/>
      <c r="CO1037" s="399"/>
      <c r="CP1037" s="399"/>
      <c r="CQ1037" s="399"/>
      <c r="CR1037" s="399"/>
      <c r="CS1037" s="399"/>
      <c r="CT1037" s="399"/>
      <c r="CU1037" s="399"/>
      <c r="CV1037" s="399"/>
      <c r="CW1037" s="399"/>
      <c r="CX1037" s="399"/>
      <c r="CY1037" s="399"/>
      <c r="CZ1037" s="399"/>
      <c r="DA1037" s="399"/>
      <c r="DB1037" s="399"/>
      <c r="DC1037" s="399"/>
      <c r="DD1037" s="399"/>
      <c r="DE1037" s="399"/>
      <c r="DF1037" s="399"/>
      <c r="DG1037" s="399"/>
      <c r="DH1037" s="399"/>
      <c r="DI1037" s="399"/>
      <c r="DJ1037" s="399"/>
      <c r="DK1037" s="399"/>
      <c r="DL1037" s="399"/>
      <c r="DM1037" s="399"/>
      <c r="DN1037" s="399"/>
      <c r="DO1037" s="399"/>
      <c r="DP1037" s="399"/>
      <c r="DQ1037" s="399"/>
    </row>
    <row r="1038" spans="1:121" s="760" customFormat="1" ht="14.45" customHeight="1" x14ac:dyDescent="0.25">
      <c r="A1038" s="266">
        <f t="shared" si="16"/>
        <v>59.666666666666664</v>
      </c>
      <c r="B1038" s="389">
        <v>41066</v>
      </c>
      <c r="C1038" s="390" t="s">
        <v>451</v>
      </c>
      <c r="D1038" s="391" t="s">
        <v>572</v>
      </c>
      <c r="E1038" s="390" t="s">
        <v>380</v>
      </c>
      <c r="F1038" s="262" t="s">
        <v>185</v>
      </c>
      <c r="G1038" s="262" t="s">
        <v>194</v>
      </c>
      <c r="H1038" s="261"/>
      <c r="I1038" s="261"/>
      <c r="J1038" s="261"/>
      <c r="K1038" s="261">
        <v>0</v>
      </c>
      <c r="L1038" s="261">
        <v>200</v>
      </c>
      <c r="M1038" s="261">
        <v>0</v>
      </c>
      <c r="N1038" s="261">
        <v>0</v>
      </c>
      <c r="O1038" s="261">
        <v>0</v>
      </c>
      <c r="P1038" s="261"/>
      <c r="Q1038" s="261"/>
      <c r="R1038" s="261"/>
      <c r="S1038" s="261"/>
      <c r="T1038" s="261"/>
      <c r="U1038" s="261"/>
      <c r="V1038" s="762"/>
      <c r="W1038" s="261"/>
      <c r="X1038" s="261"/>
      <c r="Y1038" s="264">
        <f>IF(NFI_Expiration=1,IF($A1038&lt;VLOOKUP(H$5,NFI,5,0),1,0)*Table_NFI[[#This Row],[Hygiene Kit]],Table_NFI[Hygiene Kit])</f>
        <v>0</v>
      </c>
      <c r="Z1038" s="264">
        <f>IF(NFI_Expiration=1,IF($A1038&lt;VLOOKUP(I$5,NFI,5,0),1,0)*Table_NFI[[#This Row],[NFI Core Kit]],Table_NFI[NFI Core Kit])</f>
        <v>0</v>
      </c>
      <c r="AA1038" s="264">
        <f>IF(NFI_Expiration=1,IF($A1038&lt;VLOOKUP(J$5,NFI,5,0),1,0)*Table_NFI[[#This Row],[Sanitary Kit]],Table_NFI[Sanitary Kit])</f>
        <v>0</v>
      </c>
      <c r="AB1038" s="264">
        <f>IF(NFI_Expiration=1,IF($A1038&lt;VLOOKUP(K$5,NFI,5,0),1,0)*Table_NFI[[#This Row],[Mosquito net]],Table_NFI[Mosquito net])</f>
        <v>0</v>
      </c>
      <c r="AC1038" s="264">
        <f>IF(NFI_Expiration=1,IF($A1038&lt;VLOOKUP(L$5,NFI,5,0),1,0)*Table_NFI[[#This Row],[Tarpaulin]],Table_NFI[[#This Row],[Tarpaulin]])</f>
        <v>0</v>
      </c>
      <c r="AD1038" s="264">
        <f>IF(NFI_Expiration=1,IF($A1038&lt;VLOOKUP(M$5,NFI,5,0),1,0)*Table_NFI[[#This Row],[Blanket]],Table_NFI[[#This Row],[Blanket]])</f>
        <v>0</v>
      </c>
      <c r="AE1038" s="264">
        <f>IF(NFI_Expiration=1,IF($A1038&lt;VLOOKUP(N$5,NFI,5,0),1,0)*Table_NFI[[#This Row],[Kitchen Set]],Table_NFI[Kitchen Set])</f>
        <v>0</v>
      </c>
      <c r="AF1038" s="264">
        <f>IF(NFI_Expiration=1,IF($A1038&lt;VLOOKUP(O$5,NFI,5,0),1,0)*Table_NFI[[#This Row],[Clothes Kit]],Table_NFI[Clothes Kit])</f>
        <v>0</v>
      </c>
      <c r="AG1038" s="264">
        <f>IF(NFI_Expiration=1,IF($A1038&lt;VLOOKUP(P$5,NFI,5,0),1,0)*Table_NFI[[#This Row],[Plastic Bucket]],Table_NFI[Plastic Bucket])</f>
        <v>0</v>
      </c>
      <c r="AH1038" s="264">
        <f>IF(NFI_Expiration=1,IF($A1038&lt;VLOOKUP(Q$5,NFI,5,0),1,0)*Table_NFI[[#This Row],[Plastic Mat]],Table_NFI[Plastic Mat])*IF(Table_NFI[[#This Row],[Distribution Date]]&gt;"2014-04-01",1,2.5)</f>
        <v>0</v>
      </c>
      <c r="AI1038" s="264">
        <f>IF(NFI_Expiration=1,IF($A1038&lt;VLOOKUP(R$5,NFI,5,0),1,0)*Table_NFI[[#This Row],[Winter Clothes Adult]],Table_NFI[Winter Clothes Adult])</f>
        <v>0</v>
      </c>
      <c r="AJ1038" s="264">
        <f>IF(NFI_Expiration=1,IF($A1038&lt;VLOOKUP(S$5,NFI,5,0),1,0)*Table_NFI[[#This Row],[Winter Clothes Children]],Table_NFI[Winter Clothes Children])</f>
        <v>0</v>
      </c>
      <c r="AK1038" s="264">
        <f>IF(NFI_Expiration=1,IF($A1038&lt;VLOOKUP(T$5,NFI,5,0),1,0)*Table_NFI[[#This Row],[Winter Items Other]],Table_NFI[Winter Items Other])</f>
        <v>0</v>
      </c>
      <c r="AL1038" s="264">
        <f>IF(NFI_Expiration=1,IF($A1038&lt;VLOOKUP(M$5,NFI,5,0),1,0)*Table_NFI[[#This Row],[Winter Blanket]],Table_NFI[[#This Row],[Winter Blanket]])</f>
        <v>0</v>
      </c>
      <c r="AM1038" s="264">
        <f>IF(Table_NFI[[#This Row],[Winter Clothes Adult]]+Table_NFI[[#This Row],[Winter Clothes Children]]+Table_NFI[[#This Row],[Winter Items Other]]+Table_NFI[[#This Row],[Winter Blanket]]&gt;0,1,0)</f>
        <v>0</v>
      </c>
      <c r="AN1038" s="296">
        <f>IF(NFI_Expiration=1,IF($A1038&lt;VLOOKUP(V$5,NFI,5,0),1,0)*Table_NFI[[#This Row],[Jerry Can]],Table_NFI[Jerry Can])</f>
        <v>0</v>
      </c>
      <c r="AO1038" s="296">
        <f>IF(NFI_Expiration=1,IF($A1038&lt;VLOOKUP(V$5,NFI,5,0),1,0)*Table_NFI[[#This Row],[Shelter Tool kit]],Table_NFI[Shelter Tool kit])</f>
        <v>0</v>
      </c>
      <c r="AP1038" s="296">
        <f>IF(NFI_Expiration=1,IF($A1038&lt;VLOOKUP(V$5,NFI,5,0),1,0)*Table_NFI[[#This Row],[Tent]],Table_NFI[Tent])</f>
        <v>0</v>
      </c>
      <c r="AQ1038" s="396" t="str">
        <f>IFERROR(VLOOKUP(Table_NFI[[#This Row],[Camp Name]],CL,2,0),"")</f>
        <v>MMR001CMP122</v>
      </c>
      <c r="AR1038" s="702">
        <f ca="1">IF(Table_NFI[[#This Row],[Pcode]]="","",IF(OFFSET(CampList[Opening Date],MATCH(Table_NFI[[#This Row],[Pcode]],CampList[CP_Pcode],0)-1,0,1,1)&gt;=NFI_Monitor_Date,1,0))</f>
        <v>0</v>
      </c>
      <c r="AS1038" s="396" t="str">
        <f>IFERROR(VLOOKUP(Table_NFI[[#This Row],[Camp Name]],CL,3,0),"")</f>
        <v>Open</v>
      </c>
      <c r="AT1038" s="264" t="str">
        <f ca="1">IF(Table_NFI[[#This Row],[Pcode]]="","",OFFSET(CampList[Priority],MATCH(Table_NFI[[#This Row],[Pcode]],CampList[CP_Pcode],0)-1,0,1,1))</f>
        <v>P2</v>
      </c>
      <c r="AU1038" s="263">
        <f>IFERROR(Table_NFI[[#This Row],[Kitchen Set]]/VLOOKUP(Table_NFI[[#This Row],[Camp Name]],CL,4,0),"")</f>
        <v>0</v>
      </c>
      <c r="AV1038" s="390" t="s">
        <v>1087</v>
      </c>
      <c r="AW1038" s="392"/>
      <c r="AX1038" s="399"/>
      <c r="AY1038" s="399"/>
      <c r="AZ1038" s="399"/>
      <c r="BA1038" s="399"/>
      <c r="BB1038" s="399"/>
      <c r="BC1038" s="399"/>
      <c r="BD1038" s="399"/>
      <c r="BE1038" s="399"/>
      <c r="BF1038" s="399"/>
      <c r="BG1038" s="399"/>
      <c r="BH1038" s="399"/>
      <c r="BI1038" s="399"/>
      <c r="BJ1038" s="399"/>
      <c r="BK1038" s="399"/>
      <c r="BL1038" s="399"/>
      <c r="BM1038" s="399"/>
      <c r="BN1038" s="399"/>
      <c r="BO1038" s="399"/>
      <c r="BP1038" s="399"/>
      <c r="BQ1038" s="399"/>
      <c r="BR1038" s="399"/>
      <c r="BS1038" s="399"/>
      <c r="BT1038" s="399"/>
      <c r="BU1038" s="399"/>
      <c r="BV1038" s="399"/>
      <c r="BW1038" s="399"/>
      <c r="BX1038" s="399"/>
      <c r="BY1038" s="399"/>
      <c r="BZ1038" s="399"/>
      <c r="CA1038" s="399"/>
      <c r="CB1038" s="399"/>
      <c r="CC1038" s="399"/>
      <c r="CD1038" s="399"/>
      <c r="CE1038" s="399"/>
      <c r="CF1038" s="399"/>
      <c r="CG1038" s="399"/>
      <c r="CH1038" s="399"/>
      <c r="CI1038" s="399"/>
      <c r="CJ1038" s="399"/>
      <c r="CK1038" s="399"/>
      <c r="CL1038" s="399"/>
      <c r="CM1038" s="399"/>
      <c r="CN1038" s="399"/>
      <c r="CO1038" s="399"/>
      <c r="CP1038" s="399"/>
      <c r="CQ1038" s="399"/>
      <c r="CR1038" s="399"/>
      <c r="CS1038" s="399"/>
      <c r="CT1038" s="399"/>
      <c r="CU1038" s="399"/>
      <c r="CV1038" s="399"/>
      <c r="CW1038" s="399"/>
      <c r="CX1038" s="399"/>
      <c r="CY1038" s="399"/>
      <c r="CZ1038" s="399"/>
      <c r="DA1038" s="399"/>
      <c r="DB1038" s="399"/>
      <c r="DC1038" s="399"/>
      <c r="DD1038" s="399"/>
      <c r="DE1038" s="399"/>
      <c r="DF1038" s="399"/>
      <c r="DG1038" s="399"/>
      <c r="DH1038" s="399"/>
      <c r="DI1038" s="399"/>
      <c r="DJ1038" s="399"/>
      <c r="DK1038" s="399"/>
      <c r="DL1038" s="399"/>
      <c r="DM1038" s="399"/>
      <c r="DN1038" s="399"/>
      <c r="DO1038" s="399"/>
      <c r="DP1038" s="399"/>
      <c r="DQ1038" s="399"/>
    </row>
    <row r="1039" spans="1:121" s="760" customFormat="1" ht="14.45" customHeight="1" x14ac:dyDescent="0.25">
      <c r="A1039" s="266">
        <f t="shared" si="16"/>
        <v>59.666666666666664</v>
      </c>
      <c r="B1039" s="389">
        <v>41066</v>
      </c>
      <c r="C1039" s="390" t="s">
        <v>451</v>
      </c>
      <c r="D1039" s="391" t="s">
        <v>451</v>
      </c>
      <c r="E1039" s="390" t="s">
        <v>380</v>
      </c>
      <c r="F1039" s="262" t="s">
        <v>185</v>
      </c>
      <c r="G1039" s="262" t="s">
        <v>219</v>
      </c>
      <c r="H1039" s="261"/>
      <c r="I1039" s="261"/>
      <c r="J1039" s="261"/>
      <c r="K1039" s="261">
        <v>144</v>
      </c>
      <c r="L1039" s="261">
        <v>76</v>
      </c>
      <c r="M1039" s="261">
        <v>143</v>
      </c>
      <c r="N1039" s="261">
        <v>76</v>
      </c>
      <c r="O1039" s="261">
        <v>78</v>
      </c>
      <c r="P1039" s="261">
        <v>78</v>
      </c>
      <c r="Q1039" s="261">
        <v>78</v>
      </c>
      <c r="R1039" s="261"/>
      <c r="S1039" s="261"/>
      <c r="T1039" s="261"/>
      <c r="U1039" s="261"/>
      <c r="V1039" s="762"/>
      <c r="W1039" s="261"/>
      <c r="X1039" s="261"/>
      <c r="Y1039" s="264">
        <f>IF(NFI_Expiration=1,IF($A1039&lt;VLOOKUP(H$5,NFI,5,0),1,0)*Table_NFI[[#This Row],[Hygiene Kit]],Table_NFI[Hygiene Kit])</f>
        <v>0</v>
      </c>
      <c r="Z1039" s="264">
        <f>IF(NFI_Expiration=1,IF($A1039&lt;VLOOKUP(I$5,NFI,5,0),1,0)*Table_NFI[[#This Row],[NFI Core Kit]],Table_NFI[NFI Core Kit])</f>
        <v>0</v>
      </c>
      <c r="AA1039" s="264">
        <f>IF(NFI_Expiration=1,IF($A1039&lt;VLOOKUP(J$5,NFI,5,0),1,0)*Table_NFI[[#This Row],[Sanitary Kit]],Table_NFI[Sanitary Kit])</f>
        <v>0</v>
      </c>
      <c r="AB1039" s="264">
        <f>IF(NFI_Expiration=1,IF($A1039&lt;VLOOKUP(K$5,NFI,5,0),1,0)*Table_NFI[[#This Row],[Mosquito net]],Table_NFI[Mosquito net])</f>
        <v>0</v>
      </c>
      <c r="AC1039" s="264">
        <f>IF(NFI_Expiration=1,IF($A1039&lt;VLOOKUP(L$5,NFI,5,0),1,0)*Table_NFI[[#This Row],[Tarpaulin]],Table_NFI[[#This Row],[Tarpaulin]])</f>
        <v>0</v>
      </c>
      <c r="AD1039" s="264">
        <f>IF(NFI_Expiration=1,IF($A1039&lt;VLOOKUP(M$5,NFI,5,0),1,0)*Table_NFI[[#This Row],[Blanket]],Table_NFI[[#This Row],[Blanket]])</f>
        <v>0</v>
      </c>
      <c r="AE1039" s="264">
        <f>IF(NFI_Expiration=1,IF($A1039&lt;VLOOKUP(N$5,NFI,5,0),1,0)*Table_NFI[[#This Row],[Kitchen Set]],Table_NFI[Kitchen Set])</f>
        <v>0</v>
      </c>
      <c r="AF1039" s="264">
        <f>IF(NFI_Expiration=1,IF($A1039&lt;VLOOKUP(O$5,NFI,5,0),1,0)*Table_NFI[[#This Row],[Clothes Kit]],Table_NFI[Clothes Kit])</f>
        <v>0</v>
      </c>
      <c r="AG1039" s="264">
        <f>IF(NFI_Expiration=1,IF($A1039&lt;VLOOKUP(P$5,NFI,5,0),1,0)*Table_NFI[[#This Row],[Plastic Bucket]],Table_NFI[Plastic Bucket])</f>
        <v>0</v>
      </c>
      <c r="AH1039" s="264">
        <f>IF(NFI_Expiration=1,IF($A1039&lt;VLOOKUP(Q$5,NFI,5,0),1,0)*Table_NFI[[#This Row],[Plastic Mat]],Table_NFI[Plastic Mat])*IF(Table_NFI[[#This Row],[Distribution Date]]&gt;"2014-04-01",1,2.5)</f>
        <v>0</v>
      </c>
      <c r="AI1039" s="264">
        <f>IF(NFI_Expiration=1,IF($A1039&lt;VLOOKUP(R$5,NFI,5,0),1,0)*Table_NFI[[#This Row],[Winter Clothes Adult]],Table_NFI[Winter Clothes Adult])</f>
        <v>0</v>
      </c>
      <c r="AJ1039" s="264">
        <f>IF(NFI_Expiration=1,IF($A1039&lt;VLOOKUP(S$5,NFI,5,0),1,0)*Table_NFI[[#This Row],[Winter Clothes Children]],Table_NFI[Winter Clothes Children])</f>
        <v>0</v>
      </c>
      <c r="AK1039" s="264">
        <f>IF(NFI_Expiration=1,IF($A1039&lt;VLOOKUP(T$5,NFI,5,0),1,0)*Table_NFI[[#This Row],[Winter Items Other]],Table_NFI[Winter Items Other])</f>
        <v>0</v>
      </c>
      <c r="AL1039" s="264">
        <f>IF(NFI_Expiration=1,IF($A1039&lt;VLOOKUP(M$5,NFI,5,0),1,0)*Table_NFI[[#This Row],[Winter Blanket]],Table_NFI[[#This Row],[Winter Blanket]])</f>
        <v>0</v>
      </c>
      <c r="AM1039" s="264">
        <f>IF(Table_NFI[[#This Row],[Winter Clothes Adult]]+Table_NFI[[#This Row],[Winter Clothes Children]]+Table_NFI[[#This Row],[Winter Items Other]]+Table_NFI[[#This Row],[Winter Blanket]]&gt;0,1,0)</f>
        <v>0</v>
      </c>
      <c r="AN1039" s="296">
        <f>IF(NFI_Expiration=1,IF($A1039&lt;VLOOKUP(V$5,NFI,5,0),1,0)*Table_NFI[[#This Row],[Jerry Can]],Table_NFI[Jerry Can])</f>
        <v>0</v>
      </c>
      <c r="AO1039" s="296">
        <f>IF(NFI_Expiration=1,IF($A1039&lt;VLOOKUP(V$5,NFI,5,0),1,0)*Table_NFI[[#This Row],[Shelter Tool kit]],Table_NFI[Shelter Tool kit])</f>
        <v>0</v>
      </c>
      <c r="AP1039" s="296">
        <f>IF(NFI_Expiration=1,IF($A1039&lt;VLOOKUP(V$5,NFI,5,0),1,0)*Table_NFI[[#This Row],[Tent]],Table_NFI[Tent])</f>
        <v>0</v>
      </c>
      <c r="AQ1039" s="396" t="str">
        <f>IFERROR(VLOOKUP(Table_NFI[[#This Row],[Camp Name]],CL,2,0),"")</f>
        <v>MMR001CMP126</v>
      </c>
      <c r="AR1039" s="702">
        <f ca="1">IF(Table_NFI[[#This Row],[Pcode]]="","",IF(OFFSET(CampList[Opening Date],MATCH(Table_NFI[[#This Row],[Pcode]],CampList[CP_Pcode],0)-1,0,1,1)&gt;=NFI_Monitor_Date,1,0))</f>
        <v>0</v>
      </c>
      <c r="AS1039" s="396" t="str">
        <f>IFERROR(VLOOKUP(Table_NFI[[#This Row],[Camp Name]],CL,3,0),"")</f>
        <v>Open</v>
      </c>
      <c r="AT1039" s="264" t="str">
        <f ca="1">IF(Table_NFI[[#This Row],[Pcode]]="","",OFFSET(CampList[Priority],MATCH(Table_NFI[[#This Row],[Pcode]],CampList[CP_Pcode],0)-1,0,1,1))</f>
        <v>P2</v>
      </c>
      <c r="AU1039" s="263">
        <f>IFERROR(Table_NFI[[#This Row],[Kitchen Set]]/VLOOKUP(Table_NFI[[#This Row],[Camp Name]],CL,4,0),"")</f>
        <v>1.8536585365853658E-3</v>
      </c>
      <c r="AV1039" s="390" t="s">
        <v>1087</v>
      </c>
      <c r="AW1039" s="392"/>
      <c r="AX1039" s="399"/>
      <c r="AY1039" s="399"/>
      <c r="AZ1039" s="399"/>
      <c r="BA1039" s="399"/>
      <c r="BB1039" s="399"/>
      <c r="BC1039" s="399"/>
      <c r="BD1039" s="399"/>
      <c r="BE1039" s="399"/>
      <c r="BF1039" s="399"/>
      <c r="BG1039" s="399"/>
      <c r="BH1039" s="399"/>
      <c r="BI1039" s="399"/>
      <c r="BJ1039" s="399"/>
      <c r="BK1039" s="399"/>
      <c r="BL1039" s="399"/>
      <c r="BM1039" s="399"/>
      <c r="BN1039" s="399"/>
      <c r="BO1039" s="399"/>
      <c r="BP1039" s="399"/>
      <c r="BQ1039" s="399"/>
      <c r="BR1039" s="399"/>
      <c r="BS1039" s="399"/>
      <c r="BT1039" s="399"/>
      <c r="BU1039" s="399"/>
      <c r="BV1039" s="399"/>
      <c r="BW1039" s="399"/>
      <c r="BX1039" s="399"/>
      <c r="BY1039" s="399"/>
      <c r="BZ1039" s="399"/>
      <c r="CA1039" s="399"/>
      <c r="CB1039" s="399"/>
      <c r="CC1039" s="399"/>
      <c r="CD1039" s="399"/>
      <c r="CE1039" s="399"/>
      <c r="CF1039" s="399"/>
      <c r="CG1039" s="399"/>
      <c r="CH1039" s="399"/>
      <c r="CI1039" s="399"/>
      <c r="CJ1039" s="399"/>
      <c r="CK1039" s="399"/>
      <c r="CL1039" s="399"/>
      <c r="CM1039" s="399"/>
      <c r="CN1039" s="399"/>
      <c r="CO1039" s="399"/>
      <c r="CP1039" s="399"/>
      <c r="CQ1039" s="399"/>
      <c r="CR1039" s="399"/>
      <c r="CS1039" s="399"/>
      <c r="CT1039" s="399"/>
      <c r="CU1039" s="399"/>
      <c r="CV1039" s="399"/>
      <c r="CW1039" s="399"/>
      <c r="CX1039" s="399"/>
      <c r="CY1039" s="399"/>
      <c r="CZ1039" s="399"/>
      <c r="DA1039" s="399"/>
      <c r="DB1039" s="399"/>
      <c r="DC1039" s="399"/>
      <c r="DD1039" s="399"/>
      <c r="DE1039" s="399"/>
      <c r="DF1039" s="399"/>
      <c r="DG1039" s="399"/>
      <c r="DH1039" s="399"/>
      <c r="DI1039" s="399"/>
      <c r="DJ1039" s="399"/>
      <c r="DK1039" s="399"/>
      <c r="DL1039" s="399"/>
      <c r="DM1039" s="399"/>
      <c r="DN1039" s="399"/>
      <c r="DO1039" s="399"/>
      <c r="DP1039" s="399"/>
      <c r="DQ1039" s="399"/>
    </row>
    <row r="1040" spans="1:121" s="760" customFormat="1" ht="13.9" customHeight="1" x14ac:dyDescent="0.25">
      <c r="A1040" s="266">
        <f t="shared" si="16"/>
        <v>59.7</v>
      </c>
      <c r="B1040" s="389">
        <v>41065</v>
      </c>
      <c r="C1040" s="390" t="s">
        <v>451</v>
      </c>
      <c r="D1040" s="390" t="s">
        <v>451</v>
      </c>
      <c r="E1040" s="390" t="s">
        <v>380</v>
      </c>
      <c r="F1040" s="390" t="s">
        <v>185</v>
      </c>
      <c r="G1040" s="262" t="s">
        <v>211</v>
      </c>
      <c r="H1040" s="261"/>
      <c r="I1040" s="261"/>
      <c r="J1040" s="261"/>
      <c r="K1040" s="261">
        <v>10</v>
      </c>
      <c r="L1040" s="261">
        <v>5</v>
      </c>
      <c r="M1040" s="261">
        <v>10</v>
      </c>
      <c r="N1040" s="261">
        <v>5</v>
      </c>
      <c r="O1040" s="261">
        <v>5</v>
      </c>
      <c r="P1040" s="261">
        <v>5</v>
      </c>
      <c r="Q1040" s="261">
        <v>5</v>
      </c>
      <c r="R1040" s="261"/>
      <c r="S1040" s="261"/>
      <c r="T1040" s="261"/>
      <c r="U1040" s="261"/>
      <c r="V1040" s="762"/>
      <c r="W1040" s="261"/>
      <c r="X1040" s="261"/>
      <c r="Y1040" s="264">
        <f>IF(NFI_Expiration=1,IF($A1040&lt;VLOOKUP(H$5,NFI,5,0),1,0)*Table_NFI[[#This Row],[Hygiene Kit]],Table_NFI[Hygiene Kit])</f>
        <v>0</v>
      </c>
      <c r="Z1040" s="264">
        <f>IF(NFI_Expiration=1,IF($A1040&lt;VLOOKUP(I$5,NFI,5,0),1,0)*Table_NFI[[#This Row],[NFI Core Kit]],Table_NFI[NFI Core Kit])</f>
        <v>0</v>
      </c>
      <c r="AA1040" s="264">
        <f>IF(NFI_Expiration=1,IF($A1040&lt;VLOOKUP(J$5,NFI,5,0),1,0)*Table_NFI[[#This Row],[Sanitary Kit]],Table_NFI[Sanitary Kit])</f>
        <v>0</v>
      </c>
      <c r="AB1040" s="264">
        <f>IF(NFI_Expiration=1,IF($A1040&lt;VLOOKUP(K$5,NFI,5,0),1,0)*Table_NFI[[#This Row],[Mosquito net]],Table_NFI[Mosquito net])</f>
        <v>0</v>
      </c>
      <c r="AC1040" s="264">
        <f>IF(NFI_Expiration=1,IF($A1040&lt;VLOOKUP(L$5,NFI,5,0),1,0)*Table_NFI[[#This Row],[Tarpaulin]],Table_NFI[[#This Row],[Tarpaulin]])</f>
        <v>0</v>
      </c>
      <c r="AD1040" s="264">
        <f>IF(NFI_Expiration=1,IF($A1040&lt;VLOOKUP(M$5,NFI,5,0),1,0)*Table_NFI[[#This Row],[Blanket]],Table_NFI[[#This Row],[Blanket]])</f>
        <v>0</v>
      </c>
      <c r="AE1040" s="264">
        <f>IF(NFI_Expiration=1,IF($A1040&lt;VLOOKUP(N$5,NFI,5,0),1,0)*Table_NFI[[#This Row],[Kitchen Set]],Table_NFI[Kitchen Set])</f>
        <v>0</v>
      </c>
      <c r="AF1040" s="264">
        <f>IF(NFI_Expiration=1,IF($A1040&lt;VLOOKUP(O$5,NFI,5,0),1,0)*Table_NFI[[#This Row],[Clothes Kit]],Table_NFI[Clothes Kit])</f>
        <v>0</v>
      </c>
      <c r="AG1040" s="264">
        <f>IF(NFI_Expiration=1,IF($A1040&lt;VLOOKUP(P$5,NFI,5,0),1,0)*Table_NFI[[#This Row],[Plastic Bucket]],Table_NFI[Plastic Bucket])</f>
        <v>0</v>
      </c>
      <c r="AH1040" s="264">
        <f>IF(NFI_Expiration=1,IF($A1040&lt;VLOOKUP(Q$5,NFI,5,0),1,0)*Table_NFI[[#This Row],[Plastic Mat]],Table_NFI[Plastic Mat])*IF(Table_NFI[[#This Row],[Distribution Date]]&gt;"2014-04-01",1,2.5)</f>
        <v>0</v>
      </c>
      <c r="AI1040" s="264">
        <f>IF(NFI_Expiration=1,IF($A1040&lt;VLOOKUP(R$5,NFI,5,0),1,0)*Table_NFI[[#This Row],[Winter Clothes Adult]],Table_NFI[Winter Clothes Adult])</f>
        <v>0</v>
      </c>
      <c r="AJ1040" s="264">
        <f>IF(NFI_Expiration=1,IF($A1040&lt;VLOOKUP(S$5,NFI,5,0),1,0)*Table_NFI[[#This Row],[Winter Clothes Children]],Table_NFI[Winter Clothes Children])</f>
        <v>0</v>
      </c>
      <c r="AK1040" s="264">
        <f>IF(NFI_Expiration=1,IF($A1040&lt;VLOOKUP(T$5,NFI,5,0),1,0)*Table_NFI[[#This Row],[Winter Items Other]],Table_NFI[Winter Items Other])</f>
        <v>0</v>
      </c>
      <c r="AL1040" s="264">
        <f>IF(NFI_Expiration=1,IF($A1040&lt;VLOOKUP(M$5,NFI,5,0),1,0)*Table_NFI[[#This Row],[Winter Blanket]],Table_NFI[[#This Row],[Winter Blanket]])</f>
        <v>0</v>
      </c>
      <c r="AM1040" s="264">
        <f>IF(Table_NFI[[#This Row],[Winter Clothes Adult]]+Table_NFI[[#This Row],[Winter Clothes Children]]+Table_NFI[[#This Row],[Winter Items Other]]+Table_NFI[[#This Row],[Winter Blanket]]&gt;0,1,0)</f>
        <v>0</v>
      </c>
      <c r="AN1040" s="296">
        <f>IF(NFI_Expiration=1,IF($A1040&lt;VLOOKUP(V$5,NFI,5,0),1,0)*Table_NFI[[#This Row],[Jerry Can]],Table_NFI[Jerry Can])</f>
        <v>0</v>
      </c>
      <c r="AO1040" s="296">
        <f>IF(NFI_Expiration=1,IF($A1040&lt;VLOOKUP(V$5,NFI,5,0),1,0)*Table_NFI[[#This Row],[Shelter Tool kit]],Table_NFI[Shelter Tool kit])</f>
        <v>0</v>
      </c>
      <c r="AP1040" s="296">
        <f>IF(NFI_Expiration=1,IF($A1040&lt;VLOOKUP(V$5,NFI,5,0),1,0)*Table_NFI[[#This Row],[Tent]],Table_NFI[Tent])</f>
        <v>0</v>
      </c>
      <c r="AQ1040" s="396" t="str">
        <f>IFERROR(VLOOKUP(Table_NFI[[#This Row],[Camp Name]],CL,2,0),"")</f>
        <v>MMR001CMP057</v>
      </c>
      <c r="AR1040" s="702">
        <f ca="1">IF(Table_NFI[[#This Row],[Pcode]]="","",IF(OFFSET(CampList[Opening Date],MATCH(Table_NFI[[#This Row],[Pcode]],CampList[CP_Pcode],0)-1,0,1,1)&gt;=NFI_Monitor_Date,1,0))</f>
        <v>0</v>
      </c>
      <c r="AS1040" s="396" t="str">
        <f>IFERROR(VLOOKUP(Table_NFI[[#This Row],[Camp Name]],CL,3,0),"")</f>
        <v>Closed</v>
      </c>
      <c r="AT1040" s="264" t="str">
        <f ca="1">IF(Table_NFI[[#This Row],[Pcode]]="","",OFFSET(CampList[Priority],MATCH(Table_NFI[[#This Row],[Pcode]],CampList[CP_Pcode],0)-1,0,1,1))</f>
        <v>P4</v>
      </c>
      <c r="AU1040" s="263">
        <f>IFERROR(Table_NFI[[#This Row],[Kitchen Set]]/VLOOKUP(Table_NFI[[#This Row],[Camp Name]],CL,4,0),"")</f>
        <v>1.2268132299538719E-4</v>
      </c>
      <c r="AV1040" s="390" t="s">
        <v>1087</v>
      </c>
      <c r="AW1040" s="392"/>
      <c r="AX1040" s="399"/>
      <c r="AY1040" s="399"/>
      <c r="AZ1040" s="399"/>
      <c r="BA1040" s="399"/>
      <c r="BB1040" s="399"/>
      <c r="BC1040" s="399"/>
      <c r="BD1040" s="399"/>
      <c r="BE1040" s="399"/>
      <c r="BF1040" s="399"/>
      <c r="BG1040" s="399"/>
      <c r="BH1040" s="399"/>
      <c r="BI1040" s="399"/>
      <c r="BJ1040" s="399"/>
      <c r="BK1040" s="399"/>
      <c r="BL1040" s="399"/>
      <c r="BM1040" s="399"/>
      <c r="BN1040" s="399"/>
      <c r="BO1040" s="399"/>
      <c r="BP1040" s="399"/>
      <c r="BQ1040" s="399"/>
      <c r="BR1040" s="399"/>
      <c r="BS1040" s="399"/>
      <c r="BT1040" s="399"/>
      <c r="BU1040" s="399"/>
      <c r="BV1040" s="399"/>
      <c r="BW1040" s="399"/>
      <c r="BX1040" s="399"/>
      <c r="BY1040" s="399"/>
      <c r="BZ1040" s="399"/>
      <c r="CA1040" s="399"/>
      <c r="CB1040" s="399"/>
      <c r="CC1040" s="399"/>
      <c r="CD1040" s="399"/>
      <c r="CE1040" s="399"/>
      <c r="CF1040" s="399"/>
      <c r="CG1040" s="399"/>
      <c r="CH1040" s="399"/>
      <c r="CI1040" s="399"/>
      <c r="CJ1040" s="399"/>
      <c r="CK1040" s="399"/>
      <c r="CL1040" s="399"/>
      <c r="CM1040" s="399"/>
      <c r="CN1040" s="399"/>
      <c r="CO1040" s="399"/>
      <c r="CP1040" s="399"/>
      <c r="CQ1040" s="399"/>
      <c r="CR1040" s="399"/>
      <c r="CS1040" s="399"/>
      <c r="CT1040" s="399"/>
      <c r="CU1040" s="399"/>
      <c r="CV1040" s="399"/>
      <c r="CW1040" s="399"/>
      <c r="CX1040" s="399"/>
      <c r="CY1040" s="399"/>
      <c r="CZ1040" s="399"/>
      <c r="DA1040" s="399"/>
      <c r="DB1040" s="399"/>
      <c r="DC1040" s="399"/>
      <c r="DD1040" s="399"/>
      <c r="DE1040" s="399"/>
      <c r="DF1040" s="399"/>
      <c r="DG1040" s="399"/>
      <c r="DH1040" s="399"/>
      <c r="DI1040" s="399"/>
      <c r="DJ1040" s="399"/>
      <c r="DK1040" s="399"/>
      <c r="DL1040" s="399"/>
      <c r="DM1040" s="399"/>
      <c r="DN1040" s="399"/>
      <c r="DO1040" s="399"/>
      <c r="DP1040" s="399"/>
      <c r="DQ1040" s="399"/>
    </row>
    <row r="1041" spans="1:121" s="760" customFormat="1" ht="14.45" customHeight="1" x14ac:dyDescent="0.25">
      <c r="A1041" s="266">
        <f t="shared" si="16"/>
        <v>59.833333333333336</v>
      </c>
      <c r="B1041" s="389">
        <v>41061</v>
      </c>
      <c r="C1041" s="390" t="s">
        <v>451</v>
      </c>
      <c r="D1041" s="390" t="s">
        <v>451</v>
      </c>
      <c r="E1041" s="390" t="s">
        <v>380</v>
      </c>
      <c r="F1041" s="262" t="s">
        <v>237</v>
      </c>
      <c r="G1041" s="262" t="s">
        <v>263</v>
      </c>
      <c r="H1041" s="261"/>
      <c r="I1041" s="261"/>
      <c r="J1041" s="261"/>
      <c r="K1041" s="261">
        <v>22</v>
      </c>
      <c r="L1041" s="261">
        <v>11</v>
      </c>
      <c r="M1041" s="261">
        <v>22</v>
      </c>
      <c r="N1041" s="261">
        <v>11</v>
      </c>
      <c r="O1041" s="261">
        <v>11</v>
      </c>
      <c r="P1041" s="261">
        <v>11</v>
      </c>
      <c r="Q1041" s="261">
        <v>11</v>
      </c>
      <c r="R1041" s="261"/>
      <c r="S1041" s="261"/>
      <c r="T1041" s="261"/>
      <c r="U1041" s="261"/>
      <c r="V1041" s="762"/>
      <c r="W1041" s="261"/>
      <c r="X1041" s="261"/>
      <c r="Y1041" s="264">
        <f>IF(NFI_Expiration=1,IF($A1041&lt;VLOOKUP(H$5,NFI,5,0),1,0)*Table_NFI[[#This Row],[Hygiene Kit]],Table_NFI[Hygiene Kit])</f>
        <v>0</v>
      </c>
      <c r="Z1041" s="264">
        <f>IF(NFI_Expiration=1,IF($A1041&lt;VLOOKUP(I$5,NFI,5,0),1,0)*Table_NFI[[#This Row],[NFI Core Kit]],Table_NFI[NFI Core Kit])</f>
        <v>0</v>
      </c>
      <c r="AA1041" s="264">
        <f>IF(NFI_Expiration=1,IF($A1041&lt;VLOOKUP(J$5,NFI,5,0),1,0)*Table_NFI[[#This Row],[Sanitary Kit]],Table_NFI[Sanitary Kit])</f>
        <v>0</v>
      </c>
      <c r="AB1041" s="264">
        <f>IF(NFI_Expiration=1,IF($A1041&lt;VLOOKUP(K$5,NFI,5,0),1,0)*Table_NFI[[#This Row],[Mosquito net]],Table_NFI[Mosquito net])</f>
        <v>0</v>
      </c>
      <c r="AC1041" s="264">
        <f>IF(NFI_Expiration=1,IF($A1041&lt;VLOOKUP(L$5,NFI,5,0),1,0)*Table_NFI[[#This Row],[Tarpaulin]],Table_NFI[[#This Row],[Tarpaulin]])</f>
        <v>0</v>
      </c>
      <c r="AD1041" s="264">
        <f>IF(NFI_Expiration=1,IF($A1041&lt;VLOOKUP(M$5,NFI,5,0),1,0)*Table_NFI[[#This Row],[Blanket]],Table_NFI[[#This Row],[Blanket]])</f>
        <v>0</v>
      </c>
      <c r="AE1041" s="264">
        <f>IF(NFI_Expiration=1,IF($A1041&lt;VLOOKUP(N$5,NFI,5,0),1,0)*Table_NFI[[#This Row],[Kitchen Set]],Table_NFI[Kitchen Set])</f>
        <v>0</v>
      </c>
      <c r="AF1041" s="264">
        <f>IF(NFI_Expiration=1,IF($A1041&lt;VLOOKUP(O$5,NFI,5,0),1,0)*Table_NFI[[#This Row],[Clothes Kit]],Table_NFI[Clothes Kit])</f>
        <v>0</v>
      </c>
      <c r="AG1041" s="264">
        <f>IF(NFI_Expiration=1,IF($A1041&lt;VLOOKUP(P$5,NFI,5,0),1,0)*Table_NFI[[#This Row],[Plastic Bucket]],Table_NFI[Plastic Bucket])</f>
        <v>0</v>
      </c>
      <c r="AH1041" s="264">
        <f>IF(NFI_Expiration=1,IF($A1041&lt;VLOOKUP(Q$5,NFI,5,0),1,0)*Table_NFI[[#This Row],[Plastic Mat]],Table_NFI[Plastic Mat])*IF(Table_NFI[[#This Row],[Distribution Date]]&gt;"2014-04-01",1,2.5)</f>
        <v>0</v>
      </c>
      <c r="AI1041" s="264">
        <f>IF(NFI_Expiration=1,IF($A1041&lt;VLOOKUP(R$5,NFI,5,0),1,0)*Table_NFI[[#This Row],[Winter Clothes Adult]],Table_NFI[Winter Clothes Adult])</f>
        <v>0</v>
      </c>
      <c r="AJ1041" s="264">
        <f>IF(NFI_Expiration=1,IF($A1041&lt;VLOOKUP(S$5,NFI,5,0),1,0)*Table_NFI[[#This Row],[Winter Clothes Children]],Table_NFI[Winter Clothes Children])</f>
        <v>0</v>
      </c>
      <c r="AK1041" s="264">
        <f>IF(NFI_Expiration=1,IF($A1041&lt;VLOOKUP(T$5,NFI,5,0),1,0)*Table_NFI[[#This Row],[Winter Items Other]],Table_NFI[Winter Items Other])</f>
        <v>0</v>
      </c>
      <c r="AL1041" s="264">
        <f>IF(NFI_Expiration=1,IF($A1041&lt;VLOOKUP(M$5,NFI,5,0),1,0)*Table_NFI[[#This Row],[Winter Blanket]],Table_NFI[[#This Row],[Winter Blanket]])</f>
        <v>0</v>
      </c>
      <c r="AM1041" s="264">
        <f>IF(Table_NFI[[#This Row],[Winter Clothes Adult]]+Table_NFI[[#This Row],[Winter Clothes Children]]+Table_NFI[[#This Row],[Winter Items Other]]+Table_NFI[[#This Row],[Winter Blanket]]&gt;0,1,0)</f>
        <v>0</v>
      </c>
      <c r="AN1041" s="296">
        <f>IF(NFI_Expiration=1,IF($A1041&lt;VLOOKUP(V$5,NFI,5,0),1,0)*Table_NFI[[#This Row],[Jerry Can]],Table_NFI[Jerry Can])</f>
        <v>0</v>
      </c>
      <c r="AO1041" s="296">
        <f>IF(NFI_Expiration=1,IF($A1041&lt;VLOOKUP(V$5,NFI,5,0),1,0)*Table_NFI[[#This Row],[Shelter Tool kit]],Table_NFI[Shelter Tool kit])</f>
        <v>0</v>
      </c>
      <c r="AP1041" s="296">
        <f>IF(NFI_Expiration=1,IF($A1041&lt;VLOOKUP(V$5,NFI,5,0),1,0)*Table_NFI[[#This Row],[Tent]],Table_NFI[Tent])</f>
        <v>0</v>
      </c>
      <c r="AQ1041" s="396" t="str">
        <f>IFERROR(VLOOKUP(Table_NFI[[#This Row],[Camp Name]],CL,2,0),"")</f>
        <v>MMR001CMP020</v>
      </c>
      <c r="AR1041" s="702">
        <f ca="1">IF(Table_NFI[[#This Row],[Pcode]]="","",IF(OFFSET(CampList[Opening Date],MATCH(Table_NFI[[#This Row],[Pcode]],CampList[CP_Pcode],0)-1,0,1,1)&gt;=NFI_Monitor_Date,1,0))</f>
        <v>0</v>
      </c>
      <c r="AS1041" s="396" t="str">
        <f>IFERROR(VLOOKUP(Table_NFI[[#This Row],[Camp Name]],CL,3,0),"")</f>
        <v>Open</v>
      </c>
      <c r="AT1041" s="264" t="str">
        <f ca="1">IF(Table_NFI[[#This Row],[Pcode]]="","",OFFSET(CampList[Priority],MATCH(Table_NFI[[#This Row],[Pcode]],CampList[CP_Pcode],0)-1,0,1,1))</f>
        <v>P4</v>
      </c>
      <c r="AU1041" s="263">
        <f>IFERROR(Table_NFI[[#This Row],[Kitchen Set]]/VLOOKUP(Table_NFI[[#This Row],[Camp Name]],CL,4,0),"")</f>
        <v>2.6949555332337016E-4</v>
      </c>
      <c r="AV1041" s="390" t="s">
        <v>1087</v>
      </c>
      <c r="AW1041" s="392"/>
      <c r="AX1041" s="399"/>
      <c r="AY1041" s="399"/>
      <c r="AZ1041" s="399"/>
      <c r="BA1041" s="399"/>
      <c r="BB1041" s="399"/>
      <c r="BC1041" s="399"/>
      <c r="BD1041" s="399"/>
      <c r="BE1041" s="399"/>
      <c r="BF1041" s="399"/>
      <c r="BG1041" s="399"/>
      <c r="BH1041" s="399"/>
      <c r="BI1041" s="399"/>
      <c r="BJ1041" s="399"/>
      <c r="BK1041" s="399"/>
      <c r="BL1041" s="399"/>
      <c r="BM1041" s="399"/>
      <c r="BN1041" s="399"/>
      <c r="BO1041" s="399"/>
      <c r="BP1041" s="399"/>
      <c r="BQ1041" s="399"/>
      <c r="BR1041" s="399"/>
      <c r="BS1041" s="399"/>
      <c r="BT1041" s="399"/>
      <c r="BU1041" s="399"/>
      <c r="BV1041" s="399"/>
      <c r="BW1041" s="399"/>
      <c r="BX1041" s="399"/>
      <c r="BY1041" s="399"/>
      <c r="BZ1041" s="399"/>
      <c r="CA1041" s="399"/>
      <c r="CB1041" s="399"/>
      <c r="CC1041" s="399"/>
      <c r="CD1041" s="399"/>
      <c r="CE1041" s="399"/>
      <c r="CF1041" s="399"/>
      <c r="CG1041" s="399"/>
      <c r="CH1041" s="399"/>
      <c r="CI1041" s="399"/>
      <c r="CJ1041" s="399"/>
      <c r="CK1041" s="399"/>
      <c r="CL1041" s="399"/>
      <c r="CM1041" s="399"/>
      <c r="CN1041" s="399"/>
      <c r="CO1041" s="399"/>
      <c r="CP1041" s="399"/>
      <c r="CQ1041" s="399"/>
      <c r="CR1041" s="399"/>
      <c r="CS1041" s="399"/>
      <c r="CT1041" s="399"/>
      <c r="CU1041" s="399"/>
      <c r="CV1041" s="399"/>
      <c r="CW1041" s="399"/>
      <c r="CX1041" s="399"/>
      <c r="CY1041" s="399"/>
      <c r="CZ1041" s="399"/>
      <c r="DA1041" s="399"/>
      <c r="DB1041" s="399"/>
      <c r="DC1041" s="399"/>
      <c r="DD1041" s="399"/>
      <c r="DE1041" s="399"/>
      <c r="DF1041" s="399"/>
      <c r="DG1041" s="399"/>
      <c r="DH1041" s="399"/>
      <c r="DI1041" s="399"/>
      <c r="DJ1041" s="399"/>
      <c r="DK1041" s="399"/>
      <c r="DL1041" s="399"/>
      <c r="DM1041" s="399"/>
      <c r="DN1041" s="399"/>
      <c r="DO1041" s="399"/>
      <c r="DP1041" s="399"/>
      <c r="DQ1041" s="399"/>
    </row>
    <row r="1042" spans="1:121" s="393" customFormat="1" ht="15" customHeight="1" x14ac:dyDescent="0.25">
      <c r="A1042" s="266">
        <f t="shared" si="16"/>
        <v>59.833333333333336</v>
      </c>
      <c r="B1042" s="389">
        <v>41061</v>
      </c>
      <c r="C1042" s="390" t="s">
        <v>451</v>
      </c>
      <c r="D1042" s="390" t="s">
        <v>451</v>
      </c>
      <c r="E1042" s="390" t="s">
        <v>380</v>
      </c>
      <c r="F1042" s="262" t="s">
        <v>237</v>
      </c>
      <c r="G1042" s="262" t="s">
        <v>265</v>
      </c>
      <c r="H1042" s="261"/>
      <c r="I1042" s="261"/>
      <c r="J1042" s="261"/>
      <c r="K1042" s="261">
        <v>35</v>
      </c>
      <c r="L1042" s="261">
        <v>17</v>
      </c>
      <c r="M1042" s="261">
        <v>35</v>
      </c>
      <c r="N1042" s="261">
        <v>17</v>
      </c>
      <c r="O1042" s="261">
        <v>17</v>
      </c>
      <c r="P1042" s="261">
        <v>17</v>
      </c>
      <c r="Q1042" s="261">
        <v>17</v>
      </c>
      <c r="R1042" s="261"/>
      <c r="S1042" s="261"/>
      <c r="T1042" s="261"/>
      <c r="U1042" s="261"/>
      <c r="V1042" s="762"/>
      <c r="W1042" s="261"/>
      <c r="X1042" s="261"/>
      <c r="Y1042" s="264">
        <f>IF(NFI_Expiration=1,IF($A1042&lt;VLOOKUP(H$5,NFI,5,0),1,0)*Table_NFI[[#This Row],[Hygiene Kit]],Table_NFI[Hygiene Kit])</f>
        <v>0</v>
      </c>
      <c r="Z1042" s="264">
        <f>IF(NFI_Expiration=1,IF($A1042&lt;VLOOKUP(I$5,NFI,5,0),1,0)*Table_NFI[[#This Row],[NFI Core Kit]],Table_NFI[NFI Core Kit])</f>
        <v>0</v>
      </c>
      <c r="AA1042" s="264">
        <f>IF(NFI_Expiration=1,IF($A1042&lt;VLOOKUP(J$5,NFI,5,0),1,0)*Table_NFI[[#This Row],[Sanitary Kit]],Table_NFI[Sanitary Kit])</f>
        <v>0</v>
      </c>
      <c r="AB1042" s="264">
        <f>IF(NFI_Expiration=1,IF($A1042&lt;VLOOKUP(K$5,NFI,5,0),1,0)*Table_NFI[[#This Row],[Mosquito net]],Table_NFI[Mosquito net])</f>
        <v>0</v>
      </c>
      <c r="AC1042" s="264">
        <f>IF(NFI_Expiration=1,IF($A1042&lt;VLOOKUP(L$5,NFI,5,0),1,0)*Table_NFI[[#This Row],[Tarpaulin]],Table_NFI[[#This Row],[Tarpaulin]])</f>
        <v>0</v>
      </c>
      <c r="AD1042" s="264">
        <f>IF(NFI_Expiration=1,IF($A1042&lt;VLOOKUP(M$5,NFI,5,0),1,0)*Table_NFI[[#This Row],[Blanket]],Table_NFI[[#This Row],[Blanket]])</f>
        <v>0</v>
      </c>
      <c r="AE1042" s="264">
        <f>IF(NFI_Expiration=1,IF($A1042&lt;VLOOKUP(N$5,NFI,5,0),1,0)*Table_NFI[[#This Row],[Kitchen Set]],Table_NFI[Kitchen Set])</f>
        <v>0</v>
      </c>
      <c r="AF1042" s="264">
        <f>IF(NFI_Expiration=1,IF($A1042&lt;VLOOKUP(O$5,NFI,5,0),1,0)*Table_NFI[[#This Row],[Clothes Kit]],Table_NFI[Clothes Kit])</f>
        <v>0</v>
      </c>
      <c r="AG1042" s="264">
        <f>IF(NFI_Expiration=1,IF($A1042&lt;VLOOKUP(P$5,NFI,5,0),1,0)*Table_NFI[[#This Row],[Plastic Bucket]],Table_NFI[Plastic Bucket])</f>
        <v>0</v>
      </c>
      <c r="AH1042" s="264">
        <f>IF(NFI_Expiration=1,IF($A1042&lt;VLOOKUP(Q$5,NFI,5,0),1,0)*Table_NFI[[#This Row],[Plastic Mat]],Table_NFI[Plastic Mat])*IF(Table_NFI[[#This Row],[Distribution Date]]&gt;"2014-04-01",1,2.5)</f>
        <v>0</v>
      </c>
      <c r="AI1042" s="264">
        <f>IF(NFI_Expiration=1,IF($A1042&lt;VLOOKUP(R$5,NFI,5,0),1,0)*Table_NFI[[#This Row],[Winter Clothes Adult]],Table_NFI[Winter Clothes Adult])</f>
        <v>0</v>
      </c>
      <c r="AJ1042" s="264">
        <f>IF(NFI_Expiration=1,IF($A1042&lt;VLOOKUP(S$5,NFI,5,0),1,0)*Table_NFI[[#This Row],[Winter Clothes Children]],Table_NFI[Winter Clothes Children])</f>
        <v>0</v>
      </c>
      <c r="AK1042" s="264">
        <f>IF(NFI_Expiration=1,IF($A1042&lt;VLOOKUP(T$5,NFI,5,0),1,0)*Table_NFI[[#This Row],[Winter Items Other]],Table_NFI[Winter Items Other])</f>
        <v>0</v>
      </c>
      <c r="AL1042" s="264">
        <f>IF(NFI_Expiration=1,IF($A1042&lt;VLOOKUP(M$5,NFI,5,0),1,0)*Table_NFI[[#This Row],[Winter Blanket]],Table_NFI[[#This Row],[Winter Blanket]])</f>
        <v>0</v>
      </c>
      <c r="AM1042" s="264">
        <f>IF(Table_NFI[[#This Row],[Winter Clothes Adult]]+Table_NFI[[#This Row],[Winter Clothes Children]]+Table_NFI[[#This Row],[Winter Items Other]]+Table_NFI[[#This Row],[Winter Blanket]]&gt;0,1,0)</f>
        <v>0</v>
      </c>
      <c r="AN1042" s="296">
        <f>IF(NFI_Expiration=1,IF($A1042&lt;VLOOKUP(V$5,NFI,5,0),1,0)*Table_NFI[[#This Row],[Jerry Can]],Table_NFI[Jerry Can])</f>
        <v>0</v>
      </c>
      <c r="AO1042" s="296">
        <f>IF(NFI_Expiration=1,IF($A1042&lt;VLOOKUP(V$5,NFI,5,0),1,0)*Table_NFI[[#This Row],[Shelter Tool kit]],Table_NFI[Shelter Tool kit])</f>
        <v>0</v>
      </c>
      <c r="AP1042" s="296">
        <f>IF(NFI_Expiration=1,IF($A1042&lt;VLOOKUP(V$5,NFI,5,0),1,0)*Table_NFI[[#This Row],[Tent]],Table_NFI[Tent])</f>
        <v>0</v>
      </c>
      <c r="AQ1042" s="396" t="str">
        <f>IFERROR(VLOOKUP(Table_NFI[[#This Row],[Camp Name]],CL,2,0),"")</f>
        <v>MMR001CMP021</v>
      </c>
      <c r="AR1042" s="702">
        <f ca="1">IF(Table_NFI[[#This Row],[Pcode]]="","",IF(OFFSET(CampList[Opening Date],MATCH(Table_NFI[[#This Row],[Pcode]],CampList[CP_Pcode],0)-1,0,1,1)&gt;=NFI_Monitor_Date,1,0))</f>
        <v>0</v>
      </c>
      <c r="AS1042" s="396" t="str">
        <f>IFERROR(VLOOKUP(Table_NFI[[#This Row],[Camp Name]],CL,3,0),"")</f>
        <v>Open</v>
      </c>
      <c r="AT1042" s="264" t="str">
        <f ca="1">IF(Table_NFI[[#This Row],[Pcode]]="","",OFFSET(CampList[Priority],MATCH(Table_NFI[[#This Row],[Pcode]],CampList[CP_Pcode],0)-1,0,1,1))</f>
        <v>P4</v>
      </c>
      <c r="AU1042" s="263">
        <f>IFERROR(Table_NFI[[#This Row],[Kitchen Set]]/VLOOKUP(Table_NFI[[#This Row],[Camp Name]],CL,4,0),"")</f>
        <v>4.1649312786339027E-4</v>
      </c>
      <c r="AV1042" s="390" t="s">
        <v>1087</v>
      </c>
      <c r="AW1042" s="392"/>
      <c r="AX1042" s="399"/>
      <c r="AY1042" s="399"/>
      <c r="AZ1042" s="399"/>
      <c r="BA1042" s="399"/>
      <c r="BB1042" s="399"/>
      <c r="BC1042" s="399"/>
      <c r="BD1042" s="399"/>
      <c r="BE1042" s="399"/>
      <c r="BF1042" s="399"/>
      <c r="BG1042" s="399"/>
      <c r="BH1042" s="399"/>
      <c r="BI1042" s="399"/>
      <c r="BJ1042" s="399"/>
      <c r="BK1042" s="399"/>
      <c r="BL1042" s="399"/>
      <c r="BM1042" s="399"/>
      <c r="BN1042" s="399"/>
      <c r="BO1042" s="399"/>
      <c r="BP1042" s="399"/>
      <c r="BQ1042" s="399"/>
      <c r="BR1042" s="399"/>
      <c r="BS1042" s="399"/>
      <c r="BT1042" s="399"/>
      <c r="BU1042" s="399"/>
      <c r="BV1042" s="399"/>
      <c r="BW1042" s="399"/>
      <c r="BX1042" s="399"/>
      <c r="BY1042" s="399"/>
      <c r="BZ1042" s="399"/>
      <c r="CA1042" s="399"/>
      <c r="CB1042" s="399"/>
      <c r="CC1042" s="399"/>
      <c r="CD1042" s="399"/>
      <c r="CE1042" s="399"/>
      <c r="CF1042" s="399"/>
      <c r="CG1042" s="399"/>
      <c r="CH1042" s="399"/>
      <c r="CI1042" s="399"/>
      <c r="CJ1042" s="399"/>
      <c r="CK1042" s="399"/>
      <c r="CL1042" s="399"/>
      <c r="CM1042" s="399"/>
      <c r="CN1042" s="399"/>
      <c r="CO1042" s="399"/>
      <c r="CP1042" s="399"/>
      <c r="CQ1042" s="399"/>
      <c r="CR1042" s="399"/>
      <c r="CS1042" s="399"/>
      <c r="CT1042" s="399"/>
      <c r="CU1042" s="399"/>
      <c r="CV1042" s="399"/>
      <c r="CW1042" s="399"/>
      <c r="CX1042" s="399"/>
      <c r="CY1042" s="399"/>
      <c r="CZ1042" s="399"/>
      <c r="DA1042" s="399"/>
      <c r="DB1042" s="399"/>
      <c r="DC1042" s="399"/>
      <c r="DD1042" s="399"/>
      <c r="DE1042" s="399"/>
      <c r="DF1042" s="399"/>
      <c r="DG1042" s="399"/>
      <c r="DH1042" s="399"/>
      <c r="DI1042" s="399"/>
      <c r="DJ1042" s="399"/>
      <c r="DK1042" s="399"/>
      <c r="DL1042" s="399"/>
      <c r="DM1042" s="399"/>
      <c r="DN1042" s="399"/>
      <c r="DO1042" s="399"/>
      <c r="DP1042" s="399"/>
      <c r="DQ1042" s="399"/>
    </row>
    <row r="1043" spans="1:121" s="393" customFormat="1" ht="14.45" customHeight="1" x14ac:dyDescent="0.25">
      <c r="A1043" s="266">
        <f t="shared" si="16"/>
        <v>59.866666666666667</v>
      </c>
      <c r="B1043" s="389">
        <v>41060</v>
      </c>
      <c r="C1043" s="390" t="s">
        <v>451</v>
      </c>
      <c r="D1043" s="390" t="s">
        <v>459</v>
      </c>
      <c r="E1043" s="390" t="s">
        <v>380</v>
      </c>
      <c r="F1043" s="262" t="s">
        <v>5</v>
      </c>
      <c r="G1043" s="262" t="s">
        <v>22</v>
      </c>
      <c r="H1043" s="261"/>
      <c r="I1043" s="261"/>
      <c r="J1043" s="261"/>
      <c r="K1043" s="261">
        <v>0</v>
      </c>
      <c r="L1043" s="261">
        <v>20</v>
      </c>
      <c r="M1043" s="261">
        <v>0</v>
      </c>
      <c r="N1043" s="261">
        <v>0</v>
      </c>
      <c r="O1043" s="261">
        <v>0</v>
      </c>
      <c r="P1043" s="261"/>
      <c r="Q1043" s="261"/>
      <c r="R1043" s="261"/>
      <c r="S1043" s="261"/>
      <c r="T1043" s="261"/>
      <c r="U1043" s="261"/>
      <c r="V1043" s="762"/>
      <c r="W1043" s="261"/>
      <c r="X1043" s="261"/>
      <c r="Y1043" s="264">
        <f>IF(NFI_Expiration=1,IF($A1043&lt;VLOOKUP(H$5,NFI,5,0),1,0)*Table_NFI[[#This Row],[Hygiene Kit]],Table_NFI[Hygiene Kit])</f>
        <v>0</v>
      </c>
      <c r="Z1043" s="264">
        <f>IF(NFI_Expiration=1,IF($A1043&lt;VLOOKUP(I$5,NFI,5,0),1,0)*Table_NFI[[#This Row],[NFI Core Kit]],Table_NFI[NFI Core Kit])</f>
        <v>0</v>
      </c>
      <c r="AA1043" s="264">
        <f>IF(NFI_Expiration=1,IF($A1043&lt;VLOOKUP(J$5,NFI,5,0),1,0)*Table_NFI[[#This Row],[Sanitary Kit]],Table_NFI[Sanitary Kit])</f>
        <v>0</v>
      </c>
      <c r="AB1043" s="264">
        <f>IF(NFI_Expiration=1,IF($A1043&lt;VLOOKUP(K$5,NFI,5,0),1,0)*Table_NFI[[#This Row],[Mosquito net]],Table_NFI[Mosquito net])</f>
        <v>0</v>
      </c>
      <c r="AC1043" s="264">
        <f>IF(NFI_Expiration=1,IF($A1043&lt;VLOOKUP(L$5,NFI,5,0),1,0)*Table_NFI[[#This Row],[Tarpaulin]],Table_NFI[[#This Row],[Tarpaulin]])</f>
        <v>0</v>
      </c>
      <c r="AD1043" s="264">
        <f>IF(NFI_Expiration=1,IF($A1043&lt;VLOOKUP(M$5,NFI,5,0),1,0)*Table_NFI[[#This Row],[Blanket]],Table_NFI[[#This Row],[Blanket]])</f>
        <v>0</v>
      </c>
      <c r="AE1043" s="264">
        <f>IF(NFI_Expiration=1,IF($A1043&lt;VLOOKUP(N$5,NFI,5,0),1,0)*Table_NFI[[#This Row],[Kitchen Set]],Table_NFI[Kitchen Set])</f>
        <v>0</v>
      </c>
      <c r="AF1043" s="264">
        <f>IF(NFI_Expiration=1,IF($A1043&lt;VLOOKUP(O$5,NFI,5,0),1,0)*Table_NFI[[#This Row],[Clothes Kit]],Table_NFI[Clothes Kit])</f>
        <v>0</v>
      </c>
      <c r="AG1043" s="264">
        <f>IF(NFI_Expiration=1,IF($A1043&lt;VLOOKUP(P$5,NFI,5,0),1,0)*Table_NFI[[#This Row],[Plastic Bucket]],Table_NFI[Plastic Bucket])</f>
        <v>0</v>
      </c>
      <c r="AH1043" s="264">
        <f>IF(NFI_Expiration=1,IF($A1043&lt;VLOOKUP(Q$5,NFI,5,0),1,0)*Table_NFI[[#This Row],[Plastic Mat]],Table_NFI[Plastic Mat])*IF(Table_NFI[[#This Row],[Distribution Date]]&gt;"2014-04-01",1,2.5)</f>
        <v>0</v>
      </c>
      <c r="AI1043" s="264">
        <f>IF(NFI_Expiration=1,IF($A1043&lt;VLOOKUP(R$5,NFI,5,0),1,0)*Table_NFI[[#This Row],[Winter Clothes Adult]],Table_NFI[Winter Clothes Adult])</f>
        <v>0</v>
      </c>
      <c r="AJ1043" s="264">
        <f>IF(NFI_Expiration=1,IF($A1043&lt;VLOOKUP(S$5,NFI,5,0),1,0)*Table_NFI[[#This Row],[Winter Clothes Children]],Table_NFI[Winter Clothes Children])</f>
        <v>0</v>
      </c>
      <c r="AK1043" s="264">
        <f>IF(NFI_Expiration=1,IF($A1043&lt;VLOOKUP(T$5,NFI,5,0),1,0)*Table_NFI[[#This Row],[Winter Items Other]],Table_NFI[Winter Items Other])</f>
        <v>0</v>
      </c>
      <c r="AL1043" s="264">
        <f>IF(NFI_Expiration=1,IF($A1043&lt;VLOOKUP(M$5,NFI,5,0),1,0)*Table_NFI[[#This Row],[Winter Blanket]],Table_NFI[[#This Row],[Winter Blanket]])</f>
        <v>0</v>
      </c>
      <c r="AM1043" s="264">
        <f>IF(Table_NFI[[#This Row],[Winter Clothes Adult]]+Table_NFI[[#This Row],[Winter Clothes Children]]+Table_NFI[[#This Row],[Winter Items Other]]+Table_NFI[[#This Row],[Winter Blanket]]&gt;0,1,0)</f>
        <v>0</v>
      </c>
      <c r="AN1043" s="296">
        <f>IF(NFI_Expiration=1,IF($A1043&lt;VLOOKUP(V$5,NFI,5,0),1,0)*Table_NFI[[#This Row],[Jerry Can]],Table_NFI[Jerry Can])</f>
        <v>0</v>
      </c>
      <c r="AO1043" s="296">
        <f>IF(NFI_Expiration=1,IF($A1043&lt;VLOOKUP(V$5,NFI,5,0),1,0)*Table_NFI[[#This Row],[Shelter Tool kit]],Table_NFI[Shelter Tool kit])</f>
        <v>0</v>
      </c>
      <c r="AP1043" s="296">
        <f>IF(NFI_Expiration=1,IF($A1043&lt;VLOOKUP(V$5,NFI,5,0),1,0)*Table_NFI[[#This Row],[Tent]],Table_NFI[Tent])</f>
        <v>0</v>
      </c>
      <c r="AQ1043" s="396" t="str">
        <f>IFERROR(VLOOKUP(Table_NFI[[#This Row],[Camp Name]],CL,2,0),"")</f>
        <v>MMR001CMP047</v>
      </c>
      <c r="AR1043" s="702">
        <f ca="1">IF(Table_NFI[[#This Row],[Pcode]]="","",IF(OFFSET(CampList[Opening Date],MATCH(Table_NFI[[#This Row],[Pcode]],CampList[CP_Pcode],0)-1,0,1,1)&gt;=NFI_Monitor_Date,1,0))</f>
        <v>0</v>
      </c>
      <c r="AS1043" s="396" t="str">
        <f>IFERROR(VLOOKUP(Table_NFI[[#This Row],[Camp Name]],CL,3,0),"")</f>
        <v>Open</v>
      </c>
      <c r="AT1043" s="264" t="str">
        <f ca="1">IF(Table_NFI[[#This Row],[Pcode]]="","",OFFSET(CampList[Priority],MATCH(Table_NFI[[#This Row],[Pcode]],CampList[CP_Pcode],0)-1,0,1,1))</f>
        <v>P4</v>
      </c>
      <c r="AU1043" s="263">
        <f>IFERROR(Table_NFI[[#This Row],[Kitchen Set]]/VLOOKUP(Table_NFI[[#This Row],[Camp Name]],CL,4,0),"")</f>
        <v>0</v>
      </c>
      <c r="AV1043" s="390" t="s">
        <v>1087</v>
      </c>
      <c r="AW1043" s="392"/>
      <c r="AX1043" s="399"/>
      <c r="AY1043" s="399"/>
      <c r="AZ1043" s="399"/>
      <c r="BA1043" s="399"/>
      <c r="BB1043" s="399"/>
      <c r="BC1043" s="399"/>
      <c r="BD1043" s="399"/>
      <c r="BE1043" s="399"/>
      <c r="BF1043" s="399"/>
      <c r="BG1043" s="399"/>
      <c r="BH1043" s="399"/>
      <c r="BI1043" s="399"/>
      <c r="BJ1043" s="399"/>
      <c r="BK1043" s="399"/>
      <c r="BL1043" s="399"/>
      <c r="BM1043" s="399"/>
      <c r="BN1043" s="399"/>
      <c r="BO1043" s="399"/>
      <c r="BP1043" s="399"/>
      <c r="BQ1043" s="399"/>
      <c r="BR1043" s="399"/>
      <c r="BS1043" s="399"/>
      <c r="BT1043" s="399"/>
      <c r="BU1043" s="399"/>
      <c r="BV1043" s="399"/>
      <c r="BW1043" s="399"/>
      <c r="BX1043" s="399"/>
      <c r="BY1043" s="399"/>
      <c r="BZ1043" s="399"/>
      <c r="CA1043" s="399"/>
      <c r="CB1043" s="399"/>
      <c r="CC1043" s="399"/>
      <c r="CD1043" s="399"/>
      <c r="CE1043" s="399"/>
      <c r="CF1043" s="399"/>
      <c r="CG1043" s="399"/>
      <c r="CH1043" s="399"/>
      <c r="CI1043" s="399"/>
      <c r="CJ1043" s="399"/>
      <c r="CK1043" s="399"/>
      <c r="CL1043" s="399"/>
      <c r="CM1043" s="399"/>
      <c r="CN1043" s="399"/>
      <c r="CO1043" s="399"/>
      <c r="CP1043" s="399"/>
      <c r="CQ1043" s="399"/>
      <c r="CR1043" s="399"/>
      <c r="CS1043" s="399"/>
      <c r="CT1043" s="399"/>
      <c r="CU1043" s="399"/>
      <c r="CV1043" s="399"/>
      <c r="CW1043" s="399"/>
      <c r="CX1043" s="399"/>
      <c r="CY1043" s="399"/>
      <c r="CZ1043" s="399"/>
      <c r="DA1043" s="399"/>
      <c r="DB1043" s="399"/>
      <c r="DC1043" s="399"/>
      <c r="DD1043" s="399"/>
      <c r="DE1043" s="399"/>
      <c r="DF1043" s="399"/>
      <c r="DG1043" s="399"/>
      <c r="DH1043" s="399"/>
      <c r="DI1043" s="399"/>
      <c r="DJ1043" s="399"/>
      <c r="DK1043" s="399"/>
      <c r="DL1043" s="399"/>
      <c r="DM1043" s="399"/>
      <c r="DN1043" s="399"/>
      <c r="DO1043" s="399"/>
      <c r="DP1043" s="399"/>
      <c r="DQ1043" s="399"/>
    </row>
    <row r="1044" spans="1:121" s="760" customFormat="1" ht="14.45" customHeight="1" x14ac:dyDescent="0.25">
      <c r="A1044" s="266">
        <f t="shared" si="16"/>
        <v>59.966666666666669</v>
      </c>
      <c r="B1044" s="389">
        <v>41057</v>
      </c>
      <c r="C1044" s="390" t="s">
        <v>451</v>
      </c>
      <c r="D1044" s="390" t="s">
        <v>451</v>
      </c>
      <c r="E1044" s="390" t="s">
        <v>380</v>
      </c>
      <c r="F1044" s="262" t="s">
        <v>310</v>
      </c>
      <c r="G1044" s="262" t="s">
        <v>338</v>
      </c>
      <c r="H1044" s="261"/>
      <c r="I1044" s="261"/>
      <c r="J1044" s="261"/>
      <c r="K1044" s="261">
        <v>0</v>
      </c>
      <c r="L1044" s="261">
        <v>11</v>
      </c>
      <c r="M1044" s="261">
        <v>0</v>
      </c>
      <c r="N1044" s="261">
        <v>0</v>
      </c>
      <c r="O1044" s="261">
        <v>0</v>
      </c>
      <c r="P1044" s="261"/>
      <c r="Q1044" s="261"/>
      <c r="R1044" s="261"/>
      <c r="S1044" s="261"/>
      <c r="T1044" s="261"/>
      <c r="U1044" s="261"/>
      <c r="V1044" s="762"/>
      <c r="W1044" s="261"/>
      <c r="X1044" s="261"/>
      <c r="Y1044" s="264">
        <f>IF(NFI_Expiration=1,IF($A1044&lt;VLOOKUP(H$5,NFI,5,0),1,0)*Table_NFI[[#This Row],[Hygiene Kit]],Table_NFI[Hygiene Kit])</f>
        <v>0</v>
      </c>
      <c r="Z1044" s="264">
        <f>IF(NFI_Expiration=1,IF($A1044&lt;VLOOKUP(I$5,NFI,5,0),1,0)*Table_NFI[[#This Row],[NFI Core Kit]],Table_NFI[NFI Core Kit])</f>
        <v>0</v>
      </c>
      <c r="AA1044" s="264">
        <f>IF(NFI_Expiration=1,IF($A1044&lt;VLOOKUP(J$5,NFI,5,0),1,0)*Table_NFI[[#This Row],[Sanitary Kit]],Table_NFI[Sanitary Kit])</f>
        <v>0</v>
      </c>
      <c r="AB1044" s="264">
        <f>IF(NFI_Expiration=1,IF($A1044&lt;VLOOKUP(K$5,NFI,5,0),1,0)*Table_NFI[[#This Row],[Mosquito net]],Table_NFI[Mosquito net])</f>
        <v>0</v>
      </c>
      <c r="AC1044" s="264">
        <f>IF(NFI_Expiration=1,IF($A1044&lt;VLOOKUP(L$5,NFI,5,0),1,0)*Table_NFI[[#This Row],[Tarpaulin]],Table_NFI[[#This Row],[Tarpaulin]])</f>
        <v>0</v>
      </c>
      <c r="AD1044" s="264">
        <f>IF(NFI_Expiration=1,IF($A1044&lt;VLOOKUP(M$5,NFI,5,0),1,0)*Table_NFI[[#This Row],[Blanket]],Table_NFI[[#This Row],[Blanket]])</f>
        <v>0</v>
      </c>
      <c r="AE1044" s="264">
        <f>IF(NFI_Expiration=1,IF($A1044&lt;VLOOKUP(N$5,NFI,5,0),1,0)*Table_NFI[[#This Row],[Kitchen Set]],Table_NFI[Kitchen Set])</f>
        <v>0</v>
      </c>
      <c r="AF1044" s="264">
        <f>IF(NFI_Expiration=1,IF($A1044&lt;VLOOKUP(O$5,NFI,5,0),1,0)*Table_NFI[[#This Row],[Clothes Kit]],Table_NFI[Clothes Kit])</f>
        <v>0</v>
      </c>
      <c r="AG1044" s="264">
        <f>IF(NFI_Expiration=1,IF($A1044&lt;VLOOKUP(P$5,NFI,5,0),1,0)*Table_NFI[[#This Row],[Plastic Bucket]],Table_NFI[Plastic Bucket])</f>
        <v>0</v>
      </c>
      <c r="AH1044" s="264">
        <f>IF(NFI_Expiration=1,IF($A1044&lt;VLOOKUP(Q$5,NFI,5,0),1,0)*Table_NFI[[#This Row],[Plastic Mat]],Table_NFI[Plastic Mat])*IF(Table_NFI[[#This Row],[Distribution Date]]&gt;"2014-04-01",1,2.5)</f>
        <v>0</v>
      </c>
      <c r="AI1044" s="264">
        <f>IF(NFI_Expiration=1,IF($A1044&lt;VLOOKUP(R$5,NFI,5,0),1,0)*Table_NFI[[#This Row],[Winter Clothes Adult]],Table_NFI[Winter Clothes Adult])</f>
        <v>0</v>
      </c>
      <c r="AJ1044" s="264">
        <f>IF(NFI_Expiration=1,IF($A1044&lt;VLOOKUP(S$5,NFI,5,0),1,0)*Table_NFI[[#This Row],[Winter Clothes Children]],Table_NFI[Winter Clothes Children])</f>
        <v>0</v>
      </c>
      <c r="AK1044" s="264">
        <f>IF(NFI_Expiration=1,IF($A1044&lt;VLOOKUP(T$5,NFI,5,0),1,0)*Table_NFI[[#This Row],[Winter Items Other]],Table_NFI[Winter Items Other])</f>
        <v>0</v>
      </c>
      <c r="AL1044" s="264">
        <f>IF(NFI_Expiration=1,IF($A1044&lt;VLOOKUP(M$5,NFI,5,0),1,0)*Table_NFI[[#This Row],[Winter Blanket]],Table_NFI[[#This Row],[Winter Blanket]])</f>
        <v>0</v>
      </c>
      <c r="AM1044" s="264">
        <f>IF(Table_NFI[[#This Row],[Winter Clothes Adult]]+Table_NFI[[#This Row],[Winter Clothes Children]]+Table_NFI[[#This Row],[Winter Items Other]]+Table_NFI[[#This Row],[Winter Blanket]]&gt;0,1,0)</f>
        <v>0</v>
      </c>
      <c r="AN1044" s="296">
        <f>IF(NFI_Expiration=1,IF($A1044&lt;VLOOKUP(V$5,NFI,5,0),1,0)*Table_NFI[[#This Row],[Jerry Can]],Table_NFI[Jerry Can])</f>
        <v>0</v>
      </c>
      <c r="AO1044" s="296">
        <f>IF(NFI_Expiration=1,IF($A1044&lt;VLOOKUP(V$5,NFI,5,0),1,0)*Table_NFI[[#This Row],[Shelter Tool kit]],Table_NFI[Shelter Tool kit])</f>
        <v>0</v>
      </c>
      <c r="AP1044" s="296">
        <f>IF(NFI_Expiration=1,IF($A1044&lt;VLOOKUP(V$5,NFI,5,0),1,0)*Table_NFI[[#This Row],[Tent]],Table_NFI[Tent])</f>
        <v>0</v>
      </c>
      <c r="AQ1044" s="396" t="str">
        <f>IFERROR(VLOOKUP(Table_NFI[[#This Row],[Camp Name]],CL,2,0),"")</f>
        <v>MMR001CMP030</v>
      </c>
      <c r="AR1044" s="702">
        <f ca="1">IF(Table_NFI[[#This Row],[Pcode]]="","",IF(OFFSET(CampList[Opening Date],MATCH(Table_NFI[[#This Row],[Pcode]],CampList[CP_Pcode],0)-1,0,1,1)&gt;=NFI_Monitor_Date,1,0))</f>
        <v>0</v>
      </c>
      <c r="AS1044" s="396" t="str">
        <f>IFERROR(VLOOKUP(Table_NFI[[#This Row],[Camp Name]],CL,3,0),"")</f>
        <v>Open</v>
      </c>
      <c r="AT1044" s="264" t="str">
        <f ca="1">IF(Table_NFI[[#This Row],[Pcode]]="","",OFFSET(CampList[Priority],MATCH(Table_NFI[[#This Row],[Pcode]],CampList[CP_Pcode],0)-1,0,1,1))</f>
        <v>P4</v>
      </c>
      <c r="AU1044" s="263">
        <f>IFERROR(Table_NFI[[#This Row],[Kitchen Set]]/VLOOKUP(Table_NFI[[#This Row],[Camp Name]],CL,4,0),"")</f>
        <v>0</v>
      </c>
      <c r="AV1044" s="390" t="s">
        <v>1087</v>
      </c>
      <c r="AW1044" s="392"/>
      <c r="AX1044" s="399"/>
      <c r="AY1044" s="399"/>
      <c r="AZ1044" s="399"/>
      <c r="BA1044" s="399"/>
      <c r="BB1044" s="399"/>
      <c r="BC1044" s="399"/>
      <c r="BD1044" s="399"/>
      <c r="BE1044" s="399"/>
      <c r="BF1044" s="399"/>
      <c r="BG1044" s="399"/>
      <c r="BH1044" s="399"/>
      <c r="BI1044" s="399"/>
      <c r="BJ1044" s="399"/>
      <c r="BK1044" s="399"/>
      <c r="BL1044" s="399"/>
      <c r="BM1044" s="399"/>
      <c r="BN1044" s="399"/>
      <c r="BO1044" s="399"/>
      <c r="BP1044" s="399"/>
      <c r="BQ1044" s="399"/>
      <c r="BR1044" s="399"/>
      <c r="BS1044" s="399"/>
      <c r="BT1044" s="399"/>
      <c r="BU1044" s="399"/>
      <c r="BV1044" s="399"/>
      <c r="BW1044" s="399"/>
      <c r="BX1044" s="399"/>
      <c r="BY1044" s="399"/>
      <c r="BZ1044" s="399"/>
      <c r="CA1044" s="399"/>
      <c r="CB1044" s="399"/>
      <c r="CC1044" s="399"/>
      <c r="CD1044" s="399"/>
      <c r="CE1044" s="399"/>
      <c r="CF1044" s="399"/>
      <c r="CG1044" s="399"/>
      <c r="CH1044" s="399"/>
      <c r="CI1044" s="399"/>
      <c r="CJ1044" s="399"/>
      <c r="CK1044" s="399"/>
      <c r="CL1044" s="399"/>
      <c r="CM1044" s="399"/>
      <c r="CN1044" s="399"/>
      <c r="CO1044" s="399"/>
      <c r="CP1044" s="399"/>
      <c r="CQ1044" s="399"/>
      <c r="CR1044" s="399"/>
      <c r="CS1044" s="399"/>
      <c r="CT1044" s="399"/>
      <c r="CU1044" s="399"/>
      <c r="CV1044" s="399"/>
      <c r="CW1044" s="399"/>
      <c r="CX1044" s="399"/>
      <c r="CY1044" s="399"/>
      <c r="CZ1044" s="399"/>
      <c r="DA1044" s="399"/>
      <c r="DB1044" s="399"/>
      <c r="DC1044" s="399"/>
      <c r="DD1044" s="399"/>
      <c r="DE1044" s="399"/>
      <c r="DF1044" s="399"/>
      <c r="DG1044" s="399"/>
      <c r="DH1044" s="399"/>
      <c r="DI1044" s="399"/>
      <c r="DJ1044" s="399"/>
      <c r="DK1044" s="399"/>
      <c r="DL1044" s="399"/>
      <c r="DM1044" s="399"/>
      <c r="DN1044" s="399"/>
      <c r="DO1044" s="399"/>
      <c r="DP1044" s="399"/>
      <c r="DQ1044" s="399"/>
    </row>
    <row r="1045" spans="1:121" s="760" customFormat="1" ht="15" customHeight="1" x14ac:dyDescent="0.25">
      <c r="A1045" s="266">
        <f t="shared" si="16"/>
        <v>60.033333333333331</v>
      </c>
      <c r="B1045" s="389">
        <v>41055</v>
      </c>
      <c r="C1045" s="390" t="s">
        <v>451</v>
      </c>
      <c r="D1045" s="391" t="s">
        <v>459</v>
      </c>
      <c r="E1045" s="390" t="s">
        <v>380</v>
      </c>
      <c r="F1045" s="262" t="s">
        <v>302</v>
      </c>
      <c r="G1045" s="262" t="s">
        <v>304</v>
      </c>
      <c r="H1045" s="261"/>
      <c r="I1045" s="261"/>
      <c r="J1045" s="261"/>
      <c r="K1045" s="261">
        <v>200</v>
      </c>
      <c r="L1045" s="261">
        <v>200</v>
      </c>
      <c r="M1045" s="261">
        <v>0</v>
      </c>
      <c r="N1045" s="261">
        <v>0</v>
      </c>
      <c r="O1045" s="261">
        <v>0</v>
      </c>
      <c r="P1045" s="261"/>
      <c r="Q1045" s="261"/>
      <c r="R1045" s="261"/>
      <c r="S1045" s="261"/>
      <c r="T1045" s="261"/>
      <c r="U1045" s="261"/>
      <c r="V1045" s="762"/>
      <c r="W1045" s="261"/>
      <c r="X1045" s="261"/>
      <c r="Y1045" s="264">
        <f>IF(NFI_Expiration=1,IF($A1045&lt;VLOOKUP(H$5,NFI,5,0),1,0)*Table_NFI[[#This Row],[Hygiene Kit]],Table_NFI[Hygiene Kit])</f>
        <v>0</v>
      </c>
      <c r="Z1045" s="264">
        <f>IF(NFI_Expiration=1,IF($A1045&lt;VLOOKUP(I$5,NFI,5,0),1,0)*Table_NFI[[#This Row],[NFI Core Kit]],Table_NFI[NFI Core Kit])</f>
        <v>0</v>
      </c>
      <c r="AA1045" s="264">
        <f>IF(NFI_Expiration=1,IF($A1045&lt;VLOOKUP(J$5,NFI,5,0),1,0)*Table_NFI[[#This Row],[Sanitary Kit]],Table_NFI[Sanitary Kit])</f>
        <v>0</v>
      </c>
      <c r="AB1045" s="264">
        <f>IF(NFI_Expiration=1,IF($A1045&lt;VLOOKUP(K$5,NFI,5,0),1,0)*Table_NFI[[#This Row],[Mosquito net]],Table_NFI[Mosquito net])</f>
        <v>0</v>
      </c>
      <c r="AC1045" s="264">
        <f>IF(NFI_Expiration=1,IF($A1045&lt;VLOOKUP(L$5,NFI,5,0),1,0)*Table_NFI[[#This Row],[Tarpaulin]],Table_NFI[[#This Row],[Tarpaulin]])</f>
        <v>0</v>
      </c>
      <c r="AD1045" s="264">
        <f>IF(NFI_Expiration=1,IF($A1045&lt;VLOOKUP(M$5,NFI,5,0),1,0)*Table_NFI[[#This Row],[Blanket]],Table_NFI[[#This Row],[Blanket]])</f>
        <v>0</v>
      </c>
      <c r="AE1045" s="264">
        <f>IF(NFI_Expiration=1,IF($A1045&lt;VLOOKUP(N$5,NFI,5,0),1,0)*Table_NFI[[#This Row],[Kitchen Set]],Table_NFI[Kitchen Set])</f>
        <v>0</v>
      </c>
      <c r="AF1045" s="264">
        <f>IF(NFI_Expiration=1,IF($A1045&lt;VLOOKUP(O$5,NFI,5,0),1,0)*Table_NFI[[#This Row],[Clothes Kit]],Table_NFI[Clothes Kit])</f>
        <v>0</v>
      </c>
      <c r="AG1045" s="264">
        <f>IF(NFI_Expiration=1,IF($A1045&lt;VLOOKUP(P$5,NFI,5,0),1,0)*Table_NFI[[#This Row],[Plastic Bucket]],Table_NFI[Plastic Bucket])</f>
        <v>0</v>
      </c>
      <c r="AH1045" s="264">
        <f>IF(NFI_Expiration=1,IF($A1045&lt;VLOOKUP(Q$5,NFI,5,0),1,0)*Table_NFI[[#This Row],[Plastic Mat]],Table_NFI[Plastic Mat])*IF(Table_NFI[[#This Row],[Distribution Date]]&gt;"2014-04-01",1,2.5)</f>
        <v>0</v>
      </c>
      <c r="AI1045" s="264">
        <f>IF(NFI_Expiration=1,IF($A1045&lt;VLOOKUP(R$5,NFI,5,0),1,0)*Table_NFI[[#This Row],[Winter Clothes Adult]],Table_NFI[Winter Clothes Adult])</f>
        <v>0</v>
      </c>
      <c r="AJ1045" s="264">
        <f>IF(NFI_Expiration=1,IF($A1045&lt;VLOOKUP(S$5,NFI,5,0),1,0)*Table_NFI[[#This Row],[Winter Clothes Children]],Table_NFI[Winter Clothes Children])</f>
        <v>0</v>
      </c>
      <c r="AK1045" s="264">
        <f>IF(NFI_Expiration=1,IF($A1045&lt;VLOOKUP(T$5,NFI,5,0),1,0)*Table_NFI[[#This Row],[Winter Items Other]],Table_NFI[Winter Items Other])</f>
        <v>0</v>
      </c>
      <c r="AL1045" s="264">
        <f>IF(NFI_Expiration=1,IF($A1045&lt;VLOOKUP(M$5,NFI,5,0),1,0)*Table_NFI[[#This Row],[Winter Blanket]],Table_NFI[[#This Row],[Winter Blanket]])</f>
        <v>0</v>
      </c>
      <c r="AM1045" s="264">
        <f>IF(Table_NFI[[#This Row],[Winter Clothes Adult]]+Table_NFI[[#This Row],[Winter Clothes Children]]+Table_NFI[[#This Row],[Winter Items Other]]+Table_NFI[[#This Row],[Winter Blanket]]&gt;0,1,0)</f>
        <v>0</v>
      </c>
      <c r="AN1045" s="296">
        <f>IF(NFI_Expiration=1,IF($A1045&lt;VLOOKUP(V$5,NFI,5,0),1,0)*Table_NFI[[#This Row],[Jerry Can]],Table_NFI[Jerry Can])</f>
        <v>0</v>
      </c>
      <c r="AO1045" s="296">
        <f>IF(NFI_Expiration=1,IF($A1045&lt;VLOOKUP(V$5,NFI,5,0),1,0)*Table_NFI[[#This Row],[Shelter Tool kit]],Table_NFI[Shelter Tool kit])</f>
        <v>0</v>
      </c>
      <c r="AP1045" s="296">
        <f>IF(NFI_Expiration=1,IF($A1045&lt;VLOOKUP(V$5,NFI,5,0),1,0)*Table_NFI[[#This Row],[Tent]],Table_NFI[Tent])</f>
        <v>0</v>
      </c>
      <c r="AQ1045" s="396" t="str">
        <f>IFERROR(VLOOKUP(Table_NFI[[#This Row],[Camp Name]],CL,2,0),"")</f>
        <v>MMR001CMP147</v>
      </c>
      <c r="AR1045" s="702">
        <f ca="1">IF(Table_NFI[[#This Row],[Pcode]]="","",IF(OFFSET(CampList[Opening Date],MATCH(Table_NFI[[#This Row],[Pcode]],CampList[CP_Pcode],0)-1,0,1,1)&gt;=NFI_Monitor_Date,1,0))</f>
        <v>1</v>
      </c>
      <c r="AS1045" s="396" t="str">
        <f>IFERROR(VLOOKUP(Table_NFI[[#This Row],[Camp Name]],CL,3,0),"")</f>
        <v>Open</v>
      </c>
      <c r="AT1045" s="264" t="str">
        <f ca="1">IF(Table_NFI[[#This Row],[Pcode]]="","",OFFSET(CampList[Priority],MATCH(Table_NFI[[#This Row],[Pcode]],CampList[CP_Pcode],0)-1,0,1,1))</f>
        <v>P4</v>
      </c>
      <c r="AU1045" s="263">
        <f>IFERROR(Table_NFI[[#This Row],[Kitchen Set]]/VLOOKUP(Table_NFI[[#This Row],[Camp Name]],CL,4,0),"")</f>
        <v>0</v>
      </c>
      <c r="AV1045" s="390" t="s">
        <v>1087</v>
      </c>
      <c r="AW1045" s="392"/>
      <c r="AX1045" s="399"/>
      <c r="AY1045" s="399"/>
      <c r="AZ1045" s="399"/>
      <c r="BA1045" s="399"/>
      <c r="BB1045" s="399"/>
      <c r="BC1045" s="399"/>
      <c r="BD1045" s="399"/>
      <c r="BE1045" s="399"/>
      <c r="BF1045" s="399"/>
      <c r="BG1045" s="399"/>
      <c r="BH1045" s="399"/>
      <c r="BI1045" s="399"/>
      <c r="BJ1045" s="399"/>
      <c r="BK1045" s="399"/>
      <c r="BL1045" s="399"/>
      <c r="BM1045" s="399"/>
      <c r="BN1045" s="399"/>
      <c r="BO1045" s="399"/>
      <c r="BP1045" s="399"/>
      <c r="BQ1045" s="399"/>
      <c r="BR1045" s="399"/>
      <c r="BS1045" s="399"/>
      <c r="BT1045" s="399"/>
      <c r="BU1045" s="399"/>
      <c r="BV1045" s="399"/>
      <c r="BW1045" s="399"/>
      <c r="BX1045" s="399"/>
      <c r="BY1045" s="399"/>
      <c r="BZ1045" s="399"/>
      <c r="CA1045" s="399"/>
      <c r="CB1045" s="399"/>
      <c r="CC1045" s="399"/>
      <c r="CD1045" s="399"/>
      <c r="CE1045" s="399"/>
      <c r="CF1045" s="399"/>
      <c r="CG1045" s="399"/>
      <c r="CH1045" s="399"/>
      <c r="CI1045" s="399"/>
      <c r="CJ1045" s="399"/>
      <c r="CK1045" s="399"/>
      <c r="CL1045" s="399"/>
      <c r="CM1045" s="399"/>
      <c r="CN1045" s="399"/>
      <c r="CO1045" s="399"/>
      <c r="CP1045" s="399"/>
      <c r="CQ1045" s="399"/>
      <c r="CR1045" s="399"/>
      <c r="CS1045" s="399"/>
      <c r="CT1045" s="399"/>
      <c r="CU1045" s="399"/>
      <c r="CV1045" s="399"/>
      <c r="CW1045" s="399"/>
      <c r="CX1045" s="399"/>
      <c r="CY1045" s="399"/>
      <c r="CZ1045" s="399"/>
      <c r="DA1045" s="399"/>
      <c r="DB1045" s="399"/>
      <c r="DC1045" s="399"/>
      <c r="DD1045" s="399"/>
      <c r="DE1045" s="399"/>
      <c r="DF1045" s="399"/>
      <c r="DG1045" s="399"/>
      <c r="DH1045" s="399"/>
      <c r="DI1045" s="399"/>
      <c r="DJ1045" s="399"/>
      <c r="DK1045" s="399"/>
      <c r="DL1045" s="399"/>
      <c r="DM1045" s="399"/>
      <c r="DN1045" s="399"/>
      <c r="DO1045" s="399"/>
      <c r="DP1045" s="399"/>
      <c r="DQ1045" s="399"/>
    </row>
    <row r="1046" spans="1:121" s="760" customFormat="1" ht="14.45" customHeight="1" x14ac:dyDescent="0.25">
      <c r="A1046" s="266">
        <f t="shared" si="16"/>
        <v>60.06666666666667</v>
      </c>
      <c r="B1046" s="389">
        <v>41054</v>
      </c>
      <c r="C1046" s="390" t="s">
        <v>451</v>
      </c>
      <c r="D1046" s="391" t="s">
        <v>451</v>
      </c>
      <c r="E1046" s="390" t="s">
        <v>380</v>
      </c>
      <c r="F1046" s="262" t="s">
        <v>237</v>
      </c>
      <c r="G1046" s="262" t="s">
        <v>281</v>
      </c>
      <c r="H1046" s="261"/>
      <c r="I1046" s="261"/>
      <c r="J1046" s="261"/>
      <c r="K1046" s="261">
        <v>0</v>
      </c>
      <c r="L1046" s="261">
        <v>25</v>
      </c>
      <c r="M1046" s="261">
        <v>0</v>
      </c>
      <c r="N1046" s="261">
        <v>0</v>
      </c>
      <c r="O1046" s="261">
        <v>0</v>
      </c>
      <c r="P1046" s="261"/>
      <c r="Q1046" s="261"/>
      <c r="R1046" s="261"/>
      <c r="S1046" s="261"/>
      <c r="T1046" s="261"/>
      <c r="U1046" s="261"/>
      <c r="V1046" s="762"/>
      <c r="W1046" s="762"/>
      <c r="X1046" s="762"/>
      <c r="Y1046" s="264">
        <f>IF(NFI_Expiration=1,IF($A1046&lt;VLOOKUP(H$5,NFI,5,0),1,0)*Table_NFI[[#This Row],[Hygiene Kit]],Table_NFI[Hygiene Kit])</f>
        <v>0</v>
      </c>
      <c r="Z1046" s="264">
        <f>IF(NFI_Expiration=1,IF($A1046&lt;VLOOKUP(I$5,NFI,5,0),1,0)*Table_NFI[[#This Row],[NFI Core Kit]],Table_NFI[NFI Core Kit])</f>
        <v>0</v>
      </c>
      <c r="AA1046" s="264">
        <f>IF(NFI_Expiration=1,IF($A1046&lt;VLOOKUP(J$5,NFI,5,0),1,0)*Table_NFI[[#This Row],[Sanitary Kit]],Table_NFI[Sanitary Kit])</f>
        <v>0</v>
      </c>
      <c r="AB1046" s="264">
        <f>IF(NFI_Expiration=1,IF($A1046&lt;VLOOKUP(K$5,NFI,5,0),1,0)*Table_NFI[[#This Row],[Mosquito net]],Table_NFI[Mosquito net])</f>
        <v>0</v>
      </c>
      <c r="AC1046" s="264">
        <f>IF(NFI_Expiration=1,IF($A1046&lt;VLOOKUP(L$5,NFI,5,0),1,0)*Table_NFI[[#This Row],[Tarpaulin]],Table_NFI[[#This Row],[Tarpaulin]])</f>
        <v>0</v>
      </c>
      <c r="AD1046" s="264">
        <f>IF(NFI_Expiration=1,IF($A1046&lt;VLOOKUP(M$5,NFI,5,0),1,0)*Table_NFI[[#This Row],[Blanket]],Table_NFI[[#This Row],[Blanket]])</f>
        <v>0</v>
      </c>
      <c r="AE1046" s="264">
        <f>IF(NFI_Expiration=1,IF($A1046&lt;VLOOKUP(N$5,NFI,5,0),1,0)*Table_NFI[[#This Row],[Kitchen Set]],Table_NFI[Kitchen Set])</f>
        <v>0</v>
      </c>
      <c r="AF1046" s="264">
        <f>IF(NFI_Expiration=1,IF($A1046&lt;VLOOKUP(O$5,NFI,5,0),1,0)*Table_NFI[[#This Row],[Clothes Kit]],Table_NFI[Clothes Kit])</f>
        <v>0</v>
      </c>
      <c r="AG1046" s="264">
        <f>IF(NFI_Expiration=1,IF($A1046&lt;VLOOKUP(P$5,NFI,5,0),1,0)*Table_NFI[[#This Row],[Plastic Bucket]],Table_NFI[Plastic Bucket])</f>
        <v>0</v>
      </c>
      <c r="AH1046" s="264">
        <f>IF(NFI_Expiration=1,IF($A1046&lt;VLOOKUP(Q$5,NFI,5,0),1,0)*Table_NFI[[#This Row],[Plastic Mat]],Table_NFI[Plastic Mat])*IF(Table_NFI[[#This Row],[Distribution Date]]&gt;"2014-04-01",1,2.5)</f>
        <v>0</v>
      </c>
      <c r="AI1046" s="264">
        <f>IF(NFI_Expiration=1,IF($A1046&lt;VLOOKUP(R$5,NFI,5,0),1,0)*Table_NFI[[#This Row],[Winter Clothes Adult]],Table_NFI[Winter Clothes Adult])</f>
        <v>0</v>
      </c>
      <c r="AJ1046" s="264">
        <f>IF(NFI_Expiration=1,IF($A1046&lt;VLOOKUP(S$5,NFI,5,0),1,0)*Table_NFI[[#This Row],[Winter Clothes Children]],Table_NFI[Winter Clothes Children])</f>
        <v>0</v>
      </c>
      <c r="AK1046" s="264">
        <f>IF(NFI_Expiration=1,IF($A1046&lt;VLOOKUP(T$5,NFI,5,0),1,0)*Table_NFI[[#This Row],[Winter Items Other]],Table_NFI[Winter Items Other])</f>
        <v>0</v>
      </c>
      <c r="AL1046" s="264">
        <f>IF(NFI_Expiration=1,IF($A1046&lt;VLOOKUP(M$5,NFI,5,0),1,0)*Table_NFI[[#This Row],[Winter Blanket]],Table_NFI[[#This Row],[Winter Blanket]])</f>
        <v>0</v>
      </c>
      <c r="AM1046" s="264">
        <f>IF(Table_NFI[[#This Row],[Winter Clothes Adult]]+Table_NFI[[#This Row],[Winter Clothes Children]]+Table_NFI[[#This Row],[Winter Items Other]]+Table_NFI[[#This Row],[Winter Blanket]]&gt;0,1,0)</f>
        <v>0</v>
      </c>
      <c r="AN1046" s="296">
        <f>IF(NFI_Expiration=1,IF($A1046&lt;VLOOKUP(V$5,NFI,5,0),1,0)*Table_NFI[[#This Row],[Jerry Can]],Table_NFI[Jerry Can])</f>
        <v>0</v>
      </c>
      <c r="AO1046" s="296">
        <f>IF(NFI_Expiration=1,IF($A1046&lt;VLOOKUP(V$5,NFI,5,0),1,0)*Table_NFI[[#This Row],[Shelter Tool kit]],Table_NFI[Shelter Tool kit])</f>
        <v>0</v>
      </c>
      <c r="AP1046" s="296">
        <f>IF(NFI_Expiration=1,IF($A1046&lt;VLOOKUP(V$5,NFI,5,0),1,0)*Table_NFI[[#This Row],[Tent]],Table_NFI[Tent])</f>
        <v>0</v>
      </c>
      <c r="AQ1046" s="396" t="str">
        <f>IFERROR(VLOOKUP(Table_NFI[[#This Row],[Camp Name]],CL,2,0),"")</f>
        <v>MMR001CMP009</v>
      </c>
      <c r="AR1046" s="702">
        <f ca="1">IF(Table_NFI[[#This Row],[Pcode]]="","",IF(OFFSET(CampList[Opening Date],MATCH(Table_NFI[[#This Row],[Pcode]],CampList[CP_Pcode],0)-1,0,1,1)&gt;=NFI_Monitor_Date,1,0))</f>
        <v>0</v>
      </c>
      <c r="AS1046" s="396" t="str">
        <f>IFERROR(VLOOKUP(Table_NFI[[#This Row],[Camp Name]],CL,3,0),"")</f>
        <v>Open</v>
      </c>
      <c r="AT1046" s="264" t="str">
        <f ca="1">IF(Table_NFI[[#This Row],[Pcode]]="","",OFFSET(CampList[Priority],MATCH(Table_NFI[[#This Row],[Pcode]],CampList[CP_Pcode],0)-1,0,1,1))</f>
        <v>P4</v>
      </c>
      <c r="AU1046" s="263">
        <f>IFERROR(Table_NFI[[#This Row],[Kitchen Set]]/VLOOKUP(Table_NFI[[#This Row],[Camp Name]],CL,4,0),"")</f>
        <v>0</v>
      </c>
      <c r="AV1046" s="390" t="s">
        <v>1087</v>
      </c>
      <c r="AW1046" s="392"/>
      <c r="AX1046" s="399"/>
      <c r="AY1046" s="399"/>
      <c r="AZ1046" s="399"/>
      <c r="BA1046" s="399"/>
      <c r="BB1046" s="399"/>
      <c r="BC1046" s="399"/>
      <c r="BD1046" s="399"/>
      <c r="BE1046" s="399"/>
      <c r="BF1046" s="399"/>
      <c r="BG1046" s="399"/>
      <c r="BH1046" s="399"/>
      <c r="BI1046" s="399"/>
      <c r="BJ1046" s="399"/>
      <c r="BK1046" s="399"/>
      <c r="BL1046" s="399"/>
      <c r="BM1046" s="399"/>
      <c r="BN1046" s="399"/>
      <c r="BO1046" s="399"/>
      <c r="BP1046" s="399"/>
      <c r="BQ1046" s="399"/>
      <c r="BR1046" s="399"/>
      <c r="BS1046" s="399"/>
      <c r="BT1046" s="399"/>
      <c r="BU1046" s="399"/>
      <c r="BV1046" s="399"/>
      <c r="BW1046" s="399"/>
      <c r="BX1046" s="399"/>
      <c r="BY1046" s="399"/>
      <c r="BZ1046" s="399"/>
      <c r="CA1046" s="399"/>
      <c r="CB1046" s="399"/>
      <c r="CC1046" s="399"/>
      <c r="CD1046" s="399"/>
      <c r="CE1046" s="399"/>
      <c r="CF1046" s="399"/>
      <c r="CG1046" s="399"/>
      <c r="CH1046" s="399"/>
      <c r="CI1046" s="399"/>
      <c r="CJ1046" s="399"/>
      <c r="CK1046" s="399"/>
      <c r="CL1046" s="399"/>
      <c r="CM1046" s="399"/>
      <c r="CN1046" s="399"/>
      <c r="CO1046" s="399"/>
      <c r="CP1046" s="399"/>
      <c r="CQ1046" s="399"/>
      <c r="CR1046" s="399"/>
      <c r="CS1046" s="399"/>
      <c r="CT1046" s="399"/>
      <c r="CU1046" s="399"/>
      <c r="CV1046" s="399"/>
      <c r="CW1046" s="399"/>
      <c r="CX1046" s="399"/>
      <c r="CY1046" s="399"/>
      <c r="CZ1046" s="399"/>
      <c r="DA1046" s="399"/>
      <c r="DB1046" s="399"/>
      <c r="DC1046" s="399"/>
      <c r="DD1046" s="399"/>
      <c r="DE1046" s="399"/>
      <c r="DF1046" s="399"/>
      <c r="DG1046" s="399"/>
      <c r="DH1046" s="399"/>
      <c r="DI1046" s="399"/>
      <c r="DJ1046" s="399"/>
      <c r="DK1046" s="399"/>
      <c r="DL1046" s="399"/>
      <c r="DM1046" s="399"/>
      <c r="DN1046" s="399"/>
      <c r="DO1046" s="399"/>
      <c r="DP1046" s="399"/>
      <c r="DQ1046" s="399"/>
    </row>
    <row r="1047" spans="1:121" s="760" customFormat="1" ht="13.15" customHeight="1" x14ac:dyDescent="0.25">
      <c r="A1047" s="266">
        <f t="shared" si="16"/>
        <v>60.133333333333333</v>
      </c>
      <c r="B1047" s="389">
        <v>41052</v>
      </c>
      <c r="C1047" s="390" t="s">
        <v>451</v>
      </c>
      <c r="D1047" s="390" t="s">
        <v>451</v>
      </c>
      <c r="E1047" s="390" t="s">
        <v>380</v>
      </c>
      <c r="F1047" s="262" t="s">
        <v>237</v>
      </c>
      <c r="G1047" s="262" t="s">
        <v>253</v>
      </c>
      <c r="H1047" s="261"/>
      <c r="I1047" s="261"/>
      <c r="J1047" s="261"/>
      <c r="K1047" s="261">
        <v>22</v>
      </c>
      <c r="L1047" s="261">
        <v>15</v>
      </c>
      <c r="M1047" s="261">
        <v>22</v>
      </c>
      <c r="N1047" s="261">
        <v>15</v>
      </c>
      <c r="O1047" s="261">
        <v>15</v>
      </c>
      <c r="P1047" s="261">
        <v>15</v>
      </c>
      <c r="Q1047" s="261">
        <v>15</v>
      </c>
      <c r="R1047" s="261"/>
      <c r="S1047" s="261"/>
      <c r="T1047" s="261"/>
      <c r="U1047" s="261"/>
      <c r="V1047" s="762"/>
      <c r="W1047" s="762"/>
      <c r="X1047" s="762"/>
      <c r="Y1047" s="264">
        <f>IF(NFI_Expiration=1,IF($A1047&lt;VLOOKUP(H$5,NFI,5,0),1,0)*Table_NFI[[#This Row],[Hygiene Kit]],Table_NFI[Hygiene Kit])</f>
        <v>0</v>
      </c>
      <c r="Z1047" s="264">
        <f>IF(NFI_Expiration=1,IF($A1047&lt;VLOOKUP(I$5,NFI,5,0),1,0)*Table_NFI[[#This Row],[NFI Core Kit]],Table_NFI[NFI Core Kit])</f>
        <v>0</v>
      </c>
      <c r="AA1047" s="264">
        <f>IF(NFI_Expiration=1,IF($A1047&lt;VLOOKUP(J$5,NFI,5,0),1,0)*Table_NFI[[#This Row],[Sanitary Kit]],Table_NFI[Sanitary Kit])</f>
        <v>0</v>
      </c>
      <c r="AB1047" s="264">
        <f>IF(NFI_Expiration=1,IF($A1047&lt;VLOOKUP(K$5,NFI,5,0),1,0)*Table_NFI[[#This Row],[Mosquito net]],Table_NFI[Mosquito net])</f>
        <v>0</v>
      </c>
      <c r="AC1047" s="264">
        <f>IF(NFI_Expiration=1,IF($A1047&lt;VLOOKUP(L$5,NFI,5,0),1,0)*Table_NFI[[#This Row],[Tarpaulin]],Table_NFI[[#This Row],[Tarpaulin]])</f>
        <v>0</v>
      </c>
      <c r="AD1047" s="264">
        <f>IF(NFI_Expiration=1,IF($A1047&lt;VLOOKUP(M$5,NFI,5,0),1,0)*Table_NFI[[#This Row],[Blanket]],Table_NFI[[#This Row],[Blanket]])</f>
        <v>0</v>
      </c>
      <c r="AE1047" s="264">
        <f>IF(NFI_Expiration=1,IF($A1047&lt;VLOOKUP(N$5,NFI,5,0),1,0)*Table_NFI[[#This Row],[Kitchen Set]],Table_NFI[Kitchen Set])</f>
        <v>0</v>
      </c>
      <c r="AF1047" s="264">
        <f>IF(NFI_Expiration=1,IF($A1047&lt;VLOOKUP(O$5,NFI,5,0),1,0)*Table_NFI[[#This Row],[Clothes Kit]],Table_NFI[Clothes Kit])</f>
        <v>0</v>
      </c>
      <c r="AG1047" s="264">
        <f>IF(NFI_Expiration=1,IF($A1047&lt;VLOOKUP(P$5,NFI,5,0),1,0)*Table_NFI[[#This Row],[Plastic Bucket]],Table_NFI[Plastic Bucket])</f>
        <v>0</v>
      </c>
      <c r="AH1047" s="264">
        <f>IF(NFI_Expiration=1,IF($A1047&lt;VLOOKUP(Q$5,NFI,5,0),1,0)*Table_NFI[[#This Row],[Plastic Mat]],Table_NFI[Plastic Mat])*IF(Table_NFI[[#This Row],[Distribution Date]]&gt;"2014-04-01",1,2.5)</f>
        <v>0</v>
      </c>
      <c r="AI1047" s="264">
        <f>IF(NFI_Expiration=1,IF($A1047&lt;VLOOKUP(R$5,NFI,5,0),1,0)*Table_NFI[[#This Row],[Winter Clothes Adult]],Table_NFI[Winter Clothes Adult])</f>
        <v>0</v>
      </c>
      <c r="AJ1047" s="264">
        <f>IF(NFI_Expiration=1,IF($A1047&lt;VLOOKUP(S$5,NFI,5,0),1,0)*Table_NFI[[#This Row],[Winter Clothes Children]],Table_NFI[Winter Clothes Children])</f>
        <v>0</v>
      </c>
      <c r="AK1047" s="264">
        <f>IF(NFI_Expiration=1,IF($A1047&lt;VLOOKUP(T$5,NFI,5,0),1,0)*Table_NFI[[#This Row],[Winter Items Other]],Table_NFI[Winter Items Other])</f>
        <v>0</v>
      </c>
      <c r="AL1047" s="264">
        <f>IF(NFI_Expiration=1,IF($A1047&lt;VLOOKUP(M$5,NFI,5,0),1,0)*Table_NFI[[#This Row],[Winter Blanket]],Table_NFI[[#This Row],[Winter Blanket]])</f>
        <v>0</v>
      </c>
      <c r="AM1047" s="264">
        <f>IF(Table_NFI[[#This Row],[Winter Clothes Adult]]+Table_NFI[[#This Row],[Winter Clothes Children]]+Table_NFI[[#This Row],[Winter Items Other]]+Table_NFI[[#This Row],[Winter Blanket]]&gt;0,1,0)</f>
        <v>0</v>
      </c>
      <c r="AN1047" s="296">
        <f>IF(NFI_Expiration=1,IF($A1047&lt;VLOOKUP(V$5,NFI,5,0),1,0)*Table_NFI[[#This Row],[Jerry Can]],Table_NFI[Jerry Can])</f>
        <v>0</v>
      </c>
      <c r="AO1047" s="296">
        <f>IF(NFI_Expiration=1,IF($A1047&lt;VLOOKUP(V$5,NFI,5,0),1,0)*Table_NFI[[#This Row],[Shelter Tool kit]],Table_NFI[Shelter Tool kit])</f>
        <v>0</v>
      </c>
      <c r="AP1047" s="296">
        <f>IF(NFI_Expiration=1,IF($A1047&lt;VLOOKUP(V$5,NFI,5,0),1,0)*Table_NFI[[#This Row],[Tent]],Table_NFI[Tent])</f>
        <v>0</v>
      </c>
      <c r="AQ1047" s="396" t="str">
        <f>IFERROR(VLOOKUP(Table_NFI[[#This Row],[Camp Name]],CL,2,0),"")</f>
        <v>MMR001CMP018</v>
      </c>
      <c r="AR1047" s="702">
        <f ca="1">IF(Table_NFI[[#This Row],[Pcode]]="","",IF(OFFSET(CampList[Opening Date],MATCH(Table_NFI[[#This Row],[Pcode]],CampList[CP_Pcode],0)-1,0,1,1)&gt;=NFI_Monitor_Date,1,0))</f>
        <v>0</v>
      </c>
      <c r="AS1047" s="396" t="str">
        <f>IFERROR(VLOOKUP(Table_NFI[[#This Row],[Camp Name]],CL,3,0),"")</f>
        <v>Open</v>
      </c>
      <c r="AT1047" s="264" t="str">
        <f ca="1">IF(Table_NFI[[#This Row],[Pcode]]="","",OFFSET(CampList[Priority],MATCH(Table_NFI[[#This Row],[Pcode]],CampList[CP_Pcode],0)-1,0,1,1))</f>
        <v>P4</v>
      </c>
      <c r="AU1047" s="263">
        <f>IFERROR(Table_NFI[[#This Row],[Kitchen Set]]/VLOOKUP(Table_NFI[[#This Row],[Camp Name]],CL,4,0),"")</f>
        <v>3.6832412523020257E-4</v>
      </c>
      <c r="AV1047" s="390" t="s">
        <v>1087</v>
      </c>
      <c r="AW1047" s="392"/>
      <c r="AX1047" s="399"/>
      <c r="AY1047" s="399"/>
      <c r="AZ1047" s="399"/>
      <c r="BA1047" s="399"/>
      <c r="BB1047" s="399"/>
      <c r="BC1047" s="399"/>
      <c r="BD1047" s="399"/>
      <c r="BE1047" s="399"/>
      <c r="BF1047" s="399"/>
      <c r="BG1047" s="399"/>
      <c r="BH1047" s="399"/>
      <c r="BI1047" s="399"/>
      <c r="BJ1047" s="399"/>
      <c r="BK1047" s="399"/>
      <c r="BL1047" s="399"/>
      <c r="BM1047" s="399"/>
      <c r="BN1047" s="399"/>
      <c r="BO1047" s="399"/>
      <c r="BP1047" s="399"/>
      <c r="BQ1047" s="399"/>
      <c r="BR1047" s="399"/>
      <c r="BS1047" s="399"/>
      <c r="BT1047" s="399"/>
      <c r="BU1047" s="399"/>
      <c r="BV1047" s="399"/>
      <c r="BW1047" s="399"/>
      <c r="BX1047" s="399"/>
      <c r="BY1047" s="399"/>
      <c r="BZ1047" s="399"/>
      <c r="CA1047" s="399"/>
      <c r="CB1047" s="399"/>
      <c r="CC1047" s="399"/>
      <c r="CD1047" s="399"/>
      <c r="CE1047" s="399"/>
      <c r="CF1047" s="399"/>
      <c r="CG1047" s="399"/>
      <c r="CH1047" s="399"/>
      <c r="CI1047" s="399"/>
      <c r="CJ1047" s="399"/>
      <c r="CK1047" s="399"/>
      <c r="CL1047" s="399"/>
      <c r="CM1047" s="399"/>
      <c r="CN1047" s="399"/>
      <c r="CO1047" s="399"/>
      <c r="CP1047" s="399"/>
      <c r="CQ1047" s="399"/>
      <c r="CR1047" s="399"/>
      <c r="CS1047" s="399"/>
      <c r="CT1047" s="399"/>
      <c r="CU1047" s="399"/>
      <c r="CV1047" s="399"/>
      <c r="CW1047" s="399"/>
      <c r="CX1047" s="399"/>
      <c r="CY1047" s="399"/>
      <c r="CZ1047" s="399"/>
      <c r="DA1047" s="399"/>
      <c r="DB1047" s="399"/>
      <c r="DC1047" s="399"/>
      <c r="DD1047" s="399"/>
      <c r="DE1047" s="399"/>
      <c r="DF1047" s="399"/>
      <c r="DG1047" s="399"/>
      <c r="DH1047" s="399"/>
      <c r="DI1047" s="399"/>
      <c r="DJ1047" s="399"/>
      <c r="DK1047" s="399"/>
      <c r="DL1047" s="399"/>
      <c r="DM1047" s="399"/>
      <c r="DN1047" s="399"/>
      <c r="DO1047" s="399"/>
      <c r="DP1047" s="399"/>
      <c r="DQ1047" s="399"/>
    </row>
    <row r="1048" spans="1:121" s="760" customFormat="1" ht="14.45" customHeight="1" x14ac:dyDescent="0.25">
      <c r="A1048" s="266">
        <f t="shared" si="16"/>
        <v>60.133333333333333</v>
      </c>
      <c r="B1048" s="389">
        <v>41052</v>
      </c>
      <c r="C1048" s="390" t="s">
        <v>451</v>
      </c>
      <c r="D1048" s="390" t="s">
        <v>451</v>
      </c>
      <c r="E1048" s="390" t="s">
        <v>380</v>
      </c>
      <c r="F1048" s="262" t="s">
        <v>237</v>
      </c>
      <c r="G1048" s="262" t="s">
        <v>271</v>
      </c>
      <c r="H1048" s="261"/>
      <c r="I1048" s="261"/>
      <c r="J1048" s="261"/>
      <c r="K1048" s="261">
        <v>58</v>
      </c>
      <c r="L1048" s="261">
        <v>29</v>
      </c>
      <c r="M1048" s="261">
        <v>58</v>
      </c>
      <c r="N1048" s="261">
        <v>29</v>
      </c>
      <c r="O1048" s="261">
        <v>29</v>
      </c>
      <c r="P1048" s="261">
        <v>29</v>
      </c>
      <c r="Q1048" s="261">
        <v>29</v>
      </c>
      <c r="R1048" s="261"/>
      <c r="S1048" s="261"/>
      <c r="T1048" s="261"/>
      <c r="U1048" s="261"/>
      <c r="V1048" s="762"/>
      <c r="W1048" s="762"/>
      <c r="X1048" s="762"/>
      <c r="Y1048" s="264">
        <f>IF(NFI_Expiration=1,IF($A1048&lt;VLOOKUP(H$5,NFI,5,0),1,0)*Table_NFI[[#This Row],[Hygiene Kit]],Table_NFI[Hygiene Kit])</f>
        <v>0</v>
      </c>
      <c r="Z1048" s="264">
        <f>IF(NFI_Expiration=1,IF($A1048&lt;VLOOKUP(I$5,NFI,5,0),1,0)*Table_NFI[[#This Row],[NFI Core Kit]],Table_NFI[NFI Core Kit])</f>
        <v>0</v>
      </c>
      <c r="AA1048" s="264">
        <f>IF(NFI_Expiration=1,IF($A1048&lt;VLOOKUP(J$5,NFI,5,0),1,0)*Table_NFI[[#This Row],[Sanitary Kit]],Table_NFI[Sanitary Kit])</f>
        <v>0</v>
      </c>
      <c r="AB1048" s="264">
        <f>IF(NFI_Expiration=1,IF($A1048&lt;VLOOKUP(K$5,NFI,5,0),1,0)*Table_NFI[[#This Row],[Mosquito net]],Table_NFI[Mosquito net])</f>
        <v>0</v>
      </c>
      <c r="AC1048" s="264">
        <f>IF(NFI_Expiration=1,IF($A1048&lt;VLOOKUP(L$5,NFI,5,0),1,0)*Table_NFI[[#This Row],[Tarpaulin]],Table_NFI[[#This Row],[Tarpaulin]])</f>
        <v>0</v>
      </c>
      <c r="AD1048" s="264">
        <f>IF(NFI_Expiration=1,IF($A1048&lt;VLOOKUP(M$5,NFI,5,0),1,0)*Table_NFI[[#This Row],[Blanket]],Table_NFI[[#This Row],[Blanket]])</f>
        <v>0</v>
      </c>
      <c r="AE1048" s="264">
        <f>IF(NFI_Expiration=1,IF($A1048&lt;VLOOKUP(N$5,NFI,5,0),1,0)*Table_NFI[[#This Row],[Kitchen Set]],Table_NFI[Kitchen Set])</f>
        <v>0</v>
      </c>
      <c r="AF1048" s="264">
        <f>IF(NFI_Expiration=1,IF($A1048&lt;VLOOKUP(O$5,NFI,5,0),1,0)*Table_NFI[[#This Row],[Clothes Kit]],Table_NFI[Clothes Kit])</f>
        <v>0</v>
      </c>
      <c r="AG1048" s="264">
        <f>IF(NFI_Expiration=1,IF($A1048&lt;VLOOKUP(P$5,NFI,5,0),1,0)*Table_NFI[[#This Row],[Plastic Bucket]],Table_NFI[Plastic Bucket])</f>
        <v>0</v>
      </c>
      <c r="AH1048" s="264">
        <f>IF(NFI_Expiration=1,IF($A1048&lt;VLOOKUP(Q$5,NFI,5,0),1,0)*Table_NFI[[#This Row],[Plastic Mat]],Table_NFI[Plastic Mat])*IF(Table_NFI[[#This Row],[Distribution Date]]&gt;"2014-04-01",1,2.5)</f>
        <v>0</v>
      </c>
      <c r="AI1048" s="264">
        <f>IF(NFI_Expiration=1,IF($A1048&lt;VLOOKUP(R$5,NFI,5,0),1,0)*Table_NFI[[#This Row],[Winter Clothes Adult]],Table_NFI[Winter Clothes Adult])</f>
        <v>0</v>
      </c>
      <c r="AJ1048" s="264">
        <f>IF(NFI_Expiration=1,IF($A1048&lt;VLOOKUP(S$5,NFI,5,0),1,0)*Table_NFI[[#This Row],[Winter Clothes Children]],Table_NFI[Winter Clothes Children])</f>
        <v>0</v>
      </c>
      <c r="AK1048" s="264">
        <f>IF(NFI_Expiration=1,IF($A1048&lt;VLOOKUP(T$5,NFI,5,0),1,0)*Table_NFI[[#This Row],[Winter Items Other]],Table_NFI[Winter Items Other])</f>
        <v>0</v>
      </c>
      <c r="AL1048" s="264">
        <f>IF(NFI_Expiration=1,IF($A1048&lt;VLOOKUP(M$5,NFI,5,0),1,0)*Table_NFI[[#This Row],[Winter Blanket]],Table_NFI[[#This Row],[Winter Blanket]])</f>
        <v>0</v>
      </c>
      <c r="AM1048" s="264">
        <f>IF(Table_NFI[[#This Row],[Winter Clothes Adult]]+Table_NFI[[#This Row],[Winter Clothes Children]]+Table_NFI[[#This Row],[Winter Items Other]]+Table_NFI[[#This Row],[Winter Blanket]]&gt;0,1,0)</f>
        <v>0</v>
      </c>
      <c r="AN1048" s="296">
        <f>IF(NFI_Expiration=1,IF($A1048&lt;VLOOKUP(V$5,NFI,5,0),1,0)*Table_NFI[[#This Row],[Jerry Can]],Table_NFI[Jerry Can])</f>
        <v>0</v>
      </c>
      <c r="AO1048" s="296">
        <f>IF(NFI_Expiration=1,IF($A1048&lt;VLOOKUP(V$5,NFI,5,0),1,0)*Table_NFI[[#This Row],[Shelter Tool kit]],Table_NFI[Shelter Tool kit])</f>
        <v>0</v>
      </c>
      <c r="AP1048" s="296">
        <f>IF(NFI_Expiration=1,IF($A1048&lt;VLOOKUP(V$5,NFI,5,0),1,0)*Table_NFI[[#This Row],[Tent]],Table_NFI[Tent])</f>
        <v>0</v>
      </c>
      <c r="AQ1048" s="396" t="str">
        <f>IFERROR(VLOOKUP(Table_NFI[[#This Row],[Camp Name]],CL,2,0),"")</f>
        <v>MMR001CMP024</v>
      </c>
      <c r="AR1048" s="702">
        <f ca="1">IF(Table_NFI[[#This Row],[Pcode]]="","",IF(OFFSET(CampList[Opening Date],MATCH(Table_NFI[[#This Row],[Pcode]],CampList[CP_Pcode],0)-1,0,1,1)&gt;=NFI_Monitor_Date,1,0))</f>
        <v>0</v>
      </c>
      <c r="AS1048" s="396" t="str">
        <f>IFERROR(VLOOKUP(Table_NFI[[#This Row],[Camp Name]],CL,3,0),"")</f>
        <v>Open</v>
      </c>
      <c r="AT1048" s="264" t="str">
        <f ca="1">IF(Table_NFI[[#This Row],[Pcode]]="","",OFFSET(CampList[Priority],MATCH(Table_NFI[[#This Row],[Pcode]],CampList[CP_Pcode],0)-1,0,1,1))</f>
        <v>P4</v>
      </c>
      <c r="AU1048" s="263">
        <f>IFERROR(Table_NFI[[#This Row],[Kitchen Set]]/VLOOKUP(Table_NFI[[#This Row],[Camp Name]],CL,4,0),"")</f>
        <v>7.0889046420103156E-4</v>
      </c>
      <c r="AV1048" s="390" t="s">
        <v>1087</v>
      </c>
      <c r="AW1048" s="392"/>
      <c r="AX1048" s="399"/>
      <c r="AY1048" s="399"/>
      <c r="AZ1048" s="399"/>
      <c r="BA1048" s="399"/>
      <c r="BB1048" s="399"/>
      <c r="BC1048" s="399"/>
      <c r="BD1048" s="399"/>
      <c r="BE1048" s="399"/>
      <c r="BF1048" s="399"/>
      <c r="BG1048" s="399"/>
      <c r="BH1048" s="399"/>
      <c r="BI1048" s="399"/>
      <c r="BJ1048" s="399"/>
      <c r="BK1048" s="399"/>
      <c r="BL1048" s="399"/>
      <c r="BM1048" s="399"/>
      <c r="BN1048" s="399"/>
      <c r="BO1048" s="399"/>
      <c r="BP1048" s="399"/>
      <c r="BQ1048" s="399"/>
      <c r="BR1048" s="399"/>
      <c r="BS1048" s="399"/>
      <c r="BT1048" s="399"/>
      <c r="BU1048" s="399"/>
      <c r="BV1048" s="399"/>
      <c r="BW1048" s="399"/>
      <c r="BX1048" s="399"/>
      <c r="BY1048" s="399"/>
      <c r="BZ1048" s="399"/>
      <c r="CA1048" s="399"/>
      <c r="CB1048" s="399"/>
      <c r="CC1048" s="399"/>
      <c r="CD1048" s="399"/>
      <c r="CE1048" s="399"/>
      <c r="CF1048" s="399"/>
      <c r="CG1048" s="399"/>
      <c r="CH1048" s="399"/>
      <c r="CI1048" s="399"/>
      <c r="CJ1048" s="399"/>
      <c r="CK1048" s="399"/>
      <c r="CL1048" s="399"/>
      <c r="CM1048" s="399"/>
      <c r="CN1048" s="399"/>
      <c r="CO1048" s="399"/>
      <c r="CP1048" s="399"/>
      <c r="CQ1048" s="399"/>
      <c r="CR1048" s="399"/>
      <c r="CS1048" s="399"/>
      <c r="CT1048" s="399"/>
      <c r="CU1048" s="399"/>
      <c r="CV1048" s="399"/>
      <c r="CW1048" s="399"/>
      <c r="CX1048" s="399"/>
      <c r="CY1048" s="399"/>
      <c r="CZ1048" s="399"/>
      <c r="DA1048" s="399"/>
      <c r="DB1048" s="399"/>
      <c r="DC1048" s="399"/>
      <c r="DD1048" s="399"/>
      <c r="DE1048" s="399"/>
      <c r="DF1048" s="399"/>
      <c r="DG1048" s="399"/>
      <c r="DH1048" s="399"/>
      <c r="DI1048" s="399"/>
      <c r="DJ1048" s="399"/>
      <c r="DK1048" s="399"/>
      <c r="DL1048" s="399"/>
      <c r="DM1048" s="399"/>
      <c r="DN1048" s="399"/>
      <c r="DO1048" s="399"/>
      <c r="DP1048" s="399"/>
      <c r="DQ1048" s="399"/>
    </row>
    <row r="1049" spans="1:121" s="399" customFormat="1" ht="17.45" customHeight="1" x14ac:dyDescent="0.25">
      <c r="A1049" s="266">
        <f t="shared" si="16"/>
        <v>60.133333333333333</v>
      </c>
      <c r="B1049" s="389">
        <v>41052</v>
      </c>
      <c r="C1049" s="390" t="s">
        <v>451</v>
      </c>
      <c r="D1049" s="391" t="s">
        <v>451</v>
      </c>
      <c r="E1049" s="390" t="s">
        <v>380</v>
      </c>
      <c r="F1049" s="262" t="s">
        <v>237</v>
      </c>
      <c r="G1049" s="262" t="s">
        <v>238</v>
      </c>
      <c r="H1049" s="261"/>
      <c r="I1049" s="261"/>
      <c r="J1049" s="261"/>
      <c r="K1049" s="261">
        <v>54</v>
      </c>
      <c r="L1049" s="261">
        <v>29</v>
      </c>
      <c r="M1049" s="261">
        <v>54</v>
      </c>
      <c r="N1049" s="261">
        <v>29</v>
      </c>
      <c r="O1049" s="261">
        <v>29</v>
      </c>
      <c r="P1049" s="261">
        <v>29</v>
      </c>
      <c r="Q1049" s="261">
        <v>29</v>
      </c>
      <c r="R1049" s="261"/>
      <c r="S1049" s="261"/>
      <c r="T1049" s="261"/>
      <c r="U1049" s="261"/>
      <c r="V1049" s="762"/>
      <c r="W1049" s="762"/>
      <c r="X1049" s="762"/>
      <c r="Y1049" s="264">
        <f>IF(NFI_Expiration=1,IF($A1049&lt;VLOOKUP(H$5,NFI,5,0),1,0)*Table_NFI[[#This Row],[Hygiene Kit]],Table_NFI[Hygiene Kit])</f>
        <v>0</v>
      </c>
      <c r="Z1049" s="264">
        <f>IF(NFI_Expiration=1,IF($A1049&lt;VLOOKUP(I$5,NFI,5,0),1,0)*Table_NFI[[#This Row],[NFI Core Kit]],Table_NFI[NFI Core Kit])</f>
        <v>0</v>
      </c>
      <c r="AA1049" s="264">
        <f>IF(NFI_Expiration=1,IF($A1049&lt;VLOOKUP(J$5,NFI,5,0),1,0)*Table_NFI[[#This Row],[Sanitary Kit]],Table_NFI[Sanitary Kit])</f>
        <v>0</v>
      </c>
      <c r="AB1049" s="264">
        <f>IF(NFI_Expiration=1,IF($A1049&lt;VLOOKUP(K$5,NFI,5,0),1,0)*Table_NFI[[#This Row],[Mosquito net]],Table_NFI[Mosquito net])</f>
        <v>0</v>
      </c>
      <c r="AC1049" s="264">
        <f>IF(NFI_Expiration=1,IF($A1049&lt;VLOOKUP(L$5,NFI,5,0),1,0)*Table_NFI[[#This Row],[Tarpaulin]],Table_NFI[[#This Row],[Tarpaulin]])</f>
        <v>0</v>
      </c>
      <c r="AD1049" s="264">
        <f>IF(NFI_Expiration=1,IF($A1049&lt;VLOOKUP(M$5,NFI,5,0),1,0)*Table_NFI[[#This Row],[Blanket]],Table_NFI[[#This Row],[Blanket]])</f>
        <v>0</v>
      </c>
      <c r="AE1049" s="264">
        <f>IF(NFI_Expiration=1,IF($A1049&lt;VLOOKUP(N$5,NFI,5,0),1,0)*Table_NFI[[#This Row],[Kitchen Set]],Table_NFI[Kitchen Set])</f>
        <v>0</v>
      </c>
      <c r="AF1049" s="264">
        <f>IF(NFI_Expiration=1,IF($A1049&lt;VLOOKUP(O$5,NFI,5,0),1,0)*Table_NFI[[#This Row],[Clothes Kit]],Table_NFI[Clothes Kit])</f>
        <v>0</v>
      </c>
      <c r="AG1049" s="264">
        <f>IF(NFI_Expiration=1,IF($A1049&lt;VLOOKUP(P$5,NFI,5,0),1,0)*Table_NFI[[#This Row],[Plastic Bucket]],Table_NFI[Plastic Bucket])</f>
        <v>0</v>
      </c>
      <c r="AH1049" s="264">
        <f>IF(NFI_Expiration=1,IF($A1049&lt;VLOOKUP(Q$5,NFI,5,0),1,0)*Table_NFI[[#This Row],[Plastic Mat]],Table_NFI[Plastic Mat])*IF(Table_NFI[[#This Row],[Distribution Date]]&gt;"2014-04-01",1,2.5)</f>
        <v>0</v>
      </c>
      <c r="AI1049" s="264">
        <f>IF(NFI_Expiration=1,IF($A1049&lt;VLOOKUP(R$5,NFI,5,0),1,0)*Table_NFI[[#This Row],[Winter Clothes Adult]],Table_NFI[Winter Clothes Adult])</f>
        <v>0</v>
      </c>
      <c r="AJ1049" s="264">
        <f>IF(NFI_Expiration=1,IF($A1049&lt;VLOOKUP(S$5,NFI,5,0),1,0)*Table_NFI[[#This Row],[Winter Clothes Children]],Table_NFI[Winter Clothes Children])</f>
        <v>0</v>
      </c>
      <c r="AK1049" s="264">
        <f>IF(NFI_Expiration=1,IF($A1049&lt;VLOOKUP(T$5,NFI,5,0),1,0)*Table_NFI[[#This Row],[Winter Items Other]],Table_NFI[Winter Items Other])</f>
        <v>0</v>
      </c>
      <c r="AL1049" s="264">
        <f>IF(NFI_Expiration=1,IF($A1049&lt;VLOOKUP(M$5,NFI,5,0),1,0)*Table_NFI[[#This Row],[Winter Blanket]],Table_NFI[[#This Row],[Winter Blanket]])</f>
        <v>0</v>
      </c>
      <c r="AM1049" s="264">
        <f>IF(Table_NFI[[#This Row],[Winter Clothes Adult]]+Table_NFI[[#This Row],[Winter Clothes Children]]+Table_NFI[[#This Row],[Winter Items Other]]+Table_NFI[[#This Row],[Winter Blanket]]&gt;0,1,0)</f>
        <v>0</v>
      </c>
      <c r="AN1049" s="296">
        <f>IF(NFI_Expiration=1,IF($A1049&lt;VLOOKUP(V$5,NFI,5,0),1,0)*Table_NFI[[#This Row],[Jerry Can]],Table_NFI[Jerry Can])</f>
        <v>0</v>
      </c>
      <c r="AO1049" s="296">
        <f>IF(NFI_Expiration=1,IF($A1049&lt;VLOOKUP(V$5,NFI,5,0),1,0)*Table_NFI[[#This Row],[Shelter Tool kit]],Table_NFI[Shelter Tool kit])</f>
        <v>0</v>
      </c>
      <c r="AP1049" s="296">
        <f>IF(NFI_Expiration=1,IF($A1049&lt;VLOOKUP(V$5,NFI,5,0),1,0)*Table_NFI[[#This Row],[Tent]],Table_NFI[Tent])</f>
        <v>0</v>
      </c>
      <c r="AQ1049" s="396" t="str">
        <f>IFERROR(VLOOKUP(Table_NFI[[#This Row],[Camp Name]],CL,2,0),"")</f>
        <v>MMR001CMP001</v>
      </c>
      <c r="AR1049" s="702">
        <f ca="1">IF(Table_NFI[[#This Row],[Pcode]]="","",IF(OFFSET(CampList[Opening Date],MATCH(Table_NFI[[#This Row],[Pcode]],CampList[CP_Pcode],0)-1,0,1,1)&gt;=NFI_Monitor_Date,1,0))</f>
        <v>0</v>
      </c>
      <c r="AS1049" s="396" t="str">
        <f>IFERROR(VLOOKUP(Table_NFI[[#This Row],[Camp Name]],CL,3,0),"")</f>
        <v>Open</v>
      </c>
      <c r="AT1049" s="264" t="str">
        <f ca="1">IF(Table_NFI[[#This Row],[Pcode]]="","",OFFSET(CampList[Priority],MATCH(Table_NFI[[#This Row],[Pcode]],CampList[CP_Pcode],0)-1,0,1,1))</f>
        <v>P4</v>
      </c>
      <c r="AU1049" s="263">
        <f>IFERROR(Table_NFI[[#This Row],[Kitchen Set]]/VLOOKUP(Table_NFI[[#This Row],[Camp Name]],CL,4,0),"")</f>
        <v>7.1261825777122498E-4</v>
      </c>
      <c r="AV1049" s="390" t="s">
        <v>1087</v>
      </c>
      <c r="AW1049" s="392"/>
    </row>
    <row r="1050" spans="1:121" s="760" customFormat="1" ht="19.149999999999999" customHeight="1" x14ac:dyDescent="0.25">
      <c r="A1050" s="266">
        <f t="shared" si="16"/>
        <v>60.2</v>
      </c>
      <c r="B1050" s="389">
        <v>41050</v>
      </c>
      <c r="C1050" s="390" t="s">
        <v>451</v>
      </c>
      <c r="D1050" s="391" t="s">
        <v>451</v>
      </c>
      <c r="E1050" s="390" t="s">
        <v>380</v>
      </c>
      <c r="F1050" s="262" t="s">
        <v>5</v>
      </c>
      <c r="G1050" s="262" t="s">
        <v>6</v>
      </c>
      <c r="H1050" s="261"/>
      <c r="I1050" s="261"/>
      <c r="J1050" s="261"/>
      <c r="K1050" s="261">
        <v>0</v>
      </c>
      <c r="L1050" s="261">
        <v>15</v>
      </c>
      <c r="M1050" s="261">
        <v>0</v>
      </c>
      <c r="N1050" s="261">
        <v>0</v>
      </c>
      <c r="O1050" s="261">
        <v>0</v>
      </c>
      <c r="P1050" s="261"/>
      <c r="Q1050" s="261"/>
      <c r="R1050" s="261"/>
      <c r="S1050" s="261"/>
      <c r="T1050" s="261"/>
      <c r="U1050" s="261"/>
      <c r="V1050" s="762"/>
      <c r="W1050" s="762"/>
      <c r="X1050" s="762"/>
      <c r="Y1050" s="264">
        <f>IF(NFI_Expiration=1,IF($A1050&lt;VLOOKUP(H$5,NFI,5,0),1,0)*Table_NFI[[#This Row],[Hygiene Kit]],Table_NFI[Hygiene Kit])</f>
        <v>0</v>
      </c>
      <c r="Z1050" s="264">
        <f>IF(NFI_Expiration=1,IF($A1050&lt;VLOOKUP(I$5,NFI,5,0),1,0)*Table_NFI[[#This Row],[NFI Core Kit]],Table_NFI[NFI Core Kit])</f>
        <v>0</v>
      </c>
      <c r="AA1050" s="264">
        <f>IF(NFI_Expiration=1,IF($A1050&lt;VLOOKUP(J$5,NFI,5,0),1,0)*Table_NFI[[#This Row],[Sanitary Kit]],Table_NFI[Sanitary Kit])</f>
        <v>0</v>
      </c>
      <c r="AB1050" s="264">
        <f>IF(NFI_Expiration=1,IF($A1050&lt;VLOOKUP(K$5,NFI,5,0),1,0)*Table_NFI[[#This Row],[Mosquito net]],Table_NFI[Mosquito net])</f>
        <v>0</v>
      </c>
      <c r="AC1050" s="264">
        <f>IF(NFI_Expiration=1,IF($A1050&lt;VLOOKUP(L$5,NFI,5,0),1,0)*Table_NFI[[#This Row],[Tarpaulin]],Table_NFI[[#This Row],[Tarpaulin]])</f>
        <v>0</v>
      </c>
      <c r="AD1050" s="264">
        <f>IF(NFI_Expiration=1,IF($A1050&lt;VLOOKUP(M$5,NFI,5,0),1,0)*Table_NFI[[#This Row],[Blanket]],Table_NFI[[#This Row],[Blanket]])</f>
        <v>0</v>
      </c>
      <c r="AE1050" s="264">
        <f>IF(NFI_Expiration=1,IF($A1050&lt;VLOOKUP(N$5,NFI,5,0),1,0)*Table_NFI[[#This Row],[Kitchen Set]],Table_NFI[Kitchen Set])</f>
        <v>0</v>
      </c>
      <c r="AF1050" s="264">
        <f>IF(NFI_Expiration=1,IF($A1050&lt;VLOOKUP(O$5,NFI,5,0),1,0)*Table_NFI[[#This Row],[Clothes Kit]],Table_NFI[Clothes Kit])</f>
        <v>0</v>
      </c>
      <c r="AG1050" s="264">
        <f>IF(NFI_Expiration=1,IF($A1050&lt;VLOOKUP(P$5,NFI,5,0),1,0)*Table_NFI[[#This Row],[Plastic Bucket]],Table_NFI[Plastic Bucket])</f>
        <v>0</v>
      </c>
      <c r="AH1050" s="264">
        <f>IF(NFI_Expiration=1,IF($A1050&lt;VLOOKUP(Q$5,NFI,5,0),1,0)*Table_NFI[[#This Row],[Plastic Mat]],Table_NFI[Plastic Mat])*IF(Table_NFI[[#This Row],[Distribution Date]]&gt;"2014-04-01",1,2.5)</f>
        <v>0</v>
      </c>
      <c r="AI1050" s="264">
        <f>IF(NFI_Expiration=1,IF($A1050&lt;VLOOKUP(R$5,NFI,5,0),1,0)*Table_NFI[[#This Row],[Winter Clothes Adult]],Table_NFI[Winter Clothes Adult])</f>
        <v>0</v>
      </c>
      <c r="AJ1050" s="264">
        <f>IF(NFI_Expiration=1,IF($A1050&lt;VLOOKUP(S$5,NFI,5,0),1,0)*Table_NFI[[#This Row],[Winter Clothes Children]],Table_NFI[Winter Clothes Children])</f>
        <v>0</v>
      </c>
      <c r="AK1050" s="264">
        <f>IF(NFI_Expiration=1,IF($A1050&lt;VLOOKUP(T$5,NFI,5,0),1,0)*Table_NFI[[#This Row],[Winter Items Other]],Table_NFI[Winter Items Other])</f>
        <v>0</v>
      </c>
      <c r="AL1050" s="264">
        <f>IF(NFI_Expiration=1,IF($A1050&lt;VLOOKUP(M$5,NFI,5,0),1,0)*Table_NFI[[#This Row],[Winter Blanket]],Table_NFI[[#This Row],[Winter Blanket]])</f>
        <v>0</v>
      </c>
      <c r="AM1050" s="264">
        <f>IF(Table_NFI[[#This Row],[Winter Clothes Adult]]+Table_NFI[[#This Row],[Winter Clothes Children]]+Table_NFI[[#This Row],[Winter Items Other]]+Table_NFI[[#This Row],[Winter Blanket]]&gt;0,1,0)</f>
        <v>0</v>
      </c>
      <c r="AN1050" s="296">
        <f>IF(NFI_Expiration=1,IF($A1050&lt;VLOOKUP(V$5,NFI,5,0),1,0)*Table_NFI[[#This Row],[Jerry Can]],Table_NFI[Jerry Can])</f>
        <v>0</v>
      </c>
      <c r="AO1050" s="296">
        <f>IF(NFI_Expiration=1,IF($A1050&lt;VLOOKUP(V$5,NFI,5,0),1,0)*Table_NFI[[#This Row],[Shelter Tool kit]],Table_NFI[Shelter Tool kit])</f>
        <v>0</v>
      </c>
      <c r="AP1050" s="296">
        <f>IF(NFI_Expiration=1,IF($A1050&lt;VLOOKUP(V$5,NFI,5,0),1,0)*Table_NFI[[#This Row],[Tent]],Table_NFI[Tent])</f>
        <v>0</v>
      </c>
      <c r="AQ1050" s="396" t="str">
        <f>IFERROR(VLOOKUP(Table_NFI[[#This Row],[Camp Name]],CL,2,0),"")</f>
        <v>MMR001CMP050</v>
      </c>
      <c r="AR1050" s="702">
        <f ca="1">IF(Table_NFI[[#This Row],[Pcode]]="","",IF(OFFSET(CampList[Opening Date],MATCH(Table_NFI[[#This Row],[Pcode]],CampList[CP_Pcode],0)-1,0,1,1)&gt;=NFI_Monitor_Date,1,0))</f>
        <v>0</v>
      </c>
      <c r="AS1050" s="396" t="str">
        <f>IFERROR(VLOOKUP(Table_NFI[[#This Row],[Camp Name]],CL,3,0),"")</f>
        <v>Open</v>
      </c>
      <c r="AT1050" s="264" t="str">
        <f ca="1">IF(Table_NFI[[#This Row],[Pcode]]="","",OFFSET(CampList[Priority],MATCH(Table_NFI[[#This Row],[Pcode]],CampList[CP_Pcode],0)-1,0,1,1))</f>
        <v>P4</v>
      </c>
      <c r="AU1050" s="263">
        <f>IFERROR(Table_NFI[[#This Row],[Kitchen Set]]/VLOOKUP(Table_NFI[[#This Row],[Camp Name]],CL,4,0),"")</f>
        <v>0</v>
      </c>
      <c r="AV1050" s="390" t="s">
        <v>1087</v>
      </c>
      <c r="AW1050" s="392"/>
      <c r="AX1050" s="399"/>
      <c r="AY1050" s="399"/>
      <c r="AZ1050" s="399"/>
      <c r="BA1050" s="399"/>
      <c r="BB1050" s="399"/>
      <c r="BC1050" s="399"/>
      <c r="BD1050" s="399"/>
      <c r="BE1050" s="399"/>
      <c r="BF1050" s="399"/>
      <c r="BG1050" s="399"/>
      <c r="BH1050" s="399"/>
      <c r="BI1050" s="399"/>
      <c r="BJ1050" s="399"/>
      <c r="BK1050" s="399"/>
      <c r="BL1050" s="399"/>
      <c r="BM1050" s="399"/>
      <c r="BN1050" s="399"/>
      <c r="BO1050" s="399"/>
      <c r="BP1050" s="399"/>
      <c r="BQ1050" s="399"/>
      <c r="BR1050" s="399"/>
      <c r="BS1050" s="399"/>
      <c r="BT1050" s="399"/>
      <c r="BU1050" s="399"/>
      <c r="BV1050" s="399"/>
      <c r="BW1050" s="399"/>
      <c r="BX1050" s="399"/>
      <c r="BY1050" s="399"/>
      <c r="BZ1050" s="399"/>
      <c r="CA1050" s="399"/>
      <c r="CB1050" s="399"/>
      <c r="CC1050" s="399"/>
      <c r="CD1050" s="399"/>
      <c r="CE1050" s="399"/>
      <c r="CF1050" s="399"/>
      <c r="CG1050" s="399"/>
      <c r="CH1050" s="399"/>
      <c r="CI1050" s="399"/>
      <c r="CJ1050" s="399"/>
      <c r="CK1050" s="399"/>
      <c r="CL1050" s="399"/>
      <c r="CM1050" s="399"/>
      <c r="CN1050" s="399"/>
      <c r="CO1050" s="399"/>
      <c r="CP1050" s="399"/>
      <c r="CQ1050" s="399"/>
      <c r="CR1050" s="399"/>
      <c r="CS1050" s="399"/>
      <c r="CT1050" s="399"/>
      <c r="CU1050" s="399"/>
      <c r="CV1050" s="399"/>
      <c r="CW1050" s="399"/>
      <c r="CX1050" s="399"/>
      <c r="CY1050" s="399"/>
      <c r="CZ1050" s="399"/>
      <c r="DA1050" s="399"/>
      <c r="DB1050" s="399"/>
      <c r="DC1050" s="399"/>
      <c r="DD1050" s="399"/>
      <c r="DE1050" s="399"/>
      <c r="DF1050" s="399"/>
      <c r="DG1050" s="399"/>
      <c r="DH1050" s="399"/>
      <c r="DI1050" s="399"/>
      <c r="DJ1050" s="399"/>
      <c r="DK1050" s="399"/>
      <c r="DL1050" s="399"/>
      <c r="DM1050" s="399"/>
      <c r="DN1050" s="399"/>
      <c r="DO1050" s="399"/>
      <c r="DP1050" s="399"/>
      <c r="DQ1050" s="399"/>
    </row>
    <row r="1051" spans="1:121" s="760" customFormat="1" ht="13.15" customHeight="1" x14ac:dyDescent="0.25">
      <c r="A1051" s="266">
        <f t="shared" si="16"/>
        <v>60.4</v>
      </c>
      <c r="B1051" s="389">
        <v>41044</v>
      </c>
      <c r="C1051" s="390" t="s">
        <v>451</v>
      </c>
      <c r="D1051" s="391" t="s">
        <v>458</v>
      </c>
      <c r="E1051" s="390" t="s">
        <v>380</v>
      </c>
      <c r="F1051" s="262" t="s">
        <v>5</v>
      </c>
      <c r="G1051" s="262" t="s">
        <v>6</v>
      </c>
      <c r="H1051" s="261"/>
      <c r="I1051" s="261"/>
      <c r="J1051" s="261"/>
      <c r="K1051" s="261">
        <v>90</v>
      </c>
      <c r="L1051" s="261">
        <v>0</v>
      </c>
      <c r="M1051" s="261">
        <v>0</v>
      </c>
      <c r="N1051" s="261">
        <v>0</v>
      </c>
      <c r="O1051" s="261">
        <v>0</v>
      </c>
      <c r="P1051" s="261"/>
      <c r="Q1051" s="261"/>
      <c r="R1051" s="261"/>
      <c r="S1051" s="261"/>
      <c r="T1051" s="261"/>
      <c r="U1051" s="261"/>
      <c r="V1051" s="762"/>
      <c r="W1051" s="762"/>
      <c r="X1051" s="762"/>
      <c r="Y1051" s="264">
        <f>IF(NFI_Expiration=1,IF($A1051&lt;VLOOKUP(H$5,NFI,5,0),1,0)*Table_NFI[[#This Row],[Hygiene Kit]],Table_NFI[Hygiene Kit])</f>
        <v>0</v>
      </c>
      <c r="Z1051" s="264">
        <f>IF(NFI_Expiration=1,IF($A1051&lt;VLOOKUP(I$5,NFI,5,0),1,0)*Table_NFI[[#This Row],[NFI Core Kit]],Table_NFI[NFI Core Kit])</f>
        <v>0</v>
      </c>
      <c r="AA1051" s="264">
        <f>IF(NFI_Expiration=1,IF($A1051&lt;VLOOKUP(J$5,NFI,5,0),1,0)*Table_NFI[[#This Row],[Sanitary Kit]],Table_NFI[Sanitary Kit])</f>
        <v>0</v>
      </c>
      <c r="AB1051" s="264">
        <f>IF(NFI_Expiration=1,IF($A1051&lt;VLOOKUP(K$5,NFI,5,0),1,0)*Table_NFI[[#This Row],[Mosquito net]],Table_NFI[Mosquito net])</f>
        <v>0</v>
      </c>
      <c r="AC1051" s="264">
        <f>IF(NFI_Expiration=1,IF($A1051&lt;VLOOKUP(L$5,NFI,5,0),1,0)*Table_NFI[[#This Row],[Tarpaulin]],Table_NFI[[#This Row],[Tarpaulin]])</f>
        <v>0</v>
      </c>
      <c r="AD1051" s="264">
        <f>IF(NFI_Expiration=1,IF($A1051&lt;VLOOKUP(M$5,NFI,5,0),1,0)*Table_NFI[[#This Row],[Blanket]],Table_NFI[[#This Row],[Blanket]])</f>
        <v>0</v>
      </c>
      <c r="AE1051" s="264">
        <f>IF(NFI_Expiration=1,IF($A1051&lt;VLOOKUP(N$5,NFI,5,0),1,0)*Table_NFI[[#This Row],[Kitchen Set]],Table_NFI[Kitchen Set])</f>
        <v>0</v>
      </c>
      <c r="AF1051" s="264">
        <f>IF(NFI_Expiration=1,IF($A1051&lt;VLOOKUP(O$5,NFI,5,0),1,0)*Table_NFI[[#This Row],[Clothes Kit]],Table_NFI[Clothes Kit])</f>
        <v>0</v>
      </c>
      <c r="AG1051" s="264">
        <f>IF(NFI_Expiration=1,IF($A1051&lt;VLOOKUP(P$5,NFI,5,0),1,0)*Table_NFI[[#This Row],[Plastic Bucket]],Table_NFI[Plastic Bucket])</f>
        <v>0</v>
      </c>
      <c r="AH1051" s="264">
        <f>IF(NFI_Expiration=1,IF($A1051&lt;VLOOKUP(Q$5,NFI,5,0),1,0)*Table_NFI[[#This Row],[Plastic Mat]],Table_NFI[Plastic Mat])*IF(Table_NFI[[#This Row],[Distribution Date]]&gt;"2014-04-01",1,2.5)</f>
        <v>0</v>
      </c>
      <c r="AI1051" s="264">
        <f>IF(NFI_Expiration=1,IF($A1051&lt;VLOOKUP(R$5,NFI,5,0),1,0)*Table_NFI[[#This Row],[Winter Clothes Adult]],Table_NFI[Winter Clothes Adult])</f>
        <v>0</v>
      </c>
      <c r="AJ1051" s="264">
        <f>IF(NFI_Expiration=1,IF($A1051&lt;VLOOKUP(S$5,NFI,5,0),1,0)*Table_NFI[[#This Row],[Winter Clothes Children]],Table_NFI[Winter Clothes Children])</f>
        <v>0</v>
      </c>
      <c r="AK1051" s="264">
        <f>IF(NFI_Expiration=1,IF($A1051&lt;VLOOKUP(T$5,NFI,5,0),1,0)*Table_NFI[[#This Row],[Winter Items Other]],Table_NFI[Winter Items Other])</f>
        <v>0</v>
      </c>
      <c r="AL1051" s="264">
        <f>IF(NFI_Expiration=1,IF($A1051&lt;VLOOKUP(M$5,NFI,5,0),1,0)*Table_NFI[[#This Row],[Winter Blanket]],Table_NFI[[#This Row],[Winter Blanket]])</f>
        <v>0</v>
      </c>
      <c r="AM1051" s="264">
        <f>IF(Table_NFI[[#This Row],[Winter Clothes Adult]]+Table_NFI[[#This Row],[Winter Clothes Children]]+Table_NFI[[#This Row],[Winter Items Other]]+Table_NFI[[#This Row],[Winter Blanket]]&gt;0,1,0)</f>
        <v>0</v>
      </c>
      <c r="AN1051" s="296">
        <f>IF(NFI_Expiration=1,IF($A1051&lt;VLOOKUP(V$5,NFI,5,0),1,0)*Table_NFI[[#This Row],[Jerry Can]],Table_NFI[Jerry Can])</f>
        <v>0</v>
      </c>
      <c r="AO1051" s="296">
        <f>IF(NFI_Expiration=1,IF($A1051&lt;VLOOKUP(V$5,NFI,5,0),1,0)*Table_NFI[[#This Row],[Shelter Tool kit]],Table_NFI[Shelter Tool kit])</f>
        <v>0</v>
      </c>
      <c r="AP1051" s="296">
        <f>IF(NFI_Expiration=1,IF($A1051&lt;VLOOKUP(V$5,NFI,5,0),1,0)*Table_NFI[[#This Row],[Tent]],Table_NFI[Tent])</f>
        <v>0</v>
      </c>
      <c r="AQ1051" s="396" t="str">
        <f>IFERROR(VLOOKUP(Table_NFI[[#This Row],[Camp Name]],CL,2,0),"")</f>
        <v>MMR001CMP050</v>
      </c>
      <c r="AR1051" s="702">
        <f ca="1">IF(Table_NFI[[#This Row],[Pcode]]="","",IF(OFFSET(CampList[Opening Date],MATCH(Table_NFI[[#This Row],[Pcode]],CampList[CP_Pcode],0)-1,0,1,1)&gt;=NFI_Monitor_Date,1,0))</f>
        <v>0</v>
      </c>
      <c r="AS1051" s="396" t="str">
        <f>IFERROR(VLOOKUP(Table_NFI[[#This Row],[Camp Name]],CL,3,0),"")</f>
        <v>Open</v>
      </c>
      <c r="AT1051" s="264" t="str">
        <f ca="1">IF(Table_NFI[[#This Row],[Pcode]]="","",OFFSET(CampList[Priority],MATCH(Table_NFI[[#This Row],[Pcode]],CampList[CP_Pcode],0)-1,0,1,1))</f>
        <v>P4</v>
      </c>
      <c r="AU1051" s="263">
        <f>IFERROR(Table_NFI[[#This Row],[Kitchen Set]]/VLOOKUP(Table_NFI[[#This Row],[Camp Name]],CL,4,0),"")</f>
        <v>0</v>
      </c>
      <c r="AV1051" s="390" t="s">
        <v>1087</v>
      </c>
      <c r="AW1051" s="392"/>
      <c r="AX1051" s="399"/>
      <c r="AY1051" s="399"/>
      <c r="AZ1051" s="399"/>
      <c r="BA1051" s="399"/>
      <c r="BB1051" s="399"/>
      <c r="BC1051" s="399"/>
      <c r="BD1051" s="399"/>
      <c r="BE1051" s="399"/>
      <c r="BF1051" s="399"/>
      <c r="BG1051" s="399"/>
      <c r="BH1051" s="399"/>
      <c r="BI1051" s="399"/>
      <c r="BJ1051" s="399"/>
      <c r="BK1051" s="399"/>
      <c r="BL1051" s="399"/>
      <c r="BM1051" s="399"/>
      <c r="BN1051" s="399"/>
      <c r="BO1051" s="399"/>
      <c r="BP1051" s="399"/>
      <c r="BQ1051" s="399"/>
      <c r="BR1051" s="399"/>
      <c r="BS1051" s="399"/>
      <c r="BT1051" s="399"/>
      <c r="BU1051" s="399"/>
      <c r="BV1051" s="399"/>
      <c r="BW1051" s="399"/>
      <c r="BX1051" s="399"/>
      <c r="BY1051" s="399"/>
      <c r="BZ1051" s="399"/>
      <c r="CA1051" s="399"/>
      <c r="CB1051" s="399"/>
      <c r="CC1051" s="399"/>
      <c r="CD1051" s="399"/>
      <c r="CE1051" s="399"/>
      <c r="CF1051" s="399"/>
      <c r="CG1051" s="399"/>
      <c r="CH1051" s="399"/>
      <c r="CI1051" s="399"/>
      <c r="CJ1051" s="399"/>
      <c r="CK1051" s="399"/>
      <c r="CL1051" s="399"/>
      <c r="CM1051" s="399"/>
      <c r="CN1051" s="399"/>
      <c r="CO1051" s="399"/>
      <c r="CP1051" s="399"/>
      <c r="CQ1051" s="399"/>
      <c r="CR1051" s="399"/>
      <c r="CS1051" s="399"/>
      <c r="CT1051" s="399"/>
      <c r="CU1051" s="399"/>
      <c r="CV1051" s="399"/>
      <c r="CW1051" s="399"/>
      <c r="CX1051" s="399"/>
      <c r="CY1051" s="399"/>
      <c r="CZ1051" s="399"/>
      <c r="DA1051" s="399"/>
      <c r="DB1051" s="399"/>
      <c r="DC1051" s="399"/>
      <c r="DD1051" s="399"/>
      <c r="DE1051" s="399"/>
      <c r="DF1051" s="399"/>
      <c r="DG1051" s="399"/>
      <c r="DH1051" s="399"/>
      <c r="DI1051" s="399"/>
      <c r="DJ1051" s="399"/>
      <c r="DK1051" s="399"/>
      <c r="DL1051" s="399"/>
      <c r="DM1051" s="399"/>
      <c r="DN1051" s="399"/>
      <c r="DO1051" s="399"/>
      <c r="DP1051" s="399"/>
      <c r="DQ1051" s="399"/>
    </row>
    <row r="1052" spans="1:121" s="393" customFormat="1" ht="13.15" customHeight="1" x14ac:dyDescent="0.25">
      <c r="A1052" s="266">
        <f t="shared" si="16"/>
        <v>60.533333333333331</v>
      </c>
      <c r="B1052" s="389">
        <v>41040</v>
      </c>
      <c r="C1052" s="390" t="s">
        <v>451</v>
      </c>
      <c r="D1052" s="391" t="s">
        <v>451</v>
      </c>
      <c r="E1052" s="390" t="s">
        <v>380</v>
      </c>
      <c r="F1052" s="262" t="s">
        <v>310</v>
      </c>
      <c r="G1052" s="262" t="s">
        <v>330</v>
      </c>
      <c r="H1052" s="261"/>
      <c r="I1052" s="261"/>
      <c r="J1052" s="261"/>
      <c r="K1052" s="261">
        <v>57</v>
      </c>
      <c r="L1052" s="261">
        <v>29</v>
      </c>
      <c r="M1052" s="261">
        <v>57</v>
      </c>
      <c r="N1052" s="261">
        <v>29</v>
      </c>
      <c r="O1052" s="261">
        <v>29</v>
      </c>
      <c r="P1052" s="261">
        <v>29</v>
      </c>
      <c r="Q1052" s="261">
        <v>29</v>
      </c>
      <c r="R1052" s="261"/>
      <c r="S1052" s="261"/>
      <c r="T1052" s="261"/>
      <c r="U1052" s="261"/>
      <c r="V1052" s="762"/>
      <c r="W1052" s="762"/>
      <c r="X1052" s="762"/>
      <c r="Y1052" s="264">
        <f>IF(NFI_Expiration=1,IF($A1052&lt;VLOOKUP(H$5,NFI,5,0),1,0)*Table_NFI[[#This Row],[Hygiene Kit]],Table_NFI[Hygiene Kit])</f>
        <v>0</v>
      </c>
      <c r="Z1052" s="264">
        <f>IF(NFI_Expiration=1,IF($A1052&lt;VLOOKUP(I$5,NFI,5,0),1,0)*Table_NFI[[#This Row],[NFI Core Kit]],Table_NFI[NFI Core Kit])</f>
        <v>0</v>
      </c>
      <c r="AA1052" s="264">
        <f>IF(NFI_Expiration=1,IF($A1052&lt;VLOOKUP(J$5,NFI,5,0),1,0)*Table_NFI[[#This Row],[Sanitary Kit]],Table_NFI[Sanitary Kit])</f>
        <v>0</v>
      </c>
      <c r="AB1052" s="264">
        <f>IF(NFI_Expiration=1,IF($A1052&lt;VLOOKUP(K$5,NFI,5,0),1,0)*Table_NFI[[#This Row],[Mosquito net]],Table_NFI[Mosquito net])</f>
        <v>0</v>
      </c>
      <c r="AC1052" s="264">
        <f>IF(NFI_Expiration=1,IF($A1052&lt;VLOOKUP(L$5,NFI,5,0),1,0)*Table_NFI[[#This Row],[Tarpaulin]],Table_NFI[[#This Row],[Tarpaulin]])</f>
        <v>0</v>
      </c>
      <c r="AD1052" s="264">
        <f>IF(NFI_Expiration=1,IF($A1052&lt;VLOOKUP(M$5,NFI,5,0),1,0)*Table_NFI[[#This Row],[Blanket]],Table_NFI[[#This Row],[Blanket]])</f>
        <v>0</v>
      </c>
      <c r="AE1052" s="264">
        <f>IF(NFI_Expiration=1,IF($A1052&lt;VLOOKUP(N$5,NFI,5,0),1,0)*Table_NFI[[#This Row],[Kitchen Set]],Table_NFI[Kitchen Set])</f>
        <v>0</v>
      </c>
      <c r="AF1052" s="264">
        <f>IF(NFI_Expiration=1,IF($A1052&lt;VLOOKUP(O$5,NFI,5,0),1,0)*Table_NFI[[#This Row],[Clothes Kit]],Table_NFI[Clothes Kit])</f>
        <v>0</v>
      </c>
      <c r="AG1052" s="264">
        <f>IF(NFI_Expiration=1,IF($A1052&lt;VLOOKUP(P$5,NFI,5,0),1,0)*Table_NFI[[#This Row],[Plastic Bucket]],Table_NFI[Plastic Bucket])</f>
        <v>0</v>
      </c>
      <c r="AH1052" s="264">
        <f>IF(NFI_Expiration=1,IF($A1052&lt;VLOOKUP(Q$5,NFI,5,0),1,0)*Table_NFI[[#This Row],[Plastic Mat]],Table_NFI[Plastic Mat])*IF(Table_NFI[[#This Row],[Distribution Date]]&gt;"2014-04-01",1,2.5)</f>
        <v>0</v>
      </c>
      <c r="AI1052" s="264">
        <f>IF(NFI_Expiration=1,IF($A1052&lt;VLOOKUP(R$5,NFI,5,0),1,0)*Table_NFI[[#This Row],[Winter Clothes Adult]],Table_NFI[Winter Clothes Adult])</f>
        <v>0</v>
      </c>
      <c r="AJ1052" s="264">
        <f>IF(NFI_Expiration=1,IF($A1052&lt;VLOOKUP(S$5,NFI,5,0),1,0)*Table_NFI[[#This Row],[Winter Clothes Children]],Table_NFI[Winter Clothes Children])</f>
        <v>0</v>
      </c>
      <c r="AK1052" s="264">
        <f>IF(NFI_Expiration=1,IF($A1052&lt;VLOOKUP(T$5,NFI,5,0),1,0)*Table_NFI[[#This Row],[Winter Items Other]],Table_NFI[Winter Items Other])</f>
        <v>0</v>
      </c>
      <c r="AL1052" s="264">
        <f>IF(NFI_Expiration=1,IF($A1052&lt;VLOOKUP(M$5,NFI,5,0),1,0)*Table_NFI[[#This Row],[Winter Blanket]],Table_NFI[[#This Row],[Winter Blanket]])</f>
        <v>0</v>
      </c>
      <c r="AM1052" s="264">
        <f>IF(Table_NFI[[#This Row],[Winter Clothes Adult]]+Table_NFI[[#This Row],[Winter Clothes Children]]+Table_NFI[[#This Row],[Winter Items Other]]+Table_NFI[[#This Row],[Winter Blanket]]&gt;0,1,0)</f>
        <v>0</v>
      </c>
      <c r="AN1052" s="296">
        <f>IF(NFI_Expiration=1,IF($A1052&lt;VLOOKUP(V$5,NFI,5,0),1,0)*Table_NFI[[#This Row],[Jerry Can]],Table_NFI[Jerry Can])</f>
        <v>0</v>
      </c>
      <c r="AO1052" s="296">
        <f>IF(NFI_Expiration=1,IF($A1052&lt;VLOOKUP(V$5,NFI,5,0),1,0)*Table_NFI[[#This Row],[Shelter Tool kit]],Table_NFI[Shelter Tool kit])</f>
        <v>0</v>
      </c>
      <c r="AP1052" s="296">
        <f>IF(NFI_Expiration=1,IF($A1052&lt;VLOOKUP(V$5,NFI,5,0),1,0)*Table_NFI[[#This Row],[Tent]],Table_NFI[Tent])</f>
        <v>0</v>
      </c>
      <c r="AQ1052" s="396" t="str">
        <f>IFERROR(VLOOKUP(Table_NFI[[#This Row],[Camp Name]],CL,2,0),"")</f>
        <v>MMR001CMP029</v>
      </c>
      <c r="AR1052" s="702">
        <f ca="1">IF(Table_NFI[[#This Row],[Pcode]]="","",IF(OFFSET(CampList[Opening Date],MATCH(Table_NFI[[#This Row],[Pcode]],CampList[CP_Pcode],0)-1,0,1,1)&gt;=NFI_Monitor_Date,1,0))</f>
        <v>0</v>
      </c>
      <c r="AS1052" s="396" t="str">
        <f>IFERROR(VLOOKUP(Table_NFI[[#This Row],[Camp Name]],CL,3,0),"")</f>
        <v>Open</v>
      </c>
      <c r="AT1052" s="264" t="str">
        <f ca="1">IF(Table_NFI[[#This Row],[Pcode]]="","",OFFSET(CampList[Priority],MATCH(Table_NFI[[#This Row],[Pcode]],CampList[CP_Pcode],0)-1,0,1,1))</f>
        <v>P4</v>
      </c>
      <c r="AU1052" s="263">
        <f>IFERROR(Table_NFI[[#This Row],[Kitchen Set]]/VLOOKUP(Table_NFI[[#This Row],[Camp Name]],CL,4,0),"")</f>
        <v>7.00043450972819E-4</v>
      </c>
      <c r="AV1052" s="390" t="s">
        <v>1087</v>
      </c>
      <c r="AW1052" s="392"/>
      <c r="AX1052" s="399"/>
      <c r="AY1052" s="399"/>
      <c r="AZ1052" s="399"/>
      <c r="BA1052" s="399"/>
      <c r="BB1052" s="399"/>
      <c r="BC1052" s="399"/>
      <c r="BD1052" s="399"/>
      <c r="BE1052" s="399"/>
      <c r="BF1052" s="399"/>
      <c r="BG1052" s="399"/>
      <c r="BH1052" s="399"/>
      <c r="BI1052" s="399"/>
      <c r="BJ1052" s="399"/>
      <c r="BK1052" s="399"/>
      <c r="BL1052" s="399"/>
      <c r="BM1052" s="399"/>
      <c r="BN1052" s="399"/>
      <c r="BO1052" s="399"/>
      <c r="BP1052" s="399"/>
      <c r="BQ1052" s="399"/>
      <c r="BR1052" s="399"/>
      <c r="BS1052" s="399"/>
      <c r="BT1052" s="399"/>
      <c r="BU1052" s="399"/>
      <c r="BV1052" s="399"/>
      <c r="BW1052" s="399"/>
      <c r="BX1052" s="399"/>
      <c r="BY1052" s="399"/>
      <c r="BZ1052" s="399"/>
      <c r="CA1052" s="399"/>
      <c r="CB1052" s="399"/>
      <c r="CC1052" s="399"/>
      <c r="CD1052" s="399"/>
      <c r="CE1052" s="399"/>
      <c r="CF1052" s="399"/>
      <c r="CG1052" s="399"/>
      <c r="CH1052" s="399"/>
      <c r="CI1052" s="399"/>
      <c r="CJ1052" s="399"/>
      <c r="CK1052" s="399"/>
      <c r="CL1052" s="399"/>
      <c r="CM1052" s="399"/>
      <c r="CN1052" s="399"/>
      <c r="CO1052" s="399"/>
      <c r="CP1052" s="399"/>
      <c r="CQ1052" s="399"/>
      <c r="CR1052" s="399"/>
      <c r="CS1052" s="399"/>
      <c r="CT1052" s="399"/>
      <c r="CU1052" s="399"/>
      <c r="CV1052" s="399"/>
      <c r="CW1052" s="399"/>
      <c r="CX1052" s="399"/>
      <c r="CY1052" s="399"/>
      <c r="CZ1052" s="399"/>
      <c r="DA1052" s="399"/>
      <c r="DB1052" s="399"/>
      <c r="DC1052" s="399"/>
      <c r="DD1052" s="399"/>
      <c r="DE1052" s="399"/>
      <c r="DF1052" s="399"/>
      <c r="DG1052" s="399"/>
      <c r="DH1052" s="399"/>
      <c r="DI1052" s="399"/>
      <c r="DJ1052" s="399"/>
      <c r="DK1052" s="399"/>
      <c r="DL1052" s="399"/>
      <c r="DM1052" s="399"/>
      <c r="DN1052" s="399"/>
      <c r="DO1052" s="399"/>
      <c r="DP1052" s="399"/>
      <c r="DQ1052" s="399"/>
    </row>
    <row r="1053" spans="1:121" s="760" customFormat="1" ht="13.15" customHeight="1" x14ac:dyDescent="0.25">
      <c r="A1053" s="266">
        <f t="shared" si="16"/>
        <v>60.533333333333331</v>
      </c>
      <c r="B1053" s="389">
        <v>41040</v>
      </c>
      <c r="C1053" s="390" t="s">
        <v>451</v>
      </c>
      <c r="D1053" s="391" t="s">
        <v>451</v>
      </c>
      <c r="E1053" s="390" t="s">
        <v>380</v>
      </c>
      <c r="F1053" s="262" t="s">
        <v>310</v>
      </c>
      <c r="G1053" s="262" t="s">
        <v>324</v>
      </c>
      <c r="H1053" s="261"/>
      <c r="I1053" s="261"/>
      <c r="J1053" s="261"/>
      <c r="K1053" s="261">
        <v>50</v>
      </c>
      <c r="L1053" s="261">
        <v>25</v>
      </c>
      <c r="M1053" s="261">
        <v>50</v>
      </c>
      <c r="N1053" s="261">
        <v>24</v>
      </c>
      <c r="O1053" s="261">
        <v>13</v>
      </c>
      <c r="P1053" s="261">
        <v>13</v>
      </c>
      <c r="Q1053" s="261">
        <v>13</v>
      </c>
      <c r="R1053" s="261"/>
      <c r="S1053" s="261"/>
      <c r="T1053" s="261"/>
      <c r="U1053" s="261"/>
      <c r="V1053" s="762"/>
      <c r="W1053" s="762"/>
      <c r="X1053" s="762"/>
      <c r="Y1053" s="264">
        <f>IF(NFI_Expiration=1,IF($A1053&lt;VLOOKUP(H$5,NFI,5,0),1,0)*Table_NFI[[#This Row],[Hygiene Kit]],Table_NFI[Hygiene Kit])</f>
        <v>0</v>
      </c>
      <c r="Z1053" s="264">
        <f>IF(NFI_Expiration=1,IF($A1053&lt;VLOOKUP(I$5,NFI,5,0),1,0)*Table_NFI[[#This Row],[NFI Core Kit]],Table_NFI[NFI Core Kit])</f>
        <v>0</v>
      </c>
      <c r="AA1053" s="264">
        <f>IF(NFI_Expiration=1,IF($A1053&lt;VLOOKUP(J$5,NFI,5,0),1,0)*Table_NFI[[#This Row],[Sanitary Kit]],Table_NFI[Sanitary Kit])</f>
        <v>0</v>
      </c>
      <c r="AB1053" s="264">
        <f>IF(NFI_Expiration=1,IF($A1053&lt;VLOOKUP(K$5,NFI,5,0),1,0)*Table_NFI[[#This Row],[Mosquito net]],Table_NFI[Mosquito net])</f>
        <v>0</v>
      </c>
      <c r="AC1053" s="264">
        <f>IF(NFI_Expiration=1,IF($A1053&lt;VLOOKUP(L$5,NFI,5,0),1,0)*Table_NFI[[#This Row],[Tarpaulin]],Table_NFI[[#This Row],[Tarpaulin]])</f>
        <v>0</v>
      </c>
      <c r="AD1053" s="264">
        <f>IF(NFI_Expiration=1,IF($A1053&lt;VLOOKUP(M$5,NFI,5,0),1,0)*Table_NFI[[#This Row],[Blanket]],Table_NFI[[#This Row],[Blanket]])</f>
        <v>0</v>
      </c>
      <c r="AE1053" s="264">
        <f>IF(NFI_Expiration=1,IF($A1053&lt;VLOOKUP(N$5,NFI,5,0),1,0)*Table_NFI[[#This Row],[Kitchen Set]],Table_NFI[Kitchen Set])</f>
        <v>0</v>
      </c>
      <c r="AF1053" s="264">
        <f>IF(NFI_Expiration=1,IF($A1053&lt;VLOOKUP(O$5,NFI,5,0),1,0)*Table_NFI[[#This Row],[Clothes Kit]],Table_NFI[Clothes Kit])</f>
        <v>0</v>
      </c>
      <c r="AG1053" s="264">
        <f>IF(NFI_Expiration=1,IF($A1053&lt;VLOOKUP(P$5,NFI,5,0),1,0)*Table_NFI[[#This Row],[Plastic Bucket]],Table_NFI[Plastic Bucket])</f>
        <v>0</v>
      </c>
      <c r="AH1053" s="264">
        <f>IF(NFI_Expiration=1,IF($A1053&lt;VLOOKUP(Q$5,NFI,5,0),1,0)*Table_NFI[[#This Row],[Plastic Mat]],Table_NFI[Plastic Mat])*IF(Table_NFI[[#This Row],[Distribution Date]]&gt;"2014-04-01",1,2.5)</f>
        <v>0</v>
      </c>
      <c r="AI1053" s="264">
        <f>IF(NFI_Expiration=1,IF($A1053&lt;VLOOKUP(R$5,NFI,5,0),1,0)*Table_NFI[[#This Row],[Winter Clothes Adult]],Table_NFI[Winter Clothes Adult])</f>
        <v>0</v>
      </c>
      <c r="AJ1053" s="264">
        <f>IF(NFI_Expiration=1,IF($A1053&lt;VLOOKUP(S$5,NFI,5,0),1,0)*Table_NFI[[#This Row],[Winter Clothes Children]],Table_NFI[Winter Clothes Children])</f>
        <v>0</v>
      </c>
      <c r="AK1053" s="264">
        <f>IF(NFI_Expiration=1,IF($A1053&lt;VLOOKUP(T$5,NFI,5,0),1,0)*Table_NFI[[#This Row],[Winter Items Other]],Table_NFI[Winter Items Other])</f>
        <v>0</v>
      </c>
      <c r="AL1053" s="264">
        <f>IF(NFI_Expiration=1,IF($A1053&lt;VLOOKUP(M$5,NFI,5,0),1,0)*Table_NFI[[#This Row],[Winter Blanket]],Table_NFI[[#This Row],[Winter Blanket]])</f>
        <v>0</v>
      </c>
      <c r="AM1053" s="264">
        <f>IF(Table_NFI[[#This Row],[Winter Clothes Adult]]+Table_NFI[[#This Row],[Winter Clothes Children]]+Table_NFI[[#This Row],[Winter Items Other]]+Table_NFI[[#This Row],[Winter Blanket]]&gt;0,1,0)</f>
        <v>0</v>
      </c>
      <c r="AN1053" s="296">
        <f>IF(NFI_Expiration=1,IF($A1053&lt;VLOOKUP(V$5,NFI,5,0),1,0)*Table_NFI[[#This Row],[Jerry Can]],Table_NFI[Jerry Can])</f>
        <v>0</v>
      </c>
      <c r="AO1053" s="296">
        <f>IF(NFI_Expiration=1,IF($A1053&lt;VLOOKUP(V$5,NFI,5,0),1,0)*Table_NFI[[#This Row],[Shelter Tool kit]],Table_NFI[Shelter Tool kit])</f>
        <v>0</v>
      </c>
      <c r="AP1053" s="296">
        <f>IF(NFI_Expiration=1,IF($A1053&lt;VLOOKUP(V$5,NFI,5,0),1,0)*Table_NFI[[#This Row],[Tent]],Table_NFI[Tent])</f>
        <v>0</v>
      </c>
      <c r="AQ1053" s="396" t="str">
        <f>IFERROR(VLOOKUP(Table_NFI[[#This Row],[Camp Name]],CL,2,0),"")</f>
        <v>MMR001CMP040</v>
      </c>
      <c r="AR1053" s="702">
        <f ca="1">IF(Table_NFI[[#This Row],[Pcode]]="","",IF(OFFSET(CampList[Opening Date],MATCH(Table_NFI[[#This Row],[Pcode]],CampList[CP_Pcode],0)-1,0,1,1)&gt;=NFI_Monitor_Date,1,0))</f>
        <v>0</v>
      </c>
      <c r="AS1053" s="396" t="str">
        <f>IFERROR(VLOOKUP(Table_NFI[[#This Row],[Camp Name]],CL,3,0),"")</f>
        <v>Open</v>
      </c>
      <c r="AT1053" s="264" t="str">
        <f ca="1">IF(Table_NFI[[#This Row],[Pcode]]="","",OFFSET(CampList[Priority],MATCH(Table_NFI[[#This Row],[Pcode]],CampList[CP_Pcode],0)-1,0,1,1))</f>
        <v>P4</v>
      </c>
      <c r="AU1053" s="263">
        <f>IFERROR(Table_NFI[[#This Row],[Kitchen Set]]/VLOOKUP(Table_NFI[[#This Row],[Camp Name]],CL,4,0),"")</f>
        <v>5.8449623730547236E-4</v>
      </c>
      <c r="AV1053" s="390" t="s">
        <v>1087</v>
      </c>
      <c r="AW1053" s="392"/>
      <c r="AX1053" s="399"/>
      <c r="AY1053" s="399"/>
      <c r="AZ1053" s="399"/>
      <c r="BA1053" s="399"/>
      <c r="BB1053" s="399"/>
      <c r="BC1053" s="399"/>
      <c r="BD1053" s="399"/>
      <c r="BE1053" s="399"/>
      <c r="BF1053" s="399"/>
      <c r="BG1053" s="399"/>
      <c r="BH1053" s="399"/>
      <c r="BI1053" s="399"/>
      <c r="BJ1053" s="399"/>
      <c r="BK1053" s="399"/>
      <c r="BL1053" s="399"/>
      <c r="BM1053" s="399"/>
      <c r="BN1053" s="399"/>
      <c r="BO1053" s="399"/>
      <c r="BP1053" s="399"/>
      <c r="BQ1053" s="399"/>
      <c r="BR1053" s="399"/>
      <c r="BS1053" s="399"/>
      <c r="BT1053" s="399"/>
      <c r="BU1053" s="399"/>
      <c r="BV1053" s="399"/>
      <c r="BW1053" s="399"/>
      <c r="BX1053" s="399"/>
      <c r="BY1053" s="399"/>
      <c r="BZ1053" s="399"/>
      <c r="CA1053" s="399"/>
      <c r="CB1053" s="399"/>
      <c r="CC1053" s="399"/>
      <c r="CD1053" s="399"/>
      <c r="CE1053" s="399"/>
      <c r="CF1053" s="399"/>
      <c r="CG1053" s="399"/>
      <c r="CH1053" s="399"/>
      <c r="CI1053" s="399"/>
      <c r="CJ1053" s="399"/>
      <c r="CK1053" s="399"/>
      <c r="CL1053" s="399"/>
      <c r="CM1053" s="399"/>
      <c r="CN1053" s="399"/>
      <c r="CO1053" s="399"/>
      <c r="CP1053" s="399"/>
      <c r="CQ1053" s="399"/>
      <c r="CR1053" s="399"/>
      <c r="CS1053" s="399"/>
      <c r="CT1053" s="399"/>
      <c r="CU1053" s="399"/>
      <c r="CV1053" s="399"/>
      <c r="CW1053" s="399"/>
      <c r="CX1053" s="399"/>
      <c r="CY1053" s="399"/>
      <c r="CZ1053" s="399"/>
      <c r="DA1053" s="399"/>
      <c r="DB1053" s="399"/>
      <c r="DC1053" s="399"/>
      <c r="DD1053" s="399"/>
      <c r="DE1053" s="399"/>
      <c r="DF1053" s="399"/>
      <c r="DG1053" s="399"/>
      <c r="DH1053" s="399"/>
      <c r="DI1053" s="399"/>
      <c r="DJ1053" s="399"/>
      <c r="DK1053" s="399"/>
      <c r="DL1053" s="399"/>
      <c r="DM1053" s="399"/>
      <c r="DN1053" s="399"/>
      <c r="DO1053" s="399"/>
      <c r="DP1053" s="399"/>
      <c r="DQ1053" s="399"/>
    </row>
    <row r="1054" spans="1:121" s="760" customFormat="1" ht="13.15" customHeight="1" x14ac:dyDescent="0.25">
      <c r="A1054" s="266">
        <f t="shared" si="16"/>
        <v>60.533333333333331</v>
      </c>
      <c r="B1054" s="389">
        <v>41040</v>
      </c>
      <c r="C1054" s="390" t="s">
        <v>451</v>
      </c>
      <c r="D1054" s="390" t="s">
        <v>458</v>
      </c>
      <c r="E1054" s="390" t="s">
        <v>380</v>
      </c>
      <c r="F1054" s="262" t="s">
        <v>302</v>
      </c>
      <c r="G1054" s="262" t="s">
        <v>306</v>
      </c>
      <c r="H1054" s="261"/>
      <c r="I1054" s="261"/>
      <c r="J1054" s="261"/>
      <c r="K1054" s="261">
        <v>38</v>
      </c>
      <c r="L1054" s="261">
        <v>23</v>
      </c>
      <c r="M1054" s="261">
        <v>38</v>
      </c>
      <c r="N1054" s="261">
        <v>23</v>
      </c>
      <c r="O1054" s="261">
        <v>23</v>
      </c>
      <c r="P1054" s="261">
        <v>23</v>
      </c>
      <c r="Q1054" s="261">
        <v>23</v>
      </c>
      <c r="R1054" s="261"/>
      <c r="S1054" s="261"/>
      <c r="T1054" s="261"/>
      <c r="U1054" s="261"/>
      <c r="V1054" s="762"/>
      <c r="W1054" s="762"/>
      <c r="X1054" s="762"/>
      <c r="Y1054" s="264">
        <f>IF(NFI_Expiration=1,IF($A1054&lt;VLOOKUP(H$5,NFI,5,0),1,0)*Table_NFI[[#This Row],[Hygiene Kit]],Table_NFI[Hygiene Kit])</f>
        <v>0</v>
      </c>
      <c r="Z1054" s="264">
        <f>IF(NFI_Expiration=1,IF($A1054&lt;VLOOKUP(I$5,NFI,5,0),1,0)*Table_NFI[[#This Row],[NFI Core Kit]],Table_NFI[NFI Core Kit])</f>
        <v>0</v>
      </c>
      <c r="AA1054" s="264">
        <f>IF(NFI_Expiration=1,IF($A1054&lt;VLOOKUP(J$5,NFI,5,0),1,0)*Table_NFI[[#This Row],[Sanitary Kit]],Table_NFI[Sanitary Kit])</f>
        <v>0</v>
      </c>
      <c r="AB1054" s="264">
        <f>IF(NFI_Expiration=1,IF($A1054&lt;VLOOKUP(K$5,NFI,5,0),1,0)*Table_NFI[[#This Row],[Mosquito net]],Table_NFI[Mosquito net])</f>
        <v>0</v>
      </c>
      <c r="AC1054" s="264">
        <f>IF(NFI_Expiration=1,IF($A1054&lt;VLOOKUP(L$5,NFI,5,0),1,0)*Table_NFI[[#This Row],[Tarpaulin]],Table_NFI[[#This Row],[Tarpaulin]])</f>
        <v>0</v>
      </c>
      <c r="AD1054" s="264">
        <f>IF(NFI_Expiration=1,IF($A1054&lt;VLOOKUP(M$5,NFI,5,0),1,0)*Table_NFI[[#This Row],[Blanket]],Table_NFI[[#This Row],[Blanket]])</f>
        <v>0</v>
      </c>
      <c r="AE1054" s="264">
        <f>IF(NFI_Expiration=1,IF($A1054&lt;VLOOKUP(N$5,NFI,5,0),1,0)*Table_NFI[[#This Row],[Kitchen Set]],Table_NFI[Kitchen Set])</f>
        <v>0</v>
      </c>
      <c r="AF1054" s="264">
        <f>IF(NFI_Expiration=1,IF($A1054&lt;VLOOKUP(O$5,NFI,5,0),1,0)*Table_NFI[[#This Row],[Clothes Kit]],Table_NFI[Clothes Kit])</f>
        <v>0</v>
      </c>
      <c r="AG1054" s="264">
        <f>IF(NFI_Expiration=1,IF($A1054&lt;VLOOKUP(P$5,NFI,5,0),1,0)*Table_NFI[[#This Row],[Plastic Bucket]],Table_NFI[Plastic Bucket])</f>
        <v>0</v>
      </c>
      <c r="AH1054" s="264">
        <f>IF(NFI_Expiration=1,IF($A1054&lt;VLOOKUP(Q$5,NFI,5,0),1,0)*Table_NFI[[#This Row],[Plastic Mat]],Table_NFI[Plastic Mat])*IF(Table_NFI[[#This Row],[Distribution Date]]&gt;"2014-04-01",1,2.5)</f>
        <v>0</v>
      </c>
      <c r="AI1054" s="264">
        <f>IF(NFI_Expiration=1,IF($A1054&lt;VLOOKUP(R$5,NFI,5,0),1,0)*Table_NFI[[#This Row],[Winter Clothes Adult]],Table_NFI[Winter Clothes Adult])</f>
        <v>0</v>
      </c>
      <c r="AJ1054" s="264">
        <f>IF(NFI_Expiration=1,IF($A1054&lt;VLOOKUP(S$5,NFI,5,0),1,0)*Table_NFI[[#This Row],[Winter Clothes Children]],Table_NFI[Winter Clothes Children])</f>
        <v>0</v>
      </c>
      <c r="AK1054" s="264">
        <f>IF(NFI_Expiration=1,IF($A1054&lt;VLOOKUP(T$5,NFI,5,0),1,0)*Table_NFI[[#This Row],[Winter Items Other]],Table_NFI[Winter Items Other])</f>
        <v>0</v>
      </c>
      <c r="AL1054" s="264">
        <f>IF(NFI_Expiration=1,IF($A1054&lt;VLOOKUP(M$5,NFI,5,0),1,0)*Table_NFI[[#This Row],[Winter Blanket]],Table_NFI[[#This Row],[Winter Blanket]])</f>
        <v>0</v>
      </c>
      <c r="AM1054" s="264">
        <f>IF(Table_NFI[[#This Row],[Winter Clothes Adult]]+Table_NFI[[#This Row],[Winter Clothes Children]]+Table_NFI[[#This Row],[Winter Items Other]]+Table_NFI[[#This Row],[Winter Blanket]]&gt;0,1,0)</f>
        <v>0</v>
      </c>
      <c r="AN1054" s="296">
        <f>IF(NFI_Expiration=1,IF($A1054&lt;VLOOKUP(V$5,NFI,5,0),1,0)*Table_NFI[[#This Row],[Jerry Can]],Table_NFI[Jerry Can])</f>
        <v>0</v>
      </c>
      <c r="AO1054" s="296">
        <f>IF(NFI_Expiration=1,IF($A1054&lt;VLOOKUP(V$5,NFI,5,0),1,0)*Table_NFI[[#This Row],[Shelter Tool kit]],Table_NFI[Shelter Tool kit])</f>
        <v>0</v>
      </c>
      <c r="AP1054" s="296">
        <f>IF(NFI_Expiration=1,IF($A1054&lt;VLOOKUP(V$5,NFI,5,0),1,0)*Table_NFI[[#This Row],[Tent]],Table_NFI[Tent])</f>
        <v>0</v>
      </c>
      <c r="AQ1054" s="396" t="str">
        <f>IFERROR(VLOOKUP(Table_NFI[[#This Row],[Camp Name]],CL,2,0),"")</f>
        <v>MMR001CMP067</v>
      </c>
      <c r="AR1054" s="702">
        <f ca="1">IF(Table_NFI[[#This Row],[Pcode]]="","",IF(OFFSET(CampList[Opening Date],MATCH(Table_NFI[[#This Row],[Pcode]],CampList[CP_Pcode],0)-1,0,1,1)&gt;=NFI_Monitor_Date,1,0))</f>
        <v>0</v>
      </c>
      <c r="AS1054" s="396" t="str">
        <f>IFERROR(VLOOKUP(Table_NFI[[#This Row],[Camp Name]],CL,3,0),"")</f>
        <v>Open</v>
      </c>
      <c r="AT1054" s="264" t="str">
        <f ca="1">IF(Table_NFI[[#This Row],[Pcode]]="","",OFFSET(CampList[Priority],MATCH(Table_NFI[[#This Row],[Pcode]],CampList[CP_Pcode],0)-1,0,1,1))</f>
        <v>P4</v>
      </c>
      <c r="AU1054" s="263">
        <f>IFERROR(Table_NFI[[#This Row],[Kitchen Set]]/VLOOKUP(Table_NFI[[#This Row],[Camp Name]],CL,4,0),"")</f>
        <v>5.647636586863106E-4</v>
      </c>
      <c r="AV1054" s="390" t="s">
        <v>1087</v>
      </c>
      <c r="AW1054" s="392"/>
      <c r="AX1054" s="399"/>
      <c r="AY1054" s="399"/>
      <c r="AZ1054" s="399"/>
      <c r="BA1054" s="399"/>
      <c r="BB1054" s="399"/>
      <c r="BC1054" s="399"/>
      <c r="BD1054" s="399"/>
      <c r="BE1054" s="399"/>
      <c r="BF1054" s="399"/>
      <c r="BG1054" s="399"/>
      <c r="BH1054" s="399"/>
      <c r="BI1054" s="399"/>
      <c r="BJ1054" s="399"/>
      <c r="BK1054" s="399"/>
      <c r="BL1054" s="399"/>
      <c r="BM1054" s="399"/>
      <c r="BN1054" s="399"/>
      <c r="BO1054" s="399"/>
      <c r="BP1054" s="399"/>
      <c r="BQ1054" s="399"/>
      <c r="BR1054" s="399"/>
      <c r="BS1054" s="399"/>
      <c r="BT1054" s="399"/>
      <c r="BU1054" s="399"/>
      <c r="BV1054" s="399"/>
      <c r="BW1054" s="399"/>
      <c r="BX1054" s="399"/>
      <c r="BY1054" s="399"/>
      <c r="BZ1054" s="399"/>
      <c r="CA1054" s="399"/>
      <c r="CB1054" s="399"/>
      <c r="CC1054" s="399"/>
      <c r="CD1054" s="399"/>
      <c r="CE1054" s="399"/>
      <c r="CF1054" s="399"/>
      <c r="CG1054" s="399"/>
      <c r="CH1054" s="399"/>
      <c r="CI1054" s="399"/>
      <c r="CJ1054" s="399"/>
      <c r="CK1054" s="399"/>
      <c r="CL1054" s="399"/>
      <c r="CM1054" s="399"/>
      <c r="CN1054" s="399"/>
      <c r="CO1054" s="399"/>
      <c r="CP1054" s="399"/>
      <c r="CQ1054" s="399"/>
      <c r="CR1054" s="399"/>
      <c r="CS1054" s="399"/>
      <c r="CT1054" s="399"/>
      <c r="CU1054" s="399"/>
      <c r="CV1054" s="399"/>
      <c r="CW1054" s="399"/>
      <c r="CX1054" s="399"/>
      <c r="CY1054" s="399"/>
      <c r="CZ1054" s="399"/>
      <c r="DA1054" s="399"/>
      <c r="DB1054" s="399"/>
      <c r="DC1054" s="399"/>
      <c r="DD1054" s="399"/>
      <c r="DE1054" s="399"/>
      <c r="DF1054" s="399"/>
      <c r="DG1054" s="399"/>
      <c r="DH1054" s="399"/>
      <c r="DI1054" s="399"/>
      <c r="DJ1054" s="399"/>
      <c r="DK1054" s="399"/>
      <c r="DL1054" s="399"/>
      <c r="DM1054" s="399"/>
      <c r="DN1054" s="399"/>
      <c r="DO1054" s="399"/>
      <c r="DP1054" s="399"/>
      <c r="DQ1054" s="399"/>
    </row>
    <row r="1055" spans="1:121" s="760" customFormat="1" ht="13.15" customHeight="1" x14ac:dyDescent="0.25">
      <c r="A1055" s="266">
        <f t="shared" si="16"/>
        <v>60.533333333333331</v>
      </c>
      <c r="B1055" s="389">
        <v>41040</v>
      </c>
      <c r="C1055" s="390" t="s">
        <v>451</v>
      </c>
      <c r="D1055" s="390" t="s">
        <v>458</v>
      </c>
      <c r="E1055" s="390" t="s">
        <v>380</v>
      </c>
      <c r="F1055" s="390" t="s">
        <v>302</v>
      </c>
      <c r="G1055" s="262" t="s">
        <v>308</v>
      </c>
      <c r="H1055" s="261"/>
      <c r="I1055" s="261"/>
      <c r="J1055" s="261"/>
      <c r="K1055" s="261">
        <v>37</v>
      </c>
      <c r="L1055" s="261">
        <v>22</v>
      </c>
      <c r="M1055" s="261">
        <v>37</v>
      </c>
      <c r="N1055" s="261">
        <v>22</v>
      </c>
      <c r="O1055" s="261">
        <v>22</v>
      </c>
      <c r="P1055" s="261">
        <v>22</v>
      </c>
      <c r="Q1055" s="261">
        <v>22</v>
      </c>
      <c r="R1055" s="261"/>
      <c r="S1055" s="261"/>
      <c r="T1055" s="261"/>
      <c r="U1055" s="261"/>
      <c r="V1055" s="762"/>
      <c r="W1055" s="762"/>
      <c r="X1055" s="762"/>
      <c r="Y1055" s="264">
        <f>IF(NFI_Expiration=1,IF($A1055&lt;VLOOKUP(H$5,NFI,5,0),1,0)*Table_NFI[[#This Row],[Hygiene Kit]],Table_NFI[Hygiene Kit])</f>
        <v>0</v>
      </c>
      <c r="Z1055" s="264">
        <f>IF(NFI_Expiration=1,IF($A1055&lt;VLOOKUP(I$5,NFI,5,0),1,0)*Table_NFI[[#This Row],[NFI Core Kit]],Table_NFI[NFI Core Kit])</f>
        <v>0</v>
      </c>
      <c r="AA1055" s="264">
        <f>IF(NFI_Expiration=1,IF($A1055&lt;VLOOKUP(J$5,NFI,5,0),1,0)*Table_NFI[[#This Row],[Sanitary Kit]],Table_NFI[Sanitary Kit])</f>
        <v>0</v>
      </c>
      <c r="AB1055" s="264">
        <f>IF(NFI_Expiration=1,IF($A1055&lt;VLOOKUP(K$5,NFI,5,0),1,0)*Table_NFI[[#This Row],[Mosquito net]],Table_NFI[Mosquito net])</f>
        <v>0</v>
      </c>
      <c r="AC1055" s="264">
        <f>IF(NFI_Expiration=1,IF($A1055&lt;VLOOKUP(L$5,NFI,5,0),1,0)*Table_NFI[[#This Row],[Tarpaulin]],Table_NFI[[#This Row],[Tarpaulin]])</f>
        <v>0</v>
      </c>
      <c r="AD1055" s="264">
        <f>IF(NFI_Expiration=1,IF($A1055&lt;VLOOKUP(M$5,NFI,5,0),1,0)*Table_NFI[[#This Row],[Blanket]],Table_NFI[[#This Row],[Blanket]])</f>
        <v>0</v>
      </c>
      <c r="AE1055" s="264">
        <f>IF(NFI_Expiration=1,IF($A1055&lt;VLOOKUP(N$5,NFI,5,0),1,0)*Table_NFI[[#This Row],[Kitchen Set]],Table_NFI[Kitchen Set])</f>
        <v>0</v>
      </c>
      <c r="AF1055" s="264">
        <f>IF(NFI_Expiration=1,IF($A1055&lt;VLOOKUP(O$5,NFI,5,0),1,0)*Table_NFI[[#This Row],[Clothes Kit]],Table_NFI[Clothes Kit])</f>
        <v>0</v>
      </c>
      <c r="AG1055" s="264">
        <f>IF(NFI_Expiration=1,IF($A1055&lt;VLOOKUP(P$5,NFI,5,0),1,0)*Table_NFI[[#This Row],[Plastic Bucket]],Table_NFI[Plastic Bucket])</f>
        <v>0</v>
      </c>
      <c r="AH1055" s="264">
        <f>IF(NFI_Expiration=1,IF($A1055&lt;VLOOKUP(Q$5,NFI,5,0),1,0)*Table_NFI[[#This Row],[Plastic Mat]],Table_NFI[Plastic Mat])*IF(Table_NFI[[#This Row],[Distribution Date]]&gt;"2014-04-01",1,2.5)</f>
        <v>0</v>
      </c>
      <c r="AI1055" s="264">
        <f>IF(NFI_Expiration=1,IF($A1055&lt;VLOOKUP(R$5,NFI,5,0),1,0)*Table_NFI[[#This Row],[Winter Clothes Adult]],Table_NFI[Winter Clothes Adult])</f>
        <v>0</v>
      </c>
      <c r="AJ1055" s="264">
        <f>IF(NFI_Expiration=1,IF($A1055&lt;VLOOKUP(S$5,NFI,5,0),1,0)*Table_NFI[[#This Row],[Winter Clothes Children]],Table_NFI[Winter Clothes Children])</f>
        <v>0</v>
      </c>
      <c r="AK1055" s="264">
        <f>IF(NFI_Expiration=1,IF($A1055&lt;VLOOKUP(T$5,NFI,5,0),1,0)*Table_NFI[[#This Row],[Winter Items Other]],Table_NFI[Winter Items Other])</f>
        <v>0</v>
      </c>
      <c r="AL1055" s="264">
        <f>IF(NFI_Expiration=1,IF($A1055&lt;VLOOKUP(M$5,NFI,5,0),1,0)*Table_NFI[[#This Row],[Winter Blanket]],Table_NFI[[#This Row],[Winter Blanket]])</f>
        <v>0</v>
      </c>
      <c r="AM1055" s="264">
        <f>IF(Table_NFI[[#This Row],[Winter Clothes Adult]]+Table_NFI[[#This Row],[Winter Clothes Children]]+Table_NFI[[#This Row],[Winter Items Other]]+Table_NFI[[#This Row],[Winter Blanket]]&gt;0,1,0)</f>
        <v>0</v>
      </c>
      <c r="AN1055" s="296">
        <f>IF(NFI_Expiration=1,IF($A1055&lt;VLOOKUP(V$5,NFI,5,0),1,0)*Table_NFI[[#This Row],[Jerry Can]],Table_NFI[Jerry Can])</f>
        <v>0</v>
      </c>
      <c r="AO1055" s="296">
        <f>IF(NFI_Expiration=1,IF($A1055&lt;VLOOKUP(V$5,NFI,5,0),1,0)*Table_NFI[[#This Row],[Shelter Tool kit]],Table_NFI[Shelter Tool kit])</f>
        <v>0</v>
      </c>
      <c r="AP1055" s="296">
        <f>IF(NFI_Expiration=1,IF($A1055&lt;VLOOKUP(V$5,NFI,5,0),1,0)*Table_NFI[[#This Row],[Tent]],Table_NFI[Tent])</f>
        <v>0</v>
      </c>
      <c r="AQ1055" s="396" t="str">
        <f>IFERROR(VLOOKUP(Table_NFI[[#This Row],[Camp Name]],CL,2,0),"")</f>
        <v>MMR001CMP068</v>
      </c>
      <c r="AR1055" s="702">
        <f ca="1">IF(Table_NFI[[#This Row],[Pcode]]="","",IF(OFFSET(CampList[Opening Date],MATCH(Table_NFI[[#This Row],[Pcode]],CampList[CP_Pcode],0)-1,0,1,1)&gt;=NFI_Monitor_Date,1,0))</f>
        <v>0</v>
      </c>
      <c r="AS1055" s="396" t="str">
        <f>IFERROR(VLOOKUP(Table_NFI[[#This Row],[Camp Name]],CL,3,0),"")</f>
        <v>Open</v>
      </c>
      <c r="AT1055" s="264" t="str">
        <f ca="1">IF(Table_NFI[[#This Row],[Pcode]]="","",OFFSET(CampList[Priority],MATCH(Table_NFI[[#This Row],[Pcode]],CampList[CP_Pcode],0)-1,0,1,1))</f>
        <v>P4</v>
      </c>
      <c r="AU1055" s="263">
        <f>IFERROR(Table_NFI[[#This Row],[Kitchen Set]]/VLOOKUP(Table_NFI[[#This Row],[Camp Name]],CL,4,0),"")</f>
        <v>5.4020871700429711E-4</v>
      </c>
      <c r="AV1055" s="390" t="s">
        <v>1087</v>
      </c>
      <c r="AW1055" s="392"/>
      <c r="AX1055" s="399"/>
      <c r="AY1055" s="399"/>
      <c r="AZ1055" s="399"/>
      <c r="BA1055" s="399"/>
      <c r="BB1055" s="399"/>
      <c r="BC1055" s="399"/>
      <c r="BD1055" s="399"/>
      <c r="BE1055" s="399"/>
      <c r="BF1055" s="399"/>
      <c r="BG1055" s="399"/>
      <c r="BH1055" s="399"/>
      <c r="BI1055" s="399"/>
      <c r="BJ1055" s="399"/>
      <c r="BK1055" s="399"/>
      <c r="BL1055" s="399"/>
      <c r="BM1055" s="399"/>
      <c r="BN1055" s="399"/>
      <c r="BO1055" s="399"/>
      <c r="BP1055" s="399"/>
      <c r="BQ1055" s="399"/>
      <c r="BR1055" s="399"/>
      <c r="BS1055" s="399"/>
      <c r="BT1055" s="399"/>
      <c r="BU1055" s="399"/>
      <c r="BV1055" s="399"/>
      <c r="BW1055" s="399"/>
      <c r="BX1055" s="399"/>
      <c r="BY1055" s="399"/>
      <c r="BZ1055" s="399"/>
      <c r="CA1055" s="399"/>
      <c r="CB1055" s="399"/>
      <c r="CC1055" s="399"/>
      <c r="CD1055" s="399"/>
      <c r="CE1055" s="399"/>
      <c r="CF1055" s="399"/>
      <c r="CG1055" s="399"/>
      <c r="CH1055" s="399"/>
      <c r="CI1055" s="399"/>
      <c r="CJ1055" s="399"/>
      <c r="CK1055" s="399"/>
      <c r="CL1055" s="399"/>
      <c r="CM1055" s="399"/>
      <c r="CN1055" s="399"/>
      <c r="CO1055" s="399"/>
      <c r="CP1055" s="399"/>
      <c r="CQ1055" s="399"/>
      <c r="CR1055" s="399"/>
      <c r="CS1055" s="399"/>
      <c r="CT1055" s="399"/>
      <c r="CU1055" s="399"/>
      <c r="CV1055" s="399"/>
      <c r="CW1055" s="399"/>
      <c r="CX1055" s="399"/>
      <c r="CY1055" s="399"/>
      <c r="CZ1055" s="399"/>
      <c r="DA1055" s="399"/>
      <c r="DB1055" s="399"/>
      <c r="DC1055" s="399"/>
      <c r="DD1055" s="399"/>
      <c r="DE1055" s="399"/>
      <c r="DF1055" s="399"/>
      <c r="DG1055" s="399"/>
      <c r="DH1055" s="399"/>
      <c r="DI1055" s="399"/>
      <c r="DJ1055" s="399"/>
      <c r="DK1055" s="399"/>
      <c r="DL1055" s="399"/>
      <c r="DM1055" s="399"/>
      <c r="DN1055" s="399"/>
      <c r="DO1055" s="399"/>
      <c r="DP1055" s="399"/>
      <c r="DQ1055" s="399"/>
    </row>
    <row r="1056" spans="1:121" s="399" customFormat="1" ht="16.899999999999999" customHeight="1" x14ac:dyDescent="0.25">
      <c r="A1056" s="266">
        <f t="shared" si="16"/>
        <v>60.6</v>
      </c>
      <c r="B1056" s="389">
        <v>41038</v>
      </c>
      <c r="C1056" s="390" t="s">
        <v>451</v>
      </c>
      <c r="D1056" s="391" t="s">
        <v>451</v>
      </c>
      <c r="E1056" s="390" t="s">
        <v>380</v>
      </c>
      <c r="F1056" s="262" t="s">
        <v>310</v>
      </c>
      <c r="G1056" s="262" t="s">
        <v>311</v>
      </c>
      <c r="H1056" s="261"/>
      <c r="I1056" s="261"/>
      <c r="J1056" s="261"/>
      <c r="K1056" s="261">
        <v>161</v>
      </c>
      <c r="L1056" s="261">
        <v>83</v>
      </c>
      <c r="M1056" s="261">
        <v>161</v>
      </c>
      <c r="N1056" s="261">
        <v>83</v>
      </c>
      <c r="O1056" s="261">
        <v>83</v>
      </c>
      <c r="P1056" s="261">
        <v>83</v>
      </c>
      <c r="Q1056" s="261">
        <v>83</v>
      </c>
      <c r="R1056" s="261"/>
      <c r="S1056" s="261"/>
      <c r="T1056" s="261"/>
      <c r="U1056" s="261"/>
      <c r="V1056" s="762"/>
      <c r="W1056" s="261"/>
      <c r="X1056" s="261"/>
      <c r="Y1056" s="264">
        <f>IF(NFI_Expiration=1,IF($A1056&lt;VLOOKUP(H$5,NFI,5,0),1,0)*Table_NFI[[#This Row],[Hygiene Kit]],Table_NFI[Hygiene Kit])</f>
        <v>0</v>
      </c>
      <c r="Z1056" s="264">
        <f>IF(NFI_Expiration=1,IF($A1056&lt;VLOOKUP(I$5,NFI,5,0),1,0)*Table_NFI[[#This Row],[NFI Core Kit]],Table_NFI[NFI Core Kit])</f>
        <v>0</v>
      </c>
      <c r="AA1056" s="264">
        <f>IF(NFI_Expiration=1,IF($A1056&lt;VLOOKUP(J$5,NFI,5,0),1,0)*Table_NFI[[#This Row],[Sanitary Kit]],Table_NFI[Sanitary Kit])</f>
        <v>0</v>
      </c>
      <c r="AB1056" s="264">
        <f>IF(NFI_Expiration=1,IF($A1056&lt;VLOOKUP(K$5,NFI,5,0),1,0)*Table_NFI[[#This Row],[Mosquito net]],Table_NFI[Mosquito net])</f>
        <v>0</v>
      </c>
      <c r="AC1056" s="264">
        <f>IF(NFI_Expiration=1,IF($A1056&lt;VLOOKUP(L$5,NFI,5,0),1,0)*Table_NFI[[#This Row],[Tarpaulin]],Table_NFI[[#This Row],[Tarpaulin]])</f>
        <v>0</v>
      </c>
      <c r="AD1056" s="264">
        <f>IF(NFI_Expiration=1,IF($A1056&lt;VLOOKUP(M$5,NFI,5,0),1,0)*Table_NFI[[#This Row],[Blanket]],Table_NFI[[#This Row],[Blanket]])</f>
        <v>0</v>
      </c>
      <c r="AE1056" s="264">
        <f>IF(NFI_Expiration=1,IF($A1056&lt;VLOOKUP(N$5,NFI,5,0),1,0)*Table_NFI[[#This Row],[Kitchen Set]],Table_NFI[Kitchen Set])</f>
        <v>0</v>
      </c>
      <c r="AF1056" s="264">
        <f>IF(NFI_Expiration=1,IF($A1056&lt;VLOOKUP(O$5,NFI,5,0),1,0)*Table_NFI[[#This Row],[Clothes Kit]],Table_NFI[Clothes Kit])</f>
        <v>0</v>
      </c>
      <c r="AG1056" s="264">
        <f>IF(NFI_Expiration=1,IF($A1056&lt;VLOOKUP(P$5,NFI,5,0),1,0)*Table_NFI[[#This Row],[Plastic Bucket]],Table_NFI[Plastic Bucket])</f>
        <v>0</v>
      </c>
      <c r="AH1056" s="264">
        <f>IF(NFI_Expiration=1,IF($A1056&lt;VLOOKUP(Q$5,NFI,5,0),1,0)*Table_NFI[[#This Row],[Plastic Mat]],Table_NFI[Plastic Mat])*IF(Table_NFI[[#This Row],[Distribution Date]]&gt;"2014-04-01",1,2.5)</f>
        <v>0</v>
      </c>
      <c r="AI1056" s="264">
        <f>IF(NFI_Expiration=1,IF($A1056&lt;VLOOKUP(R$5,NFI,5,0),1,0)*Table_NFI[[#This Row],[Winter Clothes Adult]],Table_NFI[Winter Clothes Adult])</f>
        <v>0</v>
      </c>
      <c r="AJ1056" s="264">
        <f>IF(NFI_Expiration=1,IF($A1056&lt;VLOOKUP(S$5,NFI,5,0),1,0)*Table_NFI[[#This Row],[Winter Clothes Children]],Table_NFI[Winter Clothes Children])</f>
        <v>0</v>
      </c>
      <c r="AK1056" s="264">
        <f>IF(NFI_Expiration=1,IF($A1056&lt;VLOOKUP(T$5,NFI,5,0),1,0)*Table_NFI[[#This Row],[Winter Items Other]],Table_NFI[Winter Items Other])</f>
        <v>0</v>
      </c>
      <c r="AL1056" s="264">
        <f>IF(NFI_Expiration=1,IF($A1056&lt;VLOOKUP(M$5,NFI,5,0),1,0)*Table_NFI[[#This Row],[Winter Blanket]],Table_NFI[[#This Row],[Winter Blanket]])</f>
        <v>0</v>
      </c>
      <c r="AM1056" s="264">
        <f>IF(Table_NFI[[#This Row],[Winter Clothes Adult]]+Table_NFI[[#This Row],[Winter Clothes Children]]+Table_NFI[[#This Row],[Winter Items Other]]+Table_NFI[[#This Row],[Winter Blanket]]&gt;0,1,0)</f>
        <v>0</v>
      </c>
      <c r="AN1056" s="296">
        <f>IF(NFI_Expiration=1,IF($A1056&lt;VLOOKUP(V$5,NFI,5,0),1,0)*Table_NFI[[#This Row],[Jerry Can]],Table_NFI[Jerry Can])</f>
        <v>0</v>
      </c>
      <c r="AO1056" s="296">
        <f>IF(NFI_Expiration=1,IF($A1056&lt;VLOOKUP(V$5,NFI,5,0),1,0)*Table_NFI[[#This Row],[Shelter Tool kit]],Table_NFI[Shelter Tool kit])</f>
        <v>0</v>
      </c>
      <c r="AP1056" s="296">
        <f>IF(NFI_Expiration=1,IF($A1056&lt;VLOOKUP(V$5,NFI,5,0),1,0)*Table_NFI[[#This Row],[Tent]],Table_NFI[Tent])</f>
        <v>0</v>
      </c>
      <c r="AQ1056" s="396" t="str">
        <f>IFERROR(VLOOKUP(Table_NFI[[#This Row],[Camp Name]],CL,2,0),"")</f>
        <v>MMR001CMP036</v>
      </c>
      <c r="AR1056" s="702">
        <f ca="1">IF(Table_NFI[[#This Row],[Pcode]]="","",IF(OFFSET(CampList[Opening Date],MATCH(Table_NFI[[#This Row],[Pcode]],CampList[CP_Pcode],0)-1,0,1,1)&gt;=NFI_Monitor_Date,1,0))</f>
        <v>0</v>
      </c>
      <c r="AS1056" s="396" t="str">
        <f>IFERROR(VLOOKUP(Table_NFI[[#This Row],[Camp Name]],CL,3,0),"")</f>
        <v>Closed</v>
      </c>
      <c r="AT1056" s="264" t="str">
        <f ca="1">IF(Table_NFI[[#This Row],[Pcode]]="","",OFFSET(CampList[Priority],MATCH(Table_NFI[[#This Row],[Pcode]],CampList[CP_Pcode],0)-1,0,1,1))</f>
        <v>P4</v>
      </c>
      <c r="AU1056" s="263">
        <f>IFERROR(Table_NFI[[#This Row],[Kitchen Set]]/VLOOKUP(Table_NFI[[#This Row],[Camp Name]],CL,4,0),"")</f>
        <v>2.0319232275754014E-3</v>
      </c>
      <c r="AV1056" s="390" t="s">
        <v>1087</v>
      </c>
      <c r="AW1056" s="392"/>
    </row>
    <row r="1057" spans="1:49" s="399" customFormat="1" ht="16.899999999999999" customHeight="1" x14ac:dyDescent="0.25">
      <c r="A1057" s="266">
        <f t="shared" si="16"/>
        <v>60.8</v>
      </c>
      <c r="B1057" s="389">
        <v>41032</v>
      </c>
      <c r="C1057" s="390" t="s">
        <v>451</v>
      </c>
      <c r="D1057" s="391" t="s">
        <v>451</v>
      </c>
      <c r="E1057" s="390" t="s">
        <v>380</v>
      </c>
      <c r="F1057" s="262" t="s">
        <v>310</v>
      </c>
      <c r="G1057" s="262" t="s">
        <v>328</v>
      </c>
      <c r="H1057" s="261"/>
      <c r="I1057" s="261"/>
      <c r="J1057" s="261"/>
      <c r="K1057" s="261">
        <v>42</v>
      </c>
      <c r="L1057" s="261">
        <v>0</v>
      </c>
      <c r="M1057" s="261">
        <v>42</v>
      </c>
      <c r="N1057" s="261">
        <v>0</v>
      </c>
      <c r="O1057" s="261">
        <v>20</v>
      </c>
      <c r="P1057" s="261">
        <v>20</v>
      </c>
      <c r="Q1057" s="261">
        <v>20</v>
      </c>
      <c r="R1057" s="261"/>
      <c r="S1057" s="261"/>
      <c r="T1057" s="261"/>
      <c r="U1057" s="261"/>
      <c r="V1057" s="762"/>
      <c r="W1057" s="762"/>
      <c r="X1057" s="762"/>
      <c r="Y1057" s="264">
        <f>IF(NFI_Expiration=1,IF($A1057&lt;VLOOKUP(H$5,NFI,5,0),1,0)*Table_NFI[[#This Row],[Hygiene Kit]],Table_NFI[Hygiene Kit])</f>
        <v>0</v>
      </c>
      <c r="Z1057" s="264">
        <f>IF(NFI_Expiration=1,IF($A1057&lt;VLOOKUP(I$5,NFI,5,0),1,0)*Table_NFI[[#This Row],[NFI Core Kit]],Table_NFI[NFI Core Kit])</f>
        <v>0</v>
      </c>
      <c r="AA1057" s="264">
        <f>IF(NFI_Expiration=1,IF($A1057&lt;VLOOKUP(J$5,NFI,5,0),1,0)*Table_NFI[[#This Row],[Sanitary Kit]],Table_NFI[Sanitary Kit])</f>
        <v>0</v>
      </c>
      <c r="AB1057" s="264">
        <f>IF(NFI_Expiration=1,IF($A1057&lt;VLOOKUP(K$5,NFI,5,0),1,0)*Table_NFI[[#This Row],[Mosquito net]],Table_NFI[Mosquito net])</f>
        <v>0</v>
      </c>
      <c r="AC1057" s="264">
        <f>IF(NFI_Expiration=1,IF($A1057&lt;VLOOKUP(L$5,NFI,5,0),1,0)*Table_NFI[[#This Row],[Tarpaulin]],Table_NFI[[#This Row],[Tarpaulin]])</f>
        <v>0</v>
      </c>
      <c r="AD1057" s="264">
        <f>IF(NFI_Expiration=1,IF($A1057&lt;VLOOKUP(M$5,NFI,5,0),1,0)*Table_NFI[[#This Row],[Blanket]],Table_NFI[[#This Row],[Blanket]])</f>
        <v>0</v>
      </c>
      <c r="AE1057" s="264">
        <f>IF(NFI_Expiration=1,IF($A1057&lt;VLOOKUP(N$5,NFI,5,0),1,0)*Table_NFI[[#This Row],[Kitchen Set]],Table_NFI[Kitchen Set])</f>
        <v>0</v>
      </c>
      <c r="AF1057" s="264">
        <f>IF(NFI_Expiration=1,IF($A1057&lt;VLOOKUP(O$5,NFI,5,0),1,0)*Table_NFI[[#This Row],[Clothes Kit]],Table_NFI[Clothes Kit])</f>
        <v>0</v>
      </c>
      <c r="AG1057" s="264">
        <f>IF(NFI_Expiration=1,IF($A1057&lt;VLOOKUP(P$5,NFI,5,0),1,0)*Table_NFI[[#This Row],[Plastic Bucket]],Table_NFI[Plastic Bucket])</f>
        <v>0</v>
      </c>
      <c r="AH1057" s="264">
        <f>IF(NFI_Expiration=1,IF($A1057&lt;VLOOKUP(Q$5,NFI,5,0),1,0)*Table_NFI[[#This Row],[Plastic Mat]],Table_NFI[Plastic Mat])*IF(Table_NFI[[#This Row],[Distribution Date]]&gt;"2014-04-01",1,2.5)</f>
        <v>0</v>
      </c>
      <c r="AI1057" s="264">
        <f>IF(NFI_Expiration=1,IF($A1057&lt;VLOOKUP(R$5,NFI,5,0),1,0)*Table_NFI[[#This Row],[Winter Clothes Adult]],Table_NFI[Winter Clothes Adult])</f>
        <v>0</v>
      </c>
      <c r="AJ1057" s="264">
        <f>IF(NFI_Expiration=1,IF($A1057&lt;VLOOKUP(S$5,NFI,5,0),1,0)*Table_NFI[[#This Row],[Winter Clothes Children]],Table_NFI[Winter Clothes Children])</f>
        <v>0</v>
      </c>
      <c r="AK1057" s="264">
        <f>IF(NFI_Expiration=1,IF($A1057&lt;VLOOKUP(T$5,NFI,5,0),1,0)*Table_NFI[[#This Row],[Winter Items Other]],Table_NFI[Winter Items Other])</f>
        <v>0</v>
      </c>
      <c r="AL1057" s="264">
        <f>IF(NFI_Expiration=1,IF($A1057&lt;VLOOKUP(M$5,NFI,5,0),1,0)*Table_NFI[[#This Row],[Winter Blanket]],Table_NFI[[#This Row],[Winter Blanket]])</f>
        <v>0</v>
      </c>
      <c r="AM1057" s="264">
        <f>IF(Table_NFI[[#This Row],[Winter Clothes Adult]]+Table_NFI[[#This Row],[Winter Clothes Children]]+Table_NFI[[#This Row],[Winter Items Other]]+Table_NFI[[#This Row],[Winter Blanket]]&gt;0,1,0)</f>
        <v>0</v>
      </c>
      <c r="AN1057" s="296">
        <f>IF(NFI_Expiration=1,IF($A1057&lt;VLOOKUP(V$5,NFI,5,0),1,0)*Table_NFI[[#This Row],[Jerry Can]],Table_NFI[Jerry Can])</f>
        <v>0</v>
      </c>
      <c r="AO1057" s="296">
        <f>IF(NFI_Expiration=1,IF($A1057&lt;VLOOKUP(V$5,NFI,5,0),1,0)*Table_NFI[[#This Row],[Shelter Tool kit]],Table_NFI[Shelter Tool kit])</f>
        <v>0</v>
      </c>
      <c r="AP1057" s="296">
        <f>IF(NFI_Expiration=1,IF($A1057&lt;VLOOKUP(V$5,NFI,5,0),1,0)*Table_NFI[[#This Row],[Tent]],Table_NFI[Tent])</f>
        <v>0</v>
      </c>
      <c r="AQ1057" s="396" t="str">
        <f>IFERROR(VLOOKUP(Table_NFI[[#This Row],[Camp Name]],CL,2,0),"")</f>
        <v>MMR001CMP031</v>
      </c>
      <c r="AR1057" s="702">
        <f ca="1">IF(Table_NFI[[#This Row],[Pcode]]="","",IF(OFFSET(CampList[Opening Date],MATCH(Table_NFI[[#This Row],[Pcode]],CampList[CP_Pcode],0)-1,0,1,1)&gt;=NFI_Monitor_Date,1,0))</f>
        <v>0</v>
      </c>
      <c r="AS1057" s="396" t="str">
        <f>IFERROR(VLOOKUP(Table_NFI[[#This Row],[Camp Name]],CL,3,0),"")</f>
        <v>Open</v>
      </c>
      <c r="AT1057" s="264" t="str">
        <f ca="1">IF(Table_NFI[[#This Row],[Pcode]]="","",OFFSET(CampList[Priority],MATCH(Table_NFI[[#This Row],[Pcode]],CampList[CP_Pcode],0)-1,0,1,1))</f>
        <v>P4</v>
      </c>
      <c r="AU1057" s="263">
        <f>IFERROR(Table_NFI[[#This Row],[Kitchen Set]]/VLOOKUP(Table_NFI[[#This Row],[Camp Name]],CL,4,0),"")</f>
        <v>0</v>
      </c>
      <c r="AV1057" s="390" t="s">
        <v>1087</v>
      </c>
      <c r="AW1057" s="392"/>
    </row>
    <row r="1058" spans="1:49" s="399" customFormat="1" ht="14.45" customHeight="1" x14ac:dyDescent="0.25">
      <c r="A1058" s="266">
        <f t="shared" si="16"/>
        <v>60.8</v>
      </c>
      <c r="B1058" s="389">
        <v>41032</v>
      </c>
      <c r="C1058" s="390" t="s">
        <v>451</v>
      </c>
      <c r="D1058" s="390" t="s">
        <v>451</v>
      </c>
      <c r="E1058" s="390" t="s">
        <v>380</v>
      </c>
      <c r="F1058" s="262" t="s">
        <v>310</v>
      </c>
      <c r="G1058" s="262" t="s">
        <v>338</v>
      </c>
      <c r="H1058" s="261"/>
      <c r="I1058" s="261"/>
      <c r="J1058" s="261"/>
      <c r="K1058" s="261">
        <v>12</v>
      </c>
      <c r="L1058" s="261">
        <v>0</v>
      </c>
      <c r="M1058" s="261">
        <v>12</v>
      </c>
      <c r="N1058" s="261">
        <v>6</v>
      </c>
      <c r="O1058" s="261">
        <v>6</v>
      </c>
      <c r="P1058" s="261">
        <v>6</v>
      </c>
      <c r="Q1058" s="261">
        <v>6</v>
      </c>
      <c r="R1058" s="261"/>
      <c r="S1058" s="261"/>
      <c r="T1058" s="261"/>
      <c r="U1058" s="261"/>
      <c r="V1058" s="762"/>
      <c r="W1058" s="261"/>
      <c r="X1058" s="261"/>
      <c r="Y1058" s="264">
        <f>IF(NFI_Expiration=1,IF($A1058&lt;VLOOKUP(H$5,NFI,5,0),1,0)*Table_NFI[[#This Row],[Hygiene Kit]],Table_NFI[Hygiene Kit])</f>
        <v>0</v>
      </c>
      <c r="Z1058" s="264">
        <f>IF(NFI_Expiration=1,IF($A1058&lt;VLOOKUP(I$5,NFI,5,0),1,0)*Table_NFI[[#This Row],[NFI Core Kit]],Table_NFI[NFI Core Kit])</f>
        <v>0</v>
      </c>
      <c r="AA1058" s="264">
        <f>IF(NFI_Expiration=1,IF($A1058&lt;VLOOKUP(J$5,NFI,5,0),1,0)*Table_NFI[[#This Row],[Sanitary Kit]],Table_NFI[Sanitary Kit])</f>
        <v>0</v>
      </c>
      <c r="AB1058" s="264">
        <f>IF(NFI_Expiration=1,IF($A1058&lt;VLOOKUP(K$5,NFI,5,0),1,0)*Table_NFI[[#This Row],[Mosquito net]],Table_NFI[Mosquito net])</f>
        <v>0</v>
      </c>
      <c r="AC1058" s="264">
        <f>IF(NFI_Expiration=1,IF($A1058&lt;VLOOKUP(L$5,NFI,5,0),1,0)*Table_NFI[[#This Row],[Tarpaulin]],Table_NFI[[#This Row],[Tarpaulin]])</f>
        <v>0</v>
      </c>
      <c r="AD1058" s="264">
        <f>IF(NFI_Expiration=1,IF($A1058&lt;VLOOKUP(M$5,NFI,5,0),1,0)*Table_NFI[[#This Row],[Blanket]],Table_NFI[[#This Row],[Blanket]])</f>
        <v>0</v>
      </c>
      <c r="AE1058" s="264">
        <f>IF(NFI_Expiration=1,IF($A1058&lt;VLOOKUP(N$5,NFI,5,0),1,0)*Table_NFI[[#This Row],[Kitchen Set]],Table_NFI[Kitchen Set])</f>
        <v>0</v>
      </c>
      <c r="AF1058" s="264">
        <f>IF(NFI_Expiration=1,IF($A1058&lt;VLOOKUP(O$5,NFI,5,0),1,0)*Table_NFI[[#This Row],[Clothes Kit]],Table_NFI[Clothes Kit])</f>
        <v>0</v>
      </c>
      <c r="AG1058" s="264">
        <f>IF(NFI_Expiration=1,IF($A1058&lt;VLOOKUP(P$5,NFI,5,0),1,0)*Table_NFI[[#This Row],[Plastic Bucket]],Table_NFI[Plastic Bucket])</f>
        <v>0</v>
      </c>
      <c r="AH1058" s="264">
        <f>IF(NFI_Expiration=1,IF($A1058&lt;VLOOKUP(Q$5,NFI,5,0),1,0)*Table_NFI[[#This Row],[Plastic Mat]],Table_NFI[Plastic Mat])*IF(Table_NFI[[#This Row],[Distribution Date]]&gt;"2014-04-01",1,2.5)</f>
        <v>0</v>
      </c>
      <c r="AI1058" s="264">
        <f>IF(NFI_Expiration=1,IF($A1058&lt;VLOOKUP(R$5,NFI,5,0),1,0)*Table_NFI[[#This Row],[Winter Clothes Adult]],Table_NFI[Winter Clothes Adult])</f>
        <v>0</v>
      </c>
      <c r="AJ1058" s="264">
        <f>IF(NFI_Expiration=1,IF($A1058&lt;VLOOKUP(S$5,NFI,5,0),1,0)*Table_NFI[[#This Row],[Winter Clothes Children]],Table_NFI[Winter Clothes Children])</f>
        <v>0</v>
      </c>
      <c r="AK1058" s="264">
        <f>IF(NFI_Expiration=1,IF($A1058&lt;VLOOKUP(T$5,NFI,5,0),1,0)*Table_NFI[[#This Row],[Winter Items Other]],Table_NFI[Winter Items Other])</f>
        <v>0</v>
      </c>
      <c r="AL1058" s="264">
        <f>IF(NFI_Expiration=1,IF($A1058&lt;VLOOKUP(M$5,NFI,5,0),1,0)*Table_NFI[[#This Row],[Winter Blanket]],Table_NFI[[#This Row],[Winter Blanket]])</f>
        <v>0</v>
      </c>
      <c r="AM1058" s="264">
        <f>IF(Table_NFI[[#This Row],[Winter Clothes Adult]]+Table_NFI[[#This Row],[Winter Clothes Children]]+Table_NFI[[#This Row],[Winter Items Other]]+Table_NFI[[#This Row],[Winter Blanket]]&gt;0,1,0)</f>
        <v>0</v>
      </c>
      <c r="AN1058" s="296">
        <f>IF(NFI_Expiration=1,IF($A1058&lt;VLOOKUP(V$5,NFI,5,0),1,0)*Table_NFI[[#This Row],[Jerry Can]],Table_NFI[Jerry Can])</f>
        <v>0</v>
      </c>
      <c r="AO1058" s="296">
        <f>IF(NFI_Expiration=1,IF($A1058&lt;VLOOKUP(V$5,NFI,5,0),1,0)*Table_NFI[[#This Row],[Shelter Tool kit]],Table_NFI[Shelter Tool kit])</f>
        <v>0</v>
      </c>
      <c r="AP1058" s="296">
        <f>IF(NFI_Expiration=1,IF($A1058&lt;VLOOKUP(V$5,NFI,5,0),1,0)*Table_NFI[[#This Row],[Tent]],Table_NFI[Tent])</f>
        <v>0</v>
      </c>
      <c r="AQ1058" s="396" t="str">
        <f>IFERROR(VLOOKUP(Table_NFI[[#This Row],[Camp Name]],CL,2,0),"")</f>
        <v>MMR001CMP030</v>
      </c>
      <c r="AR1058" s="702">
        <f ca="1">IF(Table_NFI[[#This Row],[Pcode]]="","",IF(OFFSET(CampList[Opening Date],MATCH(Table_NFI[[#This Row],[Pcode]],CampList[CP_Pcode],0)-1,0,1,1)&gt;=NFI_Monitor_Date,1,0))</f>
        <v>0</v>
      </c>
      <c r="AS1058" s="396" t="str">
        <f>IFERROR(VLOOKUP(Table_NFI[[#This Row],[Camp Name]],CL,3,0),"")</f>
        <v>Open</v>
      </c>
      <c r="AT1058" s="264" t="str">
        <f ca="1">IF(Table_NFI[[#This Row],[Pcode]]="","",OFFSET(CampList[Priority],MATCH(Table_NFI[[#This Row],[Pcode]],CampList[CP_Pcode],0)-1,0,1,1))</f>
        <v>P4</v>
      </c>
      <c r="AU1058" s="263">
        <f>IFERROR(Table_NFI[[#This Row],[Kitchen Set]]/VLOOKUP(Table_NFI[[#This Row],[Camp Name]],CL,4,0),"")</f>
        <v>1.474382602285293E-4</v>
      </c>
      <c r="AV1058" s="390" t="s">
        <v>1087</v>
      </c>
      <c r="AW1058" s="392"/>
    </row>
    <row r="1059" spans="1:49" s="399" customFormat="1" ht="16.899999999999999" customHeight="1" x14ac:dyDescent="0.25">
      <c r="A1059" s="266">
        <f t="shared" si="16"/>
        <v>60.8</v>
      </c>
      <c r="B1059" s="389">
        <v>41032</v>
      </c>
      <c r="C1059" s="390" t="s">
        <v>451</v>
      </c>
      <c r="D1059" s="390" t="s">
        <v>451</v>
      </c>
      <c r="E1059" s="390" t="s">
        <v>380</v>
      </c>
      <c r="F1059" s="262" t="s">
        <v>310</v>
      </c>
      <c r="G1059" s="262" t="s">
        <v>351</v>
      </c>
      <c r="H1059" s="261"/>
      <c r="I1059" s="261"/>
      <c r="J1059" s="261"/>
      <c r="K1059" s="261">
        <v>34</v>
      </c>
      <c r="L1059" s="261">
        <v>0</v>
      </c>
      <c r="M1059" s="261">
        <v>34</v>
      </c>
      <c r="N1059" s="261">
        <v>0</v>
      </c>
      <c r="O1059" s="261">
        <v>18</v>
      </c>
      <c r="P1059" s="261">
        <v>18</v>
      </c>
      <c r="Q1059" s="261">
        <v>18</v>
      </c>
      <c r="R1059" s="261"/>
      <c r="S1059" s="261"/>
      <c r="T1059" s="261"/>
      <c r="U1059" s="261"/>
      <c r="V1059" s="762"/>
      <c r="W1059" s="762"/>
      <c r="X1059" s="762"/>
      <c r="Y1059" s="264">
        <f>IF(NFI_Expiration=1,IF($A1059&lt;VLOOKUP(H$5,NFI,5,0),1,0)*Table_NFI[[#This Row],[Hygiene Kit]],Table_NFI[Hygiene Kit])</f>
        <v>0</v>
      </c>
      <c r="Z1059" s="264">
        <f>IF(NFI_Expiration=1,IF($A1059&lt;VLOOKUP(I$5,NFI,5,0),1,0)*Table_NFI[[#This Row],[NFI Core Kit]],Table_NFI[NFI Core Kit])</f>
        <v>0</v>
      </c>
      <c r="AA1059" s="264">
        <f>IF(NFI_Expiration=1,IF($A1059&lt;VLOOKUP(J$5,NFI,5,0),1,0)*Table_NFI[[#This Row],[Sanitary Kit]],Table_NFI[Sanitary Kit])</f>
        <v>0</v>
      </c>
      <c r="AB1059" s="264">
        <f>IF(NFI_Expiration=1,IF($A1059&lt;VLOOKUP(K$5,NFI,5,0),1,0)*Table_NFI[[#This Row],[Mosquito net]],Table_NFI[Mosquito net])</f>
        <v>0</v>
      </c>
      <c r="AC1059" s="264">
        <f>IF(NFI_Expiration=1,IF($A1059&lt;VLOOKUP(L$5,NFI,5,0),1,0)*Table_NFI[[#This Row],[Tarpaulin]],Table_NFI[[#This Row],[Tarpaulin]])</f>
        <v>0</v>
      </c>
      <c r="AD1059" s="264">
        <f>IF(NFI_Expiration=1,IF($A1059&lt;VLOOKUP(M$5,NFI,5,0),1,0)*Table_NFI[[#This Row],[Blanket]],Table_NFI[[#This Row],[Blanket]])</f>
        <v>0</v>
      </c>
      <c r="AE1059" s="264">
        <f>IF(NFI_Expiration=1,IF($A1059&lt;VLOOKUP(N$5,NFI,5,0),1,0)*Table_NFI[[#This Row],[Kitchen Set]],Table_NFI[Kitchen Set])</f>
        <v>0</v>
      </c>
      <c r="AF1059" s="264">
        <f>IF(NFI_Expiration=1,IF($A1059&lt;VLOOKUP(O$5,NFI,5,0),1,0)*Table_NFI[[#This Row],[Clothes Kit]],Table_NFI[Clothes Kit])</f>
        <v>0</v>
      </c>
      <c r="AG1059" s="264">
        <f>IF(NFI_Expiration=1,IF($A1059&lt;VLOOKUP(P$5,NFI,5,0),1,0)*Table_NFI[[#This Row],[Plastic Bucket]],Table_NFI[Plastic Bucket])</f>
        <v>0</v>
      </c>
      <c r="AH1059" s="264">
        <f>IF(NFI_Expiration=1,IF($A1059&lt;VLOOKUP(Q$5,NFI,5,0),1,0)*Table_NFI[[#This Row],[Plastic Mat]],Table_NFI[Plastic Mat])*IF(Table_NFI[[#This Row],[Distribution Date]]&gt;"2014-04-01",1,2.5)</f>
        <v>0</v>
      </c>
      <c r="AI1059" s="264">
        <f>IF(NFI_Expiration=1,IF($A1059&lt;VLOOKUP(R$5,NFI,5,0),1,0)*Table_NFI[[#This Row],[Winter Clothes Adult]],Table_NFI[Winter Clothes Adult])</f>
        <v>0</v>
      </c>
      <c r="AJ1059" s="264">
        <f>IF(NFI_Expiration=1,IF($A1059&lt;VLOOKUP(S$5,NFI,5,0),1,0)*Table_NFI[[#This Row],[Winter Clothes Children]],Table_NFI[Winter Clothes Children])</f>
        <v>0</v>
      </c>
      <c r="AK1059" s="264">
        <f>IF(NFI_Expiration=1,IF($A1059&lt;VLOOKUP(T$5,NFI,5,0),1,0)*Table_NFI[[#This Row],[Winter Items Other]],Table_NFI[Winter Items Other])</f>
        <v>0</v>
      </c>
      <c r="AL1059" s="264">
        <f>IF(NFI_Expiration=1,IF($A1059&lt;VLOOKUP(M$5,NFI,5,0),1,0)*Table_NFI[[#This Row],[Winter Blanket]],Table_NFI[[#This Row],[Winter Blanket]])</f>
        <v>0</v>
      </c>
      <c r="AM1059" s="264">
        <f>IF(Table_NFI[[#This Row],[Winter Clothes Adult]]+Table_NFI[[#This Row],[Winter Clothes Children]]+Table_NFI[[#This Row],[Winter Items Other]]+Table_NFI[[#This Row],[Winter Blanket]]&gt;0,1,0)</f>
        <v>0</v>
      </c>
      <c r="AN1059" s="296">
        <f>IF(NFI_Expiration=1,IF($A1059&lt;VLOOKUP(V$5,NFI,5,0),1,0)*Table_NFI[[#This Row],[Jerry Can]],Table_NFI[Jerry Can])</f>
        <v>0</v>
      </c>
      <c r="AO1059" s="296">
        <f>IF(NFI_Expiration=1,IF($A1059&lt;VLOOKUP(V$5,NFI,5,0),1,0)*Table_NFI[[#This Row],[Shelter Tool kit]],Table_NFI[Shelter Tool kit])</f>
        <v>0</v>
      </c>
      <c r="AP1059" s="296">
        <f>IF(NFI_Expiration=1,IF($A1059&lt;VLOOKUP(V$5,NFI,5,0),1,0)*Table_NFI[[#This Row],[Tent]],Table_NFI[Tent])</f>
        <v>0</v>
      </c>
      <c r="AQ1059" s="396" t="str">
        <f>IFERROR(VLOOKUP(Table_NFI[[#This Row],[Camp Name]],CL,2,0),"")</f>
        <v>MMR001CMP026</v>
      </c>
      <c r="AR1059" s="702">
        <f ca="1">IF(Table_NFI[[#This Row],[Pcode]]="","",IF(OFFSET(CampList[Opening Date],MATCH(Table_NFI[[#This Row],[Pcode]],CampList[CP_Pcode],0)-1,0,1,1)&gt;=NFI_Monitor_Date,1,0))</f>
        <v>0</v>
      </c>
      <c r="AS1059" s="396" t="str">
        <f>IFERROR(VLOOKUP(Table_NFI[[#This Row],[Camp Name]],CL,3,0),"")</f>
        <v>Open</v>
      </c>
      <c r="AT1059" s="264" t="str">
        <f ca="1">IF(Table_NFI[[#This Row],[Pcode]]="","",OFFSET(CampList[Priority],MATCH(Table_NFI[[#This Row],[Pcode]],CampList[CP_Pcode],0)-1,0,1,1))</f>
        <v>P4</v>
      </c>
      <c r="AU1059" s="263">
        <f>IFERROR(Table_NFI[[#This Row],[Kitchen Set]]/VLOOKUP(Table_NFI[[#This Row],[Camp Name]],CL,4,0),"")</f>
        <v>0</v>
      </c>
      <c r="AV1059" s="390" t="s">
        <v>1087</v>
      </c>
      <c r="AW1059" s="392"/>
    </row>
    <row r="1060" spans="1:49" s="399" customFormat="1" ht="22.9" customHeight="1" x14ac:dyDescent="0.25">
      <c r="A1060" s="266">
        <f t="shared" si="16"/>
        <v>60.8</v>
      </c>
      <c r="B1060" s="389">
        <v>41032</v>
      </c>
      <c r="C1060" s="390" t="s">
        <v>451</v>
      </c>
      <c r="D1060" s="391" t="s">
        <v>451</v>
      </c>
      <c r="E1060" s="390" t="s">
        <v>380</v>
      </c>
      <c r="F1060" s="262" t="s">
        <v>237</v>
      </c>
      <c r="G1060" s="262" t="s">
        <v>267</v>
      </c>
      <c r="H1060" s="261"/>
      <c r="I1060" s="261"/>
      <c r="J1060" s="261"/>
      <c r="K1060" s="261">
        <v>0</v>
      </c>
      <c r="L1060" s="261">
        <v>0</v>
      </c>
      <c r="M1060" s="261">
        <v>0</v>
      </c>
      <c r="N1060" s="261">
        <v>0</v>
      </c>
      <c r="O1060" s="261">
        <v>5</v>
      </c>
      <c r="P1060" s="261">
        <v>5</v>
      </c>
      <c r="Q1060" s="261">
        <v>5</v>
      </c>
      <c r="R1060" s="261"/>
      <c r="S1060" s="261"/>
      <c r="T1060" s="261"/>
      <c r="U1060" s="261"/>
      <c r="V1060" s="762"/>
      <c r="W1060" s="762"/>
      <c r="X1060" s="762"/>
      <c r="Y1060" s="264">
        <f>IF(NFI_Expiration=1,IF($A1060&lt;VLOOKUP(H$5,NFI,5,0),1,0)*Table_NFI[[#This Row],[Hygiene Kit]],Table_NFI[Hygiene Kit])</f>
        <v>0</v>
      </c>
      <c r="Z1060" s="264">
        <f>IF(NFI_Expiration=1,IF($A1060&lt;VLOOKUP(I$5,NFI,5,0),1,0)*Table_NFI[[#This Row],[NFI Core Kit]],Table_NFI[NFI Core Kit])</f>
        <v>0</v>
      </c>
      <c r="AA1060" s="264">
        <f>IF(NFI_Expiration=1,IF($A1060&lt;VLOOKUP(J$5,NFI,5,0),1,0)*Table_NFI[[#This Row],[Sanitary Kit]],Table_NFI[Sanitary Kit])</f>
        <v>0</v>
      </c>
      <c r="AB1060" s="264">
        <f>IF(NFI_Expiration=1,IF($A1060&lt;VLOOKUP(K$5,NFI,5,0),1,0)*Table_NFI[[#This Row],[Mosquito net]],Table_NFI[Mosquito net])</f>
        <v>0</v>
      </c>
      <c r="AC1060" s="264">
        <f>IF(NFI_Expiration=1,IF($A1060&lt;VLOOKUP(L$5,NFI,5,0),1,0)*Table_NFI[[#This Row],[Tarpaulin]],Table_NFI[[#This Row],[Tarpaulin]])</f>
        <v>0</v>
      </c>
      <c r="AD1060" s="264">
        <f>IF(NFI_Expiration=1,IF($A1060&lt;VLOOKUP(M$5,NFI,5,0),1,0)*Table_NFI[[#This Row],[Blanket]],Table_NFI[[#This Row],[Blanket]])</f>
        <v>0</v>
      </c>
      <c r="AE1060" s="264">
        <f>IF(NFI_Expiration=1,IF($A1060&lt;VLOOKUP(N$5,NFI,5,0),1,0)*Table_NFI[[#This Row],[Kitchen Set]],Table_NFI[Kitchen Set])</f>
        <v>0</v>
      </c>
      <c r="AF1060" s="264">
        <f>IF(NFI_Expiration=1,IF($A1060&lt;VLOOKUP(O$5,NFI,5,0),1,0)*Table_NFI[[#This Row],[Clothes Kit]],Table_NFI[Clothes Kit])</f>
        <v>0</v>
      </c>
      <c r="AG1060" s="264">
        <f>IF(NFI_Expiration=1,IF($A1060&lt;VLOOKUP(P$5,NFI,5,0),1,0)*Table_NFI[[#This Row],[Plastic Bucket]],Table_NFI[Plastic Bucket])</f>
        <v>0</v>
      </c>
      <c r="AH1060" s="264">
        <f>IF(NFI_Expiration=1,IF($A1060&lt;VLOOKUP(Q$5,NFI,5,0),1,0)*Table_NFI[[#This Row],[Plastic Mat]],Table_NFI[Plastic Mat])*IF(Table_NFI[[#This Row],[Distribution Date]]&gt;"2014-04-01",1,2.5)</f>
        <v>0</v>
      </c>
      <c r="AI1060" s="264">
        <f>IF(NFI_Expiration=1,IF($A1060&lt;VLOOKUP(R$5,NFI,5,0),1,0)*Table_NFI[[#This Row],[Winter Clothes Adult]],Table_NFI[Winter Clothes Adult])</f>
        <v>0</v>
      </c>
      <c r="AJ1060" s="264">
        <f>IF(NFI_Expiration=1,IF($A1060&lt;VLOOKUP(S$5,NFI,5,0),1,0)*Table_NFI[[#This Row],[Winter Clothes Children]],Table_NFI[Winter Clothes Children])</f>
        <v>0</v>
      </c>
      <c r="AK1060" s="264">
        <f>IF(NFI_Expiration=1,IF($A1060&lt;VLOOKUP(T$5,NFI,5,0),1,0)*Table_NFI[[#This Row],[Winter Items Other]],Table_NFI[Winter Items Other])</f>
        <v>0</v>
      </c>
      <c r="AL1060" s="264">
        <f>IF(NFI_Expiration=1,IF($A1060&lt;VLOOKUP(M$5,NFI,5,0),1,0)*Table_NFI[[#This Row],[Winter Blanket]],Table_NFI[[#This Row],[Winter Blanket]])</f>
        <v>0</v>
      </c>
      <c r="AM1060" s="264">
        <f>IF(Table_NFI[[#This Row],[Winter Clothes Adult]]+Table_NFI[[#This Row],[Winter Clothes Children]]+Table_NFI[[#This Row],[Winter Items Other]]+Table_NFI[[#This Row],[Winter Blanket]]&gt;0,1,0)</f>
        <v>0</v>
      </c>
      <c r="AN1060" s="296">
        <f>IF(NFI_Expiration=1,IF($A1060&lt;VLOOKUP(V$5,NFI,5,0),1,0)*Table_NFI[[#This Row],[Jerry Can]],Table_NFI[Jerry Can])</f>
        <v>0</v>
      </c>
      <c r="AO1060" s="296">
        <f>IF(NFI_Expiration=1,IF($A1060&lt;VLOOKUP(V$5,NFI,5,0),1,0)*Table_NFI[[#This Row],[Shelter Tool kit]],Table_NFI[Shelter Tool kit])</f>
        <v>0</v>
      </c>
      <c r="AP1060" s="296">
        <f>IF(NFI_Expiration=1,IF($A1060&lt;VLOOKUP(V$5,NFI,5,0),1,0)*Table_NFI[[#This Row],[Tent]],Table_NFI[Tent])</f>
        <v>0</v>
      </c>
      <c r="AQ1060" s="396" t="str">
        <f>IFERROR(VLOOKUP(Table_NFI[[#This Row],[Camp Name]],CL,2,0),"")</f>
        <v>MMR001CMP017</v>
      </c>
      <c r="AR1060" s="702">
        <f ca="1">IF(Table_NFI[[#This Row],[Pcode]]="","",IF(OFFSET(CampList[Opening Date],MATCH(Table_NFI[[#This Row],[Pcode]],CampList[CP_Pcode],0)-1,0,1,1)&gt;=NFI_Monitor_Date,1,0))</f>
        <v>0</v>
      </c>
      <c r="AS1060" s="396" t="str">
        <f>IFERROR(VLOOKUP(Table_NFI[[#This Row],[Camp Name]],CL,3,0),"")</f>
        <v>Closed</v>
      </c>
      <c r="AT1060" s="264" t="str">
        <f ca="1">IF(Table_NFI[[#This Row],[Pcode]]="","",OFFSET(CampList[Priority],MATCH(Table_NFI[[#This Row],[Pcode]],CampList[CP_Pcode],0)-1,0,1,1))</f>
        <v>P4</v>
      </c>
      <c r="AU1060" s="263">
        <f>IFERROR(Table_NFI[[#This Row],[Kitchen Set]]/VLOOKUP(Table_NFI[[#This Row],[Camp Name]],CL,4,0),"")</f>
        <v>0</v>
      </c>
      <c r="AV1060" s="390" t="s">
        <v>1087</v>
      </c>
      <c r="AW1060" s="392"/>
    </row>
    <row r="1061" spans="1:49" s="399" customFormat="1" ht="19.149999999999999" customHeight="1" x14ac:dyDescent="0.25">
      <c r="A1061" s="266">
        <f t="shared" si="16"/>
        <v>60.866666666666667</v>
      </c>
      <c r="B1061" s="389">
        <v>41030</v>
      </c>
      <c r="C1061" s="390" t="s">
        <v>451</v>
      </c>
      <c r="D1061" s="391" t="s">
        <v>451</v>
      </c>
      <c r="E1061" s="390" t="s">
        <v>380</v>
      </c>
      <c r="F1061" s="262" t="s">
        <v>310</v>
      </c>
      <c r="G1061" s="262" t="s">
        <v>351</v>
      </c>
      <c r="H1061" s="261"/>
      <c r="I1061" s="261"/>
      <c r="J1061" s="261"/>
      <c r="K1061" s="261">
        <v>52</v>
      </c>
      <c r="L1061" s="261">
        <v>0</v>
      </c>
      <c r="M1061" s="261">
        <v>52</v>
      </c>
      <c r="N1061" s="261">
        <v>0</v>
      </c>
      <c r="O1061" s="261">
        <v>24</v>
      </c>
      <c r="P1061" s="261">
        <v>24</v>
      </c>
      <c r="Q1061" s="261">
        <v>24</v>
      </c>
      <c r="R1061" s="261"/>
      <c r="S1061" s="261"/>
      <c r="T1061" s="261"/>
      <c r="U1061" s="261"/>
      <c r="V1061" s="762"/>
      <c r="W1061" s="762"/>
      <c r="X1061" s="762"/>
      <c r="Y1061" s="264">
        <f>IF(NFI_Expiration=1,IF($A1061&lt;VLOOKUP(H$5,NFI,5,0),1,0)*Table_NFI[[#This Row],[Hygiene Kit]],Table_NFI[Hygiene Kit])</f>
        <v>0</v>
      </c>
      <c r="Z1061" s="264">
        <f>IF(NFI_Expiration=1,IF($A1061&lt;VLOOKUP(I$5,NFI,5,0),1,0)*Table_NFI[[#This Row],[NFI Core Kit]],Table_NFI[NFI Core Kit])</f>
        <v>0</v>
      </c>
      <c r="AA1061" s="264">
        <f>IF(NFI_Expiration=1,IF($A1061&lt;VLOOKUP(J$5,NFI,5,0),1,0)*Table_NFI[[#This Row],[Sanitary Kit]],Table_NFI[Sanitary Kit])</f>
        <v>0</v>
      </c>
      <c r="AB1061" s="264">
        <f>IF(NFI_Expiration=1,IF($A1061&lt;VLOOKUP(K$5,NFI,5,0),1,0)*Table_NFI[[#This Row],[Mosquito net]],Table_NFI[Mosquito net])</f>
        <v>0</v>
      </c>
      <c r="AC1061" s="264">
        <f>IF(NFI_Expiration=1,IF($A1061&lt;VLOOKUP(L$5,NFI,5,0),1,0)*Table_NFI[[#This Row],[Tarpaulin]],Table_NFI[[#This Row],[Tarpaulin]])</f>
        <v>0</v>
      </c>
      <c r="AD1061" s="264">
        <f>IF(NFI_Expiration=1,IF($A1061&lt;VLOOKUP(M$5,NFI,5,0),1,0)*Table_NFI[[#This Row],[Blanket]],Table_NFI[[#This Row],[Blanket]])</f>
        <v>0</v>
      </c>
      <c r="AE1061" s="264">
        <f>IF(NFI_Expiration=1,IF($A1061&lt;VLOOKUP(N$5,NFI,5,0),1,0)*Table_NFI[[#This Row],[Kitchen Set]],Table_NFI[Kitchen Set])</f>
        <v>0</v>
      </c>
      <c r="AF1061" s="264">
        <f>IF(NFI_Expiration=1,IF($A1061&lt;VLOOKUP(O$5,NFI,5,0),1,0)*Table_NFI[[#This Row],[Clothes Kit]],Table_NFI[Clothes Kit])</f>
        <v>0</v>
      </c>
      <c r="AG1061" s="264">
        <f>IF(NFI_Expiration=1,IF($A1061&lt;VLOOKUP(P$5,NFI,5,0),1,0)*Table_NFI[[#This Row],[Plastic Bucket]],Table_NFI[Plastic Bucket])</f>
        <v>0</v>
      </c>
      <c r="AH1061" s="264">
        <f>IF(NFI_Expiration=1,IF($A1061&lt;VLOOKUP(Q$5,NFI,5,0),1,0)*Table_NFI[[#This Row],[Plastic Mat]],Table_NFI[Plastic Mat])*IF(Table_NFI[[#This Row],[Distribution Date]]&gt;"2014-04-01",1,2.5)</f>
        <v>0</v>
      </c>
      <c r="AI1061" s="264">
        <f>IF(NFI_Expiration=1,IF($A1061&lt;VLOOKUP(R$5,NFI,5,0),1,0)*Table_NFI[[#This Row],[Winter Clothes Adult]],Table_NFI[Winter Clothes Adult])</f>
        <v>0</v>
      </c>
      <c r="AJ1061" s="264">
        <f>IF(NFI_Expiration=1,IF($A1061&lt;VLOOKUP(S$5,NFI,5,0),1,0)*Table_NFI[[#This Row],[Winter Clothes Children]],Table_NFI[Winter Clothes Children])</f>
        <v>0</v>
      </c>
      <c r="AK1061" s="264">
        <f>IF(NFI_Expiration=1,IF($A1061&lt;VLOOKUP(T$5,NFI,5,0),1,0)*Table_NFI[[#This Row],[Winter Items Other]],Table_NFI[Winter Items Other])</f>
        <v>0</v>
      </c>
      <c r="AL1061" s="264">
        <f>IF(NFI_Expiration=1,IF($A1061&lt;VLOOKUP(M$5,NFI,5,0),1,0)*Table_NFI[[#This Row],[Winter Blanket]],Table_NFI[[#This Row],[Winter Blanket]])</f>
        <v>0</v>
      </c>
      <c r="AM1061" s="264">
        <f>IF(Table_NFI[[#This Row],[Winter Clothes Adult]]+Table_NFI[[#This Row],[Winter Clothes Children]]+Table_NFI[[#This Row],[Winter Items Other]]+Table_NFI[[#This Row],[Winter Blanket]]&gt;0,1,0)</f>
        <v>0</v>
      </c>
      <c r="AN1061" s="296">
        <f>IF(NFI_Expiration=1,IF($A1061&lt;VLOOKUP(V$5,NFI,5,0),1,0)*Table_NFI[[#This Row],[Jerry Can]],Table_NFI[Jerry Can])</f>
        <v>0</v>
      </c>
      <c r="AO1061" s="296">
        <f>IF(NFI_Expiration=1,IF($A1061&lt;VLOOKUP(V$5,NFI,5,0),1,0)*Table_NFI[[#This Row],[Shelter Tool kit]],Table_NFI[Shelter Tool kit])</f>
        <v>0</v>
      </c>
      <c r="AP1061" s="296">
        <f>IF(NFI_Expiration=1,IF($A1061&lt;VLOOKUP(V$5,NFI,5,0),1,0)*Table_NFI[[#This Row],[Tent]],Table_NFI[Tent])</f>
        <v>0</v>
      </c>
      <c r="AQ1061" s="396" t="str">
        <f>IFERROR(VLOOKUP(Table_NFI[[#This Row],[Camp Name]],CL,2,0),"")</f>
        <v>MMR001CMP026</v>
      </c>
      <c r="AR1061" s="702">
        <f ca="1">IF(Table_NFI[[#This Row],[Pcode]]="","",IF(OFFSET(CampList[Opening Date],MATCH(Table_NFI[[#This Row],[Pcode]],CampList[CP_Pcode],0)-1,0,1,1)&gt;=NFI_Monitor_Date,1,0))</f>
        <v>0</v>
      </c>
      <c r="AS1061" s="396" t="str">
        <f>IFERROR(VLOOKUP(Table_NFI[[#This Row],[Camp Name]],CL,3,0),"")</f>
        <v>Open</v>
      </c>
      <c r="AT1061" s="264" t="str">
        <f ca="1">IF(Table_NFI[[#This Row],[Pcode]]="","",OFFSET(CampList[Priority],MATCH(Table_NFI[[#This Row],[Pcode]],CampList[CP_Pcode],0)-1,0,1,1))</f>
        <v>P4</v>
      </c>
      <c r="AU1061" s="263">
        <f>IFERROR(Table_NFI[[#This Row],[Kitchen Set]]/VLOOKUP(Table_NFI[[#This Row],[Camp Name]],CL,4,0),"")</f>
        <v>0</v>
      </c>
      <c r="AV1061" s="390" t="s">
        <v>1087</v>
      </c>
      <c r="AW1061" s="392"/>
    </row>
    <row r="1062" spans="1:49" s="399" customFormat="1" ht="19.899999999999999" customHeight="1" x14ac:dyDescent="0.25">
      <c r="A1062" s="266">
        <f t="shared" si="16"/>
        <v>61.06666666666667</v>
      </c>
      <c r="B1062" s="389">
        <v>41024</v>
      </c>
      <c r="C1062" s="390" t="s">
        <v>904</v>
      </c>
      <c r="D1062" s="390"/>
      <c r="E1062" s="390" t="s">
        <v>380</v>
      </c>
      <c r="F1062" s="262" t="s">
        <v>5</v>
      </c>
      <c r="G1062" s="262" t="s">
        <v>6</v>
      </c>
      <c r="H1062" s="261">
        <v>1173</v>
      </c>
      <c r="I1062" s="261"/>
      <c r="J1062" s="261"/>
      <c r="K1062" s="261"/>
      <c r="L1062" s="261"/>
      <c r="M1062" s="261"/>
      <c r="N1062" s="261"/>
      <c r="O1062" s="261"/>
      <c r="P1062" s="261"/>
      <c r="Q1062" s="261"/>
      <c r="R1062" s="261"/>
      <c r="S1062" s="261"/>
      <c r="T1062" s="261"/>
      <c r="U1062" s="261"/>
      <c r="V1062" s="762"/>
      <c r="W1062" s="762"/>
      <c r="X1062" s="762"/>
      <c r="Y1062" s="264">
        <f>IF(NFI_Expiration=1,IF($A1062&lt;VLOOKUP(H$5,NFI,5,0),1,0)*Table_NFI[[#This Row],[Hygiene Kit]],Table_NFI[Hygiene Kit])</f>
        <v>0</v>
      </c>
      <c r="Z1062" s="264">
        <f>IF(NFI_Expiration=1,IF($A1062&lt;VLOOKUP(I$5,NFI,5,0),1,0)*Table_NFI[[#This Row],[NFI Core Kit]],Table_NFI[NFI Core Kit])</f>
        <v>0</v>
      </c>
      <c r="AA1062" s="264">
        <f>IF(NFI_Expiration=1,IF($A1062&lt;VLOOKUP(J$5,NFI,5,0),1,0)*Table_NFI[[#This Row],[Sanitary Kit]],Table_NFI[Sanitary Kit])</f>
        <v>0</v>
      </c>
      <c r="AB1062" s="264">
        <f>IF(NFI_Expiration=1,IF($A1062&lt;VLOOKUP(K$5,NFI,5,0),1,0)*Table_NFI[[#This Row],[Mosquito net]],Table_NFI[Mosquito net])</f>
        <v>0</v>
      </c>
      <c r="AC1062" s="264">
        <f>IF(NFI_Expiration=1,IF($A1062&lt;VLOOKUP(L$5,NFI,5,0),1,0)*Table_NFI[[#This Row],[Tarpaulin]],Table_NFI[[#This Row],[Tarpaulin]])</f>
        <v>0</v>
      </c>
      <c r="AD1062" s="264">
        <f>IF(NFI_Expiration=1,IF($A1062&lt;VLOOKUP(M$5,NFI,5,0),1,0)*Table_NFI[[#This Row],[Blanket]],Table_NFI[[#This Row],[Blanket]])</f>
        <v>0</v>
      </c>
      <c r="AE1062" s="264">
        <f>IF(NFI_Expiration=1,IF($A1062&lt;VLOOKUP(N$5,NFI,5,0),1,0)*Table_NFI[[#This Row],[Kitchen Set]],Table_NFI[Kitchen Set])</f>
        <v>0</v>
      </c>
      <c r="AF1062" s="264">
        <f>IF(NFI_Expiration=1,IF($A1062&lt;VLOOKUP(O$5,NFI,5,0),1,0)*Table_NFI[[#This Row],[Clothes Kit]],Table_NFI[Clothes Kit])</f>
        <v>0</v>
      </c>
      <c r="AG1062" s="264">
        <f>IF(NFI_Expiration=1,IF($A1062&lt;VLOOKUP(P$5,NFI,5,0),1,0)*Table_NFI[[#This Row],[Plastic Bucket]],Table_NFI[Plastic Bucket])</f>
        <v>0</v>
      </c>
      <c r="AH1062" s="264">
        <f>IF(NFI_Expiration=1,IF($A1062&lt;VLOOKUP(Q$5,NFI,5,0),1,0)*Table_NFI[[#This Row],[Plastic Mat]],Table_NFI[Plastic Mat])*IF(Table_NFI[[#This Row],[Distribution Date]]&gt;"2014-04-01",1,2.5)</f>
        <v>0</v>
      </c>
      <c r="AI1062" s="264">
        <f>IF(NFI_Expiration=1,IF($A1062&lt;VLOOKUP(R$5,NFI,5,0),1,0)*Table_NFI[[#This Row],[Winter Clothes Adult]],Table_NFI[Winter Clothes Adult])</f>
        <v>0</v>
      </c>
      <c r="AJ1062" s="264">
        <f>IF(NFI_Expiration=1,IF($A1062&lt;VLOOKUP(S$5,NFI,5,0),1,0)*Table_NFI[[#This Row],[Winter Clothes Children]],Table_NFI[Winter Clothes Children])</f>
        <v>0</v>
      </c>
      <c r="AK1062" s="264">
        <f>IF(NFI_Expiration=1,IF($A1062&lt;VLOOKUP(T$5,NFI,5,0),1,0)*Table_NFI[[#This Row],[Winter Items Other]],Table_NFI[Winter Items Other])</f>
        <v>0</v>
      </c>
      <c r="AL1062" s="264">
        <f>IF(NFI_Expiration=1,IF($A1062&lt;VLOOKUP(M$5,NFI,5,0),1,0)*Table_NFI[[#This Row],[Winter Blanket]],Table_NFI[[#This Row],[Winter Blanket]])</f>
        <v>0</v>
      </c>
      <c r="AM1062" s="264">
        <f>IF(Table_NFI[[#This Row],[Winter Clothes Adult]]+Table_NFI[[#This Row],[Winter Clothes Children]]+Table_NFI[[#This Row],[Winter Items Other]]+Table_NFI[[#This Row],[Winter Blanket]]&gt;0,1,0)</f>
        <v>0</v>
      </c>
      <c r="AN1062" s="296">
        <f>IF(NFI_Expiration=1,IF($A1062&lt;VLOOKUP(V$5,NFI,5,0),1,0)*Table_NFI[[#This Row],[Jerry Can]],Table_NFI[Jerry Can])</f>
        <v>0</v>
      </c>
      <c r="AO1062" s="296">
        <f>IF(NFI_Expiration=1,IF($A1062&lt;VLOOKUP(V$5,NFI,5,0),1,0)*Table_NFI[[#This Row],[Shelter Tool kit]],Table_NFI[Shelter Tool kit])</f>
        <v>0</v>
      </c>
      <c r="AP1062" s="296">
        <f>IF(NFI_Expiration=1,IF($A1062&lt;VLOOKUP(V$5,NFI,5,0),1,0)*Table_NFI[[#This Row],[Tent]],Table_NFI[Tent])</f>
        <v>0</v>
      </c>
      <c r="AQ1062" s="396" t="str">
        <f>IFERROR(VLOOKUP(Table_NFI[[#This Row],[Camp Name]],CL,2,0),"")</f>
        <v>MMR001CMP050</v>
      </c>
      <c r="AR1062" s="702">
        <f ca="1">IF(Table_NFI[[#This Row],[Pcode]]="","",IF(OFFSET(CampList[Opening Date],MATCH(Table_NFI[[#This Row],[Pcode]],CampList[CP_Pcode],0)-1,0,1,1)&gt;=NFI_Monitor_Date,1,0))</f>
        <v>0</v>
      </c>
      <c r="AS1062" s="396" t="str">
        <f>IFERROR(VLOOKUP(Table_NFI[[#This Row],[Camp Name]],CL,3,0),"")</f>
        <v>Open</v>
      </c>
      <c r="AT1062" s="264" t="str">
        <f ca="1">IF(Table_NFI[[#This Row],[Pcode]]="","",OFFSET(CampList[Priority],MATCH(Table_NFI[[#This Row],[Pcode]],CampList[CP_Pcode],0)-1,0,1,1))</f>
        <v>P4</v>
      </c>
      <c r="AU1062" s="263">
        <f>IFERROR(Table_NFI[[#This Row],[Kitchen Set]]/VLOOKUP(Table_NFI[[#This Row],[Camp Name]],CL,4,0),"")</f>
        <v>0</v>
      </c>
      <c r="AV1062" s="390"/>
      <c r="AW1062" s="392"/>
    </row>
    <row r="1063" spans="1:49" s="399" customFormat="1" ht="14.45" customHeight="1" x14ac:dyDescent="0.25">
      <c r="A1063" s="266">
        <f t="shared" si="16"/>
        <v>61.06666666666667</v>
      </c>
      <c r="B1063" s="389">
        <v>41024</v>
      </c>
      <c r="C1063" s="390" t="s">
        <v>451</v>
      </c>
      <c r="D1063" s="390" t="s">
        <v>451</v>
      </c>
      <c r="E1063" s="390" t="s">
        <v>380</v>
      </c>
      <c r="F1063" s="262" t="s">
        <v>185</v>
      </c>
      <c r="G1063" s="262" t="s">
        <v>192</v>
      </c>
      <c r="H1063" s="261"/>
      <c r="I1063" s="261"/>
      <c r="J1063" s="261"/>
      <c r="K1063" s="261">
        <v>198</v>
      </c>
      <c r="L1063" s="261">
        <v>99</v>
      </c>
      <c r="M1063" s="261">
        <v>198</v>
      </c>
      <c r="N1063" s="261">
        <v>99</v>
      </c>
      <c r="O1063" s="261">
        <v>99</v>
      </c>
      <c r="P1063" s="261">
        <v>99</v>
      </c>
      <c r="Q1063" s="261">
        <v>99</v>
      </c>
      <c r="R1063" s="261"/>
      <c r="S1063" s="261"/>
      <c r="T1063" s="261"/>
      <c r="U1063" s="261"/>
      <c r="V1063" s="762"/>
      <c r="W1063" s="762"/>
      <c r="X1063" s="762"/>
      <c r="Y1063" s="264">
        <f>IF(NFI_Expiration=1,IF($A1063&lt;VLOOKUP(H$5,NFI,5,0),1,0)*Table_NFI[[#This Row],[Hygiene Kit]],Table_NFI[Hygiene Kit])</f>
        <v>0</v>
      </c>
      <c r="Z1063" s="264">
        <f>IF(NFI_Expiration=1,IF($A1063&lt;VLOOKUP(I$5,NFI,5,0),1,0)*Table_NFI[[#This Row],[NFI Core Kit]],Table_NFI[NFI Core Kit])</f>
        <v>0</v>
      </c>
      <c r="AA1063" s="264">
        <f>IF(NFI_Expiration=1,IF($A1063&lt;VLOOKUP(J$5,NFI,5,0),1,0)*Table_NFI[[#This Row],[Sanitary Kit]],Table_NFI[Sanitary Kit])</f>
        <v>0</v>
      </c>
      <c r="AB1063" s="264">
        <f>IF(NFI_Expiration=1,IF($A1063&lt;VLOOKUP(K$5,NFI,5,0),1,0)*Table_NFI[[#This Row],[Mosquito net]],Table_NFI[Mosquito net])</f>
        <v>0</v>
      </c>
      <c r="AC1063" s="264">
        <f>IF(NFI_Expiration=1,IF($A1063&lt;VLOOKUP(L$5,NFI,5,0),1,0)*Table_NFI[[#This Row],[Tarpaulin]],Table_NFI[[#This Row],[Tarpaulin]])</f>
        <v>0</v>
      </c>
      <c r="AD1063" s="264">
        <f>IF(NFI_Expiration=1,IF($A1063&lt;VLOOKUP(M$5,NFI,5,0),1,0)*Table_NFI[[#This Row],[Blanket]],Table_NFI[[#This Row],[Blanket]])</f>
        <v>0</v>
      </c>
      <c r="AE1063" s="264">
        <f>IF(NFI_Expiration=1,IF($A1063&lt;VLOOKUP(N$5,NFI,5,0),1,0)*Table_NFI[[#This Row],[Kitchen Set]],Table_NFI[Kitchen Set])</f>
        <v>0</v>
      </c>
      <c r="AF1063" s="264">
        <f>IF(NFI_Expiration=1,IF($A1063&lt;VLOOKUP(O$5,NFI,5,0),1,0)*Table_NFI[[#This Row],[Clothes Kit]],Table_NFI[Clothes Kit])</f>
        <v>0</v>
      </c>
      <c r="AG1063" s="264">
        <f>IF(NFI_Expiration=1,IF($A1063&lt;VLOOKUP(P$5,NFI,5,0),1,0)*Table_NFI[[#This Row],[Plastic Bucket]],Table_NFI[Plastic Bucket])</f>
        <v>0</v>
      </c>
      <c r="AH1063" s="264">
        <f>IF(NFI_Expiration=1,IF($A1063&lt;VLOOKUP(Q$5,NFI,5,0),1,0)*Table_NFI[[#This Row],[Plastic Mat]],Table_NFI[Plastic Mat])*IF(Table_NFI[[#This Row],[Distribution Date]]&gt;"2014-04-01",1,2.5)</f>
        <v>0</v>
      </c>
      <c r="AI1063" s="264">
        <f>IF(NFI_Expiration=1,IF($A1063&lt;VLOOKUP(R$5,NFI,5,0),1,0)*Table_NFI[[#This Row],[Winter Clothes Adult]],Table_NFI[Winter Clothes Adult])</f>
        <v>0</v>
      </c>
      <c r="AJ1063" s="264">
        <f>IF(NFI_Expiration=1,IF($A1063&lt;VLOOKUP(S$5,NFI,5,0),1,0)*Table_NFI[[#This Row],[Winter Clothes Children]],Table_NFI[Winter Clothes Children])</f>
        <v>0</v>
      </c>
      <c r="AK1063" s="264">
        <f>IF(NFI_Expiration=1,IF($A1063&lt;VLOOKUP(T$5,NFI,5,0),1,0)*Table_NFI[[#This Row],[Winter Items Other]],Table_NFI[Winter Items Other])</f>
        <v>0</v>
      </c>
      <c r="AL1063" s="264">
        <f>IF(NFI_Expiration=1,IF($A1063&lt;VLOOKUP(M$5,NFI,5,0),1,0)*Table_NFI[[#This Row],[Winter Blanket]],Table_NFI[[#This Row],[Winter Blanket]])</f>
        <v>0</v>
      </c>
      <c r="AM1063" s="264">
        <f>IF(Table_NFI[[#This Row],[Winter Clothes Adult]]+Table_NFI[[#This Row],[Winter Clothes Children]]+Table_NFI[[#This Row],[Winter Items Other]]+Table_NFI[[#This Row],[Winter Blanket]]&gt;0,1,0)</f>
        <v>0</v>
      </c>
      <c r="AN1063" s="296">
        <f>IF(NFI_Expiration=1,IF($A1063&lt;VLOOKUP(V$5,NFI,5,0),1,0)*Table_NFI[[#This Row],[Jerry Can]],Table_NFI[Jerry Can])</f>
        <v>0</v>
      </c>
      <c r="AO1063" s="296">
        <f>IF(NFI_Expiration=1,IF($A1063&lt;VLOOKUP(V$5,NFI,5,0),1,0)*Table_NFI[[#This Row],[Shelter Tool kit]],Table_NFI[Shelter Tool kit])</f>
        <v>0</v>
      </c>
      <c r="AP1063" s="296">
        <f>IF(NFI_Expiration=1,IF($A1063&lt;VLOOKUP(V$5,NFI,5,0),1,0)*Table_NFI[[#This Row],[Tent]],Table_NFI[Tent])</f>
        <v>0</v>
      </c>
      <c r="AQ1063" s="396" t="str">
        <f>IFERROR(VLOOKUP(Table_NFI[[#This Row],[Camp Name]],CL,2,0),"")</f>
        <v>MMR001CMP123</v>
      </c>
      <c r="AR1063" s="702">
        <f ca="1">IF(Table_NFI[[#This Row],[Pcode]]="","",IF(OFFSET(CampList[Opening Date],MATCH(Table_NFI[[#This Row],[Pcode]],CampList[CP_Pcode],0)-1,0,1,1)&gt;=NFI_Monitor_Date,1,0))</f>
        <v>0</v>
      </c>
      <c r="AS1063" s="396" t="str">
        <f>IFERROR(VLOOKUP(Table_NFI[[#This Row],[Camp Name]],CL,3,0),"")</f>
        <v>Open</v>
      </c>
      <c r="AT1063" s="264" t="str">
        <f ca="1">IF(Table_NFI[[#This Row],[Pcode]]="","",OFFSET(CampList[Priority],MATCH(Table_NFI[[#This Row],[Pcode]],CampList[CP_Pcode],0)-1,0,1,1))</f>
        <v>P2</v>
      </c>
      <c r="AU1063" s="263">
        <f>IFERROR(Table_NFI[[#This Row],[Kitchen Set]]/VLOOKUP(Table_NFI[[#This Row],[Camp Name]],CL,4,0),"")</f>
        <v>2.429090195308666E-3</v>
      </c>
      <c r="AV1063" s="390" t="s">
        <v>1087</v>
      </c>
      <c r="AW1063" s="392"/>
    </row>
    <row r="1064" spans="1:49" s="399" customFormat="1" ht="15" customHeight="1" x14ac:dyDescent="0.25">
      <c r="A1064" s="266">
        <f t="shared" si="16"/>
        <v>61.06666666666667</v>
      </c>
      <c r="B1064" s="389">
        <v>41024</v>
      </c>
      <c r="C1064" s="390" t="s">
        <v>451</v>
      </c>
      <c r="D1064" s="390" t="s">
        <v>451</v>
      </c>
      <c r="E1064" s="390" t="s">
        <v>380</v>
      </c>
      <c r="F1064" s="262" t="s">
        <v>237</v>
      </c>
      <c r="G1064" s="262" t="s">
        <v>283</v>
      </c>
      <c r="H1064" s="261"/>
      <c r="I1064" s="261"/>
      <c r="J1064" s="261"/>
      <c r="K1064" s="261">
        <v>39</v>
      </c>
      <c r="L1064" s="261">
        <v>19</v>
      </c>
      <c r="M1064" s="261">
        <v>78</v>
      </c>
      <c r="N1064" s="261">
        <v>19</v>
      </c>
      <c r="O1064" s="261">
        <v>0</v>
      </c>
      <c r="P1064" s="261"/>
      <c r="Q1064" s="261"/>
      <c r="R1064" s="261"/>
      <c r="S1064" s="261"/>
      <c r="T1064" s="261"/>
      <c r="U1064" s="261"/>
      <c r="V1064" s="762"/>
      <c r="W1064" s="762"/>
      <c r="X1064" s="762"/>
      <c r="Y1064" s="264">
        <f>IF(NFI_Expiration=1,IF($A1064&lt;VLOOKUP(H$5,NFI,5,0),1,0)*Table_NFI[[#This Row],[Hygiene Kit]],Table_NFI[Hygiene Kit])</f>
        <v>0</v>
      </c>
      <c r="Z1064" s="264">
        <f>IF(NFI_Expiration=1,IF($A1064&lt;VLOOKUP(I$5,NFI,5,0),1,0)*Table_NFI[[#This Row],[NFI Core Kit]],Table_NFI[NFI Core Kit])</f>
        <v>0</v>
      </c>
      <c r="AA1064" s="264">
        <f>IF(NFI_Expiration=1,IF($A1064&lt;VLOOKUP(J$5,NFI,5,0),1,0)*Table_NFI[[#This Row],[Sanitary Kit]],Table_NFI[Sanitary Kit])</f>
        <v>0</v>
      </c>
      <c r="AB1064" s="264">
        <f>IF(NFI_Expiration=1,IF($A1064&lt;VLOOKUP(K$5,NFI,5,0),1,0)*Table_NFI[[#This Row],[Mosquito net]],Table_NFI[Mosquito net])</f>
        <v>0</v>
      </c>
      <c r="AC1064" s="264">
        <f>IF(NFI_Expiration=1,IF($A1064&lt;VLOOKUP(L$5,NFI,5,0),1,0)*Table_NFI[[#This Row],[Tarpaulin]],Table_NFI[[#This Row],[Tarpaulin]])</f>
        <v>0</v>
      </c>
      <c r="AD1064" s="264">
        <f>IF(NFI_Expiration=1,IF($A1064&lt;VLOOKUP(M$5,NFI,5,0),1,0)*Table_NFI[[#This Row],[Blanket]],Table_NFI[[#This Row],[Blanket]])</f>
        <v>0</v>
      </c>
      <c r="AE1064" s="264">
        <f>IF(NFI_Expiration=1,IF($A1064&lt;VLOOKUP(N$5,NFI,5,0),1,0)*Table_NFI[[#This Row],[Kitchen Set]],Table_NFI[Kitchen Set])</f>
        <v>0</v>
      </c>
      <c r="AF1064" s="264">
        <f>IF(NFI_Expiration=1,IF($A1064&lt;VLOOKUP(O$5,NFI,5,0),1,0)*Table_NFI[[#This Row],[Clothes Kit]],Table_NFI[Clothes Kit])</f>
        <v>0</v>
      </c>
      <c r="AG1064" s="264">
        <f>IF(NFI_Expiration=1,IF($A1064&lt;VLOOKUP(P$5,NFI,5,0),1,0)*Table_NFI[[#This Row],[Plastic Bucket]],Table_NFI[Plastic Bucket])</f>
        <v>0</v>
      </c>
      <c r="AH1064" s="264">
        <f>IF(NFI_Expiration=1,IF($A1064&lt;VLOOKUP(Q$5,NFI,5,0),1,0)*Table_NFI[[#This Row],[Plastic Mat]],Table_NFI[Plastic Mat])*IF(Table_NFI[[#This Row],[Distribution Date]]&gt;"2014-04-01",1,2.5)</f>
        <v>0</v>
      </c>
      <c r="AI1064" s="264">
        <f>IF(NFI_Expiration=1,IF($A1064&lt;VLOOKUP(R$5,NFI,5,0),1,0)*Table_NFI[[#This Row],[Winter Clothes Adult]],Table_NFI[Winter Clothes Adult])</f>
        <v>0</v>
      </c>
      <c r="AJ1064" s="264">
        <f>IF(NFI_Expiration=1,IF($A1064&lt;VLOOKUP(S$5,NFI,5,0),1,0)*Table_NFI[[#This Row],[Winter Clothes Children]],Table_NFI[Winter Clothes Children])</f>
        <v>0</v>
      </c>
      <c r="AK1064" s="264">
        <f>IF(NFI_Expiration=1,IF($A1064&lt;VLOOKUP(T$5,NFI,5,0),1,0)*Table_NFI[[#This Row],[Winter Items Other]],Table_NFI[Winter Items Other])</f>
        <v>0</v>
      </c>
      <c r="AL1064" s="264">
        <f>IF(NFI_Expiration=1,IF($A1064&lt;VLOOKUP(M$5,NFI,5,0),1,0)*Table_NFI[[#This Row],[Winter Blanket]],Table_NFI[[#This Row],[Winter Blanket]])</f>
        <v>0</v>
      </c>
      <c r="AM1064" s="264">
        <f>IF(Table_NFI[[#This Row],[Winter Clothes Adult]]+Table_NFI[[#This Row],[Winter Clothes Children]]+Table_NFI[[#This Row],[Winter Items Other]]+Table_NFI[[#This Row],[Winter Blanket]]&gt;0,1,0)</f>
        <v>0</v>
      </c>
      <c r="AN1064" s="296">
        <f>IF(NFI_Expiration=1,IF($A1064&lt;VLOOKUP(V$5,NFI,5,0),1,0)*Table_NFI[[#This Row],[Jerry Can]],Table_NFI[Jerry Can])</f>
        <v>0</v>
      </c>
      <c r="AO1064" s="296">
        <f>IF(NFI_Expiration=1,IF($A1064&lt;VLOOKUP(V$5,NFI,5,0),1,0)*Table_NFI[[#This Row],[Shelter Tool kit]],Table_NFI[Shelter Tool kit])</f>
        <v>0</v>
      </c>
      <c r="AP1064" s="296">
        <f>IF(NFI_Expiration=1,IF($A1064&lt;VLOOKUP(V$5,NFI,5,0),1,0)*Table_NFI[[#This Row],[Tent]],Table_NFI[Tent])</f>
        <v>0</v>
      </c>
      <c r="AQ1064" s="396" t="str">
        <f>IFERROR(VLOOKUP(Table_NFI[[#This Row],[Camp Name]],CL,2,0),"")</f>
        <v>MMR001CMP022</v>
      </c>
      <c r="AR1064" s="702">
        <f ca="1">IF(Table_NFI[[#This Row],[Pcode]]="","",IF(OFFSET(CampList[Opening Date],MATCH(Table_NFI[[#This Row],[Pcode]],CampList[CP_Pcode],0)-1,0,1,1)&gt;=NFI_Monitor_Date,1,0))</f>
        <v>0</v>
      </c>
      <c r="AS1064" s="396" t="str">
        <f>IFERROR(VLOOKUP(Table_NFI[[#This Row],[Camp Name]],CL,3,0),"")</f>
        <v>Open</v>
      </c>
      <c r="AT1064" s="264" t="str">
        <f ca="1">IF(Table_NFI[[#This Row],[Pcode]]="","",OFFSET(CampList[Priority],MATCH(Table_NFI[[#This Row],[Pcode]],CampList[CP_Pcode],0)-1,0,1,1))</f>
        <v>P4</v>
      </c>
      <c r="AU1064" s="263">
        <f>IFERROR(Table_NFI[[#This Row],[Kitchen Set]]/VLOOKUP(Table_NFI[[#This Row],[Camp Name]],CL,4,0),"")</f>
        <v>4.6341463414634144E-4</v>
      </c>
      <c r="AV1064" s="390" t="s">
        <v>1087</v>
      </c>
      <c r="AW1064" s="392"/>
    </row>
    <row r="1065" spans="1:49" s="399" customFormat="1" ht="15.75" customHeight="1" x14ac:dyDescent="0.25">
      <c r="A1065" s="266">
        <f t="shared" si="16"/>
        <v>61.166666666666664</v>
      </c>
      <c r="B1065" s="389">
        <v>41021</v>
      </c>
      <c r="C1065" s="390" t="s">
        <v>451</v>
      </c>
      <c r="D1065" s="390" t="s">
        <v>451</v>
      </c>
      <c r="E1065" s="390" t="s">
        <v>380</v>
      </c>
      <c r="F1065" s="262" t="s">
        <v>185</v>
      </c>
      <c r="G1065" s="262" t="s">
        <v>906</v>
      </c>
      <c r="H1065" s="261"/>
      <c r="I1065" s="261"/>
      <c r="J1065" s="261"/>
      <c r="K1065" s="261">
        <v>846</v>
      </c>
      <c r="L1065" s="261">
        <v>423</v>
      </c>
      <c r="M1065" s="261">
        <v>846</v>
      </c>
      <c r="N1065" s="261">
        <v>423</v>
      </c>
      <c r="O1065" s="261">
        <v>423</v>
      </c>
      <c r="P1065" s="261">
        <v>423</v>
      </c>
      <c r="Q1065" s="261">
        <v>423</v>
      </c>
      <c r="R1065" s="261"/>
      <c r="S1065" s="261"/>
      <c r="T1065" s="261"/>
      <c r="U1065" s="261"/>
      <c r="V1065" s="762"/>
      <c r="W1065" s="762"/>
      <c r="X1065" s="762"/>
      <c r="Y1065" s="264">
        <f>IF(NFI_Expiration=1,IF($A1065&lt;VLOOKUP(H$5,NFI,5,0),1,0)*Table_NFI[[#This Row],[Hygiene Kit]],Table_NFI[Hygiene Kit])</f>
        <v>0</v>
      </c>
      <c r="Z1065" s="264">
        <f>IF(NFI_Expiration=1,IF($A1065&lt;VLOOKUP(I$5,NFI,5,0),1,0)*Table_NFI[[#This Row],[NFI Core Kit]],Table_NFI[NFI Core Kit])</f>
        <v>0</v>
      </c>
      <c r="AA1065" s="264">
        <f>IF(NFI_Expiration=1,IF($A1065&lt;VLOOKUP(J$5,NFI,5,0),1,0)*Table_NFI[[#This Row],[Sanitary Kit]],Table_NFI[Sanitary Kit])</f>
        <v>0</v>
      </c>
      <c r="AB1065" s="264">
        <f>IF(NFI_Expiration=1,IF($A1065&lt;VLOOKUP(K$5,NFI,5,0),1,0)*Table_NFI[[#This Row],[Mosquito net]],Table_NFI[Mosquito net])</f>
        <v>0</v>
      </c>
      <c r="AC1065" s="264">
        <f>IF(NFI_Expiration=1,IF($A1065&lt;VLOOKUP(L$5,NFI,5,0),1,0)*Table_NFI[[#This Row],[Tarpaulin]],Table_NFI[[#This Row],[Tarpaulin]])</f>
        <v>0</v>
      </c>
      <c r="AD1065" s="264">
        <f>IF(NFI_Expiration=1,IF($A1065&lt;VLOOKUP(M$5,NFI,5,0),1,0)*Table_NFI[[#This Row],[Blanket]],Table_NFI[[#This Row],[Blanket]])</f>
        <v>0</v>
      </c>
      <c r="AE1065" s="264">
        <f>IF(NFI_Expiration=1,IF($A1065&lt;VLOOKUP(N$5,NFI,5,0),1,0)*Table_NFI[[#This Row],[Kitchen Set]],Table_NFI[Kitchen Set])</f>
        <v>0</v>
      </c>
      <c r="AF1065" s="264">
        <f>IF(NFI_Expiration=1,IF($A1065&lt;VLOOKUP(O$5,NFI,5,0),1,0)*Table_NFI[[#This Row],[Clothes Kit]],Table_NFI[Clothes Kit])</f>
        <v>0</v>
      </c>
      <c r="AG1065" s="264">
        <f>IF(NFI_Expiration=1,IF($A1065&lt;VLOOKUP(P$5,NFI,5,0),1,0)*Table_NFI[[#This Row],[Plastic Bucket]],Table_NFI[Plastic Bucket])</f>
        <v>0</v>
      </c>
      <c r="AH1065" s="264">
        <f>IF(NFI_Expiration=1,IF($A1065&lt;VLOOKUP(Q$5,NFI,5,0),1,0)*Table_NFI[[#This Row],[Plastic Mat]],Table_NFI[Plastic Mat])*IF(Table_NFI[[#This Row],[Distribution Date]]&gt;"2014-04-01",1,2.5)</f>
        <v>0</v>
      </c>
      <c r="AI1065" s="264">
        <f>IF(NFI_Expiration=1,IF($A1065&lt;VLOOKUP(R$5,NFI,5,0),1,0)*Table_NFI[[#This Row],[Winter Clothes Adult]],Table_NFI[Winter Clothes Adult])</f>
        <v>0</v>
      </c>
      <c r="AJ1065" s="264">
        <f>IF(NFI_Expiration=1,IF($A1065&lt;VLOOKUP(S$5,NFI,5,0),1,0)*Table_NFI[[#This Row],[Winter Clothes Children]],Table_NFI[Winter Clothes Children])</f>
        <v>0</v>
      </c>
      <c r="AK1065" s="264">
        <f>IF(NFI_Expiration=1,IF($A1065&lt;VLOOKUP(T$5,NFI,5,0),1,0)*Table_NFI[[#This Row],[Winter Items Other]],Table_NFI[Winter Items Other])</f>
        <v>0</v>
      </c>
      <c r="AL1065" s="264">
        <f>IF(NFI_Expiration=1,IF($A1065&lt;VLOOKUP(M$5,NFI,5,0),1,0)*Table_NFI[[#This Row],[Winter Blanket]],Table_NFI[[#This Row],[Winter Blanket]])</f>
        <v>0</v>
      </c>
      <c r="AM1065" s="264">
        <f>IF(Table_NFI[[#This Row],[Winter Clothes Adult]]+Table_NFI[[#This Row],[Winter Clothes Children]]+Table_NFI[[#This Row],[Winter Items Other]]+Table_NFI[[#This Row],[Winter Blanket]]&gt;0,1,0)</f>
        <v>0</v>
      </c>
      <c r="AN1065" s="296">
        <f>IF(NFI_Expiration=1,IF($A1065&lt;VLOOKUP(V$5,NFI,5,0),1,0)*Table_NFI[[#This Row],[Jerry Can]],Table_NFI[Jerry Can])</f>
        <v>0</v>
      </c>
      <c r="AO1065" s="296">
        <f>IF(NFI_Expiration=1,IF($A1065&lt;VLOOKUP(V$5,NFI,5,0),1,0)*Table_NFI[[#This Row],[Shelter Tool kit]],Table_NFI[Shelter Tool kit])</f>
        <v>0</v>
      </c>
      <c r="AP1065" s="296">
        <f>IF(NFI_Expiration=1,IF($A1065&lt;VLOOKUP(V$5,NFI,5,0),1,0)*Table_NFI[[#This Row],[Tent]],Table_NFI[Tent])</f>
        <v>0</v>
      </c>
      <c r="AQ1065" s="396" t="str">
        <f>IFERROR(VLOOKUP(Table_NFI[[#This Row],[Camp Name]],CL,2,0),"")</f>
        <v/>
      </c>
      <c r="AR1065" s="702" t="str">
        <f ca="1">IF(Table_NFI[[#This Row],[Pcode]]="","",IF(OFFSET(CampList[Opening Date],MATCH(Table_NFI[[#This Row],[Pcode]],CampList[CP_Pcode],0)-1,0,1,1)&gt;=NFI_Monitor_Date,1,0))</f>
        <v/>
      </c>
      <c r="AS1065" s="396" t="str">
        <f>IFERROR(VLOOKUP(Table_NFI[[#This Row],[Camp Name]],CL,3,0),"")</f>
        <v/>
      </c>
      <c r="AT1065" s="264" t="str">
        <f ca="1">IF(Table_NFI[[#This Row],[Pcode]]="","",OFFSET(CampList[Priority],MATCH(Table_NFI[[#This Row],[Pcode]],CampList[CP_Pcode],0)-1,0,1,1))</f>
        <v/>
      </c>
      <c r="AU1065" s="263" t="str">
        <f>IFERROR(Table_NFI[[#This Row],[Kitchen Set]]/VLOOKUP(Table_NFI[[#This Row],[Camp Name]],CL,4,0),"")</f>
        <v/>
      </c>
      <c r="AV1065" s="390" t="s">
        <v>1087</v>
      </c>
      <c r="AW1065" s="392"/>
    </row>
    <row r="1066" spans="1:49" s="399" customFormat="1" ht="15.75" customHeight="1" x14ac:dyDescent="0.25">
      <c r="A1066" s="266">
        <f t="shared" si="16"/>
        <v>61.5</v>
      </c>
      <c r="B1066" s="389">
        <v>41011</v>
      </c>
      <c r="C1066" s="390" t="s">
        <v>451</v>
      </c>
      <c r="D1066" s="391" t="s">
        <v>451</v>
      </c>
      <c r="E1066" s="390" t="s">
        <v>380</v>
      </c>
      <c r="F1066" s="262" t="s">
        <v>310</v>
      </c>
      <c r="G1066" s="262" t="s">
        <v>355</v>
      </c>
      <c r="H1066" s="261"/>
      <c r="I1066" s="261"/>
      <c r="J1066" s="261"/>
      <c r="K1066" s="261">
        <v>123</v>
      </c>
      <c r="L1066" s="261">
        <v>95</v>
      </c>
      <c r="M1066" s="261">
        <v>123</v>
      </c>
      <c r="N1066" s="261">
        <v>95</v>
      </c>
      <c r="O1066" s="261">
        <v>95</v>
      </c>
      <c r="P1066" s="261">
        <v>95</v>
      </c>
      <c r="Q1066" s="261">
        <v>95</v>
      </c>
      <c r="R1066" s="261"/>
      <c r="S1066" s="261"/>
      <c r="T1066" s="261"/>
      <c r="U1066" s="261"/>
      <c r="V1066" s="762"/>
      <c r="W1066" s="762"/>
      <c r="X1066" s="762"/>
      <c r="Y1066" s="264">
        <f>IF(NFI_Expiration=1,IF($A1066&lt;VLOOKUP(H$5,NFI,5,0),1,0)*Table_NFI[[#This Row],[Hygiene Kit]],Table_NFI[Hygiene Kit])</f>
        <v>0</v>
      </c>
      <c r="Z1066" s="264">
        <f>IF(NFI_Expiration=1,IF($A1066&lt;VLOOKUP(I$5,NFI,5,0),1,0)*Table_NFI[[#This Row],[NFI Core Kit]],Table_NFI[NFI Core Kit])</f>
        <v>0</v>
      </c>
      <c r="AA1066" s="264">
        <f>IF(NFI_Expiration=1,IF($A1066&lt;VLOOKUP(J$5,NFI,5,0),1,0)*Table_NFI[[#This Row],[Sanitary Kit]],Table_NFI[Sanitary Kit])</f>
        <v>0</v>
      </c>
      <c r="AB1066" s="264">
        <f>IF(NFI_Expiration=1,IF($A1066&lt;VLOOKUP(K$5,NFI,5,0),1,0)*Table_NFI[[#This Row],[Mosquito net]],Table_NFI[Mosquito net])</f>
        <v>0</v>
      </c>
      <c r="AC1066" s="264">
        <f>IF(NFI_Expiration=1,IF($A1066&lt;VLOOKUP(L$5,NFI,5,0),1,0)*Table_NFI[[#This Row],[Tarpaulin]],Table_NFI[[#This Row],[Tarpaulin]])</f>
        <v>0</v>
      </c>
      <c r="AD1066" s="264">
        <f>IF(NFI_Expiration=1,IF($A1066&lt;VLOOKUP(M$5,NFI,5,0),1,0)*Table_NFI[[#This Row],[Blanket]],Table_NFI[[#This Row],[Blanket]])</f>
        <v>0</v>
      </c>
      <c r="AE1066" s="264">
        <f>IF(NFI_Expiration=1,IF($A1066&lt;VLOOKUP(N$5,NFI,5,0),1,0)*Table_NFI[[#This Row],[Kitchen Set]],Table_NFI[Kitchen Set])</f>
        <v>0</v>
      </c>
      <c r="AF1066" s="264">
        <f>IF(NFI_Expiration=1,IF($A1066&lt;VLOOKUP(O$5,NFI,5,0),1,0)*Table_NFI[[#This Row],[Clothes Kit]],Table_NFI[Clothes Kit])</f>
        <v>0</v>
      </c>
      <c r="AG1066" s="264">
        <f>IF(NFI_Expiration=1,IF($A1066&lt;VLOOKUP(P$5,NFI,5,0),1,0)*Table_NFI[[#This Row],[Plastic Bucket]],Table_NFI[Plastic Bucket])</f>
        <v>0</v>
      </c>
      <c r="AH1066" s="264">
        <f>IF(NFI_Expiration=1,IF($A1066&lt;VLOOKUP(Q$5,NFI,5,0),1,0)*Table_NFI[[#This Row],[Plastic Mat]],Table_NFI[Plastic Mat])*IF(Table_NFI[[#This Row],[Distribution Date]]&gt;"2014-04-01",1,2.5)</f>
        <v>0</v>
      </c>
      <c r="AI1066" s="264">
        <f>IF(NFI_Expiration=1,IF($A1066&lt;VLOOKUP(R$5,NFI,5,0),1,0)*Table_NFI[[#This Row],[Winter Clothes Adult]],Table_NFI[Winter Clothes Adult])</f>
        <v>0</v>
      </c>
      <c r="AJ1066" s="264">
        <f>IF(NFI_Expiration=1,IF($A1066&lt;VLOOKUP(S$5,NFI,5,0),1,0)*Table_NFI[[#This Row],[Winter Clothes Children]],Table_NFI[Winter Clothes Children])</f>
        <v>0</v>
      </c>
      <c r="AK1066" s="264">
        <f>IF(NFI_Expiration=1,IF($A1066&lt;VLOOKUP(T$5,NFI,5,0),1,0)*Table_NFI[[#This Row],[Winter Items Other]],Table_NFI[Winter Items Other])</f>
        <v>0</v>
      </c>
      <c r="AL1066" s="264">
        <f>IF(NFI_Expiration=1,IF($A1066&lt;VLOOKUP(M$5,NFI,5,0),1,0)*Table_NFI[[#This Row],[Winter Blanket]],Table_NFI[[#This Row],[Winter Blanket]])</f>
        <v>0</v>
      </c>
      <c r="AM1066" s="264">
        <f>IF(Table_NFI[[#This Row],[Winter Clothes Adult]]+Table_NFI[[#This Row],[Winter Clothes Children]]+Table_NFI[[#This Row],[Winter Items Other]]+Table_NFI[[#This Row],[Winter Blanket]]&gt;0,1,0)</f>
        <v>0</v>
      </c>
      <c r="AN1066" s="296">
        <f>IF(NFI_Expiration=1,IF($A1066&lt;VLOOKUP(V$5,NFI,5,0),1,0)*Table_NFI[[#This Row],[Jerry Can]],Table_NFI[Jerry Can])</f>
        <v>0</v>
      </c>
      <c r="AO1066" s="296">
        <f>IF(NFI_Expiration=1,IF($A1066&lt;VLOOKUP(V$5,NFI,5,0),1,0)*Table_NFI[[#This Row],[Shelter Tool kit]],Table_NFI[Shelter Tool kit])</f>
        <v>0</v>
      </c>
      <c r="AP1066" s="296">
        <f>IF(NFI_Expiration=1,IF($A1066&lt;VLOOKUP(V$5,NFI,5,0),1,0)*Table_NFI[[#This Row],[Tent]],Table_NFI[Tent])</f>
        <v>0</v>
      </c>
      <c r="AQ1066" s="396" t="str">
        <f>IFERROR(VLOOKUP(Table_NFI[[#This Row],[Camp Name]],CL,2,0),"")</f>
        <v>MMR001CMP160</v>
      </c>
      <c r="AR1066" s="702">
        <f ca="1">IF(Table_NFI[[#This Row],[Pcode]]="","",IF(OFFSET(CampList[Opening Date],MATCH(Table_NFI[[#This Row],[Pcode]],CampList[CP_Pcode],0)-1,0,1,1)&gt;=NFI_Monitor_Date,1,0))</f>
        <v>0</v>
      </c>
      <c r="AS1066" s="396" t="str">
        <f>IFERROR(VLOOKUP(Table_NFI[[#This Row],[Camp Name]],CL,3,0),"")</f>
        <v>Open</v>
      </c>
      <c r="AT1066" s="264" t="str">
        <f ca="1">IF(Table_NFI[[#This Row],[Pcode]]="","",OFFSET(CampList[Priority],MATCH(Table_NFI[[#This Row],[Pcode]],CampList[CP_Pcode],0)-1,0,1,1))</f>
        <v>P1</v>
      </c>
      <c r="AU1066" s="263">
        <f>IFERROR(Table_NFI[[#This Row],[Kitchen Set]]/VLOOKUP(Table_NFI[[#This Row],[Camp Name]],CL,4,0),"")</f>
        <v>2.3256952604778693E-3</v>
      </c>
      <c r="AV1066" s="390" t="s">
        <v>1087</v>
      </c>
      <c r="AW1066" s="392"/>
    </row>
    <row r="1067" spans="1:49" s="399" customFormat="1" ht="15.75" customHeight="1" x14ac:dyDescent="0.25">
      <c r="A1067" s="266">
        <f t="shared" si="16"/>
        <v>61.56666666666667</v>
      </c>
      <c r="B1067" s="389">
        <v>41009</v>
      </c>
      <c r="C1067" s="390" t="s">
        <v>451</v>
      </c>
      <c r="D1067" s="390" t="s">
        <v>458</v>
      </c>
      <c r="E1067" s="390" t="s">
        <v>380</v>
      </c>
      <c r="F1067" s="390" t="s">
        <v>302</v>
      </c>
      <c r="G1067" s="262" t="s">
        <v>306</v>
      </c>
      <c r="H1067" s="261"/>
      <c r="I1067" s="261"/>
      <c r="J1067" s="261"/>
      <c r="K1067" s="261">
        <v>46</v>
      </c>
      <c r="L1067" s="261">
        <v>27</v>
      </c>
      <c r="M1067" s="261">
        <v>46</v>
      </c>
      <c r="N1067" s="261">
        <v>27</v>
      </c>
      <c r="O1067" s="261">
        <v>27</v>
      </c>
      <c r="P1067" s="261">
        <v>27</v>
      </c>
      <c r="Q1067" s="261">
        <v>27</v>
      </c>
      <c r="R1067" s="261"/>
      <c r="S1067" s="261"/>
      <c r="T1067" s="261"/>
      <c r="U1067" s="261"/>
      <c r="V1067" s="762"/>
      <c r="W1067" s="762"/>
      <c r="X1067" s="762"/>
      <c r="Y1067" s="264">
        <f>IF(NFI_Expiration=1,IF($A1067&lt;VLOOKUP(H$5,NFI,5,0),1,0)*Table_NFI[[#This Row],[Hygiene Kit]],Table_NFI[Hygiene Kit])</f>
        <v>0</v>
      </c>
      <c r="Z1067" s="264">
        <f>IF(NFI_Expiration=1,IF($A1067&lt;VLOOKUP(I$5,NFI,5,0),1,0)*Table_NFI[[#This Row],[NFI Core Kit]],Table_NFI[NFI Core Kit])</f>
        <v>0</v>
      </c>
      <c r="AA1067" s="264">
        <f>IF(NFI_Expiration=1,IF($A1067&lt;VLOOKUP(J$5,NFI,5,0),1,0)*Table_NFI[[#This Row],[Sanitary Kit]],Table_NFI[Sanitary Kit])</f>
        <v>0</v>
      </c>
      <c r="AB1067" s="264">
        <f>IF(NFI_Expiration=1,IF($A1067&lt;VLOOKUP(K$5,NFI,5,0),1,0)*Table_NFI[[#This Row],[Mosquito net]],Table_NFI[Mosquito net])</f>
        <v>0</v>
      </c>
      <c r="AC1067" s="264">
        <f>IF(NFI_Expiration=1,IF($A1067&lt;VLOOKUP(L$5,NFI,5,0),1,0)*Table_NFI[[#This Row],[Tarpaulin]],Table_NFI[[#This Row],[Tarpaulin]])</f>
        <v>0</v>
      </c>
      <c r="AD1067" s="264">
        <f>IF(NFI_Expiration=1,IF($A1067&lt;VLOOKUP(M$5,NFI,5,0),1,0)*Table_NFI[[#This Row],[Blanket]],Table_NFI[[#This Row],[Blanket]])</f>
        <v>0</v>
      </c>
      <c r="AE1067" s="264">
        <f>IF(NFI_Expiration=1,IF($A1067&lt;VLOOKUP(N$5,NFI,5,0),1,0)*Table_NFI[[#This Row],[Kitchen Set]],Table_NFI[Kitchen Set])</f>
        <v>0</v>
      </c>
      <c r="AF1067" s="264">
        <f>IF(NFI_Expiration=1,IF($A1067&lt;VLOOKUP(O$5,NFI,5,0),1,0)*Table_NFI[[#This Row],[Clothes Kit]],Table_NFI[Clothes Kit])</f>
        <v>0</v>
      </c>
      <c r="AG1067" s="264">
        <f>IF(NFI_Expiration=1,IF($A1067&lt;VLOOKUP(P$5,NFI,5,0),1,0)*Table_NFI[[#This Row],[Plastic Bucket]],Table_NFI[Plastic Bucket])</f>
        <v>0</v>
      </c>
      <c r="AH1067" s="264">
        <f>IF(NFI_Expiration=1,IF($A1067&lt;VLOOKUP(Q$5,NFI,5,0),1,0)*Table_NFI[[#This Row],[Plastic Mat]],Table_NFI[Plastic Mat])*IF(Table_NFI[[#This Row],[Distribution Date]]&gt;"2014-04-01",1,2.5)</f>
        <v>0</v>
      </c>
      <c r="AI1067" s="264">
        <f>IF(NFI_Expiration=1,IF($A1067&lt;VLOOKUP(R$5,NFI,5,0),1,0)*Table_NFI[[#This Row],[Winter Clothes Adult]],Table_NFI[Winter Clothes Adult])</f>
        <v>0</v>
      </c>
      <c r="AJ1067" s="264">
        <f>IF(NFI_Expiration=1,IF($A1067&lt;VLOOKUP(S$5,NFI,5,0),1,0)*Table_NFI[[#This Row],[Winter Clothes Children]],Table_NFI[Winter Clothes Children])</f>
        <v>0</v>
      </c>
      <c r="AK1067" s="264">
        <f>IF(NFI_Expiration=1,IF($A1067&lt;VLOOKUP(T$5,NFI,5,0),1,0)*Table_NFI[[#This Row],[Winter Items Other]],Table_NFI[Winter Items Other])</f>
        <v>0</v>
      </c>
      <c r="AL1067" s="264">
        <f>IF(NFI_Expiration=1,IF($A1067&lt;VLOOKUP(M$5,NFI,5,0),1,0)*Table_NFI[[#This Row],[Winter Blanket]],Table_NFI[[#This Row],[Winter Blanket]])</f>
        <v>0</v>
      </c>
      <c r="AM1067" s="264">
        <f>IF(Table_NFI[[#This Row],[Winter Clothes Adult]]+Table_NFI[[#This Row],[Winter Clothes Children]]+Table_NFI[[#This Row],[Winter Items Other]]+Table_NFI[[#This Row],[Winter Blanket]]&gt;0,1,0)</f>
        <v>0</v>
      </c>
      <c r="AN1067" s="296">
        <f>IF(NFI_Expiration=1,IF($A1067&lt;VLOOKUP(V$5,NFI,5,0),1,0)*Table_NFI[[#This Row],[Jerry Can]],Table_NFI[Jerry Can])</f>
        <v>0</v>
      </c>
      <c r="AO1067" s="296">
        <f>IF(NFI_Expiration=1,IF($A1067&lt;VLOOKUP(V$5,NFI,5,0),1,0)*Table_NFI[[#This Row],[Shelter Tool kit]],Table_NFI[Shelter Tool kit])</f>
        <v>0</v>
      </c>
      <c r="AP1067" s="296">
        <f>IF(NFI_Expiration=1,IF($A1067&lt;VLOOKUP(V$5,NFI,5,0),1,0)*Table_NFI[[#This Row],[Tent]],Table_NFI[Tent])</f>
        <v>0</v>
      </c>
      <c r="AQ1067" s="396" t="str">
        <f>IFERROR(VLOOKUP(Table_NFI[[#This Row],[Camp Name]],CL,2,0),"")</f>
        <v>MMR001CMP067</v>
      </c>
      <c r="AR1067" s="702">
        <f ca="1">IF(Table_NFI[[#This Row],[Pcode]]="","",IF(OFFSET(CampList[Opening Date],MATCH(Table_NFI[[#This Row],[Pcode]],CampList[CP_Pcode],0)-1,0,1,1)&gt;=NFI_Monitor_Date,1,0))</f>
        <v>0</v>
      </c>
      <c r="AS1067" s="396" t="str">
        <f>IFERROR(VLOOKUP(Table_NFI[[#This Row],[Camp Name]],CL,3,0),"")</f>
        <v>Open</v>
      </c>
      <c r="AT1067" s="264" t="str">
        <f ca="1">IF(Table_NFI[[#This Row],[Pcode]]="","",OFFSET(CampList[Priority],MATCH(Table_NFI[[#This Row],[Pcode]],CampList[CP_Pcode],0)-1,0,1,1))</f>
        <v>P4</v>
      </c>
      <c r="AU1067" s="263">
        <f>IFERROR(Table_NFI[[#This Row],[Kitchen Set]]/VLOOKUP(Table_NFI[[#This Row],[Camp Name]],CL,4,0),"")</f>
        <v>6.6298342541436467E-4</v>
      </c>
      <c r="AV1067" s="390" t="s">
        <v>1087</v>
      </c>
      <c r="AW1067" s="392"/>
    </row>
    <row r="1068" spans="1:49" s="399" customFormat="1" ht="15.75" customHeight="1" x14ac:dyDescent="0.25">
      <c r="A1068" s="266">
        <f t="shared" si="16"/>
        <v>61.56666666666667</v>
      </c>
      <c r="B1068" s="389">
        <v>41009</v>
      </c>
      <c r="C1068" s="390" t="s">
        <v>451</v>
      </c>
      <c r="D1068" s="390" t="s">
        <v>458</v>
      </c>
      <c r="E1068" s="390" t="s">
        <v>380</v>
      </c>
      <c r="F1068" s="262" t="s">
        <v>302</v>
      </c>
      <c r="G1068" s="262" t="s">
        <v>308</v>
      </c>
      <c r="H1068" s="261"/>
      <c r="I1068" s="261"/>
      <c r="J1068" s="261"/>
      <c r="K1068" s="261">
        <v>43</v>
      </c>
      <c r="L1068" s="261">
        <v>25</v>
      </c>
      <c r="M1068" s="261">
        <v>43</v>
      </c>
      <c r="N1068" s="261">
        <v>25</v>
      </c>
      <c r="O1068" s="261">
        <v>25</v>
      </c>
      <c r="P1068" s="261">
        <v>25</v>
      </c>
      <c r="Q1068" s="261">
        <v>25</v>
      </c>
      <c r="R1068" s="261"/>
      <c r="S1068" s="261"/>
      <c r="T1068" s="261"/>
      <c r="U1068" s="261"/>
      <c r="V1068" s="762"/>
      <c r="W1068" s="762"/>
      <c r="X1068" s="762"/>
      <c r="Y1068" s="264">
        <f>IF(NFI_Expiration=1,IF($A1068&lt;VLOOKUP(H$5,NFI,5,0),1,0)*Table_NFI[[#This Row],[Hygiene Kit]],Table_NFI[Hygiene Kit])</f>
        <v>0</v>
      </c>
      <c r="Z1068" s="264">
        <f>IF(NFI_Expiration=1,IF($A1068&lt;VLOOKUP(I$5,NFI,5,0),1,0)*Table_NFI[[#This Row],[NFI Core Kit]],Table_NFI[NFI Core Kit])</f>
        <v>0</v>
      </c>
      <c r="AA1068" s="264">
        <f>IF(NFI_Expiration=1,IF($A1068&lt;VLOOKUP(J$5,NFI,5,0),1,0)*Table_NFI[[#This Row],[Sanitary Kit]],Table_NFI[Sanitary Kit])</f>
        <v>0</v>
      </c>
      <c r="AB1068" s="264">
        <f>IF(NFI_Expiration=1,IF($A1068&lt;VLOOKUP(K$5,NFI,5,0),1,0)*Table_NFI[[#This Row],[Mosquito net]],Table_NFI[Mosquito net])</f>
        <v>0</v>
      </c>
      <c r="AC1068" s="264">
        <f>IF(NFI_Expiration=1,IF($A1068&lt;VLOOKUP(L$5,NFI,5,0),1,0)*Table_NFI[[#This Row],[Tarpaulin]],Table_NFI[[#This Row],[Tarpaulin]])</f>
        <v>0</v>
      </c>
      <c r="AD1068" s="264">
        <f>IF(NFI_Expiration=1,IF($A1068&lt;VLOOKUP(M$5,NFI,5,0),1,0)*Table_NFI[[#This Row],[Blanket]],Table_NFI[[#This Row],[Blanket]])</f>
        <v>0</v>
      </c>
      <c r="AE1068" s="264">
        <f>IF(NFI_Expiration=1,IF($A1068&lt;VLOOKUP(N$5,NFI,5,0),1,0)*Table_NFI[[#This Row],[Kitchen Set]],Table_NFI[Kitchen Set])</f>
        <v>0</v>
      </c>
      <c r="AF1068" s="264">
        <f>IF(NFI_Expiration=1,IF($A1068&lt;VLOOKUP(O$5,NFI,5,0),1,0)*Table_NFI[[#This Row],[Clothes Kit]],Table_NFI[Clothes Kit])</f>
        <v>0</v>
      </c>
      <c r="AG1068" s="264">
        <f>IF(NFI_Expiration=1,IF($A1068&lt;VLOOKUP(P$5,NFI,5,0),1,0)*Table_NFI[[#This Row],[Plastic Bucket]],Table_NFI[Plastic Bucket])</f>
        <v>0</v>
      </c>
      <c r="AH1068" s="264">
        <f>IF(NFI_Expiration=1,IF($A1068&lt;VLOOKUP(Q$5,NFI,5,0),1,0)*Table_NFI[[#This Row],[Plastic Mat]],Table_NFI[Plastic Mat])*IF(Table_NFI[[#This Row],[Distribution Date]]&gt;"2014-04-01",1,2.5)</f>
        <v>0</v>
      </c>
      <c r="AI1068" s="264">
        <f>IF(NFI_Expiration=1,IF($A1068&lt;VLOOKUP(R$5,NFI,5,0),1,0)*Table_NFI[[#This Row],[Winter Clothes Adult]],Table_NFI[Winter Clothes Adult])</f>
        <v>0</v>
      </c>
      <c r="AJ1068" s="264">
        <f>IF(NFI_Expiration=1,IF($A1068&lt;VLOOKUP(S$5,NFI,5,0),1,0)*Table_NFI[[#This Row],[Winter Clothes Children]],Table_NFI[Winter Clothes Children])</f>
        <v>0</v>
      </c>
      <c r="AK1068" s="264">
        <f>IF(NFI_Expiration=1,IF($A1068&lt;VLOOKUP(T$5,NFI,5,0),1,0)*Table_NFI[[#This Row],[Winter Items Other]],Table_NFI[Winter Items Other])</f>
        <v>0</v>
      </c>
      <c r="AL1068" s="264">
        <f>IF(NFI_Expiration=1,IF($A1068&lt;VLOOKUP(M$5,NFI,5,0),1,0)*Table_NFI[[#This Row],[Winter Blanket]],Table_NFI[[#This Row],[Winter Blanket]])</f>
        <v>0</v>
      </c>
      <c r="AM1068" s="264">
        <f>IF(Table_NFI[[#This Row],[Winter Clothes Adult]]+Table_NFI[[#This Row],[Winter Clothes Children]]+Table_NFI[[#This Row],[Winter Items Other]]+Table_NFI[[#This Row],[Winter Blanket]]&gt;0,1,0)</f>
        <v>0</v>
      </c>
      <c r="AN1068" s="296">
        <f>IF(NFI_Expiration=1,IF($A1068&lt;VLOOKUP(V$5,NFI,5,0),1,0)*Table_NFI[[#This Row],[Jerry Can]],Table_NFI[Jerry Can])</f>
        <v>0</v>
      </c>
      <c r="AO1068" s="296">
        <f>IF(NFI_Expiration=1,IF($A1068&lt;VLOOKUP(V$5,NFI,5,0),1,0)*Table_NFI[[#This Row],[Shelter Tool kit]],Table_NFI[Shelter Tool kit])</f>
        <v>0</v>
      </c>
      <c r="AP1068" s="296">
        <f>IF(NFI_Expiration=1,IF($A1068&lt;VLOOKUP(V$5,NFI,5,0),1,0)*Table_NFI[[#This Row],[Tent]],Table_NFI[Tent])</f>
        <v>0</v>
      </c>
      <c r="AQ1068" s="396" t="str">
        <f>IFERROR(VLOOKUP(Table_NFI[[#This Row],[Camp Name]],CL,2,0),"")</f>
        <v>MMR001CMP068</v>
      </c>
      <c r="AR1068" s="702">
        <f ca="1">IF(Table_NFI[[#This Row],[Pcode]]="","",IF(OFFSET(CampList[Opening Date],MATCH(Table_NFI[[#This Row],[Pcode]],CampList[CP_Pcode],0)-1,0,1,1)&gt;=NFI_Monitor_Date,1,0))</f>
        <v>0</v>
      </c>
      <c r="AS1068" s="396" t="str">
        <f>IFERROR(VLOOKUP(Table_NFI[[#This Row],[Camp Name]],CL,3,0),"")</f>
        <v>Open</v>
      </c>
      <c r="AT1068" s="264" t="str">
        <f ca="1">IF(Table_NFI[[#This Row],[Pcode]]="","",OFFSET(CampList[Priority],MATCH(Table_NFI[[#This Row],[Pcode]],CampList[CP_Pcode],0)-1,0,1,1))</f>
        <v>P4</v>
      </c>
      <c r="AU1068" s="263">
        <f>IFERROR(Table_NFI[[#This Row],[Kitchen Set]]/VLOOKUP(Table_NFI[[#This Row],[Camp Name]],CL,4,0),"")</f>
        <v>6.1387354205033758E-4</v>
      </c>
      <c r="AV1068" s="390" t="s">
        <v>1087</v>
      </c>
      <c r="AW1068" s="392"/>
    </row>
    <row r="1069" spans="1:49" s="399" customFormat="1" ht="15.75" customHeight="1" x14ac:dyDescent="0.25">
      <c r="A1069" s="266">
        <f t="shared" si="16"/>
        <v>61.633333333333333</v>
      </c>
      <c r="B1069" s="389">
        <v>41007</v>
      </c>
      <c r="C1069" s="390" t="s">
        <v>904</v>
      </c>
      <c r="D1069" s="390"/>
      <c r="E1069" s="390" t="s">
        <v>380</v>
      </c>
      <c r="F1069" s="262" t="s">
        <v>5</v>
      </c>
      <c r="G1069" s="262" t="s">
        <v>6</v>
      </c>
      <c r="H1069" s="261">
        <v>302</v>
      </c>
      <c r="I1069" s="261"/>
      <c r="J1069" s="261"/>
      <c r="K1069" s="261"/>
      <c r="L1069" s="261"/>
      <c r="M1069" s="261"/>
      <c r="N1069" s="261"/>
      <c r="O1069" s="261"/>
      <c r="P1069" s="261"/>
      <c r="Q1069" s="261"/>
      <c r="R1069" s="261"/>
      <c r="S1069" s="261"/>
      <c r="T1069" s="261"/>
      <c r="U1069" s="261"/>
      <c r="V1069" s="762"/>
      <c r="W1069" s="762"/>
      <c r="X1069" s="762"/>
      <c r="Y1069" s="264">
        <f>IF(NFI_Expiration=1,IF($A1069&lt;VLOOKUP(H$5,NFI,5,0),1,0)*Table_NFI[[#This Row],[Hygiene Kit]],Table_NFI[Hygiene Kit])</f>
        <v>0</v>
      </c>
      <c r="Z1069" s="264">
        <f>IF(NFI_Expiration=1,IF($A1069&lt;VLOOKUP(I$5,NFI,5,0),1,0)*Table_NFI[[#This Row],[NFI Core Kit]],Table_NFI[NFI Core Kit])</f>
        <v>0</v>
      </c>
      <c r="AA1069" s="264">
        <f>IF(NFI_Expiration=1,IF($A1069&lt;VLOOKUP(J$5,NFI,5,0),1,0)*Table_NFI[[#This Row],[Sanitary Kit]],Table_NFI[Sanitary Kit])</f>
        <v>0</v>
      </c>
      <c r="AB1069" s="264">
        <f>IF(NFI_Expiration=1,IF($A1069&lt;VLOOKUP(K$5,NFI,5,0),1,0)*Table_NFI[[#This Row],[Mosquito net]],Table_NFI[Mosquito net])</f>
        <v>0</v>
      </c>
      <c r="AC1069" s="264">
        <f>IF(NFI_Expiration=1,IF($A1069&lt;VLOOKUP(L$5,NFI,5,0),1,0)*Table_NFI[[#This Row],[Tarpaulin]],Table_NFI[[#This Row],[Tarpaulin]])</f>
        <v>0</v>
      </c>
      <c r="AD1069" s="264">
        <f>IF(NFI_Expiration=1,IF($A1069&lt;VLOOKUP(M$5,NFI,5,0),1,0)*Table_NFI[[#This Row],[Blanket]],Table_NFI[[#This Row],[Blanket]])</f>
        <v>0</v>
      </c>
      <c r="AE1069" s="264">
        <f>IF(NFI_Expiration=1,IF($A1069&lt;VLOOKUP(N$5,NFI,5,0),1,0)*Table_NFI[[#This Row],[Kitchen Set]],Table_NFI[Kitchen Set])</f>
        <v>0</v>
      </c>
      <c r="AF1069" s="264">
        <f>IF(NFI_Expiration=1,IF($A1069&lt;VLOOKUP(O$5,NFI,5,0),1,0)*Table_NFI[[#This Row],[Clothes Kit]],Table_NFI[Clothes Kit])</f>
        <v>0</v>
      </c>
      <c r="AG1069" s="264">
        <f>IF(NFI_Expiration=1,IF($A1069&lt;VLOOKUP(P$5,NFI,5,0),1,0)*Table_NFI[[#This Row],[Plastic Bucket]],Table_NFI[Plastic Bucket])</f>
        <v>0</v>
      </c>
      <c r="AH1069" s="264">
        <f>IF(NFI_Expiration=1,IF($A1069&lt;VLOOKUP(Q$5,NFI,5,0),1,0)*Table_NFI[[#This Row],[Plastic Mat]],Table_NFI[Plastic Mat])*IF(Table_NFI[[#This Row],[Distribution Date]]&gt;"2014-04-01",1,2.5)</f>
        <v>0</v>
      </c>
      <c r="AI1069" s="264">
        <f>IF(NFI_Expiration=1,IF($A1069&lt;VLOOKUP(R$5,NFI,5,0),1,0)*Table_NFI[[#This Row],[Winter Clothes Adult]],Table_NFI[Winter Clothes Adult])</f>
        <v>0</v>
      </c>
      <c r="AJ1069" s="264">
        <f>IF(NFI_Expiration=1,IF($A1069&lt;VLOOKUP(S$5,NFI,5,0),1,0)*Table_NFI[[#This Row],[Winter Clothes Children]],Table_NFI[Winter Clothes Children])</f>
        <v>0</v>
      </c>
      <c r="AK1069" s="264">
        <f>IF(NFI_Expiration=1,IF($A1069&lt;VLOOKUP(T$5,NFI,5,0),1,0)*Table_NFI[[#This Row],[Winter Items Other]],Table_NFI[Winter Items Other])</f>
        <v>0</v>
      </c>
      <c r="AL1069" s="264">
        <f>IF(NFI_Expiration=1,IF($A1069&lt;VLOOKUP(M$5,NFI,5,0),1,0)*Table_NFI[[#This Row],[Winter Blanket]],Table_NFI[[#This Row],[Winter Blanket]])</f>
        <v>0</v>
      </c>
      <c r="AM1069" s="264">
        <f>IF(Table_NFI[[#This Row],[Winter Clothes Adult]]+Table_NFI[[#This Row],[Winter Clothes Children]]+Table_NFI[[#This Row],[Winter Items Other]]+Table_NFI[[#This Row],[Winter Blanket]]&gt;0,1,0)</f>
        <v>0</v>
      </c>
      <c r="AN1069" s="296">
        <f>IF(NFI_Expiration=1,IF($A1069&lt;VLOOKUP(V$5,NFI,5,0),1,0)*Table_NFI[[#This Row],[Jerry Can]],Table_NFI[Jerry Can])</f>
        <v>0</v>
      </c>
      <c r="AO1069" s="296">
        <f>IF(NFI_Expiration=1,IF($A1069&lt;VLOOKUP(V$5,NFI,5,0),1,0)*Table_NFI[[#This Row],[Shelter Tool kit]],Table_NFI[Shelter Tool kit])</f>
        <v>0</v>
      </c>
      <c r="AP1069" s="296">
        <f>IF(NFI_Expiration=1,IF($A1069&lt;VLOOKUP(V$5,NFI,5,0),1,0)*Table_NFI[[#This Row],[Tent]],Table_NFI[Tent])</f>
        <v>0</v>
      </c>
      <c r="AQ1069" s="396" t="str">
        <f>IFERROR(VLOOKUP(Table_NFI[[#This Row],[Camp Name]],CL,2,0),"")</f>
        <v>MMR001CMP050</v>
      </c>
      <c r="AR1069" s="702">
        <f ca="1">IF(Table_NFI[[#This Row],[Pcode]]="","",IF(OFFSET(CampList[Opening Date],MATCH(Table_NFI[[#This Row],[Pcode]],CampList[CP_Pcode],0)-1,0,1,1)&gt;=NFI_Monitor_Date,1,0))</f>
        <v>0</v>
      </c>
      <c r="AS1069" s="396" t="str">
        <f>IFERROR(VLOOKUP(Table_NFI[[#This Row],[Camp Name]],CL,3,0),"")</f>
        <v>Open</v>
      </c>
      <c r="AT1069" s="264" t="str">
        <f ca="1">IF(Table_NFI[[#This Row],[Pcode]]="","",OFFSET(CampList[Priority],MATCH(Table_NFI[[#This Row],[Pcode]],CampList[CP_Pcode],0)-1,0,1,1))</f>
        <v>P4</v>
      </c>
      <c r="AU1069" s="263">
        <f>IFERROR(Table_NFI[[#This Row],[Kitchen Set]]/VLOOKUP(Table_NFI[[#This Row],[Camp Name]],CL,4,0),"")</f>
        <v>0</v>
      </c>
      <c r="AV1069" s="390"/>
      <c r="AW1069" s="392"/>
    </row>
    <row r="1070" spans="1:49" s="399" customFormat="1" ht="15.75" customHeight="1" x14ac:dyDescent="0.25">
      <c r="A1070" s="266">
        <f t="shared" si="16"/>
        <v>61.733333333333334</v>
      </c>
      <c r="B1070" s="389">
        <v>41004</v>
      </c>
      <c r="C1070" s="390" t="s">
        <v>451</v>
      </c>
      <c r="D1070" s="391" t="s">
        <v>451</v>
      </c>
      <c r="E1070" s="390" t="s">
        <v>380</v>
      </c>
      <c r="F1070" s="262" t="s">
        <v>185</v>
      </c>
      <c r="G1070" s="262" t="s">
        <v>211</v>
      </c>
      <c r="H1070" s="261"/>
      <c r="I1070" s="261"/>
      <c r="J1070" s="261"/>
      <c r="K1070" s="261">
        <v>0</v>
      </c>
      <c r="L1070" s="261">
        <v>50</v>
      </c>
      <c r="M1070" s="261">
        <v>0</v>
      </c>
      <c r="N1070" s="261">
        <v>0</v>
      </c>
      <c r="O1070" s="261">
        <v>0</v>
      </c>
      <c r="P1070" s="261"/>
      <c r="Q1070" s="261"/>
      <c r="R1070" s="261"/>
      <c r="S1070" s="261"/>
      <c r="T1070" s="261"/>
      <c r="U1070" s="261"/>
      <c r="V1070" s="762"/>
      <c r="W1070" s="762"/>
      <c r="X1070" s="762"/>
      <c r="Y1070" s="264">
        <f>IF(NFI_Expiration=1,IF($A1070&lt;VLOOKUP(H$5,NFI,5,0),1,0)*Table_NFI[[#This Row],[Hygiene Kit]],Table_NFI[Hygiene Kit])</f>
        <v>0</v>
      </c>
      <c r="Z1070" s="264">
        <f>IF(NFI_Expiration=1,IF($A1070&lt;VLOOKUP(I$5,NFI,5,0),1,0)*Table_NFI[[#This Row],[NFI Core Kit]],Table_NFI[NFI Core Kit])</f>
        <v>0</v>
      </c>
      <c r="AA1070" s="264">
        <f>IF(NFI_Expiration=1,IF($A1070&lt;VLOOKUP(J$5,NFI,5,0),1,0)*Table_NFI[[#This Row],[Sanitary Kit]],Table_NFI[Sanitary Kit])</f>
        <v>0</v>
      </c>
      <c r="AB1070" s="264">
        <f>IF(NFI_Expiration=1,IF($A1070&lt;VLOOKUP(K$5,NFI,5,0),1,0)*Table_NFI[[#This Row],[Mosquito net]],Table_NFI[Mosquito net])</f>
        <v>0</v>
      </c>
      <c r="AC1070" s="264">
        <f>IF(NFI_Expiration=1,IF($A1070&lt;VLOOKUP(L$5,NFI,5,0),1,0)*Table_NFI[[#This Row],[Tarpaulin]],Table_NFI[[#This Row],[Tarpaulin]])</f>
        <v>0</v>
      </c>
      <c r="AD1070" s="264">
        <f>IF(NFI_Expiration=1,IF($A1070&lt;VLOOKUP(M$5,NFI,5,0),1,0)*Table_NFI[[#This Row],[Blanket]],Table_NFI[[#This Row],[Blanket]])</f>
        <v>0</v>
      </c>
      <c r="AE1070" s="264">
        <f>IF(NFI_Expiration=1,IF($A1070&lt;VLOOKUP(N$5,NFI,5,0),1,0)*Table_NFI[[#This Row],[Kitchen Set]],Table_NFI[Kitchen Set])</f>
        <v>0</v>
      </c>
      <c r="AF1070" s="264">
        <f>IF(NFI_Expiration=1,IF($A1070&lt;VLOOKUP(O$5,NFI,5,0),1,0)*Table_NFI[[#This Row],[Clothes Kit]],Table_NFI[Clothes Kit])</f>
        <v>0</v>
      </c>
      <c r="AG1070" s="264">
        <f>IF(NFI_Expiration=1,IF($A1070&lt;VLOOKUP(P$5,NFI,5,0),1,0)*Table_NFI[[#This Row],[Plastic Bucket]],Table_NFI[Plastic Bucket])</f>
        <v>0</v>
      </c>
      <c r="AH1070" s="264">
        <f>IF(NFI_Expiration=1,IF($A1070&lt;VLOOKUP(Q$5,NFI,5,0),1,0)*Table_NFI[[#This Row],[Plastic Mat]],Table_NFI[Plastic Mat])*IF(Table_NFI[[#This Row],[Distribution Date]]&gt;"2014-04-01",1,2.5)</f>
        <v>0</v>
      </c>
      <c r="AI1070" s="264">
        <f>IF(NFI_Expiration=1,IF($A1070&lt;VLOOKUP(R$5,NFI,5,0),1,0)*Table_NFI[[#This Row],[Winter Clothes Adult]],Table_NFI[Winter Clothes Adult])</f>
        <v>0</v>
      </c>
      <c r="AJ1070" s="264">
        <f>IF(NFI_Expiration=1,IF($A1070&lt;VLOOKUP(S$5,NFI,5,0),1,0)*Table_NFI[[#This Row],[Winter Clothes Children]],Table_NFI[Winter Clothes Children])</f>
        <v>0</v>
      </c>
      <c r="AK1070" s="264">
        <f>IF(NFI_Expiration=1,IF($A1070&lt;VLOOKUP(T$5,NFI,5,0),1,0)*Table_NFI[[#This Row],[Winter Items Other]],Table_NFI[Winter Items Other])</f>
        <v>0</v>
      </c>
      <c r="AL1070" s="264">
        <f>IF(NFI_Expiration=1,IF($A1070&lt;VLOOKUP(M$5,NFI,5,0),1,0)*Table_NFI[[#This Row],[Winter Blanket]],Table_NFI[[#This Row],[Winter Blanket]])</f>
        <v>0</v>
      </c>
      <c r="AM1070" s="264">
        <f>IF(Table_NFI[[#This Row],[Winter Clothes Adult]]+Table_NFI[[#This Row],[Winter Clothes Children]]+Table_NFI[[#This Row],[Winter Items Other]]+Table_NFI[[#This Row],[Winter Blanket]]&gt;0,1,0)</f>
        <v>0</v>
      </c>
      <c r="AN1070" s="296">
        <f>IF(NFI_Expiration=1,IF($A1070&lt;VLOOKUP(V$5,NFI,5,0),1,0)*Table_NFI[[#This Row],[Jerry Can]],Table_NFI[Jerry Can])</f>
        <v>0</v>
      </c>
      <c r="AO1070" s="296">
        <f>IF(NFI_Expiration=1,IF($A1070&lt;VLOOKUP(V$5,NFI,5,0),1,0)*Table_NFI[[#This Row],[Shelter Tool kit]],Table_NFI[Shelter Tool kit])</f>
        <v>0</v>
      </c>
      <c r="AP1070" s="296">
        <f>IF(NFI_Expiration=1,IF($A1070&lt;VLOOKUP(V$5,NFI,5,0),1,0)*Table_NFI[[#This Row],[Tent]],Table_NFI[Tent])</f>
        <v>0</v>
      </c>
      <c r="AQ1070" s="396" t="str">
        <f>IFERROR(VLOOKUP(Table_NFI[[#This Row],[Camp Name]],CL,2,0),"")</f>
        <v>MMR001CMP057</v>
      </c>
      <c r="AR1070" s="702">
        <f ca="1">IF(Table_NFI[[#This Row],[Pcode]]="","",IF(OFFSET(CampList[Opening Date],MATCH(Table_NFI[[#This Row],[Pcode]],CampList[CP_Pcode],0)-1,0,1,1)&gt;=NFI_Monitor_Date,1,0))</f>
        <v>0</v>
      </c>
      <c r="AS1070" s="396" t="str">
        <f>IFERROR(VLOOKUP(Table_NFI[[#This Row],[Camp Name]],CL,3,0),"")</f>
        <v>Closed</v>
      </c>
      <c r="AT1070" s="264" t="str">
        <f ca="1">IF(Table_NFI[[#This Row],[Pcode]]="","",OFFSET(CampList[Priority],MATCH(Table_NFI[[#This Row],[Pcode]],CampList[CP_Pcode],0)-1,0,1,1))</f>
        <v>P4</v>
      </c>
      <c r="AU1070" s="263">
        <f>IFERROR(Table_NFI[[#This Row],[Kitchen Set]]/VLOOKUP(Table_NFI[[#This Row],[Camp Name]],CL,4,0),"")</f>
        <v>0</v>
      </c>
      <c r="AV1070" s="390" t="s">
        <v>1087</v>
      </c>
      <c r="AW1070" s="392"/>
    </row>
    <row r="1071" spans="1:49" s="399" customFormat="1" ht="15.75" customHeight="1" x14ac:dyDescent="0.25">
      <c r="A1071" s="266">
        <f t="shared" si="16"/>
        <v>61.766666666666666</v>
      </c>
      <c r="B1071" s="389">
        <v>41003</v>
      </c>
      <c r="C1071" s="390" t="s">
        <v>451</v>
      </c>
      <c r="D1071" s="390" t="s">
        <v>451</v>
      </c>
      <c r="E1071" s="390" t="s">
        <v>380</v>
      </c>
      <c r="F1071" s="262" t="s">
        <v>151</v>
      </c>
      <c r="G1071" s="262" t="s">
        <v>188</v>
      </c>
      <c r="H1071" s="261"/>
      <c r="I1071" s="261"/>
      <c r="J1071" s="261"/>
      <c r="K1071" s="261">
        <v>216</v>
      </c>
      <c r="L1071" s="261">
        <v>108</v>
      </c>
      <c r="M1071" s="261">
        <v>216</v>
      </c>
      <c r="N1071" s="261">
        <v>108</v>
      </c>
      <c r="O1071" s="261">
        <v>108</v>
      </c>
      <c r="P1071" s="261">
        <v>108</v>
      </c>
      <c r="Q1071" s="261">
        <v>108</v>
      </c>
      <c r="R1071" s="261"/>
      <c r="S1071" s="261"/>
      <c r="T1071" s="261"/>
      <c r="U1071" s="261"/>
      <c r="V1071" s="762"/>
      <c r="W1071" s="762"/>
      <c r="X1071" s="762"/>
      <c r="Y1071" s="264">
        <f>IF(NFI_Expiration=1,IF($A1071&lt;VLOOKUP(H$5,NFI,5,0),1,0)*Table_NFI[[#This Row],[Hygiene Kit]],Table_NFI[Hygiene Kit])</f>
        <v>0</v>
      </c>
      <c r="Z1071" s="264">
        <f>IF(NFI_Expiration=1,IF($A1071&lt;VLOOKUP(I$5,NFI,5,0),1,0)*Table_NFI[[#This Row],[NFI Core Kit]],Table_NFI[NFI Core Kit])</f>
        <v>0</v>
      </c>
      <c r="AA1071" s="264">
        <f>IF(NFI_Expiration=1,IF($A1071&lt;VLOOKUP(J$5,NFI,5,0),1,0)*Table_NFI[[#This Row],[Sanitary Kit]],Table_NFI[Sanitary Kit])</f>
        <v>0</v>
      </c>
      <c r="AB1071" s="264">
        <f>IF(NFI_Expiration=1,IF($A1071&lt;VLOOKUP(K$5,NFI,5,0),1,0)*Table_NFI[[#This Row],[Mosquito net]],Table_NFI[Mosquito net])</f>
        <v>0</v>
      </c>
      <c r="AC1071" s="264">
        <f>IF(NFI_Expiration=1,IF($A1071&lt;VLOOKUP(L$5,NFI,5,0),1,0)*Table_NFI[[#This Row],[Tarpaulin]],Table_NFI[[#This Row],[Tarpaulin]])</f>
        <v>0</v>
      </c>
      <c r="AD1071" s="264">
        <f>IF(NFI_Expiration=1,IF($A1071&lt;VLOOKUP(M$5,NFI,5,0),1,0)*Table_NFI[[#This Row],[Blanket]],Table_NFI[[#This Row],[Blanket]])</f>
        <v>0</v>
      </c>
      <c r="AE1071" s="264">
        <f>IF(NFI_Expiration=1,IF($A1071&lt;VLOOKUP(N$5,NFI,5,0),1,0)*Table_NFI[[#This Row],[Kitchen Set]],Table_NFI[Kitchen Set])</f>
        <v>0</v>
      </c>
      <c r="AF1071" s="264">
        <f>IF(NFI_Expiration=1,IF($A1071&lt;VLOOKUP(O$5,NFI,5,0),1,0)*Table_NFI[[#This Row],[Clothes Kit]],Table_NFI[Clothes Kit])</f>
        <v>0</v>
      </c>
      <c r="AG1071" s="264">
        <f>IF(NFI_Expiration=1,IF($A1071&lt;VLOOKUP(P$5,NFI,5,0),1,0)*Table_NFI[[#This Row],[Plastic Bucket]],Table_NFI[Plastic Bucket])</f>
        <v>0</v>
      </c>
      <c r="AH1071" s="264">
        <f>IF(NFI_Expiration=1,IF($A1071&lt;VLOOKUP(Q$5,NFI,5,0),1,0)*Table_NFI[[#This Row],[Plastic Mat]],Table_NFI[Plastic Mat])*IF(Table_NFI[[#This Row],[Distribution Date]]&gt;"2014-04-01",1,2.5)</f>
        <v>0</v>
      </c>
      <c r="AI1071" s="264">
        <f>IF(NFI_Expiration=1,IF($A1071&lt;VLOOKUP(R$5,NFI,5,0),1,0)*Table_NFI[[#This Row],[Winter Clothes Adult]],Table_NFI[Winter Clothes Adult])</f>
        <v>0</v>
      </c>
      <c r="AJ1071" s="264">
        <f>IF(NFI_Expiration=1,IF($A1071&lt;VLOOKUP(S$5,NFI,5,0),1,0)*Table_NFI[[#This Row],[Winter Clothes Children]],Table_NFI[Winter Clothes Children])</f>
        <v>0</v>
      </c>
      <c r="AK1071" s="264">
        <f>IF(NFI_Expiration=1,IF($A1071&lt;VLOOKUP(T$5,NFI,5,0),1,0)*Table_NFI[[#This Row],[Winter Items Other]],Table_NFI[Winter Items Other])</f>
        <v>0</v>
      </c>
      <c r="AL1071" s="264">
        <f>IF(NFI_Expiration=1,IF($A1071&lt;VLOOKUP(M$5,NFI,5,0),1,0)*Table_NFI[[#This Row],[Winter Blanket]],Table_NFI[[#This Row],[Winter Blanket]])</f>
        <v>0</v>
      </c>
      <c r="AM1071" s="264">
        <f>IF(Table_NFI[[#This Row],[Winter Clothes Adult]]+Table_NFI[[#This Row],[Winter Clothes Children]]+Table_NFI[[#This Row],[Winter Items Other]]+Table_NFI[[#This Row],[Winter Blanket]]&gt;0,1,0)</f>
        <v>0</v>
      </c>
      <c r="AN1071" s="296">
        <f>IF(NFI_Expiration=1,IF($A1071&lt;VLOOKUP(V$5,NFI,5,0),1,0)*Table_NFI[[#This Row],[Jerry Can]],Table_NFI[Jerry Can])</f>
        <v>0</v>
      </c>
      <c r="AO1071" s="296">
        <f>IF(NFI_Expiration=1,IF($A1071&lt;VLOOKUP(V$5,NFI,5,0),1,0)*Table_NFI[[#This Row],[Shelter Tool kit]],Table_NFI[Shelter Tool kit])</f>
        <v>0</v>
      </c>
      <c r="AP1071" s="296">
        <f>IF(NFI_Expiration=1,IF($A1071&lt;VLOOKUP(V$5,NFI,5,0),1,0)*Table_NFI[[#This Row],[Tent]],Table_NFI[Tent])</f>
        <v>0</v>
      </c>
      <c r="AQ1071" s="396" t="str">
        <f>IFERROR(VLOOKUP(Table_NFI[[#This Row],[Camp Name]],CL,2,0),"")</f>
        <v>MMR001CMP129</v>
      </c>
      <c r="AR1071" s="702">
        <f ca="1">IF(Table_NFI[[#This Row],[Pcode]]="","",IF(OFFSET(CampList[Opening Date],MATCH(Table_NFI[[#This Row],[Pcode]],CampList[CP_Pcode],0)-1,0,1,1)&gt;=NFI_Monitor_Date,1,0))</f>
        <v>0</v>
      </c>
      <c r="AS1071" s="396" t="str">
        <f>IFERROR(VLOOKUP(Table_NFI[[#This Row],[Camp Name]],CL,3,0),"")</f>
        <v>Open</v>
      </c>
      <c r="AT1071" s="264" t="str">
        <f ca="1">IF(Table_NFI[[#This Row],[Pcode]]="","",OFFSET(CampList[Priority],MATCH(Table_NFI[[#This Row],[Pcode]],CampList[CP_Pcode],0)-1,0,1,1))</f>
        <v>P2</v>
      </c>
      <c r="AU1071" s="263">
        <f>IFERROR(Table_NFI[[#This Row],[Kitchen Set]]/VLOOKUP(Table_NFI[[#This Row],[Camp Name]],CL,4,0),"")</f>
        <v>2.6459563417203617E-3</v>
      </c>
      <c r="AV1071" s="390" t="s">
        <v>1087</v>
      </c>
      <c r="AW1071" s="392"/>
    </row>
    <row r="1072" spans="1:49" s="399" customFormat="1" ht="15.75" customHeight="1" x14ac:dyDescent="0.25">
      <c r="A1072" s="266">
        <f t="shared" si="16"/>
        <v>61.8</v>
      </c>
      <c r="B1072" s="389">
        <v>41002</v>
      </c>
      <c r="C1072" s="390" t="s">
        <v>451</v>
      </c>
      <c r="D1072" s="390" t="s">
        <v>451</v>
      </c>
      <c r="E1072" s="390" t="s">
        <v>380</v>
      </c>
      <c r="F1072" s="262" t="s">
        <v>151</v>
      </c>
      <c r="G1072" s="262" t="s">
        <v>198</v>
      </c>
      <c r="H1072" s="261"/>
      <c r="I1072" s="261"/>
      <c r="J1072" s="261"/>
      <c r="K1072" s="261">
        <v>510</v>
      </c>
      <c r="L1072" s="261">
        <v>0</v>
      </c>
      <c r="M1072" s="261">
        <v>510</v>
      </c>
      <c r="N1072" s="261">
        <v>255</v>
      </c>
      <c r="O1072" s="261">
        <v>255</v>
      </c>
      <c r="P1072" s="261">
        <v>255</v>
      </c>
      <c r="Q1072" s="261">
        <v>255</v>
      </c>
      <c r="R1072" s="261"/>
      <c r="S1072" s="261"/>
      <c r="T1072" s="261"/>
      <c r="U1072" s="261"/>
      <c r="V1072" s="762"/>
      <c r="W1072" s="762"/>
      <c r="X1072" s="762"/>
      <c r="Y1072" s="264">
        <f>IF(NFI_Expiration=1,IF($A1072&lt;VLOOKUP(H$5,NFI,5,0),1,0)*Table_NFI[[#This Row],[Hygiene Kit]],Table_NFI[Hygiene Kit])</f>
        <v>0</v>
      </c>
      <c r="Z1072" s="264">
        <f>IF(NFI_Expiration=1,IF($A1072&lt;VLOOKUP(I$5,NFI,5,0),1,0)*Table_NFI[[#This Row],[NFI Core Kit]],Table_NFI[NFI Core Kit])</f>
        <v>0</v>
      </c>
      <c r="AA1072" s="264">
        <f>IF(NFI_Expiration=1,IF($A1072&lt;VLOOKUP(J$5,NFI,5,0),1,0)*Table_NFI[[#This Row],[Sanitary Kit]],Table_NFI[Sanitary Kit])</f>
        <v>0</v>
      </c>
      <c r="AB1072" s="264">
        <f>IF(NFI_Expiration=1,IF($A1072&lt;VLOOKUP(K$5,NFI,5,0),1,0)*Table_NFI[[#This Row],[Mosquito net]],Table_NFI[Mosquito net])</f>
        <v>0</v>
      </c>
      <c r="AC1072" s="264">
        <f>IF(NFI_Expiration=1,IF($A1072&lt;VLOOKUP(L$5,NFI,5,0),1,0)*Table_NFI[[#This Row],[Tarpaulin]],Table_NFI[[#This Row],[Tarpaulin]])</f>
        <v>0</v>
      </c>
      <c r="AD1072" s="264">
        <f>IF(NFI_Expiration=1,IF($A1072&lt;VLOOKUP(M$5,NFI,5,0),1,0)*Table_NFI[[#This Row],[Blanket]],Table_NFI[[#This Row],[Blanket]])</f>
        <v>0</v>
      </c>
      <c r="AE1072" s="264">
        <f>IF(NFI_Expiration=1,IF($A1072&lt;VLOOKUP(N$5,NFI,5,0),1,0)*Table_NFI[[#This Row],[Kitchen Set]],Table_NFI[Kitchen Set])</f>
        <v>0</v>
      </c>
      <c r="AF1072" s="264">
        <f>IF(NFI_Expiration=1,IF($A1072&lt;VLOOKUP(O$5,NFI,5,0),1,0)*Table_NFI[[#This Row],[Clothes Kit]],Table_NFI[Clothes Kit])</f>
        <v>0</v>
      </c>
      <c r="AG1072" s="264">
        <f>IF(NFI_Expiration=1,IF($A1072&lt;VLOOKUP(P$5,NFI,5,0),1,0)*Table_NFI[[#This Row],[Plastic Bucket]],Table_NFI[Plastic Bucket])</f>
        <v>0</v>
      </c>
      <c r="AH1072" s="264">
        <f>IF(NFI_Expiration=1,IF($A1072&lt;VLOOKUP(Q$5,NFI,5,0),1,0)*Table_NFI[[#This Row],[Plastic Mat]],Table_NFI[Plastic Mat])*IF(Table_NFI[[#This Row],[Distribution Date]]&gt;"2014-04-01",1,2.5)</f>
        <v>0</v>
      </c>
      <c r="AI1072" s="264">
        <f>IF(NFI_Expiration=1,IF($A1072&lt;VLOOKUP(R$5,NFI,5,0),1,0)*Table_NFI[[#This Row],[Winter Clothes Adult]],Table_NFI[Winter Clothes Adult])</f>
        <v>0</v>
      </c>
      <c r="AJ1072" s="264">
        <f>IF(NFI_Expiration=1,IF($A1072&lt;VLOOKUP(S$5,NFI,5,0),1,0)*Table_NFI[[#This Row],[Winter Clothes Children]],Table_NFI[Winter Clothes Children])</f>
        <v>0</v>
      </c>
      <c r="AK1072" s="264">
        <f>IF(NFI_Expiration=1,IF($A1072&lt;VLOOKUP(T$5,NFI,5,0),1,0)*Table_NFI[[#This Row],[Winter Items Other]],Table_NFI[Winter Items Other])</f>
        <v>0</v>
      </c>
      <c r="AL1072" s="264">
        <f>IF(NFI_Expiration=1,IF($A1072&lt;VLOOKUP(M$5,NFI,5,0),1,0)*Table_NFI[[#This Row],[Winter Blanket]],Table_NFI[[#This Row],[Winter Blanket]])</f>
        <v>0</v>
      </c>
      <c r="AM1072" s="264">
        <f>IF(Table_NFI[[#This Row],[Winter Clothes Adult]]+Table_NFI[[#This Row],[Winter Clothes Children]]+Table_NFI[[#This Row],[Winter Items Other]]+Table_NFI[[#This Row],[Winter Blanket]]&gt;0,1,0)</f>
        <v>0</v>
      </c>
      <c r="AN1072" s="296">
        <f>IF(NFI_Expiration=1,IF($A1072&lt;VLOOKUP(V$5,NFI,5,0),1,0)*Table_NFI[[#This Row],[Jerry Can]],Table_NFI[Jerry Can])</f>
        <v>0</v>
      </c>
      <c r="AO1072" s="296">
        <f>IF(NFI_Expiration=1,IF($A1072&lt;VLOOKUP(V$5,NFI,5,0),1,0)*Table_NFI[[#This Row],[Shelter Tool kit]],Table_NFI[Shelter Tool kit])</f>
        <v>0</v>
      </c>
      <c r="AP1072" s="296">
        <f>IF(NFI_Expiration=1,IF($A1072&lt;VLOOKUP(V$5,NFI,5,0),1,0)*Table_NFI[[#This Row],[Tent]],Table_NFI[Tent])</f>
        <v>0</v>
      </c>
      <c r="AQ1072" s="396" t="str">
        <f>IFERROR(VLOOKUP(Table_NFI[[#This Row],[Camp Name]],CL,2,0),"")</f>
        <v>MMR001CMP128</v>
      </c>
      <c r="AR1072" s="702">
        <f ca="1">IF(Table_NFI[[#This Row],[Pcode]]="","",IF(OFFSET(CampList[Opening Date],MATCH(Table_NFI[[#This Row],[Pcode]],CampList[CP_Pcode],0)-1,0,1,1)&gt;=NFI_Monitor_Date,1,0))</f>
        <v>0</v>
      </c>
      <c r="AS1072" s="396" t="str">
        <f>IFERROR(VLOOKUP(Table_NFI[[#This Row],[Camp Name]],CL,3,0),"")</f>
        <v>Open</v>
      </c>
      <c r="AT1072" s="264" t="str">
        <f ca="1">IF(Table_NFI[[#This Row],[Pcode]]="","",OFFSET(CampList[Priority],MATCH(Table_NFI[[#This Row],[Pcode]],CampList[CP_Pcode],0)-1,0,1,1))</f>
        <v>P2</v>
      </c>
      <c r="AU1072" s="263">
        <f>IFERROR(Table_NFI[[#This Row],[Kitchen Set]]/VLOOKUP(Table_NFI[[#This Row],[Camp Name]],CL,4,0),"")</f>
        <v>6.2473969179508539E-3</v>
      </c>
      <c r="AV1072" s="390" t="s">
        <v>1087</v>
      </c>
      <c r="AW1072" s="392"/>
    </row>
    <row r="1073" spans="1:49" s="399" customFormat="1" ht="21.75" customHeight="1" x14ac:dyDescent="0.25">
      <c r="A1073" s="266">
        <f t="shared" si="16"/>
        <v>61.966666666666669</v>
      </c>
      <c r="B1073" s="389">
        <v>40997</v>
      </c>
      <c r="C1073" s="390" t="s">
        <v>451</v>
      </c>
      <c r="D1073" s="391" t="s">
        <v>451</v>
      </c>
      <c r="E1073" s="390" t="s">
        <v>380</v>
      </c>
      <c r="F1073" s="262" t="s">
        <v>151</v>
      </c>
      <c r="G1073" s="262" t="s">
        <v>188</v>
      </c>
      <c r="H1073" s="261"/>
      <c r="I1073" s="261"/>
      <c r="J1073" s="261"/>
      <c r="K1073" s="261">
        <v>66</v>
      </c>
      <c r="L1073" s="261">
        <v>66</v>
      </c>
      <c r="M1073" s="261">
        <v>0</v>
      </c>
      <c r="N1073" s="261">
        <v>0</v>
      </c>
      <c r="O1073" s="261">
        <v>0</v>
      </c>
      <c r="P1073" s="261"/>
      <c r="Q1073" s="261"/>
      <c r="R1073" s="261"/>
      <c r="S1073" s="261"/>
      <c r="T1073" s="261"/>
      <c r="U1073" s="261"/>
      <c r="V1073" s="762"/>
      <c r="W1073" s="762"/>
      <c r="X1073" s="762"/>
      <c r="Y1073" s="264">
        <f>IF(NFI_Expiration=1,IF($A1073&lt;VLOOKUP(H$5,NFI,5,0),1,0)*Table_NFI[[#This Row],[Hygiene Kit]],Table_NFI[Hygiene Kit])</f>
        <v>0</v>
      </c>
      <c r="Z1073" s="264">
        <f>IF(NFI_Expiration=1,IF($A1073&lt;VLOOKUP(I$5,NFI,5,0),1,0)*Table_NFI[[#This Row],[NFI Core Kit]],Table_NFI[NFI Core Kit])</f>
        <v>0</v>
      </c>
      <c r="AA1073" s="264">
        <f>IF(NFI_Expiration=1,IF($A1073&lt;VLOOKUP(J$5,NFI,5,0),1,0)*Table_NFI[[#This Row],[Sanitary Kit]],Table_NFI[Sanitary Kit])</f>
        <v>0</v>
      </c>
      <c r="AB1073" s="264">
        <f>IF(NFI_Expiration=1,IF($A1073&lt;VLOOKUP(K$5,NFI,5,0),1,0)*Table_NFI[[#This Row],[Mosquito net]],Table_NFI[Mosquito net])</f>
        <v>0</v>
      </c>
      <c r="AC1073" s="264">
        <f>IF(NFI_Expiration=1,IF($A1073&lt;VLOOKUP(L$5,NFI,5,0),1,0)*Table_NFI[[#This Row],[Tarpaulin]],Table_NFI[[#This Row],[Tarpaulin]])</f>
        <v>0</v>
      </c>
      <c r="AD1073" s="264">
        <f>IF(NFI_Expiration=1,IF($A1073&lt;VLOOKUP(M$5,NFI,5,0),1,0)*Table_NFI[[#This Row],[Blanket]],Table_NFI[[#This Row],[Blanket]])</f>
        <v>0</v>
      </c>
      <c r="AE1073" s="264">
        <f>IF(NFI_Expiration=1,IF($A1073&lt;VLOOKUP(N$5,NFI,5,0),1,0)*Table_NFI[[#This Row],[Kitchen Set]],Table_NFI[Kitchen Set])</f>
        <v>0</v>
      </c>
      <c r="AF1073" s="264">
        <f>IF(NFI_Expiration=1,IF($A1073&lt;VLOOKUP(O$5,NFI,5,0),1,0)*Table_NFI[[#This Row],[Clothes Kit]],Table_NFI[Clothes Kit])</f>
        <v>0</v>
      </c>
      <c r="AG1073" s="264">
        <f>IF(NFI_Expiration=1,IF($A1073&lt;VLOOKUP(P$5,NFI,5,0),1,0)*Table_NFI[[#This Row],[Plastic Bucket]],Table_NFI[Plastic Bucket])</f>
        <v>0</v>
      </c>
      <c r="AH1073" s="264">
        <f>IF(NFI_Expiration=1,IF($A1073&lt;VLOOKUP(Q$5,NFI,5,0),1,0)*Table_NFI[[#This Row],[Plastic Mat]],Table_NFI[Plastic Mat])*IF(Table_NFI[[#This Row],[Distribution Date]]&gt;"2014-04-01",1,2.5)</f>
        <v>0</v>
      </c>
      <c r="AI1073" s="264">
        <f>IF(NFI_Expiration=1,IF($A1073&lt;VLOOKUP(R$5,NFI,5,0),1,0)*Table_NFI[[#This Row],[Winter Clothes Adult]],Table_NFI[Winter Clothes Adult])</f>
        <v>0</v>
      </c>
      <c r="AJ1073" s="264">
        <f>IF(NFI_Expiration=1,IF($A1073&lt;VLOOKUP(S$5,NFI,5,0),1,0)*Table_NFI[[#This Row],[Winter Clothes Children]],Table_NFI[Winter Clothes Children])</f>
        <v>0</v>
      </c>
      <c r="AK1073" s="264">
        <f>IF(NFI_Expiration=1,IF($A1073&lt;VLOOKUP(T$5,NFI,5,0),1,0)*Table_NFI[[#This Row],[Winter Items Other]],Table_NFI[Winter Items Other])</f>
        <v>0</v>
      </c>
      <c r="AL1073" s="264">
        <f>IF(NFI_Expiration=1,IF($A1073&lt;VLOOKUP(M$5,NFI,5,0),1,0)*Table_NFI[[#This Row],[Winter Blanket]],Table_NFI[[#This Row],[Winter Blanket]])</f>
        <v>0</v>
      </c>
      <c r="AM1073" s="264">
        <f>IF(Table_NFI[[#This Row],[Winter Clothes Adult]]+Table_NFI[[#This Row],[Winter Clothes Children]]+Table_NFI[[#This Row],[Winter Items Other]]+Table_NFI[[#This Row],[Winter Blanket]]&gt;0,1,0)</f>
        <v>0</v>
      </c>
      <c r="AN1073" s="296">
        <f>IF(NFI_Expiration=1,IF($A1073&lt;VLOOKUP(V$5,NFI,5,0),1,0)*Table_NFI[[#This Row],[Jerry Can]],Table_NFI[Jerry Can])</f>
        <v>0</v>
      </c>
      <c r="AO1073" s="296">
        <f>IF(NFI_Expiration=1,IF($A1073&lt;VLOOKUP(V$5,NFI,5,0),1,0)*Table_NFI[[#This Row],[Shelter Tool kit]],Table_NFI[Shelter Tool kit])</f>
        <v>0</v>
      </c>
      <c r="AP1073" s="296">
        <f>IF(NFI_Expiration=1,IF($A1073&lt;VLOOKUP(V$5,NFI,5,0),1,0)*Table_NFI[[#This Row],[Tent]],Table_NFI[Tent])</f>
        <v>0</v>
      </c>
      <c r="AQ1073" s="396" t="str">
        <f>IFERROR(VLOOKUP(Table_NFI[[#This Row],[Camp Name]],CL,2,0),"")</f>
        <v>MMR001CMP129</v>
      </c>
      <c r="AR1073" s="702">
        <f ca="1">IF(Table_NFI[[#This Row],[Pcode]]="","",IF(OFFSET(CampList[Opening Date],MATCH(Table_NFI[[#This Row],[Pcode]],CampList[CP_Pcode],0)-1,0,1,1)&gt;=NFI_Monitor_Date,1,0))</f>
        <v>0</v>
      </c>
      <c r="AS1073" s="396" t="str">
        <f>IFERROR(VLOOKUP(Table_NFI[[#This Row],[Camp Name]],CL,3,0),"")</f>
        <v>Open</v>
      </c>
      <c r="AT1073" s="264" t="str">
        <f ca="1">IF(Table_NFI[[#This Row],[Pcode]]="","",OFFSET(CampList[Priority],MATCH(Table_NFI[[#This Row],[Pcode]],CampList[CP_Pcode],0)-1,0,1,1))</f>
        <v>P2</v>
      </c>
      <c r="AU1073" s="263">
        <f>IFERROR(Table_NFI[[#This Row],[Kitchen Set]]/VLOOKUP(Table_NFI[[#This Row],[Camp Name]],CL,4,0),"")</f>
        <v>0</v>
      </c>
      <c r="AV1073" s="390" t="s">
        <v>1087</v>
      </c>
      <c r="AW1073" s="392"/>
    </row>
    <row r="1074" spans="1:49" s="399" customFormat="1" ht="23.25" customHeight="1" x14ac:dyDescent="0.25">
      <c r="A1074" s="266">
        <f t="shared" si="16"/>
        <v>61.966666666666669</v>
      </c>
      <c r="B1074" s="389">
        <v>40997</v>
      </c>
      <c r="C1074" s="390" t="s">
        <v>451</v>
      </c>
      <c r="D1074" s="391" t="s">
        <v>451</v>
      </c>
      <c r="E1074" s="390" t="s">
        <v>380</v>
      </c>
      <c r="F1074" s="262" t="s">
        <v>185</v>
      </c>
      <c r="G1074" s="262" t="s">
        <v>219</v>
      </c>
      <c r="H1074" s="261"/>
      <c r="I1074" s="261"/>
      <c r="J1074" s="261"/>
      <c r="K1074" s="261">
        <v>0</v>
      </c>
      <c r="L1074" s="261">
        <v>50</v>
      </c>
      <c r="M1074" s="261">
        <v>0</v>
      </c>
      <c r="N1074" s="261">
        <v>0</v>
      </c>
      <c r="O1074" s="261">
        <v>0</v>
      </c>
      <c r="P1074" s="261"/>
      <c r="Q1074" s="261"/>
      <c r="R1074" s="261"/>
      <c r="S1074" s="261"/>
      <c r="T1074" s="261"/>
      <c r="U1074" s="261"/>
      <c r="V1074" s="762"/>
      <c r="W1074" s="762"/>
      <c r="X1074" s="762"/>
      <c r="Y1074" s="264">
        <f>IF(NFI_Expiration=1,IF($A1074&lt;VLOOKUP(H$5,NFI,5,0),1,0)*Table_NFI[[#This Row],[Hygiene Kit]],Table_NFI[Hygiene Kit])</f>
        <v>0</v>
      </c>
      <c r="Z1074" s="264">
        <f>IF(NFI_Expiration=1,IF($A1074&lt;VLOOKUP(I$5,NFI,5,0),1,0)*Table_NFI[[#This Row],[NFI Core Kit]],Table_NFI[NFI Core Kit])</f>
        <v>0</v>
      </c>
      <c r="AA1074" s="264">
        <f>IF(NFI_Expiration=1,IF($A1074&lt;VLOOKUP(J$5,NFI,5,0),1,0)*Table_NFI[[#This Row],[Sanitary Kit]],Table_NFI[Sanitary Kit])</f>
        <v>0</v>
      </c>
      <c r="AB1074" s="264">
        <f>IF(NFI_Expiration=1,IF($A1074&lt;VLOOKUP(K$5,NFI,5,0),1,0)*Table_NFI[[#This Row],[Mosquito net]],Table_NFI[Mosquito net])</f>
        <v>0</v>
      </c>
      <c r="AC1074" s="264">
        <f>IF(NFI_Expiration=1,IF($A1074&lt;VLOOKUP(L$5,NFI,5,0),1,0)*Table_NFI[[#This Row],[Tarpaulin]],Table_NFI[[#This Row],[Tarpaulin]])</f>
        <v>0</v>
      </c>
      <c r="AD1074" s="264">
        <f>IF(NFI_Expiration=1,IF($A1074&lt;VLOOKUP(M$5,NFI,5,0),1,0)*Table_NFI[[#This Row],[Blanket]],Table_NFI[[#This Row],[Blanket]])</f>
        <v>0</v>
      </c>
      <c r="AE1074" s="264">
        <f>IF(NFI_Expiration=1,IF($A1074&lt;VLOOKUP(N$5,NFI,5,0),1,0)*Table_NFI[[#This Row],[Kitchen Set]],Table_NFI[Kitchen Set])</f>
        <v>0</v>
      </c>
      <c r="AF1074" s="264">
        <f>IF(NFI_Expiration=1,IF($A1074&lt;VLOOKUP(O$5,NFI,5,0),1,0)*Table_NFI[[#This Row],[Clothes Kit]],Table_NFI[Clothes Kit])</f>
        <v>0</v>
      </c>
      <c r="AG1074" s="264">
        <f>IF(NFI_Expiration=1,IF($A1074&lt;VLOOKUP(P$5,NFI,5,0),1,0)*Table_NFI[[#This Row],[Plastic Bucket]],Table_NFI[Plastic Bucket])</f>
        <v>0</v>
      </c>
      <c r="AH1074" s="264">
        <f>IF(NFI_Expiration=1,IF($A1074&lt;VLOOKUP(Q$5,NFI,5,0),1,0)*Table_NFI[[#This Row],[Plastic Mat]],Table_NFI[Plastic Mat])*IF(Table_NFI[[#This Row],[Distribution Date]]&gt;"2014-04-01",1,2.5)</f>
        <v>0</v>
      </c>
      <c r="AI1074" s="264">
        <f>IF(NFI_Expiration=1,IF($A1074&lt;VLOOKUP(R$5,NFI,5,0),1,0)*Table_NFI[[#This Row],[Winter Clothes Adult]],Table_NFI[Winter Clothes Adult])</f>
        <v>0</v>
      </c>
      <c r="AJ1074" s="264">
        <f>IF(NFI_Expiration=1,IF($A1074&lt;VLOOKUP(S$5,NFI,5,0),1,0)*Table_NFI[[#This Row],[Winter Clothes Children]],Table_NFI[Winter Clothes Children])</f>
        <v>0</v>
      </c>
      <c r="AK1074" s="264">
        <f>IF(NFI_Expiration=1,IF($A1074&lt;VLOOKUP(T$5,NFI,5,0),1,0)*Table_NFI[[#This Row],[Winter Items Other]],Table_NFI[Winter Items Other])</f>
        <v>0</v>
      </c>
      <c r="AL1074" s="264">
        <f>IF(NFI_Expiration=1,IF($A1074&lt;VLOOKUP(M$5,NFI,5,0),1,0)*Table_NFI[[#This Row],[Winter Blanket]],Table_NFI[[#This Row],[Winter Blanket]])</f>
        <v>0</v>
      </c>
      <c r="AM1074" s="264">
        <f>IF(Table_NFI[[#This Row],[Winter Clothes Adult]]+Table_NFI[[#This Row],[Winter Clothes Children]]+Table_NFI[[#This Row],[Winter Items Other]]+Table_NFI[[#This Row],[Winter Blanket]]&gt;0,1,0)</f>
        <v>0</v>
      </c>
      <c r="AN1074" s="296">
        <f>IF(NFI_Expiration=1,IF($A1074&lt;VLOOKUP(V$5,NFI,5,0),1,0)*Table_NFI[[#This Row],[Jerry Can]],Table_NFI[Jerry Can])</f>
        <v>0</v>
      </c>
      <c r="AO1074" s="296">
        <f>IF(NFI_Expiration=1,IF($A1074&lt;VLOOKUP(V$5,NFI,5,0),1,0)*Table_NFI[[#This Row],[Shelter Tool kit]],Table_NFI[Shelter Tool kit])</f>
        <v>0</v>
      </c>
      <c r="AP1074" s="296">
        <f>IF(NFI_Expiration=1,IF($A1074&lt;VLOOKUP(V$5,NFI,5,0),1,0)*Table_NFI[[#This Row],[Tent]],Table_NFI[Tent])</f>
        <v>0</v>
      </c>
      <c r="AQ1074" s="396" t="str">
        <f>IFERROR(VLOOKUP(Table_NFI[[#This Row],[Camp Name]],CL,2,0),"")</f>
        <v>MMR001CMP126</v>
      </c>
      <c r="AR1074" s="702">
        <f ca="1">IF(Table_NFI[[#This Row],[Pcode]]="","",IF(OFFSET(CampList[Opening Date],MATCH(Table_NFI[[#This Row],[Pcode]],CampList[CP_Pcode],0)-1,0,1,1)&gt;=NFI_Monitor_Date,1,0))</f>
        <v>0</v>
      </c>
      <c r="AS1074" s="396" t="str">
        <f>IFERROR(VLOOKUP(Table_NFI[[#This Row],[Camp Name]],CL,3,0),"")</f>
        <v>Open</v>
      </c>
      <c r="AT1074" s="264" t="str">
        <f ca="1">IF(Table_NFI[[#This Row],[Pcode]]="","",OFFSET(CampList[Priority],MATCH(Table_NFI[[#This Row],[Pcode]],CampList[CP_Pcode],0)-1,0,1,1))</f>
        <v>P2</v>
      </c>
      <c r="AU1074" s="263">
        <f>IFERROR(Table_NFI[[#This Row],[Kitchen Set]]/VLOOKUP(Table_NFI[[#This Row],[Camp Name]],CL,4,0),"")</f>
        <v>0</v>
      </c>
      <c r="AV1074" s="390" t="s">
        <v>1087</v>
      </c>
      <c r="AW1074" s="392"/>
    </row>
    <row r="1075" spans="1:49" s="399" customFormat="1" ht="15.75" customHeight="1" x14ac:dyDescent="0.25">
      <c r="A1075" s="266">
        <f t="shared" si="16"/>
        <v>61.966666666666669</v>
      </c>
      <c r="B1075" s="389">
        <v>40997</v>
      </c>
      <c r="C1075" s="390" t="s">
        <v>451</v>
      </c>
      <c r="D1075" s="391" t="s">
        <v>451</v>
      </c>
      <c r="E1075" s="390" t="s">
        <v>380</v>
      </c>
      <c r="F1075" s="262" t="s">
        <v>185</v>
      </c>
      <c r="G1075" s="262" t="s">
        <v>225</v>
      </c>
      <c r="H1075" s="261"/>
      <c r="I1075" s="261"/>
      <c r="J1075" s="261"/>
      <c r="K1075" s="261">
        <v>66</v>
      </c>
      <c r="L1075" s="261">
        <v>66</v>
      </c>
      <c r="M1075" s="261">
        <v>0</v>
      </c>
      <c r="N1075" s="261">
        <v>0</v>
      </c>
      <c r="O1075" s="261">
        <v>0</v>
      </c>
      <c r="P1075" s="261"/>
      <c r="Q1075" s="261"/>
      <c r="R1075" s="261"/>
      <c r="S1075" s="261"/>
      <c r="T1075" s="261"/>
      <c r="U1075" s="261"/>
      <c r="V1075" s="762"/>
      <c r="W1075" s="762"/>
      <c r="X1075" s="762"/>
      <c r="Y1075" s="264">
        <f>IF(NFI_Expiration=1,IF($A1075&lt;VLOOKUP(H$5,NFI,5,0),1,0)*Table_NFI[[#This Row],[Hygiene Kit]],Table_NFI[Hygiene Kit])</f>
        <v>0</v>
      </c>
      <c r="Z1075" s="264">
        <f>IF(NFI_Expiration=1,IF($A1075&lt;VLOOKUP(I$5,NFI,5,0),1,0)*Table_NFI[[#This Row],[NFI Core Kit]],Table_NFI[NFI Core Kit])</f>
        <v>0</v>
      </c>
      <c r="AA1075" s="264">
        <f>IF(NFI_Expiration=1,IF($A1075&lt;VLOOKUP(J$5,NFI,5,0),1,0)*Table_NFI[[#This Row],[Sanitary Kit]],Table_NFI[Sanitary Kit])</f>
        <v>0</v>
      </c>
      <c r="AB1075" s="264">
        <f>IF(NFI_Expiration=1,IF($A1075&lt;VLOOKUP(K$5,NFI,5,0),1,0)*Table_NFI[[#This Row],[Mosquito net]],Table_NFI[Mosquito net])</f>
        <v>0</v>
      </c>
      <c r="AC1075" s="264">
        <f>IF(NFI_Expiration=1,IF($A1075&lt;VLOOKUP(L$5,NFI,5,0),1,0)*Table_NFI[[#This Row],[Tarpaulin]],Table_NFI[[#This Row],[Tarpaulin]])</f>
        <v>0</v>
      </c>
      <c r="AD1075" s="264">
        <f>IF(NFI_Expiration=1,IF($A1075&lt;VLOOKUP(M$5,NFI,5,0),1,0)*Table_NFI[[#This Row],[Blanket]],Table_NFI[[#This Row],[Blanket]])</f>
        <v>0</v>
      </c>
      <c r="AE1075" s="264">
        <f>IF(NFI_Expiration=1,IF($A1075&lt;VLOOKUP(N$5,NFI,5,0),1,0)*Table_NFI[[#This Row],[Kitchen Set]],Table_NFI[Kitchen Set])</f>
        <v>0</v>
      </c>
      <c r="AF1075" s="264">
        <f>IF(NFI_Expiration=1,IF($A1075&lt;VLOOKUP(O$5,NFI,5,0),1,0)*Table_NFI[[#This Row],[Clothes Kit]],Table_NFI[Clothes Kit])</f>
        <v>0</v>
      </c>
      <c r="AG1075" s="264">
        <f>IF(NFI_Expiration=1,IF($A1075&lt;VLOOKUP(P$5,NFI,5,0),1,0)*Table_NFI[[#This Row],[Plastic Bucket]],Table_NFI[Plastic Bucket])</f>
        <v>0</v>
      </c>
      <c r="AH1075" s="264">
        <f>IF(NFI_Expiration=1,IF($A1075&lt;VLOOKUP(Q$5,NFI,5,0),1,0)*Table_NFI[[#This Row],[Plastic Mat]],Table_NFI[Plastic Mat])*IF(Table_NFI[[#This Row],[Distribution Date]]&gt;"2014-04-01",1,2.5)</f>
        <v>0</v>
      </c>
      <c r="AI1075" s="264">
        <f>IF(NFI_Expiration=1,IF($A1075&lt;VLOOKUP(R$5,NFI,5,0),1,0)*Table_NFI[[#This Row],[Winter Clothes Adult]],Table_NFI[Winter Clothes Adult])</f>
        <v>0</v>
      </c>
      <c r="AJ1075" s="264">
        <f>IF(NFI_Expiration=1,IF($A1075&lt;VLOOKUP(S$5,NFI,5,0),1,0)*Table_NFI[[#This Row],[Winter Clothes Children]],Table_NFI[Winter Clothes Children])</f>
        <v>0</v>
      </c>
      <c r="AK1075" s="264">
        <f>IF(NFI_Expiration=1,IF($A1075&lt;VLOOKUP(T$5,NFI,5,0),1,0)*Table_NFI[[#This Row],[Winter Items Other]],Table_NFI[Winter Items Other])</f>
        <v>0</v>
      </c>
      <c r="AL1075" s="264">
        <f>IF(NFI_Expiration=1,IF($A1075&lt;VLOOKUP(M$5,NFI,5,0),1,0)*Table_NFI[[#This Row],[Winter Blanket]],Table_NFI[[#This Row],[Winter Blanket]])</f>
        <v>0</v>
      </c>
      <c r="AM1075" s="264">
        <f>IF(Table_NFI[[#This Row],[Winter Clothes Adult]]+Table_NFI[[#This Row],[Winter Clothes Children]]+Table_NFI[[#This Row],[Winter Items Other]]+Table_NFI[[#This Row],[Winter Blanket]]&gt;0,1,0)</f>
        <v>0</v>
      </c>
      <c r="AN1075" s="296">
        <f>IF(NFI_Expiration=1,IF($A1075&lt;VLOOKUP(V$5,NFI,5,0),1,0)*Table_NFI[[#This Row],[Jerry Can]],Table_NFI[Jerry Can])</f>
        <v>0</v>
      </c>
      <c r="AO1075" s="296">
        <f>IF(NFI_Expiration=1,IF($A1075&lt;VLOOKUP(V$5,NFI,5,0),1,0)*Table_NFI[[#This Row],[Shelter Tool kit]],Table_NFI[Shelter Tool kit])</f>
        <v>0</v>
      </c>
      <c r="AP1075" s="296">
        <f>IF(NFI_Expiration=1,IF($A1075&lt;VLOOKUP(V$5,NFI,5,0),1,0)*Table_NFI[[#This Row],[Tent]],Table_NFI[Tent])</f>
        <v>0</v>
      </c>
      <c r="AQ1075" s="396" t="str">
        <f>IFERROR(VLOOKUP(Table_NFI[[#This Row],[Camp Name]],CL,2,0),"")</f>
        <v>MMR001CMP073</v>
      </c>
      <c r="AR1075" s="702">
        <f ca="1">IF(Table_NFI[[#This Row],[Pcode]]="","",IF(OFFSET(CampList[Opening Date],MATCH(Table_NFI[[#This Row],[Pcode]],CampList[CP_Pcode],0)-1,0,1,1)&gt;=NFI_Monitor_Date,1,0))</f>
        <v>0</v>
      </c>
      <c r="AS1075" s="396" t="str">
        <f>IFERROR(VLOOKUP(Table_NFI[[#This Row],[Camp Name]],CL,3,0),"")</f>
        <v>Open</v>
      </c>
      <c r="AT1075" s="264" t="str">
        <f ca="1">IF(Table_NFI[[#This Row],[Pcode]]="","",OFFSET(CampList[Priority],MATCH(Table_NFI[[#This Row],[Pcode]],CampList[CP_Pcode],0)-1,0,1,1))</f>
        <v>P3</v>
      </c>
      <c r="AU1075" s="263">
        <f>IFERROR(Table_NFI[[#This Row],[Kitchen Set]]/VLOOKUP(Table_NFI[[#This Row],[Camp Name]],CL,4,0),"")</f>
        <v>0</v>
      </c>
      <c r="AV1075" s="390" t="s">
        <v>1087</v>
      </c>
      <c r="AW1075" s="392"/>
    </row>
    <row r="1076" spans="1:49" s="399" customFormat="1" ht="15.75" customHeight="1" x14ac:dyDescent="0.25">
      <c r="A1076" s="266">
        <f t="shared" si="16"/>
        <v>62</v>
      </c>
      <c r="B1076" s="389">
        <v>40996</v>
      </c>
      <c r="C1076" s="390" t="s">
        <v>451</v>
      </c>
      <c r="D1076" s="391" t="s">
        <v>451</v>
      </c>
      <c r="E1076" s="390" t="s">
        <v>380</v>
      </c>
      <c r="F1076" s="262" t="s">
        <v>185</v>
      </c>
      <c r="G1076" s="262" t="s">
        <v>912</v>
      </c>
      <c r="H1076" s="261"/>
      <c r="I1076" s="261"/>
      <c r="J1076" s="261"/>
      <c r="K1076" s="261">
        <v>217</v>
      </c>
      <c r="L1076" s="261">
        <v>217</v>
      </c>
      <c r="M1076" s="261">
        <v>0</v>
      </c>
      <c r="N1076" s="261">
        <v>0</v>
      </c>
      <c r="O1076" s="261">
        <v>0</v>
      </c>
      <c r="P1076" s="261"/>
      <c r="Q1076" s="261"/>
      <c r="R1076" s="261"/>
      <c r="S1076" s="261"/>
      <c r="T1076" s="261"/>
      <c r="U1076" s="261"/>
      <c r="V1076" s="762"/>
      <c r="W1076" s="762"/>
      <c r="X1076" s="762"/>
      <c r="Y1076" s="264">
        <f>IF(NFI_Expiration=1,IF($A1076&lt;VLOOKUP(H$5,NFI,5,0),1,0)*Table_NFI[[#This Row],[Hygiene Kit]],Table_NFI[Hygiene Kit])</f>
        <v>0</v>
      </c>
      <c r="Z1076" s="264">
        <f>IF(NFI_Expiration=1,IF($A1076&lt;VLOOKUP(I$5,NFI,5,0),1,0)*Table_NFI[[#This Row],[NFI Core Kit]],Table_NFI[NFI Core Kit])</f>
        <v>0</v>
      </c>
      <c r="AA1076" s="264">
        <f>IF(NFI_Expiration=1,IF($A1076&lt;VLOOKUP(J$5,NFI,5,0),1,0)*Table_NFI[[#This Row],[Sanitary Kit]],Table_NFI[Sanitary Kit])</f>
        <v>0</v>
      </c>
      <c r="AB1076" s="264">
        <f>IF(NFI_Expiration=1,IF($A1076&lt;VLOOKUP(K$5,NFI,5,0),1,0)*Table_NFI[[#This Row],[Mosquito net]],Table_NFI[Mosquito net])</f>
        <v>0</v>
      </c>
      <c r="AC1076" s="264">
        <f>IF(NFI_Expiration=1,IF($A1076&lt;VLOOKUP(L$5,NFI,5,0),1,0)*Table_NFI[[#This Row],[Tarpaulin]],Table_NFI[[#This Row],[Tarpaulin]])</f>
        <v>0</v>
      </c>
      <c r="AD1076" s="264">
        <f>IF(NFI_Expiration=1,IF($A1076&lt;VLOOKUP(M$5,NFI,5,0),1,0)*Table_NFI[[#This Row],[Blanket]],Table_NFI[[#This Row],[Blanket]])</f>
        <v>0</v>
      </c>
      <c r="AE1076" s="264">
        <f>IF(NFI_Expiration=1,IF($A1076&lt;VLOOKUP(N$5,NFI,5,0),1,0)*Table_NFI[[#This Row],[Kitchen Set]],Table_NFI[Kitchen Set])</f>
        <v>0</v>
      </c>
      <c r="AF1076" s="264">
        <f>IF(NFI_Expiration=1,IF($A1076&lt;VLOOKUP(O$5,NFI,5,0),1,0)*Table_NFI[[#This Row],[Clothes Kit]],Table_NFI[Clothes Kit])</f>
        <v>0</v>
      </c>
      <c r="AG1076" s="264">
        <f>IF(NFI_Expiration=1,IF($A1076&lt;VLOOKUP(P$5,NFI,5,0),1,0)*Table_NFI[[#This Row],[Plastic Bucket]],Table_NFI[Plastic Bucket])</f>
        <v>0</v>
      </c>
      <c r="AH1076" s="264">
        <f>IF(NFI_Expiration=1,IF($A1076&lt;VLOOKUP(Q$5,NFI,5,0),1,0)*Table_NFI[[#This Row],[Plastic Mat]],Table_NFI[Plastic Mat])*IF(Table_NFI[[#This Row],[Distribution Date]]&gt;"2014-04-01",1,2.5)</f>
        <v>0</v>
      </c>
      <c r="AI1076" s="264">
        <f>IF(NFI_Expiration=1,IF($A1076&lt;VLOOKUP(R$5,NFI,5,0),1,0)*Table_NFI[[#This Row],[Winter Clothes Adult]],Table_NFI[Winter Clothes Adult])</f>
        <v>0</v>
      </c>
      <c r="AJ1076" s="264">
        <f>IF(NFI_Expiration=1,IF($A1076&lt;VLOOKUP(S$5,NFI,5,0),1,0)*Table_NFI[[#This Row],[Winter Clothes Children]],Table_NFI[Winter Clothes Children])</f>
        <v>0</v>
      </c>
      <c r="AK1076" s="264">
        <f>IF(NFI_Expiration=1,IF($A1076&lt;VLOOKUP(T$5,NFI,5,0),1,0)*Table_NFI[[#This Row],[Winter Items Other]],Table_NFI[Winter Items Other])</f>
        <v>0</v>
      </c>
      <c r="AL1076" s="264">
        <f>IF(NFI_Expiration=1,IF($A1076&lt;VLOOKUP(M$5,NFI,5,0),1,0)*Table_NFI[[#This Row],[Winter Blanket]],Table_NFI[[#This Row],[Winter Blanket]])</f>
        <v>0</v>
      </c>
      <c r="AM1076" s="264">
        <f>IF(Table_NFI[[#This Row],[Winter Clothes Adult]]+Table_NFI[[#This Row],[Winter Clothes Children]]+Table_NFI[[#This Row],[Winter Items Other]]+Table_NFI[[#This Row],[Winter Blanket]]&gt;0,1,0)</f>
        <v>0</v>
      </c>
      <c r="AN1076" s="296">
        <f>IF(NFI_Expiration=1,IF($A1076&lt;VLOOKUP(V$5,NFI,5,0),1,0)*Table_NFI[[#This Row],[Jerry Can]],Table_NFI[Jerry Can])</f>
        <v>0</v>
      </c>
      <c r="AO1076" s="296">
        <f>IF(NFI_Expiration=1,IF($A1076&lt;VLOOKUP(V$5,NFI,5,0),1,0)*Table_NFI[[#This Row],[Shelter Tool kit]],Table_NFI[Shelter Tool kit])</f>
        <v>0</v>
      </c>
      <c r="AP1076" s="296">
        <f>IF(NFI_Expiration=1,IF($A1076&lt;VLOOKUP(V$5,NFI,5,0),1,0)*Table_NFI[[#This Row],[Tent]],Table_NFI[Tent])</f>
        <v>0</v>
      </c>
      <c r="AQ1076" s="396" t="str">
        <f>IFERROR(VLOOKUP(Table_NFI[[#This Row],[Camp Name]],CL,2,0),"")</f>
        <v/>
      </c>
      <c r="AR1076" s="702" t="str">
        <f ca="1">IF(Table_NFI[[#This Row],[Pcode]]="","",IF(OFFSET(CampList[Opening Date],MATCH(Table_NFI[[#This Row],[Pcode]],CampList[CP_Pcode],0)-1,0,1,1)&gt;=NFI_Monitor_Date,1,0))</f>
        <v/>
      </c>
      <c r="AS1076" s="396" t="str">
        <f>IFERROR(VLOOKUP(Table_NFI[[#This Row],[Camp Name]],CL,3,0),"")</f>
        <v/>
      </c>
      <c r="AT1076" s="264" t="str">
        <f ca="1">IF(Table_NFI[[#This Row],[Pcode]]="","",OFFSET(CampList[Priority],MATCH(Table_NFI[[#This Row],[Pcode]],CampList[CP_Pcode],0)-1,0,1,1))</f>
        <v/>
      </c>
      <c r="AU1076" s="263" t="str">
        <f>IFERROR(Table_NFI[[#This Row],[Kitchen Set]]/VLOOKUP(Table_NFI[[#This Row],[Camp Name]],CL,4,0),"")</f>
        <v/>
      </c>
      <c r="AV1076" s="390" t="s">
        <v>1087</v>
      </c>
      <c r="AW1076" s="392"/>
    </row>
    <row r="1077" spans="1:49" s="399" customFormat="1" ht="15.75" customHeight="1" x14ac:dyDescent="0.25">
      <c r="A1077" s="266">
        <f t="shared" si="16"/>
        <v>62.033333333333331</v>
      </c>
      <c r="B1077" s="389">
        <v>40995</v>
      </c>
      <c r="C1077" s="390" t="s">
        <v>451</v>
      </c>
      <c r="D1077" s="391" t="s">
        <v>451</v>
      </c>
      <c r="E1077" s="390" t="s">
        <v>380</v>
      </c>
      <c r="F1077" s="262" t="s">
        <v>5</v>
      </c>
      <c r="G1077" s="262" t="s">
        <v>6</v>
      </c>
      <c r="H1077" s="261"/>
      <c r="I1077" s="261"/>
      <c r="J1077" s="261"/>
      <c r="K1077" s="261">
        <v>560</v>
      </c>
      <c r="L1077" s="261">
        <v>280</v>
      </c>
      <c r="M1077" s="261">
        <v>560</v>
      </c>
      <c r="N1077" s="261">
        <v>280</v>
      </c>
      <c r="O1077" s="261">
        <v>280</v>
      </c>
      <c r="P1077" s="261">
        <v>280</v>
      </c>
      <c r="Q1077" s="261">
        <v>280</v>
      </c>
      <c r="R1077" s="261"/>
      <c r="S1077" s="261"/>
      <c r="T1077" s="261"/>
      <c r="U1077" s="261"/>
      <c r="V1077" s="762"/>
      <c r="W1077" s="762"/>
      <c r="X1077" s="762"/>
      <c r="Y1077" s="264">
        <f>IF(NFI_Expiration=1,IF($A1077&lt;VLOOKUP(H$5,NFI,5,0),1,0)*Table_NFI[[#This Row],[Hygiene Kit]],Table_NFI[Hygiene Kit])</f>
        <v>0</v>
      </c>
      <c r="Z1077" s="264">
        <f>IF(NFI_Expiration=1,IF($A1077&lt;VLOOKUP(I$5,NFI,5,0),1,0)*Table_NFI[[#This Row],[NFI Core Kit]],Table_NFI[NFI Core Kit])</f>
        <v>0</v>
      </c>
      <c r="AA1077" s="264">
        <f>IF(NFI_Expiration=1,IF($A1077&lt;VLOOKUP(J$5,NFI,5,0),1,0)*Table_NFI[[#This Row],[Sanitary Kit]],Table_NFI[Sanitary Kit])</f>
        <v>0</v>
      </c>
      <c r="AB1077" s="264">
        <f>IF(NFI_Expiration=1,IF($A1077&lt;VLOOKUP(K$5,NFI,5,0),1,0)*Table_NFI[[#This Row],[Mosquito net]],Table_NFI[Mosquito net])</f>
        <v>0</v>
      </c>
      <c r="AC1077" s="264">
        <f>IF(NFI_Expiration=1,IF($A1077&lt;VLOOKUP(L$5,NFI,5,0),1,0)*Table_NFI[[#This Row],[Tarpaulin]],Table_NFI[[#This Row],[Tarpaulin]])</f>
        <v>0</v>
      </c>
      <c r="AD1077" s="264">
        <f>IF(NFI_Expiration=1,IF($A1077&lt;VLOOKUP(M$5,NFI,5,0),1,0)*Table_NFI[[#This Row],[Blanket]],Table_NFI[[#This Row],[Blanket]])</f>
        <v>0</v>
      </c>
      <c r="AE1077" s="264">
        <f>IF(NFI_Expiration=1,IF($A1077&lt;VLOOKUP(N$5,NFI,5,0),1,0)*Table_NFI[[#This Row],[Kitchen Set]],Table_NFI[Kitchen Set])</f>
        <v>0</v>
      </c>
      <c r="AF1077" s="264">
        <f>IF(NFI_Expiration=1,IF($A1077&lt;VLOOKUP(O$5,NFI,5,0),1,0)*Table_NFI[[#This Row],[Clothes Kit]],Table_NFI[Clothes Kit])</f>
        <v>0</v>
      </c>
      <c r="AG1077" s="264">
        <f>IF(NFI_Expiration=1,IF($A1077&lt;VLOOKUP(P$5,NFI,5,0),1,0)*Table_NFI[[#This Row],[Plastic Bucket]],Table_NFI[Plastic Bucket])</f>
        <v>0</v>
      </c>
      <c r="AH1077" s="264">
        <f>IF(NFI_Expiration=1,IF($A1077&lt;VLOOKUP(Q$5,NFI,5,0),1,0)*Table_NFI[[#This Row],[Plastic Mat]],Table_NFI[Plastic Mat])*IF(Table_NFI[[#This Row],[Distribution Date]]&gt;"2014-04-01",1,2.5)</f>
        <v>0</v>
      </c>
      <c r="AI1077" s="264">
        <f>IF(NFI_Expiration=1,IF($A1077&lt;VLOOKUP(R$5,NFI,5,0),1,0)*Table_NFI[[#This Row],[Winter Clothes Adult]],Table_NFI[Winter Clothes Adult])</f>
        <v>0</v>
      </c>
      <c r="AJ1077" s="264">
        <f>IF(NFI_Expiration=1,IF($A1077&lt;VLOOKUP(S$5,NFI,5,0),1,0)*Table_NFI[[#This Row],[Winter Clothes Children]],Table_NFI[Winter Clothes Children])</f>
        <v>0</v>
      </c>
      <c r="AK1077" s="264">
        <f>IF(NFI_Expiration=1,IF($A1077&lt;VLOOKUP(T$5,NFI,5,0),1,0)*Table_NFI[[#This Row],[Winter Items Other]],Table_NFI[Winter Items Other])</f>
        <v>0</v>
      </c>
      <c r="AL1077" s="264">
        <f>IF(NFI_Expiration=1,IF($A1077&lt;VLOOKUP(M$5,NFI,5,0),1,0)*Table_NFI[[#This Row],[Winter Blanket]],Table_NFI[[#This Row],[Winter Blanket]])</f>
        <v>0</v>
      </c>
      <c r="AM1077" s="264">
        <f>IF(Table_NFI[[#This Row],[Winter Clothes Adult]]+Table_NFI[[#This Row],[Winter Clothes Children]]+Table_NFI[[#This Row],[Winter Items Other]]+Table_NFI[[#This Row],[Winter Blanket]]&gt;0,1,0)</f>
        <v>0</v>
      </c>
      <c r="AN1077" s="296">
        <f>IF(NFI_Expiration=1,IF($A1077&lt;VLOOKUP(V$5,NFI,5,0),1,0)*Table_NFI[[#This Row],[Jerry Can]],Table_NFI[Jerry Can])</f>
        <v>0</v>
      </c>
      <c r="AO1077" s="296">
        <f>IF(NFI_Expiration=1,IF($A1077&lt;VLOOKUP(V$5,NFI,5,0),1,0)*Table_NFI[[#This Row],[Shelter Tool kit]],Table_NFI[Shelter Tool kit])</f>
        <v>0</v>
      </c>
      <c r="AP1077" s="296">
        <f>IF(NFI_Expiration=1,IF($A1077&lt;VLOOKUP(V$5,NFI,5,0),1,0)*Table_NFI[[#This Row],[Tent]],Table_NFI[Tent])</f>
        <v>0</v>
      </c>
      <c r="AQ1077" s="396" t="str">
        <f>IFERROR(VLOOKUP(Table_NFI[[#This Row],[Camp Name]],CL,2,0),"")</f>
        <v>MMR001CMP050</v>
      </c>
      <c r="AR1077" s="702">
        <f ca="1">IF(Table_NFI[[#This Row],[Pcode]]="","",IF(OFFSET(CampList[Opening Date],MATCH(Table_NFI[[#This Row],[Pcode]],CampList[CP_Pcode],0)-1,0,1,1)&gt;=NFI_Monitor_Date,1,0))</f>
        <v>0</v>
      </c>
      <c r="AS1077" s="396" t="str">
        <f>IFERROR(VLOOKUP(Table_NFI[[#This Row],[Camp Name]],CL,3,0),"")</f>
        <v>Open</v>
      </c>
      <c r="AT1077" s="264" t="str">
        <f ca="1">IF(Table_NFI[[#This Row],[Pcode]]="","",OFFSET(CampList[Priority],MATCH(Table_NFI[[#This Row],[Pcode]],CampList[CP_Pcode],0)-1,0,1,1))</f>
        <v>P4</v>
      </c>
      <c r="AU1077" s="263">
        <f>IFERROR(Table_NFI[[#This Row],[Kitchen Set]]/VLOOKUP(Table_NFI[[#This Row],[Camp Name]],CL,4,0),"")</f>
        <v>6.8546807677242463E-3</v>
      </c>
      <c r="AV1077" s="390" t="s">
        <v>1087</v>
      </c>
      <c r="AW1077" s="392"/>
    </row>
    <row r="1078" spans="1:49" s="399" customFormat="1" ht="15.75" customHeight="1" x14ac:dyDescent="0.25">
      <c r="A1078" s="266">
        <f t="shared" si="16"/>
        <v>62.033333333333331</v>
      </c>
      <c r="B1078" s="389">
        <v>40995</v>
      </c>
      <c r="C1078" s="390" t="s">
        <v>451</v>
      </c>
      <c r="D1078" s="391" t="s">
        <v>451</v>
      </c>
      <c r="E1078" s="390" t="s">
        <v>380</v>
      </c>
      <c r="F1078" s="262" t="s">
        <v>310</v>
      </c>
      <c r="G1078" s="262" t="s">
        <v>334</v>
      </c>
      <c r="H1078" s="261"/>
      <c r="I1078" s="261"/>
      <c r="J1078" s="261"/>
      <c r="K1078" s="261">
        <v>460</v>
      </c>
      <c r="L1078" s="261">
        <v>228</v>
      </c>
      <c r="M1078" s="261">
        <v>460</v>
      </c>
      <c r="N1078" s="261">
        <v>228</v>
      </c>
      <c r="O1078" s="261">
        <v>228</v>
      </c>
      <c r="P1078" s="261">
        <v>228</v>
      </c>
      <c r="Q1078" s="261">
        <v>228</v>
      </c>
      <c r="R1078" s="261"/>
      <c r="S1078" s="261"/>
      <c r="T1078" s="261"/>
      <c r="U1078" s="261"/>
      <c r="V1078" s="762"/>
      <c r="W1078" s="762"/>
      <c r="X1078" s="762"/>
      <c r="Y1078" s="264">
        <f>IF(NFI_Expiration=1,IF($A1078&lt;VLOOKUP(H$5,NFI,5,0),1,0)*Table_NFI[[#This Row],[Hygiene Kit]],Table_NFI[Hygiene Kit])</f>
        <v>0</v>
      </c>
      <c r="Z1078" s="264">
        <f>IF(NFI_Expiration=1,IF($A1078&lt;VLOOKUP(I$5,NFI,5,0),1,0)*Table_NFI[[#This Row],[NFI Core Kit]],Table_NFI[NFI Core Kit])</f>
        <v>0</v>
      </c>
      <c r="AA1078" s="264">
        <f>IF(NFI_Expiration=1,IF($A1078&lt;VLOOKUP(J$5,NFI,5,0),1,0)*Table_NFI[[#This Row],[Sanitary Kit]],Table_NFI[Sanitary Kit])</f>
        <v>0</v>
      </c>
      <c r="AB1078" s="264">
        <f>IF(NFI_Expiration=1,IF($A1078&lt;VLOOKUP(K$5,NFI,5,0),1,0)*Table_NFI[[#This Row],[Mosquito net]],Table_NFI[Mosquito net])</f>
        <v>0</v>
      </c>
      <c r="AC1078" s="264">
        <f>IF(NFI_Expiration=1,IF($A1078&lt;VLOOKUP(L$5,NFI,5,0),1,0)*Table_NFI[[#This Row],[Tarpaulin]],Table_NFI[[#This Row],[Tarpaulin]])</f>
        <v>0</v>
      </c>
      <c r="AD1078" s="264">
        <f>IF(NFI_Expiration=1,IF($A1078&lt;VLOOKUP(M$5,NFI,5,0),1,0)*Table_NFI[[#This Row],[Blanket]],Table_NFI[[#This Row],[Blanket]])</f>
        <v>0</v>
      </c>
      <c r="AE1078" s="264">
        <f>IF(NFI_Expiration=1,IF($A1078&lt;VLOOKUP(N$5,NFI,5,0),1,0)*Table_NFI[[#This Row],[Kitchen Set]],Table_NFI[Kitchen Set])</f>
        <v>0</v>
      </c>
      <c r="AF1078" s="264">
        <f>IF(NFI_Expiration=1,IF($A1078&lt;VLOOKUP(O$5,NFI,5,0),1,0)*Table_NFI[[#This Row],[Clothes Kit]],Table_NFI[Clothes Kit])</f>
        <v>0</v>
      </c>
      <c r="AG1078" s="264">
        <f>IF(NFI_Expiration=1,IF($A1078&lt;VLOOKUP(P$5,NFI,5,0),1,0)*Table_NFI[[#This Row],[Plastic Bucket]],Table_NFI[Plastic Bucket])</f>
        <v>0</v>
      </c>
      <c r="AH1078" s="264">
        <f>IF(NFI_Expiration=1,IF($A1078&lt;VLOOKUP(Q$5,NFI,5,0),1,0)*Table_NFI[[#This Row],[Plastic Mat]],Table_NFI[Plastic Mat])*IF(Table_NFI[[#This Row],[Distribution Date]]&gt;"2014-04-01",1,2.5)</f>
        <v>0</v>
      </c>
      <c r="AI1078" s="264">
        <f>IF(NFI_Expiration=1,IF($A1078&lt;VLOOKUP(R$5,NFI,5,0),1,0)*Table_NFI[[#This Row],[Winter Clothes Adult]],Table_NFI[Winter Clothes Adult])</f>
        <v>0</v>
      </c>
      <c r="AJ1078" s="264">
        <f>IF(NFI_Expiration=1,IF($A1078&lt;VLOOKUP(S$5,NFI,5,0),1,0)*Table_NFI[[#This Row],[Winter Clothes Children]],Table_NFI[Winter Clothes Children])</f>
        <v>0</v>
      </c>
      <c r="AK1078" s="264">
        <f>IF(NFI_Expiration=1,IF($A1078&lt;VLOOKUP(T$5,NFI,5,0),1,0)*Table_NFI[[#This Row],[Winter Items Other]],Table_NFI[Winter Items Other])</f>
        <v>0</v>
      </c>
      <c r="AL1078" s="264">
        <f>IF(NFI_Expiration=1,IF($A1078&lt;VLOOKUP(M$5,NFI,5,0),1,0)*Table_NFI[[#This Row],[Winter Blanket]],Table_NFI[[#This Row],[Winter Blanket]])</f>
        <v>0</v>
      </c>
      <c r="AM1078" s="264">
        <f>IF(Table_NFI[[#This Row],[Winter Clothes Adult]]+Table_NFI[[#This Row],[Winter Clothes Children]]+Table_NFI[[#This Row],[Winter Items Other]]+Table_NFI[[#This Row],[Winter Blanket]]&gt;0,1,0)</f>
        <v>0</v>
      </c>
      <c r="AN1078" s="296">
        <f>IF(NFI_Expiration=1,IF($A1078&lt;VLOOKUP(V$5,NFI,5,0),1,0)*Table_NFI[[#This Row],[Jerry Can]],Table_NFI[Jerry Can])</f>
        <v>0</v>
      </c>
      <c r="AO1078" s="296">
        <f>IF(NFI_Expiration=1,IF($A1078&lt;VLOOKUP(V$5,NFI,5,0),1,0)*Table_NFI[[#This Row],[Shelter Tool kit]],Table_NFI[Shelter Tool kit])</f>
        <v>0</v>
      </c>
      <c r="AP1078" s="296">
        <f>IF(NFI_Expiration=1,IF($A1078&lt;VLOOKUP(V$5,NFI,5,0),1,0)*Table_NFI[[#This Row],[Tent]],Table_NFI[Tent])</f>
        <v>0</v>
      </c>
      <c r="AQ1078" s="396" t="str">
        <f>IFERROR(VLOOKUP(Table_NFI[[#This Row],[Camp Name]],CL,2,0),"")</f>
        <v>MMR001CMP113</v>
      </c>
      <c r="AR1078" s="702">
        <f ca="1">IF(Table_NFI[[#This Row],[Pcode]]="","",IF(OFFSET(CampList[Opening Date],MATCH(Table_NFI[[#This Row],[Pcode]],CampList[CP_Pcode],0)-1,0,1,1)&gt;=NFI_Monitor_Date,1,0))</f>
        <v>0</v>
      </c>
      <c r="AS1078" s="396" t="str">
        <f>IFERROR(VLOOKUP(Table_NFI[[#This Row],[Camp Name]],CL,3,0),"")</f>
        <v>Open</v>
      </c>
      <c r="AT1078" s="264" t="str">
        <f ca="1">IF(Table_NFI[[#This Row],[Pcode]]="","",OFFSET(CampList[Priority],MATCH(Table_NFI[[#This Row],[Pcode]],CampList[CP_Pcode],0)-1,0,1,1))</f>
        <v>P1</v>
      </c>
      <c r="AU1078" s="263">
        <f>IFERROR(Table_NFI[[#This Row],[Kitchen Set]]/VLOOKUP(Table_NFI[[#This Row],[Camp Name]],CL,4,0),"")</f>
        <v>5.5816686251468862E-3</v>
      </c>
      <c r="AV1078" s="390" t="s">
        <v>1087</v>
      </c>
      <c r="AW1078" s="392"/>
    </row>
    <row r="1079" spans="1:49" s="399" customFormat="1" ht="15.75" customHeight="1" x14ac:dyDescent="0.25">
      <c r="A1079" s="266">
        <f t="shared" si="16"/>
        <v>62.033333333333331</v>
      </c>
      <c r="B1079" s="389">
        <v>40995</v>
      </c>
      <c r="C1079" s="390" t="s">
        <v>451</v>
      </c>
      <c r="D1079" s="390" t="s">
        <v>451</v>
      </c>
      <c r="E1079" s="390" t="s">
        <v>380</v>
      </c>
      <c r="F1079" s="262" t="s">
        <v>310</v>
      </c>
      <c r="G1079" s="262" t="s">
        <v>355</v>
      </c>
      <c r="H1079" s="261"/>
      <c r="I1079" s="261"/>
      <c r="J1079" s="261"/>
      <c r="K1079" s="261">
        <v>0</v>
      </c>
      <c r="L1079" s="261">
        <v>40</v>
      </c>
      <c r="M1079" s="261">
        <v>0</v>
      </c>
      <c r="N1079" s="261">
        <v>0</v>
      </c>
      <c r="O1079" s="261">
        <v>0</v>
      </c>
      <c r="P1079" s="261"/>
      <c r="Q1079" s="261"/>
      <c r="R1079" s="261"/>
      <c r="S1079" s="261"/>
      <c r="T1079" s="261"/>
      <c r="U1079" s="261"/>
      <c r="V1079" s="762"/>
      <c r="W1079" s="762"/>
      <c r="X1079" s="762"/>
      <c r="Y1079" s="264">
        <f>IF(NFI_Expiration=1,IF($A1079&lt;VLOOKUP(H$5,NFI,5,0),1,0)*Table_NFI[[#This Row],[Hygiene Kit]],Table_NFI[Hygiene Kit])</f>
        <v>0</v>
      </c>
      <c r="Z1079" s="264">
        <f>IF(NFI_Expiration=1,IF($A1079&lt;VLOOKUP(I$5,NFI,5,0),1,0)*Table_NFI[[#This Row],[NFI Core Kit]],Table_NFI[NFI Core Kit])</f>
        <v>0</v>
      </c>
      <c r="AA1079" s="264">
        <f>IF(NFI_Expiration=1,IF($A1079&lt;VLOOKUP(J$5,NFI,5,0),1,0)*Table_NFI[[#This Row],[Sanitary Kit]],Table_NFI[Sanitary Kit])</f>
        <v>0</v>
      </c>
      <c r="AB1079" s="264">
        <f>IF(NFI_Expiration=1,IF($A1079&lt;VLOOKUP(K$5,NFI,5,0),1,0)*Table_NFI[[#This Row],[Mosquito net]],Table_NFI[Mosquito net])</f>
        <v>0</v>
      </c>
      <c r="AC1079" s="264">
        <f>IF(NFI_Expiration=1,IF($A1079&lt;VLOOKUP(L$5,NFI,5,0),1,0)*Table_NFI[[#This Row],[Tarpaulin]],Table_NFI[[#This Row],[Tarpaulin]])</f>
        <v>0</v>
      </c>
      <c r="AD1079" s="264">
        <f>IF(NFI_Expiration=1,IF($A1079&lt;VLOOKUP(M$5,NFI,5,0),1,0)*Table_NFI[[#This Row],[Blanket]],Table_NFI[[#This Row],[Blanket]])</f>
        <v>0</v>
      </c>
      <c r="AE1079" s="264">
        <f>IF(NFI_Expiration=1,IF($A1079&lt;VLOOKUP(N$5,NFI,5,0),1,0)*Table_NFI[[#This Row],[Kitchen Set]],Table_NFI[Kitchen Set])</f>
        <v>0</v>
      </c>
      <c r="AF1079" s="264">
        <f>IF(NFI_Expiration=1,IF($A1079&lt;VLOOKUP(O$5,NFI,5,0),1,0)*Table_NFI[[#This Row],[Clothes Kit]],Table_NFI[Clothes Kit])</f>
        <v>0</v>
      </c>
      <c r="AG1079" s="264">
        <f>IF(NFI_Expiration=1,IF($A1079&lt;VLOOKUP(P$5,NFI,5,0),1,0)*Table_NFI[[#This Row],[Plastic Bucket]],Table_NFI[Plastic Bucket])</f>
        <v>0</v>
      </c>
      <c r="AH1079" s="264">
        <f>IF(NFI_Expiration=1,IF($A1079&lt;VLOOKUP(Q$5,NFI,5,0),1,0)*Table_NFI[[#This Row],[Plastic Mat]],Table_NFI[Plastic Mat])*IF(Table_NFI[[#This Row],[Distribution Date]]&gt;"2014-04-01",1,2.5)</f>
        <v>0</v>
      </c>
      <c r="AI1079" s="264">
        <f>IF(NFI_Expiration=1,IF($A1079&lt;VLOOKUP(R$5,NFI,5,0),1,0)*Table_NFI[[#This Row],[Winter Clothes Adult]],Table_NFI[Winter Clothes Adult])</f>
        <v>0</v>
      </c>
      <c r="AJ1079" s="264">
        <f>IF(NFI_Expiration=1,IF($A1079&lt;VLOOKUP(S$5,NFI,5,0),1,0)*Table_NFI[[#This Row],[Winter Clothes Children]],Table_NFI[Winter Clothes Children])</f>
        <v>0</v>
      </c>
      <c r="AK1079" s="264">
        <f>IF(NFI_Expiration=1,IF($A1079&lt;VLOOKUP(T$5,NFI,5,0),1,0)*Table_NFI[[#This Row],[Winter Items Other]],Table_NFI[Winter Items Other])</f>
        <v>0</v>
      </c>
      <c r="AL1079" s="264">
        <f>IF(NFI_Expiration=1,IF($A1079&lt;VLOOKUP(M$5,NFI,5,0),1,0)*Table_NFI[[#This Row],[Winter Blanket]],Table_NFI[[#This Row],[Winter Blanket]])</f>
        <v>0</v>
      </c>
      <c r="AM1079" s="264">
        <f>IF(Table_NFI[[#This Row],[Winter Clothes Adult]]+Table_NFI[[#This Row],[Winter Clothes Children]]+Table_NFI[[#This Row],[Winter Items Other]]+Table_NFI[[#This Row],[Winter Blanket]]&gt;0,1,0)</f>
        <v>0</v>
      </c>
      <c r="AN1079" s="296">
        <f>IF(NFI_Expiration=1,IF($A1079&lt;VLOOKUP(V$5,NFI,5,0),1,0)*Table_NFI[[#This Row],[Jerry Can]],Table_NFI[Jerry Can])</f>
        <v>0</v>
      </c>
      <c r="AO1079" s="296">
        <f>IF(NFI_Expiration=1,IF($A1079&lt;VLOOKUP(V$5,NFI,5,0),1,0)*Table_NFI[[#This Row],[Shelter Tool kit]],Table_NFI[Shelter Tool kit])</f>
        <v>0</v>
      </c>
      <c r="AP1079" s="296">
        <f>IF(NFI_Expiration=1,IF($A1079&lt;VLOOKUP(V$5,NFI,5,0),1,0)*Table_NFI[[#This Row],[Tent]],Table_NFI[Tent])</f>
        <v>0</v>
      </c>
      <c r="AQ1079" s="396" t="str">
        <f>IFERROR(VLOOKUP(Table_NFI[[#This Row],[Camp Name]],CL,2,0),"")</f>
        <v>MMR001CMP160</v>
      </c>
      <c r="AR1079" s="702">
        <f ca="1">IF(Table_NFI[[#This Row],[Pcode]]="","",IF(OFFSET(CampList[Opening Date],MATCH(Table_NFI[[#This Row],[Pcode]],CampList[CP_Pcode],0)-1,0,1,1)&gt;=NFI_Monitor_Date,1,0))</f>
        <v>0</v>
      </c>
      <c r="AS1079" s="396" t="str">
        <f>IFERROR(VLOOKUP(Table_NFI[[#This Row],[Camp Name]],CL,3,0),"")</f>
        <v>Open</v>
      </c>
      <c r="AT1079" s="264" t="str">
        <f ca="1">IF(Table_NFI[[#This Row],[Pcode]]="","",OFFSET(CampList[Priority],MATCH(Table_NFI[[#This Row],[Pcode]],CampList[CP_Pcode],0)-1,0,1,1))</f>
        <v>P1</v>
      </c>
      <c r="AU1079" s="263">
        <f>IFERROR(Table_NFI[[#This Row],[Kitchen Set]]/VLOOKUP(Table_NFI[[#This Row],[Camp Name]],CL,4,0),"")</f>
        <v>0</v>
      </c>
      <c r="AV1079" s="390" t="s">
        <v>1087</v>
      </c>
      <c r="AW1079" s="392"/>
    </row>
    <row r="1080" spans="1:49" s="399" customFormat="1" ht="15" customHeight="1" x14ac:dyDescent="0.25">
      <c r="A1080" s="266">
        <f t="shared" si="16"/>
        <v>62.033333333333331</v>
      </c>
      <c r="B1080" s="389">
        <v>40995</v>
      </c>
      <c r="C1080" s="390" t="s">
        <v>451</v>
      </c>
      <c r="D1080" s="391" t="s">
        <v>451</v>
      </c>
      <c r="E1080" s="390" t="s">
        <v>380</v>
      </c>
      <c r="F1080" s="262" t="s">
        <v>5</v>
      </c>
      <c r="G1080" s="262" t="s">
        <v>22</v>
      </c>
      <c r="H1080" s="261"/>
      <c r="I1080" s="261"/>
      <c r="J1080" s="261"/>
      <c r="K1080" s="261">
        <v>1000</v>
      </c>
      <c r="L1080" s="261">
        <v>500</v>
      </c>
      <c r="M1080" s="261">
        <v>1000</v>
      </c>
      <c r="N1080" s="261">
        <v>500</v>
      </c>
      <c r="O1080" s="261">
        <v>500</v>
      </c>
      <c r="P1080" s="261">
        <v>500</v>
      </c>
      <c r="Q1080" s="261">
        <v>500</v>
      </c>
      <c r="R1080" s="261"/>
      <c r="S1080" s="261"/>
      <c r="T1080" s="261"/>
      <c r="U1080" s="261"/>
      <c r="V1080" s="762"/>
      <c r="W1080" s="762"/>
      <c r="X1080" s="762"/>
      <c r="Y1080" s="264">
        <f>IF(NFI_Expiration=1,IF($A1080&lt;VLOOKUP(H$5,NFI,5,0),1,0)*Table_NFI[[#This Row],[Hygiene Kit]],Table_NFI[Hygiene Kit])</f>
        <v>0</v>
      </c>
      <c r="Z1080" s="264">
        <f>IF(NFI_Expiration=1,IF($A1080&lt;VLOOKUP(I$5,NFI,5,0),1,0)*Table_NFI[[#This Row],[NFI Core Kit]],Table_NFI[NFI Core Kit])</f>
        <v>0</v>
      </c>
      <c r="AA1080" s="264">
        <f>IF(NFI_Expiration=1,IF($A1080&lt;VLOOKUP(J$5,NFI,5,0),1,0)*Table_NFI[[#This Row],[Sanitary Kit]],Table_NFI[Sanitary Kit])</f>
        <v>0</v>
      </c>
      <c r="AB1080" s="264">
        <f>IF(NFI_Expiration=1,IF($A1080&lt;VLOOKUP(K$5,NFI,5,0),1,0)*Table_NFI[[#This Row],[Mosquito net]],Table_NFI[Mosquito net])</f>
        <v>0</v>
      </c>
      <c r="AC1080" s="264">
        <f>IF(NFI_Expiration=1,IF($A1080&lt;VLOOKUP(L$5,NFI,5,0),1,0)*Table_NFI[[#This Row],[Tarpaulin]],Table_NFI[[#This Row],[Tarpaulin]])</f>
        <v>0</v>
      </c>
      <c r="AD1080" s="264">
        <f>IF(NFI_Expiration=1,IF($A1080&lt;VLOOKUP(M$5,NFI,5,0),1,0)*Table_NFI[[#This Row],[Blanket]],Table_NFI[[#This Row],[Blanket]])</f>
        <v>0</v>
      </c>
      <c r="AE1080" s="264">
        <f>IF(NFI_Expiration=1,IF($A1080&lt;VLOOKUP(N$5,NFI,5,0),1,0)*Table_NFI[[#This Row],[Kitchen Set]],Table_NFI[Kitchen Set])</f>
        <v>0</v>
      </c>
      <c r="AF1080" s="264">
        <f>IF(NFI_Expiration=1,IF($A1080&lt;VLOOKUP(O$5,NFI,5,0),1,0)*Table_NFI[[#This Row],[Clothes Kit]],Table_NFI[Clothes Kit])</f>
        <v>0</v>
      </c>
      <c r="AG1080" s="264">
        <f>IF(NFI_Expiration=1,IF($A1080&lt;VLOOKUP(P$5,NFI,5,0),1,0)*Table_NFI[[#This Row],[Plastic Bucket]],Table_NFI[Plastic Bucket])</f>
        <v>0</v>
      </c>
      <c r="AH1080" s="264">
        <f>IF(NFI_Expiration=1,IF($A1080&lt;VLOOKUP(Q$5,NFI,5,0),1,0)*Table_NFI[[#This Row],[Plastic Mat]],Table_NFI[Plastic Mat])*IF(Table_NFI[[#This Row],[Distribution Date]]&gt;"2014-04-01",1,2.5)</f>
        <v>0</v>
      </c>
      <c r="AI1080" s="264">
        <f>IF(NFI_Expiration=1,IF($A1080&lt;VLOOKUP(R$5,NFI,5,0),1,0)*Table_NFI[[#This Row],[Winter Clothes Adult]],Table_NFI[Winter Clothes Adult])</f>
        <v>0</v>
      </c>
      <c r="AJ1080" s="264">
        <f>IF(NFI_Expiration=1,IF($A1080&lt;VLOOKUP(S$5,NFI,5,0),1,0)*Table_NFI[[#This Row],[Winter Clothes Children]],Table_NFI[Winter Clothes Children])</f>
        <v>0</v>
      </c>
      <c r="AK1080" s="264">
        <f>IF(NFI_Expiration=1,IF($A1080&lt;VLOOKUP(T$5,NFI,5,0),1,0)*Table_NFI[[#This Row],[Winter Items Other]],Table_NFI[Winter Items Other])</f>
        <v>0</v>
      </c>
      <c r="AL1080" s="264">
        <f>IF(NFI_Expiration=1,IF($A1080&lt;VLOOKUP(M$5,NFI,5,0),1,0)*Table_NFI[[#This Row],[Winter Blanket]],Table_NFI[[#This Row],[Winter Blanket]])</f>
        <v>0</v>
      </c>
      <c r="AM1080" s="264">
        <f>IF(Table_NFI[[#This Row],[Winter Clothes Adult]]+Table_NFI[[#This Row],[Winter Clothes Children]]+Table_NFI[[#This Row],[Winter Items Other]]+Table_NFI[[#This Row],[Winter Blanket]]&gt;0,1,0)</f>
        <v>0</v>
      </c>
      <c r="AN1080" s="296">
        <f>IF(NFI_Expiration=1,IF($A1080&lt;VLOOKUP(V$5,NFI,5,0),1,0)*Table_NFI[[#This Row],[Jerry Can]],Table_NFI[Jerry Can])</f>
        <v>0</v>
      </c>
      <c r="AO1080" s="296">
        <f>IF(NFI_Expiration=1,IF($A1080&lt;VLOOKUP(V$5,NFI,5,0),1,0)*Table_NFI[[#This Row],[Shelter Tool kit]],Table_NFI[Shelter Tool kit])</f>
        <v>0</v>
      </c>
      <c r="AP1080" s="296">
        <f>IF(NFI_Expiration=1,IF($A1080&lt;VLOOKUP(V$5,NFI,5,0),1,0)*Table_NFI[[#This Row],[Tent]],Table_NFI[Tent])</f>
        <v>0</v>
      </c>
      <c r="AQ1080" s="396" t="str">
        <f>IFERROR(VLOOKUP(Table_NFI[[#This Row],[Camp Name]],CL,2,0),"")</f>
        <v>MMR001CMP047</v>
      </c>
      <c r="AR1080" s="702">
        <f ca="1">IF(Table_NFI[[#This Row],[Pcode]]="","",IF(OFFSET(CampList[Opening Date],MATCH(Table_NFI[[#This Row],[Pcode]],CampList[CP_Pcode],0)-1,0,1,1)&gt;=NFI_Monitor_Date,1,0))</f>
        <v>0</v>
      </c>
      <c r="AS1080" s="396" t="str">
        <f>IFERROR(VLOOKUP(Table_NFI[[#This Row],[Camp Name]],CL,3,0),"")</f>
        <v>Open</v>
      </c>
      <c r="AT1080" s="264" t="str">
        <f ca="1">IF(Table_NFI[[#This Row],[Pcode]]="","",OFFSET(CampList[Priority],MATCH(Table_NFI[[#This Row],[Pcode]],CampList[CP_Pcode],0)-1,0,1,1))</f>
        <v>P4</v>
      </c>
      <c r="AU1080" s="263">
        <f>IFERROR(Table_NFI[[#This Row],[Kitchen Set]]/VLOOKUP(Table_NFI[[#This Row],[Camp Name]],CL,4,0),"")</f>
        <v>1.2277470841006752E-2</v>
      </c>
      <c r="AV1080" s="390" t="s">
        <v>1087</v>
      </c>
      <c r="AW1080" s="392"/>
    </row>
    <row r="1081" spans="1:49" s="399" customFormat="1" ht="15.75" customHeight="1" x14ac:dyDescent="0.25">
      <c r="A1081" s="266">
        <f t="shared" si="16"/>
        <v>62.033333333333331</v>
      </c>
      <c r="B1081" s="389">
        <v>40995</v>
      </c>
      <c r="C1081" s="390" t="s">
        <v>451</v>
      </c>
      <c r="D1081" s="391" t="s">
        <v>451</v>
      </c>
      <c r="E1081" s="390" t="s">
        <v>380</v>
      </c>
      <c r="F1081" s="262" t="s">
        <v>185</v>
      </c>
      <c r="G1081" s="262" t="s">
        <v>911</v>
      </c>
      <c r="H1081" s="261"/>
      <c r="I1081" s="261"/>
      <c r="J1081" s="261"/>
      <c r="K1081" s="261">
        <v>52</v>
      </c>
      <c r="L1081" s="261">
        <v>52</v>
      </c>
      <c r="M1081" s="261">
        <v>0</v>
      </c>
      <c r="N1081" s="261">
        <v>0</v>
      </c>
      <c r="O1081" s="261">
        <v>0</v>
      </c>
      <c r="P1081" s="261"/>
      <c r="Q1081" s="261"/>
      <c r="R1081" s="261"/>
      <c r="S1081" s="261"/>
      <c r="T1081" s="261"/>
      <c r="U1081" s="261"/>
      <c r="V1081" s="762"/>
      <c r="W1081" s="762"/>
      <c r="X1081" s="762"/>
      <c r="Y1081" s="264">
        <f>IF(NFI_Expiration=1,IF($A1081&lt;VLOOKUP(H$5,NFI,5,0),1,0)*Table_NFI[[#This Row],[Hygiene Kit]],Table_NFI[Hygiene Kit])</f>
        <v>0</v>
      </c>
      <c r="Z1081" s="264">
        <f>IF(NFI_Expiration=1,IF($A1081&lt;VLOOKUP(I$5,NFI,5,0),1,0)*Table_NFI[[#This Row],[NFI Core Kit]],Table_NFI[NFI Core Kit])</f>
        <v>0</v>
      </c>
      <c r="AA1081" s="264">
        <f>IF(NFI_Expiration=1,IF($A1081&lt;VLOOKUP(J$5,NFI,5,0),1,0)*Table_NFI[[#This Row],[Sanitary Kit]],Table_NFI[Sanitary Kit])</f>
        <v>0</v>
      </c>
      <c r="AB1081" s="264">
        <f>IF(NFI_Expiration=1,IF($A1081&lt;VLOOKUP(K$5,NFI,5,0),1,0)*Table_NFI[[#This Row],[Mosquito net]],Table_NFI[Mosquito net])</f>
        <v>0</v>
      </c>
      <c r="AC1081" s="264">
        <f>IF(NFI_Expiration=1,IF($A1081&lt;VLOOKUP(L$5,NFI,5,0),1,0)*Table_NFI[[#This Row],[Tarpaulin]],Table_NFI[[#This Row],[Tarpaulin]])</f>
        <v>0</v>
      </c>
      <c r="AD1081" s="264">
        <f>IF(NFI_Expiration=1,IF($A1081&lt;VLOOKUP(M$5,NFI,5,0),1,0)*Table_NFI[[#This Row],[Blanket]],Table_NFI[[#This Row],[Blanket]])</f>
        <v>0</v>
      </c>
      <c r="AE1081" s="264">
        <f>IF(NFI_Expiration=1,IF($A1081&lt;VLOOKUP(N$5,NFI,5,0),1,0)*Table_NFI[[#This Row],[Kitchen Set]],Table_NFI[Kitchen Set])</f>
        <v>0</v>
      </c>
      <c r="AF1081" s="264">
        <f>IF(NFI_Expiration=1,IF($A1081&lt;VLOOKUP(O$5,NFI,5,0),1,0)*Table_NFI[[#This Row],[Clothes Kit]],Table_NFI[Clothes Kit])</f>
        <v>0</v>
      </c>
      <c r="AG1081" s="264">
        <f>IF(NFI_Expiration=1,IF($A1081&lt;VLOOKUP(P$5,NFI,5,0),1,0)*Table_NFI[[#This Row],[Plastic Bucket]],Table_NFI[Plastic Bucket])</f>
        <v>0</v>
      </c>
      <c r="AH1081" s="264">
        <f>IF(NFI_Expiration=1,IF($A1081&lt;VLOOKUP(Q$5,NFI,5,0),1,0)*Table_NFI[[#This Row],[Plastic Mat]],Table_NFI[Plastic Mat])*IF(Table_NFI[[#This Row],[Distribution Date]]&gt;"2014-04-01",1,2.5)</f>
        <v>0</v>
      </c>
      <c r="AI1081" s="264">
        <f>IF(NFI_Expiration=1,IF($A1081&lt;VLOOKUP(R$5,NFI,5,0),1,0)*Table_NFI[[#This Row],[Winter Clothes Adult]],Table_NFI[Winter Clothes Adult])</f>
        <v>0</v>
      </c>
      <c r="AJ1081" s="264">
        <f>IF(NFI_Expiration=1,IF($A1081&lt;VLOOKUP(S$5,NFI,5,0),1,0)*Table_NFI[[#This Row],[Winter Clothes Children]],Table_NFI[Winter Clothes Children])</f>
        <v>0</v>
      </c>
      <c r="AK1081" s="264">
        <f>IF(NFI_Expiration=1,IF($A1081&lt;VLOOKUP(T$5,NFI,5,0),1,0)*Table_NFI[[#This Row],[Winter Items Other]],Table_NFI[Winter Items Other])</f>
        <v>0</v>
      </c>
      <c r="AL1081" s="264">
        <f>IF(NFI_Expiration=1,IF($A1081&lt;VLOOKUP(M$5,NFI,5,0),1,0)*Table_NFI[[#This Row],[Winter Blanket]],Table_NFI[[#This Row],[Winter Blanket]])</f>
        <v>0</v>
      </c>
      <c r="AM1081" s="264">
        <f>IF(Table_NFI[[#This Row],[Winter Clothes Adult]]+Table_NFI[[#This Row],[Winter Clothes Children]]+Table_NFI[[#This Row],[Winter Items Other]]+Table_NFI[[#This Row],[Winter Blanket]]&gt;0,1,0)</f>
        <v>0</v>
      </c>
      <c r="AN1081" s="296">
        <f>IF(NFI_Expiration=1,IF($A1081&lt;VLOOKUP(V$5,NFI,5,0),1,0)*Table_NFI[[#This Row],[Jerry Can]],Table_NFI[Jerry Can])</f>
        <v>0</v>
      </c>
      <c r="AO1081" s="296">
        <f>IF(NFI_Expiration=1,IF($A1081&lt;VLOOKUP(V$5,NFI,5,0),1,0)*Table_NFI[[#This Row],[Shelter Tool kit]],Table_NFI[Shelter Tool kit])</f>
        <v>0</v>
      </c>
      <c r="AP1081" s="296">
        <f>IF(NFI_Expiration=1,IF($A1081&lt;VLOOKUP(V$5,NFI,5,0),1,0)*Table_NFI[[#This Row],[Tent]],Table_NFI[Tent])</f>
        <v>0</v>
      </c>
      <c r="AQ1081" s="396" t="str">
        <f>IFERROR(VLOOKUP(Table_NFI[[#This Row],[Camp Name]],CL,2,0),"")</f>
        <v/>
      </c>
      <c r="AR1081" s="702" t="str">
        <f ca="1">IF(Table_NFI[[#This Row],[Pcode]]="","",IF(OFFSET(CampList[Opening Date],MATCH(Table_NFI[[#This Row],[Pcode]],CampList[CP_Pcode],0)-1,0,1,1)&gt;=NFI_Monitor_Date,1,0))</f>
        <v/>
      </c>
      <c r="AS1081" s="396" t="str">
        <f>IFERROR(VLOOKUP(Table_NFI[[#This Row],[Camp Name]],CL,3,0),"")</f>
        <v/>
      </c>
      <c r="AT1081" s="264" t="str">
        <f ca="1">IF(Table_NFI[[#This Row],[Pcode]]="","",OFFSET(CampList[Priority],MATCH(Table_NFI[[#This Row],[Pcode]],CampList[CP_Pcode],0)-1,0,1,1))</f>
        <v/>
      </c>
      <c r="AU1081" s="263" t="str">
        <f>IFERROR(Table_NFI[[#This Row],[Kitchen Set]]/VLOOKUP(Table_NFI[[#This Row],[Camp Name]],CL,4,0),"")</f>
        <v/>
      </c>
      <c r="AV1081" s="390" t="s">
        <v>1087</v>
      </c>
      <c r="AW1081" s="392"/>
    </row>
    <row r="1082" spans="1:49" s="399" customFormat="1" ht="15.75" customHeight="1" x14ac:dyDescent="0.25">
      <c r="A1082" s="266">
        <f t="shared" si="16"/>
        <v>62.06666666666667</v>
      </c>
      <c r="B1082" s="389">
        <v>40994</v>
      </c>
      <c r="C1082" s="390" t="s">
        <v>451</v>
      </c>
      <c r="D1082" s="390" t="s">
        <v>451</v>
      </c>
      <c r="E1082" s="390" t="s">
        <v>380</v>
      </c>
      <c r="F1082" s="262" t="s">
        <v>310</v>
      </c>
      <c r="G1082" s="262" t="s">
        <v>334</v>
      </c>
      <c r="H1082" s="261"/>
      <c r="I1082" s="261"/>
      <c r="J1082" s="261"/>
      <c r="K1082" s="261">
        <v>460</v>
      </c>
      <c r="L1082" s="261">
        <v>250</v>
      </c>
      <c r="M1082" s="261">
        <v>460</v>
      </c>
      <c r="N1082" s="261">
        <v>230</v>
      </c>
      <c r="O1082" s="261">
        <v>0</v>
      </c>
      <c r="P1082" s="261"/>
      <c r="Q1082" s="261"/>
      <c r="R1082" s="261"/>
      <c r="S1082" s="261"/>
      <c r="T1082" s="261"/>
      <c r="U1082" s="261"/>
      <c r="V1082" s="762"/>
      <c r="W1082" s="762"/>
      <c r="X1082" s="762"/>
      <c r="Y1082" s="264">
        <f>IF(NFI_Expiration=1,IF($A1082&lt;VLOOKUP(H$5,NFI,5,0),1,0)*Table_NFI[[#This Row],[Hygiene Kit]],Table_NFI[Hygiene Kit])</f>
        <v>0</v>
      </c>
      <c r="Z1082" s="264">
        <f>IF(NFI_Expiration=1,IF($A1082&lt;VLOOKUP(I$5,NFI,5,0),1,0)*Table_NFI[[#This Row],[NFI Core Kit]],Table_NFI[NFI Core Kit])</f>
        <v>0</v>
      </c>
      <c r="AA1082" s="264">
        <f>IF(NFI_Expiration=1,IF($A1082&lt;VLOOKUP(J$5,NFI,5,0),1,0)*Table_NFI[[#This Row],[Sanitary Kit]],Table_NFI[Sanitary Kit])</f>
        <v>0</v>
      </c>
      <c r="AB1082" s="264">
        <f>IF(NFI_Expiration=1,IF($A1082&lt;VLOOKUP(K$5,NFI,5,0),1,0)*Table_NFI[[#This Row],[Mosquito net]],Table_NFI[Mosquito net])</f>
        <v>0</v>
      </c>
      <c r="AC1082" s="264">
        <f>IF(NFI_Expiration=1,IF($A1082&lt;VLOOKUP(L$5,NFI,5,0),1,0)*Table_NFI[[#This Row],[Tarpaulin]],Table_NFI[[#This Row],[Tarpaulin]])</f>
        <v>0</v>
      </c>
      <c r="AD1082" s="264">
        <f>IF(NFI_Expiration=1,IF($A1082&lt;VLOOKUP(M$5,NFI,5,0),1,0)*Table_NFI[[#This Row],[Blanket]],Table_NFI[[#This Row],[Blanket]])</f>
        <v>0</v>
      </c>
      <c r="AE1082" s="264">
        <f>IF(NFI_Expiration=1,IF($A1082&lt;VLOOKUP(N$5,NFI,5,0),1,0)*Table_NFI[[#This Row],[Kitchen Set]],Table_NFI[Kitchen Set])</f>
        <v>0</v>
      </c>
      <c r="AF1082" s="264">
        <f>IF(NFI_Expiration=1,IF($A1082&lt;VLOOKUP(O$5,NFI,5,0),1,0)*Table_NFI[[#This Row],[Clothes Kit]],Table_NFI[Clothes Kit])</f>
        <v>0</v>
      </c>
      <c r="AG1082" s="264">
        <f>IF(NFI_Expiration=1,IF($A1082&lt;VLOOKUP(P$5,NFI,5,0),1,0)*Table_NFI[[#This Row],[Plastic Bucket]],Table_NFI[Plastic Bucket])</f>
        <v>0</v>
      </c>
      <c r="AH1082" s="264">
        <f>IF(NFI_Expiration=1,IF($A1082&lt;VLOOKUP(Q$5,NFI,5,0),1,0)*Table_NFI[[#This Row],[Plastic Mat]],Table_NFI[Plastic Mat])*IF(Table_NFI[[#This Row],[Distribution Date]]&gt;"2014-04-01",1,2.5)</f>
        <v>0</v>
      </c>
      <c r="AI1082" s="264">
        <f>IF(NFI_Expiration=1,IF($A1082&lt;VLOOKUP(R$5,NFI,5,0),1,0)*Table_NFI[[#This Row],[Winter Clothes Adult]],Table_NFI[Winter Clothes Adult])</f>
        <v>0</v>
      </c>
      <c r="AJ1082" s="264">
        <f>IF(NFI_Expiration=1,IF($A1082&lt;VLOOKUP(S$5,NFI,5,0),1,0)*Table_NFI[[#This Row],[Winter Clothes Children]],Table_NFI[Winter Clothes Children])</f>
        <v>0</v>
      </c>
      <c r="AK1082" s="264">
        <f>IF(NFI_Expiration=1,IF($A1082&lt;VLOOKUP(T$5,NFI,5,0),1,0)*Table_NFI[[#This Row],[Winter Items Other]],Table_NFI[Winter Items Other])</f>
        <v>0</v>
      </c>
      <c r="AL1082" s="264">
        <f>IF(NFI_Expiration=1,IF($A1082&lt;VLOOKUP(M$5,NFI,5,0),1,0)*Table_NFI[[#This Row],[Winter Blanket]],Table_NFI[[#This Row],[Winter Blanket]])</f>
        <v>0</v>
      </c>
      <c r="AM1082" s="264">
        <f>IF(Table_NFI[[#This Row],[Winter Clothes Adult]]+Table_NFI[[#This Row],[Winter Clothes Children]]+Table_NFI[[#This Row],[Winter Items Other]]+Table_NFI[[#This Row],[Winter Blanket]]&gt;0,1,0)</f>
        <v>0</v>
      </c>
      <c r="AN1082" s="296">
        <f>IF(NFI_Expiration=1,IF($A1082&lt;VLOOKUP(V$5,NFI,5,0),1,0)*Table_NFI[[#This Row],[Jerry Can]],Table_NFI[Jerry Can])</f>
        <v>0</v>
      </c>
      <c r="AO1082" s="296">
        <f>IF(NFI_Expiration=1,IF($A1082&lt;VLOOKUP(V$5,NFI,5,0),1,0)*Table_NFI[[#This Row],[Shelter Tool kit]],Table_NFI[Shelter Tool kit])</f>
        <v>0</v>
      </c>
      <c r="AP1082" s="296">
        <f>IF(NFI_Expiration=1,IF($A1082&lt;VLOOKUP(V$5,NFI,5,0),1,0)*Table_NFI[[#This Row],[Tent]],Table_NFI[Tent])</f>
        <v>0</v>
      </c>
      <c r="AQ1082" s="396" t="str">
        <f>IFERROR(VLOOKUP(Table_NFI[[#This Row],[Camp Name]],CL,2,0),"")</f>
        <v>MMR001CMP113</v>
      </c>
      <c r="AR1082" s="702">
        <f ca="1">IF(Table_NFI[[#This Row],[Pcode]]="","",IF(OFFSET(CampList[Opening Date],MATCH(Table_NFI[[#This Row],[Pcode]],CampList[CP_Pcode],0)-1,0,1,1)&gt;=NFI_Monitor_Date,1,0))</f>
        <v>0</v>
      </c>
      <c r="AS1082" s="396" t="str">
        <f>IFERROR(VLOOKUP(Table_NFI[[#This Row],[Camp Name]],CL,3,0),"")</f>
        <v>Open</v>
      </c>
      <c r="AT1082" s="264" t="str">
        <f ca="1">IF(Table_NFI[[#This Row],[Pcode]]="","",OFFSET(CampList[Priority],MATCH(Table_NFI[[#This Row],[Pcode]],CampList[CP_Pcode],0)-1,0,1,1))</f>
        <v>P1</v>
      </c>
      <c r="AU1082" s="263">
        <f>IFERROR(Table_NFI[[#This Row],[Kitchen Set]]/VLOOKUP(Table_NFI[[#This Row],[Camp Name]],CL,4,0),"")</f>
        <v>5.6306306306306304E-3</v>
      </c>
      <c r="AV1082" s="390" t="s">
        <v>1087</v>
      </c>
      <c r="AW1082" s="392"/>
    </row>
    <row r="1083" spans="1:49" s="399" customFormat="1" ht="15.75" customHeight="1" x14ac:dyDescent="0.25">
      <c r="A1083" s="266">
        <f t="shared" si="16"/>
        <v>62.06666666666667</v>
      </c>
      <c r="B1083" s="389">
        <v>40994</v>
      </c>
      <c r="C1083" s="390" t="s">
        <v>451</v>
      </c>
      <c r="D1083" s="391" t="s">
        <v>451</v>
      </c>
      <c r="E1083" s="390" t="s">
        <v>380</v>
      </c>
      <c r="F1083" s="262" t="s">
        <v>185</v>
      </c>
      <c r="G1083" s="262" t="s">
        <v>211</v>
      </c>
      <c r="H1083" s="261"/>
      <c r="I1083" s="261"/>
      <c r="J1083" s="261"/>
      <c r="K1083" s="261">
        <v>49</v>
      </c>
      <c r="L1083" s="261">
        <v>49</v>
      </c>
      <c r="M1083" s="261">
        <v>0</v>
      </c>
      <c r="N1083" s="261">
        <v>0</v>
      </c>
      <c r="O1083" s="261">
        <v>49</v>
      </c>
      <c r="P1083" s="261">
        <v>49</v>
      </c>
      <c r="Q1083" s="261">
        <v>49</v>
      </c>
      <c r="R1083" s="261"/>
      <c r="S1083" s="261"/>
      <c r="T1083" s="261"/>
      <c r="U1083" s="261"/>
      <c r="V1083" s="762"/>
      <c r="W1083" s="762"/>
      <c r="X1083" s="762"/>
      <c r="Y1083" s="264">
        <f>IF(NFI_Expiration=1,IF($A1083&lt;VLOOKUP(H$5,NFI,5,0),1,0)*Table_NFI[[#This Row],[Hygiene Kit]],Table_NFI[Hygiene Kit])</f>
        <v>0</v>
      </c>
      <c r="Z1083" s="264">
        <f>IF(NFI_Expiration=1,IF($A1083&lt;VLOOKUP(I$5,NFI,5,0),1,0)*Table_NFI[[#This Row],[NFI Core Kit]],Table_NFI[NFI Core Kit])</f>
        <v>0</v>
      </c>
      <c r="AA1083" s="264">
        <f>IF(NFI_Expiration=1,IF($A1083&lt;VLOOKUP(J$5,NFI,5,0),1,0)*Table_NFI[[#This Row],[Sanitary Kit]],Table_NFI[Sanitary Kit])</f>
        <v>0</v>
      </c>
      <c r="AB1083" s="264">
        <f>IF(NFI_Expiration=1,IF($A1083&lt;VLOOKUP(K$5,NFI,5,0),1,0)*Table_NFI[[#This Row],[Mosquito net]],Table_NFI[Mosquito net])</f>
        <v>0</v>
      </c>
      <c r="AC1083" s="264">
        <f>IF(NFI_Expiration=1,IF($A1083&lt;VLOOKUP(L$5,NFI,5,0),1,0)*Table_NFI[[#This Row],[Tarpaulin]],Table_NFI[[#This Row],[Tarpaulin]])</f>
        <v>0</v>
      </c>
      <c r="AD1083" s="264">
        <f>IF(NFI_Expiration=1,IF($A1083&lt;VLOOKUP(M$5,NFI,5,0),1,0)*Table_NFI[[#This Row],[Blanket]],Table_NFI[[#This Row],[Blanket]])</f>
        <v>0</v>
      </c>
      <c r="AE1083" s="264">
        <f>IF(NFI_Expiration=1,IF($A1083&lt;VLOOKUP(N$5,NFI,5,0),1,0)*Table_NFI[[#This Row],[Kitchen Set]],Table_NFI[Kitchen Set])</f>
        <v>0</v>
      </c>
      <c r="AF1083" s="264">
        <f>IF(NFI_Expiration=1,IF($A1083&lt;VLOOKUP(O$5,NFI,5,0),1,0)*Table_NFI[[#This Row],[Clothes Kit]],Table_NFI[Clothes Kit])</f>
        <v>0</v>
      </c>
      <c r="AG1083" s="264">
        <f>IF(NFI_Expiration=1,IF($A1083&lt;VLOOKUP(P$5,NFI,5,0),1,0)*Table_NFI[[#This Row],[Plastic Bucket]],Table_NFI[Plastic Bucket])</f>
        <v>0</v>
      </c>
      <c r="AH1083" s="264">
        <f>IF(NFI_Expiration=1,IF($A1083&lt;VLOOKUP(Q$5,NFI,5,0),1,0)*Table_NFI[[#This Row],[Plastic Mat]],Table_NFI[Plastic Mat])*IF(Table_NFI[[#This Row],[Distribution Date]]&gt;"2014-04-01",1,2.5)</f>
        <v>0</v>
      </c>
      <c r="AI1083" s="264">
        <f>IF(NFI_Expiration=1,IF($A1083&lt;VLOOKUP(R$5,NFI,5,0),1,0)*Table_NFI[[#This Row],[Winter Clothes Adult]],Table_NFI[Winter Clothes Adult])</f>
        <v>0</v>
      </c>
      <c r="AJ1083" s="264">
        <f>IF(NFI_Expiration=1,IF($A1083&lt;VLOOKUP(S$5,NFI,5,0),1,0)*Table_NFI[[#This Row],[Winter Clothes Children]],Table_NFI[Winter Clothes Children])</f>
        <v>0</v>
      </c>
      <c r="AK1083" s="264">
        <f>IF(NFI_Expiration=1,IF($A1083&lt;VLOOKUP(T$5,NFI,5,0),1,0)*Table_NFI[[#This Row],[Winter Items Other]],Table_NFI[Winter Items Other])</f>
        <v>0</v>
      </c>
      <c r="AL1083" s="264">
        <f>IF(NFI_Expiration=1,IF($A1083&lt;VLOOKUP(M$5,NFI,5,0),1,0)*Table_NFI[[#This Row],[Winter Blanket]],Table_NFI[[#This Row],[Winter Blanket]])</f>
        <v>0</v>
      </c>
      <c r="AM1083" s="264">
        <f>IF(Table_NFI[[#This Row],[Winter Clothes Adult]]+Table_NFI[[#This Row],[Winter Clothes Children]]+Table_NFI[[#This Row],[Winter Items Other]]+Table_NFI[[#This Row],[Winter Blanket]]&gt;0,1,0)</f>
        <v>0</v>
      </c>
      <c r="AN1083" s="296">
        <f>IF(NFI_Expiration=1,IF($A1083&lt;VLOOKUP(V$5,NFI,5,0),1,0)*Table_NFI[[#This Row],[Jerry Can]],Table_NFI[Jerry Can])</f>
        <v>0</v>
      </c>
      <c r="AO1083" s="296">
        <f>IF(NFI_Expiration=1,IF($A1083&lt;VLOOKUP(V$5,NFI,5,0),1,0)*Table_NFI[[#This Row],[Shelter Tool kit]],Table_NFI[Shelter Tool kit])</f>
        <v>0</v>
      </c>
      <c r="AP1083" s="296">
        <f>IF(NFI_Expiration=1,IF($A1083&lt;VLOOKUP(V$5,NFI,5,0),1,0)*Table_NFI[[#This Row],[Tent]],Table_NFI[Tent])</f>
        <v>0</v>
      </c>
      <c r="AQ1083" s="396" t="str">
        <f>IFERROR(VLOOKUP(Table_NFI[[#This Row],[Camp Name]],CL,2,0),"")</f>
        <v>MMR001CMP057</v>
      </c>
      <c r="AR1083" s="702">
        <f ca="1">IF(Table_NFI[[#This Row],[Pcode]]="","",IF(OFFSET(CampList[Opening Date],MATCH(Table_NFI[[#This Row],[Pcode]],CampList[CP_Pcode],0)-1,0,1,1)&gt;=NFI_Monitor_Date,1,0))</f>
        <v>0</v>
      </c>
      <c r="AS1083" s="396" t="str">
        <f>IFERROR(VLOOKUP(Table_NFI[[#This Row],[Camp Name]],CL,3,0),"")</f>
        <v>Closed</v>
      </c>
      <c r="AT1083" s="264" t="str">
        <f ca="1">IF(Table_NFI[[#This Row],[Pcode]]="","",OFFSET(CampList[Priority],MATCH(Table_NFI[[#This Row],[Pcode]],CampList[CP_Pcode],0)-1,0,1,1))</f>
        <v>P4</v>
      </c>
      <c r="AU1083" s="263">
        <f>IFERROR(Table_NFI[[#This Row],[Kitchen Set]]/VLOOKUP(Table_NFI[[#This Row],[Camp Name]],CL,4,0),"")</f>
        <v>0</v>
      </c>
      <c r="AV1083" s="390" t="s">
        <v>1087</v>
      </c>
      <c r="AW1083" s="392"/>
    </row>
    <row r="1084" spans="1:49" s="399" customFormat="1" ht="15.75" customHeight="1" x14ac:dyDescent="0.25">
      <c r="A1084" s="266">
        <f t="shared" si="16"/>
        <v>62.333333333333336</v>
      </c>
      <c r="B1084" s="389">
        <v>40986</v>
      </c>
      <c r="C1084" s="390" t="s">
        <v>904</v>
      </c>
      <c r="D1084" s="390" t="s">
        <v>904</v>
      </c>
      <c r="E1084" s="390" t="s">
        <v>380</v>
      </c>
      <c r="F1084" s="262" t="s">
        <v>185</v>
      </c>
      <c r="G1084" s="262" t="s">
        <v>520</v>
      </c>
      <c r="H1084" s="261">
        <v>850</v>
      </c>
      <c r="I1084" s="261"/>
      <c r="J1084" s="261"/>
      <c r="K1084" s="261"/>
      <c r="L1084" s="261"/>
      <c r="M1084" s="261"/>
      <c r="N1084" s="261"/>
      <c r="O1084" s="261"/>
      <c r="P1084" s="261"/>
      <c r="Q1084" s="261"/>
      <c r="R1084" s="261"/>
      <c r="S1084" s="261"/>
      <c r="T1084" s="261"/>
      <c r="U1084" s="261"/>
      <c r="V1084" s="762"/>
      <c r="W1084" s="762"/>
      <c r="X1084" s="762"/>
      <c r="Y1084" s="264">
        <f>IF(NFI_Expiration=1,IF($A1084&lt;VLOOKUP(H$5,NFI,5,0),1,0)*Table_NFI[[#This Row],[Hygiene Kit]],Table_NFI[Hygiene Kit])</f>
        <v>0</v>
      </c>
      <c r="Z1084" s="264">
        <f>IF(NFI_Expiration=1,IF($A1084&lt;VLOOKUP(I$5,NFI,5,0),1,0)*Table_NFI[[#This Row],[NFI Core Kit]],Table_NFI[NFI Core Kit])</f>
        <v>0</v>
      </c>
      <c r="AA1084" s="264">
        <f>IF(NFI_Expiration=1,IF($A1084&lt;VLOOKUP(J$5,NFI,5,0),1,0)*Table_NFI[[#This Row],[Sanitary Kit]],Table_NFI[Sanitary Kit])</f>
        <v>0</v>
      </c>
      <c r="AB1084" s="264">
        <f>IF(NFI_Expiration=1,IF($A1084&lt;VLOOKUP(K$5,NFI,5,0),1,0)*Table_NFI[[#This Row],[Mosquito net]],Table_NFI[Mosquito net])</f>
        <v>0</v>
      </c>
      <c r="AC1084" s="264">
        <f>IF(NFI_Expiration=1,IF($A1084&lt;VLOOKUP(L$5,NFI,5,0),1,0)*Table_NFI[[#This Row],[Tarpaulin]],Table_NFI[[#This Row],[Tarpaulin]])</f>
        <v>0</v>
      </c>
      <c r="AD1084" s="264">
        <f>IF(NFI_Expiration=1,IF($A1084&lt;VLOOKUP(M$5,NFI,5,0),1,0)*Table_NFI[[#This Row],[Blanket]],Table_NFI[[#This Row],[Blanket]])</f>
        <v>0</v>
      </c>
      <c r="AE1084" s="264">
        <f>IF(NFI_Expiration=1,IF($A1084&lt;VLOOKUP(N$5,NFI,5,0),1,0)*Table_NFI[[#This Row],[Kitchen Set]],Table_NFI[Kitchen Set])</f>
        <v>0</v>
      </c>
      <c r="AF1084" s="264">
        <f>IF(NFI_Expiration=1,IF($A1084&lt;VLOOKUP(O$5,NFI,5,0),1,0)*Table_NFI[[#This Row],[Clothes Kit]],Table_NFI[Clothes Kit])</f>
        <v>0</v>
      </c>
      <c r="AG1084" s="264">
        <f>IF(NFI_Expiration=1,IF($A1084&lt;VLOOKUP(P$5,NFI,5,0),1,0)*Table_NFI[[#This Row],[Plastic Bucket]],Table_NFI[Plastic Bucket])</f>
        <v>0</v>
      </c>
      <c r="AH1084" s="264">
        <f>IF(NFI_Expiration=1,IF($A1084&lt;VLOOKUP(Q$5,NFI,5,0),1,0)*Table_NFI[[#This Row],[Plastic Mat]],Table_NFI[Plastic Mat])*IF(Table_NFI[[#This Row],[Distribution Date]]&gt;"2014-04-01",1,2.5)</f>
        <v>0</v>
      </c>
      <c r="AI1084" s="264">
        <f>IF(NFI_Expiration=1,IF($A1084&lt;VLOOKUP(R$5,NFI,5,0),1,0)*Table_NFI[[#This Row],[Winter Clothes Adult]],Table_NFI[Winter Clothes Adult])</f>
        <v>0</v>
      </c>
      <c r="AJ1084" s="264">
        <f>IF(NFI_Expiration=1,IF($A1084&lt;VLOOKUP(S$5,NFI,5,0),1,0)*Table_NFI[[#This Row],[Winter Clothes Children]],Table_NFI[Winter Clothes Children])</f>
        <v>0</v>
      </c>
      <c r="AK1084" s="264">
        <f>IF(NFI_Expiration=1,IF($A1084&lt;VLOOKUP(T$5,NFI,5,0),1,0)*Table_NFI[[#This Row],[Winter Items Other]],Table_NFI[Winter Items Other])</f>
        <v>0</v>
      </c>
      <c r="AL1084" s="264">
        <f>IF(NFI_Expiration=1,IF($A1084&lt;VLOOKUP(M$5,NFI,5,0),1,0)*Table_NFI[[#This Row],[Winter Blanket]],Table_NFI[[#This Row],[Winter Blanket]])</f>
        <v>0</v>
      </c>
      <c r="AM1084" s="264">
        <f>IF(Table_NFI[[#This Row],[Winter Clothes Adult]]+Table_NFI[[#This Row],[Winter Clothes Children]]+Table_NFI[[#This Row],[Winter Items Other]]+Table_NFI[[#This Row],[Winter Blanket]]&gt;0,1,0)</f>
        <v>0</v>
      </c>
      <c r="AN1084" s="296">
        <f>IF(NFI_Expiration=1,IF($A1084&lt;VLOOKUP(V$5,NFI,5,0),1,0)*Table_NFI[[#This Row],[Jerry Can]],Table_NFI[Jerry Can])</f>
        <v>0</v>
      </c>
      <c r="AO1084" s="296">
        <f>IF(NFI_Expiration=1,IF($A1084&lt;VLOOKUP(V$5,NFI,5,0),1,0)*Table_NFI[[#This Row],[Shelter Tool kit]],Table_NFI[Shelter Tool kit])</f>
        <v>0</v>
      </c>
      <c r="AP1084" s="296">
        <f>IF(NFI_Expiration=1,IF($A1084&lt;VLOOKUP(V$5,NFI,5,0),1,0)*Table_NFI[[#This Row],[Tent]],Table_NFI[Tent])</f>
        <v>0</v>
      </c>
      <c r="AQ1084" s="396" t="str">
        <f>IFERROR(VLOOKUP(Table_NFI[[#This Row],[Camp Name]],CL,2,0),"")</f>
        <v>MMR001CMP200</v>
      </c>
      <c r="AR1084" s="702">
        <f ca="1">IF(Table_NFI[[#This Row],[Pcode]]="","",IF(OFFSET(CampList[Opening Date],MATCH(Table_NFI[[#This Row],[Pcode]],CampList[CP_Pcode],0)-1,0,1,1)&gt;=NFI_Monitor_Date,1,0))</f>
        <v>0</v>
      </c>
      <c r="AS1084" s="396" t="str">
        <f>IFERROR(VLOOKUP(Table_NFI[[#This Row],[Camp Name]],CL,3,0),"")</f>
        <v>Open</v>
      </c>
      <c r="AT1084" s="264" t="str">
        <f ca="1">IF(Table_NFI[[#This Row],[Pcode]]="","",OFFSET(CampList[Priority],MATCH(Table_NFI[[#This Row],[Pcode]],CampList[CP_Pcode],0)-1,0,1,1))</f>
        <v>P4</v>
      </c>
      <c r="AU1084" s="263" t="str">
        <f>IFERROR(Table_NFI[[#This Row],[Kitchen Set]]/VLOOKUP(Table_NFI[[#This Row],[Camp Name]],CL,4,0),"")</f>
        <v/>
      </c>
      <c r="AV1084" s="390"/>
      <c r="AW1084" s="392"/>
    </row>
    <row r="1085" spans="1:49" s="399" customFormat="1" ht="15.75" customHeight="1" x14ac:dyDescent="0.25">
      <c r="A1085" s="266">
        <f t="shared" si="16"/>
        <v>62.4</v>
      </c>
      <c r="B1085" s="389">
        <v>40984</v>
      </c>
      <c r="C1085" s="390" t="s">
        <v>904</v>
      </c>
      <c r="D1085" s="390" t="s">
        <v>1001</v>
      </c>
      <c r="E1085" s="390" t="s">
        <v>380</v>
      </c>
      <c r="F1085" s="262" t="s">
        <v>302</v>
      </c>
      <c r="G1085" s="262" t="s">
        <v>306</v>
      </c>
      <c r="H1085" s="261">
        <v>94</v>
      </c>
      <c r="I1085" s="261"/>
      <c r="J1085" s="261"/>
      <c r="K1085" s="261"/>
      <c r="L1085" s="261"/>
      <c r="M1085" s="261"/>
      <c r="N1085" s="261"/>
      <c r="O1085" s="261"/>
      <c r="P1085" s="261"/>
      <c r="Q1085" s="261"/>
      <c r="R1085" s="261"/>
      <c r="S1085" s="261"/>
      <c r="T1085" s="261"/>
      <c r="U1085" s="261"/>
      <c r="V1085" s="762"/>
      <c r="W1085" s="762"/>
      <c r="X1085" s="762"/>
      <c r="Y1085" s="264">
        <f>IF(NFI_Expiration=1,IF($A1085&lt;VLOOKUP(H$5,NFI,5,0),1,0)*Table_NFI[[#This Row],[Hygiene Kit]],Table_NFI[Hygiene Kit])</f>
        <v>0</v>
      </c>
      <c r="Z1085" s="264">
        <f>IF(NFI_Expiration=1,IF($A1085&lt;VLOOKUP(I$5,NFI,5,0),1,0)*Table_NFI[[#This Row],[NFI Core Kit]],Table_NFI[NFI Core Kit])</f>
        <v>0</v>
      </c>
      <c r="AA1085" s="264">
        <f>IF(NFI_Expiration=1,IF($A1085&lt;VLOOKUP(J$5,NFI,5,0),1,0)*Table_NFI[[#This Row],[Sanitary Kit]],Table_NFI[Sanitary Kit])</f>
        <v>0</v>
      </c>
      <c r="AB1085" s="264">
        <f>IF(NFI_Expiration=1,IF($A1085&lt;VLOOKUP(K$5,NFI,5,0),1,0)*Table_NFI[[#This Row],[Mosquito net]],Table_NFI[Mosquito net])</f>
        <v>0</v>
      </c>
      <c r="AC1085" s="264">
        <f>IF(NFI_Expiration=1,IF($A1085&lt;VLOOKUP(L$5,NFI,5,0),1,0)*Table_NFI[[#This Row],[Tarpaulin]],Table_NFI[[#This Row],[Tarpaulin]])</f>
        <v>0</v>
      </c>
      <c r="AD1085" s="264">
        <f>IF(NFI_Expiration=1,IF($A1085&lt;VLOOKUP(M$5,NFI,5,0),1,0)*Table_NFI[[#This Row],[Blanket]],Table_NFI[[#This Row],[Blanket]])</f>
        <v>0</v>
      </c>
      <c r="AE1085" s="264">
        <f>IF(NFI_Expiration=1,IF($A1085&lt;VLOOKUP(N$5,NFI,5,0),1,0)*Table_NFI[[#This Row],[Kitchen Set]],Table_NFI[Kitchen Set])</f>
        <v>0</v>
      </c>
      <c r="AF1085" s="264">
        <f>IF(NFI_Expiration=1,IF($A1085&lt;VLOOKUP(O$5,NFI,5,0),1,0)*Table_NFI[[#This Row],[Clothes Kit]],Table_NFI[Clothes Kit])</f>
        <v>0</v>
      </c>
      <c r="AG1085" s="264">
        <f>IF(NFI_Expiration=1,IF($A1085&lt;VLOOKUP(P$5,NFI,5,0),1,0)*Table_NFI[[#This Row],[Plastic Bucket]],Table_NFI[Plastic Bucket])</f>
        <v>0</v>
      </c>
      <c r="AH1085" s="264">
        <f>IF(NFI_Expiration=1,IF($A1085&lt;VLOOKUP(Q$5,NFI,5,0),1,0)*Table_NFI[[#This Row],[Plastic Mat]],Table_NFI[Plastic Mat])*IF(Table_NFI[[#This Row],[Distribution Date]]&gt;"2014-04-01",1,2.5)</f>
        <v>0</v>
      </c>
      <c r="AI1085" s="264">
        <f>IF(NFI_Expiration=1,IF($A1085&lt;VLOOKUP(R$5,NFI,5,0),1,0)*Table_NFI[[#This Row],[Winter Clothes Adult]],Table_NFI[Winter Clothes Adult])</f>
        <v>0</v>
      </c>
      <c r="AJ1085" s="264">
        <f>IF(NFI_Expiration=1,IF($A1085&lt;VLOOKUP(S$5,NFI,5,0),1,0)*Table_NFI[[#This Row],[Winter Clothes Children]],Table_NFI[Winter Clothes Children])</f>
        <v>0</v>
      </c>
      <c r="AK1085" s="264">
        <f>IF(NFI_Expiration=1,IF($A1085&lt;VLOOKUP(T$5,NFI,5,0),1,0)*Table_NFI[[#This Row],[Winter Items Other]],Table_NFI[Winter Items Other])</f>
        <v>0</v>
      </c>
      <c r="AL1085" s="264">
        <f>IF(NFI_Expiration=1,IF($A1085&lt;VLOOKUP(M$5,NFI,5,0),1,0)*Table_NFI[[#This Row],[Winter Blanket]],Table_NFI[[#This Row],[Winter Blanket]])</f>
        <v>0</v>
      </c>
      <c r="AM1085" s="264">
        <f>IF(Table_NFI[[#This Row],[Winter Clothes Adult]]+Table_NFI[[#This Row],[Winter Clothes Children]]+Table_NFI[[#This Row],[Winter Items Other]]+Table_NFI[[#This Row],[Winter Blanket]]&gt;0,1,0)</f>
        <v>0</v>
      </c>
      <c r="AN1085" s="296">
        <f>IF(NFI_Expiration=1,IF($A1085&lt;VLOOKUP(V$5,NFI,5,0),1,0)*Table_NFI[[#This Row],[Jerry Can]],Table_NFI[Jerry Can])</f>
        <v>0</v>
      </c>
      <c r="AO1085" s="296">
        <f>IF(NFI_Expiration=1,IF($A1085&lt;VLOOKUP(V$5,NFI,5,0),1,0)*Table_NFI[[#This Row],[Shelter Tool kit]],Table_NFI[Shelter Tool kit])</f>
        <v>0</v>
      </c>
      <c r="AP1085" s="296">
        <f>IF(NFI_Expiration=1,IF($A1085&lt;VLOOKUP(V$5,NFI,5,0),1,0)*Table_NFI[[#This Row],[Tent]],Table_NFI[Tent])</f>
        <v>0</v>
      </c>
      <c r="AQ1085" s="396" t="str">
        <f>IFERROR(VLOOKUP(Table_NFI[[#This Row],[Camp Name]],CL,2,0),"")</f>
        <v>MMR001CMP067</v>
      </c>
      <c r="AR1085" s="702">
        <f ca="1">IF(Table_NFI[[#This Row],[Pcode]]="","",IF(OFFSET(CampList[Opening Date],MATCH(Table_NFI[[#This Row],[Pcode]],CampList[CP_Pcode],0)-1,0,1,1)&gt;=NFI_Monitor_Date,1,0))</f>
        <v>0</v>
      </c>
      <c r="AS1085" s="396" t="str">
        <f>IFERROR(VLOOKUP(Table_NFI[[#This Row],[Camp Name]],CL,3,0),"")</f>
        <v>Open</v>
      </c>
      <c r="AT1085" s="264" t="str">
        <f ca="1">IF(Table_NFI[[#This Row],[Pcode]]="","",OFFSET(CampList[Priority],MATCH(Table_NFI[[#This Row],[Pcode]],CampList[CP_Pcode],0)-1,0,1,1))</f>
        <v>P4</v>
      </c>
      <c r="AU1085" s="263">
        <f>IFERROR(Table_NFI[[#This Row],[Kitchen Set]]/VLOOKUP(Table_NFI[[#This Row],[Camp Name]],CL,4,0),"")</f>
        <v>0</v>
      </c>
      <c r="AV1085" s="390"/>
      <c r="AW1085" s="392"/>
    </row>
    <row r="1086" spans="1:49" s="399" customFormat="1" ht="15.75" customHeight="1" x14ac:dyDescent="0.25">
      <c r="A1086" s="266">
        <f t="shared" si="16"/>
        <v>62.4</v>
      </c>
      <c r="B1086" s="389">
        <v>40984</v>
      </c>
      <c r="C1086" s="390" t="s">
        <v>904</v>
      </c>
      <c r="D1086" s="390" t="s">
        <v>1001</v>
      </c>
      <c r="E1086" s="390" t="s">
        <v>380</v>
      </c>
      <c r="F1086" s="262" t="s">
        <v>302</v>
      </c>
      <c r="G1086" s="262" t="s">
        <v>308</v>
      </c>
      <c r="H1086" s="261">
        <v>49</v>
      </c>
      <c r="I1086" s="261"/>
      <c r="J1086" s="261"/>
      <c r="K1086" s="261"/>
      <c r="L1086" s="261"/>
      <c r="M1086" s="261"/>
      <c r="N1086" s="261"/>
      <c r="O1086" s="261"/>
      <c r="P1086" s="261"/>
      <c r="Q1086" s="261"/>
      <c r="R1086" s="261"/>
      <c r="S1086" s="261"/>
      <c r="T1086" s="261"/>
      <c r="U1086" s="261"/>
      <c r="V1086" s="762"/>
      <c r="W1086" s="762"/>
      <c r="X1086" s="762"/>
      <c r="Y1086" s="264">
        <f>IF(NFI_Expiration=1,IF($A1086&lt;VLOOKUP(H$5,NFI,5,0),1,0)*Table_NFI[[#This Row],[Hygiene Kit]],Table_NFI[Hygiene Kit])</f>
        <v>0</v>
      </c>
      <c r="Z1086" s="264">
        <f>IF(NFI_Expiration=1,IF($A1086&lt;VLOOKUP(I$5,NFI,5,0),1,0)*Table_NFI[[#This Row],[NFI Core Kit]],Table_NFI[NFI Core Kit])</f>
        <v>0</v>
      </c>
      <c r="AA1086" s="264">
        <f>IF(NFI_Expiration=1,IF($A1086&lt;VLOOKUP(J$5,NFI,5,0),1,0)*Table_NFI[[#This Row],[Sanitary Kit]],Table_NFI[Sanitary Kit])</f>
        <v>0</v>
      </c>
      <c r="AB1086" s="264">
        <f>IF(NFI_Expiration=1,IF($A1086&lt;VLOOKUP(K$5,NFI,5,0),1,0)*Table_NFI[[#This Row],[Mosquito net]],Table_NFI[Mosquito net])</f>
        <v>0</v>
      </c>
      <c r="AC1086" s="264">
        <f>IF(NFI_Expiration=1,IF($A1086&lt;VLOOKUP(L$5,NFI,5,0),1,0)*Table_NFI[[#This Row],[Tarpaulin]],Table_NFI[[#This Row],[Tarpaulin]])</f>
        <v>0</v>
      </c>
      <c r="AD1086" s="264">
        <f>IF(NFI_Expiration=1,IF($A1086&lt;VLOOKUP(M$5,NFI,5,0),1,0)*Table_NFI[[#This Row],[Blanket]],Table_NFI[[#This Row],[Blanket]])</f>
        <v>0</v>
      </c>
      <c r="AE1086" s="264">
        <f>IF(NFI_Expiration=1,IF($A1086&lt;VLOOKUP(N$5,NFI,5,0),1,0)*Table_NFI[[#This Row],[Kitchen Set]],Table_NFI[Kitchen Set])</f>
        <v>0</v>
      </c>
      <c r="AF1086" s="264">
        <f>IF(NFI_Expiration=1,IF($A1086&lt;VLOOKUP(O$5,NFI,5,0),1,0)*Table_NFI[[#This Row],[Clothes Kit]],Table_NFI[Clothes Kit])</f>
        <v>0</v>
      </c>
      <c r="AG1086" s="264">
        <f>IF(NFI_Expiration=1,IF($A1086&lt;VLOOKUP(P$5,NFI,5,0),1,0)*Table_NFI[[#This Row],[Plastic Bucket]],Table_NFI[Plastic Bucket])</f>
        <v>0</v>
      </c>
      <c r="AH1086" s="264">
        <f>IF(NFI_Expiration=1,IF($A1086&lt;VLOOKUP(Q$5,NFI,5,0),1,0)*Table_NFI[[#This Row],[Plastic Mat]],Table_NFI[Plastic Mat])*IF(Table_NFI[[#This Row],[Distribution Date]]&gt;"2014-04-01",1,2.5)</f>
        <v>0</v>
      </c>
      <c r="AI1086" s="264">
        <f>IF(NFI_Expiration=1,IF($A1086&lt;VLOOKUP(R$5,NFI,5,0),1,0)*Table_NFI[[#This Row],[Winter Clothes Adult]],Table_NFI[Winter Clothes Adult])</f>
        <v>0</v>
      </c>
      <c r="AJ1086" s="264">
        <f>IF(NFI_Expiration=1,IF($A1086&lt;VLOOKUP(S$5,NFI,5,0),1,0)*Table_NFI[[#This Row],[Winter Clothes Children]],Table_NFI[Winter Clothes Children])</f>
        <v>0</v>
      </c>
      <c r="AK1086" s="264">
        <f>IF(NFI_Expiration=1,IF($A1086&lt;VLOOKUP(T$5,NFI,5,0),1,0)*Table_NFI[[#This Row],[Winter Items Other]],Table_NFI[Winter Items Other])</f>
        <v>0</v>
      </c>
      <c r="AL1086" s="264">
        <f>IF(NFI_Expiration=1,IF($A1086&lt;VLOOKUP(M$5,NFI,5,0),1,0)*Table_NFI[[#This Row],[Winter Blanket]],Table_NFI[[#This Row],[Winter Blanket]])</f>
        <v>0</v>
      </c>
      <c r="AM1086" s="264">
        <f>IF(Table_NFI[[#This Row],[Winter Clothes Adult]]+Table_NFI[[#This Row],[Winter Clothes Children]]+Table_NFI[[#This Row],[Winter Items Other]]+Table_NFI[[#This Row],[Winter Blanket]]&gt;0,1,0)</f>
        <v>0</v>
      </c>
      <c r="AN1086" s="296">
        <f>IF(NFI_Expiration=1,IF($A1086&lt;VLOOKUP(V$5,NFI,5,0),1,0)*Table_NFI[[#This Row],[Jerry Can]],Table_NFI[Jerry Can])</f>
        <v>0</v>
      </c>
      <c r="AO1086" s="296">
        <f>IF(NFI_Expiration=1,IF($A1086&lt;VLOOKUP(V$5,NFI,5,0),1,0)*Table_NFI[[#This Row],[Shelter Tool kit]],Table_NFI[Shelter Tool kit])</f>
        <v>0</v>
      </c>
      <c r="AP1086" s="296">
        <f>IF(NFI_Expiration=1,IF($A1086&lt;VLOOKUP(V$5,NFI,5,0),1,0)*Table_NFI[[#This Row],[Tent]],Table_NFI[Tent])</f>
        <v>0</v>
      </c>
      <c r="AQ1086" s="396" t="str">
        <f>IFERROR(VLOOKUP(Table_NFI[[#This Row],[Camp Name]],CL,2,0),"")</f>
        <v>MMR001CMP068</v>
      </c>
      <c r="AR1086" s="702">
        <f ca="1">IF(Table_NFI[[#This Row],[Pcode]]="","",IF(OFFSET(CampList[Opening Date],MATCH(Table_NFI[[#This Row],[Pcode]],CampList[CP_Pcode],0)-1,0,1,1)&gt;=NFI_Monitor_Date,1,0))</f>
        <v>0</v>
      </c>
      <c r="AS1086" s="396" t="str">
        <f>IFERROR(VLOOKUP(Table_NFI[[#This Row],[Camp Name]],CL,3,0),"")</f>
        <v>Open</v>
      </c>
      <c r="AT1086" s="264" t="str">
        <f ca="1">IF(Table_NFI[[#This Row],[Pcode]]="","",OFFSET(CampList[Priority],MATCH(Table_NFI[[#This Row],[Pcode]],CampList[CP_Pcode],0)-1,0,1,1))</f>
        <v>P4</v>
      </c>
      <c r="AU1086" s="263">
        <f>IFERROR(Table_NFI[[#This Row],[Kitchen Set]]/VLOOKUP(Table_NFI[[#This Row],[Camp Name]],CL,4,0),"")</f>
        <v>0</v>
      </c>
      <c r="AV1086" s="390"/>
      <c r="AW1086" s="392"/>
    </row>
    <row r="1087" spans="1:49" s="399" customFormat="1" ht="15.75" customHeight="1" x14ac:dyDescent="0.25">
      <c r="A1087" s="266">
        <f t="shared" si="16"/>
        <v>62.466666666666669</v>
      </c>
      <c r="B1087" s="389">
        <v>40982</v>
      </c>
      <c r="C1087" s="390" t="s">
        <v>904</v>
      </c>
      <c r="D1087" s="391" t="s">
        <v>904</v>
      </c>
      <c r="E1087" s="390" t="s">
        <v>380</v>
      </c>
      <c r="F1087" s="262" t="s">
        <v>5</v>
      </c>
      <c r="G1087" s="262" t="s">
        <v>22</v>
      </c>
      <c r="H1087" s="261">
        <v>2188</v>
      </c>
      <c r="I1087" s="261"/>
      <c r="J1087" s="261"/>
      <c r="K1087" s="261"/>
      <c r="L1087" s="261"/>
      <c r="M1087" s="261"/>
      <c r="N1087" s="261"/>
      <c r="O1087" s="261"/>
      <c r="P1087" s="261"/>
      <c r="Q1087" s="261"/>
      <c r="R1087" s="261"/>
      <c r="S1087" s="261"/>
      <c r="T1087" s="261"/>
      <c r="U1087" s="261"/>
      <c r="V1087" s="762"/>
      <c r="W1087" s="762"/>
      <c r="X1087" s="762"/>
      <c r="Y1087" s="264">
        <f>IF(NFI_Expiration=1,IF($A1087&lt;VLOOKUP(H$5,NFI,5,0),1,0)*Table_NFI[[#This Row],[Hygiene Kit]],Table_NFI[Hygiene Kit])</f>
        <v>0</v>
      </c>
      <c r="Z1087" s="264">
        <f>IF(NFI_Expiration=1,IF($A1087&lt;VLOOKUP(I$5,NFI,5,0),1,0)*Table_NFI[[#This Row],[NFI Core Kit]],Table_NFI[NFI Core Kit])</f>
        <v>0</v>
      </c>
      <c r="AA1087" s="264">
        <f>IF(NFI_Expiration=1,IF($A1087&lt;VLOOKUP(J$5,NFI,5,0),1,0)*Table_NFI[[#This Row],[Sanitary Kit]],Table_NFI[Sanitary Kit])</f>
        <v>0</v>
      </c>
      <c r="AB1087" s="264">
        <f>IF(NFI_Expiration=1,IF($A1087&lt;VLOOKUP(K$5,NFI,5,0),1,0)*Table_NFI[[#This Row],[Mosquito net]],Table_NFI[Mosquito net])</f>
        <v>0</v>
      </c>
      <c r="AC1087" s="264">
        <f>IF(NFI_Expiration=1,IF($A1087&lt;VLOOKUP(L$5,NFI,5,0),1,0)*Table_NFI[[#This Row],[Tarpaulin]],Table_NFI[[#This Row],[Tarpaulin]])</f>
        <v>0</v>
      </c>
      <c r="AD1087" s="264">
        <f>IF(NFI_Expiration=1,IF($A1087&lt;VLOOKUP(M$5,NFI,5,0),1,0)*Table_NFI[[#This Row],[Blanket]],Table_NFI[[#This Row],[Blanket]])</f>
        <v>0</v>
      </c>
      <c r="AE1087" s="264">
        <f>IF(NFI_Expiration=1,IF($A1087&lt;VLOOKUP(N$5,NFI,5,0),1,0)*Table_NFI[[#This Row],[Kitchen Set]],Table_NFI[Kitchen Set])</f>
        <v>0</v>
      </c>
      <c r="AF1087" s="264">
        <f>IF(NFI_Expiration=1,IF($A1087&lt;VLOOKUP(O$5,NFI,5,0),1,0)*Table_NFI[[#This Row],[Clothes Kit]],Table_NFI[Clothes Kit])</f>
        <v>0</v>
      </c>
      <c r="AG1087" s="264">
        <f>IF(NFI_Expiration=1,IF($A1087&lt;VLOOKUP(P$5,NFI,5,0),1,0)*Table_NFI[[#This Row],[Plastic Bucket]],Table_NFI[Plastic Bucket])</f>
        <v>0</v>
      </c>
      <c r="AH1087" s="264">
        <f>IF(NFI_Expiration=1,IF($A1087&lt;VLOOKUP(Q$5,NFI,5,0),1,0)*Table_NFI[[#This Row],[Plastic Mat]],Table_NFI[Plastic Mat])*IF(Table_NFI[[#This Row],[Distribution Date]]&gt;"2014-04-01",1,2.5)</f>
        <v>0</v>
      </c>
      <c r="AI1087" s="264">
        <f>IF(NFI_Expiration=1,IF($A1087&lt;VLOOKUP(R$5,NFI,5,0),1,0)*Table_NFI[[#This Row],[Winter Clothes Adult]],Table_NFI[Winter Clothes Adult])</f>
        <v>0</v>
      </c>
      <c r="AJ1087" s="264">
        <f>IF(NFI_Expiration=1,IF($A1087&lt;VLOOKUP(S$5,NFI,5,0),1,0)*Table_NFI[[#This Row],[Winter Clothes Children]],Table_NFI[Winter Clothes Children])</f>
        <v>0</v>
      </c>
      <c r="AK1087" s="264">
        <f>IF(NFI_Expiration=1,IF($A1087&lt;VLOOKUP(T$5,NFI,5,0),1,0)*Table_NFI[[#This Row],[Winter Items Other]],Table_NFI[Winter Items Other])</f>
        <v>0</v>
      </c>
      <c r="AL1087" s="264">
        <f>IF(NFI_Expiration=1,IF($A1087&lt;VLOOKUP(M$5,NFI,5,0),1,0)*Table_NFI[[#This Row],[Winter Blanket]],Table_NFI[[#This Row],[Winter Blanket]])</f>
        <v>0</v>
      </c>
      <c r="AM1087" s="264">
        <f>IF(Table_NFI[[#This Row],[Winter Clothes Adult]]+Table_NFI[[#This Row],[Winter Clothes Children]]+Table_NFI[[#This Row],[Winter Items Other]]+Table_NFI[[#This Row],[Winter Blanket]]&gt;0,1,0)</f>
        <v>0</v>
      </c>
      <c r="AN1087" s="296">
        <f>IF(NFI_Expiration=1,IF($A1087&lt;VLOOKUP(V$5,NFI,5,0),1,0)*Table_NFI[[#This Row],[Jerry Can]],Table_NFI[Jerry Can])</f>
        <v>0</v>
      </c>
      <c r="AO1087" s="296">
        <f>IF(NFI_Expiration=1,IF($A1087&lt;VLOOKUP(V$5,NFI,5,0),1,0)*Table_NFI[[#This Row],[Shelter Tool kit]],Table_NFI[Shelter Tool kit])</f>
        <v>0</v>
      </c>
      <c r="AP1087" s="296">
        <f>IF(NFI_Expiration=1,IF($A1087&lt;VLOOKUP(V$5,NFI,5,0),1,0)*Table_NFI[[#This Row],[Tent]],Table_NFI[Tent])</f>
        <v>0</v>
      </c>
      <c r="AQ1087" s="396" t="str">
        <f>IFERROR(VLOOKUP(Table_NFI[[#This Row],[Camp Name]],CL,2,0),"")</f>
        <v>MMR001CMP047</v>
      </c>
      <c r="AR1087" s="702">
        <f ca="1">IF(Table_NFI[[#This Row],[Pcode]]="","",IF(OFFSET(CampList[Opening Date],MATCH(Table_NFI[[#This Row],[Pcode]],CampList[CP_Pcode],0)-1,0,1,1)&gt;=NFI_Monitor_Date,1,0))</f>
        <v>0</v>
      </c>
      <c r="AS1087" s="396" t="str">
        <f>IFERROR(VLOOKUP(Table_NFI[[#This Row],[Camp Name]],CL,3,0),"")</f>
        <v>Open</v>
      </c>
      <c r="AT1087" s="264" t="str">
        <f ca="1">IF(Table_NFI[[#This Row],[Pcode]]="","",OFFSET(CampList[Priority],MATCH(Table_NFI[[#This Row],[Pcode]],CampList[CP_Pcode],0)-1,0,1,1))</f>
        <v>P4</v>
      </c>
      <c r="AU1087" s="263">
        <f>IFERROR(Table_NFI[[#This Row],[Kitchen Set]]/VLOOKUP(Table_NFI[[#This Row],[Camp Name]],CL,4,0),"")</f>
        <v>0</v>
      </c>
      <c r="AV1087" s="390"/>
      <c r="AW1087" s="392"/>
    </row>
    <row r="1088" spans="1:49" s="399" customFormat="1" ht="15.75" customHeight="1" x14ac:dyDescent="0.25">
      <c r="A1088" s="266">
        <f t="shared" si="16"/>
        <v>62.6</v>
      </c>
      <c r="B1088" s="389">
        <v>40978</v>
      </c>
      <c r="C1088" s="390" t="s">
        <v>904</v>
      </c>
      <c r="D1088" s="390"/>
      <c r="E1088" s="390" t="s">
        <v>380</v>
      </c>
      <c r="F1088" s="390" t="s">
        <v>185</v>
      </c>
      <c r="G1088" s="390" t="s">
        <v>227</v>
      </c>
      <c r="H1088" s="261">
        <v>36</v>
      </c>
      <c r="I1088" s="261"/>
      <c r="J1088" s="261"/>
      <c r="K1088" s="261"/>
      <c r="L1088" s="261"/>
      <c r="M1088" s="261"/>
      <c r="N1088" s="261"/>
      <c r="O1088" s="261"/>
      <c r="P1088" s="261"/>
      <c r="Q1088" s="261"/>
      <c r="R1088" s="261"/>
      <c r="S1088" s="261"/>
      <c r="T1088" s="261"/>
      <c r="U1088" s="261"/>
      <c r="V1088" s="762"/>
      <c r="W1088" s="762"/>
      <c r="X1088" s="762"/>
      <c r="Y1088" s="264">
        <f>IF(NFI_Expiration=1,IF($A1088&lt;VLOOKUP(H$5,NFI,5,0),1,0)*Table_NFI[[#This Row],[Hygiene Kit]],Table_NFI[Hygiene Kit])</f>
        <v>0</v>
      </c>
      <c r="Z1088" s="264">
        <f>IF(NFI_Expiration=1,IF($A1088&lt;VLOOKUP(I$5,NFI,5,0),1,0)*Table_NFI[[#This Row],[NFI Core Kit]],Table_NFI[NFI Core Kit])</f>
        <v>0</v>
      </c>
      <c r="AA1088" s="264">
        <f>IF(NFI_Expiration=1,IF($A1088&lt;VLOOKUP(J$5,NFI,5,0),1,0)*Table_NFI[[#This Row],[Sanitary Kit]],Table_NFI[Sanitary Kit])</f>
        <v>0</v>
      </c>
      <c r="AB1088" s="264">
        <f>IF(NFI_Expiration=1,IF($A1088&lt;VLOOKUP(K$5,NFI,5,0),1,0)*Table_NFI[[#This Row],[Mosquito net]],Table_NFI[Mosquito net])</f>
        <v>0</v>
      </c>
      <c r="AC1088" s="264">
        <f>IF(NFI_Expiration=1,IF($A1088&lt;VLOOKUP(L$5,NFI,5,0),1,0)*Table_NFI[[#This Row],[Tarpaulin]],Table_NFI[[#This Row],[Tarpaulin]])</f>
        <v>0</v>
      </c>
      <c r="AD1088" s="264">
        <f>IF(NFI_Expiration=1,IF($A1088&lt;VLOOKUP(M$5,NFI,5,0),1,0)*Table_NFI[[#This Row],[Blanket]],Table_NFI[[#This Row],[Blanket]])</f>
        <v>0</v>
      </c>
      <c r="AE1088" s="264">
        <f>IF(NFI_Expiration=1,IF($A1088&lt;VLOOKUP(N$5,NFI,5,0),1,0)*Table_NFI[[#This Row],[Kitchen Set]],Table_NFI[Kitchen Set])</f>
        <v>0</v>
      </c>
      <c r="AF1088" s="264">
        <f>IF(NFI_Expiration=1,IF($A1088&lt;VLOOKUP(O$5,NFI,5,0),1,0)*Table_NFI[[#This Row],[Clothes Kit]],Table_NFI[Clothes Kit])</f>
        <v>0</v>
      </c>
      <c r="AG1088" s="264">
        <f>IF(NFI_Expiration=1,IF($A1088&lt;VLOOKUP(P$5,NFI,5,0),1,0)*Table_NFI[[#This Row],[Plastic Bucket]],Table_NFI[Plastic Bucket])</f>
        <v>0</v>
      </c>
      <c r="AH1088" s="264">
        <f>IF(NFI_Expiration=1,IF($A1088&lt;VLOOKUP(Q$5,NFI,5,0),1,0)*Table_NFI[[#This Row],[Plastic Mat]],Table_NFI[Plastic Mat])*IF(Table_NFI[[#This Row],[Distribution Date]]&gt;"2014-04-01",1,2.5)</f>
        <v>0</v>
      </c>
      <c r="AI1088" s="264">
        <f>IF(NFI_Expiration=1,IF($A1088&lt;VLOOKUP(R$5,NFI,5,0),1,0)*Table_NFI[[#This Row],[Winter Clothes Adult]],Table_NFI[Winter Clothes Adult])</f>
        <v>0</v>
      </c>
      <c r="AJ1088" s="264">
        <f>IF(NFI_Expiration=1,IF($A1088&lt;VLOOKUP(S$5,NFI,5,0),1,0)*Table_NFI[[#This Row],[Winter Clothes Children]],Table_NFI[Winter Clothes Children])</f>
        <v>0</v>
      </c>
      <c r="AK1088" s="264">
        <f>IF(NFI_Expiration=1,IF($A1088&lt;VLOOKUP(T$5,NFI,5,0),1,0)*Table_NFI[[#This Row],[Winter Items Other]],Table_NFI[Winter Items Other])</f>
        <v>0</v>
      </c>
      <c r="AL1088" s="264">
        <f>IF(NFI_Expiration=1,IF($A1088&lt;VLOOKUP(M$5,NFI,5,0),1,0)*Table_NFI[[#This Row],[Winter Blanket]],Table_NFI[[#This Row],[Winter Blanket]])</f>
        <v>0</v>
      </c>
      <c r="AM1088" s="264">
        <f>IF(Table_NFI[[#This Row],[Winter Clothes Adult]]+Table_NFI[[#This Row],[Winter Clothes Children]]+Table_NFI[[#This Row],[Winter Items Other]]+Table_NFI[[#This Row],[Winter Blanket]]&gt;0,1,0)</f>
        <v>0</v>
      </c>
      <c r="AN1088" s="296">
        <f>IF(NFI_Expiration=1,IF($A1088&lt;VLOOKUP(V$5,NFI,5,0),1,0)*Table_NFI[[#This Row],[Jerry Can]],Table_NFI[Jerry Can])</f>
        <v>0</v>
      </c>
      <c r="AO1088" s="296">
        <f>IF(NFI_Expiration=1,IF($A1088&lt;VLOOKUP(V$5,NFI,5,0),1,0)*Table_NFI[[#This Row],[Shelter Tool kit]],Table_NFI[Shelter Tool kit])</f>
        <v>0</v>
      </c>
      <c r="AP1088" s="296">
        <f>IF(NFI_Expiration=1,IF($A1088&lt;VLOOKUP(V$5,NFI,5,0),1,0)*Table_NFI[[#This Row],[Tent]],Table_NFI[Tent])</f>
        <v>0</v>
      </c>
      <c r="AQ1088" s="396" t="str">
        <f>IFERROR(VLOOKUP(Table_NFI[[#This Row],[Camp Name]],CL,2,0),"")</f>
        <v>MMR001CMP060</v>
      </c>
      <c r="AR1088" s="702">
        <f ca="1">IF(Table_NFI[[#This Row],[Pcode]]="","",IF(OFFSET(CampList[Opening Date],MATCH(Table_NFI[[#This Row],[Pcode]],CampList[CP_Pcode],0)-1,0,1,1)&gt;=NFI_Monitor_Date,1,0))</f>
        <v>0</v>
      </c>
      <c r="AS1088" s="396" t="str">
        <f>IFERROR(VLOOKUP(Table_NFI[[#This Row],[Camp Name]],CL,3,0),"")</f>
        <v>Closed</v>
      </c>
      <c r="AT1088" s="264" t="str">
        <f ca="1">IF(Table_NFI[[#This Row],[Pcode]]="","",OFFSET(CampList[Priority],MATCH(Table_NFI[[#This Row],[Pcode]],CampList[CP_Pcode],0)-1,0,1,1))</f>
        <v>P4</v>
      </c>
      <c r="AU1088" s="263" t="str">
        <f>IFERROR(Table_NFI[[#This Row],[Kitchen Set]]/VLOOKUP(Table_NFI[[#This Row],[Camp Name]],CL,4,0),"")</f>
        <v/>
      </c>
      <c r="AV1088" s="390"/>
      <c r="AW1088" s="392"/>
    </row>
    <row r="1089" spans="1:49" s="399" customFormat="1" ht="15.75" customHeight="1" x14ac:dyDescent="0.25">
      <c r="A1089" s="266">
        <f t="shared" si="16"/>
        <v>62.7</v>
      </c>
      <c r="B1089" s="389">
        <v>40975</v>
      </c>
      <c r="C1089" s="390" t="s">
        <v>451</v>
      </c>
      <c r="D1089" s="391" t="s">
        <v>451</v>
      </c>
      <c r="E1089" s="390" t="s">
        <v>380</v>
      </c>
      <c r="F1089" s="262" t="s">
        <v>310</v>
      </c>
      <c r="G1089" s="262" t="s">
        <v>318</v>
      </c>
      <c r="H1089" s="261"/>
      <c r="I1089" s="261"/>
      <c r="J1089" s="261"/>
      <c r="K1089" s="261">
        <v>12</v>
      </c>
      <c r="L1089" s="261">
        <v>8</v>
      </c>
      <c r="M1089" s="261">
        <v>12</v>
      </c>
      <c r="N1089" s="261">
        <v>8</v>
      </c>
      <c r="O1089" s="261">
        <v>8</v>
      </c>
      <c r="P1089" s="261">
        <v>8</v>
      </c>
      <c r="Q1089" s="261">
        <v>8</v>
      </c>
      <c r="R1089" s="261"/>
      <c r="S1089" s="261"/>
      <c r="T1089" s="261"/>
      <c r="U1089" s="261"/>
      <c r="V1089" s="762"/>
      <c r="W1089" s="762"/>
      <c r="X1089" s="762"/>
      <c r="Y1089" s="264">
        <f>IF(NFI_Expiration=1,IF($A1089&lt;VLOOKUP(H$5,NFI,5,0),1,0)*Table_NFI[[#This Row],[Hygiene Kit]],Table_NFI[Hygiene Kit])</f>
        <v>0</v>
      </c>
      <c r="Z1089" s="264">
        <f>IF(NFI_Expiration=1,IF($A1089&lt;VLOOKUP(I$5,NFI,5,0),1,0)*Table_NFI[[#This Row],[NFI Core Kit]],Table_NFI[NFI Core Kit])</f>
        <v>0</v>
      </c>
      <c r="AA1089" s="264">
        <f>IF(NFI_Expiration=1,IF($A1089&lt;VLOOKUP(J$5,NFI,5,0),1,0)*Table_NFI[[#This Row],[Sanitary Kit]],Table_NFI[Sanitary Kit])</f>
        <v>0</v>
      </c>
      <c r="AB1089" s="264">
        <f>IF(NFI_Expiration=1,IF($A1089&lt;VLOOKUP(K$5,NFI,5,0),1,0)*Table_NFI[[#This Row],[Mosquito net]],Table_NFI[Mosquito net])</f>
        <v>0</v>
      </c>
      <c r="AC1089" s="264">
        <f>IF(NFI_Expiration=1,IF($A1089&lt;VLOOKUP(L$5,NFI,5,0),1,0)*Table_NFI[[#This Row],[Tarpaulin]],Table_NFI[[#This Row],[Tarpaulin]])</f>
        <v>0</v>
      </c>
      <c r="AD1089" s="264">
        <f>IF(NFI_Expiration=1,IF($A1089&lt;VLOOKUP(M$5,NFI,5,0),1,0)*Table_NFI[[#This Row],[Blanket]],Table_NFI[[#This Row],[Blanket]])</f>
        <v>0</v>
      </c>
      <c r="AE1089" s="264">
        <f>IF(NFI_Expiration=1,IF($A1089&lt;VLOOKUP(N$5,NFI,5,0),1,0)*Table_NFI[[#This Row],[Kitchen Set]],Table_NFI[Kitchen Set])</f>
        <v>0</v>
      </c>
      <c r="AF1089" s="264">
        <f>IF(NFI_Expiration=1,IF($A1089&lt;VLOOKUP(O$5,NFI,5,0),1,0)*Table_NFI[[#This Row],[Clothes Kit]],Table_NFI[Clothes Kit])</f>
        <v>0</v>
      </c>
      <c r="AG1089" s="264">
        <f>IF(NFI_Expiration=1,IF($A1089&lt;VLOOKUP(P$5,NFI,5,0),1,0)*Table_NFI[[#This Row],[Plastic Bucket]],Table_NFI[Plastic Bucket])</f>
        <v>0</v>
      </c>
      <c r="AH1089" s="264">
        <f>IF(NFI_Expiration=1,IF($A1089&lt;VLOOKUP(Q$5,NFI,5,0),1,0)*Table_NFI[[#This Row],[Plastic Mat]],Table_NFI[Plastic Mat])*IF(Table_NFI[[#This Row],[Distribution Date]]&gt;"2014-04-01",1,2.5)</f>
        <v>0</v>
      </c>
      <c r="AI1089" s="264">
        <f>IF(NFI_Expiration=1,IF($A1089&lt;VLOOKUP(R$5,NFI,5,0),1,0)*Table_NFI[[#This Row],[Winter Clothes Adult]],Table_NFI[Winter Clothes Adult])</f>
        <v>0</v>
      </c>
      <c r="AJ1089" s="264">
        <f>IF(NFI_Expiration=1,IF($A1089&lt;VLOOKUP(S$5,NFI,5,0),1,0)*Table_NFI[[#This Row],[Winter Clothes Children]],Table_NFI[Winter Clothes Children])</f>
        <v>0</v>
      </c>
      <c r="AK1089" s="264">
        <f>IF(NFI_Expiration=1,IF($A1089&lt;VLOOKUP(T$5,NFI,5,0),1,0)*Table_NFI[[#This Row],[Winter Items Other]],Table_NFI[Winter Items Other])</f>
        <v>0</v>
      </c>
      <c r="AL1089" s="264">
        <f>IF(NFI_Expiration=1,IF($A1089&lt;VLOOKUP(M$5,NFI,5,0),1,0)*Table_NFI[[#This Row],[Winter Blanket]],Table_NFI[[#This Row],[Winter Blanket]])</f>
        <v>0</v>
      </c>
      <c r="AM1089" s="264">
        <f>IF(Table_NFI[[#This Row],[Winter Clothes Adult]]+Table_NFI[[#This Row],[Winter Clothes Children]]+Table_NFI[[#This Row],[Winter Items Other]]+Table_NFI[[#This Row],[Winter Blanket]]&gt;0,1,0)</f>
        <v>0</v>
      </c>
      <c r="AN1089" s="296">
        <f>IF(NFI_Expiration=1,IF($A1089&lt;VLOOKUP(V$5,NFI,5,0),1,0)*Table_NFI[[#This Row],[Jerry Can]],Table_NFI[Jerry Can])</f>
        <v>0</v>
      </c>
      <c r="AO1089" s="296">
        <f>IF(NFI_Expiration=1,IF($A1089&lt;VLOOKUP(V$5,NFI,5,0),1,0)*Table_NFI[[#This Row],[Shelter Tool kit]],Table_NFI[Shelter Tool kit])</f>
        <v>0</v>
      </c>
      <c r="AP1089" s="296">
        <f>IF(NFI_Expiration=1,IF($A1089&lt;VLOOKUP(V$5,NFI,5,0),1,0)*Table_NFI[[#This Row],[Tent]],Table_NFI[Tent])</f>
        <v>0</v>
      </c>
      <c r="AQ1089" s="396" t="str">
        <f>IFERROR(VLOOKUP(Table_NFI[[#This Row],[Camp Name]],CL,2,0),"")</f>
        <v>MMR001CMP032</v>
      </c>
      <c r="AR1089" s="702">
        <f ca="1">IF(Table_NFI[[#This Row],[Pcode]]="","",IF(OFFSET(CampList[Opening Date],MATCH(Table_NFI[[#This Row],[Pcode]],CampList[CP_Pcode],0)-1,0,1,1)&gt;=NFI_Monitor_Date,1,0))</f>
        <v>0</v>
      </c>
      <c r="AS1089" s="396" t="str">
        <f>IFERROR(VLOOKUP(Table_NFI[[#This Row],[Camp Name]],CL,3,0),"")</f>
        <v>Open</v>
      </c>
      <c r="AT1089" s="264" t="str">
        <f ca="1">IF(Table_NFI[[#This Row],[Pcode]]="","",OFFSET(CampList[Priority],MATCH(Table_NFI[[#This Row],[Pcode]],CampList[CP_Pcode],0)-1,0,1,1))</f>
        <v>P4</v>
      </c>
      <c r="AU1089" s="263">
        <f>IFERROR(Table_NFI[[#This Row],[Kitchen Set]]/VLOOKUP(Table_NFI[[#This Row],[Camp Name]],CL,4,0),"")</f>
        <v>1.9643953345610803E-4</v>
      </c>
      <c r="AV1089" s="390" t="s">
        <v>1087</v>
      </c>
      <c r="AW1089" s="392"/>
    </row>
    <row r="1090" spans="1:49" s="399" customFormat="1" ht="15.75" customHeight="1" x14ac:dyDescent="0.25">
      <c r="A1090" s="266">
        <f t="shared" si="16"/>
        <v>62.7</v>
      </c>
      <c r="B1090" s="389">
        <v>40975</v>
      </c>
      <c r="C1090" s="390" t="s">
        <v>451</v>
      </c>
      <c r="D1090" s="390" t="s">
        <v>451</v>
      </c>
      <c r="E1090" s="390" t="s">
        <v>380</v>
      </c>
      <c r="F1090" s="390" t="s">
        <v>310</v>
      </c>
      <c r="G1090" s="262" t="s">
        <v>349</v>
      </c>
      <c r="H1090" s="261"/>
      <c r="I1090" s="261"/>
      <c r="J1090" s="261"/>
      <c r="K1090" s="261">
        <v>38</v>
      </c>
      <c r="L1090" s="261">
        <v>18</v>
      </c>
      <c r="M1090" s="261">
        <v>38</v>
      </c>
      <c r="N1090" s="261">
        <v>17</v>
      </c>
      <c r="O1090" s="261">
        <v>18</v>
      </c>
      <c r="P1090" s="261">
        <v>18</v>
      </c>
      <c r="Q1090" s="261">
        <v>18</v>
      </c>
      <c r="R1090" s="261"/>
      <c r="S1090" s="261"/>
      <c r="T1090" s="261"/>
      <c r="U1090" s="261"/>
      <c r="V1090" s="762"/>
      <c r="W1090" s="762"/>
      <c r="X1090" s="762"/>
      <c r="Y1090" s="264">
        <f>IF(NFI_Expiration=1,IF($A1090&lt;VLOOKUP(H$5,NFI,5,0),1,0)*Table_NFI[[#This Row],[Hygiene Kit]],Table_NFI[Hygiene Kit])</f>
        <v>0</v>
      </c>
      <c r="Z1090" s="264">
        <f>IF(NFI_Expiration=1,IF($A1090&lt;VLOOKUP(I$5,NFI,5,0),1,0)*Table_NFI[[#This Row],[NFI Core Kit]],Table_NFI[NFI Core Kit])</f>
        <v>0</v>
      </c>
      <c r="AA1090" s="264">
        <f>IF(NFI_Expiration=1,IF($A1090&lt;VLOOKUP(J$5,NFI,5,0),1,0)*Table_NFI[[#This Row],[Sanitary Kit]],Table_NFI[Sanitary Kit])</f>
        <v>0</v>
      </c>
      <c r="AB1090" s="264">
        <f>IF(NFI_Expiration=1,IF($A1090&lt;VLOOKUP(K$5,NFI,5,0),1,0)*Table_NFI[[#This Row],[Mosquito net]],Table_NFI[Mosquito net])</f>
        <v>0</v>
      </c>
      <c r="AC1090" s="264">
        <f>IF(NFI_Expiration=1,IF($A1090&lt;VLOOKUP(L$5,NFI,5,0),1,0)*Table_NFI[[#This Row],[Tarpaulin]],Table_NFI[[#This Row],[Tarpaulin]])</f>
        <v>0</v>
      </c>
      <c r="AD1090" s="264">
        <f>IF(NFI_Expiration=1,IF($A1090&lt;VLOOKUP(M$5,NFI,5,0),1,0)*Table_NFI[[#This Row],[Blanket]],Table_NFI[[#This Row],[Blanket]])</f>
        <v>0</v>
      </c>
      <c r="AE1090" s="264">
        <f>IF(NFI_Expiration=1,IF($A1090&lt;VLOOKUP(N$5,NFI,5,0),1,0)*Table_NFI[[#This Row],[Kitchen Set]],Table_NFI[Kitchen Set])</f>
        <v>0</v>
      </c>
      <c r="AF1090" s="264">
        <f>IF(NFI_Expiration=1,IF($A1090&lt;VLOOKUP(O$5,NFI,5,0),1,0)*Table_NFI[[#This Row],[Clothes Kit]],Table_NFI[Clothes Kit])</f>
        <v>0</v>
      </c>
      <c r="AG1090" s="264">
        <f>IF(NFI_Expiration=1,IF($A1090&lt;VLOOKUP(P$5,NFI,5,0),1,0)*Table_NFI[[#This Row],[Plastic Bucket]],Table_NFI[Plastic Bucket])</f>
        <v>0</v>
      </c>
      <c r="AH1090" s="264">
        <f>IF(NFI_Expiration=1,IF($A1090&lt;VLOOKUP(Q$5,NFI,5,0),1,0)*Table_NFI[[#This Row],[Plastic Mat]],Table_NFI[Plastic Mat])*IF(Table_NFI[[#This Row],[Distribution Date]]&gt;"2014-04-01",1,2.5)</f>
        <v>0</v>
      </c>
      <c r="AI1090" s="264">
        <f>IF(NFI_Expiration=1,IF($A1090&lt;VLOOKUP(R$5,NFI,5,0),1,0)*Table_NFI[[#This Row],[Winter Clothes Adult]],Table_NFI[Winter Clothes Adult])</f>
        <v>0</v>
      </c>
      <c r="AJ1090" s="264">
        <f>IF(NFI_Expiration=1,IF($A1090&lt;VLOOKUP(S$5,NFI,5,0),1,0)*Table_NFI[[#This Row],[Winter Clothes Children]],Table_NFI[Winter Clothes Children])</f>
        <v>0</v>
      </c>
      <c r="AK1090" s="264">
        <f>IF(NFI_Expiration=1,IF($A1090&lt;VLOOKUP(T$5,NFI,5,0),1,0)*Table_NFI[[#This Row],[Winter Items Other]],Table_NFI[Winter Items Other])</f>
        <v>0</v>
      </c>
      <c r="AL1090" s="264">
        <f>IF(NFI_Expiration=1,IF($A1090&lt;VLOOKUP(M$5,NFI,5,0),1,0)*Table_NFI[[#This Row],[Winter Blanket]],Table_NFI[[#This Row],[Winter Blanket]])</f>
        <v>0</v>
      </c>
      <c r="AM1090" s="264">
        <f>IF(Table_NFI[[#This Row],[Winter Clothes Adult]]+Table_NFI[[#This Row],[Winter Clothes Children]]+Table_NFI[[#This Row],[Winter Items Other]]+Table_NFI[[#This Row],[Winter Blanket]]&gt;0,1,0)</f>
        <v>0</v>
      </c>
      <c r="AN1090" s="296">
        <f>IF(NFI_Expiration=1,IF($A1090&lt;VLOOKUP(V$5,NFI,5,0),1,0)*Table_NFI[[#This Row],[Jerry Can]],Table_NFI[Jerry Can])</f>
        <v>0</v>
      </c>
      <c r="AO1090" s="296">
        <f>IF(NFI_Expiration=1,IF($A1090&lt;VLOOKUP(V$5,NFI,5,0),1,0)*Table_NFI[[#This Row],[Shelter Tool kit]],Table_NFI[Shelter Tool kit])</f>
        <v>0</v>
      </c>
      <c r="AP1090" s="296">
        <f>IF(NFI_Expiration=1,IF($A1090&lt;VLOOKUP(V$5,NFI,5,0),1,0)*Table_NFI[[#This Row],[Tent]],Table_NFI[Tent])</f>
        <v>0</v>
      </c>
      <c r="AQ1090" s="396" t="str">
        <f>IFERROR(VLOOKUP(Table_NFI[[#This Row],[Camp Name]],CL,2,0),"")</f>
        <v>MMR001CMP037</v>
      </c>
      <c r="AR1090" s="702">
        <f ca="1">IF(Table_NFI[[#This Row],[Pcode]]="","",IF(OFFSET(CampList[Opening Date],MATCH(Table_NFI[[#This Row],[Pcode]],CampList[CP_Pcode],0)-1,0,1,1)&gt;=NFI_Monitor_Date,1,0))</f>
        <v>0</v>
      </c>
      <c r="AS1090" s="396" t="str">
        <f>IFERROR(VLOOKUP(Table_NFI[[#This Row],[Camp Name]],CL,3,0),"")</f>
        <v>Open</v>
      </c>
      <c r="AT1090" s="264" t="str">
        <f ca="1">IF(Table_NFI[[#This Row],[Pcode]]="","",OFFSET(CampList[Priority],MATCH(Table_NFI[[#This Row],[Pcode]],CampList[CP_Pcode],0)-1,0,1,1))</f>
        <v>P4</v>
      </c>
      <c r="AU1090" s="263">
        <f>IFERROR(Table_NFI[[#This Row],[Kitchen Set]]/VLOOKUP(Table_NFI[[#This Row],[Camp Name]],CL,4,0),"")</f>
        <v>4.1617704661182925E-4</v>
      </c>
      <c r="AV1090" s="390" t="s">
        <v>1087</v>
      </c>
      <c r="AW1090" s="392"/>
    </row>
    <row r="1091" spans="1:49" s="399" customFormat="1" ht="14.45" customHeight="1" x14ac:dyDescent="0.25">
      <c r="A1091" s="266">
        <f t="shared" si="16"/>
        <v>63</v>
      </c>
      <c r="B1091" s="389">
        <v>40966</v>
      </c>
      <c r="C1091" s="390" t="s">
        <v>451</v>
      </c>
      <c r="D1091" s="391" t="s">
        <v>901</v>
      </c>
      <c r="E1091" s="390" t="s">
        <v>380</v>
      </c>
      <c r="F1091" s="262" t="s">
        <v>237</v>
      </c>
      <c r="G1091" s="262" t="s">
        <v>283</v>
      </c>
      <c r="H1091" s="261"/>
      <c r="I1091" s="261"/>
      <c r="J1091" s="261"/>
      <c r="K1091" s="261">
        <v>34</v>
      </c>
      <c r="L1091" s="261">
        <v>0</v>
      </c>
      <c r="M1091" s="261">
        <v>34</v>
      </c>
      <c r="N1091" s="261">
        <v>0</v>
      </c>
      <c r="O1091" s="261">
        <v>34</v>
      </c>
      <c r="P1091" s="261">
        <v>34</v>
      </c>
      <c r="Q1091" s="261">
        <v>34</v>
      </c>
      <c r="R1091" s="261"/>
      <c r="S1091" s="261"/>
      <c r="T1091" s="261"/>
      <c r="U1091" s="261"/>
      <c r="V1091" s="762"/>
      <c r="W1091" s="762"/>
      <c r="X1091" s="762"/>
      <c r="Y1091" s="264">
        <f>IF(NFI_Expiration=1,IF($A1091&lt;VLOOKUP(H$5,NFI,5,0),1,0)*Table_NFI[[#This Row],[Hygiene Kit]],Table_NFI[Hygiene Kit])</f>
        <v>0</v>
      </c>
      <c r="Z1091" s="264">
        <f>IF(NFI_Expiration=1,IF($A1091&lt;VLOOKUP(I$5,NFI,5,0),1,0)*Table_NFI[[#This Row],[NFI Core Kit]],Table_NFI[NFI Core Kit])</f>
        <v>0</v>
      </c>
      <c r="AA1091" s="264">
        <f>IF(NFI_Expiration=1,IF($A1091&lt;VLOOKUP(J$5,NFI,5,0),1,0)*Table_NFI[[#This Row],[Sanitary Kit]],Table_NFI[Sanitary Kit])</f>
        <v>0</v>
      </c>
      <c r="AB1091" s="264">
        <f>IF(NFI_Expiration=1,IF($A1091&lt;VLOOKUP(K$5,NFI,5,0),1,0)*Table_NFI[[#This Row],[Mosquito net]],Table_NFI[Mosquito net])</f>
        <v>0</v>
      </c>
      <c r="AC1091" s="264">
        <f>IF(NFI_Expiration=1,IF($A1091&lt;VLOOKUP(L$5,NFI,5,0),1,0)*Table_NFI[[#This Row],[Tarpaulin]],Table_NFI[[#This Row],[Tarpaulin]])</f>
        <v>0</v>
      </c>
      <c r="AD1091" s="264">
        <f>IF(NFI_Expiration=1,IF($A1091&lt;VLOOKUP(M$5,NFI,5,0),1,0)*Table_NFI[[#This Row],[Blanket]],Table_NFI[[#This Row],[Blanket]])</f>
        <v>0</v>
      </c>
      <c r="AE1091" s="264">
        <f>IF(NFI_Expiration=1,IF($A1091&lt;VLOOKUP(N$5,NFI,5,0),1,0)*Table_NFI[[#This Row],[Kitchen Set]],Table_NFI[Kitchen Set])</f>
        <v>0</v>
      </c>
      <c r="AF1091" s="264">
        <f>IF(NFI_Expiration=1,IF($A1091&lt;VLOOKUP(O$5,NFI,5,0),1,0)*Table_NFI[[#This Row],[Clothes Kit]],Table_NFI[Clothes Kit])</f>
        <v>0</v>
      </c>
      <c r="AG1091" s="264">
        <f>IF(NFI_Expiration=1,IF($A1091&lt;VLOOKUP(P$5,NFI,5,0),1,0)*Table_NFI[[#This Row],[Plastic Bucket]],Table_NFI[Plastic Bucket])</f>
        <v>0</v>
      </c>
      <c r="AH1091" s="264">
        <f>IF(NFI_Expiration=1,IF($A1091&lt;VLOOKUP(Q$5,NFI,5,0),1,0)*Table_NFI[[#This Row],[Plastic Mat]],Table_NFI[Plastic Mat])*IF(Table_NFI[[#This Row],[Distribution Date]]&gt;"2014-04-01",1,2.5)</f>
        <v>0</v>
      </c>
      <c r="AI1091" s="264">
        <f>IF(NFI_Expiration=1,IF($A1091&lt;VLOOKUP(R$5,NFI,5,0),1,0)*Table_NFI[[#This Row],[Winter Clothes Adult]],Table_NFI[Winter Clothes Adult])</f>
        <v>0</v>
      </c>
      <c r="AJ1091" s="264">
        <f>IF(NFI_Expiration=1,IF($A1091&lt;VLOOKUP(S$5,NFI,5,0),1,0)*Table_NFI[[#This Row],[Winter Clothes Children]],Table_NFI[Winter Clothes Children])</f>
        <v>0</v>
      </c>
      <c r="AK1091" s="264">
        <f>IF(NFI_Expiration=1,IF($A1091&lt;VLOOKUP(T$5,NFI,5,0),1,0)*Table_NFI[[#This Row],[Winter Items Other]],Table_NFI[Winter Items Other])</f>
        <v>0</v>
      </c>
      <c r="AL1091" s="264">
        <f>IF(NFI_Expiration=1,IF($A1091&lt;VLOOKUP(M$5,NFI,5,0),1,0)*Table_NFI[[#This Row],[Winter Blanket]],Table_NFI[[#This Row],[Winter Blanket]])</f>
        <v>0</v>
      </c>
      <c r="AM1091" s="264">
        <f>IF(Table_NFI[[#This Row],[Winter Clothes Adult]]+Table_NFI[[#This Row],[Winter Clothes Children]]+Table_NFI[[#This Row],[Winter Items Other]]+Table_NFI[[#This Row],[Winter Blanket]]&gt;0,1,0)</f>
        <v>0</v>
      </c>
      <c r="AN1091" s="296">
        <f>IF(NFI_Expiration=1,IF($A1091&lt;VLOOKUP(V$5,NFI,5,0),1,0)*Table_NFI[[#This Row],[Jerry Can]],Table_NFI[Jerry Can])</f>
        <v>0</v>
      </c>
      <c r="AO1091" s="296">
        <f>IF(NFI_Expiration=1,IF($A1091&lt;VLOOKUP(V$5,NFI,5,0),1,0)*Table_NFI[[#This Row],[Shelter Tool kit]],Table_NFI[Shelter Tool kit])</f>
        <v>0</v>
      </c>
      <c r="AP1091" s="296">
        <f>IF(NFI_Expiration=1,IF($A1091&lt;VLOOKUP(V$5,NFI,5,0),1,0)*Table_NFI[[#This Row],[Tent]],Table_NFI[Tent])</f>
        <v>0</v>
      </c>
      <c r="AQ1091" s="396" t="str">
        <f>IFERROR(VLOOKUP(Table_NFI[[#This Row],[Camp Name]],CL,2,0),"")</f>
        <v>MMR001CMP022</v>
      </c>
      <c r="AR1091" s="702">
        <f ca="1">IF(Table_NFI[[#This Row],[Pcode]]="","",IF(OFFSET(CampList[Opening Date],MATCH(Table_NFI[[#This Row],[Pcode]],CampList[CP_Pcode],0)-1,0,1,1)&gt;=NFI_Monitor_Date,1,0))</f>
        <v>0</v>
      </c>
      <c r="AS1091" s="396" t="str">
        <f>IFERROR(VLOOKUP(Table_NFI[[#This Row],[Camp Name]],CL,3,0),"")</f>
        <v>Open</v>
      </c>
      <c r="AT1091" s="264" t="str">
        <f ca="1">IF(Table_NFI[[#This Row],[Pcode]]="","",OFFSET(CampList[Priority],MATCH(Table_NFI[[#This Row],[Pcode]],CampList[CP_Pcode],0)-1,0,1,1))</f>
        <v>P4</v>
      </c>
      <c r="AU1091" s="263">
        <f>IFERROR(Table_NFI[[#This Row],[Kitchen Set]]/VLOOKUP(Table_NFI[[#This Row],[Camp Name]],CL,4,0),"")</f>
        <v>0</v>
      </c>
      <c r="AV1091" s="390" t="s">
        <v>1087</v>
      </c>
      <c r="AW1091" s="392"/>
    </row>
    <row r="1092" spans="1:49" s="399" customFormat="1" ht="15.75" customHeight="1" x14ac:dyDescent="0.25">
      <c r="A1092" s="266">
        <f t="shared" si="16"/>
        <v>63.033333333333331</v>
      </c>
      <c r="B1092" s="389">
        <v>40965</v>
      </c>
      <c r="C1092" s="390" t="s">
        <v>451</v>
      </c>
      <c r="D1092" s="390" t="s">
        <v>451</v>
      </c>
      <c r="E1092" s="390" t="s">
        <v>380</v>
      </c>
      <c r="F1092" s="390" t="s">
        <v>237</v>
      </c>
      <c r="G1092" s="262" t="s">
        <v>915</v>
      </c>
      <c r="H1092" s="261"/>
      <c r="I1092" s="261"/>
      <c r="J1092" s="261"/>
      <c r="K1092" s="261">
        <v>25</v>
      </c>
      <c r="L1092" s="261">
        <v>18</v>
      </c>
      <c r="M1092" s="261">
        <v>25</v>
      </c>
      <c r="N1092" s="261">
        <v>18</v>
      </c>
      <c r="O1092" s="261">
        <v>18</v>
      </c>
      <c r="P1092" s="261">
        <v>18</v>
      </c>
      <c r="Q1092" s="261">
        <v>18</v>
      </c>
      <c r="R1092" s="261"/>
      <c r="S1092" s="261"/>
      <c r="T1092" s="261"/>
      <c r="U1092" s="261"/>
      <c r="V1092" s="762"/>
      <c r="W1092" s="762"/>
      <c r="X1092" s="762"/>
      <c r="Y1092" s="264">
        <f>IF(NFI_Expiration=1,IF($A1092&lt;VLOOKUP(H$5,NFI,5,0),1,0)*Table_NFI[[#This Row],[Hygiene Kit]],Table_NFI[Hygiene Kit])</f>
        <v>0</v>
      </c>
      <c r="Z1092" s="264">
        <f>IF(NFI_Expiration=1,IF($A1092&lt;VLOOKUP(I$5,NFI,5,0),1,0)*Table_NFI[[#This Row],[NFI Core Kit]],Table_NFI[NFI Core Kit])</f>
        <v>0</v>
      </c>
      <c r="AA1092" s="264">
        <f>IF(NFI_Expiration=1,IF($A1092&lt;VLOOKUP(J$5,NFI,5,0),1,0)*Table_NFI[[#This Row],[Sanitary Kit]],Table_NFI[Sanitary Kit])</f>
        <v>0</v>
      </c>
      <c r="AB1092" s="264">
        <f>IF(NFI_Expiration=1,IF($A1092&lt;VLOOKUP(K$5,NFI,5,0),1,0)*Table_NFI[[#This Row],[Mosquito net]],Table_NFI[Mosquito net])</f>
        <v>0</v>
      </c>
      <c r="AC1092" s="264">
        <f>IF(NFI_Expiration=1,IF($A1092&lt;VLOOKUP(L$5,NFI,5,0),1,0)*Table_NFI[[#This Row],[Tarpaulin]],Table_NFI[[#This Row],[Tarpaulin]])</f>
        <v>0</v>
      </c>
      <c r="AD1092" s="264">
        <f>IF(NFI_Expiration=1,IF($A1092&lt;VLOOKUP(M$5,NFI,5,0),1,0)*Table_NFI[[#This Row],[Blanket]],Table_NFI[[#This Row],[Blanket]])</f>
        <v>0</v>
      </c>
      <c r="AE1092" s="264">
        <f>IF(NFI_Expiration=1,IF($A1092&lt;VLOOKUP(N$5,NFI,5,0),1,0)*Table_NFI[[#This Row],[Kitchen Set]],Table_NFI[Kitchen Set])</f>
        <v>0</v>
      </c>
      <c r="AF1092" s="264">
        <f>IF(NFI_Expiration=1,IF($A1092&lt;VLOOKUP(O$5,NFI,5,0),1,0)*Table_NFI[[#This Row],[Clothes Kit]],Table_NFI[Clothes Kit])</f>
        <v>0</v>
      </c>
      <c r="AG1092" s="264">
        <f>IF(NFI_Expiration=1,IF($A1092&lt;VLOOKUP(P$5,NFI,5,0),1,0)*Table_NFI[[#This Row],[Plastic Bucket]],Table_NFI[Plastic Bucket])</f>
        <v>0</v>
      </c>
      <c r="AH1092" s="264">
        <f>IF(NFI_Expiration=1,IF($A1092&lt;VLOOKUP(Q$5,NFI,5,0),1,0)*Table_NFI[[#This Row],[Plastic Mat]],Table_NFI[Plastic Mat])*IF(Table_NFI[[#This Row],[Distribution Date]]&gt;"2014-04-01",1,2.5)</f>
        <v>0</v>
      </c>
      <c r="AI1092" s="264">
        <f>IF(NFI_Expiration=1,IF($A1092&lt;VLOOKUP(R$5,NFI,5,0),1,0)*Table_NFI[[#This Row],[Winter Clothes Adult]],Table_NFI[Winter Clothes Adult])</f>
        <v>0</v>
      </c>
      <c r="AJ1092" s="264">
        <f>IF(NFI_Expiration=1,IF($A1092&lt;VLOOKUP(S$5,NFI,5,0),1,0)*Table_NFI[[#This Row],[Winter Clothes Children]],Table_NFI[Winter Clothes Children])</f>
        <v>0</v>
      </c>
      <c r="AK1092" s="264">
        <f>IF(NFI_Expiration=1,IF($A1092&lt;VLOOKUP(T$5,NFI,5,0),1,0)*Table_NFI[[#This Row],[Winter Items Other]],Table_NFI[Winter Items Other])</f>
        <v>0</v>
      </c>
      <c r="AL1092" s="264">
        <f>IF(NFI_Expiration=1,IF($A1092&lt;VLOOKUP(M$5,NFI,5,0),1,0)*Table_NFI[[#This Row],[Winter Blanket]],Table_NFI[[#This Row],[Winter Blanket]])</f>
        <v>0</v>
      </c>
      <c r="AM1092" s="264">
        <f>IF(Table_NFI[[#This Row],[Winter Clothes Adult]]+Table_NFI[[#This Row],[Winter Clothes Children]]+Table_NFI[[#This Row],[Winter Items Other]]+Table_NFI[[#This Row],[Winter Blanket]]&gt;0,1,0)</f>
        <v>0</v>
      </c>
      <c r="AN1092" s="296">
        <f>IF(NFI_Expiration=1,IF($A1092&lt;VLOOKUP(V$5,NFI,5,0),1,0)*Table_NFI[[#This Row],[Jerry Can]],Table_NFI[Jerry Can])</f>
        <v>0</v>
      </c>
      <c r="AO1092" s="296">
        <f>IF(NFI_Expiration=1,IF($A1092&lt;VLOOKUP(V$5,NFI,5,0),1,0)*Table_NFI[[#This Row],[Shelter Tool kit]],Table_NFI[Shelter Tool kit])</f>
        <v>0</v>
      </c>
      <c r="AP1092" s="296">
        <f>IF(NFI_Expiration=1,IF($A1092&lt;VLOOKUP(V$5,NFI,5,0),1,0)*Table_NFI[[#This Row],[Tent]],Table_NFI[Tent])</f>
        <v>0</v>
      </c>
      <c r="AQ1092" s="396" t="str">
        <f>IFERROR(VLOOKUP(Table_NFI[[#This Row],[Camp Name]],CL,2,0),"")</f>
        <v/>
      </c>
      <c r="AR1092" s="702" t="str">
        <f ca="1">IF(Table_NFI[[#This Row],[Pcode]]="","",IF(OFFSET(CampList[Opening Date],MATCH(Table_NFI[[#This Row],[Pcode]],CampList[CP_Pcode],0)-1,0,1,1)&gt;=NFI_Monitor_Date,1,0))</f>
        <v/>
      </c>
      <c r="AS1092" s="396" t="str">
        <f>IFERROR(VLOOKUP(Table_NFI[[#This Row],[Camp Name]],CL,3,0),"")</f>
        <v/>
      </c>
      <c r="AT1092" s="264" t="str">
        <f ca="1">IF(Table_NFI[[#This Row],[Pcode]]="","",OFFSET(CampList[Priority],MATCH(Table_NFI[[#This Row],[Pcode]],CampList[CP_Pcode],0)-1,0,1,1))</f>
        <v/>
      </c>
      <c r="AU1092" s="263" t="str">
        <f>IFERROR(Table_NFI[[#This Row],[Kitchen Set]]/VLOOKUP(Table_NFI[[#This Row],[Camp Name]],CL,4,0),"")</f>
        <v/>
      </c>
      <c r="AV1092" s="390" t="s">
        <v>1087</v>
      </c>
      <c r="AW1092" s="392" t="s">
        <v>1155</v>
      </c>
    </row>
    <row r="1093" spans="1:49" s="399" customFormat="1" ht="15.75" customHeight="1" x14ac:dyDescent="0.25">
      <c r="A1093" s="266">
        <f t="shared" si="16"/>
        <v>63.033333333333331</v>
      </c>
      <c r="B1093" s="389">
        <v>40965</v>
      </c>
      <c r="C1093" s="390" t="s">
        <v>451</v>
      </c>
      <c r="D1093" s="390" t="s">
        <v>901</v>
      </c>
      <c r="E1093" s="390" t="s">
        <v>380</v>
      </c>
      <c r="F1093" s="262" t="s">
        <v>237</v>
      </c>
      <c r="G1093" s="262" t="s">
        <v>916</v>
      </c>
      <c r="H1093" s="261"/>
      <c r="I1093" s="261"/>
      <c r="J1093" s="261"/>
      <c r="K1093" s="261">
        <v>25</v>
      </c>
      <c r="L1093" s="261">
        <v>0</v>
      </c>
      <c r="M1093" s="261">
        <v>25</v>
      </c>
      <c r="N1093" s="261">
        <v>0</v>
      </c>
      <c r="O1093" s="261">
        <v>10</v>
      </c>
      <c r="P1093" s="261">
        <v>10</v>
      </c>
      <c r="Q1093" s="261">
        <v>10</v>
      </c>
      <c r="R1093" s="261"/>
      <c r="S1093" s="261"/>
      <c r="T1093" s="261"/>
      <c r="U1093" s="261"/>
      <c r="V1093" s="762"/>
      <c r="W1093" s="762"/>
      <c r="X1093" s="762"/>
      <c r="Y1093" s="264">
        <f>IF(NFI_Expiration=1,IF($A1093&lt;VLOOKUP(H$5,NFI,5,0),1,0)*Table_NFI[[#This Row],[Hygiene Kit]],Table_NFI[Hygiene Kit])</f>
        <v>0</v>
      </c>
      <c r="Z1093" s="264">
        <f>IF(NFI_Expiration=1,IF($A1093&lt;VLOOKUP(I$5,NFI,5,0),1,0)*Table_NFI[[#This Row],[NFI Core Kit]],Table_NFI[NFI Core Kit])</f>
        <v>0</v>
      </c>
      <c r="AA1093" s="264">
        <f>IF(NFI_Expiration=1,IF($A1093&lt;VLOOKUP(J$5,NFI,5,0),1,0)*Table_NFI[[#This Row],[Sanitary Kit]],Table_NFI[Sanitary Kit])</f>
        <v>0</v>
      </c>
      <c r="AB1093" s="264">
        <f>IF(NFI_Expiration=1,IF($A1093&lt;VLOOKUP(K$5,NFI,5,0),1,0)*Table_NFI[[#This Row],[Mosquito net]],Table_NFI[Mosquito net])</f>
        <v>0</v>
      </c>
      <c r="AC1093" s="264">
        <f>IF(NFI_Expiration=1,IF($A1093&lt;VLOOKUP(L$5,NFI,5,0),1,0)*Table_NFI[[#This Row],[Tarpaulin]],Table_NFI[[#This Row],[Tarpaulin]])</f>
        <v>0</v>
      </c>
      <c r="AD1093" s="264">
        <f>IF(NFI_Expiration=1,IF($A1093&lt;VLOOKUP(M$5,NFI,5,0),1,0)*Table_NFI[[#This Row],[Blanket]],Table_NFI[[#This Row],[Blanket]])</f>
        <v>0</v>
      </c>
      <c r="AE1093" s="264">
        <f>IF(NFI_Expiration=1,IF($A1093&lt;VLOOKUP(N$5,NFI,5,0),1,0)*Table_NFI[[#This Row],[Kitchen Set]],Table_NFI[Kitchen Set])</f>
        <v>0</v>
      </c>
      <c r="AF1093" s="264">
        <f>IF(NFI_Expiration=1,IF($A1093&lt;VLOOKUP(O$5,NFI,5,0),1,0)*Table_NFI[[#This Row],[Clothes Kit]],Table_NFI[Clothes Kit])</f>
        <v>0</v>
      </c>
      <c r="AG1093" s="264">
        <f>IF(NFI_Expiration=1,IF($A1093&lt;VLOOKUP(P$5,NFI,5,0),1,0)*Table_NFI[[#This Row],[Plastic Bucket]],Table_NFI[Plastic Bucket])</f>
        <v>0</v>
      </c>
      <c r="AH1093" s="264">
        <f>IF(NFI_Expiration=1,IF($A1093&lt;VLOOKUP(Q$5,NFI,5,0),1,0)*Table_NFI[[#This Row],[Plastic Mat]],Table_NFI[Plastic Mat])*IF(Table_NFI[[#This Row],[Distribution Date]]&gt;"2014-04-01",1,2.5)</f>
        <v>0</v>
      </c>
      <c r="AI1093" s="264">
        <f>IF(NFI_Expiration=1,IF($A1093&lt;VLOOKUP(R$5,NFI,5,0),1,0)*Table_NFI[[#This Row],[Winter Clothes Adult]],Table_NFI[Winter Clothes Adult])</f>
        <v>0</v>
      </c>
      <c r="AJ1093" s="264">
        <f>IF(NFI_Expiration=1,IF($A1093&lt;VLOOKUP(S$5,NFI,5,0),1,0)*Table_NFI[[#This Row],[Winter Clothes Children]],Table_NFI[Winter Clothes Children])</f>
        <v>0</v>
      </c>
      <c r="AK1093" s="264">
        <f>IF(NFI_Expiration=1,IF($A1093&lt;VLOOKUP(T$5,NFI,5,0),1,0)*Table_NFI[[#This Row],[Winter Items Other]],Table_NFI[Winter Items Other])</f>
        <v>0</v>
      </c>
      <c r="AL1093" s="264">
        <f>IF(NFI_Expiration=1,IF($A1093&lt;VLOOKUP(M$5,NFI,5,0),1,0)*Table_NFI[[#This Row],[Winter Blanket]],Table_NFI[[#This Row],[Winter Blanket]])</f>
        <v>0</v>
      </c>
      <c r="AM1093" s="264">
        <f>IF(Table_NFI[[#This Row],[Winter Clothes Adult]]+Table_NFI[[#This Row],[Winter Clothes Children]]+Table_NFI[[#This Row],[Winter Items Other]]+Table_NFI[[#This Row],[Winter Blanket]]&gt;0,1,0)</f>
        <v>0</v>
      </c>
      <c r="AN1093" s="296">
        <f>IF(NFI_Expiration=1,IF($A1093&lt;VLOOKUP(V$5,NFI,5,0),1,0)*Table_NFI[[#This Row],[Jerry Can]],Table_NFI[Jerry Can])</f>
        <v>0</v>
      </c>
      <c r="AO1093" s="296">
        <f>IF(NFI_Expiration=1,IF($A1093&lt;VLOOKUP(V$5,NFI,5,0),1,0)*Table_NFI[[#This Row],[Shelter Tool kit]],Table_NFI[Shelter Tool kit])</f>
        <v>0</v>
      </c>
      <c r="AP1093" s="296">
        <f>IF(NFI_Expiration=1,IF($A1093&lt;VLOOKUP(V$5,NFI,5,0),1,0)*Table_NFI[[#This Row],[Tent]],Table_NFI[Tent])</f>
        <v>0</v>
      </c>
      <c r="AQ1093" s="396" t="str">
        <f>IFERROR(VLOOKUP(Table_NFI[[#This Row],[Camp Name]],CL,2,0),"")</f>
        <v/>
      </c>
      <c r="AR1093" s="702" t="str">
        <f ca="1">IF(Table_NFI[[#This Row],[Pcode]]="","",IF(OFFSET(CampList[Opening Date],MATCH(Table_NFI[[#This Row],[Pcode]],CampList[CP_Pcode],0)-1,0,1,1)&gt;=NFI_Monitor_Date,1,0))</f>
        <v/>
      </c>
      <c r="AS1093" s="396" t="str">
        <f>IFERROR(VLOOKUP(Table_NFI[[#This Row],[Camp Name]],CL,3,0),"")</f>
        <v/>
      </c>
      <c r="AT1093" s="264" t="str">
        <f ca="1">IF(Table_NFI[[#This Row],[Pcode]]="","",OFFSET(CampList[Priority],MATCH(Table_NFI[[#This Row],[Pcode]],CampList[CP_Pcode],0)-1,0,1,1))</f>
        <v/>
      </c>
      <c r="AU1093" s="263" t="str">
        <f>IFERROR(Table_NFI[[#This Row],[Kitchen Set]]/VLOOKUP(Table_NFI[[#This Row],[Camp Name]],CL,4,0),"")</f>
        <v/>
      </c>
      <c r="AV1093" s="390" t="s">
        <v>1087</v>
      </c>
      <c r="AW1093" s="392"/>
    </row>
    <row r="1094" spans="1:49" s="399" customFormat="1" ht="15.75" customHeight="1" x14ac:dyDescent="0.25">
      <c r="A1094" s="266">
        <f t="shared" ref="A1094:A1157" si="17">IF(ISBLANK(B1094),"",(Report_Date-B1094)/30)</f>
        <v>63.133333333333333</v>
      </c>
      <c r="B1094" s="389">
        <v>40962</v>
      </c>
      <c r="C1094" s="390" t="s">
        <v>904</v>
      </c>
      <c r="D1094" s="391" t="s">
        <v>904</v>
      </c>
      <c r="E1094" s="390" t="s">
        <v>380</v>
      </c>
      <c r="F1094" s="262" t="s">
        <v>185</v>
      </c>
      <c r="G1094" s="262" t="s">
        <v>186</v>
      </c>
      <c r="H1094" s="261">
        <v>172</v>
      </c>
      <c r="I1094" s="261"/>
      <c r="J1094" s="261"/>
      <c r="K1094" s="261"/>
      <c r="L1094" s="261"/>
      <c r="M1094" s="261"/>
      <c r="N1094" s="261"/>
      <c r="O1094" s="261"/>
      <c r="P1094" s="261"/>
      <c r="Q1094" s="261"/>
      <c r="R1094" s="261"/>
      <c r="S1094" s="261"/>
      <c r="T1094" s="261"/>
      <c r="U1094" s="261"/>
      <c r="V1094" s="762"/>
      <c r="W1094" s="762"/>
      <c r="X1094" s="762"/>
      <c r="Y1094" s="264">
        <f>IF(NFI_Expiration=1,IF($A1094&lt;VLOOKUP(H$5,NFI,5,0),1,0)*Table_NFI[[#This Row],[Hygiene Kit]],Table_NFI[Hygiene Kit])</f>
        <v>0</v>
      </c>
      <c r="Z1094" s="264">
        <f>IF(NFI_Expiration=1,IF($A1094&lt;VLOOKUP(I$5,NFI,5,0),1,0)*Table_NFI[[#This Row],[NFI Core Kit]],Table_NFI[NFI Core Kit])</f>
        <v>0</v>
      </c>
      <c r="AA1094" s="264">
        <f>IF(NFI_Expiration=1,IF($A1094&lt;VLOOKUP(J$5,NFI,5,0),1,0)*Table_NFI[[#This Row],[Sanitary Kit]],Table_NFI[Sanitary Kit])</f>
        <v>0</v>
      </c>
      <c r="AB1094" s="264">
        <f>IF(NFI_Expiration=1,IF($A1094&lt;VLOOKUP(K$5,NFI,5,0),1,0)*Table_NFI[[#This Row],[Mosquito net]],Table_NFI[Mosquito net])</f>
        <v>0</v>
      </c>
      <c r="AC1094" s="264">
        <f>IF(NFI_Expiration=1,IF($A1094&lt;VLOOKUP(L$5,NFI,5,0),1,0)*Table_NFI[[#This Row],[Tarpaulin]],Table_NFI[[#This Row],[Tarpaulin]])</f>
        <v>0</v>
      </c>
      <c r="AD1094" s="264">
        <f>IF(NFI_Expiration=1,IF($A1094&lt;VLOOKUP(M$5,NFI,5,0),1,0)*Table_NFI[[#This Row],[Blanket]],Table_NFI[[#This Row],[Blanket]])</f>
        <v>0</v>
      </c>
      <c r="AE1094" s="264">
        <f>IF(NFI_Expiration=1,IF($A1094&lt;VLOOKUP(N$5,NFI,5,0),1,0)*Table_NFI[[#This Row],[Kitchen Set]],Table_NFI[Kitchen Set])</f>
        <v>0</v>
      </c>
      <c r="AF1094" s="264">
        <f>IF(NFI_Expiration=1,IF($A1094&lt;VLOOKUP(O$5,NFI,5,0),1,0)*Table_NFI[[#This Row],[Clothes Kit]],Table_NFI[Clothes Kit])</f>
        <v>0</v>
      </c>
      <c r="AG1094" s="264">
        <f>IF(NFI_Expiration=1,IF($A1094&lt;VLOOKUP(P$5,NFI,5,0),1,0)*Table_NFI[[#This Row],[Plastic Bucket]],Table_NFI[Plastic Bucket])</f>
        <v>0</v>
      </c>
      <c r="AH1094" s="264">
        <f>IF(NFI_Expiration=1,IF($A1094&lt;VLOOKUP(Q$5,NFI,5,0),1,0)*Table_NFI[[#This Row],[Plastic Mat]],Table_NFI[Plastic Mat])*IF(Table_NFI[[#This Row],[Distribution Date]]&gt;"2014-04-01",1,2.5)</f>
        <v>0</v>
      </c>
      <c r="AI1094" s="264">
        <f>IF(NFI_Expiration=1,IF($A1094&lt;VLOOKUP(R$5,NFI,5,0),1,0)*Table_NFI[[#This Row],[Winter Clothes Adult]],Table_NFI[Winter Clothes Adult])</f>
        <v>0</v>
      </c>
      <c r="AJ1094" s="264">
        <f>IF(NFI_Expiration=1,IF($A1094&lt;VLOOKUP(S$5,NFI,5,0),1,0)*Table_NFI[[#This Row],[Winter Clothes Children]],Table_NFI[Winter Clothes Children])</f>
        <v>0</v>
      </c>
      <c r="AK1094" s="264">
        <f>IF(NFI_Expiration=1,IF($A1094&lt;VLOOKUP(T$5,NFI,5,0),1,0)*Table_NFI[[#This Row],[Winter Items Other]],Table_NFI[Winter Items Other])</f>
        <v>0</v>
      </c>
      <c r="AL1094" s="264">
        <f>IF(NFI_Expiration=1,IF($A1094&lt;VLOOKUP(M$5,NFI,5,0),1,0)*Table_NFI[[#This Row],[Winter Blanket]],Table_NFI[[#This Row],[Winter Blanket]])</f>
        <v>0</v>
      </c>
      <c r="AM1094" s="264">
        <f>IF(Table_NFI[[#This Row],[Winter Clothes Adult]]+Table_NFI[[#This Row],[Winter Clothes Children]]+Table_NFI[[#This Row],[Winter Items Other]]+Table_NFI[[#This Row],[Winter Blanket]]&gt;0,1,0)</f>
        <v>0</v>
      </c>
      <c r="AN1094" s="296">
        <f>IF(NFI_Expiration=1,IF($A1094&lt;VLOOKUP(V$5,NFI,5,0),1,0)*Table_NFI[[#This Row],[Jerry Can]],Table_NFI[Jerry Can])</f>
        <v>0</v>
      </c>
      <c r="AO1094" s="296">
        <f>IF(NFI_Expiration=1,IF($A1094&lt;VLOOKUP(V$5,NFI,5,0),1,0)*Table_NFI[[#This Row],[Shelter Tool kit]],Table_NFI[Shelter Tool kit])</f>
        <v>0</v>
      </c>
      <c r="AP1094" s="296">
        <f>IF(NFI_Expiration=1,IF($A1094&lt;VLOOKUP(V$5,NFI,5,0),1,0)*Table_NFI[[#This Row],[Tent]],Table_NFI[Tent])</f>
        <v>0</v>
      </c>
      <c r="AQ1094" s="396" t="str">
        <f>IFERROR(VLOOKUP(Table_NFI[[#This Row],[Camp Name]],CL,2,0),"")</f>
        <v>MMR001CMP071</v>
      </c>
      <c r="AR1094" s="702">
        <f ca="1">IF(Table_NFI[[#This Row],[Pcode]]="","",IF(OFFSET(CampList[Opening Date],MATCH(Table_NFI[[#This Row],[Pcode]],CampList[CP_Pcode],0)-1,0,1,1)&gt;=NFI_Monitor_Date,1,0))</f>
        <v>0</v>
      </c>
      <c r="AS1094" s="396" t="str">
        <f>IFERROR(VLOOKUP(Table_NFI[[#This Row],[Camp Name]],CL,3,0),"")</f>
        <v>Open</v>
      </c>
      <c r="AT1094" s="264" t="str">
        <f ca="1">IF(Table_NFI[[#This Row],[Pcode]]="","",OFFSET(CampList[Priority],MATCH(Table_NFI[[#This Row],[Pcode]],CampList[CP_Pcode],0)-1,0,1,1))</f>
        <v>P3</v>
      </c>
      <c r="AU1094" s="263">
        <f>IFERROR(Table_NFI[[#This Row],[Kitchen Set]]/VLOOKUP(Table_NFI[[#This Row],[Camp Name]],CL,4,0),"")</f>
        <v>0</v>
      </c>
      <c r="AV1094" s="390"/>
      <c r="AW1094" s="392"/>
    </row>
    <row r="1095" spans="1:49" s="399" customFormat="1" ht="15.75" customHeight="1" x14ac:dyDescent="0.25">
      <c r="A1095" s="266">
        <f t="shared" si="17"/>
        <v>63.133333333333333</v>
      </c>
      <c r="B1095" s="389">
        <v>40962</v>
      </c>
      <c r="C1095" s="390" t="s">
        <v>904</v>
      </c>
      <c r="D1095" s="390" t="s">
        <v>904</v>
      </c>
      <c r="E1095" s="390" t="s">
        <v>380</v>
      </c>
      <c r="F1095" s="390" t="s">
        <v>185</v>
      </c>
      <c r="G1095" s="262" t="s">
        <v>223</v>
      </c>
      <c r="H1095" s="261">
        <v>227</v>
      </c>
      <c r="I1095" s="261"/>
      <c r="J1095" s="261"/>
      <c r="K1095" s="261"/>
      <c r="L1095" s="261"/>
      <c r="M1095" s="261"/>
      <c r="N1095" s="261"/>
      <c r="O1095" s="261"/>
      <c r="P1095" s="261"/>
      <c r="Q1095" s="261"/>
      <c r="R1095" s="261"/>
      <c r="S1095" s="261"/>
      <c r="T1095" s="261"/>
      <c r="U1095" s="261"/>
      <c r="V1095" s="762"/>
      <c r="W1095" s="762"/>
      <c r="X1095" s="762"/>
      <c r="Y1095" s="264">
        <f>IF(NFI_Expiration=1,IF($A1095&lt;VLOOKUP(H$5,NFI,5,0),1,0)*Table_NFI[[#This Row],[Hygiene Kit]],Table_NFI[Hygiene Kit])</f>
        <v>0</v>
      </c>
      <c r="Z1095" s="264">
        <f>IF(NFI_Expiration=1,IF($A1095&lt;VLOOKUP(I$5,NFI,5,0),1,0)*Table_NFI[[#This Row],[NFI Core Kit]],Table_NFI[NFI Core Kit])</f>
        <v>0</v>
      </c>
      <c r="AA1095" s="264">
        <f>IF(NFI_Expiration=1,IF($A1095&lt;VLOOKUP(J$5,NFI,5,0),1,0)*Table_NFI[[#This Row],[Sanitary Kit]],Table_NFI[Sanitary Kit])</f>
        <v>0</v>
      </c>
      <c r="AB1095" s="264">
        <f>IF(NFI_Expiration=1,IF($A1095&lt;VLOOKUP(K$5,NFI,5,0),1,0)*Table_NFI[[#This Row],[Mosquito net]],Table_NFI[Mosquito net])</f>
        <v>0</v>
      </c>
      <c r="AC1095" s="264">
        <f>IF(NFI_Expiration=1,IF($A1095&lt;VLOOKUP(L$5,NFI,5,0),1,0)*Table_NFI[[#This Row],[Tarpaulin]],Table_NFI[[#This Row],[Tarpaulin]])</f>
        <v>0</v>
      </c>
      <c r="AD1095" s="264">
        <f>IF(NFI_Expiration=1,IF($A1095&lt;VLOOKUP(M$5,NFI,5,0),1,0)*Table_NFI[[#This Row],[Blanket]],Table_NFI[[#This Row],[Blanket]])</f>
        <v>0</v>
      </c>
      <c r="AE1095" s="264">
        <f>IF(NFI_Expiration=1,IF($A1095&lt;VLOOKUP(N$5,NFI,5,0),1,0)*Table_NFI[[#This Row],[Kitchen Set]],Table_NFI[Kitchen Set])</f>
        <v>0</v>
      </c>
      <c r="AF1095" s="264">
        <f>IF(NFI_Expiration=1,IF($A1095&lt;VLOOKUP(O$5,NFI,5,0),1,0)*Table_NFI[[#This Row],[Clothes Kit]],Table_NFI[Clothes Kit])</f>
        <v>0</v>
      </c>
      <c r="AG1095" s="264">
        <f>IF(NFI_Expiration=1,IF($A1095&lt;VLOOKUP(P$5,NFI,5,0),1,0)*Table_NFI[[#This Row],[Plastic Bucket]],Table_NFI[Plastic Bucket])</f>
        <v>0</v>
      </c>
      <c r="AH1095" s="264">
        <f>IF(NFI_Expiration=1,IF($A1095&lt;VLOOKUP(Q$5,NFI,5,0),1,0)*Table_NFI[[#This Row],[Plastic Mat]],Table_NFI[Plastic Mat])*IF(Table_NFI[[#This Row],[Distribution Date]]&gt;"2014-04-01",1,2.5)</f>
        <v>0</v>
      </c>
      <c r="AI1095" s="264">
        <f>IF(NFI_Expiration=1,IF($A1095&lt;VLOOKUP(R$5,NFI,5,0),1,0)*Table_NFI[[#This Row],[Winter Clothes Adult]],Table_NFI[Winter Clothes Adult])</f>
        <v>0</v>
      </c>
      <c r="AJ1095" s="264">
        <f>IF(NFI_Expiration=1,IF($A1095&lt;VLOOKUP(S$5,NFI,5,0),1,0)*Table_NFI[[#This Row],[Winter Clothes Children]],Table_NFI[Winter Clothes Children])</f>
        <v>0</v>
      </c>
      <c r="AK1095" s="264">
        <f>IF(NFI_Expiration=1,IF($A1095&lt;VLOOKUP(T$5,NFI,5,0),1,0)*Table_NFI[[#This Row],[Winter Items Other]],Table_NFI[Winter Items Other])</f>
        <v>0</v>
      </c>
      <c r="AL1095" s="264">
        <f>IF(NFI_Expiration=1,IF($A1095&lt;VLOOKUP(M$5,NFI,5,0),1,0)*Table_NFI[[#This Row],[Winter Blanket]],Table_NFI[[#This Row],[Winter Blanket]])</f>
        <v>0</v>
      </c>
      <c r="AM1095" s="264">
        <f>IF(Table_NFI[[#This Row],[Winter Clothes Adult]]+Table_NFI[[#This Row],[Winter Clothes Children]]+Table_NFI[[#This Row],[Winter Items Other]]+Table_NFI[[#This Row],[Winter Blanket]]&gt;0,1,0)</f>
        <v>0</v>
      </c>
      <c r="AN1095" s="296">
        <f>IF(NFI_Expiration=1,IF($A1095&lt;VLOOKUP(V$5,NFI,5,0),1,0)*Table_NFI[[#This Row],[Jerry Can]],Table_NFI[Jerry Can])</f>
        <v>0</v>
      </c>
      <c r="AO1095" s="296">
        <f>IF(NFI_Expiration=1,IF($A1095&lt;VLOOKUP(V$5,NFI,5,0),1,0)*Table_NFI[[#This Row],[Shelter Tool kit]],Table_NFI[Shelter Tool kit])</f>
        <v>0</v>
      </c>
      <c r="AP1095" s="296">
        <f>IF(NFI_Expiration=1,IF($A1095&lt;VLOOKUP(V$5,NFI,5,0),1,0)*Table_NFI[[#This Row],[Tent]],Table_NFI[Tent])</f>
        <v>0</v>
      </c>
      <c r="AQ1095" s="396" t="str">
        <f>IFERROR(VLOOKUP(Table_NFI[[#This Row],[Camp Name]],CL,2,0),"")</f>
        <v>MMR001CMP069</v>
      </c>
      <c r="AR1095" s="702">
        <f ca="1">IF(Table_NFI[[#This Row],[Pcode]]="","",IF(OFFSET(CampList[Opening Date],MATCH(Table_NFI[[#This Row],[Pcode]],CampList[CP_Pcode],0)-1,0,1,1)&gt;=NFI_Monitor_Date,1,0))</f>
        <v>0</v>
      </c>
      <c r="AS1095" s="396" t="str">
        <f>IFERROR(VLOOKUP(Table_NFI[[#This Row],[Camp Name]],CL,3,0),"")</f>
        <v>Open</v>
      </c>
      <c r="AT1095" s="264" t="str">
        <f ca="1">IF(Table_NFI[[#This Row],[Pcode]]="","",OFFSET(CampList[Priority],MATCH(Table_NFI[[#This Row],[Pcode]],CampList[CP_Pcode],0)-1,0,1,1))</f>
        <v>P3</v>
      </c>
      <c r="AU1095" s="263">
        <f>IFERROR(Table_NFI[[#This Row],[Kitchen Set]]/VLOOKUP(Table_NFI[[#This Row],[Camp Name]],CL,4,0),"")</f>
        <v>0</v>
      </c>
      <c r="AV1095" s="390"/>
      <c r="AW1095" s="392"/>
    </row>
    <row r="1096" spans="1:49" s="399" customFormat="1" ht="15.75" customHeight="1" x14ac:dyDescent="0.25">
      <c r="A1096" s="266">
        <f t="shared" si="17"/>
        <v>63.166666666666664</v>
      </c>
      <c r="B1096" s="389">
        <v>40961</v>
      </c>
      <c r="C1096" s="390" t="s">
        <v>904</v>
      </c>
      <c r="D1096" s="390" t="s">
        <v>904</v>
      </c>
      <c r="E1096" s="390" t="s">
        <v>380</v>
      </c>
      <c r="F1096" s="390" t="s">
        <v>5</v>
      </c>
      <c r="G1096" s="390" t="s">
        <v>1409</v>
      </c>
      <c r="H1096" s="261">
        <v>23</v>
      </c>
      <c r="I1096" s="261"/>
      <c r="J1096" s="261"/>
      <c r="K1096" s="261"/>
      <c r="L1096" s="261"/>
      <c r="M1096" s="261"/>
      <c r="N1096" s="261"/>
      <c r="O1096" s="261"/>
      <c r="P1096" s="261"/>
      <c r="Q1096" s="261"/>
      <c r="R1096" s="261"/>
      <c r="S1096" s="261"/>
      <c r="T1096" s="261"/>
      <c r="U1096" s="261"/>
      <c r="V1096" s="762"/>
      <c r="W1096" s="762"/>
      <c r="X1096" s="762"/>
      <c r="Y1096" s="264">
        <f>IF(NFI_Expiration=1,IF($A1096&lt;VLOOKUP(H$5,NFI,5,0),1,0)*Table_NFI[[#This Row],[Hygiene Kit]],Table_NFI[Hygiene Kit])</f>
        <v>0</v>
      </c>
      <c r="Z1096" s="264">
        <f>IF(NFI_Expiration=1,IF($A1096&lt;VLOOKUP(I$5,NFI,5,0),1,0)*Table_NFI[[#This Row],[NFI Core Kit]],Table_NFI[NFI Core Kit])</f>
        <v>0</v>
      </c>
      <c r="AA1096" s="264">
        <f>IF(NFI_Expiration=1,IF($A1096&lt;VLOOKUP(J$5,NFI,5,0),1,0)*Table_NFI[[#This Row],[Sanitary Kit]],Table_NFI[Sanitary Kit])</f>
        <v>0</v>
      </c>
      <c r="AB1096" s="264">
        <f>IF(NFI_Expiration=1,IF($A1096&lt;VLOOKUP(K$5,NFI,5,0),1,0)*Table_NFI[[#This Row],[Mosquito net]],Table_NFI[Mosquito net])</f>
        <v>0</v>
      </c>
      <c r="AC1096" s="264">
        <f>IF(NFI_Expiration=1,IF($A1096&lt;VLOOKUP(L$5,NFI,5,0),1,0)*Table_NFI[[#This Row],[Tarpaulin]],Table_NFI[[#This Row],[Tarpaulin]])</f>
        <v>0</v>
      </c>
      <c r="AD1096" s="264">
        <f>IF(NFI_Expiration=1,IF($A1096&lt;VLOOKUP(M$5,NFI,5,0),1,0)*Table_NFI[[#This Row],[Blanket]],Table_NFI[[#This Row],[Blanket]])</f>
        <v>0</v>
      </c>
      <c r="AE1096" s="264">
        <f>IF(NFI_Expiration=1,IF($A1096&lt;VLOOKUP(N$5,NFI,5,0),1,0)*Table_NFI[[#This Row],[Kitchen Set]],Table_NFI[Kitchen Set])</f>
        <v>0</v>
      </c>
      <c r="AF1096" s="264">
        <f>IF(NFI_Expiration=1,IF($A1096&lt;VLOOKUP(O$5,NFI,5,0),1,0)*Table_NFI[[#This Row],[Clothes Kit]],Table_NFI[Clothes Kit])</f>
        <v>0</v>
      </c>
      <c r="AG1096" s="264">
        <f>IF(NFI_Expiration=1,IF($A1096&lt;VLOOKUP(P$5,NFI,5,0),1,0)*Table_NFI[[#This Row],[Plastic Bucket]],Table_NFI[Plastic Bucket])</f>
        <v>0</v>
      </c>
      <c r="AH1096" s="264">
        <f>IF(NFI_Expiration=1,IF($A1096&lt;VLOOKUP(Q$5,NFI,5,0),1,0)*Table_NFI[[#This Row],[Plastic Mat]],Table_NFI[Plastic Mat])*IF(Table_NFI[[#This Row],[Distribution Date]]&gt;"2014-04-01",1,2.5)</f>
        <v>0</v>
      </c>
      <c r="AI1096" s="264">
        <f>IF(NFI_Expiration=1,IF($A1096&lt;VLOOKUP(R$5,NFI,5,0),1,0)*Table_NFI[[#This Row],[Winter Clothes Adult]],Table_NFI[Winter Clothes Adult])</f>
        <v>0</v>
      </c>
      <c r="AJ1096" s="264">
        <f>IF(NFI_Expiration=1,IF($A1096&lt;VLOOKUP(S$5,NFI,5,0),1,0)*Table_NFI[[#This Row],[Winter Clothes Children]],Table_NFI[Winter Clothes Children])</f>
        <v>0</v>
      </c>
      <c r="AK1096" s="264">
        <f>IF(NFI_Expiration=1,IF($A1096&lt;VLOOKUP(T$5,NFI,5,0),1,0)*Table_NFI[[#This Row],[Winter Items Other]],Table_NFI[Winter Items Other])</f>
        <v>0</v>
      </c>
      <c r="AL1096" s="264">
        <f>IF(NFI_Expiration=1,IF($A1096&lt;VLOOKUP(M$5,NFI,5,0),1,0)*Table_NFI[[#This Row],[Winter Blanket]],Table_NFI[[#This Row],[Winter Blanket]])</f>
        <v>0</v>
      </c>
      <c r="AM1096" s="264">
        <f>IF(Table_NFI[[#This Row],[Winter Clothes Adult]]+Table_NFI[[#This Row],[Winter Clothes Children]]+Table_NFI[[#This Row],[Winter Items Other]]+Table_NFI[[#This Row],[Winter Blanket]]&gt;0,1,0)</f>
        <v>0</v>
      </c>
      <c r="AN1096" s="296">
        <f>IF(NFI_Expiration=1,IF($A1096&lt;VLOOKUP(V$5,NFI,5,0),1,0)*Table_NFI[[#This Row],[Jerry Can]],Table_NFI[Jerry Can])</f>
        <v>0</v>
      </c>
      <c r="AO1096" s="296">
        <f>IF(NFI_Expiration=1,IF($A1096&lt;VLOOKUP(V$5,NFI,5,0),1,0)*Table_NFI[[#This Row],[Shelter Tool kit]],Table_NFI[Shelter Tool kit])</f>
        <v>0</v>
      </c>
      <c r="AP1096" s="296">
        <f>IF(NFI_Expiration=1,IF($A1096&lt;VLOOKUP(V$5,NFI,5,0),1,0)*Table_NFI[[#This Row],[Tent]],Table_NFI[Tent])</f>
        <v>0</v>
      </c>
      <c r="AQ1096" s="396" t="str">
        <f>IFERROR(VLOOKUP(Table_NFI[[#This Row],[Camp Name]],CL,2,0),"")</f>
        <v/>
      </c>
      <c r="AR1096" s="702" t="str">
        <f ca="1">IF(Table_NFI[[#This Row],[Pcode]]="","",IF(OFFSET(CampList[Opening Date],MATCH(Table_NFI[[#This Row],[Pcode]],CampList[CP_Pcode],0)-1,0,1,1)&gt;=NFI_Monitor_Date,1,0))</f>
        <v/>
      </c>
      <c r="AS1096" s="396" t="str">
        <f>IFERROR(VLOOKUP(Table_NFI[[#This Row],[Camp Name]],CL,3,0),"")</f>
        <v/>
      </c>
      <c r="AT1096" s="264" t="str">
        <f ca="1">IF(Table_NFI[[#This Row],[Pcode]]="","",OFFSET(CampList[Priority],MATCH(Table_NFI[[#This Row],[Pcode]],CampList[CP_Pcode],0)-1,0,1,1))</f>
        <v/>
      </c>
      <c r="AU1096" s="263" t="str">
        <f>IFERROR(Table_NFI[[#This Row],[Kitchen Set]]/VLOOKUP(Table_NFI[[#This Row],[Camp Name]],CL,4,0),"")</f>
        <v/>
      </c>
      <c r="AV1096" s="390"/>
      <c r="AW1096" s="392"/>
    </row>
    <row r="1097" spans="1:49" s="399" customFormat="1" ht="15.75" customHeight="1" x14ac:dyDescent="0.25">
      <c r="A1097" s="266">
        <f t="shared" si="17"/>
        <v>63.166666666666664</v>
      </c>
      <c r="B1097" s="389">
        <v>40961</v>
      </c>
      <c r="C1097" s="390" t="s">
        <v>451</v>
      </c>
      <c r="D1097" s="390" t="s">
        <v>504</v>
      </c>
      <c r="E1097" s="390" t="s">
        <v>380</v>
      </c>
      <c r="F1097" s="390" t="s">
        <v>185</v>
      </c>
      <c r="G1097" s="390" t="s">
        <v>217</v>
      </c>
      <c r="H1097" s="261">
        <v>149</v>
      </c>
      <c r="I1097" s="261"/>
      <c r="J1097" s="261"/>
      <c r="K1097" s="261"/>
      <c r="L1097" s="261"/>
      <c r="M1097" s="261"/>
      <c r="N1097" s="261"/>
      <c r="O1097" s="261"/>
      <c r="P1097" s="261"/>
      <c r="Q1097" s="261"/>
      <c r="R1097" s="261"/>
      <c r="S1097" s="261"/>
      <c r="T1097" s="261"/>
      <c r="U1097" s="261"/>
      <c r="V1097" s="762"/>
      <c r="W1097" s="762"/>
      <c r="X1097" s="762"/>
      <c r="Y1097" s="264">
        <f>IF(NFI_Expiration=1,IF($A1097&lt;VLOOKUP(H$5,NFI,5,0),1,0)*Table_NFI[[#This Row],[Hygiene Kit]],Table_NFI[Hygiene Kit])</f>
        <v>0</v>
      </c>
      <c r="Z1097" s="264">
        <f>IF(NFI_Expiration=1,IF($A1097&lt;VLOOKUP(I$5,NFI,5,0),1,0)*Table_NFI[[#This Row],[NFI Core Kit]],Table_NFI[NFI Core Kit])</f>
        <v>0</v>
      </c>
      <c r="AA1097" s="264">
        <f>IF(NFI_Expiration=1,IF($A1097&lt;VLOOKUP(J$5,NFI,5,0),1,0)*Table_NFI[[#This Row],[Sanitary Kit]],Table_NFI[Sanitary Kit])</f>
        <v>0</v>
      </c>
      <c r="AB1097" s="264">
        <f>IF(NFI_Expiration=1,IF($A1097&lt;VLOOKUP(K$5,NFI,5,0),1,0)*Table_NFI[[#This Row],[Mosquito net]],Table_NFI[Mosquito net])</f>
        <v>0</v>
      </c>
      <c r="AC1097" s="264">
        <f>IF(NFI_Expiration=1,IF($A1097&lt;VLOOKUP(L$5,NFI,5,0),1,0)*Table_NFI[[#This Row],[Tarpaulin]],Table_NFI[[#This Row],[Tarpaulin]])</f>
        <v>0</v>
      </c>
      <c r="AD1097" s="264">
        <f>IF(NFI_Expiration=1,IF($A1097&lt;VLOOKUP(M$5,NFI,5,0),1,0)*Table_NFI[[#This Row],[Blanket]],Table_NFI[[#This Row],[Blanket]])</f>
        <v>0</v>
      </c>
      <c r="AE1097" s="264">
        <f>IF(NFI_Expiration=1,IF($A1097&lt;VLOOKUP(N$5,NFI,5,0),1,0)*Table_NFI[[#This Row],[Kitchen Set]],Table_NFI[Kitchen Set])</f>
        <v>0</v>
      </c>
      <c r="AF1097" s="264">
        <f>IF(NFI_Expiration=1,IF($A1097&lt;VLOOKUP(O$5,NFI,5,0),1,0)*Table_NFI[[#This Row],[Clothes Kit]],Table_NFI[Clothes Kit])</f>
        <v>0</v>
      </c>
      <c r="AG1097" s="264">
        <f>IF(NFI_Expiration=1,IF($A1097&lt;VLOOKUP(P$5,NFI,5,0),1,0)*Table_NFI[[#This Row],[Plastic Bucket]],Table_NFI[Plastic Bucket])</f>
        <v>0</v>
      </c>
      <c r="AH1097" s="264">
        <f>IF(NFI_Expiration=1,IF($A1097&lt;VLOOKUP(Q$5,NFI,5,0),1,0)*Table_NFI[[#This Row],[Plastic Mat]],Table_NFI[Plastic Mat])*IF(Table_NFI[[#This Row],[Distribution Date]]&gt;"2014-04-01",1,2.5)</f>
        <v>0</v>
      </c>
      <c r="AI1097" s="264">
        <f>IF(NFI_Expiration=1,IF($A1097&lt;VLOOKUP(R$5,NFI,5,0),1,0)*Table_NFI[[#This Row],[Winter Clothes Adult]],Table_NFI[Winter Clothes Adult])</f>
        <v>0</v>
      </c>
      <c r="AJ1097" s="264">
        <f>IF(NFI_Expiration=1,IF($A1097&lt;VLOOKUP(S$5,NFI,5,0),1,0)*Table_NFI[[#This Row],[Winter Clothes Children]],Table_NFI[Winter Clothes Children])</f>
        <v>0</v>
      </c>
      <c r="AK1097" s="264">
        <f>IF(NFI_Expiration=1,IF($A1097&lt;VLOOKUP(T$5,NFI,5,0),1,0)*Table_NFI[[#This Row],[Winter Items Other]],Table_NFI[Winter Items Other])</f>
        <v>0</v>
      </c>
      <c r="AL1097" s="264">
        <f>IF(NFI_Expiration=1,IF($A1097&lt;VLOOKUP(M$5,NFI,5,0),1,0)*Table_NFI[[#This Row],[Winter Blanket]],Table_NFI[[#This Row],[Winter Blanket]])</f>
        <v>0</v>
      </c>
      <c r="AM1097" s="264">
        <f>IF(Table_NFI[[#This Row],[Winter Clothes Adult]]+Table_NFI[[#This Row],[Winter Clothes Children]]+Table_NFI[[#This Row],[Winter Items Other]]+Table_NFI[[#This Row],[Winter Blanket]]&gt;0,1,0)</f>
        <v>0</v>
      </c>
      <c r="AN1097" s="296">
        <f>IF(NFI_Expiration=1,IF($A1097&lt;VLOOKUP(V$5,NFI,5,0),1,0)*Table_NFI[[#This Row],[Jerry Can]],Table_NFI[Jerry Can])</f>
        <v>0</v>
      </c>
      <c r="AO1097" s="296">
        <f>IF(NFI_Expiration=1,IF($A1097&lt;VLOOKUP(V$5,NFI,5,0),1,0)*Table_NFI[[#This Row],[Shelter Tool kit]],Table_NFI[Shelter Tool kit])</f>
        <v>0</v>
      </c>
      <c r="AP1097" s="296">
        <f>IF(NFI_Expiration=1,IF($A1097&lt;VLOOKUP(V$5,NFI,5,0),1,0)*Table_NFI[[#This Row],[Tent]],Table_NFI[Tent])</f>
        <v>0</v>
      </c>
      <c r="AQ1097" s="396" t="str">
        <f>IFERROR(VLOOKUP(Table_NFI[[#This Row],[Camp Name]],CL,2,0),"")</f>
        <v>MMR001CMP059</v>
      </c>
      <c r="AR1097" s="702">
        <f ca="1">IF(Table_NFI[[#This Row],[Pcode]]="","",IF(OFFSET(CampList[Opening Date],MATCH(Table_NFI[[#This Row],[Pcode]],CampList[CP_Pcode],0)-1,0,1,1)&gt;=NFI_Monitor_Date,1,0))</f>
        <v>0</v>
      </c>
      <c r="AS1097" s="396" t="str">
        <f>IFERROR(VLOOKUP(Table_NFI[[#This Row],[Camp Name]],CL,3,0),"")</f>
        <v>Closed</v>
      </c>
      <c r="AT1097" s="264" t="str">
        <f ca="1">IF(Table_NFI[[#This Row],[Pcode]]="","",OFFSET(CampList[Priority],MATCH(Table_NFI[[#This Row],[Pcode]],CampList[CP_Pcode],0)-1,0,1,1))</f>
        <v>P4</v>
      </c>
      <c r="AU1097" s="263">
        <f>IFERROR(Table_NFI[[#This Row],[Kitchen Set]]/VLOOKUP(Table_NFI[[#This Row],[Camp Name]],CL,4,0),"")</f>
        <v>0</v>
      </c>
      <c r="AV1097" s="390"/>
      <c r="AW1097" s="392"/>
    </row>
    <row r="1098" spans="1:49" s="399" customFormat="1" ht="15.75" customHeight="1" x14ac:dyDescent="0.25">
      <c r="A1098" s="266">
        <f t="shared" si="17"/>
        <v>63.166666666666664</v>
      </c>
      <c r="B1098" s="389">
        <v>40961</v>
      </c>
      <c r="C1098" s="390" t="s">
        <v>904</v>
      </c>
      <c r="D1098" s="390" t="s">
        <v>904</v>
      </c>
      <c r="E1098" s="390" t="s">
        <v>380</v>
      </c>
      <c r="F1098" s="390" t="s">
        <v>185</v>
      </c>
      <c r="G1098" s="262" t="s">
        <v>217</v>
      </c>
      <c r="H1098" s="261">
        <v>149</v>
      </c>
      <c r="I1098" s="261"/>
      <c r="J1098" s="261"/>
      <c r="K1098" s="261"/>
      <c r="L1098" s="261"/>
      <c r="M1098" s="261"/>
      <c r="N1098" s="261"/>
      <c r="O1098" s="261"/>
      <c r="P1098" s="261"/>
      <c r="Q1098" s="261"/>
      <c r="R1098" s="261"/>
      <c r="S1098" s="261"/>
      <c r="T1098" s="261"/>
      <c r="U1098" s="261"/>
      <c r="V1098" s="762"/>
      <c r="W1098" s="762"/>
      <c r="X1098" s="762"/>
      <c r="Y1098" s="264">
        <f>IF(NFI_Expiration=1,IF($A1098&lt;VLOOKUP(H$5,NFI,5,0),1,0)*Table_NFI[[#This Row],[Hygiene Kit]],Table_NFI[Hygiene Kit])</f>
        <v>0</v>
      </c>
      <c r="Z1098" s="264">
        <f>IF(NFI_Expiration=1,IF($A1098&lt;VLOOKUP(I$5,NFI,5,0),1,0)*Table_NFI[[#This Row],[NFI Core Kit]],Table_NFI[NFI Core Kit])</f>
        <v>0</v>
      </c>
      <c r="AA1098" s="264">
        <f>IF(NFI_Expiration=1,IF($A1098&lt;VLOOKUP(J$5,NFI,5,0),1,0)*Table_NFI[[#This Row],[Sanitary Kit]],Table_NFI[Sanitary Kit])</f>
        <v>0</v>
      </c>
      <c r="AB1098" s="264">
        <f>IF(NFI_Expiration=1,IF($A1098&lt;VLOOKUP(K$5,NFI,5,0),1,0)*Table_NFI[[#This Row],[Mosquito net]],Table_NFI[Mosquito net])</f>
        <v>0</v>
      </c>
      <c r="AC1098" s="264">
        <f>IF(NFI_Expiration=1,IF($A1098&lt;VLOOKUP(L$5,NFI,5,0),1,0)*Table_NFI[[#This Row],[Tarpaulin]],Table_NFI[[#This Row],[Tarpaulin]])</f>
        <v>0</v>
      </c>
      <c r="AD1098" s="264">
        <f>IF(NFI_Expiration=1,IF($A1098&lt;VLOOKUP(M$5,NFI,5,0),1,0)*Table_NFI[[#This Row],[Blanket]],Table_NFI[[#This Row],[Blanket]])</f>
        <v>0</v>
      </c>
      <c r="AE1098" s="264">
        <f>IF(NFI_Expiration=1,IF($A1098&lt;VLOOKUP(N$5,NFI,5,0),1,0)*Table_NFI[[#This Row],[Kitchen Set]],Table_NFI[Kitchen Set])</f>
        <v>0</v>
      </c>
      <c r="AF1098" s="264">
        <f>IF(NFI_Expiration=1,IF($A1098&lt;VLOOKUP(O$5,NFI,5,0),1,0)*Table_NFI[[#This Row],[Clothes Kit]],Table_NFI[Clothes Kit])</f>
        <v>0</v>
      </c>
      <c r="AG1098" s="264">
        <f>IF(NFI_Expiration=1,IF($A1098&lt;VLOOKUP(P$5,NFI,5,0),1,0)*Table_NFI[[#This Row],[Plastic Bucket]],Table_NFI[Plastic Bucket])</f>
        <v>0</v>
      </c>
      <c r="AH1098" s="264">
        <f>IF(NFI_Expiration=1,IF($A1098&lt;VLOOKUP(Q$5,NFI,5,0),1,0)*Table_NFI[[#This Row],[Plastic Mat]],Table_NFI[Plastic Mat])*IF(Table_NFI[[#This Row],[Distribution Date]]&gt;"2014-04-01",1,2.5)</f>
        <v>0</v>
      </c>
      <c r="AI1098" s="264">
        <f>IF(NFI_Expiration=1,IF($A1098&lt;VLOOKUP(R$5,NFI,5,0),1,0)*Table_NFI[[#This Row],[Winter Clothes Adult]],Table_NFI[Winter Clothes Adult])</f>
        <v>0</v>
      </c>
      <c r="AJ1098" s="264">
        <f>IF(NFI_Expiration=1,IF($A1098&lt;VLOOKUP(S$5,NFI,5,0),1,0)*Table_NFI[[#This Row],[Winter Clothes Children]],Table_NFI[Winter Clothes Children])</f>
        <v>0</v>
      </c>
      <c r="AK1098" s="264">
        <f>IF(NFI_Expiration=1,IF($A1098&lt;VLOOKUP(T$5,NFI,5,0),1,0)*Table_NFI[[#This Row],[Winter Items Other]],Table_NFI[Winter Items Other])</f>
        <v>0</v>
      </c>
      <c r="AL1098" s="264">
        <f>IF(NFI_Expiration=1,IF($A1098&lt;VLOOKUP(M$5,NFI,5,0),1,0)*Table_NFI[[#This Row],[Winter Blanket]],Table_NFI[[#This Row],[Winter Blanket]])</f>
        <v>0</v>
      </c>
      <c r="AM1098" s="264">
        <f>IF(Table_NFI[[#This Row],[Winter Clothes Adult]]+Table_NFI[[#This Row],[Winter Clothes Children]]+Table_NFI[[#This Row],[Winter Items Other]]+Table_NFI[[#This Row],[Winter Blanket]]&gt;0,1,0)</f>
        <v>0</v>
      </c>
      <c r="AN1098" s="296">
        <f>IF(NFI_Expiration=1,IF($A1098&lt;VLOOKUP(V$5,NFI,5,0),1,0)*Table_NFI[[#This Row],[Jerry Can]],Table_NFI[Jerry Can])</f>
        <v>0</v>
      </c>
      <c r="AO1098" s="296">
        <f>IF(NFI_Expiration=1,IF($A1098&lt;VLOOKUP(V$5,NFI,5,0),1,0)*Table_NFI[[#This Row],[Shelter Tool kit]],Table_NFI[Shelter Tool kit])</f>
        <v>0</v>
      </c>
      <c r="AP1098" s="296">
        <f>IF(NFI_Expiration=1,IF($A1098&lt;VLOOKUP(V$5,NFI,5,0),1,0)*Table_NFI[[#This Row],[Tent]],Table_NFI[Tent])</f>
        <v>0</v>
      </c>
      <c r="AQ1098" s="396" t="str">
        <f>IFERROR(VLOOKUP(Table_NFI[[#This Row],[Camp Name]],CL,2,0),"")</f>
        <v>MMR001CMP059</v>
      </c>
      <c r="AR1098" s="702">
        <f ca="1">IF(Table_NFI[[#This Row],[Pcode]]="","",IF(OFFSET(CampList[Opening Date],MATCH(Table_NFI[[#This Row],[Pcode]],CampList[CP_Pcode],0)-1,0,1,1)&gt;=NFI_Monitor_Date,1,0))</f>
        <v>0</v>
      </c>
      <c r="AS1098" s="396" t="str">
        <f>IFERROR(VLOOKUP(Table_NFI[[#This Row],[Camp Name]],CL,3,0),"")</f>
        <v>Closed</v>
      </c>
      <c r="AT1098" s="264" t="str">
        <f ca="1">IF(Table_NFI[[#This Row],[Pcode]]="","",OFFSET(CampList[Priority],MATCH(Table_NFI[[#This Row],[Pcode]],CampList[CP_Pcode],0)-1,0,1,1))</f>
        <v>P4</v>
      </c>
      <c r="AU1098" s="263">
        <f>IFERROR(Table_NFI[[#This Row],[Kitchen Set]]/VLOOKUP(Table_NFI[[#This Row],[Camp Name]],CL,4,0),"")</f>
        <v>0</v>
      </c>
      <c r="AV1098" s="390"/>
      <c r="AW1098" s="392"/>
    </row>
    <row r="1099" spans="1:49" s="399" customFormat="1" ht="15.75" customHeight="1" x14ac:dyDescent="0.25">
      <c r="A1099" s="266">
        <f t="shared" si="17"/>
        <v>63.333333333333336</v>
      </c>
      <c r="B1099" s="389">
        <v>40956</v>
      </c>
      <c r="C1099" s="390" t="s">
        <v>904</v>
      </c>
      <c r="D1099" s="391" t="s">
        <v>904</v>
      </c>
      <c r="E1099" s="390" t="s">
        <v>380</v>
      </c>
      <c r="F1099" s="262" t="s">
        <v>5</v>
      </c>
      <c r="G1099" s="262" t="s">
        <v>14</v>
      </c>
      <c r="H1099" s="261">
        <v>240</v>
      </c>
      <c r="I1099" s="261"/>
      <c r="J1099" s="261"/>
      <c r="K1099" s="261"/>
      <c r="L1099" s="261"/>
      <c r="M1099" s="261"/>
      <c r="N1099" s="261"/>
      <c r="O1099" s="261"/>
      <c r="P1099" s="261"/>
      <c r="Q1099" s="261"/>
      <c r="R1099" s="261"/>
      <c r="S1099" s="261"/>
      <c r="T1099" s="261"/>
      <c r="U1099" s="261"/>
      <c r="V1099" s="762"/>
      <c r="W1099" s="762"/>
      <c r="X1099" s="762"/>
      <c r="Y1099" s="264">
        <f>IF(NFI_Expiration=1,IF($A1099&lt;VLOOKUP(H$5,NFI,5,0),1,0)*Table_NFI[[#This Row],[Hygiene Kit]],Table_NFI[Hygiene Kit])</f>
        <v>0</v>
      </c>
      <c r="Z1099" s="264">
        <f>IF(NFI_Expiration=1,IF($A1099&lt;VLOOKUP(I$5,NFI,5,0),1,0)*Table_NFI[[#This Row],[NFI Core Kit]],Table_NFI[NFI Core Kit])</f>
        <v>0</v>
      </c>
      <c r="AA1099" s="264">
        <f>IF(NFI_Expiration=1,IF($A1099&lt;VLOOKUP(J$5,NFI,5,0),1,0)*Table_NFI[[#This Row],[Sanitary Kit]],Table_NFI[Sanitary Kit])</f>
        <v>0</v>
      </c>
      <c r="AB1099" s="264">
        <f>IF(NFI_Expiration=1,IF($A1099&lt;VLOOKUP(K$5,NFI,5,0),1,0)*Table_NFI[[#This Row],[Mosquito net]],Table_NFI[Mosquito net])</f>
        <v>0</v>
      </c>
      <c r="AC1099" s="264">
        <f>IF(NFI_Expiration=1,IF($A1099&lt;VLOOKUP(L$5,NFI,5,0),1,0)*Table_NFI[[#This Row],[Tarpaulin]],Table_NFI[[#This Row],[Tarpaulin]])</f>
        <v>0</v>
      </c>
      <c r="AD1099" s="264">
        <f>IF(NFI_Expiration=1,IF($A1099&lt;VLOOKUP(M$5,NFI,5,0),1,0)*Table_NFI[[#This Row],[Blanket]],Table_NFI[[#This Row],[Blanket]])</f>
        <v>0</v>
      </c>
      <c r="AE1099" s="264">
        <f>IF(NFI_Expiration=1,IF($A1099&lt;VLOOKUP(N$5,NFI,5,0),1,0)*Table_NFI[[#This Row],[Kitchen Set]],Table_NFI[Kitchen Set])</f>
        <v>0</v>
      </c>
      <c r="AF1099" s="264">
        <f>IF(NFI_Expiration=1,IF($A1099&lt;VLOOKUP(O$5,NFI,5,0),1,0)*Table_NFI[[#This Row],[Clothes Kit]],Table_NFI[Clothes Kit])</f>
        <v>0</v>
      </c>
      <c r="AG1099" s="264">
        <f>IF(NFI_Expiration=1,IF($A1099&lt;VLOOKUP(P$5,NFI,5,0),1,0)*Table_NFI[[#This Row],[Plastic Bucket]],Table_NFI[Plastic Bucket])</f>
        <v>0</v>
      </c>
      <c r="AH1099" s="264">
        <f>IF(NFI_Expiration=1,IF($A1099&lt;VLOOKUP(Q$5,NFI,5,0),1,0)*Table_NFI[[#This Row],[Plastic Mat]],Table_NFI[Plastic Mat])*IF(Table_NFI[[#This Row],[Distribution Date]]&gt;"2014-04-01",1,2.5)</f>
        <v>0</v>
      </c>
      <c r="AI1099" s="264">
        <f>IF(NFI_Expiration=1,IF($A1099&lt;VLOOKUP(R$5,NFI,5,0),1,0)*Table_NFI[[#This Row],[Winter Clothes Adult]],Table_NFI[Winter Clothes Adult])</f>
        <v>0</v>
      </c>
      <c r="AJ1099" s="264">
        <f>IF(NFI_Expiration=1,IF($A1099&lt;VLOOKUP(S$5,NFI,5,0),1,0)*Table_NFI[[#This Row],[Winter Clothes Children]],Table_NFI[Winter Clothes Children])</f>
        <v>0</v>
      </c>
      <c r="AK1099" s="264">
        <f>IF(NFI_Expiration=1,IF($A1099&lt;VLOOKUP(T$5,NFI,5,0),1,0)*Table_NFI[[#This Row],[Winter Items Other]],Table_NFI[Winter Items Other])</f>
        <v>0</v>
      </c>
      <c r="AL1099" s="264">
        <f>IF(NFI_Expiration=1,IF($A1099&lt;VLOOKUP(M$5,NFI,5,0),1,0)*Table_NFI[[#This Row],[Winter Blanket]],Table_NFI[[#This Row],[Winter Blanket]])</f>
        <v>0</v>
      </c>
      <c r="AM1099" s="264">
        <f>IF(Table_NFI[[#This Row],[Winter Clothes Adult]]+Table_NFI[[#This Row],[Winter Clothes Children]]+Table_NFI[[#This Row],[Winter Items Other]]+Table_NFI[[#This Row],[Winter Blanket]]&gt;0,1,0)</f>
        <v>0</v>
      </c>
      <c r="AN1099" s="296">
        <f>IF(NFI_Expiration=1,IF($A1099&lt;VLOOKUP(V$5,NFI,5,0),1,0)*Table_NFI[[#This Row],[Jerry Can]],Table_NFI[Jerry Can])</f>
        <v>0</v>
      </c>
      <c r="AO1099" s="296">
        <f>IF(NFI_Expiration=1,IF($A1099&lt;VLOOKUP(V$5,NFI,5,0),1,0)*Table_NFI[[#This Row],[Shelter Tool kit]],Table_NFI[Shelter Tool kit])</f>
        <v>0</v>
      </c>
      <c r="AP1099" s="296">
        <f>IF(NFI_Expiration=1,IF($A1099&lt;VLOOKUP(V$5,NFI,5,0),1,0)*Table_NFI[[#This Row],[Tent]],Table_NFI[Tent])</f>
        <v>0</v>
      </c>
      <c r="AQ1099" s="396" t="str">
        <f>IFERROR(VLOOKUP(Table_NFI[[#This Row],[Camp Name]],CL,2,0),"")</f>
        <v>MMR001CMP052</v>
      </c>
      <c r="AR1099" s="702">
        <f ca="1">IF(Table_NFI[[#This Row],[Pcode]]="","",IF(OFFSET(CampList[Opening Date],MATCH(Table_NFI[[#This Row],[Pcode]],CampList[CP_Pcode],0)-1,0,1,1)&gt;=NFI_Monitor_Date,1,0))</f>
        <v>0</v>
      </c>
      <c r="AS1099" s="396" t="str">
        <f>IFERROR(VLOOKUP(Table_NFI[[#This Row],[Camp Name]],CL,3,0),"")</f>
        <v>Open</v>
      </c>
      <c r="AT1099" s="264" t="str">
        <f ca="1">IF(Table_NFI[[#This Row],[Pcode]]="","",OFFSET(CampList[Priority],MATCH(Table_NFI[[#This Row],[Pcode]],CampList[CP_Pcode],0)-1,0,1,1))</f>
        <v>P4</v>
      </c>
      <c r="AU1099" s="263">
        <f>IFERROR(Table_NFI[[#This Row],[Kitchen Set]]/VLOOKUP(Table_NFI[[#This Row],[Camp Name]],CL,4,0),"")</f>
        <v>0</v>
      </c>
      <c r="AV1099" s="390"/>
      <c r="AW1099" s="392"/>
    </row>
    <row r="1100" spans="1:49" s="399" customFormat="1" ht="15.75" customHeight="1" x14ac:dyDescent="0.25">
      <c r="A1100" s="266">
        <f t="shared" si="17"/>
        <v>63.4</v>
      </c>
      <c r="B1100" s="389">
        <v>40954</v>
      </c>
      <c r="C1100" s="391" t="s">
        <v>904</v>
      </c>
      <c r="D1100" s="391" t="s">
        <v>904</v>
      </c>
      <c r="E1100" s="390" t="s">
        <v>380</v>
      </c>
      <c r="F1100" s="390" t="s">
        <v>302</v>
      </c>
      <c r="G1100" s="262" t="s">
        <v>12</v>
      </c>
      <c r="H1100" s="261">
        <v>1070</v>
      </c>
      <c r="I1100" s="261"/>
      <c r="J1100" s="261"/>
      <c r="K1100" s="261"/>
      <c r="L1100" s="261"/>
      <c r="M1100" s="261"/>
      <c r="N1100" s="261"/>
      <c r="O1100" s="261"/>
      <c r="P1100" s="261"/>
      <c r="Q1100" s="261"/>
      <c r="R1100" s="261"/>
      <c r="S1100" s="261"/>
      <c r="T1100" s="261"/>
      <c r="U1100" s="261"/>
      <c r="V1100" s="762"/>
      <c r="W1100" s="762"/>
      <c r="X1100" s="762"/>
      <c r="Y1100" s="264">
        <f>IF(NFI_Expiration=1,IF($A1100&lt;VLOOKUP(H$5,NFI,5,0),1,0)*Table_NFI[[#This Row],[Hygiene Kit]],Table_NFI[Hygiene Kit])</f>
        <v>0</v>
      </c>
      <c r="Z1100" s="264">
        <f>IF(NFI_Expiration=1,IF($A1100&lt;VLOOKUP(I$5,NFI,5,0),1,0)*Table_NFI[[#This Row],[NFI Core Kit]],Table_NFI[NFI Core Kit])</f>
        <v>0</v>
      </c>
      <c r="AA1100" s="264">
        <f>IF(NFI_Expiration=1,IF($A1100&lt;VLOOKUP(J$5,NFI,5,0),1,0)*Table_NFI[[#This Row],[Sanitary Kit]],Table_NFI[Sanitary Kit])</f>
        <v>0</v>
      </c>
      <c r="AB1100" s="264">
        <f>IF(NFI_Expiration=1,IF($A1100&lt;VLOOKUP(K$5,NFI,5,0),1,0)*Table_NFI[[#This Row],[Mosquito net]],Table_NFI[Mosquito net])</f>
        <v>0</v>
      </c>
      <c r="AC1100" s="264">
        <f>IF(NFI_Expiration=1,IF($A1100&lt;VLOOKUP(L$5,NFI,5,0),1,0)*Table_NFI[[#This Row],[Tarpaulin]],Table_NFI[[#This Row],[Tarpaulin]])</f>
        <v>0</v>
      </c>
      <c r="AD1100" s="264">
        <f>IF(NFI_Expiration=1,IF($A1100&lt;VLOOKUP(M$5,NFI,5,0),1,0)*Table_NFI[[#This Row],[Blanket]],Table_NFI[[#This Row],[Blanket]])</f>
        <v>0</v>
      </c>
      <c r="AE1100" s="264">
        <f>IF(NFI_Expiration=1,IF($A1100&lt;VLOOKUP(N$5,NFI,5,0),1,0)*Table_NFI[[#This Row],[Kitchen Set]],Table_NFI[Kitchen Set])</f>
        <v>0</v>
      </c>
      <c r="AF1100" s="264">
        <f>IF(NFI_Expiration=1,IF($A1100&lt;VLOOKUP(O$5,NFI,5,0),1,0)*Table_NFI[[#This Row],[Clothes Kit]],Table_NFI[Clothes Kit])</f>
        <v>0</v>
      </c>
      <c r="AG1100" s="264">
        <f>IF(NFI_Expiration=1,IF($A1100&lt;VLOOKUP(P$5,NFI,5,0),1,0)*Table_NFI[[#This Row],[Plastic Bucket]],Table_NFI[Plastic Bucket])</f>
        <v>0</v>
      </c>
      <c r="AH1100" s="264">
        <f>IF(NFI_Expiration=1,IF($A1100&lt;VLOOKUP(Q$5,NFI,5,0),1,0)*Table_NFI[[#This Row],[Plastic Mat]],Table_NFI[Plastic Mat])*IF(Table_NFI[[#This Row],[Distribution Date]]&gt;"2014-04-01",1,2.5)</f>
        <v>0</v>
      </c>
      <c r="AI1100" s="264">
        <f>IF(NFI_Expiration=1,IF($A1100&lt;VLOOKUP(R$5,NFI,5,0),1,0)*Table_NFI[[#This Row],[Winter Clothes Adult]],Table_NFI[Winter Clothes Adult])</f>
        <v>0</v>
      </c>
      <c r="AJ1100" s="264">
        <f>IF(NFI_Expiration=1,IF($A1100&lt;VLOOKUP(S$5,NFI,5,0),1,0)*Table_NFI[[#This Row],[Winter Clothes Children]],Table_NFI[Winter Clothes Children])</f>
        <v>0</v>
      </c>
      <c r="AK1100" s="264">
        <f>IF(NFI_Expiration=1,IF($A1100&lt;VLOOKUP(T$5,NFI,5,0),1,0)*Table_NFI[[#This Row],[Winter Items Other]],Table_NFI[Winter Items Other])</f>
        <v>0</v>
      </c>
      <c r="AL1100" s="264">
        <f>IF(NFI_Expiration=1,IF($A1100&lt;VLOOKUP(M$5,NFI,5,0),1,0)*Table_NFI[[#This Row],[Winter Blanket]],Table_NFI[[#This Row],[Winter Blanket]])</f>
        <v>0</v>
      </c>
      <c r="AM1100" s="264">
        <f>IF(Table_NFI[[#This Row],[Winter Clothes Adult]]+Table_NFI[[#This Row],[Winter Clothes Children]]+Table_NFI[[#This Row],[Winter Items Other]]+Table_NFI[[#This Row],[Winter Blanket]]&gt;0,1,0)</f>
        <v>0</v>
      </c>
      <c r="AN1100" s="296">
        <f>IF(NFI_Expiration=1,IF($A1100&lt;VLOOKUP(V$5,NFI,5,0),1,0)*Table_NFI[[#This Row],[Jerry Can]],Table_NFI[Jerry Can])</f>
        <v>0</v>
      </c>
      <c r="AO1100" s="296">
        <f>IF(NFI_Expiration=1,IF($A1100&lt;VLOOKUP(V$5,NFI,5,0),1,0)*Table_NFI[[#This Row],[Shelter Tool kit]],Table_NFI[Shelter Tool kit])</f>
        <v>0</v>
      </c>
      <c r="AP1100" s="296">
        <f>IF(NFI_Expiration=1,IF($A1100&lt;VLOOKUP(V$5,NFI,5,0),1,0)*Table_NFI[[#This Row],[Tent]],Table_NFI[Tent])</f>
        <v>0</v>
      </c>
      <c r="AQ1100" s="396" t="str">
        <f>IFERROR(VLOOKUP(Table_NFI[[#This Row],[Camp Name]],CL,2,0),"")</f>
        <v>MMR001CMP163</v>
      </c>
      <c r="AR1100" s="702">
        <f ca="1">IF(Table_NFI[[#This Row],[Pcode]]="","",IF(OFFSET(CampList[Opening Date],MATCH(Table_NFI[[#This Row],[Pcode]],CampList[CP_Pcode],0)-1,0,1,1)&gt;=NFI_Monitor_Date,1,0))</f>
        <v>0</v>
      </c>
      <c r="AS1100" s="396" t="str">
        <f>IFERROR(VLOOKUP(Table_NFI[[#This Row],[Camp Name]],CL,3,0),"")</f>
        <v>Open</v>
      </c>
      <c r="AT1100" s="264" t="str">
        <f ca="1">IF(Table_NFI[[#This Row],[Pcode]]="","",OFFSET(CampList[Priority],MATCH(Table_NFI[[#This Row],[Pcode]],CampList[CP_Pcode],0)-1,0,1,1))</f>
        <v>P4</v>
      </c>
      <c r="AU1100" s="263" t="str">
        <f>IFERROR(Table_NFI[[#This Row],[Kitchen Set]]/VLOOKUP(Table_NFI[[#This Row],[Camp Name]],CL,4,0),"")</f>
        <v/>
      </c>
      <c r="AV1100" s="390"/>
      <c r="AW1100" s="392"/>
    </row>
    <row r="1101" spans="1:49" s="399" customFormat="1" ht="15.75" customHeight="1" x14ac:dyDescent="0.25">
      <c r="A1101" s="266">
        <f t="shared" si="17"/>
        <v>63.4</v>
      </c>
      <c r="B1101" s="389">
        <v>40954</v>
      </c>
      <c r="C1101" s="390" t="s">
        <v>904</v>
      </c>
      <c r="D1101" s="390" t="s">
        <v>904</v>
      </c>
      <c r="E1101" s="390" t="s">
        <v>380</v>
      </c>
      <c r="F1101" s="262" t="s">
        <v>185</v>
      </c>
      <c r="G1101" s="262" t="s">
        <v>202</v>
      </c>
      <c r="H1101" s="261">
        <v>8</v>
      </c>
      <c r="I1101" s="261"/>
      <c r="J1101" s="261"/>
      <c r="K1101" s="261"/>
      <c r="L1101" s="261"/>
      <c r="M1101" s="261"/>
      <c r="N1101" s="261"/>
      <c r="O1101" s="261"/>
      <c r="P1101" s="261"/>
      <c r="Q1101" s="261"/>
      <c r="R1101" s="261"/>
      <c r="S1101" s="261"/>
      <c r="T1101" s="261"/>
      <c r="U1101" s="261"/>
      <c r="V1101" s="762"/>
      <c r="W1101" s="762"/>
      <c r="X1101" s="762"/>
      <c r="Y1101" s="264">
        <f>IF(NFI_Expiration=1,IF($A1101&lt;VLOOKUP(H$5,NFI,5,0),1,0)*Table_NFI[[#This Row],[Hygiene Kit]],Table_NFI[Hygiene Kit])</f>
        <v>0</v>
      </c>
      <c r="Z1101" s="264">
        <f>IF(NFI_Expiration=1,IF($A1101&lt;VLOOKUP(I$5,NFI,5,0),1,0)*Table_NFI[[#This Row],[NFI Core Kit]],Table_NFI[NFI Core Kit])</f>
        <v>0</v>
      </c>
      <c r="AA1101" s="264">
        <f>IF(NFI_Expiration=1,IF($A1101&lt;VLOOKUP(J$5,NFI,5,0),1,0)*Table_NFI[[#This Row],[Sanitary Kit]],Table_NFI[Sanitary Kit])</f>
        <v>0</v>
      </c>
      <c r="AB1101" s="264">
        <f>IF(NFI_Expiration=1,IF($A1101&lt;VLOOKUP(K$5,NFI,5,0),1,0)*Table_NFI[[#This Row],[Mosquito net]],Table_NFI[Mosquito net])</f>
        <v>0</v>
      </c>
      <c r="AC1101" s="264">
        <f>IF(NFI_Expiration=1,IF($A1101&lt;VLOOKUP(L$5,NFI,5,0),1,0)*Table_NFI[[#This Row],[Tarpaulin]],Table_NFI[[#This Row],[Tarpaulin]])</f>
        <v>0</v>
      </c>
      <c r="AD1101" s="264">
        <f>IF(NFI_Expiration=1,IF($A1101&lt;VLOOKUP(M$5,NFI,5,0),1,0)*Table_NFI[[#This Row],[Blanket]],Table_NFI[[#This Row],[Blanket]])</f>
        <v>0</v>
      </c>
      <c r="AE1101" s="264">
        <f>IF(NFI_Expiration=1,IF($A1101&lt;VLOOKUP(N$5,NFI,5,0),1,0)*Table_NFI[[#This Row],[Kitchen Set]],Table_NFI[Kitchen Set])</f>
        <v>0</v>
      </c>
      <c r="AF1101" s="264">
        <f>IF(NFI_Expiration=1,IF($A1101&lt;VLOOKUP(O$5,NFI,5,0),1,0)*Table_NFI[[#This Row],[Clothes Kit]],Table_NFI[Clothes Kit])</f>
        <v>0</v>
      </c>
      <c r="AG1101" s="264">
        <f>IF(NFI_Expiration=1,IF($A1101&lt;VLOOKUP(P$5,NFI,5,0),1,0)*Table_NFI[[#This Row],[Plastic Bucket]],Table_NFI[Plastic Bucket])</f>
        <v>0</v>
      </c>
      <c r="AH1101" s="264">
        <f>IF(NFI_Expiration=1,IF($A1101&lt;VLOOKUP(Q$5,NFI,5,0),1,0)*Table_NFI[[#This Row],[Plastic Mat]],Table_NFI[Plastic Mat])*IF(Table_NFI[[#This Row],[Distribution Date]]&gt;"2014-04-01",1,2.5)</f>
        <v>0</v>
      </c>
      <c r="AI1101" s="264">
        <f>IF(NFI_Expiration=1,IF($A1101&lt;VLOOKUP(R$5,NFI,5,0),1,0)*Table_NFI[[#This Row],[Winter Clothes Adult]],Table_NFI[Winter Clothes Adult])</f>
        <v>0</v>
      </c>
      <c r="AJ1101" s="264">
        <f>IF(NFI_Expiration=1,IF($A1101&lt;VLOOKUP(S$5,NFI,5,0),1,0)*Table_NFI[[#This Row],[Winter Clothes Children]],Table_NFI[Winter Clothes Children])</f>
        <v>0</v>
      </c>
      <c r="AK1101" s="264">
        <f>IF(NFI_Expiration=1,IF($A1101&lt;VLOOKUP(T$5,NFI,5,0),1,0)*Table_NFI[[#This Row],[Winter Items Other]],Table_NFI[Winter Items Other])</f>
        <v>0</v>
      </c>
      <c r="AL1101" s="264">
        <f>IF(NFI_Expiration=1,IF($A1101&lt;VLOOKUP(M$5,NFI,5,0),1,0)*Table_NFI[[#This Row],[Winter Blanket]],Table_NFI[[#This Row],[Winter Blanket]])</f>
        <v>0</v>
      </c>
      <c r="AM1101" s="264">
        <f>IF(Table_NFI[[#This Row],[Winter Clothes Adult]]+Table_NFI[[#This Row],[Winter Clothes Children]]+Table_NFI[[#This Row],[Winter Items Other]]+Table_NFI[[#This Row],[Winter Blanket]]&gt;0,1,0)</f>
        <v>0</v>
      </c>
      <c r="AN1101" s="296">
        <f>IF(NFI_Expiration=1,IF($A1101&lt;VLOOKUP(V$5,NFI,5,0),1,0)*Table_NFI[[#This Row],[Jerry Can]],Table_NFI[Jerry Can])</f>
        <v>0</v>
      </c>
      <c r="AO1101" s="296">
        <f>IF(NFI_Expiration=1,IF($A1101&lt;VLOOKUP(V$5,NFI,5,0),1,0)*Table_NFI[[#This Row],[Shelter Tool kit]],Table_NFI[Shelter Tool kit])</f>
        <v>0</v>
      </c>
      <c r="AP1101" s="296">
        <f>IF(NFI_Expiration=1,IF($A1101&lt;VLOOKUP(V$5,NFI,5,0),1,0)*Table_NFI[[#This Row],[Tent]],Table_NFI[Tent])</f>
        <v>0</v>
      </c>
      <c r="AQ1101" s="396" t="str">
        <f>IFERROR(VLOOKUP(Table_NFI[[#This Row],[Camp Name]],CL,2,0),"")</f>
        <v>MMR001CMP062</v>
      </c>
      <c r="AR1101" s="702">
        <f ca="1">IF(Table_NFI[[#This Row],[Pcode]]="","",IF(OFFSET(CampList[Opening Date],MATCH(Table_NFI[[#This Row],[Pcode]],CampList[CP_Pcode],0)-1,0,1,1)&gt;=NFI_Monitor_Date,1,0))</f>
        <v>0</v>
      </c>
      <c r="AS1101" s="396" t="str">
        <f>IFERROR(VLOOKUP(Table_NFI[[#This Row],[Camp Name]],CL,3,0),"")</f>
        <v>Open</v>
      </c>
      <c r="AT1101" s="264" t="str">
        <f ca="1">IF(Table_NFI[[#This Row],[Pcode]]="","",OFFSET(CampList[Priority],MATCH(Table_NFI[[#This Row],[Pcode]],CampList[CP_Pcode],0)-1,0,1,1))</f>
        <v>P4</v>
      </c>
      <c r="AU1101" s="263">
        <f>IFERROR(Table_NFI[[#This Row],[Kitchen Set]]/VLOOKUP(Table_NFI[[#This Row],[Camp Name]],CL,4,0),"")</f>
        <v>0</v>
      </c>
      <c r="AV1101" s="390"/>
      <c r="AW1101" s="392"/>
    </row>
    <row r="1102" spans="1:49" s="399" customFormat="1" ht="15.75" customHeight="1" x14ac:dyDescent="0.25">
      <c r="A1102" s="266">
        <f t="shared" si="17"/>
        <v>63.43333333333333</v>
      </c>
      <c r="B1102" s="389">
        <v>40953</v>
      </c>
      <c r="C1102" s="391" t="s">
        <v>904</v>
      </c>
      <c r="D1102" s="391" t="s">
        <v>904</v>
      </c>
      <c r="E1102" s="390" t="s">
        <v>380</v>
      </c>
      <c r="F1102" s="390" t="s">
        <v>302</v>
      </c>
      <c r="G1102" s="262" t="s">
        <v>12</v>
      </c>
      <c r="H1102" s="261">
        <v>429</v>
      </c>
      <c r="I1102" s="261"/>
      <c r="J1102" s="261"/>
      <c r="K1102" s="261"/>
      <c r="L1102" s="261"/>
      <c r="M1102" s="261"/>
      <c r="N1102" s="261"/>
      <c r="O1102" s="261"/>
      <c r="P1102" s="261"/>
      <c r="Q1102" s="261"/>
      <c r="R1102" s="261"/>
      <c r="S1102" s="261"/>
      <c r="T1102" s="261"/>
      <c r="U1102" s="261"/>
      <c r="V1102" s="762"/>
      <c r="W1102" s="762"/>
      <c r="X1102" s="762"/>
      <c r="Y1102" s="264">
        <f>IF(NFI_Expiration=1,IF($A1102&lt;VLOOKUP(H$5,NFI,5,0),1,0)*Table_NFI[[#This Row],[Hygiene Kit]],Table_NFI[Hygiene Kit])</f>
        <v>0</v>
      </c>
      <c r="Z1102" s="264">
        <f>IF(NFI_Expiration=1,IF($A1102&lt;VLOOKUP(I$5,NFI,5,0),1,0)*Table_NFI[[#This Row],[NFI Core Kit]],Table_NFI[NFI Core Kit])</f>
        <v>0</v>
      </c>
      <c r="AA1102" s="264">
        <f>IF(NFI_Expiration=1,IF($A1102&lt;VLOOKUP(J$5,NFI,5,0),1,0)*Table_NFI[[#This Row],[Sanitary Kit]],Table_NFI[Sanitary Kit])</f>
        <v>0</v>
      </c>
      <c r="AB1102" s="264">
        <f>IF(NFI_Expiration=1,IF($A1102&lt;VLOOKUP(K$5,NFI,5,0),1,0)*Table_NFI[[#This Row],[Mosquito net]],Table_NFI[Mosquito net])</f>
        <v>0</v>
      </c>
      <c r="AC1102" s="264">
        <f>IF(NFI_Expiration=1,IF($A1102&lt;VLOOKUP(L$5,NFI,5,0),1,0)*Table_NFI[[#This Row],[Tarpaulin]],Table_NFI[[#This Row],[Tarpaulin]])</f>
        <v>0</v>
      </c>
      <c r="AD1102" s="264">
        <f>IF(NFI_Expiration=1,IF($A1102&lt;VLOOKUP(M$5,NFI,5,0),1,0)*Table_NFI[[#This Row],[Blanket]],Table_NFI[[#This Row],[Blanket]])</f>
        <v>0</v>
      </c>
      <c r="AE1102" s="264">
        <f>IF(NFI_Expiration=1,IF($A1102&lt;VLOOKUP(N$5,NFI,5,0),1,0)*Table_NFI[[#This Row],[Kitchen Set]],Table_NFI[Kitchen Set])</f>
        <v>0</v>
      </c>
      <c r="AF1102" s="264">
        <f>IF(NFI_Expiration=1,IF($A1102&lt;VLOOKUP(O$5,NFI,5,0),1,0)*Table_NFI[[#This Row],[Clothes Kit]],Table_NFI[Clothes Kit])</f>
        <v>0</v>
      </c>
      <c r="AG1102" s="264">
        <f>IF(NFI_Expiration=1,IF($A1102&lt;VLOOKUP(P$5,NFI,5,0),1,0)*Table_NFI[[#This Row],[Plastic Bucket]],Table_NFI[Plastic Bucket])</f>
        <v>0</v>
      </c>
      <c r="AH1102" s="264">
        <f>IF(NFI_Expiration=1,IF($A1102&lt;VLOOKUP(Q$5,NFI,5,0),1,0)*Table_NFI[[#This Row],[Plastic Mat]],Table_NFI[Plastic Mat])*IF(Table_NFI[[#This Row],[Distribution Date]]&gt;"2014-04-01",1,2.5)</f>
        <v>0</v>
      </c>
      <c r="AI1102" s="264">
        <f>IF(NFI_Expiration=1,IF($A1102&lt;VLOOKUP(R$5,NFI,5,0),1,0)*Table_NFI[[#This Row],[Winter Clothes Adult]],Table_NFI[Winter Clothes Adult])</f>
        <v>0</v>
      </c>
      <c r="AJ1102" s="264">
        <f>IF(NFI_Expiration=1,IF($A1102&lt;VLOOKUP(S$5,NFI,5,0),1,0)*Table_NFI[[#This Row],[Winter Clothes Children]],Table_NFI[Winter Clothes Children])</f>
        <v>0</v>
      </c>
      <c r="AK1102" s="264">
        <f>IF(NFI_Expiration=1,IF($A1102&lt;VLOOKUP(T$5,NFI,5,0),1,0)*Table_NFI[[#This Row],[Winter Items Other]],Table_NFI[Winter Items Other])</f>
        <v>0</v>
      </c>
      <c r="AL1102" s="264">
        <f>IF(NFI_Expiration=1,IF($A1102&lt;VLOOKUP(M$5,NFI,5,0),1,0)*Table_NFI[[#This Row],[Winter Blanket]],Table_NFI[[#This Row],[Winter Blanket]])</f>
        <v>0</v>
      </c>
      <c r="AM1102" s="264">
        <f>IF(Table_NFI[[#This Row],[Winter Clothes Adult]]+Table_NFI[[#This Row],[Winter Clothes Children]]+Table_NFI[[#This Row],[Winter Items Other]]+Table_NFI[[#This Row],[Winter Blanket]]&gt;0,1,0)</f>
        <v>0</v>
      </c>
      <c r="AN1102" s="296">
        <f>IF(NFI_Expiration=1,IF($A1102&lt;VLOOKUP(V$5,NFI,5,0),1,0)*Table_NFI[[#This Row],[Jerry Can]],Table_NFI[Jerry Can])</f>
        <v>0</v>
      </c>
      <c r="AO1102" s="296">
        <f>IF(NFI_Expiration=1,IF($A1102&lt;VLOOKUP(V$5,NFI,5,0),1,0)*Table_NFI[[#This Row],[Shelter Tool kit]],Table_NFI[Shelter Tool kit])</f>
        <v>0</v>
      </c>
      <c r="AP1102" s="296">
        <f>IF(NFI_Expiration=1,IF($A1102&lt;VLOOKUP(V$5,NFI,5,0),1,0)*Table_NFI[[#This Row],[Tent]],Table_NFI[Tent])</f>
        <v>0</v>
      </c>
      <c r="AQ1102" s="396" t="str">
        <f>IFERROR(VLOOKUP(Table_NFI[[#This Row],[Camp Name]],CL,2,0),"")</f>
        <v>MMR001CMP163</v>
      </c>
      <c r="AR1102" s="702">
        <f ca="1">IF(Table_NFI[[#This Row],[Pcode]]="","",IF(OFFSET(CampList[Opening Date],MATCH(Table_NFI[[#This Row],[Pcode]],CampList[CP_Pcode],0)-1,0,1,1)&gt;=NFI_Monitor_Date,1,0))</f>
        <v>0</v>
      </c>
      <c r="AS1102" s="396" t="str">
        <f>IFERROR(VLOOKUP(Table_NFI[[#This Row],[Camp Name]],CL,3,0),"")</f>
        <v>Open</v>
      </c>
      <c r="AT1102" s="264" t="str">
        <f ca="1">IF(Table_NFI[[#This Row],[Pcode]]="","",OFFSET(CampList[Priority],MATCH(Table_NFI[[#This Row],[Pcode]],CampList[CP_Pcode],0)-1,0,1,1))</f>
        <v>P4</v>
      </c>
      <c r="AU1102" s="263" t="str">
        <f>IFERROR(Table_NFI[[#This Row],[Kitchen Set]]/VLOOKUP(Table_NFI[[#This Row],[Camp Name]],CL,4,0),"")</f>
        <v/>
      </c>
      <c r="AV1102" s="390"/>
      <c r="AW1102" s="392"/>
    </row>
    <row r="1103" spans="1:49" s="399" customFormat="1" ht="14.45" customHeight="1" x14ac:dyDescent="0.25">
      <c r="A1103" s="266">
        <f t="shared" si="17"/>
        <v>63.56666666666667</v>
      </c>
      <c r="B1103" s="389">
        <v>40949</v>
      </c>
      <c r="C1103" s="390" t="s">
        <v>904</v>
      </c>
      <c r="D1103" s="391" t="s">
        <v>904</v>
      </c>
      <c r="E1103" s="390" t="s">
        <v>380</v>
      </c>
      <c r="F1103" s="262" t="s">
        <v>185</v>
      </c>
      <c r="G1103" s="262" t="s">
        <v>211</v>
      </c>
      <c r="H1103" s="261">
        <v>192</v>
      </c>
      <c r="I1103" s="261"/>
      <c r="J1103" s="261"/>
      <c r="K1103" s="261"/>
      <c r="L1103" s="261"/>
      <c r="M1103" s="261"/>
      <c r="N1103" s="261"/>
      <c r="O1103" s="261"/>
      <c r="P1103" s="261"/>
      <c r="Q1103" s="261"/>
      <c r="R1103" s="261"/>
      <c r="S1103" s="261"/>
      <c r="T1103" s="261"/>
      <c r="U1103" s="261"/>
      <c r="V1103" s="762"/>
      <c r="W1103" s="762"/>
      <c r="X1103" s="762"/>
      <c r="Y1103" s="264">
        <f>IF(NFI_Expiration=1,IF($A1103&lt;VLOOKUP(H$5,NFI,5,0),1,0)*Table_NFI[[#This Row],[Hygiene Kit]],Table_NFI[Hygiene Kit])</f>
        <v>0</v>
      </c>
      <c r="Z1103" s="264">
        <f>IF(NFI_Expiration=1,IF($A1103&lt;VLOOKUP(I$5,NFI,5,0),1,0)*Table_NFI[[#This Row],[NFI Core Kit]],Table_NFI[NFI Core Kit])</f>
        <v>0</v>
      </c>
      <c r="AA1103" s="264">
        <f>IF(NFI_Expiration=1,IF($A1103&lt;VLOOKUP(J$5,NFI,5,0),1,0)*Table_NFI[[#This Row],[Sanitary Kit]],Table_NFI[Sanitary Kit])</f>
        <v>0</v>
      </c>
      <c r="AB1103" s="264">
        <f>IF(NFI_Expiration=1,IF($A1103&lt;VLOOKUP(K$5,NFI,5,0),1,0)*Table_NFI[[#This Row],[Mosquito net]],Table_NFI[Mosquito net])</f>
        <v>0</v>
      </c>
      <c r="AC1103" s="264">
        <f>IF(NFI_Expiration=1,IF($A1103&lt;VLOOKUP(L$5,NFI,5,0),1,0)*Table_NFI[[#This Row],[Tarpaulin]],Table_NFI[[#This Row],[Tarpaulin]])</f>
        <v>0</v>
      </c>
      <c r="AD1103" s="264">
        <f>IF(NFI_Expiration=1,IF($A1103&lt;VLOOKUP(M$5,NFI,5,0),1,0)*Table_NFI[[#This Row],[Blanket]],Table_NFI[[#This Row],[Blanket]])</f>
        <v>0</v>
      </c>
      <c r="AE1103" s="264">
        <f>IF(NFI_Expiration=1,IF($A1103&lt;VLOOKUP(N$5,NFI,5,0),1,0)*Table_NFI[[#This Row],[Kitchen Set]],Table_NFI[Kitchen Set])</f>
        <v>0</v>
      </c>
      <c r="AF1103" s="264">
        <f>IF(NFI_Expiration=1,IF($A1103&lt;VLOOKUP(O$5,NFI,5,0),1,0)*Table_NFI[[#This Row],[Clothes Kit]],Table_NFI[Clothes Kit])</f>
        <v>0</v>
      </c>
      <c r="AG1103" s="264">
        <f>IF(NFI_Expiration=1,IF($A1103&lt;VLOOKUP(P$5,NFI,5,0),1,0)*Table_NFI[[#This Row],[Plastic Bucket]],Table_NFI[Plastic Bucket])</f>
        <v>0</v>
      </c>
      <c r="AH1103" s="264">
        <f>IF(NFI_Expiration=1,IF($A1103&lt;VLOOKUP(Q$5,NFI,5,0),1,0)*Table_NFI[[#This Row],[Plastic Mat]],Table_NFI[Plastic Mat])*IF(Table_NFI[[#This Row],[Distribution Date]]&gt;"2014-04-01",1,2.5)</f>
        <v>0</v>
      </c>
      <c r="AI1103" s="264">
        <f>IF(NFI_Expiration=1,IF($A1103&lt;VLOOKUP(R$5,NFI,5,0),1,0)*Table_NFI[[#This Row],[Winter Clothes Adult]],Table_NFI[Winter Clothes Adult])</f>
        <v>0</v>
      </c>
      <c r="AJ1103" s="264">
        <f>IF(NFI_Expiration=1,IF($A1103&lt;VLOOKUP(S$5,NFI,5,0),1,0)*Table_NFI[[#This Row],[Winter Clothes Children]],Table_NFI[Winter Clothes Children])</f>
        <v>0</v>
      </c>
      <c r="AK1103" s="264">
        <f>IF(NFI_Expiration=1,IF($A1103&lt;VLOOKUP(T$5,NFI,5,0),1,0)*Table_NFI[[#This Row],[Winter Items Other]],Table_NFI[Winter Items Other])</f>
        <v>0</v>
      </c>
      <c r="AL1103" s="264">
        <f>IF(NFI_Expiration=1,IF($A1103&lt;VLOOKUP(M$5,NFI,5,0),1,0)*Table_NFI[[#This Row],[Winter Blanket]],Table_NFI[[#This Row],[Winter Blanket]])</f>
        <v>0</v>
      </c>
      <c r="AM1103" s="264">
        <f>IF(Table_NFI[[#This Row],[Winter Clothes Adult]]+Table_NFI[[#This Row],[Winter Clothes Children]]+Table_NFI[[#This Row],[Winter Items Other]]+Table_NFI[[#This Row],[Winter Blanket]]&gt;0,1,0)</f>
        <v>0</v>
      </c>
      <c r="AN1103" s="296">
        <f>IF(NFI_Expiration=1,IF($A1103&lt;VLOOKUP(V$5,NFI,5,0),1,0)*Table_NFI[[#This Row],[Jerry Can]],Table_NFI[Jerry Can])</f>
        <v>0</v>
      </c>
      <c r="AO1103" s="296">
        <f>IF(NFI_Expiration=1,IF($A1103&lt;VLOOKUP(V$5,NFI,5,0),1,0)*Table_NFI[[#This Row],[Shelter Tool kit]],Table_NFI[Shelter Tool kit])</f>
        <v>0</v>
      </c>
      <c r="AP1103" s="296">
        <f>IF(NFI_Expiration=1,IF($A1103&lt;VLOOKUP(V$5,NFI,5,0),1,0)*Table_NFI[[#This Row],[Tent]],Table_NFI[Tent])</f>
        <v>0</v>
      </c>
      <c r="AQ1103" s="396" t="str">
        <f>IFERROR(VLOOKUP(Table_NFI[[#This Row],[Camp Name]],CL,2,0),"")</f>
        <v>MMR001CMP057</v>
      </c>
      <c r="AR1103" s="702">
        <f ca="1">IF(Table_NFI[[#This Row],[Pcode]]="","",IF(OFFSET(CampList[Opening Date],MATCH(Table_NFI[[#This Row],[Pcode]],CampList[CP_Pcode],0)-1,0,1,1)&gt;=NFI_Monitor_Date,1,0))</f>
        <v>0</v>
      </c>
      <c r="AS1103" s="396" t="str">
        <f>IFERROR(VLOOKUP(Table_NFI[[#This Row],[Camp Name]],CL,3,0),"")</f>
        <v>Closed</v>
      </c>
      <c r="AT1103" s="264" t="str">
        <f ca="1">IF(Table_NFI[[#This Row],[Pcode]]="","",OFFSET(CampList[Priority],MATCH(Table_NFI[[#This Row],[Pcode]],CampList[CP_Pcode],0)-1,0,1,1))</f>
        <v>P4</v>
      </c>
      <c r="AU1103" s="263">
        <f>IFERROR(Table_NFI[[#This Row],[Kitchen Set]]/VLOOKUP(Table_NFI[[#This Row],[Camp Name]],CL,4,0),"")</f>
        <v>0</v>
      </c>
      <c r="AV1103" s="390"/>
      <c r="AW1103" s="392"/>
    </row>
    <row r="1104" spans="1:49" s="399" customFormat="1" ht="15.75" customHeight="1" x14ac:dyDescent="0.25">
      <c r="A1104" s="266">
        <f t="shared" si="17"/>
        <v>63.6</v>
      </c>
      <c r="B1104" s="389">
        <v>40948</v>
      </c>
      <c r="C1104" s="390" t="s">
        <v>904</v>
      </c>
      <c r="D1104" s="390" t="s">
        <v>904</v>
      </c>
      <c r="E1104" s="390" t="s">
        <v>380</v>
      </c>
      <c r="F1104" s="390" t="s">
        <v>185</v>
      </c>
      <c r="G1104" s="390" t="s">
        <v>209</v>
      </c>
      <c r="H1104" s="261">
        <v>138</v>
      </c>
      <c r="I1104" s="261"/>
      <c r="J1104" s="261"/>
      <c r="K1104" s="261"/>
      <c r="L1104" s="261"/>
      <c r="M1104" s="261"/>
      <c r="N1104" s="261"/>
      <c r="O1104" s="261"/>
      <c r="P1104" s="261"/>
      <c r="Q1104" s="261"/>
      <c r="R1104" s="261"/>
      <c r="S1104" s="261"/>
      <c r="T1104" s="261"/>
      <c r="U1104" s="261"/>
      <c r="V1104" s="762"/>
      <c r="W1104" s="762"/>
      <c r="X1104" s="762"/>
      <c r="Y1104" s="264">
        <f>IF(NFI_Expiration=1,IF($A1104&lt;VLOOKUP(H$5,NFI,5,0),1,0)*Table_NFI[[#This Row],[Hygiene Kit]],Table_NFI[Hygiene Kit])</f>
        <v>0</v>
      </c>
      <c r="Z1104" s="264">
        <f>IF(NFI_Expiration=1,IF($A1104&lt;VLOOKUP(I$5,NFI,5,0),1,0)*Table_NFI[[#This Row],[NFI Core Kit]],Table_NFI[NFI Core Kit])</f>
        <v>0</v>
      </c>
      <c r="AA1104" s="264">
        <f>IF(NFI_Expiration=1,IF($A1104&lt;VLOOKUP(J$5,NFI,5,0),1,0)*Table_NFI[[#This Row],[Sanitary Kit]],Table_NFI[Sanitary Kit])</f>
        <v>0</v>
      </c>
      <c r="AB1104" s="264">
        <f>IF(NFI_Expiration=1,IF($A1104&lt;VLOOKUP(K$5,NFI,5,0),1,0)*Table_NFI[[#This Row],[Mosquito net]],Table_NFI[Mosquito net])</f>
        <v>0</v>
      </c>
      <c r="AC1104" s="264">
        <f>IF(NFI_Expiration=1,IF($A1104&lt;VLOOKUP(L$5,NFI,5,0),1,0)*Table_NFI[[#This Row],[Tarpaulin]],Table_NFI[[#This Row],[Tarpaulin]])</f>
        <v>0</v>
      </c>
      <c r="AD1104" s="264">
        <f>IF(NFI_Expiration=1,IF($A1104&lt;VLOOKUP(M$5,NFI,5,0),1,0)*Table_NFI[[#This Row],[Blanket]],Table_NFI[[#This Row],[Blanket]])</f>
        <v>0</v>
      </c>
      <c r="AE1104" s="264">
        <f>IF(NFI_Expiration=1,IF($A1104&lt;VLOOKUP(N$5,NFI,5,0),1,0)*Table_NFI[[#This Row],[Kitchen Set]],Table_NFI[Kitchen Set])</f>
        <v>0</v>
      </c>
      <c r="AF1104" s="264">
        <f>IF(NFI_Expiration=1,IF($A1104&lt;VLOOKUP(O$5,NFI,5,0),1,0)*Table_NFI[[#This Row],[Clothes Kit]],Table_NFI[Clothes Kit])</f>
        <v>0</v>
      </c>
      <c r="AG1104" s="264">
        <f>IF(NFI_Expiration=1,IF($A1104&lt;VLOOKUP(P$5,NFI,5,0),1,0)*Table_NFI[[#This Row],[Plastic Bucket]],Table_NFI[Plastic Bucket])</f>
        <v>0</v>
      </c>
      <c r="AH1104" s="264">
        <f>IF(NFI_Expiration=1,IF($A1104&lt;VLOOKUP(Q$5,NFI,5,0),1,0)*Table_NFI[[#This Row],[Plastic Mat]],Table_NFI[Plastic Mat])*IF(Table_NFI[[#This Row],[Distribution Date]]&gt;"2014-04-01",1,2.5)</f>
        <v>0</v>
      </c>
      <c r="AI1104" s="264">
        <f>IF(NFI_Expiration=1,IF($A1104&lt;VLOOKUP(R$5,NFI,5,0),1,0)*Table_NFI[[#This Row],[Winter Clothes Adult]],Table_NFI[Winter Clothes Adult])</f>
        <v>0</v>
      </c>
      <c r="AJ1104" s="264">
        <f>IF(NFI_Expiration=1,IF($A1104&lt;VLOOKUP(S$5,NFI,5,0),1,0)*Table_NFI[[#This Row],[Winter Clothes Children]],Table_NFI[Winter Clothes Children])</f>
        <v>0</v>
      </c>
      <c r="AK1104" s="264">
        <f>IF(NFI_Expiration=1,IF($A1104&lt;VLOOKUP(T$5,NFI,5,0),1,0)*Table_NFI[[#This Row],[Winter Items Other]],Table_NFI[Winter Items Other])</f>
        <v>0</v>
      </c>
      <c r="AL1104" s="264">
        <f>IF(NFI_Expiration=1,IF($A1104&lt;VLOOKUP(M$5,NFI,5,0),1,0)*Table_NFI[[#This Row],[Winter Blanket]],Table_NFI[[#This Row],[Winter Blanket]])</f>
        <v>0</v>
      </c>
      <c r="AM1104" s="264">
        <f>IF(Table_NFI[[#This Row],[Winter Clothes Adult]]+Table_NFI[[#This Row],[Winter Clothes Children]]+Table_NFI[[#This Row],[Winter Items Other]]+Table_NFI[[#This Row],[Winter Blanket]]&gt;0,1,0)</f>
        <v>0</v>
      </c>
      <c r="AN1104" s="296">
        <f>IF(NFI_Expiration=1,IF($A1104&lt;VLOOKUP(V$5,NFI,5,0),1,0)*Table_NFI[[#This Row],[Jerry Can]],Table_NFI[Jerry Can])</f>
        <v>0</v>
      </c>
      <c r="AO1104" s="296">
        <f>IF(NFI_Expiration=1,IF($A1104&lt;VLOOKUP(V$5,NFI,5,0),1,0)*Table_NFI[[#This Row],[Shelter Tool kit]],Table_NFI[Shelter Tool kit])</f>
        <v>0</v>
      </c>
      <c r="AP1104" s="296">
        <f>IF(NFI_Expiration=1,IF($A1104&lt;VLOOKUP(V$5,NFI,5,0),1,0)*Table_NFI[[#This Row],[Tent]],Table_NFI[Tent])</f>
        <v>0</v>
      </c>
      <c r="AQ1104" s="396" t="str">
        <f>IFERROR(VLOOKUP(Table_NFI[[#This Row],[Camp Name]],CL,2,0),"")</f>
        <v>MMR001CMP056</v>
      </c>
      <c r="AR1104" s="702">
        <f ca="1">IF(Table_NFI[[#This Row],[Pcode]]="","",IF(OFFSET(CampList[Opening Date],MATCH(Table_NFI[[#This Row],[Pcode]],CampList[CP_Pcode],0)-1,0,1,1)&gt;=NFI_Monitor_Date,1,0))</f>
        <v>0</v>
      </c>
      <c r="AS1104" s="396" t="str">
        <f>IFERROR(VLOOKUP(Table_NFI[[#This Row],[Camp Name]],CL,3,0),"")</f>
        <v>Open</v>
      </c>
      <c r="AT1104" s="264" t="str">
        <f ca="1">IF(Table_NFI[[#This Row],[Pcode]]="","",OFFSET(CampList[Priority],MATCH(Table_NFI[[#This Row],[Pcode]],CampList[CP_Pcode],0)-1,0,1,1))</f>
        <v>P4</v>
      </c>
      <c r="AU1104" s="263">
        <f>IFERROR(Table_NFI[[#This Row],[Kitchen Set]]/VLOOKUP(Table_NFI[[#This Row],[Camp Name]],CL,4,0),"")</f>
        <v>0</v>
      </c>
      <c r="AV1104" s="390"/>
      <c r="AW1104" s="392"/>
    </row>
    <row r="1105" spans="1:121" s="399" customFormat="1" ht="15.75" customHeight="1" x14ac:dyDescent="0.25">
      <c r="A1105" s="266">
        <f t="shared" si="17"/>
        <v>63.666666666666664</v>
      </c>
      <c r="B1105" s="389">
        <v>40946</v>
      </c>
      <c r="C1105" s="390" t="s">
        <v>451</v>
      </c>
      <c r="D1105" s="391" t="s">
        <v>901</v>
      </c>
      <c r="E1105" s="390" t="s">
        <v>380</v>
      </c>
      <c r="F1105" s="262" t="s">
        <v>237</v>
      </c>
      <c r="G1105" s="262" t="s">
        <v>263</v>
      </c>
      <c r="H1105" s="261"/>
      <c r="I1105" s="261"/>
      <c r="J1105" s="261"/>
      <c r="K1105" s="261">
        <v>38</v>
      </c>
      <c r="L1105" s="261">
        <v>18</v>
      </c>
      <c r="M1105" s="261">
        <v>38</v>
      </c>
      <c r="N1105" s="261">
        <v>18</v>
      </c>
      <c r="O1105" s="261">
        <v>18</v>
      </c>
      <c r="P1105" s="261">
        <v>18</v>
      </c>
      <c r="Q1105" s="261">
        <v>18</v>
      </c>
      <c r="R1105" s="261"/>
      <c r="S1105" s="261"/>
      <c r="T1105" s="261"/>
      <c r="U1105" s="261"/>
      <c r="V1105" s="762"/>
      <c r="W1105" s="762"/>
      <c r="X1105" s="762"/>
      <c r="Y1105" s="264">
        <f>IF(NFI_Expiration=1,IF($A1105&lt;VLOOKUP(H$5,NFI,5,0),1,0)*Table_NFI[[#This Row],[Hygiene Kit]],Table_NFI[Hygiene Kit])</f>
        <v>0</v>
      </c>
      <c r="Z1105" s="264">
        <f>IF(NFI_Expiration=1,IF($A1105&lt;VLOOKUP(I$5,NFI,5,0),1,0)*Table_NFI[[#This Row],[NFI Core Kit]],Table_NFI[NFI Core Kit])</f>
        <v>0</v>
      </c>
      <c r="AA1105" s="264">
        <f>IF(NFI_Expiration=1,IF($A1105&lt;VLOOKUP(J$5,NFI,5,0),1,0)*Table_NFI[[#This Row],[Sanitary Kit]],Table_NFI[Sanitary Kit])</f>
        <v>0</v>
      </c>
      <c r="AB1105" s="264">
        <f>IF(NFI_Expiration=1,IF($A1105&lt;VLOOKUP(K$5,NFI,5,0),1,0)*Table_NFI[[#This Row],[Mosquito net]],Table_NFI[Mosquito net])</f>
        <v>0</v>
      </c>
      <c r="AC1105" s="264">
        <f>IF(NFI_Expiration=1,IF($A1105&lt;VLOOKUP(L$5,NFI,5,0),1,0)*Table_NFI[[#This Row],[Tarpaulin]],Table_NFI[[#This Row],[Tarpaulin]])</f>
        <v>0</v>
      </c>
      <c r="AD1105" s="264">
        <f>IF(NFI_Expiration=1,IF($A1105&lt;VLOOKUP(M$5,NFI,5,0),1,0)*Table_NFI[[#This Row],[Blanket]],Table_NFI[[#This Row],[Blanket]])</f>
        <v>0</v>
      </c>
      <c r="AE1105" s="264">
        <f>IF(NFI_Expiration=1,IF($A1105&lt;VLOOKUP(N$5,NFI,5,0),1,0)*Table_NFI[[#This Row],[Kitchen Set]],Table_NFI[Kitchen Set])</f>
        <v>0</v>
      </c>
      <c r="AF1105" s="264">
        <f>IF(NFI_Expiration=1,IF($A1105&lt;VLOOKUP(O$5,NFI,5,0),1,0)*Table_NFI[[#This Row],[Clothes Kit]],Table_NFI[Clothes Kit])</f>
        <v>0</v>
      </c>
      <c r="AG1105" s="264">
        <f>IF(NFI_Expiration=1,IF($A1105&lt;VLOOKUP(P$5,NFI,5,0),1,0)*Table_NFI[[#This Row],[Plastic Bucket]],Table_NFI[Plastic Bucket])</f>
        <v>0</v>
      </c>
      <c r="AH1105" s="264">
        <f>IF(NFI_Expiration=1,IF($A1105&lt;VLOOKUP(Q$5,NFI,5,0),1,0)*Table_NFI[[#This Row],[Plastic Mat]],Table_NFI[Plastic Mat])*IF(Table_NFI[[#This Row],[Distribution Date]]&gt;"2014-04-01",1,2.5)</f>
        <v>0</v>
      </c>
      <c r="AI1105" s="264">
        <f>IF(NFI_Expiration=1,IF($A1105&lt;VLOOKUP(R$5,NFI,5,0),1,0)*Table_NFI[[#This Row],[Winter Clothes Adult]],Table_NFI[Winter Clothes Adult])</f>
        <v>0</v>
      </c>
      <c r="AJ1105" s="264">
        <f>IF(NFI_Expiration=1,IF($A1105&lt;VLOOKUP(S$5,NFI,5,0),1,0)*Table_NFI[[#This Row],[Winter Clothes Children]],Table_NFI[Winter Clothes Children])</f>
        <v>0</v>
      </c>
      <c r="AK1105" s="264">
        <f>IF(NFI_Expiration=1,IF($A1105&lt;VLOOKUP(T$5,NFI,5,0),1,0)*Table_NFI[[#This Row],[Winter Items Other]],Table_NFI[Winter Items Other])</f>
        <v>0</v>
      </c>
      <c r="AL1105" s="264">
        <f>IF(NFI_Expiration=1,IF($A1105&lt;VLOOKUP(M$5,NFI,5,0),1,0)*Table_NFI[[#This Row],[Winter Blanket]],Table_NFI[[#This Row],[Winter Blanket]])</f>
        <v>0</v>
      </c>
      <c r="AM1105" s="264">
        <f>IF(Table_NFI[[#This Row],[Winter Clothes Adult]]+Table_NFI[[#This Row],[Winter Clothes Children]]+Table_NFI[[#This Row],[Winter Items Other]]+Table_NFI[[#This Row],[Winter Blanket]]&gt;0,1,0)</f>
        <v>0</v>
      </c>
      <c r="AN1105" s="296">
        <f>IF(NFI_Expiration=1,IF($A1105&lt;VLOOKUP(V$5,NFI,5,0),1,0)*Table_NFI[[#This Row],[Jerry Can]],Table_NFI[Jerry Can])</f>
        <v>0</v>
      </c>
      <c r="AO1105" s="296">
        <f>IF(NFI_Expiration=1,IF($A1105&lt;VLOOKUP(V$5,NFI,5,0),1,0)*Table_NFI[[#This Row],[Shelter Tool kit]],Table_NFI[Shelter Tool kit])</f>
        <v>0</v>
      </c>
      <c r="AP1105" s="296">
        <f>IF(NFI_Expiration=1,IF($A1105&lt;VLOOKUP(V$5,NFI,5,0),1,0)*Table_NFI[[#This Row],[Tent]],Table_NFI[Tent])</f>
        <v>0</v>
      </c>
      <c r="AQ1105" s="396" t="str">
        <f>IFERROR(VLOOKUP(Table_NFI[[#This Row],[Camp Name]],CL,2,0),"")</f>
        <v>MMR001CMP020</v>
      </c>
      <c r="AR1105" s="702">
        <f ca="1">IF(Table_NFI[[#This Row],[Pcode]]="","",IF(OFFSET(CampList[Opening Date],MATCH(Table_NFI[[#This Row],[Pcode]],CampList[CP_Pcode],0)-1,0,1,1)&gt;=NFI_Monitor_Date,1,0))</f>
        <v>0</v>
      </c>
      <c r="AS1105" s="396" t="str">
        <f>IFERROR(VLOOKUP(Table_NFI[[#This Row],[Camp Name]],CL,3,0),"")</f>
        <v>Open</v>
      </c>
      <c r="AT1105" s="264" t="str">
        <f ca="1">IF(Table_NFI[[#This Row],[Pcode]]="","",OFFSET(CampList[Priority],MATCH(Table_NFI[[#This Row],[Pcode]],CampList[CP_Pcode],0)-1,0,1,1))</f>
        <v>P4</v>
      </c>
      <c r="AU1105" s="263">
        <f>IFERROR(Table_NFI[[#This Row],[Kitchen Set]]/VLOOKUP(Table_NFI[[#This Row],[Camp Name]],CL,4,0),"")</f>
        <v>4.4099272362006027E-4</v>
      </c>
      <c r="AV1105" s="390" t="s">
        <v>1087</v>
      </c>
      <c r="AW1105" s="392"/>
    </row>
    <row r="1106" spans="1:121" s="399" customFormat="1" ht="15.75" customHeight="1" x14ac:dyDescent="0.25">
      <c r="A1106" s="266">
        <f t="shared" si="17"/>
        <v>63.666666666666664</v>
      </c>
      <c r="B1106" s="389">
        <v>40946</v>
      </c>
      <c r="C1106" s="390" t="s">
        <v>904</v>
      </c>
      <c r="D1106" s="390" t="s">
        <v>904</v>
      </c>
      <c r="E1106" s="390" t="s">
        <v>380</v>
      </c>
      <c r="F1106" s="262" t="s">
        <v>5</v>
      </c>
      <c r="G1106" s="262" t="s">
        <v>20</v>
      </c>
      <c r="H1106" s="261">
        <v>90</v>
      </c>
      <c r="I1106" s="261"/>
      <c r="J1106" s="261"/>
      <c r="K1106" s="261"/>
      <c r="L1106" s="261"/>
      <c r="M1106" s="261"/>
      <c r="N1106" s="261"/>
      <c r="O1106" s="261"/>
      <c r="P1106" s="261"/>
      <c r="Q1106" s="261"/>
      <c r="R1106" s="261"/>
      <c r="S1106" s="261"/>
      <c r="T1106" s="261"/>
      <c r="U1106" s="261"/>
      <c r="V1106" s="762"/>
      <c r="W1106" s="762"/>
      <c r="X1106" s="762"/>
      <c r="Y1106" s="264">
        <f>IF(NFI_Expiration=1,IF($A1106&lt;VLOOKUP(H$5,NFI,5,0),1,0)*Table_NFI[[#This Row],[Hygiene Kit]],Table_NFI[Hygiene Kit])</f>
        <v>0</v>
      </c>
      <c r="Z1106" s="264">
        <f>IF(NFI_Expiration=1,IF($A1106&lt;VLOOKUP(I$5,NFI,5,0),1,0)*Table_NFI[[#This Row],[NFI Core Kit]],Table_NFI[NFI Core Kit])</f>
        <v>0</v>
      </c>
      <c r="AA1106" s="264">
        <f>IF(NFI_Expiration=1,IF($A1106&lt;VLOOKUP(J$5,NFI,5,0),1,0)*Table_NFI[[#This Row],[Sanitary Kit]],Table_NFI[Sanitary Kit])</f>
        <v>0</v>
      </c>
      <c r="AB1106" s="264">
        <f>IF(NFI_Expiration=1,IF($A1106&lt;VLOOKUP(K$5,NFI,5,0),1,0)*Table_NFI[[#This Row],[Mosquito net]],Table_NFI[Mosquito net])</f>
        <v>0</v>
      </c>
      <c r="AC1106" s="264">
        <f>IF(NFI_Expiration=1,IF($A1106&lt;VLOOKUP(L$5,NFI,5,0),1,0)*Table_NFI[[#This Row],[Tarpaulin]],Table_NFI[[#This Row],[Tarpaulin]])</f>
        <v>0</v>
      </c>
      <c r="AD1106" s="264">
        <f>IF(NFI_Expiration=1,IF($A1106&lt;VLOOKUP(M$5,NFI,5,0),1,0)*Table_NFI[[#This Row],[Blanket]],Table_NFI[[#This Row],[Blanket]])</f>
        <v>0</v>
      </c>
      <c r="AE1106" s="264">
        <f>IF(NFI_Expiration=1,IF($A1106&lt;VLOOKUP(N$5,NFI,5,0),1,0)*Table_NFI[[#This Row],[Kitchen Set]],Table_NFI[Kitchen Set])</f>
        <v>0</v>
      </c>
      <c r="AF1106" s="264">
        <f>IF(NFI_Expiration=1,IF($A1106&lt;VLOOKUP(O$5,NFI,5,0),1,0)*Table_NFI[[#This Row],[Clothes Kit]],Table_NFI[Clothes Kit])</f>
        <v>0</v>
      </c>
      <c r="AG1106" s="264">
        <f>IF(NFI_Expiration=1,IF($A1106&lt;VLOOKUP(P$5,NFI,5,0),1,0)*Table_NFI[[#This Row],[Plastic Bucket]],Table_NFI[Plastic Bucket])</f>
        <v>0</v>
      </c>
      <c r="AH1106" s="264">
        <f>IF(NFI_Expiration=1,IF($A1106&lt;VLOOKUP(Q$5,NFI,5,0),1,0)*Table_NFI[[#This Row],[Plastic Mat]],Table_NFI[Plastic Mat])*IF(Table_NFI[[#This Row],[Distribution Date]]&gt;"2014-04-01",1,2.5)</f>
        <v>0</v>
      </c>
      <c r="AI1106" s="264">
        <f>IF(NFI_Expiration=1,IF($A1106&lt;VLOOKUP(R$5,NFI,5,0),1,0)*Table_NFI[[#This Row],[Winter Clothes Adult]],Table_NFI[Winter Clothes Adult])</f>
        <v>0</v>
      </c>
      <c r="AJ1106" s="264">
        <f>IF(NFI_Expiration=1,IF($A1106&lt;VLOOKUP(S$5,NFI,5,0),1,0)*Table_NFI[[#This Row],[Winter Clothes Children]],Table_NFI[Winter Clothes Children])</f>
        <v>0</v>
      </c>
      <c r="AK1106" s="264">
        <f>IF(NFI_Expiration=1,IF($A1106&lt;VLOOKUP(T$5,NFI,5,0),1,0)*Table_NFI[[#This Row],[Winter Items Other]],Table_NFI[Winter Items Other])</f>
        <v>0</v>
      </c>
      <c r="AL1106" s="264">
        <f>IF(NFI_Expiration=1,IF($A1106&lt;VLOOKUP(M$5,NFI,5,0),1,0)*Table_NFI[[#This Row],[Winter Blanket]],Table_NFI[[#This Row],[Winter Blanket]])</f>
        <v>0</v>
      </c>
      <c r="AM1106" s="264">
        <f>IF(Table_NFI[[#This Row],[Winter Clothes Adult]]+Table_NFI[[#This Row],[Winter Clothes Children]]+Table_NFI[[#This Row],[Winter Items Other]]+Table_NFI[[#This Row],[Winter Blanket]]&gt;0,1,0)</f>
        <v>0</v>
      </c>
      <c r="AN1106" s="296">
        <f>IF(NFI_Expiration=1,IF($A1106&lt;VLOOKUP(V$5,NFI,5,0),1,0)*Table_NFI[[#This Row],[Jerry Can]],Table_NFI[Jerry Can])</f>
        <v>0</v>
      </c>
      <c r="AO1106" s="296">
        <f>IF(NFI_Expiration=1,IF($A1106&lt;VLOOKUP(V$5,NFI,5,0),1,0)*Table_NFI[[#This Row],[Shelter Tool kit]],Table_NFI[Shelter Tool kit])</f>
        <v>0</v>
      </c>
      <c r="AP1106" s="296">
        <f>IF(NFI_Expiration=1,IF($A1106&lt;VLOOKUP(V$5,NFI,5,0),1,0)*Table_NFI[[#This Row],[Tent]],Table_NFI[Tent])</f>
        <v>0</v>
      </c>
      <c r="AQ1106" s="396" t="str">
        <f>IFERROR(VLOOKUP(Table_NFI[[#This Row],[Camp Name]],CL,2,0),"")</f>
        <v>MMR001CMP054</v>
      </c>
      <c r="AR1106" s="702">
        <f ca="1">IF(Table_NFI[[#This Row],[Pcode]]="","",IF(OFFSET(CampList[Opening Date],MATCH(Table_NFI[[#This Row],[Pcode]],CampList[CP_Pcode],0)-1,0,1,1)&gt;=NFI_Monitor_Date,1,0))</f>
        <v>0</v>
      </c>
      <c r="AS1106" s="396" t="str">
        <f>IFERROR(VLOOKUP(Table_NFI[[#This Row],[Camp Name]],CL,3,0),"")</f>
        <v>Open</v>
      </c>
      <c r="AT1106" s="264" t="str">
        <f ca="1">IF(Table_NFI[[#This Row],[Pcode]]="","",OFFSET(CampList[Priority],MATCH(Table_NFI[[#This Row],[Pcode]],CampList[CP_Pcode],0)-1,0,1,1))</f>
        <v>P4</v>
      </c>
      <c r="AU1106" s="263">
        <f>IFERROR(Table_NFI[[#This Row],[Kitchen Set]]/VLOOKUP(Table_NFI[[#This Row],[Camp Name]],CL,4,0),"")</f>
        <v>0</v>
      </c>
      <c r="AV1106" s="390"/>
      <c r="AW1106" s="392"/>
    </row>
    <row r="1107" spans="1:121" s="399" customFormat="1" ht="15.75" customHeight="1" x14ac:dyDescent="0.25">
      <c r="A1107" s="266">
        <f t="shared" si="17"/>
        <v>63.7</v>
      </c>
      <c r="B1107" s="389">
        <v>40945</v>
      </c>
      <c r="C1107" s="390" t="s">
        <v>451</v>
      </c>
      <c r="D1107" s="391" t="s">
        <v>451</v>
      </c>
      <c r="E1107" s="390" t="s">
        <v>380</v>
      </c>
      <c r="F1107" s="262" t="s">
        <v>310</v>
      </c>
      <c r="G1107" s="262" t="s">
        <v>351</v>
      </c>
      <c r="H1107" s="261"/>
      <c r="I1107" s="261"/>
      <c r="J1107" s="261"/>
      <c r="K1107" s="261">
        <v>0</v>
      </c>
      <c r="L1107" s="261">
        <v>0</v>
      </c>
      <c r="M1107" s="261">
        <v>0</v>
      </c>
      <c r="N1107" s="261">
        <v>0</v>
      </c>
      <c r="O1107" s="261">
        <v>13</v>
      </c>
      <c r="P1107" s="261">
        <v>13</v>
      </c>
      <c r="Q1107" s="261">
        <v>13</v>
      </c>
      <c r="R1107" s="261"/>
      <c r="S1107" s="261"/>
      <c r="T1107" s="261"/>
      <c r="U1107" s="261"/>
      <c r="V1107" s="762"/>
      <c r="W1107" s="762"/>
      <c r="X1107" s="762"/>
      <c r="Y1107" s="264">
        <f>IF(NFI_Expiration=1,IF($A1107&lt;VLOOKUP(H$5,NFI,5,0),1,0)*Table_NFI[[#This Row],[Hygiene Kit]],Table_NFI[Hygiene Kit])</f>
        <v>0</v>
      </c>
      <c r="Z1107" s="264">
        <f>IF(NFI_Expiration=1,IF($A1107&lt;VLOOKUP(I$5,NFI,5,0),1,0)*Table_NFI[[#This Row],[NFI Core Kit]],Table_NFI[NFI Core Kit])</f>
        <v>0</v>
      </c>
      <c r="AA1107" s="264">
        <f>IF(NFI_Expiration=1,IF($A1107&lt;VLOOKUP(J$5,NFI,5,0),1,0)*Table_NFI[[#This Row],[Sanitary Kit]],Table_NFI[Sanitary Kit])</f>
        <v>0</v>
      </c>
      <c r="AB1107" s="264">
        <f>IF(NFI_Expiration=1,IF($A1107&lt;VLOOKUP(K$5,NFI,5,0),1,0)*Table_NFI[[#This Row],[Mosquito net]],Table_NFI[Mosquito net])</f>
        <v>0</v>
      </c>
      <c r="AC1107" s="264">
        <f>IF(NFI_Expiration=1,IF($A1107&lt;VLOOKUP(L$5,NFI,5,0),1,0)*Table_NFI[[#This Row],[Tarpaulin]],Table_NFI[[#This Row],[Tarpaulin]])</f>
        <v>0</v>
      </c>
      <c r="AD1107" s="264">
        <f>IF(NFI_Expiration=1,IF($A1107&lt;VLOOKUP(M$5,NFI,5,0),1,0)*Table_NFI[[#This Row],[Blanket]],Table_NFI[[#This Row],[Blanket]])</f>
        <v>0</v>
      </c>
      <c r="AE1107" s="264">
        <f>IF(NFI_Expiration=1,IF($A1107&lt;VLOOKUP(N$5,NFI,5,0),1,0)*Table_NFI[[#This Row],[Kitchen Set]],Table_NFI[Kitchen Set])</f>
        <v>0</v>
      </c>
      <c r="AF1107" s="264">
        <f>IF(NFI_Expiration=1,IF($A1107&lt;VLOOKUP(O$5,NFI,5,0),1,0)*Table_NFI[[#This Row],[Clothes Kit]],Table_NFI[Clothes Kit])</f>
        <v>0</v>
      </c>
      <c r="AG1107" s="264">
        <f>IF(NFI_Expiration=1,IF($A1107&lt;VLOOKUP(P$5,NFI,5,0),1,0)*Table_NFI[[#This Row],[Plastic Bucket]],Table_NFI[Plastic Bucket])</f>
        <v>0</v>
      </c>
      <c r="AH1107" s="264">
        <f>IF(NFI_Expiration=1,IF($A1107&lt;VLOOKUP(Q$5,NFI,5,0),1,0)*Table_NFI[[#This Row],[Plastic Mat]],Table_NFI[Plastic Mat])*IF(Table_NFI[[#This Row],[Distribution Date]]&gt;"2014-04-01",1,2.5)</f>
        <v>0</v>
      </c>
      <c r="AI1107" s="264">
        <f>IF(NFI_Expiration=1,IF($A1107&lt;VLOOKUP(R$5,NFI,5,0),1,0)*Table_NFI[[#This Row],[Winter Clothes Adult]],Table_NFI[Winter Clothes Adult])</f>
        <v>0</v>
      </c>
      <c r="AJ1107" s="264">
        <f>IF(NFI_Expiration=1,IF($A1107&lt;VLOOKUP(S$5,NFI,5,0),1,0)*Table_NFI[[#This Row],[Winter Clothes Children]],Table_NFI[Winter Clothes Children])</f>
        <v>0</v>
      </c>
      <c r="AK1107" s="264">
        <f>IF(NFI_Expiration=1,IF($A1107&lt;VLOOKUP(T$5,NFI,5,0),1,0)*Table_NFI[[#This Row],[Winter Items Other]],Table_NFI[Winter Items Other])</f>
        <v>0</v>
      </c>
      <c r="AL1107" s="264">
        <f>IF(NFI_Expiration=1,IF($A1107&lt;VLOOKUP(M$5,NFI,5,0),1,0)*Table_NFI[[#This Row],[Winter Blanket]],Table_NFI[[#This Row],[Winter Blanket]])</f>
        <v>0</v>
      </c>
      <c r="AM1107" s="264">
        <f>IF(Table_NFI[[#This Row],[Winter Clothes Adult]]+Table_NFI[[#This Row],[Winter Clothes Children]]+Table_NFI[[#This Row],[Winter Items Other]]+Table_NFI[[#This Row],[Winter Blanket]]&gt;0,1,0)</f>
        <v>0</v>
      </c>
      <c r="AN1107" s="296">
        <f>IF(NFI_Expiration=1,IF($A1107&lt;VLOOKUP(V$5,NFI,5,0),1,0)*Table_NFI[[#This Row],[Jerry Can]],Table_NFI[Jerry Can])</f>
        <v>0</v>
      </c>
      <c r="AO1107" s="296">
        <f>IF(NFI_Expiration=1,IF($A1107&lt;VLOOKUP(V$5,NFI,5,0),1,0)*Table_NFI[[#This Row],[Shelter Tool kit]],Table_NFI[Shelter Tool kit])</f>
        <v>0</v>
      </c>
      <c r="AP1107" s="296">
        <f>IF(NFI_Expiration=1,IF($A1107&lt;VLOOKUP(V$5,NFI,5,0),1,0)*Table_NFI[[#This Row],[Tent]],Table_NFI[Tent])</f>
        <v>0</v>
      </c>
      <c r="AQ1107" s="396" t="str">
        <f>IFERROR(VLOOKUP(Table_NFI[[#This Row],[Camp Name]],CL,2,0),"")</f>
        <v>MMR001CMP026</v>
      </c>
      <c r="AR1107" s="702">
        <f ca="1">IF(Table_NFI[[#This Row],[Pcode]]="","",IF(OFFSET(CampList[Opening Date],MATCH(Table_NFI[[#This Row],[Pcode]],CampList[CP_Pcode],0)-1,0,1,1)&gt;=NFI_Monitor_Date,1,0))</f>
        <v>0</v>
      </c>
      <c r="AS1107" s="396" t="str">
        <f>IFERROR(VLOOKUP(Table_NFI[[#This Row],[Camp Name]],CL,3,0),"")</f>
        <v>Open</v>
      </c>
      <c r="AT1107" s="264" t="str">
        <f ca="1">IF(Table_NFI[[#This Row],[Pcode]]="","",OFFSET(CampList[Priority],MATCH(Table_NFI[[#This Row],[Pcode]],CampList[CP_Pcode],0)-1,0,1,1))</f>
        <v>P4</v>
      </c>
      <c r="AU1107" s="263">
        <f>IFERROR(Table_NFI[[#This Row],[Kitchen Set]]/VLOOKUP(Table_NFI[[#This Row],[Camp Name]],CL,4,0),"")</f>
        <v>0</v>
      </c>
      <c r="AV1107" s="390" t="s">
        <v>1087</v>
      </c>
      <c r="AW1107" s="392"/>
    </row>
    <row r="1108" spans="1:121" s="399" customFormat="1" ht="15.75" customHeight="1" x14ac:dyDescent="0.25">
      <c r="A1108" s="266">
        <f t="shared" si="17"/>
        <v>63.833333333333336</v>
      </c>
      <c r="B1108" s="389">
        <v>40941</v>
      </c>
      <c r="C1108" s="391" t="s">
        <v>451</v>
      </c>
      <c r="D1108" s="391" t="s">
        <v>451</v>
      </c>
      <c r="E1108" s="390" t="s">
        <v>380</v>
      </c>
      <c r="F1108" s="262" t="s">
        <v>151</v>
      </c>
      <c r="G1108" s="262" t="s">
        <v>152</v>
      </c>
      <c r="H1108" s="261">
        <v>718</v>
      </c>
      <c r="I1108" s="261"/>
      <c r="J1108" s="261"/>
      <c r="K1108" s="261"/>
      <c r="L1108" s="261"/>
      <c r="M1108" s="261"/>
      <c r="N1108" s="261"/>
      <c r="O1108" s="261"/>
      <c r="P1108" s="261"/>
      <c r="Q1108" s="261"/>
      <c r="R1108" s="261"/>
      <c r="S1108" s="261"/>
      <c r="T1108" s="261"/>
      <c r="U1108" s="261"/>
      <c r="V1108" s="762"/>
      <c r="W1108" s="762"/>
      <c r="X1108" s="762"/>
      <c r="Y1108" s="264">
        <f>IF(NFI_Expiration=1,IF($A1108&lt;VLOOKUP(H$5,NFI,5,0),1,0)*Table_NFI[[#This Row],[Hygiene Kit]],Table_NFI[Hygiene Kit])</f>
        <v>0</v>
      </c>
      <c r="Z1108" s="264">
        <f>IF(NFI_Expiration=1,IF($A1108&lt;VLOOKUP(I$5,NFI,5,0),1,0)*Table_NFI[[#This Row],[NFI Core Kit]],Table_NFI[NFI Core Kit])</f>
        <v>0</v>
      </c>
      <c r="AA1108" s="264">
        <f>IF(NFI_Expiration=1,IF($A1108&lt;VLOOKUP(J$5,NFI,5,0),1,0)*Table_NFI[[#This Row],[Sanitary Kit]],Table_NFI[Sanitary Kit])</f>
        <v>0</v>
      </c>
      <c r="AB1108" s="264">
        <f>IF(NFI_Expiration=1,IF($A1108&lt;VLOOKUP(K$5,NFI,5,0),1,0)*Table_NFI[[#This Row],[Mosquito net]],Table_NFI[Mosquito net])</f>
        <v>0</v>
      </c>
      <c r="AC1108" s="264">
        <f>IF(NFI_Expiration=1,IF($A1108&lt;VLOOKUP(L$5,NFI,5,0),1,0)*Table_NFI[[#This Row],[Tarpaulin]],Table_NFI[[#This Row],[Tarpaulin]])</f>
        <v>0</v>
      </c>
      <c r="AD1108" s="264">
        <f>IF(NFI_Expiration=1,IF($A1108&lt;VLOOKUP(M$5,NFI,5,0),1,0)*Table_NFI[[#This Row],[Blanket]],Table_NFI[[#This Row],[Blanket]])</f>
        <v>0</v>
      </c>
      <c r="AE1108" s="264">
        <f>IF(NFI_Expiration=1,IF($A1108&lt;VLOOKUP(N$5,NFI,5,0),1,0)*Table_NFI[[#This Row],[Kitchen Set]],Table_NFI[Kitchen Set])</f>
        <v>0</v>
      </c>
      <c r="AF1108" s="264">
        <f>IF(NFI_Expiration=1,IF($A1108&lt;VLOOKUP(O$5,NFI,5,0),1,0)*Table_NFI[[#This Row],[Clothes Kit]],Table_NFI[Clothes Kit])</f>
        <v>0</v>
      </c>
      <c r="AG1108" s="264">
        <f>IF(NFI_Expiration=1,IF($A1108&lt;VLOOKUP(P$5,NFI,5,0),1,0)*Table_NFI[[#This Row],[Plastic Bucket]],Table_NFI[Plastic Bucket])</f>
        <v>0</v>
      </c>
      <c r="AH1108" s="264">
        <f>IF(NFI_Expiration=1,IF($A1108&lt;VLOOKUP(Q$5,NFI,5,0),1,0)*Table_NFI[[#This Row],[Plastic Mat]],Table_NFI[Plastic Mat])*IF(Table_NFI[[#This Row],[Distribution Date]]&gt;"2014-04-01",1,2.5)</f>
        <v>0</v>
      </c>
      <c r="AI1108" s="264">
        <f>IF(NFI_Expiration=1,IF($A1108&lt;VLOOKUP(R$5,NFI,5,0),1,0)*Table_NFI[[#This Row],[Winter Clothes Adult]],Table_NFI[Winter Clothes Adult])</f>
        <v>0</v>
      </c>
      <c r="AJ1108" s="264">
        <f>IF(NFI_Expiration=1,IF($A1108&lt;VLOOKUP(S$5,NFI,5,0),1,0)*Table_NFI[[#This Row],[Winter Clothes Children]],Table_NFI[Winter Clothes Children])</f>
        <v>0</v>
      </c>
      <c r="AK1108" s="264">
        <f>IF(NFI_Expiration=1,IF($A1108&lt;VLOOKUP(T$5,NFI,5,0),1,0)*Table_NFI[[#This Row],[Winter Items Other]],Table_NFI[Winter Items Other])</f>
        <v>0</v>
      </c>
      <c r="AL1108" s="264">
        <f>IF(NFI_Expiration=1,IF($A1108&lt;VLOOKUP(M$5,NFI,5,0),1,0)*Table_NFI[[#This Row],[Winter Blanket]],Table_NFI[[#This Row],[Winter Blanket]])</f>
        <v>0</v>
      </c>
      <c r="AM1108" s="264">
        <f>IF(Table_NFI[[#This Row],[Winter Clothes Adult]]+Table_NFI[[#This Row],[Winter Clothes Children]]+Table_NFI[[#This Row],[Winter Items Other]]+Table_NFI[[#This Row],[Winter Blanket]]&gt;0,1,0)</f>
        <v>0</v>
      </c>
      <c r="AN1108" s="296">
        <f>IF(NFI_Expiration=1,IF($A1108&lt;VLOOKUP(V$5,NFI,5,0),1,0)*Table_NFI[[#This Row],[Jerry Can]],Table_NFI[Jerry Can])</f>
        <v>0</v>
      </c>
      <c r="AO1108" s="296">
        <f>IF(NFI_Expiration=1,IF($A1108&lt;VLOOKUP(V$5,NFI,5,0),1,0)*Table_NFI[[#This Row],[Shelter Tool kit]],Table_NFI[Shelter Tool kit])</f>
        <v>0</v>
      </c>
      <c r="AP1108" s="296">
        <f>IF(NFI_Expiration=1,IF($A1108&lt;VLOOKUP(V$5,NFI,5,0),1,0)*Table_NFI[[#This Row],[Tent]],Table_NFI[Tent])</f>
        <v>0</v>
      </c>
      <c r="AQ1108" s="396" t="str">
        <f>IFERROR(VLOOKUP(Table_NFI[[#This Row],[Camp Name]],CL,2,0),"")</f>
        <v>MMR001CMP066</v>
      </c>
      <c r="AR1108" s="702">
        <f ca="1">IF(Table_NFI[[#This Row],[Pcode]]="","",IF(OFFSET(CampList[Opening Date],MATCH(Table_NFI[[#This Row],[Pcode]],CampList[CP_Pcode],0)-1,0,1,1)&gt;=NFI_Monitor_Date,1,0))</f>
        <v>0</v>
      </c>
      <c r="AS1108" s="396" t="str">
        <f>IFERROR(VLOOKUP(Table_NFI[[#This Row],[Camp Name]],CL,3,0),"")</f>
        <v>Open</v>
      </c>
      <c r="AT1108" s="264" t="str">
        <f ca="1">IF(Table_NFI[[#This Row],[Pcode]]="","",OFFSET(CampList[Priority],MATCH(Table_NFI[[#This Row],[Pcode]],CampList[CP_Pcode],0)-1,0,1,1))</f>
        <v>P4</v>
      </c>
      <c r="AU1108" s="263">
        <f>IFERROR(Table_NFI[[#This Row],[Kitchen Set]]/VLOOKUP(Table_NFI[[#This Row],[Camp Name]],CL,4,0),"")</f>
        <v>0</v>
      </c>
      <c r="AV1108" s="390"/>
      <c r="AW1108" s="392"/>
    </row>
    <row r="1109" spans="1:121" s="399" customFormat="1" ht="15.75" customHeight="1" x14ac:dyDescent="0.25">
      <c r="A1109" s="266">
        <f t="shared" si="17"/>
        <v>63.833333333333336</v>
      </c>
      <c r="B1109" s="389">
        <v>40941</v>
      </c>
      <c r="C1109" s="390" t="s">
        <v>904</v>
      </c>
      <c r="D1109" s="391" t="s">
        <v>904</v>
      </c>
      <c r="E1109" s="390" t="s">
        <v>380</v>
      </c>
      <c r="F1109" s="262" t="s">
        <v>151</v>
      </c>
      <c r="G1109" s="262" t="s">
        <v>152</v>
      </c>
      <c r="H1109" s="261">
        <v>718</v>
      </c>
      <c r="I1109" s="261"/>
      <c r="J1109" s="261"/>
      <c r="K1109" s="261"/>
      <c r="L1109" s="261"/>
      <c r="M1109" s="261"/>
      <c r="N1109" s="261"/>
      <c r="O1109" s="261"/>
      <c r="P1109" s="261"/>
      <c r="Q1109" s="261"/>
      <c r="R1109" s="261"/>
      <c r="S1109" s="261"/>
      <c r="T1109" s="261"/>
      <c r="U1109" s="261"/>
      <c r="V1109" s="762"/>
      <c r="W1109" s="762"/>
      <c r="X1109" s="762"/>
      <c r="Y1109" s="264">
        <f>IF(NFI_Expiration=1,IF($A1109&lt;VLOOKUP(H$5,NFI,5,0),1,0)*Table_NFI[[#This Row],[Hygiene Kit]],Table_NFI[Hygiene Kit])</f>
        <v>0</v>
      </c>
      <c r="Z1109" s="264">
        <f>IF(NFI_Expiration=1,IF($A1109&lt;VLOOKUP(I$5,NFI,5,0),1,0)*Table_NFI[[#This Row],[NFI Core Kit]],Table_NFI[NFI Core Kit])</f>
        <v>0</v>
      </c>
      <c r="AA1109" s="264">
        <f>IF(NFI_Expiration=1,IF($A1109&lt;VLOOKUP(J$5,NFI,5,0),1,0)*Table_NFI[[#This Row],[Sanitary Kit]],Table_NFI[Sanitary Kit])</f>
        <v>0</v>
      </c>
      <c r="AB1109" s="264">
        <f>IF(NFI_Expiration=1,IF($A1109&lt;VLOOKUP(K$5,NFI,5,0),1,0)*Table_NFI[[#This Row],[Mosquito net]],Table_NFI[Mosquito net])</f>
        <v>0</v>
      </c>
      <c r="AC1109" s="264">
        <f>IF(NFI_Expiration=1,IF($A1109&lt;VLOOKUP(L$5,NFI,5,0),1,0)*Table_NFI[[#This Row],[Tarpaulin]],Table_NFI[[#This Row],[Tarpaulin]])</f>
        <v>0</v>
      </c>
      <c r="AD1109" s="264">
        <f>IF(NFI_Expiration=1,IF($A1109&lt;VLOOKUP(M$5,NFI,5,0),1,0)*Table_NFI[[#This Row],[Blanket]],Table_NFI[[#This Row],[Blanket]])</f>
        <v>0</v>
      </c>
      <c r="AE1109" s="264">
        <f>IF(NFI_Expiration=1,IF($A1109&lt;VLOOKUP(N$5,NFI,5,0),1,0)*Table_NFI[[#This Row],[Kitchen Set]],Table_NFI[Kitchen Set])</f>
        <v>0</v>
      </c>
      <c r="AF1109" s="264">
        <f>IF(NFI_Expiration=1,IF($A1109&lt;VLOOKUP(O$5,NFI,5,0),1,0)*Table_NFI[[#This Row],[Clothes Kit]],Table_NFI[Clothes Kit])</f>
        <v>0</v>
      </c>
      <c r="AG1109" s="264">
        <f>IF(NFI_Expiration=1,IF($A1109&lt;VLOOKUP(P$5,NFI,5,0),1,0)*Table_NFI[[#This Row],[Plastic Bucket]],Table_NFI[Plastic Bucket])</f>
        <v>0</v>
      </c>
      <c r="AH1109" s="264">
        <f>IF(NFI_Expiration=1,IF($A1109&lt;VLOOKUP(Q$5,NFI,5,0),1,0)*Table_NFI[[#This Row],[Plastic Mat]],Table_NFI[Plastic Mat])*IF(Table_NFI[[#This Row],[Distribution Date]]&gt;"2014-04-01",1,2.5)</f>
        <v>0</v>
      </c>
      <c r="AI1109" s="264">
        <f>IF(NFI_Expiration=1,IF($A1109&lt;VLOOKUP(R$5,NFI,5,0),1,0)*Table_NFI[[#This Row],[Winter Clothes Adult]],Table_NFI[Winter Clothes Adult])</f>
        <v>0</v>
      </c>
      <c r="AJ1109" s="264">
        <f>IF(NFI_Expiration=1,IF($A1109&lt;VLOOKUP(S$5,NFI,5,0),1,0)*Table_NFI[[#This Row],[Winter Clothes Children]],Table_NFI[Winter Clothes Children])</f>
        <v>0</v>
      </c>
      <c r="AK1109" s="264">
        <f>IF(NFI_Expiration=1,IF($A1109&lt;VLOOKUP(T$5,NFI,5,0),1,0)*Table_NFI[[#This Row],[Winter Items Other]],Table_NFI[Winter Items Other])</f>
        <v>0</v>
      </c>
      <c r="AL1109" s="264">
        <f>IF(NFI_Expiration=1,IF($A1109&lt;VLOOKUP(M$5,NFI,5,0),1,0)*Table_NFI[[#This Row],[Winter Blanket]],Table_NFI[[#This Row],[Winter Blanket]])</f>
        <v>0</v>
      </c>
      <c r="AM1109" s="264">
        <f>IF(Table_NFI[[#This Row],[Winter Clothes Adult]]+Table_NFI[[#This Row],[Winter Clothes Children]]+Table_NFI[[#This Row],[Winter Items Other]]+Table_NFI[[#This Row],[Winter Blanket]]&gt;0,1,0)</f>
        <v>0</v>
      </c>
      <c r="AN1109" s="296">
        <f>IF(NFI_Expiration=1,IF($A1109&lt;VLOOKUP(V$5,NFI,5,0),1,0)*Table_NFI[[#This Row],[Jerry Can]],Table_NFI[Jerry Can])</f>
        <v>0</v>
      </c>
      <c r="AO1109" s="296">
        <f>IF(NFI_Expiration=1,IF($A1109&lt;VLOOKUP(V$5,NFI,5,0),1,0)*Table_NFI[[#This Row],[Shelter Tool kit]],Table_NFI[Shelter Tool kit])</f>
        <v>0</v>
      </c>
      <c r="AP1109" s="296">
        <f>IF(NFI_Expiration=1,IF($A1109&lt;VLOOKUP(V$5,NFI,5,0),1,0)*Table_NFI[[#This Row],[Tent]],Table_NFI[Tent])</f>
        <v>0</v>
      </c>
      <c r="AQ1109" s="396" t="str">
        <f>IFERROR(VLOOKUP(Table_NFI[[#This Row],[Camp Name]],CL,2,0),"")</f>
        <v>MMR001CMP066</v>
      </c>
      <c r="AR1109" s="702">
        <f ca="1">IF(Table_NFI[[#This Row],[Pcode]]="","",IF(OFFSET(CampList[Opening Date],MATCH(Table_NFI[[#This Row],[Pcode]],CampList[CP_Pcode],0)-1,0,1,1)&gt;=NFI_Monitor_Date,1,0))</f>
        <v>0</v>
      </c>
      <c r="AS1109" s="396" t="str">
        <f>IFERROR(VLOOKUP(Table_NFI[[#This Row],[Camp Name]],CL,3,0),"")</f>
        <v>Open</v>
      </c>
      <c r="AT1109" s="264" t="str">
        <f ca="1">IF(Table_NFI[[#This Row],[Pcode]]="","",OFFSET(CampList[Priority],MATCH(Table_NFI[[#This Row],[Pcode]],CampList[CP_Pcode],0)-1,0,1,1))</f>
        <v>P4</v>
      </c>
      <c r="AU1109" s="263">
        <f>IFERROR(Table_NFI[[#This Row],[Kitchen Set]]/VLOOKUP(Table_NFI[[#This Row],[Camp Name]],CL,4,0),"")</f>
        <v>0</v>
      </c>
      <c r="AV1109" s="390"/>
      <c r="AW1109" s="392"/>
    </row>
    <row r="1110" spans="1:121" s="399" customFormat="1" ht="15.75" customHeight="1" x14ac:dyDescent="0.25">
      <c r="A1110" s="266">
        <f t="shared" si="17"/>
        <v>63.9</v>
      </c>
      <c r="B1110" s="389">
        <v>40939</v>
      </c>
      <c r="C1110" s="390" t="s">
        <v>451</v>
      </c>
      <c r="D1110" s="390" t="s">
        <v>451</v>
      </c>
      <c r="E1110" s="390" t="s">
        <v>380</v>
      </c>
      <c r="F1110" s="390" t="s">
        <v>310</v>
      </c>
      <c r="G1110" s="262" t="s">
        <v>351</v>
      </c>
      <c r="H1110" s="261"/>
      <c r="I1110" s="261"/>
      <c r="J1110" s="261"/>
      <c r="K1110" s="261">
        <v>0</v>
      </c>
      <c r="L1110" s="261">
        <v>0</v>
      </c>
      <c r="M1110" s="261">
        <v>0</v>
      </c>
      <c r="N1110" s="261">
        <v>0</v>
      </c>
      <c r="O1110" s="261">
        <v>61</v>
      </c>
      <c r="P1110" s="261">
        <v>61</v>
      </c>
      <c r="Q1110" s="261">
        <v>61</v>
      </c>
      <c r="R1110" s="261"/>
      <c r="S1110" s="261"/>
      <c r="T1110" s="261"/>
      <c r="U1110" s="261"/>
      <c r="V1110" s="762"/>
      <c r="W1110" s="762"/>
      <c r="X1110" s="762"/>
      <c r="Y1110" s="264">
        <f>IF(NFI_Expiration=1,IF($A1110&lt;VLOOKUP(H$5,NFI,5,0),1,0)*Table_NFI[[#This Row],[Hygiene Kit]],Table_NFI[Hygiene Kit])</f>
        <v>0</v>
      </c>
      <c r="Z1110" s="264">
        <f>IF(NFI_Expiration=1,IF($A1110&lt;VLOOKUP(I$5,NFI,5,0),1,0)*Table_NFI[[#This Row],[NFI Core Kit]],Table_NFI[NFI Core Kit])</f>
        <v>0</v>
      </c>
      <c r="AA1110" s="264">
        <f>IF(NFI_Expiration=1,IF($A1110&lt;VLOOKUP(J$5,NFI,5,0),1,0)*Table_NFI[[#This Row],[Sanitary Kit]],Table_NFI[Sanitary Kit])</f>
        <v>0</v>
      </c>
      <c r="AB1110" s="264">
        <f>IF(NFI_Expiration=1,IF($A1110&lt;VLOOKUP(K$5,NFI,5,0),1,0)*Table_NFI[[#This Row],[Mosquito net]],Table_NFI[Mosquito net])</f>
        <v>0</v>
      </c>
      <c r="AC1110" s="264">
        <f>IF(NFI_Expiration=1,IF($A1110&lt;VLOOKUP(L$5,NFI,5,0),1,0)*Table_NFI[[#This Row],[Tarpaulin]],Table_NFI[[#This Row],[Tarpaulin]])</f>
        <v>0</v>
      </c>
      <c r="AD1110" s="264">
        <f>IF(NFI_Expiration=1,IF($A1110&lt;VLOOKUP(M$5,NFI,5,0),1,0)*Table_NFI[[#This Row],[Blanket]],Table_NFI[[#This Row],[Blanket]])</f>
        <v>0</v>
      </c>
      <c r="AE1110" s="264">
        <f>IF(NFI_Expiration=1,IF($A1110&lt;VLOOKUP(N$5,NFI,5,0),1,0)*Table_NFI[[#This Row],[Kitchen Set]],Table_NFI[Kitchen Set])</f>
        <v>0</v>
      </c>
      <c r="AF1110" s="264">
        <f>IF(NFI_Expiration=1,IF($A1110&lt;VLOOKUP(O$5,NFI,5,0),1,0)*Table_NFI[[#This Row],[Clothes Kit]],Table_NFI[Clothes Kit])</f>
        <v>0</v>
      </c>
      <c r="AG1110" s="264">
        <f>IF(NFI_Expiration=1,IF($A1110&lt;VLOOKUP(P$5,NFI,5,0),1,0)*Table_NFI[[#This Row],[Plastic Bucket]],Table_NFI[Plastic Bucket])</f>
        <v>0</v>
      </c>
      <c r="AH1110" s="264">
        <f>IF(NFI_Expiration=1,IF($A1110&lt;VLOOKUP(Q$5,NFI,5,0),1,0)*Table_NFI[[#This Row],[Plastic Mat]],Table_NFI[Plastic Mat])*IF(Table_NFI[[#This Row],[Distribution Date]]&gt;"2014-04-01",1,2.5)</f>
        <v>0</v>
      </c>
      <c r="AI1110" s="264">
        <f>IF(NFI_Expiration=1,IF($A1110&lt;VLOOKUP(R$5,NFI,5,0),1,0)*Table_NFI[[#This Row],[Winter Clothes Adult]],Table_NFI[Winter Clothes Adult])</f>
        <v>0</v>
      </c>
      <c r="AJ1110" s="264">
        <f>IF(NFI_Expiration=1,IF($A1110&lt;VLOOKUP(S$5,NFI,5,0),1,0)*Table_NFI[[#This Row],[Winter Clothes Children]],Table_NFI[Winter Clothes Children])</f>
        <v>0</v>
      </c>
      <c r="AK1110" s="264">
        <f>IF(NFI_Expiration=1,IF($A1110&lt;VLOOKUP(T$5,NFI,5,0),1,0)*Table_NFI[[#This Row],[Winter Items Other]],Table_NFI[Winter Items Other])</f>
        <v>0</v>
      </c>
      <c r="AL1110" s="264">
        <f>IF(NFI_Expiration=1,IF($A1110&lt;VLOOKUP(M$5,NFI,5,0),1,0)*Table_NFI[[#This Row],[Winter Blanket]],Table_NFI[[#This Row],[Winter Blanket]])</f>
        <v>0</v>
      </c>
      <c r="AM1110" s="264">
        <f>IF(Table_NFI[[#This Row],[Winter Clothes Adult]]+Table_NFI[[#This Row],[Winter Clothes Children]]+Table_NFI[[#This Row],[Winter Items Other]]+Table_NFI[[#This Row],[Winter Blanket]]&gt;0,1,0)</f>
        <v>0</v>
      </c>
      <c r="AN1110" s="296">
        <f>IF(NFI_Expiration=1,IF($A1110&lt;VLOOKUP(V$5,NFI,5,0),1,0)*Table_NFI[[#This Row],[Jerry Can]],Table_NFI[Jerry Can])</f>
        <v>0</v>
      </c>
      <c r="AO1110" s="296">
        <f>IF(NFI_Expiration=1,IF($A1110&lt;VLOOKUP(V$5,NFI,5,0),1,0)*Table_NFI[[#This Row],[Shelter Tool kit]],Table_NFI[Shelter Tool kit])</f>
        <v>0</v>
      </c>
      <c r="AP1110" s="296">
        <f>IF(NFI_Expiration=1,IF($A1110&lt;VLOOKUP(V$5,NFI,5,0),1,0)*Table_NFI[[#This Row],[Tent]],Table_NFI[Tent])</f>
        <v>0</v>
      </c>
      <c r="AQ1110" s="396" t="str">
        <f>IFERROR(VLOOKUP(Table_NFI[[#This Row],[Camp Name]],CL,2,0),"")</f>
        <v>MMR001CMP026</v>
      </c>
      <c r="AR1110" s="702">
        <f ca="1">IF(Table_NFI[[#This Row],[Pcode]]="","",IF(OFFSET(CampList[Opening Date],MATCH(Table_NFI[[#This Row],[Pcode]],CampList[CP_Pcode],0)-1,0,1,1)&gt;=NFI_Monitor_Date,1,0))</f>
        <v>0</v>
      </c>
      <c r="AS1110" s="396" t="str">
        <f>IFERROR(VLOOKUP(Table_NFI[[#This Row],[Camp Name]],CL,3,0),"")</f>
        <v>Open</v>
      </c>
      <c r="AT1110" s="264" t="str">
        <f ca="1">IF(Table_NFI[[#This Row],[Pcode]]="","",OFFSET(CampList[Priority],MATCH(Table_NFI[[#This Row],[Pcode]],CampList[CP_Pcode],0)-1,0,1,1))</f>
        <v>P4</v>
      </c>
      <c r="AU1110" s="263">
        <f>IFERROR(Table_NFI[[#This Row],[Kitchen Set]]/VLOOKUP(Table_NFI[[#This Row],[Camp Name]],CL,4,0),"")</f>
        <v>0</v>
      </c>
      <c r="AV1110" s="390" t="s">
        <v>1087</v>
      </c>
      <c r="AW1110" s="392"/>
    </row>
    <row r="1111" spans="1:121" s="399" customFormat="1" ht="15.75" customHeight="1" x14ac:dyDescent="0.25">
      <c r="A1111" s="266">
        <f t="shared" si="17"/>
        <v>64.099999999999994</v>
      </c>
      <c r="B1111" s="389">
        <v>40933</v>
      </c>
      <c r="C1111" s="390" t="s">
        <v>904</v>
      </c>
      <c r="D1111" s="390"/>
      <c r="E1111" s="390" t="s">
        <v>380</v>
      </c>
      <c r="F1111" s="262" t="s">
        <v>5</v>
      </c>
      <c r="G1111" s="262" t="s">
        <v>18</v>
      </c>
      <c r="H1111" s="261">
        <v>94</v>
      </c>
      <c r="I1111" s="261"/>
      <c r="J1111" s="261"/>
      <c r="K1111" s="261"/>
      <c r="L1111" s="261"/>
      <c r="M1111" s="261"/>
      <c r="N1111" s="261"/>
      <c r="O1111" s="261"/>
      <c r="P1111" s="261"/>
      <c r="Q1111" s="261"/>
      <c r="R1111" s="261"/>
      <c r="S1111" s="261"/>
      <c r="T1111" s="261"/>
      <c r="U1111" s="261"/>
      <c r="V1111" s="762"/>
      <c r="W1111" s="762"/>
      <c r="X1111" s="762"/>
      <c r="Y1111" s="264">
        <f>IF(NFI_Expiration=1,IF($A1111&lt;VLOOKUP(H$5,NFI,5,0),1,0)*Table_NFI[[#This Row],[Hygiene Kit]],Table_NFI[Hygiene Kit])</f>
        <v>0</v>
      </c>
      <c r="Z1111" s="264">
        <f>IF(NFI_Expiration=1,IF($A1111&lt;VLOOKUP(I$5,NFI,5,0),1,0)*Table_NFI[[#This Row],[NFI Core Kit]],Table_NFI[NFI Core Kit])</f>
        <v>0</v>
      </c>
      <c r="AA1111" s="264">
        <f>IF(NFI_Expiration=1,IF($A1111&lt;VLOOKUP(J$5,NFI,5,0),1,0)*Table_NFI[[#This Row],[Sanitary Kit]],Table_NFI[Sanitary Kit])</f>
        <v>0</v>
      </c>
      <c r="AB1111" s="264">
        <f>IF(NFI_Expiration=1,IF($A1111&lt;VLOOKUP(K$5,NFI,5,0),1,0)*Table_NFI[[#This Row],[Mosquito net]],Table_NFI[Mosquito net])</f>
        <v>0</v>
      </c>
      <c r="AC1111" s="264">
        <f>IF(NFI_Expiration=1,IF($A1111&lt;VLOOKUP(L$5,NFI,5,0),1,0)*Table_NFI[[#This Row],[Tarpaulin]],Table_NFI[[#This Row],[Tarpaulin]])</f>
        <v>0</v>
      </c>
      <c r="AD1111" s="264">
        <f>IF(NFI_Expiration=1,IF($A1111&lt;VLOOKUP(M$5,NFI,5,0),1,0)*Table_NFI[[#This Row],[Blanket]],Table_NFI[[#This Row],[Blanket]])</f>
        <v>0</v>
      </c>
      <c r="AE1111" s="264">
        <f>IF(NFI_Expiration=1,IF($A1111&lt;VLOOKUP(N$5,NFI,5,0),1,0)*Table_NFI[[#This Row],[Kitchen Set]],Table_NFI[Kitchen Set])</f>
        <v>0</v>
      </c>
      <c r="AF1111" s="264">
        <f>IF(NFI_Expiration=1,IF($A1111&lt;VLOOKUP(O$5,NFI,5,0),1,0)*Table_NFI[[#This Row],[Clothes Kit]],Table_NFI[Clothes Kit])</f>
        <v>0</v>
      </c>
      <c r="AG1111" s="264">
        <f>IF(NFI_Expiration=1,IF($A1111&lt;VLOOKUP(P$5,NFI,5,0),1,0)*Table_NFI[[#This Row],[Plastic Bucket]],Table_NFI[Plastic Bucket])</f>
        <v>0</v>
      </c>
      <c r="AH1111" s="264">
        <f>IF(NFI_Expiration=1,IF($A1111&lt;VLOOKUP(Q$5,NFI,5,0),1,0)*Table_NFI[[#This Row],[Plastic Mat]],Table_NFI[Plastic Mat])*IF(Table_NFI[[#This Row],[Distribution Date]]&gt;"2014-04-01",1,2.5)</f>
        <v>0</v>
      </c>
      <c r="AI1111" s="264">
        <f>IF(NFI_Expiration=1,IF($A1111&lt;VLOOKUP(R$5,NFI,5,0),1,0)*Table_NFI[[#This Row],[Winter Clothes Adult]],Table_NFI[Winter Clothes Adult])</f>
        <v>0</v>
      </c>
      <c r="AJ1111" s="264">
        <f>IF(NFI_Expiration=1,IF($A1111&lt;VLOOKUP(S$5,NFI,5,0),1,0)*Table_NFI[[#This Row],[Winter Clothes Children]],Table_NFI[Winter Clothes Children])</f>
        <v>0</v>
      </c>
      <c r="AK1111" s="264">
        <f>IF(NFI_Expiration=1,IF($A1111&lt;VLOOKUP(T$5,NFI,5,0),1,0)*Table_NFI[[#This Row],[Winter Items Other]],Table_NFI[Winter Items Other])</f>
        <v>0</v>
      </c>
      <c r="AL1111" s="264">
        <f>IF(NFI_Expiration=1,IF($A1111&lt;VLOOKUP(M$5,NFI,5,0),1,0)*Table_NFI[[#This Row],[Winter Blanket]],Table_NFI[[#This Row],[Winter Blanket]])</f>
        <v>0</v>
      </c>
      <c r="AM1111" s="264">
        <f>IF(Table_NFI[[#This Row],[Winter Clothes Adult]]+Table_NFI[[#This Row],[Winter Clothes Children]]+Table_NFI[[#This Row],[Winter Items Other]]+Table_NFI[[#This Row],[Winter Blanket]]&gt;0,1,0)</f>
        <v>0</v>
      </c>
      <c r="AN1111" s="296">
        <f>IF(NFI_Expiration=1,IF($A1111&lt;VLOOKUP(V$5,NFI,5,0),1,0)*Table_NFI[[#This Row],[Jerry Can]],Table_NFI[Jerry Can])</f>
        <v>0</v>
      </c>
      <c r="AO1111" s="296">
        <f>IF(NFI_Expiration=1,IF($A1111&lt;VLOOKUP(V$5,NFI,5,0),1,0)*Table_NFI[[#This Row],[Shelter Tool kit]],Table_NFI[Shelter Tool kit])</f>
        <v>0</v>
      </c>
      <c r="AP1111" s="296">
        <f>IF(NFI_Expiration=1,IF($A1111&lt;VLOOKUP(V$5,NFI,5,0),1,0)*Table_NFI[[#This Row],[Tent]],Table_NFI[Tent])</f>
        <v>0</v>
      </c>
      <c r="AQ1111" s="396" t="str">
        <f>IFERROR(VLOOKUP(Table_NFI[[#This Row],[Camp Name]],CL,2,0),"")</f>
        <v>MMR001CMP049</v>
      </c>
      <c r="AR1111" s="702">
        <f ca="1">IF(Table_NFI[[#This Row],[Pcode]]="","",IF(OFFSET(CampList[Opening Date],MATCH(Table_NFI[[#This Row],[Pcode]],CampList[CP_Pcode],0)-1,0,1,1)&gt;=NFI_Monitor_Date,1,0))</f>
        <v>0</v>
      </c>
      <c r="AS1111" s="396" t="str">
        <f>IFERROR(VLOOKUP(Table_NFI[[#This Row],[Camp Name]],CL,3,0),"")</f>
        <v>Open</v>
      </c>
      <c r="AT1111" s="264" t="str">
        <f ca="1">IF(Table_NFI[[#This Row],[Pcode]]="","",OFFSET(CampList[Priority],MATCH(Table_NFI[[#This Row],[Pcode]],CampList[CP_Pcode],0)-1,0,1,1))</f>
        <v>P4</v>
      </c>
      <c r="AU1111" s="263">
        <f>IFERROR(Table_NFI[[#This Row],[Kitchen Set]]/VLOOKUP(Table_NFI[[#This Row],[Camp Name]],CL,4,0),"")</f>
        <v>0</v>
      </c>
      <c r="AV1111" s="390"/>
      <c r="AW1111" s="392"/>
    </row>
    <row r="1112" spans="1:121" s="399" customFormat="1" ht="15.75" customHeight="1" x14ac:dyDescent="0.25">
      <c r="A1112" s="266">
        <f t="shared" si="17"/>
        <v>64.3</v>
      </c>
      <c r="B1112" s="389">
        <v>40927</v>
      </c>
      <c r="C1112" s="390" t="s">
        <v>451</v>
      </c>
      <c r="D1112" s="390" t="s">
        <v>459</v>
      </c>
      <c r="E1112" s="390" t="s">
        <v>380</v>
      </c>
      <c r="F1112" s="262" t="s">
        <v>237</v>
      </c>
      <c r="G1112" s="262" t="s">
        <v>253</v>
      </c>
      <c r="H1112" s="261"/>
      <c r="I1112" s="261"/>
      <c r="J1112" s="261"/>
      <c r="K1112" s="261">
        <v>0</v>
      </c>
      <c r="L1112" s="261">
        <v>0</v>
      </c>
      <c r="M1112" s="261">
        <v>0</v>
      </c>
      <c r="N1112" s="261">
        <v>0</v>
      </c>
      <c r="O1112" s="261">
        <v>118</v>
      </c>
      <c r="P1112" s="261">
        <v>118</v>
      </c>
      <c r="Q1112" s="261">
        <v>118</v>
      </c>
      <c r="R1112" s="261"/>
      <c r="S1112" s="261"/>
      <c r="T1112" s="261"/>
      <c r="U1112" s="261"/>
      <c r="V1112" s="762"/>
      <c r="W1112" s="762"/>
      <c r="X1112" s="762"/>
      <c r="Y1112" s="264">
        <f>IF(NFI_Expiration=1,IF($A1112&lt;VLOOKUP(H$5,NFI,5,0),1,0)*Table_NFI[[#This Row],[Hygiene Kit]],Table_NFI[Hygiene Kit])</f>
        <v>0</v>
      </c>
      <c r="Z1112" s="264">
        <f>IF(NFI_Expiration=1,IF($A1112&lt;VLOOKUP(I$5,NFI,5,0),1,0)*Table_NFI[[#This Row],[NFI Core Kit]],Table_NFI[NFI Core Kit])</f>
        <v>0</v>
      </c>
      <c r="AA1112" s="264">
        <f>IF(NFI_Expiration=1,IF($A1112&lt;VLOOKUP(J$5,NFI,5,0),1,0)*Table_NFI[[#This Row],[Sanitary Kit]],Table_NFI[Sanitary Kit])</f>
        <v>0</v>
      </c>
      <c r="AB1112" s="264">
        <f>IF(NFI_Expiration=1,IF($A1112&lt;VLOOKUP(K$5,NFI,5,0),1,0)*Table_NFI[[#This Row],[Mosquito net]],Table_NFI[Mosquito net])</f>
        <v>0</v>
      </c>
      <c r="AC1112" s="264">
        <f>IF(NFI_Expiration=1,IF($A1112&lt;VLOOKUP(L$5,NFI,5,0),1,0)*Table_NFI[[#This Row],[Tarpaulin]],Table_NFI[[#This Row],[Tarpaulin]])</f>
        <v>0</v>
      </c>
      <c r="AD1112" s="264">
        <f>IF(NFI_Expiration=1,IF($A1112&lt;VLOOKUP(M$5,NFI,5,0),1,0)*Table_NFI[[#This Row],[Blanket]],Table_NFI[[#This Row],[Blanket]])</f>
        <v>0</v>
      </c>
      <c r="AE1112" s="264">
        <f>IF(NFI_Expiration=1,IF($A1112&lt;VLOOKUP(N$5,NFI,5,0),1,0)*Table_NFI[[#This Row],[Kitchen Set]],Table_NFI[Kitchen Set])</f>
        <v>0</v>
      </c>
      <c r="AF1112" s="264">
        <f>IF(NFI_Expiration=1,IF($A1112&lt;VLOOKUP(O$5,NFI,5,0),1,0)*Table_NFI[[#This Row],[Clothes Kit]],Table_NFI[Clothes Kit])</f>
        <v>0</v>
      </c>
      <c r="AG1112" s="264">
        <f>IF(NFI_Expiration=1,IF($A1112&lt;VLOOKUP(P$5,NFI,5,0),1,0)*Table_NFI[[#This Row],[Plastic Bucket]],Table_NFI[Plastic Bucket])</f>
        <v>0</v>
      </c>
      <c r="AH1112" s="264">
        <f>IF(NFI_Expiration=1,IF($A1112&lt;VLOOKUP(Q$5,NFI,5,0),1,0)*Table_NFI[[#This Row],[Plastic Mat]],Table_NFI[Plastic Mat])*IF(Table_NFI[[#This Row],[Distribution Date]]&gt;"2014-04-01",1,2.5)</f>
        <v>0</v>
      </c>
      <c r="AI1112" s="264">
        <f>IF(NFI_Expiration=1,IF($A1112&lt;VLOOKUP(R$5,NFI,5,0),1,0)*Table_NFI[[#This Row],[Winter Clothes Adult]],Table_NFI[Winter Clothes Adult])</f>
        <v>0</v>
      </c>
      <c r="AJ1112" s="264">
        <f>IF(NFI_Expiration=1,IF($A1112&lt;VLOOKUP(S$5,NFI,5,0),1,0)*Table_NFI[[#This Row],[Winter Clothes Children]],Table_NFI[Winter Clothes Children])</f>
        <v>0</v>
      </c>
      <c r="AK1112" s="264">
        <f>IF(NFI_Expiration=1,IF($A1112&lt;VLOOKUP(T$5,NFI,5,0),1,0)*Table_NFI[[#This Row],[Winter Items Other]],Table_NFI[Winter Items Other])</f>
        <v>0</v>
      </c>
      <c r="AL1112" s="264">
        <f>IF(NFI_Expiration=1,IF($A1112&lt;VLOOKUP(M$5,NFI,5,0),1,0)*Table_NFI[[#This Row],[Winter Blanket]],Table_NFI[[#This Row],[Winter Blanket]])</f>
        <v>0</v>
      </c>
      <c r="AM1112" s="264">
        <f>IF(Table_NFI[[#This Row],[Winter Clothes Adult]]+Table_NFI[[#This Row],[Winter Clothes Children]]+Table_NFI[[#This Row],[Winter Items Other]]+Table_NFI[[#This Row],[Winter Blanket]]&gt;0,1,0)</f>
        <v>0</v>
      </c>
      <c r="AN1112" s="296">
        <f>IF(NFI_Expiration=1,IF($A1112&lt;VLOOKUP(V$5,NFI,5,0),1,0)*Table_NFI[[#This Row],[Jerry Can]],Table_NFI[Jerry Can])</f>
        <v>0</v>
      </c>
      <c r="AO1112" s="296">
        <f>IF(NFI_Expiration=1,IF($A1112&lt;VLOOKUP(V$5,NFI,5,0),1,0)*Table_NFI[[#This Row],[Shelter Tool kit]],Table_NFI[Shelter Tool kit])</f>
        <v>0</v>
      </c>
      <c r="AP1112" s="296">
        <f>IF(NFI_Expiration=1,IF($A1112&lt;VLOOKUP(V$5,NFI,5,0),1,0)*Table_NFI[[#This Row],[Tent]],Table_NFI[Tent])</f>
        <v>0</v>
      </c>
      <c r="AQ1112" s="396" t="str">
        <f>IFERROR(VLOOKUP(Table_NFI[[#This Row],[Camp Name]],CL,2,0),"")</f>
        <v>MMR001CMP018</v>
      </c>
      <c r="AR1112" s="702">
        <f ca="1">IF(Table_NFI[[#This Row],[Pcode]]="","",IF(OFFSET(CampList[Opening Date],MATCH(Table_NFI[[#This Row],[Pcode]],CampList[CP_Pcode],0)-1,0,1,1)&gt;=NFI_Monitor_Date,1,0))</f>
        <v>0</v>
      </c>
      <c r="AS1112" s="396" t="str">
        <f>IFERROR(VLOOKUP(Table_NFI[[#This Row],[Camp Name]],CL,3,0),"")</f>
        <v>Open</v>
      </c>
      <c r="AT1112" s="264" t="str">
        <f ca="1">IF(Table_NFI[[#This Row],[Pcode]]="","",OFFSET(CampList[Priority],MATCH(Table_NFI[[#This Row],[Pcode]],CampList[CP_Pcode],0)-1,0,1,1))</f>
        <v>P4</v>
      </c>
      <c r="AU1112" s="263">
        <f>IFERROR(Table_NFI[[#This Row],[Kitchen Set]]/VLOOKUP(Table_NFI[[#This Row],[Camp Name]],CL,4,0),"")</f>
        <v>0</v>
      </c>
      <c r="AV1112" s="390" t="s">
        <v>1087</v>
      </c>
      <c r="AW1112" s="392"/>
    </row>
    <row r="1113" spans="1:121" s="399" customFormat="1" ht="15.75" customHeight="1" x14ac:dyDescent="0.25">
      <c r="A1113" s="266">
        <f t="shared" si="17"/>
        <v>64.5</v>
      </c>
      <c r="B1113" s="389">
        <v>40921</v>
      </c>
      <c r="C1113" s="390" t="s">
        <v>451</v>
      </c>
      <c r="D1113" s="391" t="s">
        <v>459</v>
      </c>
      <c r="E1113" s="390" t="s">
        <v>380</v>
      </c>
      <c r="F1113" s="262" t="s">
        <v>526</v>
      </c>
      <c r="G1113" s="262" t="s">
        <v>62</v>
      </c>
      <c r="H1113" s="261"/>
      <c r="I1113" s="261"/>
      <c r="J1113" s="261"/>
      <c r="K1113" s="261">
        <v>52</v>
      </c>
      <c r="L1113" s="261">
        <v>26</v>
      </c>
      <c r="M1113" s="261">
        <v>36</v>
      </c>
      <c r="N1113" s="261">
        <v>0</v>
      </c>
      <c r="O1113" s="261">
        <v>26</v>
      </c>
      <c r="P1113" s="261">
        <v>26</v>
      </c>
      <c r="Q1113" s="261">
        <v>26</v>
      </c>
      <c r="R1113" s="261"/>
      <c r="S1113" s="261"/>
      <c r="T1113" s="261"/>
      <c r="U1113" s="261"/>
      <c r="V1113" s="762"/>
      <c r="W1113" s="762"/>
      <c r="X1113" s="762"/>
      <c r="Y1113" s="264">
        <f>IF(NFI_Expiration=1,IF($A1113&lt;VLOOKUP(H$5,NFI,5,0),1,0)*Table_NFI[[#This Row],[Hygiene Kit]],Table_NFI[Hygiene Kit])</f>
        <v>0</v>
      </c>
      <c r="Z1113" s="264">
        <f>IF(NFI_Expiration=1,IF($A1113&lt;VLOOKUP(I$5,NFI,5,0),1,0)*Table_NFI[[#This Row],[NFI Core Kit]],Table_NFI[NFI Core Kit])</f>
        <v>0</v>
      </c>
      <c r="AA1113" s="264">
        <f>IF(NFI_Expiration=1,IF($A1113&lt;VLOOKUP(J$5,NFI,5,0),1,0)*Table_NFI[[#This Row],[Sanitary Kit]],Table_NFI[Sanitary Kit])</f>
        <v>0</v>
      </c>
      <c r="AB1113" s="264">
        <f>IF(NFI_Expiration=1,IF($A1113&lt;VLOOKUP(K$5,NFI,5,0),1,0)*Table_NFI[[#This Row],[Mosquito net]],Table_NFI[Mosquito net])</f>
        <v>0</v>
      </c>
      <c r="AC1113" s="264">
        <f>IF(NFI_Expiration=1,IF($A1113&lt;VLOOKUP(L$5,NFI,5,0),1,0)*Table_NFI[[#This Row],[Tarpaulin]],Table_NFI[[#This Row],[Tarpaulin]])</f>
        <v>0</v>
      </c>
      <c r="AD1113" s="264">
        <f>IF(NFI_Expiration=1,IF($A1113&lt;VLOOKUP(M$5,NFI,5,0),1,0)*Table_NFI[[#This Row],[Blanket]],Table_NFI[[#This Row],[Blanket]])</f>
        <v>0</v>
      </c>
      <c r="AE1113" s="264">
        <f>IF(NFI_Expiration=1,IF($A1113&lt;VLOOKUP(N$5,NFI,5,0),1,0)*Table_NFI[[#This Row],[Kitchen Set]],Table_NFI[Kitchen Set])</f>
        <v>0</v>
      </c>
      <c r="AF1113" s="264">
        <f>IF(NFI_Expiration=1,IF($A1113&lt;VLOOKUP(O$5,NFI,5,0),1,0)*Table_NFI[[#This Row],[Clothes Kit]],Table_NFI[Clothes Kit])</f>
        <v>0</v>
      </c>
      <c r="AG1113" s="264">
        <f>IF(NFI_Expiration=1,IF($A1113&lt;VLOOKUP(P$5,NFI,5,0),1,0)*Table_NFI[[#This Row],[Plastic Bucket]],Table_NFI[Plastic Bucket])</f>
        <v>0</v>
      </c>
      <c r="AH1113" s="264">
        <f>IF(NFI_Expiration=1,IF($A1113&lt;VLOOKUP(Q$5,NFI,5,0),1,0)*Table_NFI[[#This Row],[Plastic Mat]],Table_NFI[Plastic Mat])*IF(Table_NFI[[#This Row],[Distribution Date]]&gt;"2014-04-01",1,2.5)</f>
        <v>0</v>
      </c>
      <c r="AI1113" s="264">
        <f>IF(NFI_Expiration=1,IF($A1113&lt;VLOOKUP(R$5,NFI,5,0),1,0)*Table_NFI[[#This Row],[Winter Clothes Adult]],Table_NFI[Winter Clothes Adult])</f>
        <v>0</v>
      </c>
      <c r="AJ1113" s="264">
        <f>IF(NFI_Expiration=1,IF($A1113&lt;VLOOKUP(S$5,NFI,5,0),1,0)*Table_NFI[[#This Row],[Winter Clothes Children]],Table_NFI[Winter Clothes Children])</f>
        <v>0</v>
      </c>
      <c r="AK1113" s="264">
        <f>IF(NFI_Expiration=1,IF($A1113&lt;VLOOKUP(T$5,NFI,5,0),1,0)*Table_NFI[[#This Row],[Winter Items Other]],Table_NFI[Winter Items Other])</f>
        <v>0</v>
      </c>
      <c r="AL1113" s="264">
        <f>IF(NFI_Expiration=1,IF($A1113&lt;VLOOKUP(M$5,NFI,5,0),1,0)*Table_NFI[[#This Row],[Winter Blanket]],Table_NFI[[#This Row],[Winter Blanket]])</f>
        <v>0</v>
      </c>
      <c r="AM1113" s="264">
        <f>IF(Table_NFI[[#This Row],[Winter Clothes Adult]]+Table_NFI[[#This Row],[Winter Clothes Children]]+Table_NFI[[#This Row],[Winter Items Other]]+Table_NFI[[#This Row],[Winter Blanket]]&gt;0,1,0)</f>
        <v>0</v>
      </c>
      <c r="AN1113" s="296">
        <f>IF(NFI_Expiration=1,IF($A1113&lt;VLOOKUP(V$5,NFI,5,0),1,0)*Table_NFI[[#This Row],[Jerry Can]],Table_NFI[Jerry Can])</f>
        <v>0</v>
      </c>
      <c r="AO1113" s="296">
        <f>IF(NFI_Expiration=1,IF($A1113&lt;VLOOKUP(V$5,NFI,5,0),1,0)*Table_NFI[[#This Row],[Shelter Tool kit]],Table_NFI[Shelter Tool kit])</f>
        <v>0</v>
      </c>
      <c r="AP1113" s="296">
        <f>IF(NFI_Expiration=1,IF($A1113&lt;VLOOKUP(V$5,NFI,5,0),1,0)*Table_NFI[[#This Row],[Tent]],Table_NFI[Tent])</f>
        <v>0</v>
      </c>
      <c r="AQ1113" s="396" t="str">
        <f>IFERROR(VLOOKUP(Table_NFI[[#This Row],[Camp Name]],CL,2,0),"")</f>
        <v>MMR001CMP179</v>
      </c>
      <c r="AR1113" s="702">
        <f ca="1">IF(Table_NFI[[#This Row],[Pcode]]="","",IF(OFFSET(CampList[Opening Date],MATCH(Table_NFI[[#This Row],[Pcode]],CampList[CP_Pcode],0)-1,0,1,1)&gt;=NFI_Monitor_Date,1,0))</f>
        <v>0</v>
      </c>
      <c r="AS1113" s="396" t="str">
        <f>IFERROR(VLOOKUP(Table_NFI[[#This Row],[Camp Name]],CL,3,0),"")</f>
        <v>Closed</v>
      </c>
      <c r="AT1113" s="264" t="str">
        <f ca="1">IF(Table_NFI[[#This Row],[Pcode]]="","",OFFSET(CampList[Priority],MATCH(Table_NFI[[#This Row],[Pcode]],CampList[CP_Pcode],0)-1,0,1,1))</f>
        <v>P4</v>
      </c>
      <c r="AU1113" s="263">
        <f>IFERROR(Table_NFI[[#This Row],[Kitchen Set]]/VLOOKUP(Table_NFI[[#This Row],[Camp Name]],CL,4,0),"")</f>
        <v>0</v>
      </c>
      <c r="AV1113" s="390" t="s">
        <v>1087</v>
      </c>
      <c r="AW1113" s="392"/>
    </row>
    <row r="1114" spans="1:121" s="399" customFormat="1" ht="15.75" customHeight="1" x14ac:dyDescent="0.25">
      <c r="A1114" s="266">
        <f t="shared" si="17"/>
        <v>64.5</v>
      </c>
      <c r="B1114" s="389">
        <v>40921</v>
      </c>
      <c r="C1114" s="390" t="s">
        <v>451</v>
      </c>
      <c r="D1114" s="390" t="s">
        <v>459</v>
      </c>
      <c r="E1114" s="390" t="s">
        <v>380</v>
      </c>
      <c r="F1114" s="262" t="s">
        <v>526</v>
      </c>
      <c r="G1114" s="262" t="s">
        <v>62</v>
      </c>
      <c r="H1114" s="261"/>
      <c r="I1114" s="261"/>
      <c r="J1114" s="261"/>
      <c r="K1114" s="261">
        <v>120</v>
      </c>
      <c r="L1114" s="261">
        <v>60</v>
      </c>
      <c r="M1114" s="261">
        <v>60</v>
      </c>
      <c r="N1114" s="261">
        <v>0</v>
      </c>
      <c r="O1114" s="261">
        <v>60</v>
      </c>
      <c r="P1114" s="261">
        <v>60</v>
      </c>
      <c r="Q1114" s="261">
        <v>60</v>
      </c>
      <c r="R1114" s="261"/>
      <c r="S1114" s="261"/>
      <c r="T1114" s="261"/>
      <c r="U1114" s="261"/>
      <c r="V1114" s="762"/>
      <c r="W1114" s="762"/>
      <c r="X1114" s="762"/>
      <c r="Y1114" s="264">
        <f>IF(NFI_Expiration=1,IF($A1114&lt;VLOOKUP(H$5,NFI,5,0),1,0)*Table_NFI[[#This Row],[Hygiene Kit]],Table_NFI[Hygiene Kit])</f>
        <v>0</v>
      </c>
      <c r="Z1114" s="264">
        <f>IF(NFI_Expiration=1,IF($A1114&lt;VLOOKUP(I$5,NFI,5,0),1,0)*Table_NFI[[#This Row],[NFI Core Kit]],Table_NFI[NFI Core Kit])</f>
        <v>0</v>
      </c>
      <c r="AA1114" s="264">
        <f>IF(NFI_Expiration=1,IF($A1114&lt;VLOOKUP(J$5,NFI,5,0),1,0)*Table_NFI[[#This Row],[Sanitary Kit]],Table_NFI[Sanitary Kit])</f>
        <v>0</v>
      </c>
      <c r="AB1114" s="264">
        <f>IF(NFI_Expiration=1,IF($A1114&lt;VLOOKUP(K$5,NFI,5,0),1,0)*Table_NFI[[#This Row],[Mosquito net]],Table_NFI[Mosquito net])</f>
        <v>0</v>
      </c>
      <c r="AC1114" s="264">
        <f>IF(NFI_Expiration=1,IF($A1114&lt;VLOOKUP(L$5,NFI,5,0),1,0)*Table_NFI[[#This Row],[Tarpaulin]],Table_NFI[[#This Row],[Tarpaulin]])</f>
        <v>0</v>
      </c>
      <c r="AD1114" s="264">
        <f>IF(NFI_Expiration=1,IF($A1114&lt;VLOOKUP(M$5,NFI,5,0),1,0)*Table_NFI[[#This Row],[Blanket]],Table_NFI[[#This Row],[Blanket]])</f>
        <v>0</v>
      </c>
      <c r="AE1114" s="264">
        <f>IF(NFI_Expiration=1,IF($A1114&lt;VLOOKUP(N$5,NFI,5,0),1,0)*Table_NFI[[#This Row],[Kitchen Set]],Table_NFI[Kitchen Set])</f>
        <v>0</v>
      </c>
      <c r="AF1114" s="264">
        <f>IF(NFI_Expiration=1,IF($A1114&lt;VLOOKUP(O$5,NFI,5,0),1,0)*Table_NFI[[#This Row],[Clothes Kit]],Table_NFI[Clothes Kit])</f>
        <v>0</v>
      </c>
      <c r="AG1114" s="264">
        <f>IF(NFI_Expiration=1,IF($A1114&lt;VLOOKUP(P$5,NFI,5,0),1,0)*Table_NFI[[#This Row],[Plastic Bucket]],Table_NFI[Plastic Bucket])</f>
        <v>0</v>
      </c>
      <c r="AH1114" s="264">
        <f>IF(NFI_Expiration=1,IF($A1114&lt;VLOOKUP(Q$5,NFI,5,0),1,0)*Table_NFI[[#This Row],[Plastic Mat]],Table_NFI[Plastic Mat])*IF(Table_NFI[[#This Row],[Distribution Date]]&gt;"2014-04-01",1,2.5)</f>
        <v>0</v>
      </c>
      <c r="AI1114" s="264">
        <f>IF(NFI_Expiration=1,IF($A1114&lt;VLOOKUP(R$5,NFI,5,0),1,0)*Table_NFI[[#This Row],[Winter Clothes Adult]],Table_NFI[Winter Clothes Adult])</f>
        <v>0</v>
      </c>
      <c r="AJ1114" s="264">
        <f>IF(NFI_Expiration=1,IF($A1114&lt;VLOOKUP(S$5,NFI,5,0),1,0)*Table_NFI[[#This Row],[Winter Clothes Children]],Table_NFI[Winter Clothes Children])</f>
        <v>0</v>
      </c>
      <c r="AK1114" s="264">
        <f>IF(NFI_Expiration=1,IF($A1114&lt;VLOOKUP(T$5,NFI,5,0),1,0)*Table_NFI[[#This Row],[Winter Items Other]],Table_NFI[Winter Items Other])</f>
        <v>0</v>
      </c>
      <c r="AL1114" s="264">
        <f>IF(NFI_Expiration=1,IF($A1114&lt;VLOOKUP(M$5,NFI,5,0),1,0)*Table_NFI[[#This Row],[Winter Blanket]],Table_NFI[[#This Row],[Winter Blanket]])</f>
        <v>0</v>
      </c>
      <c r="AM1114" s="264">
        <f>IF(Table_NFI[[#This Row],[Winter Clothes Adult]]+Table_NFI[[#This Row],[Winter Clothes Children]]+Table_NFI[[#This Row],[Winter Items Other]]+Table_NFI[[#This Row],[Winter Blanket]]&gt;0,1,0)</f>
        <v>0</v>
      </c>
      <c r="AN1114" s="296">
        <f>IF(NFI_Expiration=1,IF($A1114&lt;VLOOKUP(V$5,NFI,5,0),1,0)*Table_NFI[[#This Row],[Jerry Can]],Table_NFI[Jerry Can])</f>
        <v>0</v>
      </c>
      <c r="AO1114" s="296">
        <f>IF(NFI_Expiration=1,IF($A1114&lt;VLOOKUP(V$5,NFI,5,0),1,0)*Table_NFI[[#This Row],[Shelter Tool kit]],Table_NFI[Shelter Tool kit])</f>
        <v>0</v>
      </c>
      <c r="AP1114" s="296">
        <f>IF(NFI_Expiration=1,IF($A1114&lt;VLOOKUP(V$5,NFI,5,0),1,0)*Table_NFI[[#This Row],[Tent]],Table_NFI[Tent])</f>
        <v>0</v>
      </c>
      <c r="AQ1114" s="396" t="str">
        <f>IFERROR(VLOOKUP(Table_NFI[[#This Row],[Camp Name]],CL,2,0),"")</f>
        <v>MMR001CMP179</v>
      </c>
      <c r="AR1114" s="702">
        <f ca="1">IF(Table_NFI[[#This Row],[Pcode]]="","",IF(OFFSET(CampList[Opening Date],MATCH(Table_NFI[[#This Row],[Pcode]],CampList[CP_Pcode],0)-1,0,1,1)&gt;=NFI_Monitor_Date,1,0))</f>
        <v>0</v>
      </c>
      <c r="AS1114" s="396" t="str">
        <f>IFERROR(VLOOKUP(Table_NFI[[#This Row],[Camp Name]],CL,3,0),"")</f>
        <v>Closed</v>
      </c>
      <c r="AT1114" s="264" t="str">
        <f ca="1">IF(Table_NFI[[#This Row],[Pcode]]="","",OFFSET(CampList[Priority],MATCH(Table_NFI[[#This Row],[Pcode]],CampList[CP_Pcode],0)-1,0,1,1))</f>
        <v>P4</v>
      </c>
      <c r="AU1114" s="263">
        <f>IFERROR(Table_NFI[[#This Row],[Kitchen Set]]/VLOOKUP(Table_NFI[[#This Row],[Camp Name]],CL,4,0),"")</f>
        <v>0</v>
      </c>
      <c r="AV1114" s="390" t="s">
        <v>1087</v>
      </c>
      <c r="AW1114" s="392"/>
    </row>
    <row r="1115" spans="1:121" s="399" customFormat="1" ht="15.75" customHeight="1" x14ac:dyDescent="0.25">
      <c r="A1115" s="266">
        <f t="shared" si="17"/>
        <v>64.5</v>
      </c>
      <c r="B1115" s="389">
        <v>40921</v>
      </c>
      <c r="C1115" s="390" t="s">
        <v>451</v>
      </c>
      <c r="D1115" s="391" t="s">
        <v>459</v>
      </c>
      <c r="E1115" s="390" t="s">
        <v>380</v>
      </c>
      <c r="F1115" s="262" t="s">
        <v>526</v>
      </c>
      <c r="G1115" s="262" t="s">
        <v>62</v>
      </c>
      <c r="H1115" s="261"/>
      <c r="I1115" s="261"/>
      <c r="J1115" s="261"/>
      <c r="K1115" s="261">
        <v>148</v>
      </c>
      <c r="L1115" s="261">
        <v>74</v>
      </c>
      <c r="M1115" s="261">
        <v>74</v>
      </c>
      <c r="N1115" s="261">
        <v>0</v>
      </c>
      <c r="O1115" s="261">
        <v>74</v>
      </c>
      <c r="P1115" s="261">
        <v>74</v>
      </c>
      <c r="Q1115" s="261">
        <v>74</v>
      </c>
      <c r="R1115" s="261"/>
      <c r="S1115" s="261"/>
      <c r="T1115" s="261"/>
      <c r="U1115" s="261"/>
      <c r="V1115" s="762"/>
      <c r="W1115" s="762"/>
      <c r="X1115" s="762"/>
      <c r="Y1115" s="264">
        <f>IF(NFI_Expiration=1,IF($A1115&lt;VLOOKUP(H$5,NFI,5,0),1,0)*Table_NFI[[#This Row],[Hygiene Kit]],Table_NFI[Hygiene Kit])</f>
        <v>0</v>
      </c>
      <c r="Z1115" s="264">
        <f>IF(NFI_Expiration=1,IF($A1115&lt;VLOOKUP(I$5,NFI,5,0),1,0)*Table_NFI[[#This Row],[NFI Core Kit]],Table_NFI[NFI Core Kit])</f>
        <v>0</v>
      </c>
      <c r="AA1115" s="264">
        <f>IF(NFI_Expiration=1,IF($A1115&lt;VLOOKUP(J$5,NFI,5,0),1,0)*Table_NFI[[#This Row],[Sanitary Kit]],Table_NFI[Sanitary Kit])</f>
        <v>0</v>
      </c>
      <c r="AB1115" s="264">
        <f>IF(NFI_Expiration=1,IF($A1115&lt;VLOOKUP(K$5,NFI,5,0),1,0)*Table_NFI[[#This Row],[Mosquito net]],Table_NFI[Mosquito net])</f>
        <v>0</v>
      </c>
      <c r="AC1115" s="264">
        <f>IF(NFI_Expiration=1,IF($A1115&lt;VLOOKUP(L$5,NFI,5,0),1,0)*Table_NFI[[#This Row],[Tarpaulin]],Table_NFI[[#This Row],[Tarpaulin]])</f>
        <v>0</v>
      </c>
      <c r="AD1115" s="264">
        <f>IF(NFI_Expiration=1,IF($A1115&lt;VLOOKUP(M$5,NFI,5,0),1,0)*Table_NFI[[#This Row],[Blanket]],Table_NFI[[#This Row],[Blanket]])</f>
        <v>0</v>
      </c>
      <c r="AE1115" s="264">
        <f>IF(NFI_Expiration=1,IF($A1115&lt;VLOOKUP(N$5,NFI,5,0),1,0)*Table_NFI[[#This Row],[Kitchen Set]],Table_NFI[Kitchen Set])</f>
        <v>0</v>
      </c>
      <c r="AF1115" s="264">
        <f>IF(NFI_Expiration=1,IF($A1115&lt;VLOOKUP(O$5,NFI,5,0),1,0)*Table_NFI[[#This Row],[Clothes Kit]],Table_NFI[Clothes Kit])</f>
        <v>0</v>
      </c>
      <c r="AG1115" s="264">
        <f>IF(NFI_Expiration=1,IF($A1115&lt;VLOOKUP(P$5,NFI,5,0),1,0)*Table_NFI[[#This Row],[Plastic Bucket]],Table_NFI[Plastic Bucket])</f>
        <v>0</v>
      </c>
      <c r="AH1115" s="264">
        <f>IF(NFI_Expiration=1,IF($A1115&lt;VLOOKUP(Q$5,NFI,5,0),1,0)*Table_NFI[[#This Row],[Plastic Mat]],Table_NFI[Plastic Mat])*IF(Table_NFI[[#This Row],[Distribution Date]]&gt;"2014-04-01",1,2.5)</f>
        <v>0</v>
      </c>
      <c r="AI1115" s="264">
        <f>IF(NFI_Expiration=1,IF($A1115&lt;VLOOKUP(R$5,NFI,5,0),1,0)*Table_NFI[[#This Row],[Winter Clothes Adult]],Table_NFI[Winter Clothes Adult])</f>
        <v>0</v>
      </c>
      <c r="AJ1115" s="264">
        <f>IF(NFI_Expiration=1,IF($A1115&lt;VLOOKUP(S$5,NFI,5,0),1,0)*Table_NFI[[#This Row],[Winter Clothes Children]],Table_NFI[Winter Clothes Children])</f>
        <v>0</v>
      </c>
      <c r="AK1115" s="264">
        <f>IF(NFI_Expiration=1,IF($A1115&lt;VLOOKUP(T$5,NFI,5,0),1,0)*Table_NFI[[#This Row],[Winter Items Other]],Table_NFI[Winter Items Other])</f>
        <v>0</v>
      </c>
      <c r="AL1115" s="264">
        <f>IF(NFI_Expiration=1,IF($A1115&lt;VLOOKUP(M$5,NFI,5,0),1,0)*Table_NFI[[#This Row],[Winter Blanket]],Table_NFI[[#This Row],[Winter Blanket]])</f>
        <v>0</v>
      </c>
      <c r="AM1115" s="264">
        <f>IF(Table_NFI[[#This Row],[Winter Clothes Adult]]+Table_NFI[[#This Row],[Winter Clothes Children]]+Table_NFI[[#This Row],[Winter Items Other]]+Table_NFI[[#This Row],[Winter Blanket]]&gt;0,1,0)</f>
        <v>0</v>
      </c>
      <c r="AN1115" s="296">
        <f>IF(NFI_Expiration=1,IF($A1115&lt;VLOOKUP(V$5,NFI,5,0),1,0)*Table_NFI[[#This Row],[Jerry Can]],Table_NFI[Jerry Can])</f>
        <v>0</v>
      </c>
      <c r="AO1115" s="296">
        <f>IF(NFI_Expiration=1,IF($A1115&lt;VLOOKUP(V$5,NFI,5,0),1,0)*Table_NFI[[#This Row],[Shelter Tool kit]],Table_NFI[Shelter Tool kit])</f>
        <v>0</v>
      </c>
      <c r="AP1115" s="296">
        <f>IF(NFI_Expiration=1,IF($A1115&lt;VLOOKUP(V$5,NFI,5,0),1,0)*Table_NFI[[#This Row],[Tent]],Table_NFI[Tent])</f>
        <v>0</v>
      </c>
      <c r="AQ1115" s="396" t="str">
        <f>IFERROR(VLOOKUP(Table_NFI[[#This Row],[Camp Name]],CL,2,0),"")</f>
        <v>MMR001CMP179</v>
      </c>
      <c r="AR1115" s="702">
        <f ca="1">IF(Table_NFI[[#This Row],[Pcode]]="","",IF(OFFSET(CampList[Opening Date],MATCH(Table_NFI[[#This Row],[Pcode]],CampList[CP_Pcode],0)-1,0,1,1)&gt;=NFI_Monitor_Date,1,0))</f>
        <v>0</v>
      </c>
      <c r="AS1115" s="396" t="str">
        <f>IFERROR(VLOOKUP(Table_NFI[[#This Row],[Camp Name]],CL,3,0),"")</f>
        <v>Closed</v>
      </c>
      <c r="AT1115" s="264" t="str">
        <f ca="1">IF(Table_NFI[[#This Row],[Pcode]]="","",OFFSET(CampList[Priority],MATCH(Table_NFI[[#This Row],[Pcode]],CampList[CP_Pcode],0)-1,0,1,1))</f>
        <v>P4</v>
      </c>
      <c r="AU1115" s="263">
        <f>IFERROR(Table_NFI[[#This Row],[Kitchen Set]]/VLOOKUP(Table_NFI[[#This Row],[Camp Name]],CL,4,0),"")</f>
        <v>0</v>
      </c>
      <c r="AV1115" s="390" t="s">
        <v>1087</v>
      </c>
      <c r="AW1115" s="392"/>
    </row>
    <row r="1116" spans="1:121" s="399" customFormat="1" ht="15.75" customHeight="1" x14ac:dyDescent="0.25">
      <c r="A1116" s="266">
        <f t="shared" si="17"/>
        <v>64.5</v>
      </c>
      <c r="B1116" s="389">
        <v>40921</v>
      </c>
      <c r="C1116" s="390" t="s">
        <v>451</v>
      </c>
      <c r="D1116" s="391" t="s">
        <v>459</v>
      </c>
      <c r="E1116" s="390" t="s">
        <v>380</v>
      </c>
      <c r="F1116" s="262" t="s">
        <v>526</v>
      </c>
      <c r="G1116" s="262" t="s">
        <v>52</v>
      </c>
      <c r="H1116" s="261"/>
      <c r="I1116" s="261"/>
      <c r="J1116" s="261"/>
      <c r="K1116" s="261">
        <v>70</v>
      </c>
      <c r="L1116" s="261">
        <v>35</v>
      </c>
      <c r="M1116" s="261">
        <v>35</v>
      </c>
      <c r="N1116" s="261">
        <v>0</v>
      </c>
      <c r="O1116" s="261">
        <v>35</v>
      </c>
      <c r="P1116" s="261">
        <v>35</v>
      </c>
      <c r="Q1116" s="261">
        <v>35</v>
      </c>
      <c r="R1116" s="261"/>
      <c r="S1116" s="261"/>
      <c r="T1116" s="261"/>
      <c r="U1116" s="261"/>
      <c r="V1116" s="762"/>
      <c r="W1116" s="762"/>
      <c r="X1116" s="762"/>
      <c r="Y1116" s="264">
        <f>IF(NFI_Expiration=1,IF($A1116&lt;VLOOKUP(H$5,NFI,5,0),1,0)*Table_NFI[[#This Row],[Hygiene Kit]],Table_NFI[Hygiene Kit])</f>
        <v>0</v>
      </c>
      <c r="Z1116" s="264">
        <f>IF(NFI_Expiration=1,IF($A1116&lt;VLOOKUP(I$5,NFI,5,0),1,0)*Table_NFI[[#This Row],[NFI Core Kit]],Table_NFI[NFI Core Kit])</f>
        <v>0</v>
      </c>
      <c r="AA1116" s="264">
        <f>IF(NFI_Expiration=1,IF($A1116&lt;VLOOKUP(J$5,NFI,5,0),1,0)*Table_NFI[[#This Row],[Sanitary Kit]],Table_NFI[Sanitary Kit])</f>
        <v>0</v>
      </c>
      <c r="AB1116" s="264">
        <f>IF(NFI_Expiration=1,IF($A1116&lt;VLOOKUP(K$5,NFI,5,0),1,0)*Table_NFI[[#This Row],[Mosquito net]],Table_NFI[Mosquito net])</f>
        <v>0</v>
      </c>
      <c r="AC1116" s="264">
        <f>IF(NFI_Expiration=1,IF($A1116&lt;VLOOKUP(L$5,NFI,5,0),1,0)*Table_NFI[[#This Row],[Tarpaulin]],Table_NFI[[#This Row],[Tarpaulin]])</f>
        <v>0</v>
      </c>
      <c r="AD1116" s="264">
        <f>IF(NFI_Expiration=1,IF($A1116&lt;VLOOKUP(M$5,NFI,5,0),1,0)*Table_NFI[[#This Row],[Blanket]],Table_NFI[[#This Row],[Blanket]])</f>
        <v>0</v>
      </c>
      <c r="AE1116" s="264">
        <f>IF(NFI_Expiration=1,IF($A1116&lt;VLOOKUP(N$5,NFI,5,0),1,0)*Table_NFI[[#This Row],[Kitchen Set]],Table_NFI[Kitchen Set])</f>
        <v>0</v>
      </c>
      <c r="AF1116" s="264">
        <f>IF(NFI_Expiration=1,IF($A1116&lt;VLOOKUP(O$5,NFI,5,0),1,0)*Table_NFI[[#This Row],[Clothes Kit]],Table_NFI[Clothes Kit])</f>
        <v>0</v>
      </c>
      <c r="AG1116" s="264">
        <f>IF(NFI_Expiration=1,IF($A1116&lt;VLOOKUP(P$5,NFI,5,0),1,0)*Table_NFI[[#This Row],[Plastic Bucket]],Table_NFI[Plastic Bucket])</f>
        <v>0</v>
      </c>
      <c r="AH1116" s="264">
        <f>IF(NFI_Expiration=1,IF($A1116&lt;VLOOKUP(Q$5,NFI,5,0),1,0)*Table_NFI[[#This Row],[Plastic Mat]],Table_NFI[Plastic Mat])*IF(Table_NFI[[#This Row],[Distribution Date]]&gt;"2014-04-01",1,2.5)</f>
        <v>0</v>
      </c>
      <c r="AI1116" s="264">
        <f>IF(NFI_Expiration=1,IF($A1116&lt;VLOOKUP(R$5,NFI,5,0),1,0)*Table_NFI[[#This Row],[Winter Clothes Adult]],Table_NFI[Winter Clothes Adult])</f>
        <v>0</v>
      </c>
      <c r="AJ1116" s="264">
        <f>IF(NFI_Expiration=1,IF($A1116&lt;VLOOKUP(S$5,NFI,5,0),1,0)*Table_NFI[[#This Row],[Winter Clothes Children]],Table_NFI[Winter Clothes Children])</f>
        <v>0</v>
      </c>
      <c r="AK1116" s="264">
        <f>IF(NFI_Expiration=1,IF($A1116&lt;VLOOKUP(T$5,NFI,5,0),1,0)*Table_NFI[[#This Row],[Winter Items Other]],Table_NFI[Winter Items Other])</f>
        <v>0</v>
      </c>
      <c r="AL1116" s="264">
        <f>IF(NFI_Expiration=1,IF($A1116&lt;VLOOKUP(M$5,NFI,5,0),1,0)*Table_NFI[[#This Row],[Winter Blanket]],Table_NFI[[#This Row],[Winter Blanket]])</f>
        <v>0</v>
      </c>
      <c r="AM1116" s="264">
        <f>IF(Table_NFI[[#This Row],[Winter Clothes Adult]]+Table_NFI[[#This Row],[Winter Clothes Children]]+Table_NFI[[#This Row],[Winter Items Other]]+Table_NFI[[#This Row],[Winter Blanket]]&gt;0,1,0)</f>
        <v>0</v>
      </c>
      <c r="AN1116" s="296">
        <f>IF(NFI_Expiration=1,IF($A1116&lt;VLOOKUP(V$5,NFI,5,0),1,0)*Table_NFI[[#This Row],[Jerry Can]],Table_NFI[Jerry Can])</f>
        <v>0</v>
      </c>
      <c r="AO1116" s="296">
        <f>IF(NFI_Expiration=1,IF($A1116&lt;VLOOKUP(V$5,NFI,5,0),1,0)*Table_NFI[[#This Row],[Shelter Tool kit]],Table_NFI[Shelter Tool kit])</f>
        <v>0</v>
      </c>
      <c r="AP1116" s="296">
        <f>IF(NFI_Expiration=1,IF($A1116&lt;VLOOKUP(V$5,NFI,5,0),1,0)*Table_NFI[[#This Row],[Tent]],Table_NFI[Tent])</f>
        <v>0</v>
      </c>
      <c r="AQ1116" s="396" t="str">
        <f>IFERROR(VLOOKUP(Table_NFI[[#This Row],[Camp Name]],CL,2,0),"")</f>
        <v>MMR001CMP169</v>
      </c>
      <c r="AR1116" s="702">
        <f ca="1">IF(Table_NFI[[#This Row],[Pcode]]="","",IF(OFFSET(CampList[Opening Date],MATCH(Table_NFI[[#This Row],[Pcode]],CampList[CP_Pcode],0)-1,0,1,1)&gt;=NFI_Monitor_Date,1,0))</f>
        <v>0</v>
      </c>
      <c r="AS1116" s="396" t="str">
        <f>IFERROR(VLOOKUP(Table_NFI[[#This Row],[Camp Name]],CL,3,0),"")</f>
        <v>Open</v>
      </c>
      <c r="AT1116" s="264" t="str">
        <f ca="1">IF(Table_NFI[[#This Row],[Pcode]]="","",OFFSET(CampList[Priority],MATCH(Table_NFI[[#This Row],[Pcode]],CampList[CP_Pcode],0)-1,0,1,1))</f>
        <v>P4</v>
      </c>
      <c r="AU1116" s="263">
        <f>IFERROR(Table_NFI[[#This Row],[Kitchen Set]]/VLOOKUP(Table_NFI[[#This Row],[Camp Name]],CL,4,0),"")</f>
        <v>0</v>
      </c>
      <c r="AV1116" s="390" t="s">
        <v>1087</v>
      </c>
      <c r="AW1116" s="392"/>
    </row>
    <row r="1117" spans="1:121" s="399" customFormat="1" ht="15.75" customHeight="1" x14ac:dyDescent="0.25">
      <c r="A1117" s="266">
        <f t="shared" si="17"/>
        <v>64.5</v>
      </c>
      <c r="B1117" s="389">
        <v>40921</v>
      </c>
      <c r="C1117" s="390" t="s">
        <v>451</v>
      </c>
      <c r="D1117" s="391" t="s">
        <v>459</v>
      </c>
      <c r="E1117" s="390" t="s">
        <v>380</v>
      </c>
      <c r="F1117" s="262" t="s">
        <v>526</v>
      </c>
      <c r="G1117" s="262" t="s">
        <v>88</v>
      </c>
      <c r="H1117" s="261"/>
      <c r="I1117" s="261"/>
      <c r="J1117" s="261"/>
      <c r="K1117" s="261">
        <v>10</v>
      </c>
      <c r="L1117" s="261">
        <v>5</v>
      </c>
      <c r="M1117" s="261">
        <v>5</v>
      </c>
      <c r="N1117" s="261">
        <v>0</v>
      </c>
      <c r="O1117" s="261">
        <v>5</v>
      </c>
      <c r="P1117" s="261">
        <v>5</v>
      </c>
      <c r="Q1117" s="261">
        <v>5</v>
      </c>
      <c r="R1117" s="261"/>
      <c r="S1117" s="261"/>
      <c r="T1117" s="261"/>
      <c r="U1117" s="261"/>
      <c r="V1117" s="762"/>
      <c r="W1117" s="762"/>
      <c r="X1117" s="762"/>
      <c r="Y1117" s="264">
        <f>IF(NFI_Expiration=1,IF($A1117&lt;VLOOKUP(H$5,NFI,5,0),1,0)*Table_NFI[[#This Row],[Hygiene Kit]],Table_NFI[Hygiene Kit])</f>
        <v>0</v>
      </c>
      <c r="Z1117" s="264">
        <f>IF(NFI_Expiration=1,IF($A1117&lt;VLOOKUP(I$5,NFI,5,0),1,0)*Table_NFI[[#This Row],[NFI Core Kit]],Table_NFI[NFI Core Kit])</f>
        <v>0</v>
      </c>
      <c r="AA1117" s="264">
        <f>IF(NFI_Expiration=1,IF($A1117&lt;VLOOKUP(J$5,NFI,5,0),1,0)*Table_NFI[[#This Row],[Sanitary Kit]],Table_NFI[Sanitary Kit])</f>
        <v>0</v>
      </c>
      <c r="AB1117" s="264">
        <f>IF(NFI_Expiration=1,IF($A1117&lt;VLOOKUP(K$5,NFI,5,0),1,0)*Table_NFI[[#This Row],[Mosquito net]],Table_NFI[Mosquito net])</f>
        <v>0</v>
      </c>
      <c r="AC1117" s="264">
        <f>IF(NFI_Expiration=1,IF($A1117&lt;VLOOKUP(L$5,NFI,5,0),1,0)*Table_NFI[[#This Row],[Tarpaulin]],Table_NFI[[#This Row],[Tarpaulin]])</f>
        <v>0</v>
      </c>
      <c r="AD1117" s="264">
        <f>IF(NFI_Expiration=1,IF($A1117&lt;VLOOKUP(M$5,NFI,5,0),1,0)*Table_NFI[[#This Row],[Blanket]],Table_NFI[[#This Row],[Blanket]])</f>
        <v>0</v>
      </c>
      <c r="AE1117" s="264">
        <f>IF(NFI_Expiration=1,IF($A1117&lt;VLOOKUP(N$5,NFI,5,0),1,0)*Table_NFI[[#This Row],[Kitchen Set]],Table_NFI[Kitchen Set])</f>
        <v>0</v>
      </c>
      <c r="AF1117" s="264">
        <f>IF(NFI_Expiration=1,IF($A1117&lt;VLOOKUP(O$5,NFI,5,0),1,0)*Table_NFI[[#This Row],[Clothes Kit]],Table_NFI[Clothes Kit])</f>
        <v>0</v>
      </c>
      <c r="AG1117" s="264">
        <f>IF(NFI_Expiration=1,IF($A1117&lt;VLOOKUP(P$5,NFI,5,0),1,0)*Table_NFI[[#This Row],[Plastic Bucket]],Table_NFI[Plastic Bucket])</f>
        <v>0</v>
      </c>
      <c r="AH1117" s="264">
        <f>IF(NFI_Expiration=1,IF($A1117&lt;VLOOKUP(Q$5,NFI,5,0),1,0)*Table_NFI[[#This Row],[Plastic Mat]],Table_NFI[Plastic Mat])*IF(Table_NFI[[#This Row],[Distribution Date]]&gt;"2014-04-01",1,2.5)</f>
        <v>0</v>
      </c>
      <c r="AI1117" s="264">
        <f>IF(NFI_Expiration=1,IF($A1117&lt;VLOOKUP(R$5,NFI,5,0),1,0)*Table_NFI[[#This Row],[Winter Clothes Adult]],Table_NFI[Winter Clothes Adult])</f>
        <v>0</v>
      </c>
      <c r="AJ1117" s="264">
        <f>IF(NFI_Expiration=1,IF($A1117&lt;VLOOKUP(S$5,NFI,5,0),1,0)*Table_NFI[[#This Row],[Winter Clothes Children]],Table_NFI[Winter Clothes Children])</f>
        <v>0</v>
      </c>
      <c r="AK1117" s="264">
        <f>IF(NFI_Expiration=1,IF($A1117&lt;VLOOKUP(T$5,NFI,5,0),1,0)*Table_NFI[[#This Row],[Winter Items Other]],Table_NFI[Winter Items Other])</f>
        <v>0</v>
      </c>
      <c r="AL1117" s="264">
        <f>IF(NFI_Expiration=1,IF($A1117&lt;VLOOKUP(M$5,NFI,5,0),1,0)*Table_NFI[[#This Row],[Winter Blanket]],Table_NFI[[#This Row],[Winter Blanket]])</f>
        <v>0</v>
      </c>
      <c r="AM1117" s="264">
        <f>IF(Table_NFI[[#This Row],[Winter Clothes Adult]]+Table_NFI[[#This Row],[Winter Clothes Children]]+Table_NFI[[#This Row],[Winter Items Other]]+Table_NFI[[#This Row],[Winter Blanket]]&gt;0,1,0)</f>
        <v>0</v>
      </c>
      <c r="AN1117" s="296">
        <f>IF(NFI_Expiration=1,IF($A1117&lt;VLOOKUP(V$5,NFI,5,0),1,0)*Table_NFI[[#This Row],[Jerry Can]],Table_NFI[Jerry Can])</f>
        <v>0</v>
      </c>
      <c r="AO1117" s="296">
        <f>IF(NFI_Expiration=1,IF($A1117&lt;VLOOKUP(V$5,NFI,5,0),1,0)*Table_NFI[[#This Row],[Shelter Tool kit]],Table_NFI[Shelter Tool kit])</f>
        <v>0</v>
      </c>
      <c r="AP1117" s="296">
        <f>IF(NFI_Expiration=1,IF($A1117&lt;VLOOKUP(V$5,NFI,5,0),1,0)*Table_NFI[[#This Row],[Tent]],Table_NFI[Tent])</f>
        <v>0</v>
      </c>
      <c r="AQ1117" s="396" t="str">
        <f>IFERROR(VLOOKUP(Table_NFI[[#This Row],[Camp Name]],CL,2,0),"")</f>
        <v>MMR001CMP148</v>
      </c>
      <c r="AR1117" s="702">
        <f ca="1">IF(Table_NFI[[#This Row],[Pcode]]="","",IF(OFFSET(CampList[Opening Date],MATCH(Table_NFI[[#This Row],[Pcode]],CampList[CP_Pcode],0)-1,0,1,1)&gt;=NFI_Monitor_Date,1,0))</f>
        <v>0</v>
      </c>
      <c r="AS1117" s="396" t="str">
        <f>IFERROR(VLOOKUP(Table_NFI[[#This Row],[Camp Name]],CL,3,0),"")</f>
        <v>Open</v>
      </c>
      <c r="AT1117" s="264" t="str">
        <f ca="1">IF(Table_NFI[[#This Row],[Pcode]]="","",OFFSET(CampList[Priority],MATCH(Table_NFI[[#This Row],[Pcode]],CampList[CP_Pcode],0)-1,0,1,1))</f>
        <v>P4</v>
      </c>
      <c r="AU1117" s="263">
        <f>IFERROR(Table_NFI[[#This Row],[Kitchen Set]]/VLOOKUP(Table_NFI[[#This Row],[Camp Name]],CL,4,0),"")</f>
        <v>0</v>
      </c>
      <c r="AV1117" s="390" t="s">
        <v>1087</v>
      </c>
      <c r="AW1117" s="392"/>
    </row>
    <row r="1118" spans="1:121" s="399" customFormat="1" ht="14.45" customHeight="1" x14ac:dyDescent="0.25">
      <c r="A1118" s="266">
        <f t="shared" si="17"/>
        <v>64.5</v>
      </c>
      <c r="B1118" s="389">
        <v>40921</v>
      </c>
      <c r="C1118" s="390" t="s">
        <v>451</v>
      </c>
      <c r="D1118" s="391" t="s">
        <v>451</v>
      </c>
      <c r="E1118" s="390" t="s">
        <v>380</v>
      </c>
      <c r="F1118" s="262" t="s">
        <v>310</v>
      </c>
      <c r="G1118" s="262" t="s">
        <v>326</v>
      </c>
      <c r="H1118" s="261"/>
      <c r="I1118" s="261"/>
      <c r="J1118" s="261"/>
      <c r="K1118" s="261">
        <v>35</v>
      </c>
      <c r="L1118" s="261">
        <v>17</v>
      </c>
      <c r="M1118" s="261">
        <v>35</v>
      </c>
      <c r="N1118" s="261">
        <v>17</v>
      </c>
      <c r="O1118" s="261">
        <v>17</v>
      </c>
      <c r="P1118" s="261">
        <v>17</v>
      </c>
      <c r="Q1118" s="261">
        <v>17</v>
      </c>
      <c r="R1118" s="261"/>
      <c r="S1118" s="261"/>
      <c r="T1118" s="261"/>
      <c r="U1118" s="261"/>
      <c r="V1118" s="762"/>
      <c r="W1118" s="762"/>
      <c r="X1118" s="762"/>
      <c r="Y1118" s="264">
        <f>IF(NFI_Expiration=1,IF($A1118&lt;VLOOKUP(H$5,NFI,5,0),1,0)*Table_NFI[[#This Row],[Hygiene Kit]],Table_NFI[Hygiene Kit])</f>
        <v>0</v>
      </c>
      <c r="Z1118" s="264">
        <f>IF(NFI_Expiration=1,IF($A1118&lt;VLOOKUP(I$5,NFI,5,0),1,0)*Table_NFI[[#This Row],[NFI Core Kit]],Table_NFI[NFI Core Kit])</f>
        <v>0</v>
      </c>
      <c r="AA1118" s="264">
        <f>IF(NFI_Expiration=1,IF($A1118&lt;VLOOKUP(J$5,NFI,5,0),1,0)*Table_NFI[[#This Row],[Sanitary Kit]],Table_NFI[Sanitary Kit])</f>
        <v>0</v>
      </c>
      <c r="AB1118" s="264">
        <f>IF(NFI_Expiration=1,IF($A1118&lt;VLOOKUP(K$5,NFI,5,0),1,0)*Table_NFI[[#This Row],[Mosquito net]],Table_NFI[Mosquito net])</f>
        <v>0</v>
      </c>
      <c r="AC1118" s="264">
        <f>IF(NFI_Expiration=1,IF($A1118&lt;VLOOKUP(L$5,NFI,5,0),1,0)*Table_NFI[[#This Row],[Tarpaulin]],Table_NFI[[#This Row],[Tarpaulin]])</f>
        <v>0</v>
      </c>
      <c r="AD1118" s="264">
        <f>IF(NFI_Expiration=1,IF($A1118&lt;VLOOKUP(M$5,NFI,5,0),1,0)*Table_NFI[[#This Row],[Blanket]],Table_NFI[[#This Row],[Blanket]])</f>
        <v>0</v>
      </c>
      <c r="AE1118" s="264">
        <f>IF(NFI_Expiration=1,IF($A1118&lt;VLOOKUP(N$5,NFI,5,0),1,0)*Table_NFI[[#This Row],[Kitchen Set]],Table_NFI[Kitchen Set])</f>
        <v>0</v>
      </c>
      <c r="AF1118" s="264">
        <f>IF(NFI_Expiration=1,IF($A1118&lt;VLOOKUP(O$5,NFI,5,0),1,0)*Table_NFI[[#This Row],[Clothes Kit]],Table_NFI[Clothes Kit])</f>
        <v>0</v>
      </c>
      <c r="AG1118" s="264">
        <f>IF(NFI_Expiration=1,IF($A1118&lt;VLOOKUP(P$5,NFI,5,0),1,0)*Table_NFI[[#This Row],[Plastic Bucket]],Table_NFI[Plastic Bucket])</f>
        <v>0</v>
      </c>
      <c r="AH1118" s="264">
        <f>IF(NFI_Expiration=1,IF($A1118&lt;VLOOKUP(Q$5,NFI,5,0),1,0)*Table_NFI[[#This Row],[Plastic Mat]],Table_NFI[Plastic Mat])*IF(Table_NFI[[#This Row],[Distribution Date]]&gt;"2014-04-01",1,2.5)</f>
        <v>0</v>
      </c>
      <c r="AI1118" s="264">
        <f>IF(NFI_Expiration=1,IF($A1118&lt;VLOOKUP(R$5,NFI,5,0),1,0)*Table_NFI[[#This Row],[Winter Clothes Adult]],Table_NFI[Winter Clothes Adult])</f>
        <v>0</v>
      </c>
      <c r="AJ1118" s="264">
        <f>IF(NFI_Expiration=1,IF($A1118&lt;VLOOKUP(S$5,NFI,5,0),1,0)*Table_NFI[[#This Row],[Winter Clothes Children]],Table_NFI[Winter Clothes Children])</f>
        <v>0</v>
      </c>
      <c r="AK1118" s="264">
        <f>IF(NFI_Expiration=1,IF($A1118&lt;VLOOKUP(T$5,NFI,5,0),1,0)*Table_NFI[[#This Row],[Winter Items Other]],Table_NFI[Winter Items Other])</f>
        <v>0</v>
      </c>
      <c r="AL1118" s="264">
        <f>IF(NFI_Expiration=1,IF($A1118&lt;VLOOKUP(M$5,NFI,5,0),1,0)*Table_NFI[[#This Row],[Winter Blanket]],Table_NFI[[#This Row],[Winter Blanket]])</f>
        <v>0</v>
      </c>
      <c r="AM1118" s="264">
        <f>IF(Table_NFI[[#This Row],[Winter Clothes Adult]]+Table_NFI[[#This Row],[Winter Clothes Children]]+Table_NFI[[#This Row],[Winter Items Other]]+Table_NFI[[#This Row],[Winter Blanket]]&gt;0,1,0)</f>
        <v>0</v>
      </c>
      <c r="AN1118" s="296">
        <f>IF(NFI_Expiration=1,IF($A1118&lt;VLOOKUP(V$5,NFI,5,0),1,0)*Table_NFI[[#This Row],[Jerry Can]],Table_NFI[Jerry Can])</f>
        <v>0</v>
      </c>
      <c r="AO1118" s="296">
        <f>IF(NFI_Expiration=1,IF($A1118&lt;VLOOKUP(V$5,NFI,5,0),1,0)*Table_NFI[[#This Row],[Shelter Tool kit]],Table_NFI[Shelter Tool kit])</f>
        <v>0</v>
      </c>
      <c r="AP1118" s="296">
        <f>IF(NFI_Expiration=1,IF($A1118&lt;VLOOKUP(V$5,NFI,5,0),1,0)*Table_NFI[[#This Row],[Tent]],Table_NFI[Tent])</f>
        <v>0</v>
      </c>
      <c r="AQ1118" s="396" t="str">
        <f>IFERROR(VLOOKUP(Table_NFI[[#This Row],[Camp Name]],CL,2,0),"")</f>
        <v>MMR001CMP039</v>
      </c>
      <c r="AR1118" s="702">
        <f ca="1">IF(Table_NFI[[#This Row],[Pcode]]="","",IF(OFFSET(CampList[Opening Date],MATCH(Table_NFI[[#This Row],[Pcode]],CampList[CP_Pcode],0)-1,0,1,1)&gt;=NFI_Monitor_Date,1,0))</f>
        <v>0</v>
      </c>
      <c r="AS1118" s="396" t="str">
        <f>IFERROR(VLOOKUP(Table_NFI[[#This Row],[Camp Name]],CL,3,0),"")</f>
        <v>Open</v>
      </c>
      <c r="AT1118" s="264" t="str">
        <f ca="1">IF(Table_NFI[[#This Row],[Pcode]]="","",OFFSET(CampList[Priority],MATCH(Table_NFI[[#This Row],[Pcode]],CampList[CP_Pcode],0)-1,0,1,1))</f>
        <v>P4</v>
      </c>
      <c r="AU1118" s="263">
        <f>IFERROR(Table_NFI[[#This Row],[Kitchen Set]]/VLOOKUP(Table_NFI[[#This Row],[Camp Name]],CL,4,0),"")</f>
        <v>4.158716179852243E-4</v>
      </c>
      <c r="AV1118" s="390" t="s">
        <v>1087</v>
      </c>
      <c r="AW1118" s="392"/>
    </row>
    <row r="1119" spans="1:121" s="760" customFormat="1" ht="14.45" customHeight="1" x14ac:dyDescent="0.25">
      <c r="A1119" s="266">
        <f t="shared" si="17"/>
        <v>64.5</v>
      </c>
      <c r="B1119" s="389">
        <v>40921</v>
      </c>
      <c r="C1119" s="390" t="s">
        <v>451</v>
      </c>
      <c r="D1119" s="391" t="s">
        <v>459</v>
      </c>
      <c r="E1119" s="390" t="s">
        <v>380</v>
      </c>
      <c r="F1119" s="262"/>
      <c r="G1119" s="262" t="s">
        <v>907</v>
      </c>
      <c r="H1119" s="261"/>
      <c r="I1119" s="261"/>
      <c r="J1119" s="261"/>
      <c r="K1119" s="261">
        <v>76</v>
      </c>
      <c r="L1119" s="261">
        <v>38</v>
      </c>
      <c r="M1119" s="261">
        <v>38</v>
      </c>
      <c r="N1119" s="261">
        <v>0</v>
      </c>
      <c r="O1119" s="261">
        <v>38</v>
      </c>
      <c r="P1119" s="261">
        <v>38</v>
      </c>
      <c r="Q1119" s="261">
        <v>38</v>
      </c>
      <c r="R1119" s="261"/>
      <c r="S1119" s="261"/>
      <c r="T1119" s="261"/>
      <c r="U1119" s="261"/>
      <c r="V1119" s="762"/>
      <c r="W1119" s="762"/>
      <c r="X1119" s="762"/>
      <c r="Y1119" s="264">
        <f>IF(NFI_Expiration=1,IF($A1119&lt;VLOOKUP(H$5,NFI,5,0),1,0)*Table_NFI[[#This Row],[Hygiene Kit]],Table_NFI[Hygiene Kit])</f>
        <v>0</v>
      </c>
      <c r="Z1119" s="264">
        <f>IF(NFI_Expiration=1,IF($A1119&lt;VLOOKUP(I$5,NFI,5,0),1,0)*Table_NFI[[#This Row],[NFI Core Kit]],Table_NFI[NFI Core Kit])</f>
        <v>0</v>
      </c>
      <c r="AA1119" s="264">
        <f>IF(NFI_Expiration=1,IF($A1119&lt;VLOOKUP(J$5,NFI,5,0),1,0)*Table_NFI[[#This Row],[Sanitary Kit]],Table_NFI[Sanitary Kit])</f>
        <v>0</v>
      </c>
      <c r="AB1119" s="264">
        <f>IF(NFI_Expiration=1,IF($A1119&lt;VLOOKUP(K$5,NFI,5,0),1,0)*Table_NFI[[#This Row],[Mosquito net]],Table_NFI[Mosquito net])</f>
        <v>0</v>
      </c>
      <c r="AC1119" s="264">
        <f>IF(NFI_Expiration=1,IF($A1119&lt;VLOOKUP(L$5,NFI,5,0),1,0)*Table_NFI[[#This Row],[Tarpaulin]],Table_NFI[[#This Row],[Tarpaulin]])</f>
        <v>0</v>
      </c>
      <c r="AD1119" s="264">
        <f>IF(NFI_Expiration=1,IF($A1119&lt;VLOOKUP(M$5,NFI,5,0),1,0)*Table_NFI[[#This Row],[Blanket]],Table_NFI[[#This Row],[Blanket]])</f>
        <v>0</v>
      </c>
      <c r="AE1119" s="264">
        <f>IF(NFI_Expiration=1,IF($A1119&lt;VLOOKUP(N$5,NFI,5,0),1,0)*Table_NFI[[#This Row],[Kitchen Set]],Table_NFI[Kitchen Set])</f>
        <v>0</v>
      </c>
      <c r="AF1119" s="264">
        <f>IF(NFI_Expiration=1,IF($A1119&lt;VLOOKUP(O$5,NFI,5,0),1,0)*Table_NFI[[#This Row],[Clothes Kit]],Table_NFI[Clothes Kit])</f>
        <v>0</v>
      </c>
      <c r="AG1119" s="264">
        <f>IF(NFI_Expiration=1,IF($A1119&lt;VLOOKUP(P$5,NFI,5,0),1,0)*Table_NFI[[#This Row],[Plastic Bucket]],Table_NFI[Plastic Bucket])</f>
        <v>0</v>
      </c>
      <c r="AH1119" s="264">
        <f>IF(NFI_Expiration=1,IF($A1119&lt;VLOOKUP(Q$5,NFI,5,0),1,0)*Table_NFI[[#This Row],[Plastic Mat]],Table_NFI[Plastic Mat])*IF(Table_NFI[[#This Row],[Distribution Date]]&gt;"2014-04-01",1,2.5)</f>
        <v>0</v>
      </c>
      <c r="AI1119" s="264">
        <f>IF(NFI_Expiration=1,IF($A1119&lt;VLOOKUP(R$5,NFI,5,0),1,0)*Table_NFI[[#This Row],[Winter Clothes Adult]],Table_NFI[Winter Clothes Adult])</f>
        <v>0</v>
      </c>
      <c r="AJ1119" s="264">
        <f>IF(NFI_Expiration=1,IF($A1119&lt;VLOOKUP(S$5,NFI,5,0),1,0)*Table_NFI[[#This Row],[Winter Clothes Children]],Table_NFI[Winter Clothes Children])</f>
        <v>0</v>
      </c>
      <c r="AK1119" s="264">
        <f>IF(NFI_Expiration=1,IF($A1119&lt;VLOOKUP(T$5,NFI,5,0),1,0)*Table_NFI[[#This Row],[Winter Items Other]],Table_NFI[Winter Items Other])</f>
        <v>0</v>
      </c>
      <c r="AL1119" s="264">
        <f>IF(NFI_Expiration=1,IF($A1119&lt;VLOOKUP(M$5,NFI,5,0),1,0)*Table_NFI[[#This Row],[Winter Blanket]],Table_NFI[[#This Row],[Winter Blanket]])</f>
        <v>0</v>
      </c>
      <c r="AM1119" s="264">
        <f>IF(Table_NFI[[#This Row],[Winter Clothes Adult]]+Table_NFI[[#This Row],[Winter Clothes Children]]+Table_NFI[[#This Row],[Winter Items Other]]+Table_NFI[[#This Row],[Winter Blanket]]&gt;0,1,0)</f>
        <v>0</v>
      </c>
      <c r="AN1119" s="296">
        <f>IF(NFI_Expiration=1,IF($A1119&lt;VLOOKUP(V$5,NFI,5,0),1,0)*Table_NFI[[#This Row],[Jerry Can]],Table_NFI[Jerry Can])</f>
        <v>0</v>
      </c>
      <c r="AO1119" s="296">
        <f>IF(NFI_Expiration=1,IF($A1119&lt;VLOOKUP(V$5,NFI,5,0),1,0)*Table_NFI[[#This Row],[Shelter Tool kit]],Table_NFI[Shelter Tool kit])</f>
        <v>0</v>
      </c>
      <c r="AP1119" s="296">
        <f>IF(NFI_Expiration=1,IF($A1119&lt;VLOOKUP(V$5,NFI,5,0),1,0)*Table_NFI[[#This Row],[Tent]],Table_NFI[Tent])</f>
        <v>0</v>
      </c>
      <c r="AQ1119" s="396" t="str">
        <f>IFERROR(VLOOKUP(Table_NFI[[#This Row],[Camp Name]],CL,2,0),"")</f>
        <v/>
      </c>
      <c r="AR1119" s="702" t="str">
        <f ca="1">IF(Table_NFI[[#This Row],[Pcode]]="","",IF(OFFSET(CampList[Opening Date],MATCH(Table_NFI[[#This Row],[Pcode]],CampList[CP_Pcode],0)-1,0,1,1)&gt;=NFI_Monitor_Date,1,0))</f>
        <v/>
      </c>
      <c r="AS1119" s="396" t="str">
        <f>IFERROR(VLOOKUP(Table_NFI[[#This Row],[Camp Name]],CL,3,0),"")</f>
        <v/>
      </c>
      <c r="AT1119" s="264" t="str">
        <f ca="1">IF(Table_NFI[[#This Row],[Pcode]]="","",OFFSET(CampList[Priority],MATCH(Table_NFI[[#This Row],[Pcode]],CampList[CP_Pcode],0)-1,0,1,1))</f>
        <v/>
      </c>
      <c r="AU1119" s="263" t="str">
        <f>IFERROR(Table_NFI[[#This Row],[Kitchen Set]]/VLOOKUP(Table_NFI[[#This Row],[Camp Name]],CL,4,0),"")</f>
        <v/>
      </c>
      <c r="AV1119" s="390" t="s">
        <v>1087</v>
      </c>
      <c r="AW1119" s="392"/>
      <c r="AX1119" s="399"/>
      <c r="AY1119" s="399"/>
      <c r="AZ1119" s="399"/>
      <c r="BA1119" s="399"/>
      <c r="BB1119" s="399"/>
      <c r="BC1119" s="399"/>
      <c r="BD1119" s="399"/>
      <c r="BE1119" s="399"/>
      <c r="BF1119" s="399"/>
      <c r="BG1119" s="399"/>
      <c r="BH1119" s="399"/>
      <c r="BI1119" s="399"/>
      <c r="BJ1119" s="399"/>
      <c r="BK1119" s="399"/>
      <c r="BL1119" s="399"/>
      <c r="BM1119" s="399"/>
      <c r="BN1119" s="399"/>
      <c r="BO1119" s="399"/>
      <c r="BP1119" s="399"/>
      <c r="BQ1119" s="399"/>
      <c r="BR1119" s="399"/>
      <c r="BS1119" s="399"/>
      <c r="BT1119" s="399"/>
      <c r="BU1119" s="399"/>
      <c r="BV1119" s="399"/>
      <c r="BW1119" s="399"/>
      <c r="BX1119" s="399"/>
      <c r="BY1119" s="399"/>
      <c r="BZ1119" s="399"/>
      <c r="CA1119" s="399"/>
      <c r="CB1119" s="399"/>
      <c r="CC1119" s="399"/>
      <c r="CD1119" s="399"/>
      <c r="CE1119" s="399"/>
      <c r="CF1119" s="399"/>
      <c r="CG1119" s="399"/>
      <c r="CH1119" s="399"/>
      <c r="CI1119" s="399"/>
      <c r="CJ1119" s="399"/>
      <c r="CK1119" s="399"/>
      <c r="CL1119" s="399"/>
      <c r="CM1119" s="399"/>
      <c r="CN1119" s="399"/>
      <c r="CO1119" s="399"/>
      <c r="CP1119" s="399"/>
      <c r="CQ1119" s="399"/>
      <c r="CR1119" s="399"/>
      <c r="CS1119" s="399"/>
      <c r="CT1119" s="399"/>
      <c r="CU1119" s="399"/>
      <c r="CV1119" s="399"/>
      <c r="CW1119" s="399"/>
      <c r="CX1119" s="399"/>
      <c r="CY1119" s="399"/>
      <c r="CZ1119" s="399"/>
      <c r="DA1119" s="399"/>
      <c r="DB1119" s="399"/>
      <c r="DC1119" s="399"/>
      <c r="DD1119" s="399"/>
      <c r="DE1119" s="399"/>
      <c r="DF1119" s="399"/>
      <c r="DG1119" s="399"/>
      <c r="DH1119" s="399"/>
      <c r="DI1119" s="399"/>
      <c r="DJ1119" s="399"/>
      <c r="DK1119" s="399"/>
      <c r="DL1119" s="399"/>
      <c r="DM1119" s="399"/>
      <c r="DN1119" s="399"/>
      <c r="DO1119" s="399"/>
      <c r="DP1119" s="399"/>
      <c r="DQ1119" s="399"/>
    </row>
    <row r="1120" spans="1:121" s="760" customFormat="1" ht="14.45" customHeight="1" x14ac:dyDescent="0.25">
      <c r="A1120" s="266">
        <f t="shared" si="17"/>
        <v>64.5</v>
      </c>
      <c r="B1120" s="389">
        <v>40921</v>
      </c>
      <c r="C1120" s="390" t="s">
        <v>451</v>
      </c>
      <c r="D1120" s="391" t="s">
        <v>459</v>
      </c>
      <c r="E1120" s="390" t="s">
        <v>380</v>
      </c>
      <c r="F1120" s="262"/>
      <c r="G1120" s="262" t="s">
        <v>909</v>
      </c>
      <c r="H1120" s="261"/>
      <c r="I1120" s="261"/>
      <c r="J1120" s="261"/>
      <c r="K1120" s="261">
        <v>18</v>
      </c>
      <c r="L1120" s="261">
        <v>9</v>
      </c>
      <c r="M1120" s="261">
        <v>9</v>
      </c>
      <c r="N1120" s="261">
        <v>0</v>
      </c>
      <c r="O1120" s="261">
        <v>9</v>
      </c>
      <c r="P1120" s="261">
        <v>9</v>
      </c>
      <c r="Q1120" s="261">
        <v>9</v>
      </c>
      <c r="R1120" s="261"/>
      <c r="S1120" s="261"/>
      <c r="T1120" s="261"/>
      <c r="U1120" s="261"/>
      <c r="V1120" s="762"/>
      <c r="W1120" s="762"/>
      <c r="X1120" s="762"/>
      <c r="Y1120" s="264">
        <f>IF(NFI_Expiration=1,IF($A1120&lt;VLOOKUP(H$5,NFI,5,0),1,0)*Table_NFI[[#This Row],[Hygiene Kit]],Table_NFI[Hygiene Kit])</f>
        <v>0</v>
      </c>
      <c r="Z1120" s="264">
        <f>IF(NFI_Expiration=1,IF($A1120&lt;VLOOKUP(I$5,NFI,5,0),1,0)*Table_NFI[[#This Row],[NFI Core Kit]],Table_NFI[NFI Core Kit])</f>
        <v>0</v>
      </c>
      <c r="AA1120" s="264">
        <f>IF(NFI_Expiration=1,IF($A1120&lt;VLOOKUP(J$5,NFI,5,0),1,0)*Table_NFI[[#This Row],[Sanitary Kit]],Table_NFI[Sanitary Kit])</f>
        <v>0</v>
      </c>
      <c r="AB1120" s="264">
        <f>IF(NFI_Expiration=1,IF($A1120&lt;VLOOKUP(K$5,NFI,5,0),1,0)*Table_NFI[[#This Row],[Mosquito net]],Table_NFI[Mosquito net])</f>
        <v>0</v>
      </c>
      <c r="AC1120" s="264">
        <f>IF(NFI_Expiration=1,IF($A1120&lt;VLOOKUP(L$5,NFI,5,0),1,0)*Table_NFI[[#This Row],[Tarpaulin]],Table_NFI[[#This Row],[Tarpaulin]])</f>
        <v>0</v>
      </c>
      <c r="AD1120" s="264">
        <f>IF(NFI_Expiration=1,IF($A1120&lt;VLOOKUP(M$5,NFI,5,0),1,0)*Table_NFI[[#This Row],[Blanket]],Table_NFI[[#This Row],[Blanket]])</f>
        <v>0</v>
      </c>
      <c r="AE1120" s="264">
        <f>IF(NFI_Expiration=1,IF($A1120&lt;VLOOKUP(N$5,NFI,5,0),1,0)*Table_NFI[[#This Row],[Kitchen Set]],Table_NFI[Kitchen Set])</f>
        <v>0</v>
      </c>
      <c r="AF1120" s="264">
        <f>IF(NFI_Expiration=1,IF($A1120&lt;VLOOKUP(O$5,NFI,5,0),1,0)*Table_NFI[[#This Row],[Clothes Kit]],Table_NFI[Clothes Kit])</f>
        <v>0</v>
      </c>
      <c r="AG1120" s="264">
        <f>IF(NFI_Expiration=1,IF($A1120&lt;VLOOKUP(P$5,NFI,5,0),1,0)*Table_NFI[[#This Row],[Plastic Bucket]],Table_NFI[Plastic Bucket])</f>
        <v>0</v>
      </c>
      <c r="AH1120" s="264">
        <f>IF(NFI_Expiration=1,IF($A1120&lt;VLOOKUP(Q$5,NFI,5,0),1,0)*Table_NFI[[#This Row],[Plastic Mat]],Table_NFI[Plastic Mat])*IF(Table_NFI[[#This Row],[Distribution Date]]&gt;"2014-04-01",1,2.5)</f>
        <v>0</v>
      </c>
      <c r="AI1120" s="264">
        <f>IF(NFI_Expiration=1,IF($A1120&lt;VLOOKUP(R$5,NFI,5,0),1,0)*Table_NFI[[#This Row],[Winter Clothes Adult]],Table_NFI[Winter Clothes Adult])</f>
        <v>0</v>
      </c>
      <c r="AJ1120" s="264">
        <f>IF(NFI_Expiration=1,IF($A1120&lt;VLOOKUP(S$5,NFI,5,0),1,0)*Table_NFI[[#This Row],[Winter Clothes Children]],Table_NFI[Winter Clothes Children])</f>
        <v>0</v>
      </c>
      <c r="AK1120" s="264">
        <f>IF(NFI_Expiration=1,IF($A1120&lt;VLOOKUP(T$5,NFI,5,0),1,0)*Table_NFI[[#This Row],[Winter Items Other]],Table_NFI[Winter Items Other])</f>
        <v>0</v>
      </c>
      <c r="AL1120" s="264">
        <f>IF(NFI_Expiration=1,IF($A1120&lt;VLOOKUP(M$5,NFI,5,0),1,0)*Table_NFI[[#This Row],[Winter Blanket]],Table_NFI[[#This Row],[Winter Blanket]])</f>
        <v>0</v>
      </c>
      <c r="AM1120" s="264">
        <f>IF(Table_NFI[[#This Row],[Winter Clothes Adult]]+Table_NFI[[#This Row],[Winter Clothes Children]]+Table_NFI[[#This Row],[Winter Items Other]]+Table_NFI[[#This Row],[Winter Blanket]]&gt;0,1,0)</f>
        <v>0</v>
      </c>
      <c r="AN1120" s="296">
        <f>IF(NFI_Expiration=1,IF($A1120&lt;VLOOKUP(V$5,NFI,5,0),1,0)*Table_NFI[[#This Row],[Jerry Can]],Table_NFI[Jerry Can])</f>
        <v>0</v>
      </c>
      <c r="AO1120" s="296">
        <f>IF(NFI_Expiration=1,IF($A1120&lt;VLOOKUP(V$5,NFI,5,0),1,0)*Table_NFI[[#This Row],[Shelter Tool kit]],Table_NFI[Shelter Tool kit])</f>
        <v>0</v>
      </c>
      <c r="AP1120" s="296">
        <f>IF(NFI_Expiration=1,IF($A1120&lt;VLOOKUP(V$5,NFI,5,0),1,0)*Table_NFI[[#This Row],[Tent]],Table_NFI[Tent])</f>
        <v>0</v>
      </c>
      <c r="AQ1120" s="396" t="str">
        <f>IFERROR(VLOOKUP(Table_NFI[[#This Row],[Camp Name]],CL,2,0),"")</f>
        <v/>
      </c>
      <c r="AR1120" s="702" t="str">
        <f ca="1">IF(Table_NFI[[#This Row],[Pcode]]="","",IF(OFFSET(CampList[Opening Date],MATCH(Table_NFI[[#This Row],[Pcode]],CampList[CP_Pcode],0)-1,0,1,1)&gt;=NFI_Monitor_Date,1,0))</f>
        <v/>
      </c>
      <c r="AS1120" s="396" t="str">
        <f>IFERROR(VLOOKUP(Table_NFI[[#This Row],[Camp Name]],CL,3,0),"")</f>
        <v/>
      </c>
      <c r="AT1120" s="264" t="str">
        <f ca="1">IF(Table_NFI[[#This Row],[Pcode]]="","",OFFSET(CampList[Priority],MATCH(Table_NFI[[#This Row],[Pcode]],CampList[CP_Pcode],0)-1,0,1,1))</f>
        <v/>
      </c>
      <c r="AU1120" s="263" t="str">
        <f>IFERROR(Table_NFI[[#This Row],[Kitchen Set]]/VLOOKUP(Table_NFI[[#This Row],[Camp Name]],CL,4,0),"")</f>
        <v/>
      </c>
      <c r="AV1120" s="390" t="s">
        <v>1087</v>
      </c>
      <c r="AW1120" s="392" t="s">
        <v>1155</v>
      </c>
      <c r="AX1120" s="399"/>
      <c r="AY1120" s="399"/>
      <c r="AZ1120" s="399"/>
      <c r="BA1120" s="399"/>
      <c r="BB1120" s="399"/>
      <c r="BC1120" s="399"/>
      <c r="BD1120" s="399"/>
      <c r="BE1120" s="399"/>
      <c r="BF1120" s="399"/>
      <c r="BG1120" s="399"/>
      <c r="BH1120" s="399"/>
      <c r="BI1120" s="399"/>
      <c r="BJ1120" s="399"/>
      <c r="BK1120" s="399"/>
      <c r="BL1120" s="399"/>
      <c r="BM1120" s="399"/>
      <c r="BN1120" s="399"/>
      <c r="BO1120" s="399"/>
      <c r="BP1120" s="399"/>
      <c r="BQ1120" s="399"/>
      <c r="BR1120" s="399"/>
      <c r="BS1120" s="399"/>
      <c r="BT1120" s="399"/>
      <c r="BU1120" s="399"/>
      <c r="BV1120" s="399"/>
      <c r="BW1120" s="399"/>
      <c r="BX1120" s="399"/>
      <c r="BY1120" s="399"/>
      <c r="BZ1120" s="399"/>
      <c r="CA1120" s="399"/>
      <c r="CB1120" s="399"/>
      <c r="CC1120" s="399"/>
      <c r="CD1120" s="399"/>
      <c r="CE1120" s="399"/>
      <c r="CF1120" s="399"/>
      <c r="CG1120" s="399"/>
      <c r="CH1120" s="399"/>
      <c r="CI1120" s="399"/>
      <c r="CJ1120" s="399"/>
      <c r="CK1120" s="399"/>
      <c r="CL1120" s="399"/>
      <c r="CM1120" s="399"/>
      <c r="CN1120" s="399"/>
      <c r="CO1120" s="399"/>
      <c r="CP1120" s="399"/>
      <c r="CQ1120" s="399"/>
      <c r="CR1120" s="399"/>
      <c r="CS1120" s="399"/>
      <c r="CT1120" s="399"/>
      <c r="CU1120" s="399"/>
      <c r="CV1120" s="399"/>
      <c r="CW1120" s="399"/>
      <c r="CX1120" s="399"/>
      <c r="CY1120" s="399"/>
      <c r="CZ1120" s="399"/>
      <c r="DA1120" s="399"/>
      <c r="DB1120" s="399"/>
      <c r="DC1120" s="399"/>
      <c r="DD1120" s="399"/>
      <c r="DE1120" s="399"/>
      <c r="DF1120" s="399"/>
      <c r="DG1120" s="399"/>
      <c r="DH1120" s="399"/>
      <c r="DI1120" s="399"/>
      <c r="DJ1120" s="399"/>
      <c r="DK1120" s="399"/>
      <c r="DL1120" s="399"/>
      <c r="DM1120" s="399"/>
      <c r="DN1120" s="399"/>
      <c r="DO1120" s="399"/>
      <c r="DP1120" s="399"/>
      <c r="DQ1120" s="399"/>
    </row>
    <row r="1121" spans="1:121" s="760" customFormat="1" ht="14.45" customHeight="1" x14ac:dyDescent="0.25">
      <c r="A1121" s="266">
        <f t="shared" si="17"/>
        <v>64.5</v>
      </c>
      <c r="B1121" s="389">
        <v>40921</v>
      </c>
      <c r="C1121" s="390" t="s">
        <v>451</v>
      </c>
      <c r="D1121" s="391" t="s">
        <v>459</v>
      </c>
      <c r="E1121" s="390" t="s">
        <v>380</v>
      </c>
      <c r="F1121" s="262"/>
      <c r="G1121" s="262" t="s">
        <v>910</v>
      </c>
      <c r="H1121" s="261"/>
      <c r="I1121" s="261"/>
      <c r="J1121" s="261"/>
      <c r="K1121" s="261">
        <v>10</v>
      </c>
      <c r="L1121" s="261">
        <v>5</v>
      </c>
      <c r="M1121" s="261">
        <v>5</v>
      </c>
      <c r="N1121" s="261">
        <v>0</v>
      </c>
      <c r="O1121" s="261">
        <v>5</v>
      </c>
      <c r="P1121" s="261">
        <v>5</v>
      </c>
      <c r="Q1121" s="261">
        <v>5</v>
      </c>
      <c r="R1121" s="261"/>
      <c r="S1121" s="261"/>
      <c r="T1121" s="261"/>
      <c r="U1121" s="261"/>
      <c r="V1121" s="762"/>
      <c r="W1121" s="762"/>
      <c r="X1121" s="762"/>
      <c r="Y1121" s="264">
        <f>IF(NFI_Expiration=1,IF($A1121&lt;VLOOKUP(H$5,NFI,5,0),1,0)*Table_NFI[[#This Row],[Hygiene Kit]],Table_NFI[Hygiene Kit])</f>
        <v>0</v>
      </c>
      <c r="Z1121" s="264">
        <f>IF(NFI_Expiration=1,IF($A1121&lt;VLOOKUP(I$5,NFI,5,0),1,0)*Table_NFI[[#This Row],[NFI Core Kit]],Table_NFI[NFI Core Kit])</f>
        <v>0</v>
      </c>
      <c r="AA1121" s="264">
        <f>IF(NFI_Expiration=1,IF($A1121&lt;VLOOKUP(J$5,NFI,5,0),1,0)*Table_NFI[[#This Row],[Sanitary Kit]],Table_NFI[Sanitary Kit])</f>
        <v>0</v>
      </c>
      <c r="AB1121" s="264">
        <f>IF(NFI_Expiration=1,IF($A1121&lt;VLOOKUP(K$5,NFI,5,0),1,0)*Table_NFI[[#This Row],[Mosquito net]],Table_NFI[Mosquito net])</f>
        <v>0</v>
      </c>
      <c r="AC1121" s="264">
        <f>IF(NFI_Expiration=1,IF($A1121&lt;VLOOKUP(L$5,NFI,5,0),1,0)*Table_NFI[[#This Row],[Tarpaulin]],Table_NFI[[#This Row],[Tarpaulin]])</f>
        <v>0</v>
      </c>
      <c r="AD1121" s="264">
        <f>IF(NFI_Expiration=1,IF($A1121&lt;VLOOKUP(M$5,NFI,5,0),1,0)*Table_NFI[[#This Row],[Blanket]],Table_NFI[[#This Row],[Blanket]])</f>
        <v>0</v>
      </c>
      <c r="AE1121" s="264">
        <f>IF(NFI_Expiration=1,IF($A1121&lt;VLOOKUP(N$5,NFI,5,0),1,0)*Table_NFI[[#This Row],[Kitchen Set]],Table_NFI[Kitchen Set])</f>
        <v>0</v>
      </c>
      <c r="AF1121" s="264">
        <f>IF(NFI_Expiration=1,IF($A1121&lt;VLOOKUP(O$5,NFI,5,0),1,0)*Table_NFI[[#This Row],[Clothes Kit]],Table_NFI[Clothes Kit])</f>
        <v>0</v>
      </c>
      <c r="AG1121" s="264">
        <f>IF(NFI_Expiration=1,IF($A1121&lt;VLOOKUP(P$5,NFI,5,0),1,0)*Table_NFI[[#This Row],[Plastic Bucket]],Table_NFI[Plastic Bucket])</f>
        <v>0</v>
      </c>
      <c r="AH1121" s="264">
        <f>IF(NFI_Expiration=1,IF($A1121&lt;VLOOKUP(Q$5,NFI,5,0),1,0)*Table_NFI[[#This Row],[Plastic Mat]],Table_NFI[Plastic Mat])*IF(Table_NFI[[#This Row],[Distribution Date]]&gt;"2014-04-01",1,2.5)</f>
        <v>0</v>
      </c>
      <c r="AI1121" s="264">
        <f>IF(NFI_Expiration=1,IF($A1121&lt;VLOOKUP(R$5,NFI,5,0),1,0)*Table_NFI[[#This Row],[Winter Clothes Adult]],Table_NFI[Winter Clothes Adult])</f>
        <v>0</v>
      </c>
      <c r="AJ1121" s="264">
        <f>IF(NFI_Expiration=1,IF($A1121&lt;VLOOKUP(S$5,NFI,5,0),1,0)*Table_NFI[[#This Row],[Winter Clothes Children]],Table_NFI[Winter Clothes Children])</f>
        <v>0</v>
      </c>
      <c r="AK1121" s="264">
        <f>IF(NFI_Expiration=1,IF($A1121&lt;VLOOKUP(T$5,NFI,5,0),1,0)*Table_NFI[[#This Row],[Winter Items Other]],Table_NFI[Winter Items Other])</f>
        <v>0</v>
      </c>
      <c r="AL1121" s="264">
        <f>IF(NFI_Expiration=1,IF($A1121&lt;VLOOKUP(M$5,NFI,5,0),1,0)*Table_NFI[[#This Row],[Winter Blanket]],Table_NFI[[#This Row],[Winter Blanket]])</f>
        <v>0</v>
      </c>
      <c r="AM1121" s="264">
        <f>IF(Table_NFI[[#This Row],[Winter Clothes Adult]]+Table_NFI[[#This Row],[Winter Clothes Children]]+Table_NFI[[#This Row],[Winter Items Other]]+Table_NFI[[#This Row],[Winter Blanket]]&gt;0,1,0)</f>
        <v>0</v>
      </c>
      <c r="AN1121" s="296">
        <f>IF(NFI_Expiration=1,IF($A1121&lt;VLOOKUP(V$5,NFI,5,0),1,0)*Table_NFI[[#This Row],[Jerry Can]],Table_NFI[Jerry Can])</f>
        <v>0</v>
      </c>
      <c r="AO1121" s="296">
        <f>IF(NFI_Expiration=1,IF($A1121&lt;VLOOKUP(V$5,NFI,5,0),1,0)*Table_NFI[[#This Row],[Shelter Tool kit]],Table_NFI[Shelter Tool kit])</f>
        <v>0</v>
      </c>
      <c r="AP1121" s="296">
        <f>IF(NFI_Expiration=1,IF($A1121&lt;VLOOKUP(V$5,NFI,5,0),1,0)*Table_NFI[[#This Row],[Tent]],Table_NFI[Tent])</f>
        <v>0</v>
      </c>
      <c r="AQ1121" s="396" t="str">
        <f>IFERROR(VLOOKUP(Table_NFI[[#This Row],[Camp Name]],CL,2,0),"")</f>
        <v/>
      </c>
      <c r="AR1121" s="702" t="str">
        <f ca="1">IF(Table_NFI[[#This Row],[Pcode]]="","",IF(OFFSET(CampList[Opening Date],MATCH(Table_NFI[[#This Row],[Pcode]],CampList[CP_Pcode],0)-1,0,1,1)&gt;=NFI_Monitor_Date,1,0))</f>
        <v/>
      </c>
      <c r="AS1121" s="396" t="str">
        <f>IFERROR(VLOOKUP(Table_NFI[[#This Row],[Camp Name]],CL,3,0),"")</f>
        <v/>
      </c>
      <c r="AT1121" s="264" t="str">
        <f ca="1">IF(Table_NFI[[#This Row],[Pcode]]="","",OFFSET(CampList[Priority],MATCH(Table_NFI[[#This Row],[Pcode]],CampList[CP_Pcode],0)-1,0,1,1))</f>
        <v/>
      </c>
      <c r="AU1121" s="263" t="str">
        <f>IFERROR(Table_NFI[[#This Row],[Kitchen Set]]/VLOOKUP(Table_NFI[[#This Row],[Camp Name]],CL,4,0),"")</f>
        <v/>
      </c>
      <c r="AV1121" s="390" t="s">
        <v>1087</v>
      </c>
      <c r="AW1121" s="392" t="s">
        <v>1156</v>
      </c>
      <c r="AX1121" s="399"/>
      <c r="AY1121" s="399"/>
      <c r="AZ1121" s="399"/>
      <c r="BA1121" s="399"/>
      <c r="BB1121" s="399"/>
      <c r="BC1121" s="399"/>
      <c r="BD1121" s="399"/>
      <c r="BE1121" s="399"/>
      <c r="BF1121" s="399"/>
      <c r="BG1121" s="399"/>
      <c r="BH1121" s="399"/>
      <c r="BI1121" s="399"/>
      <c r="BJ1121" s="399"/>
      <c r="BK1121" s="399"/>
      <c r="BL1121" s="399"/>
      <c r="BM1121" s="399"/>
      <c r="BN1121" s="399"/>
      <c r="BO1121" s="399"/>
      <c r="BP1121" s="399"/>
      <c r="BQ1121" s="399"/>
      <c r="BR1121" s="399"/>
      <c r="BS1121" s="399"/>
      <c r="BT1121" s="399"/>
      <c r="BU1121" s="399"/>
      <c r="BV1121" s="399"/>
      <c r="BW1121" s="399"/>
      <c r="BX1121" s="399"/>
      <c r="BY1121" s="399"/>
      <c r="BZ1121" s="399"/>
      <c r="CA1121" s="399"/>
      <c r="CB1121" s="399"/>
      <c r="CC1121" s="399"/>
      <c r="CD1121" s="399"/>
      <c r="CE1121" s="399"/>
      <c r="CF1121" s="399"/>
      <c r="CG1121" s="399"/>
      <c r="CH1121" s="399"/>
      <c r="CI1121" s="399"/>
      <c r="CJ1121" s="399"/>
      <c r="CK1121" s="399"/>
      <c r="CL1121" s="399"/>
      <c r="CM1121" s="399"/>
      <c r="CN1121" s="399"/>
      <c r="CO1121" s="399"/>
      <c r="CP1121" s="399"/>
      <c r="CQ1121" s="399"/>
      <c r="CR1121" s="399"/>
      <c r="CS1121" s="399"/>
      <c r="CT1121" s="399"/>
      <c r="CU1121" s="399"/>
      <c r="CV1121" s="399"/>
      <c r="CW1121" s="399"/>
      <c r="CX1121" s="399"/>
      <c r="CY1121" s="399"/>
      <c r="CZ1121" s="399"/>
      <c r="DA1121" s="399"/>
      <c r="DB1121" s="399"/>
      <c r="DC1121" s="399"/>
      <c r="DD1121" s="399"/>
      <c r="DE1121" s="399"/>
      <c r="DF1121" s="399"/>
      <c r="DG1121" s="399"/>
      <c r="DH1121" s="399"/>
      <c r="DI1121" s="399"/>
      <c r="DJ1121" s="399"/>
      <c r="DK1121" s="399"/>
      <c r="DL1121" s="399"/>
      <c r="DM1121" s="399"/>
      <c r="DN1121" s="399"/>
      <c r="DO1121" s="399"/>
      <c r="DP1121" s="399"/>
      <c r="DQ1121" s="399"/>
    </row>
    <row r="1122" spans="1:121" s="760" customFormat="1" ht="14.45" customHeight="1" x14ac:dyDescent="0.25">
      <c r="A1122" s="266">
        <f t="shared" si="17"/>
        <v>64.5</v>
      </c>
      <c r="B1122" s="389">
        <v>40921</v>
      </c>
      <c r="C1122" s="390" t="s">
        <v>451</v>
      </c>
      <c r="D1122" s="391" t="s">
        <v>459</v>
      </c>
      <c r="E1122" s="390" t="s">
        <v>380</v>
      </c>
      <c r="F1122" s="262" t="s">
        <v>526</v>
      </c>
      <c r="G1122" s="265" t="s">
        <v>136</v>
      </c>
      <c r="H1122" s="261"/>
      <c r="I1122" s="261"/>
      <c r="J1122" s="261"/>
      <c r="K1122" s="261">
        <v>224</v>
      </c>
      <c r="L1122" s="261">
        <v>112</v>
      </c>
      <c r="M1122" s="261">
        <v>112</v>
      </c>
      <c r="N1122" s="261">
        <v>0</v>
      </c>
      <c r="O1122" s="261">
        <v>112</v>
      </c>
      <c r="P1122" s="261">
        <v>112</v>
      </c>
      <c r="Q1122" s="261">
        <v>112</v>
      </c>
      <c r="R1122" s="261"/>
      <c r="S1122" s="261"/>
      <c r="T1122" s="261"/>
      <c r="U1122" s="261"/>
      <c r="V1122" s="762"/>
      <c r="W1122" s="762"/>
      <c r="X1122" s="762"/>
      <c r="Y1122" s="264">
        <f>IF(NFI_Expiration=1,IF($A1122&lt;VLOOKUP(H$5,NFI,5,0),1,0)*Table_NFI[[#This Row],[Hygiene Kit]],Table_NFI[Hygiene Kit])</f>
        <v>0</v>
      </c>
      <c r="Z1122" s="264">
        <f>IF(NFI_Expiration=1,IF($A1122&lt;VLOOKUP(I$5,NFI,5,0),1,0)*Table_NFI[[#This Row],[NFI Core Kit]],Table_NFI[NFI Core Kit])</f>
        <v>0</v>
      </c>
      <c r="AA1122" s="264">
        <f>IF(NFI_Expiration=1,IF($A1122&lt;VLOOKUP(J$5,NFI,5,0),1,0)*Table_NFI[[#This Row],[Sanitary Kit]],Table_NFI[Sanitary Kit])</f>
        <v>0</v>
      </c>
      <c r="AB1122" s="264">
        <f>IF(NFI_Expiration=1,IF($A1122&lt;VLOOKUP(K$5,NFI,5,0),1,0)*Table_NFI[[#This Row],[Mosquito net]],Table_NFI[Mosquito net])</f>
        <v>0</v>
      </c>
      <c r="AC1122" s="264">
        <f>IF(NFI_Expiration=1,IF($A1122&lt;VLOOKUP(L$5,NFI,5,0),1,0)*Table_NFI[[#This Row],[Tarpaulin]],Table_NFI[[#This Row],[Tarpaulin]])</f>
        <v>0</v>
      </c>
      <c r="AD1122" s="264">
        <f>IF(NFI_Expiration=1,IF($A1122&lt;VLOOKUP(M$5,NFI,5,0),1,0)*Table_NFI[[#This Row],[Blanket]],Table_NFI[[#This Row],[Blanket]])</f>
        <v>0</v>
      </c>
      <c r="AE1122" s="264">
        <f>IF(NFI_Expiration=1,IF($A1122&lt;VLOOKUP(N$5,NFI,5,0),1,0)*Table_NFI[[#This Row],[Kitchen Set]],Table_NFI[Kitchen Set])</f>
        <v>0</v>
      </c>
      <c r="AF1122" s="264">
        <f>IF(NFI_Expiration=1,IF($A1122&lt;VLOOKUP(O$5,NFI,5,0),1,0)*Table_NFI[[#This Row],[Clothes Kit]],Table_NFI[Clothes Kit])</f>
        <v>0</v>
      </c>
      <c r="AG1122" s="264">
        <f>IF(NFI_Expiration=1,IF($A1122&lt;VLOOKUP(P$5,NFI,5,0),1,0)*Table_NFI[[#This Row],[Plastic Bucket]],Table_NFI[Plastic Bucket])</f>
        <v>0</v>
      </c>
      <c r="AH1122" s="264">
        <f>IF(NFI_Expiration=1,IF($A1122&lt;VLOOKUP(Q$5,NFI,5,0),1,0)*Table_NFI[[#This Row],[Plastic Mat]],Table_NFI[Plastic Mat])*IF(Table_NFI[[#This Row],[Distribution Date]]&gt;"2014-04-01",1,2.5)</f>
        <v>0</v>
      </c>
      <c r="AI1122" s="264">
        <f>IF(NFI_Expiration=1,IF($A1122&lt;VLOOKUP(R$5,NFI,5,0),1,0)*Table_NFI[[#This Row],[Winter Clothes Adult]],Table_NFI[Winter Clothes Adult])</f>
        <v>0</v>
      </c>
      <c r="AJ1122" s="264">
        <f>IF(NFI_Expiration=1,IF($A1122&lt;VLOOKUP(S$5,NFI,5,0),1,0)*Table_NFI[[#This Row],[Winter Clothes Children]],Table_NFI[Winter Clothes Children])</f>
        <v>0</v>
      </c>
      <c r="AK1122" s="264">
        <f>IF(NFI_Expiration=1,IF($A1122&lt;VLOOKUP(T$5,NFI,5,0),1,0)*Table_NFI[[#This Row],[Winter Items Other]],Table_NFI[Winter Items Other])</f>
        <v>0</v>
      </c>
      <c r="AL1122" s="264">
        <f>IF(NFI_Expiration=1,IF($A1122&lt;VLOOKUP(M$5,NFI,5,0),1,0)*Table_NFI[[#This Row],[Winter Blanket]],Table_NFI[[#This Row],[Winter Blanket]])</f>
        <v>0</v>
      </c>
      <c r="AM1122" s="264">
        <f>IF(Table_NFI[[#This Row],[Winter Clothes Adult]]+Table_NFI[[#This Row],[Winter Clothes Children]]+Table_NFI[[#This Row],[Winter Items Other]]+Table_NFI[[#This Row],[Winter Blanket]]&gt;0,1,0)</f>
        <v>0</v>
      </c>
      <c r="AN1122" s="296">
        <f>IF(NFI_Expiration=1,IF($A1122&lt;VLOOKUP(V$5,NFI,5,0),1,0)*Table_NFI[[#This Row],[Jerry Can]],Table_NFI[Jerry Can])</f>
        <v>0</v>
      </c>
      <c r="AO1122" s="296">
        <f>IF(NFI_Expiration=1,IF($A1122&lt;VLOOKUP(V$5,NFI,5,0),1,0)*Table_NFI[[#This Row],[Shelter Tool kit]],Table_NFI[Shelter Tool kit])</f>
        <v>0</v>
      </c>
      <c r="AP1122" s="296">
        <f>IF(NFI_Expiration=1,IF($A1122&lt;VLOOKUP(V$5,NFI,5,0),1,0)*Table_NFI[[#This Row],[Tent]],Table_NFI[Tent])</f>
        <v>0</v>
      </c>
      <c r="AQ1122" s="396" t="str">
        <f>IFERROR(VLOOKUP(Table_NFI[[#This Row],[Camp Name]],CL,2,0),"")</f>
        <v>MMR001CMP106</v>
      </c>
      <c r="AR1122" s="702">
        <f ca="1">IF(Table_NFI[[#This Row],[Pcode]]="","",IF(OFFSET(CampList[Opening Date],MATCH(Table_NFI[[#This Row],[Pcode]],CampList[CP_Pcode],0)-1,0,1,1)&gt;=NFI_Monitor_Date,1,0))</f>
        <v>0</v>
      </c>
      <c r="AS1122" s="396" t="str">
        <f>IFERROR(VLOOKUP(Table_NFI[[#This Row],[Camp Name]],CL,3,0),"")</f>
        <v>Closed</v>
      </c>
      <c r="AT1122" s="264" t="str">
        <f ca="1">IF(Table_NFI[[#This Row],[Pcode]]="","",OFFSET(CampList[Priority],MATCH(Table_NFI[[#This Row],[Pcode]],CampList[CP_Pcode],0)-1,0,1,1))</f>
        <v/>
      </c>
      <c r="AU1122" s="263" t="str">
        <f>IFERROR(Table_NFI[[#This Row],[Kitchen Set]]/VLOOKUP(Table_NFI[[#This Row],[Camp Name]],CL,4,0),"")</f>
        <v/>
      </c>
      <c r="AV1122" s="390" t="s">
        <v>1087</v>
      </c>
      <c r="AW1122" s="392"/>
      <c r="AX1122" s="399"/>
      <c r="AY1122" s="399"/>
      <c r="AZ1122" s="399"/>
      <c r="BA1122" s="399"/>
      <c r="BB1122" s="399"/>
      <c r="BC1122" s="399"/>
      <c r="BD1122" s="399"/>
      <c r="BE1122" s="399"/>
      <c r="BF1122" s="399"/>
      <c r="BG1122" s="399"/>
      <c r="BH1122" s="399"/>
      <c r="BI1122" s="399"/>
      <c r="BJ1122" s="399"/>
      <c r="BK1122" s="399"/>
      <c r="BL1122" s="399"/>
      <c r="BM1122" s="399"/>
      <c r="BN1122" s="399"/>
      <c r="BO1122" s="399"/>
      <c r="BP1122" s="399"/>
      <c r="BQ1122" s="399"/>
      <c r="BR1122" s="399"/>
      <c r="BS1122" s="399"/>
      <c r="BT1122" s="399"/>
      <c r="BU1122" s="399"/>
      <c r="BV1122" s="399"/>
      <c r="BW1122" s="399"/>
      <c r="BX1122" s="399"/>
      <c r="BY1122" s="399"/>
      <c r="BZ1122" s="399"/>
      <c r="CA1122" s="399"/>
      <c r="CB1122" s="399"/>
      <c r="CC1122" s="399"/>
      <c r="CD1122" s="399"/>
      <c r="CE1122" s="399"/>
      <c r="CF1122" s="399"/>
      <c r="CG1122" s="399"/>
      <c r="CH1122" s="399"/>
      <c r="CI1122" s="399"/>
      <c r="CJ1122" s="399"/>
      <c r="CK1122" s="399"/>
      <c r="CL1122" s="399"/>
      <c r="CM1122" s="399"/>
      <c r="CN1122" s="399"/>
      <c r="CO1122" s="399"/>
      <c r="CP1122" s="399"/>
      <c r="CQ1122" s="399"/>
      <c r="CR1122" s="399"/>
      <c r="CS1122" s="399"/>
      <c r="CT1122" s="399"/>
      <c r="CU1122" s="399"/>
      <c r="CV1122" s="399"/>
      <c r="CW1122" s="399"/>
      <c r="CX1122" s="399"/>
      <c r="CY1122" s="399"/>
      <c r="CZ1122" s="399"/>
      <c r="DA1122" s="399"/>
      <c r="DB1122" s="399"/>
      <c r="DC1122" s="399"/>
      <c r="DD1122" s="399"/>
      <c r="DE1122" s="399"/>
      <c r="DF1122" s="399"/>
      <c r="DG1122" s="399"/>
      <c r="DH1122" s="399"/>
      <c r="DI1122" s="399"/>
      <c r="DJ1122" s="399"/>
      <c r="DK1122" s="399"/>
      <c r="DL1122" s="399"/>
      <c r="DM1122" s="399"/>
      <c r="DN1122" s="399"/>
      <c r="DO1122" s="399"/>
      <c r="DP1122" s="399"/>
      <c r="DQ1122" s="399"/>
    </row>
    <row r="1123" spans="1:121" s="760" customFormat="1" ht="14.45" customHeight="1" x14ac:dyDescent="0.25">
      <c r="A1123" s="266">
        <f t="shared" si="17"/>
        <v>64.5</v>
      </c>
      <c r="B1123" s="389">
        <v>40921</v>
      </c>
      <c r="C1123" s="390" t="s">
        <v>451</v>
      </c>
      <c r="D1123" s="391" t="s">
        <v>459</v>
      </c>
      <c r="E1123" s="390" t="s">
        <v>380</v>
      </c>
      <c r="F1123" s="262" t="s">
        <v>526</v>
      </c>
      <c r="G1123" s="262" t="s">
        <v>84</v>
      </c>
      <c r="H1123" s="261"/>
      <c r="I1123" s="261"/>
      <c r="J1123" s="261"/>
      <c r="K1123" s="261">
        <v>34</v>
      </c>
      <c r="L1123" s="261">
        <v>17</v>
      </c>
      <c r="M1123" s="261">
        <v>17</v>
      </c>
      <c r="N1123" s="261">
        <v>0</v>
      </c>
      <c r="O1123" s="261">
        <v>17</v>
      </c>
      <c r="P1123" s="261">
        <v>17</v>
      </c>
      <c r="Q1123" s="261">
        <v>17</v>
      </c>
      <c r="R1123" s="261"/>
      <c r="S1123" s="261"/>
      <c r="T1123" s="261"/>
      <c r="U1123" s="261"/>
      <c r="V1123" s="762"/>
      <c r="W1123" s="762"/>
      <c r="X1123" s="762"/>
      <c r="Y1123" s="264">
        <f>IF(NFI_Expiration=1,IF($A1123&lt;VLOOKUP(H$5,NFI,5,0),1,0)*Table_NFI[[#This Row],[Hygiene Kit]],Table_NFI[Hygiene Kit])</f>
        <v>0</v>
      </c>
      <c r="Z1123" s="264">
        <f>IF(NFI_Expiration=1,IF($A1123&lt;VLOOKUP(I$5,NFI,5,0),1,0)*Table_NFI[[#This Row],[NFI Core Kit]],Table_NFI[NFI Core Kit])</f>
        <v>0</v>
      </c>
      <c r="AA1123" s="264">
        <f>IF(NFI_Expiration=1,IF($A1123&lt;VLOOKUP(J$5,NFI,5,0),1,0)*Table_NFI[[#This Row],[Sanitary Kit]],Table_NFI[Sanitary Kit])</f>
        <v>0</v>
      </c>
      <c r="AB1123" s="264">
        <f>IF(NFI_Expiration=1,IF($A1123&lt;VLOOKUP(K$5,NFI,5,0),1,0)*Table_NFI[[#This Row],[Mosquito net]],Table_NFI[Mosquito net])</f>
        <v>0</v>
      </c>
      <c r="AC1123" s="264">
        <f>IF(NFI_Expiration=1,IF($A1123&lt;VLOOKUP(L$5,NFI,5,0),1,0)*Table_NFI[[#This Row],[Tarpaulin]],Table_NFI[[#This Row],[Tarpaulin]])</f>
        <v>0</v>
      </c>
      <c r="AD1123" s="264">
        <f>IF(NFI_Expiration=1,IF($A1123&lt;VLOOKUP(M$5,NFI,5,0),1,0)*Table_NFI[[#This Row],[Blanket]],Table_NFI[[#This Row],[Blanket]])</f>
        <v>0</v>
      </c>
      <c r="AE1123" s="264">
        <f>IF(NFI_Expiration=1,IF($A1123&lt;VLOOKUP(N$5,NFI,5,0),1,0)*Table_NFI[[#This Row],[Kitchen Set]],Table_NFI[Kitchen Set])</f>
        <v>0</v>
      </c>
      <c r="AF1123" s="264">
        <f>IF(NFI_Expiration=1,IF($A1123&lt;VLOOKUP(O$5,NFI,5,0),1,0)*Table_NFI[[#This Row],[Clothes Kit]],Table_NFI[Clothes Kit])</f>
        <v>0</v>
      </c>
      <c r="AG1123" s="264">
        <f>IF(NFI_Expiration=1,IF($A1123&lt;VLOOKUP(P$5,NFI,5,0),1,0)*Table_NFI[[#This Row],[Plastic Bucket]],Table_NFI[Plastic Bucket])</f>
        <v>0</v>
      </c>
      <c r="AH1123" s="264">
        <f>IF(NFI_Expiration=1,IF($A1123&lt;VLOOKUP(Q$5,NFI,5,0),1,0)*Table_NFI[[#This Row],[Plastic Mat]],Table_NFI[Plastic Mat])*IF(Table_NFI[[#This Row],[Distribution Date]]&gt;"2014-04-01",1,2.5)</f>
        <v>0</v>
      </c>
      <c r="AI1123" s="264">
        <f>IF(NFI_Expiration=1,IF($A1123&lt;VLOOKUP(R$5,NFI,5,0),1,0)*Table_NFI[[#This Row],[Winter Clothes Adult]],Table_NFI[Winter Clothes Adult])</f>
        <v>0</v>
      </c>
      <c r="AJ1123" s="264">
        <f>IF(NFI_Expiration=1,IF($A1123&lt;VLOOKUP(S$5,NFI,5,0),1,0)*Table_NFI[[#This Row],[Winter Clothes Children]],Table_NFI[Winter Clothes Children])</f>
        <v>0</v>
      </c>
      <c r="AK1123" s="264">
        <f>IF(NFI_Expiration=1,IF($A1123&lt;VLOOKUP(T$5,NFI,5,0),1,0)*Table_NFI[[#This Row],[Winter Items Other]],Table_NFI[Winter Items Other])</f>
        <v>0</v>
      </c>
      <c r="AL1123" s="264">
        <f>IF(NFI_Expiration=1,IF($A1123&lt;VLOOKUP(M$5,NFI,5,0),1,0)*Table_NFI[[#This Row],[Winter Blanket]],Table_NFI[[#This Row],[Winter Blanket]])</f>
        <v>0</v>
      </c>
      <c r="AM1123" s="264">
        <f>IF(Table_NFI[[#This Row],[Winter Clothes Adult]]+Table_NFI[[#This Row],[Winter Clothes Children]]+Table_NFI[[#This Row],[Winter Items Other]]+Table_NFI[[#This Row],[Winter Blanket]]&gt;0,1,0)</f>
        <v>0</v>
      </c>
      <c r="AN1123" s="296">
        <f>IF(NFI_Expiration=1,IF($A1123&lt;VLOOKUP(V$5,NFI,5,0),1,0)*Table_NFI[[#This Row],[Jerry Can]],Table_NFI[Jerry Can])</f>
        <v>0</v>
      </c>
      <c r="AO1123" s="296">
        <f>IF(NFI_Expiration=1,IF($A1123&lt;VLOOKUP(V$5,NFI,5,0),1,0)*Table_NFI[[#This Row],[Shelter Tool kit]],Table_NFI[Shelter Tool kit])</f>
        <v>0</v>
      </c>
      <c r="AP1123" s="296">
        <f>IF(NFI_Expiration=1,IF($A1123&lt;VLOOKUP(V$5,NFI,5,0),1,0)*Table_NFI[[#This Row],[Tent]],Table_NFI[Tent])</f>
        <v>0</v>
      </c>
      <c r="AQ1123" s="396" t="str">
        <f>IFERROR(VLOOKUP(Table_NFI[[#This Row],[Camp Name]],CL,2,0),"")</f>
        <v>MMR001CMP085</v>
      </c>
      <c r="AR1123" s="702">
        <f ca="1">IF(Table_NFI[[#This Row],[Pcode]]="","",IF(OFFSET(CampList[Opening Date],MATCH(Table_NFI[[#This Row],[Pcode]],CampList[CP_Pcode],0)-1,0,1,1)&gt;=NFI_Monitor_Date,1,0))</f>
        <v>0</v>
      </c>
      <c r="AS1123" s="396" t="str">
        <f>IFERROR(VLOOKUP(Table_NFI[[#This Row],[Camp Name]],CL,3,0),"")</f>
        <v>Closed</v>
      </c>
      <c r="AT1123" s="264" t="str">
        <f ca="1">IF(Table_NFI[[#This Row],[Pcode]]="","",OFFSET(CampList[Priority],MATCH(Table_NFI[[#This Row],[Pcode]],CampList[CP_Pcode],0)-1,0,1,1))</f>
        <v/>
      </c>
      <c r="AU1123" s="263" t="str">
        <f>IFERROR(Table_NFI[[#This Row],[Kitchen Set]]/VLOOKUP(Table_NFI[[#This Row],[Camp Name]],CL,4,0),"")</f>
        <v/>
      </c>
      <c r="AV1123" s="390" t="s">
        <v>1087</v>
      </c>
      <c r="AW1123" s="392"/>
      <c r="AX1123" s="399"/>
      <c r="AY1123" s="399"/>
      <c r="AZ1123" s="399"/>
      <c r="BA1123" s="399"/>
      <c r="BB1123" s="399"/>
      <c r="BC1123" s="399"/>
      <c r="BD1123" s="399"/>
      <c r="BE1123" s="399"/>
      <c r="BF1123" s="399"/>
      <c r="BG1123" s="399"/>
      <c r="BH1123" s="399"/>
      <c r="BI1123" s="399"/>
      <c r="BJ1123" s="399"/>
      <c r="BK1123" s="399"/>
      <c r="BL1123" s="399"/>
      <c r="BM1123" s="399"/>
      <c r="BN1123" s="399"/>
      <c r="BO1123" s="399"/>
      <c r="BP1123" s="399"/>
      <c r="BQ1123" s="399"/>
      <c r="BR1123" s="399"/>
      <c r="BS1123" s="399"/>
      <c r="BT1123" s="399"/>
      <c r="BU1123" s="399"/>
      <c r="BV1123" s="399"/>
      <c r="BW1123" s="399"/>
      <c r="BX1123" s="399"/>
      <c r="BY1123" s="399"/>
      <c r="BZ1123" s="399"/>
      <c r="CA1123" s="399"/>
      <c r="CB1123" s="399"/>
      <c r="CC1123" s="399"/>
      <c r="CD1123" s="399"/>
      <c r="CE1123" s="399"/>
      <c r="CF1123" s="399"/>
      <c r="CG1123" s="399"/>
      <c r="CH1123" s="399"/>
      <c r="CI1123" s="399"/>
      <c r="CJ1123" s="399"/>
      <c r="CK1123" s="399"/>
      <c r="CL1123" s="399"/>
      <c r="CM1123" s="399"/>
      <c r="CN1123" s="399"/>
      <c r="CO1123" s="399"/>
      <c r="CP1123" s="399"/>
      <c r="CQ1123" s="399"/>
      <c r="CR1123" s="399"/>
      <c r="CS1123" s="399"/>
      <c r="CT1123" s="399"/>
      <c r="CU1123" s="399"/>
      <c r="CV1123" s="399"/>
      <c r="CW1123" s="399"/>
      <c r="CX1123" s="399"/>
      <c r="CY1123" s="399"/>
      <c r="CZ1123" s="399"/>
      <c r="DA1123" s="399"/>
      <c r="DB1123" s="399"/>
      <c r="DC1123" s="399"/>
      <c r="DD1123" s="399"/>
      <c r="DE1123" s="399"/>
      <c r="DF1123" s="399"/>
      <c r="DG1123" s="399"/>
      <c r="DH1123" s="399"/>
      <c r="DI1123" s="399"/>
      <c r="DJ1123" s="399"/>
      <c r="DK1123" s="399"/>
      <c r="DL1123" s="399"/>
      <c r="DM1123" s="399"/>
      <c r="DN1123" s="399"/>
      <c r="DO1123" s="399"/>
      <c r="DP1123" s="399"/>
      <c r="DQ1123" s="399"/>
    </row>
    <row r="1124" spans="1:121" s="760" customFormat="1" ht="14.45" customHeight="1" x14ac:dyDescent="0.25">
      <c r="A1124" s="266">
        <f t="shared" si="17"/>
        <v>64.5</v>
      </c>
      <c r="B1124" s="389">
        <v>40921</v>
      </c>
      <c r="C1124" s="390" t="s">
        <v>451</v>
      </c>
      <c r="D1124" s="391" t="s">
        <v>459</v>
      </c>
      <c r="E1124" s="390" t="s">
        <v>380</v>
      </c>
      <c r="F1124" s="262"/>
      <c r="G1124" s="262" t="s">
        <v>914</v>
      </c>
      <c r="H1124" s="261"/>
      <c r="I1124" s="261"/>
      <c r="J1124" s="261"/>
      <c r="K1124" s="261">
        <v>126</v>
      </c>
      <c r="L1124" s="261">
        <v>63</v>
      </c>
      <c r="M1124" s="261">
        <v>63</v>
      </c>
      <c r="N1124" s="261">
        <v>0</v>
      </c>
      <c r="O1124" s="261">
        <v>63</v>
      </c>
      <c r="P1124" s="261">
        <v>63</v>
      </c>
      <c r="Q1124" s="261">
        <v>63</v>
      </c>
      <c r="R1124" s="261"/>
      <c r="S1124" s="261"/>
      <c r="T1124" s="261"/>
      <c r="U1124" s="261"/>
      <c r="V1124" s="762"/>
      <c r="W1124" s="762"/>
      <c r="X1124" s="762"/>
      <c r="Y1124" s="264">
        <f>IF(NFI_Expiration=1,IF($A1124&lt;VLOOKUP(H$5,NFI,5,0),1,0)*Table_NFI[[#This Row],[Hygiene Kit]],Table_NFI[Hygiene Kit])</f>
        <v>0</v>
      </c>
      <c r="Z1124" s="264">
        <f>IF(NFI_Expiration=1,IF($A1124&lt;VLOOKUP(I$5,NFI,5,0),1,0)*Table_NFI[[#This Row],[NFI Core Kit]],Table_NFI[NFI Core Kit])</f>
        <v>0</v>
      </c>
      <c r="AA1124" s="264">
        <f>IF(NFI_Expiration=1,IF($A1124&lt;VLOOKUP(J$5,NFI,5,0),1,0)*Table_NFI[[#This Row],[Sanitary Kit]],Table_NFI[Sanitary Kit])</f>
        <v>0</v>
      </c>
      <c r="AB1124" s="264">
        <f>IF(NFI_Expiration=1,IF($A1124&lt;VLOOKUP(K$5,NFI,5,0),1,0)*Table_NFI[[#This Row],[Mosquito net]],Table_NFI[Mosquito net])</f>
        <v>0</v>
      </c>
      <c r="AC1124" s="264">
        <f>IF(NFI_Expiration=1,IF($A1124&lt;VLOOKUP(L$5,NFI,5,0),1,0)*Table_NFI[[#This Row],[Tarpaulin]],Table_NFI[[#This Row],[Tarpaulin]])</f>
        <v>0</v>
      </c>
      <c r="AD1124" s="264">
        <f>IF(NFI_Expiration=1,IF($A1124&lt;VLOOKUP(M$5,NFI,5,0),1,0)*Table_NFI[[#This Row],[Blanket]],Table_NFI[[#This Row],[Blanket]])</f>
        <v>0</v>
      </c>
      <c r="AE1124" s="264">
        <f>IF(NFI_Expiration=1,IF($A1124&lt;VLOOKUP(N$5,NFI,5,0),1,0)*Table_NFI[[#This Row],[Kitchen Set]],Table_NFI[Kitchen Set])</f>
        <v>0</v>
      </c>
      <c r="AF1124" s="264">
        <f>IF(NFI_Expiration=1,IF($A1124&lt;VLOOKUP(O$5,NFI,5,0),1,0)*Table_NFI[[#This Row],[Clothes Kit]],Table_NFI[Clothes Kit])</f>
        <v>0</v>
      </c>
      <c r="AG1124" s="264">
        <f>IF(NFI_Expiration=1,IF($A1124&lt;VLOOKUP(P$5,NFI,5,0),1,0)*Table_NFI[[#This Row],[Plastic Bucket]],Table_NFI[Plastic Bucket])</f>
        <v>0</v>
      </c>
      <c r="AH1124" s="264">
        <f>IF(NFI_Expiration=1,IF($A1124&lt;VLOOKUP(Q$5,NFI,5,0),1,0)*Table_NFI[[#This Row],[Plastic Mat]],Table_NFI[Plastic Mat])*IF(Table_NFI[[#This Row],[Distribution Date]]&gt;"2014-04-01",1,2.5)</f>
        <v>0</v>
      </c>
      <c r="AI1124" s="264">
        <f>IF(NFI_Expiration=1,IF($A1124&lt;VLOOKUP(R$5,NFI,5,0),1,0)*Table_NFI[[#This Row],[Winter Clothes Adult]],Table_NFI[Winter Clothes Adult])</f>
        <v>0</v>
      </c>
      <c r="AJ1124" s="264">
        <f>IF(NFI_Expiration=1,IF($A1124&lt;VLOOKUP(S$5,NFI,5,0),1,0)*Table_NFI[[#This Row],[Winter Clothes Children]],Table_NFI[Winter Clothes Children])</f>
        <v>0</v>
      </c>
      <c r="AK1124" s="264">
        <f>IF(NFI_Expiration=1,IF($A1124&lt;VLOOKUP(T$5,NFI,5,0),1,0)*Table_NFI[[#This Row],[Winter Items Other]],Table_NFI[Winter Items Other])</f>
        <v>0</v>
      </c>
      <c r="AL1124" s="264">
        <f>IF(NFI_Expiration=1,IF($A1124&lt;VLOOKUP(M$5,NFI,5,0),1,0)*Table_NFI[[#This Row],[Winter Blanket]],Table_NFI[[#This Row],[Winter Blanket]])</f>
        <v>0</v>
      </c>
      <c r="AM1124" s="264">
        <f>IF(Table_NFI[[#This Row],[Winter Clothes Adult]]+Table_NFI[[#This Row],[Winter Clothes Children]]+Table_NFI[[#This Row],[Winter Items Other]]+Table_NFI[[#This Row],[Winter Blanket]]&gt;0,1,0)</f>
        <v>0</v>
      </c>
      <c r="AN1124" s="296">
        <f>IF(NFI_Expiration=1,IF($A1124&lt;VLOOKUP(V$5,NFI,5,0),1,0)*Table_NFI[[#This Row],[Jerry Can]],Table_NFI[Jerry Can])</f>
        <v>0</v>
      </c>
      <c r="AO1124" s="296">
        <f>IF(NFI_Expiration=1,IF($A1124&lt;VLOOKUP(V$5,NFI,5,0),1,0)*Table_NFI[[#This Row],[Shelter Tool kit]],Table_NFI[Shelter Tool kit])</f>
        <v>0</v>
      </c>
      <c r="AP1124" s="296">
        <f>IF(NFI_Expiration=1,IF($A1124&lt;VLOOKUP(V$5,NFI,5,0),1,0)*Table_NFI[[#This Row],[Tent]],Table_NFI[Tent])</f>
        <v>0</v>
      </c>
      <c r="AQ1124" s="396" t="str">
        <f>IFERROR(VLOOKUP(Table_NFI[[#This Row],[Camp Name]],CL,2,0),"")</f>
        <v/>
      </c>
      <c r="AR1124" s="702" t="str">
        <f ca="1">IF(Table_NFI[[#This Row],[Pcode]]="","",IF(OFFSET(CampList[Opening Date],MATCH(Table_NFI[[#This Row],[Pcode]],CampList[CP_Pcode],0)-1,0,1,1)&gt;=NFI_Monitor_Date,1,0))</f>
        <v/>
      </c>
      <c r="AS1124" s="396" t="str">
        <f>IFERROR(VLOOKUP(Table_NFI[[#This Row],[Camp Name]],CL,3,0),"")</f>
        <v/>
      </c>
      <c r="AT1124" s="264" t="str">
        <f ca="1">IF(Table_NFI[[#This Row],[Pcode]]="","",OFFSET(CampList[Priority],MATCH(Table_NFI[[#This Row],[Pcode]],CampList[CP_Pcode],0)-1,0,1,1))</f>
        <v/>
      </c>
      <c r="AU1124" s="263" t="str">
        <f>IFERROR(Table_NFI[[#This Row],[Kitchen Set]]/VLOOKUP(Table_NFI[[#This Row],[Camp Name]],CL,4,0),"")</f>
        <v/>
      </c>
      <c r="AV1124" s="390" t="s">
        <v>1087</v>
      </c>
      <c r="AW1124" s="392" t="s">
        <v>1154</v>
      </c>
      <c r="AX1124" s="399"/>
      <c r="AY1124" s="399"/>
      <c r="AZ1124" s="399"/>
      <c r="BA1124" s="399"/>
      <c r="BB1124" s="399"/>
      <c r="BC1124" s="399"/>
      <c r="BD1124" s="399"/>
      <c r="BE1124" s="399"/>
      <c r="BF1124" s="399"/>
      <c r="BG1124" s="399"/>
      <c r="BH1124" s="399"/>
      <c r="BI1124" s="399"/>
      <c r="BJ1124" s="399"/>
      <c r="BK1124" s="399"/>
      <c r="BL1124" s="399"/>
      <c r="BM1124" s="399"/>
      <c r="BN1124" s="399"/>
      <c r="BO1124" s="399"/>
      <c r="BP1124" s="399"/>
      <c r="BQ1124" s="399"/>
      <c r="BR1124" s="399"/>
      <c r="BS1124" s="399"/>
      <c r="BT1124" s="399"/>
      <c r="BU1124" s="399"/>
      <c r="BV1124" s="399"/>
      <c r="BW1124" s="399"/>
      <c r="BX1124" s="399"/>
      <c r="BY1124" s="399"/>
      <c r="BZ1124" s="399"/>
      <c r="CA1124" s="399"/>
      <c r="CB1124" s="399"/>
      <c r="CC1124" s="399"/>
      <c r="CD1124" s="399"/>
      <c r="CE1124" s="399"/>
      <c r="CF1124" s="399"/>
      <c r="CG1124" s="399"/>
      <c r="CH1124" s="399"/>
      <c r="CI1124" s="399"/>
      <c r="CJ1124" s="399"/>
      <c r="CK1124" s="399"/>
      <c r="CL1124" s="399"/>
      <c r="CM1124" s="399"/>
      <c r="CN1124" s="399"/>
      <c r="CO1124" s="399"/>
      <c r="CP1124" s="399"/>
      <c r="CQ1124" s="399"/>
      <c r="CR1124" s="399"/>
      <c r="CS1124" s="399"/>
      <c r="CT1124" s="399"/>
      <c r="CU1124" s="399"/>
      <c r="CV1124" s="399"/>
      <c r="CW1124" s="399"/>
      <c r="CX1124" s="399"/>
      <c r="CY1124" s="399"/>
      <c r="CZ1124" s="399"/>
      <c r="DA1124" s="399"/>
      <c r="DB1124" s="399"/>
      <c r="DC1124" s="399"/>
      <c r="DD1124" s="399"/>
      <c r="DE1124" s="399"/>
      <c r="DF1124" s="399"/>
      <c r="DG1124" s="399"/>
      <c r="DH1124" s="399"/>
      <c r="DI1124" s="399"/>
      <c r="DJ1124" s="399"/>
      <c r="DK1124" s="399"/>
      <c r="DL1124" s="399"/>
      <c r="DM1124" s="399"/>
      <c r="DN1124" s="399"/>
      <c r="DO1124" s="399"/>
      <c r="DP1124" s="399"/>
      <c r="DQ1124" s="399"/>
    </row>
    <row r="1125" spans="1:121" s="760" customFormat="1" ht="14.45" customHeight="1" x14ac:dyDescent="0.25">
      <c r="A1125" s="266">
        <f t="shared" si="17"/>
        <v>64.5</v>
      </c>
      <c r="B1125" s="389">
        <v>40921</v>
      </c>
      <c r="C1125" s="390" t="s">
        <v>451</v>
      </c>
      <c r="D1125" s="391" t="s">
        <v>459</v>
      </c>
      <c r="E1125" s="390" t="s">
        <v>380</v>
      </c>
      <c r="F1125" s="262" t="s">
        <v>526</v>
      </c>
      <c r="G1125" s="262" t="s">
        <v>110</v>
      </c>
      <c r="H1125" s="261"/>
      <c r="I1125" s="261"/>
      <c r="J1125" s="261"/>
      <c r="K1125" s="261">
        <v>112</v>
      </c>
      <c r="L1125" s="261">
        <v>56</v>
      </c>
      <c r="M1125" s="261">
        <v>56</v>
      </c>
      <c r="N1125" s="261">
        <v>0</v>
      </c>
      <c r="O1125" s="261">
        <v>56</v>
      </c>
      <c r="P1125" s="261">
        <v>56</v>
      </c>
      <c r="Q1125" s="261">
        <v>56</v>
      </c>
      <c r="R1125" s="261"/>
      <c r="S1125" s="261"/>
      <c r="T1125" s="261"/>
      <c r="U1125" s="261"/>
      <c r="V1125" s="762"/>
      <c r="W1125" s="762"/>
      <c r="X1125" s="762"/>
      <c r="Y1125" s="264">
        <f>IF(NFI_Expiration=1,IF($A1125&lt;VLOOKUP(H$5,NFI,5,0),1,0)*Table_NFI[[#This Row],[Hygiene Kit]],Table_NFI[Hygiene Kit])</f>
        <v>0</v>
      </c>
      <c r="Z1125" s="264">
        <f>IF(NFI_Expiration=1,IF($A1125&lt;VLOOKUP(I$5,NFI,5,0),1,0)*Table_NFI[[#This Row],[NFI Core Kit]],Table_NFI[NFI Core Kit])</f>
        <v>0</v>
      </c>
      <c r="AA1125" s="264">
        <f>IF(NFI_Expiration=1,IF($A1125&lt;VLOOKUP(J$5,NFI,5,0),1,0)*Table_NFI[[#This Row],[Sanitary Kit]],Table_NFI[Sanitary Kit])</f>
        <v>0</v>
      </c>
      <c r="AB1125" s="264">
        <f>IF(NFI_Expiration=1,IF($A1125&lt;VLOOKUP(K$5,NFI,5,0),1,0)*Table_NFI[[#This Row],[Mosquito net]],Table_NFI[Mosquito net])</f>
        <v>0</v>
      </c>
      <c r="AC1125" s="264">
        <f>IF(NFI_Expiration=1,IF($A1125&lt;VLOOKUP(L$5,NFI,5,0),1,0)*Table_NFI[[#This Row],[Tarpaulin]],Table_NFI[[#This Row],[Tarpaulin]])</f>
        <v>0</v>
      </c>
      <c r="AD1125" s="264">
        <f>IF(NFI_Expiration=1,IF($A1125&lt;VLOOKUP(M$5,NFI,5,0),1,0)*Table_NFI[[#This Row],[Blanket]],Table_NFI[[#This Row],[Blanket]])</f>
        <v>0</v>
      </c>
      <c r="AE1125" s="264">
        <f>IF(NFI_Expiration=1,IF($A1125&lt;VLOOKUP(N$5,NFI,5,0),1,0)*Table_NFI[[#This Row],[Kitchen Set]],Table_NFI[Kitchen Set])</f>
        <v>0</v>
      </c>
      <c r="AF1125" s="264">
        <f>IF(NFI_Expiration=1,IF($A1125&lt;VLOOKUP(O$5,NFI,5,0),1,0)*Table_NFI[[#This Row],[Clothes Kit]],Table_NFI[Clothes Kit])</f>
        <v>0</v>
      </c>
      <c r="AG1125" s="264">
        <f>IF(NFI_Expiration=1,IF($A1125&lt;VLOOKUP(P$5,NFI,5,0),1,0)*Table_NFI[[#This Row],[Plastic Bucket]],Table_NFI[Plastic Bucket])</f>
        <v>0</v>
      </c>
      <c r="AH1125" s="264">
        <f>IF(NFI_Expiration=1,IF($A1125&lt;VLOOKUP(Q$5,NFI,5,0),1,0)*Table_NFI[[#This Row],[Plastic Mat]],Table_NFI[Plastic Mat])*IF(Table_NFI[[#This Row],[Distribution Date]]&gt;"2014-04-01",1,2.5)</f>
        <v>0</v>
      </c>
      <c r="AI1125" s="264">
        <f>IF(NFI_Expiration=1,IF($A1125&lt;VLOOKUP(R$5,NFI,5,0),1,0)*Table_NFI[[#This Row],[Winter Clothes Adult]],Table_NFI[Winter Clothes Adult])</f>
        <v>0</v>
      </c>
      <c r="AJ1125" s="264">
        <f>IF(NFI_Expiration=1,IF($A1125&lt;VLOOKUP(S$5,NFI,5,0),1,0)*Table_NFI[[#This Row],[Winter Clothes Children]],Table_NFI[Winter Clothes Children])</f>
        <v>0</v>
      </c>
      <c r="AK1125" s="264">
        <f>IF(NFI_Expiration=1,IF($A1125&lt;VLOOKUP(T$5,NFI,5,0),1,0)*Table_NFI[[#This Row],[Winter Items Other]],Table_NFI[Winter Items Other])</f>
        <v>0</v>
      </c>
      <c r="AL1125" s="264">
        <f>IF(NFI_Expiration=1,IF($A1125&lt;VLOOKUP(M$5,NFI,5,0),1,0)*Table_NFI[[#This Row],[Winter Blanket]],Table_NFI[[#This Row],[Winter Blanket]])</f>
        <v>0</v>
      </c>
      <c r="AM1125" s="264">
        <f>IF(Table_NFI[[#This Row],[Winter Clothes Adult]]+Table_NFI[[#This Row],[Winter Clothes Children]]+Table_NFI[[#This Row],[Winter Items Other]]+Table_NFI[[#This Row],[Winter Blanket]]&gt;0,1,0)</f>
        <v>0</v>
      </c>
      <c r="AN1125" s="296">
        <f>IF(NFI_Expiration=1,IF($A1125&lt;VLOOKUP(V$5,NFI,5,0),1,0)*Table_NFI[[#This Row],[Jerry Can]],Table_NFI[Jerry Can])</f>
        <v>0</v>
      </c>
      <c r="AO1125" s="296">
        <f>IF(NFI_Expiration=1,IF($A1125&lt;VLOOKUP(V$5,NFI,5,0),1,0)*Table_NFI[[#This Row],[Shelter Tool kit]],Table_NFI[Shelter Tool kit])</f>
        <v>0</v>
      </c>
      <c r="AP1125" s="296">
        <f>IF(NFI_Expiration=1,IF($A1125&lt;VLOOKUP(V$5,NFI,5,0),1,0)*Table_NFI[[#This Row],[Tent]],Table_NFI[Tent])</f>
        <v>0</v>
      </c>
      <c r="AQ1125" s="396" t="str">
        <f>IFERROR(VLOOKUP(Table_NFI[[#This Row],[Camp Name]],CL,2,0),"")</f>
        <v>MMR001CMP082</v>
      </c>
      <c r="AR1125" s="702">
        <f ca="1">IF(Table_NFI[[#This Row],[Pcode]]="","",IF(OFFSET(CampList[Opening Date],MATCH(Table_NFI[[#This Row],[Pcode]],CampList[CP_Pcode],0)-1,0,1,1)&gt;=NFI_Monitor_Date,1,0))</f>
        <v>0</v>
      </c>
      <c r="AS1125" s="396" t="str">
        <f>IFERROR(VLOOKUP(Table_NFI[[#This Row],[Camp Name]],CL,3,0),"")</f>
        <v>Closed</v>
      </c>
      <c r="AT1125" s="264" t="str">
        <f ca="1">IF(Table_NFI[[#This Row],[Pcode]]="","",OFFSET(CampList[Priority],MATCH(Table_NFI[[#This Row],[Pcode]],CampList[CP_Pcode],0)-1,0,1,1))</f>
        <v/>
      </c>
      <c r="AU1125" s="263">
        <f>IFERROR(Table_NFI[[#This Row],[Kitchen Set]]/VLOOKUP(Table_NFI[[#This Row],[Camp Name]],CL,4,0),"")</f>
        <v>0</v>
      </c>
      <c r="AV1125" s="390" t="s">
        <v>1087</v>
      </c>
      <c r="AW1125" s="392"/>
      <c r="AX1125" s="399"/>
      <c r="AY1125" s="399"/>
      <c r="AZ1125" s="399"/>
      <c r="BA1125" s="399"/>
      <c r="BB1125" s="399"/>
      <c r="BC1125" s="399"/>
      <c r="BD1125" s="399"/>
      <c r="BE1125" s="399"/>
      <c r="BF1125" s="399"/>
      <c r="BG1125" s="399"/>
      <c r="BH1125" s="399"/>
      <c r="BI1125" s="399"/>
      <c r="BJ1125" s="399"/>
      <c r="BK1125" s="399"/>
      <c r="BL1125" s="399"/>
      <c r="BM1125" s="399"/>
      <c r="BN1125" s="399"/>
      <c r="BO1125" s="399"/>
      <c r="BP1125" s="399"/>
      <c r="BQ1125" s="399"/>
      <c r="BR1125" s="399"/>
      <c r="BS1125" s="399"/>
      <c r="BT1125" s="399"/>
      <c r="BU1125" s="399"/>
      <c r="BV1125" s="399"/>
      <c r="BW1125" s="399"/>
      <c r="BX1125" s="399"/>
      <c r="BY1125" s="399"/>
      <c r="BZ1125" s="399"/>
      <c r="CA1125" s="399"/>
      <c r="CB1125" s="399"/>
      <c r="CC1125" s="399"/>
      <c r="CD1125" s="399"/>
      <c r="CE1125" s="399"/>
      <c r="CF1125" s="399"/>
      <c r="CG1125" s="399"/>
      <c r="CH1125" s="399"/>
      <c r="CI1125" s="399"/>
      <c r="CJ1125" s="399"/>
      <c r="CK1125" s="399"/>
      <c r="CL1125" s="399"/>
      <c r="CM1125" s="399"/>
      <c r="CN1125" s="399"/>
      <c r="CO1125" s="399"/>
      <c r="CP1125" s="399"/>
      <c r="CQ1125" s="399"/>
      <c r="CR1125" s="399"/>
      <c r="CS1125" s="399"/>
      <c r="CT1125" s="399"/>
      <c r="CU1125" s="399"/>
      <c r="CV1125" s="399"/>
      <c r="CW1125" s="399"/>
      <c r="CX1125" s="399"/>
      <c r="CY1125" s="399"/>
      <c r="CZ1125" s="399"/>
      <c r="DA1125" s="399"/>
      <c r="DB1125" s="399"/>
      <c r="DC1125" s="399"/>
      <c r="DD1125" s="399"/>
      <c r="DE1125" s="399"/>
      <c r="DF1125" s="399"/>
      <c r="DG1125" s="399"/>
      <c r="DH1125" s="399"/>
      <c r="DI1125" s="399"/>
      <c r="DJ1125" s="399"/>
      <c r="DK1125" s="399"/>
      <c r="DL1125" s="399"/>
      <c r="DM1125" s="399"/>
      <c r="DN1125" s="399"/>
      <c r="DO1125" s="399"/>
      <c r="DP1125" s="399"/>
      <c r="DQ1125" s="399"/>
    </row>
    <row r="1126" spans="1:121" s="393" customFormat="1" ht="14.45" customHeight="1" x14ac:dyDescent="0.25">
      <c r="A1126" s="266">
        <f t="shared" si="17"/>
        <v>64.566666666666663</v>
      </c>
      <c r="B1126" s="389">
        <v>40919</v>
      </c>
      <c r="C1126" s="390" t="s">
        <v>451</v>
      </c>
      <c r="D1126" s="391" t="s">
        <v>459</v>
      </c>
      <c r="E1126" s="390" t="s">
        <v>380</v>
      </c>
      <c r="F1126" s="262" t="s">
        <v>310</v>
      </c>
      <c r="G1126" s="262" t="s">
        <v>347</v>
      </c>
      <c r="H1126" s="261"/>
      <c r="I1126" s="261"/>
      <c r="J1126" s="261"/>
      <c r="K1126" s="261">
        <v>536</v>
      </c>
      <c r="L1126" s="261">
        <v>268</v>
      </c>
      <c r="M1126" s="261">
        <v>536</v>
      </c>
      <c r="N1126" s="261">
        <v>268</v>
      </c>
      <c r="O1126" s="261">
        <v>268</v>
      </c>
      <c r="P1126" s="261">
        <v>268</v>
      </c>
      <c r="Q1126" s="261">
        <v>268</v>
      </c>
      <c r="R1126" s="261"/>
      <c r="S1126" s="261"/>
      <c r="T1126" s="261"/>
      <c r="U1126" s="261"/>
      <c r="V1126" s="762"/>
      <c r="W1126" s="762"/>
      <c r="X1126" s="762"/>
      <c r="Y1126" s="264">
        <f>IF(NFI_Expiration=1,IF($A1126&lt;VLOOKUP(H$5,NFI,5,0),1,0)*Table_NFI[[#This Row],[Hygiene Kit]],Table_NFI[Hygiene Kit])</f>
        <v>0</v>
      </c>
      <c r="Z1126" s="264">
        <f>IF(NFI_Expiration=1,IF($A1126&lt;VLOOKUP(I$5,NFI,5,0),1,0)*Table_NFI[[#This Row],[NFI Core Kit]],Table_NFI[NFI Core Kit])</f>
        <v>0</v>
      </c>
      <c r="AA1126" s="264">
        <f>IF(NFI_Expiration=1,IF($A1126&lt;VLOOKUP(J$5,NFI,5,0),1,0)*Table_NFI[[#This Row],[Sanitary Kit]],Table_NFI[Sanitary Kit])</f>
        <v>0</v>
      </c>
      <c r="AB1126" s="264">
        <f>IF(NFI_Expiration=1,IF($A1126&lt;VLOOKUP(K$5,NFI,5,0),1,0)*Table_NFI[[#This Row],[Mosquito net]],Table_NFI[Mosquito net])</f>
        <v>0</v>
      </c>
      <c r="AC1126" s="264">
        <f>IF(NFI_Expiration=1,IF($A1126&lt;VLOOKUP(L$5,NFI,5,0),1,0)*Table_NFI[[#This Row],[Tarpaulin]],Table_NFI[[#This Row],[Tarpaulin]])</f>
        <v>0</v>
      </c>
      <c r="AD1126" s="264">
        <f>IF(NFI_Expiration=1,IF($A1126&lt;VLOOKUP(M$5,NFI,5,0),1,0)*Table_NFI[[#This Row],[Blanket]],Table_NFI[[#This Row],[Blanket]])</f>
        <v>0</v>
      </c>
      <c r="AE1126" s="264">
        <f>IF(NFI_Expiration=1,IF($A1126&lt;VLOOKUP(N$5,NFI,5,0),1,0)*Table_NFI[[#This Row],[Kitchen Set]],Table_NFI[Kitchen Set])</f>
        <v>0</v>
      </c>
      <c r="AF1126" s="264">
        <f>IF(NFI_Expiration=1,IF($A1126&lt;VLOOKUP(O$5,NFI,5,0),1,0)*Table_NFI[[#This Row],[Clothes Kit]],Table_NFI[Clothes Kit])</f>
        <v>0</v>
      </c>
      <c r="AG1126" s="264">
        <f>IF(NFI_Expiration=1,IF($A1126&lt;VLOOKUP(P$5,NFI,5,0),1,0)*Table_NFI[[#This Row],[Plastic Bucket]],Table_NFI[Plastic Bucket])</f>
        <v>0</v>
      </c>
      <c r="AH1126" s="264">
        <f>IF(NFI_Expiration=1,IF($A1126&lt;VLOOKUP(Q$5,NFI,5,0),1,0)*Table_NFI[[#This Row],[Plastic Mat]],Table_NFI[Plastic Mat])*IF(Table_NFI[[#This Row],[Distribution Date]]&gt;"2014-04-01",1,2.5)</f>
        <v>0</v>
      </c>
      <c r="AI1126" s="264">
        <f>IF(NFI_Expiration=1,IF($A1126&lt;VLOOKUP(R$5,NFI,5,0),1,0)*Table_NFI[[#This Row],[Winter Clothes Adult]],Table_NFI[Winter Clothes Adult])</f>
        <v>0</v>
      </c>
      <c r="AJ1126" s="264">
        <f>IF(NFI_Expiration=1,IF($A1126&lt;VLOOKUP(S$5,NFI,5,0),1,0)*Table_NFI[[#This Row],[Winter Clothes Children]],Table_NFI[Winter Clothes Children])</f>
        <v>0</v>
      </c>
      <c r="AK1126" s="264">
        <f>IF(NFI_Expiration=1,IF($A1126&lt;VLOOKUP(T$5,NFI,5,0),1,0)*Table_NFI[[#This Row],[Winter Items Other]],Table_NFI[Winter Items Other])</f>
        <v>0</v>
      </c>
      <c r="AL1126" s="264">
        <f>IF(NFI_Expiration=1,IF($A1126&lt;VLOOKUP(M$5,NFI,5,0),1,0)*Table_NFI[[#This Row],[Winter Blanket]],Table_NFI[[#This Row],[Winter Blanket]])</f>
        <v>0</v>
      </c>
      <c r="AM1126" s="264">
        <f>IF(Table_NFI[[#This Row],[Winter Clothes Adult]]+Table_NFI[[#This Row],[Winter Clothes Children]]+Table_NFI[[#This Row],[Winter Items Other]]+Table_NFI[[#This Row],[Winter Blanket]]&gt;0,1,0)</f>
        <v>0</v>
      </c>
      <c r="AN1126" s="296">
        <f>IF(NFI_Expiration=1,IF($A1126&lt;VLOOKUP(V$5,NFI,5,0),1,0)*Table_NFI[[#This Row],[Jerry Can]],Table_NFI[Jerry Can])</f>
        <v>0</v>
      </c>
      <c r="AO1126" s="296">
        <f>IF(NFI_Expiration=1,IF($A1126&lt;VLOOKUP(V$5,NFI,5,0),1,0)*Table_NFI[[#This Row],[Shelter Tool kit]],Table_NFI[Shelter Tool kit])</f>
        <v>0</v>
      </c>
      <c r="AP1126" s="296">
        <f>IF(NFI_Expiration=1,IF($A1126&lt;VLOOKUP(V$5,NFI,5,0),1,0)*Table_NFI[[#This Row],[Tent]],Table_NFI[Tent])</f>
        <v>0</v>
      </c>
      <c r="AQ1126" s="396" t="str">
        <f>IFERROR(VLOOKUP(Table_NFI[[#This Row],[Camp Name]],CL,2,0),"")</f>
        <v>MMR001CMP041</v>
      </c>
      <c r="AR1126" s="702">
        <f ca="1">IF(Table_NFI[[#This Row],[Pcode]]="","",IF(OFFSET(CampList[Opening Date],MATCH(Table_NFI[[#This Row],[Pcode]],CampList[CP_Pcode],0)-1,0,1,1)&gt;=NFI_Monitor_Date,1,0))</f>
        <v>0</v>
      </c>
      <c r="AS1126" s="396" t="str">
        <f>IFERROR(VLOOKUP(Table_NFI[[#This Row],[Camp Name]],CL,3,0),"")</f>
        <v>Open</v>
      </c>
      <c r="AT1126" s="264" t="str">
        <f ca="1">IF(Table_NFI[[#This Row],[Pcode]]="","",OFFSET(CampList[Priority],MATCH(Table_NFI[[#This Row],[Pcode]],CampList[CP_Pcode],0)-1,0,1,1))</f>
        <v>P1</v>
      </c>
      <c r="AU1126" s="263">
        <f>IFERROR(Table_NFI[[#This Row],[Kitchen Set]]/VLOOKUP(Table_NFI[[#This Row],[Camp Name]],CL,4,0),"")</f>
        <v>6.5609087348217779E-3</v>
      </c>
      <c r="AV1126" s="390" t="s">
        <v>1087</v>
      </c>
      <c r="AW1126" s="392"/>
      <c r="AX1126" s="399"/>
      <c r="AY1126" s="399"/>
      <c r="AZ1126" s="399"/>
      <c r="BA1126" s="399"/>
      <c r="BB1126" s="399"/>
      <c r="BC1126" s="399"/>
      <c r="BD1126" s="399"/>
      <c r="BE1126" s="399"/>
      <c r="BF1126" s="399"/>
      <c r="BG1126" s="399"/>
      <c r="BH1126" s="399"/>
      <c r="BI1126" s="399"/>
      <c r="BJ1126" s="399"/>
      <c r="BK1126" s="399"/>
      <c r="BL1126" s="399"/>
      <c r="BM1126" s="399"/>
      <c r="BN1126" s="399"/>
      <c r="BO1126" s="399"/>
      <c r="BP1126" s="399"/>
      <c r="BQ1126" s="399"/>
      <c r="BR1126" s="399"/>
      <c r="BS1126" s="399"/>
      <c r="BT1126" s="399"/>
      <c r="BU1126" s="399"/>
      <c r="BV1126" s="399"/>
      <c r="BW1126" s="399"/>
      <c r="BX1126" s="399"/>
      <c r="BY1126" s="399"/>
      <c r="BZ1126" s="399"/>
      <c r="CA1126" s="399"/>
      <c r="CB1126" s="399"/>
      <c r="CC1126" s="399"/>
      <c r="CD1126" s="399"/>
      <c r="CE1126" s="399"/>
      <c r="CF1126" s="399"/>
      <c r="CG1126" s="399"/>
      <c r="CH1126" s="399"/>
      <c r="CI1126" s="399"/>
      <c r="CJ1126" s="399"/>
      <c r="CK1126" s="399"/>
      <c r="CL1126" s="399"/>
      <c r="CM1126" s="399"/>
      <c r="CN1126" s="399"/>
      <c r="CO1126" s="399"/>
      <c r="CP1126" s="399"/>
      <c r="CQ1126" s="399"/>
      <c r="CR1126" s="399"/>
      <c r="CS1126" s="399"/>
      <c r="CT1126" s="399"/>
      <c r="CU1126" s="399"/>
      <c r="CV1126" s="399"/>
      <c r="CW1126" s="399"/>
      <c r="CX1126" s="399"/>
      <c r="CY1126" s="399"/>
      <c r="CZ1126" s="399"/>
      <c r="DA1126" s="399"/>
      <c r="DB1126" s="399"/>
      <c r="DC1126" s="399"/>
      <c r="DD1126" s="399"/>
      <c r="DE1126" s="399"/>
      <c r="DF1126" s="399"/>
      <c r="DG1126" s="399"/>
      <c r="DH1126" s="399"/>
      <c r="DI1126" s="399"/>
      <c r="DJ1126" s="399"/>
      <c r="DK1126" s="399"/>
      <c r="DL1126" s="399"/>
      <c r="DM1126" s="399"/>
      <c r="DN1126" s="399"/>
      <c r="DO1126" s="399"/>
      <c r="DP1126" s="399"/>
      <c r="DQ1126" s="399"/>
    </row>
    <row r="1127" spans="1:121" s="760" customFormat="1" ht="14.45" customHeight="1" x14ac:dyDescent="0.25">
      <c r="A1127" s="266">
        <f t="shared" si="17"/>
        <v>64.7</v>
      </c>
      <c r="B1127" s="389">
        <v>40915</v>
      </c>
      <c r="C1127" s="390" t="s">
        <v>451</v>
      </c>
      <c r="D1127" s="390" t="s">
        <v>505</v>
      </c>
      <c r="E1127" s="390" t="s">
        <v>380</v>
      </c>
      <c r="F1127" s="262" t="s">
        <v>237</v>
      </c>
      <c r="G1127" s="262" t="s">
        <v>253</v>
      </c>
      <c r="H1127" s="261"/>
      <c r="I1127" s="261"/>
      <c r="J1127" s="261"/>
      <c r="K1127" s="261">
        <v>32</v>
      </c>
      <c r="L1127" s="261">
        <v>16</v>
      </c>
      <c r="M1127" s="261">
        <v>32</v>
      </c>
      <c r="N1127" s="261">
        <v>16</v>
      </c>
      <c r="O1127" s="261">
        <v>16</v>
      </c>
      <c r="P1127" s="261">
        <v>16</v>
      </c>
      <c r="Q1127" s="261">
        <v>16</v>
      </c>
      <c r="R1127" s="261"/>
      <c r="S1127" s="261"/>
      <c r="T1127" s="261"/>
      <c r="U1127" s="261"/>
      <c r="V1127" s="762"/>
      <c r="W1127" s="762"/>
      <c r="X1127" s="762"/>
      <c r="Y1127" s="264">
        <f>IF(NFI_Expiration=1,IF($A1127&lt;VLOOKUP(H$5,NFI,5,0),1,0)*Table_NFI[[#This Row],[Hygiene Kit]],Table_NFI[Hygiene Kit])</f>
        <v>0</v>
      </c>
      <c r="Z1127" s="264">
        <f>IF(NFI_Expiration=1,IF($A1127&lt;VLOOKUP(I$5,NFI,5,0),1,0)*Table_NFI[[#This Row],[NFI Core Kit]],Table_NFI[NFI Core Kit])</f>
        <v>0</v>
      </c>
      <c r="AA1127" s="264">
        <f>IF(NFI_Expiration=1,IF($A1127&lt;VLOOKUP(J$5,NFI,5,0),1,0)*Table_NFI[[#This Row],[Sanitary Kit]],Table_NFI[Sanitary Kit])</f>
        <v>0</v>
      </c>
      <c r="AB1127" s="264">
        <f>IF(NFI_Expiration=1,IF($A1127&lt;VLOOKUP(K$5,NFI,5,0),1,0)*Table_NFI[[#This Row],[Mosquito net]],Table_NFI[Mosquito net])</f>
        <v>0</v>
      </c>
      <c r="AC1127" s="264">
        <f>IF(NFI_Expiration=1,IF($A1127&lt;VLOOKUP(L$5,NFI,5,0),1,0)*Table_NFI[[#This Row],[Tarpaulin]],Table_NFI[[#This Row],[Tarpaulin]])</f>
        <v>0</v>
      </c>
      <c r="AD1127" s="264">
        <f>IF(NFI_Expiration=1,IF($A1127&lt;VLOOKUP(M$5,NFI,5,0),1,0)*Table_NFI[[#This Row],[Blanket]],Table_NFI[[#This Row],[Blanket]])</f>
        <v>0</v>
      </c>
      <c r="AE1127" s="264">
        <f>IF(NFI_Expiration=1,IF($A1127&lt;VLOOKUP(N$5,NFI,5,0),1,0)*Table_NFI[[#This Row],[Kitchen Set]],Table_NFI[Kitchen Set])</f>
        <v>0</v>
      </c>
      <c r="AF1127" s="264">
        <f>IF(NFI_Expiration=1,IF($A1127&lt;VLOOKUP(O$5,NFI,5,0),1,0)*Table_NFI[[#This Row],[Clothes Kit]],Table_NFI[Clothes Kit])</f>
        <v>0</v>
      </c>
      <c r="AG1127" s="264">
        <f>IF(NFI_Expiration=1,IF($A1127&lt;VLOOKUP(P$5,NFI,5,0),1,0)*Table_NFI[[#This Row],[Plastic Bucket]],Table_NFI[Plastic Bucket])</f>
        <v>0</v>
      </c>
      <c r="AH1127" s="264">
        <f>IF(NFI_Expiration=1,IF($A1127&lt;VLOOKUP(Q$5,NFI,5,0),1,0)*Table_NFI[[#This Row],[Plastic Mat]],Table_NFI[Plastic Mat])*IF(Table_NFI[[#This Row],[Distribution Date]]&gt;"2014-04-01",1,2.5)</f>
        <v>0</v>
      </c>
      <c r="AI1127" s="264">
        <f>IF(NFI_Expiration=1,IF($A1127&lt;VLOOKUP(R$5,NFI,5,0),1,0)*Table_NFI[[#This Row],[Winter Clothes Adult]],Table_NFI[Winter Clothes Adult])</f>
        <v>0</v>
      </c>
      <c r="AJ1127" s="264">
        <f>IF(NFI_Expiration=1,IF($A1127&lt;VLOOKUP(S$5,NFI,5,0),1,0)*Table_NFI[[#This Row],[Winter Clothes Children]],Table_NFI[Winter Clothes Children])</f>
        <v>0</v>
      </c>
      <c r="AK1127" s="264">
        <f>IF(NFI_Expiration=1,IF($A1127&lt;VLOOKUP(T$5,NFI,5,0),1,0)*Table_NFI[[#This Row],[Winter Items Other]],Table_NFI[Winter Items Other])</f>
        <v>0</v>
      </c>
      <c r="AL1127" s="264">
        <f>IF(NFI_Expiration=1,IF($A1127&lt;VLOOKUP(M$5,NFI,5,0),1,0)*Table_NFI[[#This Row],[Winter Blanket]],Table_NFI[[#This Row],[Winter Blanket]])</f>
        <v>0</v>
      </c>
      <c r="AM1127" s="264">
        <f>IF(Table_NFI[[#This Row],[Winter Clothes Adult]]+Table_NFI[[#This Row],[Winter Clothes Children]]+Table_NFI[[#This Row],[Winter Items Other]]+Table_NFI[[#This Row],[Winter Blanket]]&gt;0,1,0)</f>
        <v>0</v>
      </c>
      <c r="AN1127" s="296">
        <f>IF(NFI_Expiration=1,IF($A1127&lt;VLOOKUP(V$5,NFI,5,0),1,0)*Table_NFI[[#This Row],[Jerry Can]],Table_NFI[Jerry Can])</f>
        <v>0</v>
      </c>
      <c r="AO1127" s="296">
        <f>IF(NFI_Expiration=1,IF($A1127&lt;VLOOKUP(V$5,NFI,5,0),1,0)*Table_NFI[[#This Row],[Shelter Tool kit]],Table_NFI[Shelter Tool kit])</f>
        <v>0</v>
      </c>
      <c r="AP1127" s="296">
        <f>IF(NFI_Expiration=1,IF($A1127&lt;VLOOKUP(V$5,NFI,5,0),1,0)*Table_NFI[[#This Row],[Tent]],Table_NFI[Tent])</f>
        <v>0</v>
      </c>
      <c r="AQ1127" s="396" t="str">
        <f>IFERROR(VLOOKUP(Table_NFI[[#This Row],[Camp Name]],CL,2,0),"")</f>
        <v>MMR001CMP018</v>
      </c>
      <c r="AR1127" s="702">
        <f ca="1">IF(Table_NFI[[#This Row],[Pcode]]="","",IF(OFFSET(CampList[Opening Date],MATCH(Table_NFI[[#This Row],[Pcode]],CampList[CP_Pcode],0)-1,0,1,1)&gt;=NFI_Monitor_Date,1,0))</f>
        <v>0</v>
      </c>
      <c r="AS1127" s="396" t="str">
        <f>IFERROR(VLOOKUP(Table_NFI[[#This Row],[Camp Name]],CL,3,0),"")</f>
        <v>Open</v>
      </c>
      <c r="AT1127" s="264" t="str">
        <f ca="1">IF(Table_NFI[[#This Row],[Pcode]]="","",OFFSET(CampList[Priority],MATCH(Table_NFI[[#This Row],[Pcode]],CampList[CP_Pcode],0)-1,0,1,1))</f>
        <v>P4</v>
      </c>
      <c r="AU1127" s="263">
        <f>IFERROR(Table_NFI[[#This Row],[Kitchen Set]]/VLOOKUP(Table_NFI[[#This Row],[Camp Name]],CL,4,0),"")</f>
        <v>3.9287906691221606E-4</v>
      </c>
      <c r="AV1127" s="390" t="s">
        <v>1087</v>
      </c>
      <c r="AW1127" s="392"/>
      <c r="AX1127" s="399"/>
      <c r="AY1127" s="399"/>
      <c r="AZ1127" s="399"/>
      <c r="BA1127" s="399"/>
      <c r="BB1127" s="399"/>
      <c r="BC1127" s="399"/>
      <c r="BD1127" s="399"/>
      <c r="BE1127" s="399"/>
      <c r="BF1127" s="399"/>
      <c r="BG1127" s="399"/>
      <c r="BH1127" s="399"/>
      <c r="BI1127" s="399"/>
      <c r="BJ1127" s="399"/>
      <c r="BK1127" s="399"/>
      <c r="BL1127" s="399"/>
      <c r="BM1127" s="399"/>
      <c r="BN1127" s="399"/>
      <c r="BO1127" s="399"/>
      <c r="BP1127" s="399"/>
      <c r="BQ1127" s="399"/>
      <c r="BR1127" s="399"/>
      <c r="BS1127" s="399"/>
      <c r="BT1127" s="399"/>
      <c r="BU1127" s="399"/>
      <c r="BV1127" s="399"/>
      <c r="BW1127" s="399"/>
      <c r="BX1127" s="399"/>
      <c r="BY1127" s="399"/>
      <c r="BZ1127" s="399"/>
      <c r="CA1127" s="399"/>
      <c r="CB1127" s="399"/>
      <c r="CC1127" s="399"/>
      <c r="CD1127" s="399"/>
      <c r="CE1127" s="399"/>
      <c r="CF1127" s="399"/>
      <c r="CG1127" s="399"/>
      <c r="CH1127" s="399"/>
      <c r="CI1127" s="399"/>
      <c r="CJ1127" s="399"/>
      <c r="CK1127" s="399"/>
      <c r="CL1127" s="399"/>
      <c r="CM1127" s="399"/>
      <c r="CN1127" s="399"/>
      <c r="CO1127" s="399"/>
      <c r="CP1127" s="399"/>
      <c r="CQ1127" s="399"/>
      <c r="CR1127" s="399"/>
      <c r="CS1127" s="399"/>
      <c r="CT1127" s="399"/>
      <c r="CU1127" s="399"/>
      <c r="CV1127" s="399"/>
      <c r="CW1127" s="399"/>
      <c r="CX1127" s="399"/>
      <c r="CY1127" s="399"/>
      <c r="CZ1127" s="399"/>
      <c r="DA1127" s="399"/>
      <c r="DB1127" s="399"/>
      <c r="DC1127" s="399"/>
      <c r="DD1127" s="399"/>
      <c r="DE1127" s="399"/>
      <c r="DF1127" s="399"/>
      <c r="DG1127" s="399"/>
      <c r="DH1127" s="399"/>
      <c r="DI1127" s="399"/>
      <c r="DJ1127" s="399"/>
      <c r="DK1127" s="399"/>
      <c r="DL1127" s="399"/>
      <c r="DM1127" s="399"/>
      <c r="DN1127" s="399"/>
      <c r="DO1127" s="399"/>
      <c r="DP1127" s="399"/>
      <c r="DQ1127" s="399"/>
    </row>
    <row r="1128" spans="1:121" s="393" customFormat="1" ht="14.45" customHeight="1" x14ac:dyDescent="0.25">
      <c r="A1128" s="266">
        <f t="shared" si="17"/>
        <v>64.7</v>
      </c>
      <c r="B1128" s="389">
        <v>40915</v>
      </c>
      <c r="C1128" s="390" t="s">
        <v>451</v>
      </c>
      <c r="D1128" s="390" t="s">
        <v>505</v>
      </c>
      <c r="E1128" s="390" t="s">
        <v>380</v>
      </c>
      <c r="F1128" s="390" t="s">
        <v>310</v>
      </c>
      <c r="G1128" s="262" t="s">
        <v>330</v>
      </c>
      <c r="H1128" s="261"/>
      <c r="I1128" s="261"/>
      <c r="J1128" s="261"/>
      <c r="K1128" s="261">
        <v>50</v>
      </c>
      <c r="L1128" s="261">
        <v>25</v>
      </c>
      <c r="M1128" s="261">
        <v>50</v>
      </c>
      <c r="N1128" s="261">
        <v>25</v>
      </c>
      <c r="O1128" s="261">
        <v>27</v>
      </c>
      <c r="P1128" s="261">
        <v>27</v>
      </c>
      <c r="Q1128" s="261">
        <v>27</v>
      </c>
      <c r="R1128" s="261"/>
      <c r="S1128" s="261"/>
      <c r="T1128" s="261"/>
      <c r="U1128" s="261"/>
      <c r="V1128" s="762"/>
      <c r="W1128" s="762"/>
      <c r="X1128" s="762"/>
      <c r="Y1128" s="264">
        <f>IF(NFI_Expiration=1,IF($A1128&lt;VLOOKUP(H$5,NFI,5,0),1,0)*Table_NFI[[#This Row],[Hygiene Kit]],Table_NFI[Hygiene Kit])</f>
        <v>0</v>
      </c>
      <c r="Z1128" s="264">
        <f>IF(NFI_Expiration=1,IF($A1128&lt;VLOOKUP(I$5,NFI,5,0),1,0)*Table_NFI[[#This Row],[NFI Core Kit]],Table_NFI[NFI Core Kit])</f>
        <v>0</v>
      </c>
      <c r="AA1128" s="264">
        <f>IF(NFI_Expiration=1,IF($A1128&lt;VLOOKUP(J$5,NFI,5,0),1,0)*Table_NFI[[#This Row],[Sanitary Kit]],Table_NFI[Sanitary Kit])</f>
        <v>0</v>
      </c>
      <c r="AB1128" s="264">
        <f>IF(NFI_Expiration=1,IF($A1128&lt;VLOOKUP(K$5,NFI,5,0),1,0)*Table_NFI[[#This Row],[Mosquito net]],Table_NFI[Mosquito net])</f>
        <v>0</v>
      </c>
      <c r="AC1128" s="264">
        <f>IF(NFI_Expiration=1,IF($A1128&lt;VLOOKUP(L$5,NFI,5,0),1,0)*Table_NFI[[#This Row],[Tarpaulin]],Table_NFI[[#This Row],[Tarpaulin]])</f>
        <v>0</v>
      </c>
      <c r="AD1128" s="264">
        <f>IF(NFI_Expiration=1,IF($A1128&lt;VLOOKUP(M$5,NFI,5,0),1,0)*Table_NFI[[#This Row],[Blanket]],Table_NFI[[#This Row],[Blanket]])</f>
        <v>0</v>
      </c>
      <c r="AE1128" s="264">
        <f>IF(NFI_Expiration=1,IF($A1128&lt;VLOOKUP(N$5,NFI,5,0),1,0)*Table_NFI[[#This Row],[Kitchen Set]],Table_NFI[Kitchen Set])</f>
        <v>0</v>
      </c>
      <c r="AF1128" s="264">
        <f>IF(NFI_Expiration=1,IF($A1128&lt;VLOOKUP(O$5,NFI,5,0),1,0)*Table_NFI[[#This Row],[Clothes Kit]],Table_NFI[Clothes Kit])</f>
        <v>0</v>
      </c>
      <c r="AG1128" s="264">
        <f>IF(NFI_Expiration=1,IF($A1128&lt;VLOOKUP(P$5,NFI,5,0),1,0)*Table_NFI[[#This Row],[Plastic Bucket]],Table_NFI[Plastic Bucket])</f>
        <v>0</v>
      </c>
      <c r="AH1128" s="264">
        <f>IF(NFI_Expiration=1,IF($A1128&lt;VLOOKUP(Q$5,NFI,5,0),1,0)*Table_NFI[[#This Row],[Plastic Mat]],Table_NFI[Plastic Mat])*IF(Table_NFI[[#This Row],[Distribution Date]]&gt;"2014-04-01",1,2.5)</f>
        <v>0</v>
      </c>
      <c r="AI1128" s="264">
        <f>IF(NFI_Expiration=1,IF($A1128&lt;VLOOKUP(R$5,NFI,5,0),1,0)*Table_NFI[[#This Row],[Winter Clothes Adult]],Table_NFI[Winter Clothes Adult])</f>
        <v>0</v>
      </c>
      <c r="AJ1128" s="264">
        <f>IF(NFI_Expiration=1,IF($A1128&lt;VLOOKUP(S$5,NFI,5,0),1,0)*Table_NFI[[#This Row],[Winter Clothes Children]],Table_NFI[Winter Clothes Children])</f>
        <v>0</v>
      </c>
      <c r="AK1128" s="264">
        <f>IF(NFI_Expiration=1,IF($A1128&lt;VLOOKUP(T$5,NFI,5,0),1,0)*Table_NFI[[#This Row],[Winter Items Other]],Table_NFI[Winter Items Other])</f>
        <v>0</v>
      </c>
      <c r="AL1128" s="264">
        <f>IF(NFI_Expiration=1,IF($A1128&lt;VLOOKUP(M$5,NFI,5,0),1,0)*Table_NFI[[#This Row],[Winter Blanket]],Table_NFI[[#This Row],[Winter Blanket]])</f>
        <v>0</v>
      </c>
      <c r="AM1128" s="264">
        <f>IF(Table_NFI[[#This Row],[Winter Clothes Adult]]+Table_NFI[[#This Row],[Winter Clothes Children]]+Table_NFI[[#This Row],[Winter Items Other]]+Table_NFI[[#This Row],[Winter Blanket]]&gt;0,1,0)</f>
        <v>0</v>
      </c>
      <c r="AN1128" s="296">
        <f>IF(NFI_Expiration=1,IF($A1128&lt;VLOOKUP(V$5,NFI,5,0),1,0)*Table_NFI[[#This Row],[Jerry Can]],Table_NFI[Jerry Can])</f>
        <v>0</v>
      </c>
      <c r="AO1128" s="296">
        <f>IF(NFI_Expiration=1,IF($A1128&lt;VLOOKUP(V$5,NFI,5,0),1,0)*Table_NFI[[#This Row],[Shelter Tool kit]],Table_NFI[Shelter Tool kit])</f>
        <v>0</v>
      </c>
      <c r="AP1128" s="296">
        <f>IF(NFI_Expiration=1,IF($A1128&lt;VLOOKUP(V$5,NFI,5,0),1,0)*Table_NFI[[#This Row],[Tent]],Table_NFI[Tent])</f>
        <v>0</v>
      </c>
      <c r="AQ1128" s="396" t="str">
        <f>IFERROR(VLOOKUP(Table_NFI[[#This Row],[Camp Name]],CL,2,0),"")</f>
        <v>MMR001CMP029</v>
      </c>
      <c r="AR1128" s="702">
        <f ca="1">IF(Table_NFI[[#This Row],[Pcode]]="","",IF(OFFSET(CampList[Opening Date],MATCH(Table_NFI[[#This Row],[Pcode]],CampList[CP_Pcode],0)-1,0,1,1)&gt;=NFI_Monitor_Date,1,0))</f>
        <v>0</v>
      </c>
      <c r="AS1128" s="396" t="str">
        <f>IFERROR(VLOOKUP(Table_NFI[[#This Row],[Camp Name]],CL,3,0),"")</f>
        <v>Open</v>
      </c>
      <c r="AT1128" s="264" t="str">
        <f ca="1">IF(Table_NFI[[#This Row],[Pcode]]="","",OFFSET(CampList[Priority],MATCH(Table_NFI[[#This Row],[Pcode]],CampList[CP_Pcode],0)-1,0,1,1))</f>
        <v>P4</v>
      </c>
      <c r="AU1128" s="263">
        <f>IFERROR(Table_NFI[[#This Row],[Kitchen Set]]/VLOOKUP(Table_NFI[[#This Row],[Camp Name]],CL,4,0),"")</f>
        <v>6.0348573359725777E-4</v>
      </c>
      <c r="AV1128" s="390" t="s">
        <v>1087</v>
      </c>
      <c r="AW1128" s="392"/>
      <c r="AX1128" s="399"/>
      <c r="AY1128" s="399"/>
      <c r="AZ1128" s="399"/>
      <c r="BA1128" s="399"/>
      <c r="BB1128" s="399"/>
      <c r="BC1128" s="399"/>
      <c r="BD1128" s="399"/>
      <c r="BE1128" s="399"/>
      <c r="BF1128" s="399"/>
      <c r="BG1128" s="399"/>
      <c r="BH1128" s="399"/>
      <c r="BI1128" s="399"/>
      <c r="BJ1128" s="399"/>
      <c r="BK1128" s="399"/>
      <c r="BL1128" s="399"/>
      <c r="BM1128" s="399"/>
      <c r="BN1128" s="399"/>
      <c r="BO1128" s="399"/>
      <c r="BP1128" s="399"/>
      <c r="BQ1128" s="399"/>
      <c r="BR1128" s="399"/>
      <c r="BS1128" s="399"/>
      <c r="BT1128" s="399"/>
      <c r="BU1128" s="399"/>
      <c r="BV1128" s="399"/>
      <c r="BW1128" s="399"/>
      <c r="BX1128" s="399"/>
      <c r="BY1128" s="399"/>
      <c r="BZ1128" s="399"/>
      <c r="CA1128" s="399"/>
      <c r="CB1128" s="399"/>
      <c r="CC1128" s="399"/>
      <c r="CD1128" s="399"/>
      <c r="CE1128" s="399"/>
      <c r="CF1128" s="399"/>
      <c r="CG1128" s="399"/>
      <c r="CH1128" s="399"/>
      <c r="CI1128" s="399"/>
      <c r="CJ1128" s="399"/>
      <c r="CK1128" s="399"/>
      <c r="CL1128" s="399"/>
      <c r="CM1128" s="399"/>
      <c r="CN1128" s="399"/>
      <c r="CO1128" s="399"/>
      <c r="CP1128" s="399"/>
      <c r="CQ1128" s="399"/>
      <c r="CR1128" s="399"/>
      <c r="CS1128" s="399"/>
      <c r="CT1128" s="399"/>
      <c r="CU1128" s="399"/>
      <c r="CV1128" s="399"/>
      <c r="CW1128" s="399"/>
      <c r="CX1128" s="399"/>
      <c r="CY1128" s="399"/>
      <c r="CZ1128" s="399"/>
      <c r="DA1128" s="399"/>
      <c r="DB1128" s="399"/>
      <c r="DC1128" s="399"/>
      <c r="DD1128" s="399"/>
      <c r="DE1128" s="399"/>
      <c r="DF1128" s="399"/>
      <c r="DG1128" s="399"/>
      <c r="DH1128" s="399"/>
      <c r="DI1128" s="399"/>
      <c r="DJ1128" s="399"/>
      <c r="DK1128" s="399"/>
      <c r="DL1128" s="399"/>
      <c r="DM1128" s="399"/>
      <c r="DN1128" s="399"/>
      <c r="DO1128" s="399"/>
      <c r="DP1128" s="399"/>
      <c r="DQ1128" s="399"/>
    </row>
    <row r="1129" spans="1:121" s="760" customFormat="1" ht="14.45" customHeight="1" x14ac:dyDescent="0.25">
      <c r="A1129" s="266">
        <f t="shared" si="17"/>
        <v>64.733333333333334</v>
      </c>
      <c r="B1129" s="389">
        <v>40914</v>
      </c>
      <c r="C1129" s="390" t="s">
        <v>451</v>
      </c>
      <c r="D1129" s="391" t="s">
        <v>505</v>
      </c>
      <c r="E1129" s="390" t="s">
        <v>380</v>
      </c>
      <c r="F1129" s="262" t="s">
        <v>237</v>
      </c>
      <c r="G1129" s="262" t="s">
        <v>255</v>
      </c>
      <c r="H1129" s="261"/>
      <c r="I1129" s="261"/>
      <c r="J1129" s="261"/>
      <c r="K1129" s="261">
        <v>0</v>
      </c>
      <c r="L1129" s="261">
        <v>0</v>
      </c>
      <c r="M1129" s="261">
        <v>0</v>
      </c>
      <c r="N1129" s="261">
        <v>0</v>
      </c>
      <c r="O1129" s="261">
        <v>9</v>
      </c>
      <c r="P1129" s="261">
        <v>9</v>
      </c>
      <c r="Q1129" s="261">
        <v>9</v>
      </c>
      <c r="R1129" s="261"/>
      <c r="S1129" s="261"/>
      <c r="T1129" s="261"/>
      <c r="U1129" s="261"/>
      <c r="V1129" s="762"/>
      <c r="W1129" s="762"/>
      <c r="X1129" s="762"/>
      <c r="Y1129" s="264">
        <f>IF(NFI_Expiration=1,IF($A1129&lt;VLOOKUP(H$5,NFI,5,0),1,0)*Table_NFI[[#This Row],[Hygiene Kit]],Table_NFI[Hygiene Kit])</f>
        <v>0</v>
      </c>
      <c r="Z1129" s="264">
        <f>IF(NFI_Expiration=1,IF($A1129&lt;VLOOKUP(I$5,NFI,5,0),1,0)*Table_NFI[[#This Row],[NFI Core Kit]],Table_NFI[NFI Core Kit])</f>
        <v>0</v>
      </c>
      <c r="AA1129" s="264">
        <f>IF(NFI_Expiration=1,IF($A1129&lt;VLOOKUP(J$5,NFI,5,0),1,0)*Table_NFI[[#This Row],[Sanitary Kit]],Table_NFI[Sanitary Kit])</f>
        <v>0</v>
      </c>
      <c r="AB1129" s="264">
        <f>IF(NFI_Expiration=1,IF($A1129&lt;VLOOKUP(K$5,NFI,5,0),1,0)*Table_NFI[[#This Row],[Mosquito net]],Table_NFI[Mosquito net])</f>
        <v>0</v>
      </c>
      <c r="AC1129" s="264">
        <f>IF(NFI_Expiration=1,IF($A1129&lt;VLOOKUP(L$5,NFI,5,0),1,0)*Table_NFI[[#This Row],[Tarpaulin]],Table_NFI[[#This Row],[Tarpaulin]])</f>
        <v>0</v>
      </c>
      <c r="AD1129" s="264">
        <f>IF(NFI_Expiration=1,IF($A1129&lt;VLOOKUP(M$5,NFI,5,0),1,0)*Table_NFI[[#This Row],[Blanket]],Table_NFI[[#This Row],[Blanket]])</f>
        <v>0</v>
      </c>
      <c r="AE1129" s="264">
        <f>IF(NFI_Expiration=1,IF($A1129&lt;VLOOKUP(N$5,NFI,5,0),1,0)*Table_NFI[[#This Row],[Kitchen Set]],Table_NFI[Kitchen Set])</f>
        <v>0</v>
      </c>
      <c r="AF1129" s="264">
        <f>IF(NFI_Expiration=1,IF($A1129&lt;VLOOKUP(O$5,NFI,5,0),1,0)*Table_NFI[[#This Row],[Clothes Kit]],Table_NFI[Clothes Kit])</f>
        <v>0</v>
      </c>
      <c r="AG1129" s="264">
        <f>IF(NFI_Expiration=1,IF($A1129&lt;VLOOKUP(P$5,NFI,5,0),1,0)*Table_NFI[[#This Row],[Plastic Bucket]],Table_NFI[Plastic Bucket])</f>
        <v>0</v>
      </c>
      <c r="AH1129" s="264">
        <f>IF(NFI_Expiration=1,IF($A1129&lt;VLOOKUP(Q$5,NFI,5,0),1,0)*Table_NFI[[#This Row],[Plastic Mat]],Table_NFI[Plastic Mat])*IF(Table_NFI[[#This Row],[Distribution Date]]&gt;"2014-04-01",1,2.5)</f>
        <v>0</v>
      </c>
      <c r="AI1129" s="264">
        <f>IF(NFI_Expiration=1,IF($A1129&lt;VLOOKUP(R$5,NFI,5,0),1,0)*Table_NFI[[#This Row],[Winter Clothes Adult]],Table_NFI[Winter Clothes Adult])</f>
        <v>0</v>
      </c>
      <c r="AJ1129" s="264">
        <f>IF(NFI_Expiration=1,IF($A1129&lt;VLOOKUP(S$5,NFI,5,0),1,0)*Table_NFI[[#This Row],[Winter Clothes Children]],Table_NFI[Winter Clothes Children])</f>
        <v>0</v>
      </c>
      <c r="AK1129" s="264">
        <f>IF(NFI_Expiration=1,IF($A1129&lt;VLOOKUP(T$5,NFI,5,0),1,0)*Table_NFI[[#This Row],[Winter Items Other]],Table_NFI[Winter Items Other])</f>
        <v>0</v>
      </c>
      <c r="AL1129" s="264">
        <f>IF(NFI_Expiration=1,IF($A1129&lt;VLOOKUP(M$5,NFI,5,0),1,0)*Table_NFI[[#This Row],[Winter Blanket]],Table_NFI[[#This Row],[Winter Blanket]])</f>
        <v>0</v>
      </c>
      <c r="AM1129" s="264">
        <f>IF(Table_NFI[[#This Row],[Winter Clothes Adult]]+Table_NFI[[#This Row],[Winter Clothes Children]]+Table_NFI[[#This Row],[Winter Items Other]]+Table_NFI[[#This Row],[Winter Blanket]]&gt;0,1,0)</f>
        <v>0</v>
      </c>
      <c r="AN1129" s="296">
        <f>IF(NFI_Expiration=1,IF($A1129&lt;VLOOKUP(V$5,NFI,5,0),1,0)*Table_NFI[[#This Row],[Jerry Can]],Table_NFI[Jerry Can])</f>
        <v>0</v>
      </c>
      <c r="AO1129" s="296">
        <f>IF(NFI_Expiration=1,IF($A1129&lt;VLOOKUP(V$5,NFI,5,0),1,0)*Table_NFI[[#This Row],[Shelter Tool kit]],Table_NFI[Shelter Tool kit])</f>
        <v>0</v>
      </c>
      <c r="AP1129" s="296">
        <f>IF(NFI_Expiration=1,IF($A1129&lt;VLOOKUP(V$5,NFI,5,0),1,0)*Table_NFI[[#This Row],[Tent]],Table_NFI[Tent])</f>
        <v>0</v>
      </c>
      <c r="AQ1129" s="396" t="str">
        <f>IFERROR(VLOOKUP(Table_NFI[[#This Row],[Camp Name]],CL,2,0),"")</f>
        <v>MMR001CMP019</v>
      </c>
      <c r="AR1129" s="702">
        <f ca="1">IF(Table_NFI[[#This Row],[Pcode]]="","",IF(OFFSET(CampList[Opening Date],MATCH(Table_NFI[[#This Row],[Pcode]],CampList[CP_Pcode],0)-1,0,1,1)&gt;=NFI_Monitor_Date,1,0))</f>
        <v>0</v>
      </c>
      <c r="AS1129" s="396" t="str">
        <f>IFERROR(VLOOKUP(Table_NFI[[#This Row],[Camp Name]],CL,3,0),"")</f>
        <v>Open</v>
      </c>
      <c r="AT1129" s="264" t="str">
        <f ca="1">IF(Table_NFI[[#This Row],[Pcode]]="","",OFFSET(CampList[Priority],MATCH(Table_NFI[[#This Row],[Pcode]],CampList[CP_Pcode],0)-1,0,1,1))</f>
        <v>P4</v>
      </c>
      <c r="AU1129" s="263">
        <f>IFERROR(Table_NFI[[#This Row],[Kitchen Set]]/VLOOKUP(Table_NFI[[#This Row],[Camp Name]],CL,4,0),"")</f>
        <v>0</v>
      </c>
      <c r="AV1129" s="390" t="s">
        <v>1087</v>
      </c>
      <c r="AW1129" s="392"/>
      <c r="AX1129" s="399"/>
      <c r="AY1129" s="399"/>
      <c r="AZ1129" s="399"/>
      <c r="BA1129" s="399"/>
      <c r="BB1129" s="399"/>
      <c r="BC1129" s="399"/>
      <c r="BD1129" s="399"/>
      <c r="BE1129" s="399"/>
      <c r="BF1129" s="399"/>
      <c r="BG1129" s="399"/>
      <c r="BH1129" s="399"/>
      <c r="BI1129" s="399"/>
      <c r="BJ1129" s="399"/>
      <c r="BK1129" s="399"/>
      <c r="BL1129" s="399"/>
      <c r="BM1129" s="399"/>
      <c r="BN1129" s="399"/>
      <c r="BO1129" s="399"/>
      <c r="BP1129" s="399"/>
      <c r="BQ1129" s="399"/>
      <c r="BR1129" s="399"/>
      <c r="BS1129" s="399"/>
      <c r="BT1129" s="399"/>
      <c r="BU1129" s="399"/>
      <c r="BV1129" s="399"/>
      <c r="BW1129" s="399"/>
      <c r="BX1129" s="399"/>
      <c r="BY1129" s="399"/>
      <c r="BZ1129" s="399"/>
      <c r="CA1129" s="399"/>
      <c r="CB1129" s="399"/>
      <c r="CC1129" s="399"/>
      <c r="CD1129" s="399"/>
      <c r="CE1129" s="399"/>
      <c r="CF1129" s="399"/>
      <c r="CG1129" s="399"/>
      <c r="CH1129" s="399"/>
      <c r="CI1129" s="399"/>
      <c r="CJ1129" s="399"/>
      <c r="CK1129" s="399"/>
      <c r="CL1129" s="399"/>
      <c r="CM1129" s="399"/>
      <c r="CN1129" s="399"/>
      <c r="CO1129" s="399"/>
      <c r="CP1129" s="399"/>
      <c r="CQ1129" s="399"/>
      <c r="CR1129" s="399"/>
      <c r="CS1129" s="399"/>
      <c r="CT1129" s="399"/>
      <c r="CU1129" s="399"/>
      <c r="CV1129" s="399"/>
      <c r="CW1129" s="399"/>
      <c r="CX1129" s="399"/>
      <c r="CY1129" s="399"/>
      <c r="CZ1129" s="399"/>
      <c r="DA1129" s="399"/>
      <c r="DB1129" s="399"/>
      <c r="DC1129" s="399"/>
      <c r="DD1129" s="399"/>
      <c r="DE1129" s="399"/>
      <c r="DF1129" s="399"/>
      <c r="DG1129" s="399"/>
      <c r="DH1129" s="399"/>
      <c r="DI1129" s="399"/>
      <c r="DJ1129" s="399"/>
      <c r="DK1129" s="399"/>
      <c r="DL1129" s="399"/>
      <c r="DM1129" s="399"/>
      <c r="DN1129" s="399"/>
      <c r="DO1129" s="399"/>
      <c r="DP1129" s="399"/>
      <c r="DQ1129" s="399"/>
    </row>
    <row r="1130" spans="1:121" s="760" customFormat="1" ht="14.45" customHeight="1" x14ac:dyDescent="0.25">
      <c r="A1130" s="266">
        <f t="shared" si="17"/>
        <v>64.733333333333334</v>
      </c>
      <c r="B1130" s="389">
        <v>40914</v>
      </c>
      <c r="C1130" s="390" t="s">
        <v>451</v>
      </c>
      <c r="D1130" s="391" t="s">
        <v>451</v>
      </c>
      <c r="E1130" s="390" t="s">
        <v>380</v>
      </c>
      <c r="F1130" s="262" t="s">
        <v>310</v>
      </c>
      <c r="G1130" s="262" t="s">
        <v>349</v>
      </c>
      <c r="H1130" s="261"/>
      <c r="I1130" s="261"/>
      <c r="J1130" s="261"/>
      <c r="K1130" s="261">
        <v>29</v>
      </c>
      <c r="L1130" s="261">
        <v>0</v>
      </c>
      <c r="M1130" s="261">
        <v>29</v>
      </c>
      <c r="N1130" s="261">
        <v>15</v>
      </c>
      <c r="O1130" s="261">
        <v>15</v>
      </c>
      <c r="P1130" s="261">
        <v>15</v>
      </c>
      <c r="Q1130" s="261">
        <v>15</v>
      </c>
      <c r="R1130" s="261"/>
      <c r="S1130" s="261"/>
      <c r="T1130" s="261"/>
      <c r="U1130" s="261"/>
      <c r="V1130" s="762"/>
      <c r="W1130" s="762"/>
      <c r="X1130" s="762"/>
      <c r="Y1130" s="264">
        <f>IF(NFI_Expiration=1,IF($A1130&lt;VLOOKUP(H$5,NFI,5,0),1,0)*Table_NFI[[#This Row],[Hygiene Kit]],Table_NFI[Hygiene Kit])</f>
        <v>0</v>
      </c>
      <c r="Z1130" s="264">
        <f>IF(NFI_Expiration=1,IF($A1130&lt;VLOOKUP(I$5,NFI,5,0),1,0)*Table_NFI[[#This Row],[NFI Core Kit]],Table_NFI[NFI Core Kit])</f>
        <v>0</v>
      </c>
      <c r="AA1130" s="264">
        <f>IF(NFI_Expiration=1,IF($A1130&lt;VLOOKUP(J$5,NFI,5,0),1,0)*Table_NFI[[#This Row],[Sanitary Kit]],Table_NFI[Sanitary Kit])</f>
        <v>0</v>
      </c>
      <c r="AB1130" s="264">
        <f>IF(NFI_Expiration=1,IF($A1130&lt;VLOOKUP(K$5,NFI,5,0),1,0)*Table_NFI[[#This Row],[Mosquito net]],Table_NFI[Mosquito net])</f>
        <v>0</v>
      </c>
      <c r="AC1130" s="264">
        <f>IF(NFI_Expiration=1,IF($A1130&lt;VLOOKUP(L$5,NFI,5,0),1,0)*Table_NFI[[#This Row],[Tarpaulin]],Table_NFI[[#This Row],[Tarpaulin]])</f>
        <v>0</v>
      </c>
      <c r="AD1130" s="264">
        <f>IF(NFI_Expiration=1,IF($A1130&lt;VLOOKUP(M$5,NFI,5,0),1,0)*Table_NFI[[#This Row],[Blanket]],Table_NFI[[#This Row],[Blanket]])</f>
        <v>0</v>
      </c>
      <c r="AE1130" s="264">
        <f>IF(NFI_Expiration=1,IF($A1130&lt;VLOOKUP(N$5,NFI,5,0),1,0)*Table_NFI[[#This Row],[Kitchen Set]],Table_NFI[Kitchen Set])</f>
        <v>0</v>
      </c>
      <c r="AF1130" s="264">
        <f>IF(NFI_Expiration=1,IF($A1130&lt;VLOOKUP(O$5,NFI,5,0),1,0)*Table_NFI[[#This Row],[Clothes Kit]],Table_NFI[Clothes Kit])</f>
        <v>0</v>
      </c>
      <c r="AG1130" s="264">
        <f>IF(NFI_Expiration=1,IF($A1130&lt;VLOOKUP(P$5,NFI,5,0),1,0)*Table_NFI[[#This Row],[Plastic Bucket]],Table_NFI[Plastic Bucket])</f>
        <v>0</v>
      </c>
      <c r="AH1130" s="264">
        <f>IF(NFI_Expiration=1,IF($A1130&lt;VLOOKUP(Q$5,NFI,5,0),1,0)*Table_NFI[[#This Row],[Plastic Mat]],Table_NFI[Plastic Mat])*IF(Table_NFI[[#This Row],[Distribution Date]]&gt;"2014-04-01",1,2.5)</f>
        <v>0</v>
      </c>
      <c r="AI1130" s="264">
        <f>IF(NFI_Expiration=1,IF($A1130&lt;VLOOKUP(R$5,NFI,5,0),1,0)*Table_NFI[[#This Row],[Winter Clothes Adult]],Table_NFI[Winter Clothes Adult])</f>
        <v>0</v>
      </c>
      <c r="AJ1130" s="264">
        <f>IF(NFI_Expiration=1,IF($A1130&lt;VLOOKUP(S$5,NFI,5,0),1,0)*Table_NFI[[#This Row],[Winter Clothes Children]],Table_NFI[Winter Clothes Children])</f>
        <v>0</v>
      </c>
      <c r="AK1130" s="264">
        <f>IF(NFI_Expiration=1,IF($A1130&lt;VLOOKUP(T$5,NFI,5,0),1,0)*Table_NFI[[#This Row],[Winter Items Other]],Table_NFI[Winter Items Other])</f>
        <v>0</v>
      </c>
      <c r="AL1130" s="264">
        <f>IF(NFI_Expiration=1,IF($A1130&lt;VLOOKUP(M$5,NFI,5,0),1,0)*Table_NFI[[#This Row],[Winter Blanket]],Table_NFI[[#This Row],[Winter Blanket]])</f>
        <v>0</v>
      </c>
      <c r="AM1130" s="264">
        <f>IF(Table_NFI[[#This Row],[Winter Clothes Adult]]+Table_NFI[[#This Row],[Winter Clothes Children]]+Table_NFI[[#This Row],[Winter Items Other]]+Table_NFI[[#This Row],[Winter Blanket]]&gt;0,1,0)</f>
        <v>0</v>
      </c>
      <c r="AN1130" s="296">
        <f>IF(NFI_Expiration=1,IF($A1130&lt;VLOOKUP(V$5,NFI,5,0),1,0)*Table_NFI[[#This Row],[Jerry Can]],Table_NFI[Jerry Can])</f>
        <v>0</v>
      </c>
      <c r="AO1130" s="296">
        <f>IF(NFI_Expiration=1,IF($A1130&lt;VLOOKUP(V$5,NFI,5,0),1,0)*Table_NFI[[#This Row],[Shelter Tool kit]],Table_NFI[Shelter Tool kit])</f>
        <v>0</v>
      </c>
      <c r="AP1130" s="296">
        <f>IF(NFI_Expiration=1,IF($A1130&lt;VLOOKUP(V$5,NFI,5,0),1,0)*Table_NFI[[#This Row],[Tent]],Table_NFI[Tent])</f>
        <v>0</v>
      </c>
      <c r="AQ1130" s="396" t="str">
        <f>IFERROR(VLOOKUP(Table_NFI[[#This Row],[Camp Name]],CL,2,0),"")</f>
        <v>MMR001CMP037</v>
      </c>
      <c r="AR1130" s="702">
        <f ca="1">IF(Table_NFI[[#This Row],[Pcode]]="","",IF(OFFSET(CampList[Opening Date],MATCH(Table_NFI[[#This Row],[Pcode]],CampList[CP_Pcode],0)-1,0,1,1)&gt;=NFI_Monitor_Date,1,0))</f>
        <v>0</v>
      </c>
      <c r="AS1130" s="396" t="str">
        <f>IFERROR(VLOOKUP(Table_NFI[[#This Row],[Camp Name]],CL,3,0),"")</f>
        <v>Open</v>
      </c>
      <c r="AT1130" s="264" t="str">
        <f ca="1">IF(Table_NFI[[#This Row],[Pcode]]="","",OFFSET(CampList[Priority],MATCH(Table_NFI[[#This Row],[Pcode]],CampList[CP_Pcode],0)-1,0,1,1))</f>
        <v>P4</v>
      </c>
      <c r="AU1130" s="263">
        <f>IFERROR(Table_NFI[[#This Row],[Kitchen Set]]/VLOOKUP(Table_NFI[[#This Row],[Camp Name]],CL,4,0),"")</f>
        <v>3.6721504112808461E-4</v>
      </c>
      <c r="AV1130" s="390" t="s">
        <v>1087</v>
      </c>
      <c r="AW1130" s="392"/>
      <c r="AX1130" s="399"/>
      <c r="AY1130" s="399"/>
      <c r="AZ1130" s="399"/>
      <c r="BA1130" s="399"/>
      <c r="BB1130" s="399"/>
      <c r="BC1130" s="399"/>
      <c r="BD1130" s="399"/>
      <c r="BE1130" s="399"/>
      <c r="BF1130" s="399"/>
      <c r="BG1130" s="399"/>
      <c r="BH1130" s="399"/>
      <c r="BI1130" s="399"/>
      <c r="BJ1130" s="399"/>
      <c r="BK1130" s="399"/>
      <c r="BL1130" s="399"/>
      <c r="BM1130" s="399"/>
      <c r="BN1130" s="399"/>
      <c r="BO1130" s="399"/>
      <c r="BP1130" s="399"/>
      <c r="BQ1130" s="399"/>
      <c r="BR1130" s="399"/>
      <c r="BS1130" s="399"/>
      <c r="BT1130" s="399"/>
      <c r="BU1130" s="399"/>
      <c r="BV1130" s="399"/>
      <c r="BW1130" s="399"/>
      <c r="BX1130" s="399"/>
      <c r="BY1130" s="399"/>
      <c r="BZ1130" s="399"/>
      <c r="CA1130" s="399"/>
      <c r="CB1130" s="399"/>
      <c r="CC1130" s="399"/>
      <c r="CD1130" s="399"/>
      <c r="CE1130" s="399"/>
      <c r="CF1130" s="399"/>
      <c r="CG1130" s="399"/>
      <c r="CH1130" s="399"/>
      <c r="CI1130" s="399"/>
      <c r="CJ1130" s="399"/>
      <c r="CK1130" s="399"/>
      <c r="CL1130" s="399"/>
      <c r="CM1130" s="399"/>
      <c r="CN1130" s="399"/>
      <c r="CO1130" s="399"/>
      <c r="CP1130" s="399"/>
      <c r="CQ1130" s="399"/>
      <c r="CR1130" s="399"/>
      <c r="CS1130" s="399"/>
      <c r="CT1130" s="399"/>
      <c r="CU1130" s="399"/>
      <c r="CV1130" s="399"/>
      <c r="CW1130" s="399"/>
      <c r="CX1130" s="399"/>
      <c r="CY1130" s="399"/>
      <c r="CZ1130" s="399"/>
      <c r="DA1130" s="399"/>
      <c r="DB1130" s="399"/>
      <c r="DC1130" s="399"/>
      <c r="DD1130" s="399"/>
      <c r="DE1130" s="399"/>
      <c r="DF1130" s="399"/>
      <c r="DG1130" s="399"/>
      <c r="DH1130" s="399"/>
      <c r="DI1130" s="399"/>
      <c r="DJ1130" s="399"/>
      <c r="DK1130" s="399"/>
      <c r="DL1130" s="399"/>
      <c r="DM1130" s="399"/>
      <c r="DN1130" s="399"/>
      <c r="DO1130" s="399"/>
      <c r="DP1130" s="399"/>
      <c r="DQ1130" s="399"/>
    </row>
    <row r="1131" spans="1:121" s="760" customFormat="1" ht="14.45" customHeight="1" x14ac:dyDescent="0.25">
      <c r="A1131" s="266">
        <f t="shared" si="17"/>
        <v>64.733333333333334</v>
      </c>
      <c r="B1131" s="389">
        <v>40914</v>
      </c>
      <c r="C1131" s="390" t="s">
        <v>451</v>
      </c>
      <c r="D1131" s="391" t="s">
        <v>451</v>
      </c>
      <c r="E1131" s="390" t="s">
        <v>380</v>
      </c>
      <c r="F1131" s="262" t="s">
        <v>310</v>
      </c>
      <c r="G1131" s="262" t="s">
        <v>349</v>
      </c>
      <c r="H1131" s="261"/>
      <c r="I1131" s="261"/>
      <c r="J1131" s="261"/>
      <c r="K1131" s="261">
        <v>59</v>
      </c>
      <c r="L1131" s="261">
        <v>30</v>
      </c>
      <c r="M1131" s="261">
        <v>59</v>
      </c>
      <c r="N1131" s="261">
        <v>30</v>
      </c>
      <c r="O1131" s="261">
        <v>30</v>
      </c>
      <c r="P1131" s="261">
        <v>30</v>
      </c>
      <c r="Q1131" s="261">
        <v>30</v>
      </c>
      <c r="R1131" s="261"/>
      <c r="S1131" s="261"/>
      <c r="T1131" s="261"/>
      <c r="U1131" s="261"/>
      <c r="V1131" s="762"/>
      <c r="W1131" s="762"/>
      <c r="X1131" s="762"/>
      <c r="Y1131" s="264">
        <f>IF(NFI_Expiration=1,IF($A1131&lt;VLOOKUP(H$5,NFI,5,0),1,0)*Table_NFI[[#This Row],[Hygiene Kit]],Table_NFI[Hygiene Kit])</f>
        <v>0</v>
      </c>
      <c r="Z1131" s="264">
        <f>IF(NFI_Expiration=1,IF($A1131&lt;VLOOKUP(I$5,NFI,5,0),1,0)*Table_NFI[[#This Row],[NFI Core Kit]],Table_NFI[NFI Core Kit])</f>
        <v>0</v>
      </c>
      <c r="AA1131" s="264">
        <f>IF(NFI_Expiration=1,IF($A1131&lt;VLOOKUP(J$5,NFI,5,0),1,0)*Table_NFI[[#This Row],[Sanitary Kit]],Table_NFI[Sanitary Kit])</f>
        <v>0</v>
      </c>
      <c r="AB1131" s="264">
        <f>IF(NFI_Expiration=1,IF($A1131&lt;VLOOKUP(K$5,NFI,5,0),1,0)*Table_NFI[[#This Row],[Mosquito net]],Table_NFI[Mosquito net])</f>
        <v>0</v>
      </c>
      <c r="AC1131" s="264">
        <f>IF(NFI_Expiration=1,IF($A1131&lt;VLOOKUP(L$5,NFI,5,0),1,0)*Table_NFI[[#This Row],[Tarpaulin]],Table_NFI[[#This Row],[Tarpaulin]])</f>
        <v>0</v>
      </c>
      <c r="AD1131" s="264">
        <f>IF(NFI_Expiration=1,IF($A1131&lt;VLOOKUP(M$5,NFI,5,0),1,0)*Table_NFI[[#This Row],[Blanket]],Table_NFI[[#This Row],[Blanket]])</f>
        <v>0</v>
      </c>
      <c r="AE1131" s="264">
        <f>IF(NFI_Expiration=1,IF($A1131&lt;VLOOKUP(N$5,NFI,5,0),1,0)*Table_NFI[[#This Row],[Kitchen Set]],Table_NFI[Kitchen Set])</f>
        <v>0</v>
      </c>
      <c r="AF1131" s="264">
        <f>IF(NFI_Expiration=1,IF($A1131&lt;VLOOKUP(O$5,NFI,5,0),1,0)*Table_NFI[[#This Row],[Clothes Kit]],Table_NFI[Clothes Kit])</f>
        <v>0</v>
      </c>
      <c r="AG1131" s="264">
        <f>IF(NFI_Expiration=1,IF($A1131&lt;VLOOKUP(P$5,NFI,5,0),1,0)*Table_NFI[[#This Row],[Plastic Bucket]],Table_NFI[Plastic Bucket])</f>
        <v>0</v>
      </c>
      <c r="AH1131" s="264">
        <f>IF(NFI_Expiration=1,IF($A1131&lt;VLOOKUP(Q$5,NFI,5,0),1,0)*Table_NFI[[#This Row],[Plastic Mat]],Table_NFI[Plastic Mat])*IF(Table_NFI[[#This Row],[Distribution Date]]&gt;"2014-04-01",1,2.5)</f>
        <v>0</v>
      </c>
      <c r="AI1131" s="264">
        <f>IF(NFI_Expiration=1,IF($A1131&lt;VLOOKUP(R$5,NFI,5,0),1,0)*Table_NFI[[#This Row],[Winter Clothes Adult]],Table_NFI[Winter Clothes Adult])</f>
        <v>0</v>
      </c>
      <c r="AJ1131" s="264">
        <f>IF(NFI_Expiration=1,IF($A1131&lt;VLOOKUP(S$5,NFI,5,0),1,0)*Table_NFI[[#This Row],[Winter Clothes Children]],Table_NFI[Winter Clothes Children])</f>
        <v>0</v>
      </c>
      <c r="AK1131" s="264">
        <f>IF(NFI_Expiration=1,IF($A1131&lt;VLOOKUP(T$5,NFI,5,0),1,0)*Table_NFI[[#This Row],[Winter Items Other]],Table_NFI[Winter Items Other])</f>
        <v>0</v>
      </c>
      <c r="AL1131" s="264">
        <f>IF(NFI_Expiration=1,IF($A1131&lt;VLOOKUP(M$5,NFI,5,0),1,0)*Table_NFI[[#This Row],[Winter Blanket]],Table_NFI[[#This Row],[Winter Blanket]])</f>
        <v>0</v>
      </c>
      <c r="AM1131" s="264">
        <f>IF(Table_NFI[[#This Row],[Winter Clothes Adult]]+Table_NFI[[#This Row],[Winter Clothes Children]]+Table_NFI[[#This Row],[Winter Items Other]]+Table_NFI[[#This Row],[Winter Blanket]]&gt;0,1,0)</f>
        <v>0</v>
      </c>
      <c r="AN1131" s="296">
        <f>IF(NFI_Expiration=1,IF($A1131&lt;VLOOKUP(V$5,NFI,5,0),1,0)*Table_NFI[[#This Row],[Jerry Can]],Table_NFI[Jerry Can])</f>
        <v>0</v>
      </c>
      <c r="AO1131" s="296">
        <f>IF(NFI_Expiration=1,IF($A1131&lt;VLOOKUP(V$5,NFI,5,0),1,0)*Table_NFI[[#This Row],[Shelter Tool kit]],Table_NFI[Shelter Tool kit])</f>
        <v>0</v>
      </c>
      <c r="AP1131" s="296">
        <f>IF(NFI_Expiration=1,IF($A1131&lt;VLOOKUP(V$5,NFI,5,0),1,0)*Table_NFI[[#This Row],[Tent]],Table_NFI[Tent])</f>
        <v>0</v>
      </c>
      <c r="AQ1131" s="396" t="str">
        <f>IFERROR(VLOOKUP(Table_NFI[[#This Row],[Camp Name]],CL,2,0),"")</f>
        <v>MMR001CMP037</v>
      </c>
      <c r="AR1131" s="702">
        <f ca="1">IF(Table_NFI[[#This Row],[Pcode]]="","",IF(OFFSET(CampList[Opening Date],MATCH(Table_NFI[[#This Row],[Pcode]],CampList[CP_Pcode],0)-1,0,1,1)&gt;=NFI_Monitor_Date,1,0))</f>
        <v>0</v>
      </c>
      <c r="AS1131" s="396" t="str">
        <f>IFERROR(VLOOKUP(Table_NFI[[#This Row],[Camp Name]],CL,3,0),"")</f>
        <v>Open</v>
      </c>
      <c r="AT1131" s="264" t="str">
        <f ca="1">IF(Table_NFI[[#This Row],[Pcode]]="","",OFFSET(CampList[Priority],MATCH(Table_NFI[[#This Row],[Pcode]],CampList[CP_Pcode],0)-1,0,1,1))</f>
        <v>P4</v>
      </c>
      <c r="AU1131" s="263">
        <f>IFERROR(Table_NFI[[#This Row],[Kitchen Set]]/VLOOKUP(Table_NFI[[#This Row],[Camp Name]],CL,4,0),"")</f>
        <v>7.3443008225616922E-4</v>
      </c>
      <c r="AV1131" s="390" t="s">
        <v>1087</v>
      </c>
      <c r="AW1131" s="392"/>
      <c r="AX1131" s="399"/>
      <c r="AY1131" s="399"/>
      <c r="AZ1131" s="399"/>
      <c r="BA1131" s="399"/>
      <c r="BB1131" s="399"/>
      <c r="BC1131" s="399"/>
      <c r="BD1131" s="399"/>
      <c r="BE1131" s="399"/>
      <c r="BF1131" s="399"/>
      <c r="BG1131" s="399"/>
      <c r="BH1131" s="399"/>
      <c r="BI1131" s="399"/>
      <c r="BJ1131" s="399"/>
      <c r="BK1131" s="399"/>
      <c r="BL1131" s="399"/>
      <c r="BM1131" s="399"/>
      <c r="BN1131" s="399"/>
      <c r="BO1131" s="399"/>
      <c r="BP1131" s="399"/>
      <c r="BQ1131" s="399"/>
      <c r="BR1131" s="399"/>
      <c r="BS1131" s="399"/>
      <c r="BT1131" s="399"/>
      <c r="BU1131" s="399"/>
      <c r="BV1131" s="399"/>
      <c r="BW1131" s="399"/>
      <c r="BX1131" s="399"/>
      <c r="BY1131" s="399"/>
      <c r="BZ1131" s="399"/>
      <c r="CA1131" s="399"/>
      <c r="CB1131" s="399"/>
      <c r="CC1131" s="399"/>
      <c r="CD1131" s="399"/>
      <c r="CE1131" s="399"/>
      <c r="CF1131" s="399"/>
      <c r="CG1131" s="399"/>
      <c r="CH1131" s="399"/>
      <c r="CI1131" s="399"/>
      <c r="CJ1131" s="399"/>
      <c r="CK1131" s="399"/>
      <c r="CL1131" s="399"/>
      <c r="CM1131" s="399"/>
      <c r="CN1131" s="399"/>
      <c r="CO1131" s="399"/>
      <c r="CP1131" s="399"/>
      <c r="CQ1131" s="399"/>
      <c r="CR1131" s="399"/>
      <c r="CS1131" s="399"/>
      <c r="CT1131" s="399"/>
      <c r="CU1131" s="399"/>
      <c r="CV1131" s="399"/>
      <c r="CW1131" s="399"/>
      <c r="CX1131" s="399"/>
      <c r="CY1131" s="399"/>
      <c r="CZ1131" s="399"/>
      <c r="DA1131" s="399"/>
      <c r="DB1131" s="399"/>
      <c r="DC1131" s="399"/>
      <c r="DD1131" s="399"/>
      <c r="DE1131" s="399"/>
      <c r="DF1131" s="399"/>
      <c r="DG1131" s="399"/>
      <c r="DH1131" s="399"/>
      <c r="DI1131" s="399"/>
      <c r="DJ1131" s="399"/>
      <c r="DK1131" s="399"/>
      <c r="DL1131" s="399"/>
      <c r="DM1131" s="399"/>
      <c r="DN1131" s="399"/>
      <c r="DO1131" s="399"/>
      <c r="DP1131" s="399"/>
      <c r="DQ1131" s="399"/>
    </row>
    <row r="1132" spans="1:121" s="760" customFormat="1" ht="14.45" customHeight="1" x14ac:dyDescent="0.25">
      <c r="A1132" s="266">
        <f t="shared" si="17"/>
        <v>64.733333333333334</v>
      </c>
      <c r="B1132" s="389">
        <v>40914</v>
      </c>
      <c r="C1132" s="390" t="s">
        <v>451</v>
      </c>
      <c r="D1132" s="391" t="s">
        <v>451</v>
      </c>
      <c r="E1132" s="390" t="s">
        <v>380</v>
      </c>
      <c r="F1132" s="262" t="s">
        <v>310</v>
      </c>
      <c r="G1132" s="262" t="s">
        <v>316</v>
      </c>
      <c r="H1132" s="261"/>
      <c r="I1132" s="261"/>
      <c r="J1132" s="261"/>
      <c r="K1132" s="261">
        <v>29</v>
      </c>
      <c r="L1132" s="261">
        <v>14</v>
      </c>
      <c r="M1132" s="261">
        <v>29</v>
      </c>
      <c r="N1132" s="261">
        <v>14</v>
      </c>
      <c r="O1132" s="261">
        <v>14</v>
      </c>
      <c r="P1132" s="261">
        <v>14</v>
      </c>
      <c r="Q1132" s="261">
        <v>14</v>
      </c>
      <c r="R1132" s="261"/>
      <c r="S1132" s="261"/>
      <c r="T1132" s="261"/>
      <c r="U1132" s="261"/>
      <c r="V1132" s="762"/>
      <c r="W1132" s="762"/>
      <c r="X1132" s="762"/>
      <c r="Y1132" s="264">
        <f>IF(NFI_Expiration=1,IF($A1132&lt;VLOOKUP(H$5,NFI,5,0),1,0)*Table_NFI[[#This Row],[Hygiene Kit]],Table_NFI[Hygiene Kit])</f>
        <v>0</v>
      </c>
      <c r="Z1132" s="264">
        <f>IF(NFI_Expiration=1,IF($A1132&lt;VLOOKUP(I$5,NFI,5,0),1,0)*Table_NFI[[#This Row],[NFI Core Kit]],Table_NFI[NFI Core Kit])</f>
        <v>0</v>
      </c>
      <c r="AA1132" s="264">
        <f>IF(NFI_Expiration=1,IF($A1132&lt;VLOOKUP(J$5,NFI,5,0),1,0)*Table_NFI[[#This Row],[Sanitary Kit]],Table_NFI[Sanitary Kit])</f>
        <v>0</v>
      </c>
      <c r="AB1132" s="264">
        <f>IF(NFI_Expiration=1,IF($A1132&lt;VLOOKUP(K$5,NFI,5,0),1,0)*Table_NFI[[#This Row],[Mosquito net]],Table_NFI[Mosquito net])</f>
        <v>0</v>
      </c>
      <c r="AC1132" s="264">
        <f>IF(NFI_Expiration=1,IF($A1132&lt;VLOOKUP(L$5,NFI,5,0),1,0)*Table_NFI[[#This Row],[Tarpaulin]],Table_NFI[[#This Row],[Tarpaulin]])</f>
        <v>0</v>
      </c>
      <c r="AD1132" s="264">
        <f>IF(NFI_Expiration=1,IF($A1132&lt;VLOOKUP(M$5,NFI,5,0),1,0)*Table_NFI[[#This Row],[Blanket]],Table_NFI[[#This Row],[Blanket]])</f>
        <v>0</v>
      </c>
      <c r="AE1132" s="264">
        <f>IF(NFI_Expiration=1,IF($A1132&lt;VLOOKUP(N$5,NFI,5,0),1,0)*Table_NFI[[#This Row],[Kitchen Set]],Table_NFI[Kitchen Set])</f>
        <v>0</v>
      </c>
      <c r="AF1132" s="264">
        <f>IF(NFI_Expiration=1,IF($A1132&lt;VLOOKUP(O$5,NFI,5,0),1,0)*Table_NFI[[#This Row],[Clothes Kit]],Table_NFI[Clothes Kit])</f>
        <v>0</v>
      </c>
      <c r="AG1132" s="264">
        <f>IF(NFI_Expiration=1,IF($A1132&lt;VLOOKUP(P$5,NFI,5,0),1,0)*Table_NFI[[#This Row],[Plastic Bucket]],Table_NFI[Plastic Bucket])</f>
        <v>0</v>
      </c>
      <c r="AH1132" s="264">
        <f>IF(NFI_Expiration=1,IF($A1132&lt;VLOOKUP(Q$5,NFI,5,0),1,0)*Table_NFI[[#This Row],[Plastic Mat]],Table_NFI[Plastic Mat])*IF(Table_NFI[[#This Row],[Distribution Date]]&gt;"2014-04-01",1,2.5)</f>
        <v>0</v>
      </c>
      <c r="AI1132" s="264">
        <f>IF(NFI_Expiration=1,IF($A1132&lt;VLOOKUP(R$5,NFI,5,0),1,0)*Table_NFI[[#This Row],[Winter Clothes Adult]],Table_NFI[Winter Clothes Adult])</f>
        <v>0</v>
      </c>
      <c r="AJ1132" s="264">
        <f>IF(NFI_Expiration=1,IF($A1132&lt;VLOOKUP(S$5,NFI,5,0),1,0)*Table_NFI[[#This Row],[Winter Clothes Children]],Table_NFI[Winter Clothes Children])</f>
        <v>0</v>
      </c>
      <c r="AK1132" s="264">
        <f>IF(NFI_Expiration=1,IF($A1132&lt;VLOOKUP(T$5,NFI,5,0),1,0)*Table_NFI[[#This Row],[Winter Items Other]],Table_NFI[Winter Items Other])</f>
        <v>0</v>
      </c>
      <c r="AL1132" s="264">
        <f>IF(NFI_Expiration=1,IF($A1132&lt;VLOOKUP(M$5,NFI,5,0),1,0)*Table_NFI[[#This Row],[Winter Blanket]],Table_NFI[[#This Row],[Winter Blanket]])</f>
        <v>0</v>
      </c>
      <c r="AM1132" s="264">
        <f>IF(Table_NFI[[#This Row],[Winter Clothes Adult]]+Table_NFI[[#This Row],[Winter Clothes Children]]+Table_NFI[[#This Row],[Winter Items Other]]+Table_NFI[[#This Row],[Winter Blanket]]&gt;0,1,0)</f>
        <v>0</v>
      </c>
      <c r="AN1132" s="296">
        <f>IF(NFI_Expiration=1,IF($A1132&lt;VLOOKUP(V$5,NFI,5,0),1,0)*Table_NFI[[#This Row],[Jerry Can]],Table_NFI[Jerry Can])</f>
        <v>0</v>
      </c>
      <c r="AO1132" s="296">
        <f>IF(NFI_Expiration=1,IF($A1132&lt;VLOOKUP(V$5,NFI,5,0),1,0)*Table_NFI[[#This Row],[Shelter Tool kit]],Table_NFI[Shelter Tool kit])</f>
        <v>0</v>
      </c>
      <c r="AP1132" s="296">
        <f>IF(NFI_Expiration=1,IF($A1132&lt;VLOOKUP(V$5,NFI,5,0),1,0)*Table_NFI[[#This Row],[Tent]],Table_NFI[Tent])</f>
        <v>0</v>
      </c>
      <c r="AQ1132" s="396" t="str">
        <f>IFERROR(VLOOKUP(Table_NFI[[#This Row],[Camp Name]],CL,2,0),"")</f>
        <v>MMR001CMP038</v>
      </c>
      <c r="AR1132" s="702">
        <f ca="1">IF(Table_NFI[[#This Row],[Pcode]]="","",IF(OFFSET(CampList[Opening Date],MATCH(Table_NFI[[#This Row],[Pcode]],CampList[CP_Pcode],0)-1,0,1,1)&gt;=NFI_Monitor_Date,1,0))</f>
        <v>0</v>
      </c>
      <c r="AS1132" s="396" t="str">
        <f>IFERROR(VLOOKUP(Table_NFI[[#This Row],[Camp Name]],CL,3,0),"")</f>
        <v>Open</v>
      </c>
      <c r="AT1132" s="264" t="str">
        <f ca="1">IF(Table_NFI[[#This Row],[Pcode]]="","",OFFSET(CampList[Priority],MATCH(Table_NFI[[#This Row],[Pcode]],CampList[CP_Pcode],0)-1,0,1,1))</f>
        <v>P4</v>
      </c>
      <c r="AU1132" s="263">
        <f>IFERROR(Table_NFI[[#This Row],[Kitchen Set]]/VLOOKUP(Table_NFI[[#This Row],[Camp Name]],CL,4,0),"")</f>
        <v>3.4273403838621232E-4</v>
      </c>
      <c r="AV1132" s="390" t="s">
        <v>1087</v>
      </c>
      <c r="AW1132" s="392"/>
      <c r="AX1132" s="399"/>
      <c r="AY1132" s="399"/>
      <c r="AZ1132" s="399"/>
      <c r="BA1132" s="399"/>
      <c r="BB1132" s="399"/>
      <c r="BC1132" s="399"/>
      <c r="BD1132" s="399"/>
      <c r="BE1132" s="399"/>
      <c r="BF1132" s="399"/>
      <c r="BG1132" s="399"/>
      <c r="BH1132" s="399"/>
      <c r="BI1132" s="399"/>
      <c r="BJ1132" s="399"/>
      <c r="BK1132" s="399"/>
      <c r="BL1132" s="399"/>
      <c r="BM1132" s="399"/>
      <c r="BN1132" s="399"/>
      <c r="BO1132" s="399"/>
      <c r="BP1132" s="399"/>
      <c r="BQ1132" s="399"/>
      <c r="BR1132" s="399"/>
      <c r="BS1132" s="399"/>
      <c r="BT1132" s="399"/>
      <c r="BU1132" s="399"/>
      <c r="BV1132" s="399"/>
      <c r="BW1132" s="399"/>
      <c r="BX1132" s="399"/>
      <c r="BY1132" s="399"/>
      <c r="BZ1132" s="399"/>
      <c r="CA1132" s="399"/>
      <c r="CB1132" s="399"/>
      <c r="CC1132" s="399"/>
      <c r="CD1132" s="399"/>
      <c r="CE1132" s="399"/>
      <c r="CF1132" s="399"/>
      <c r="CG1132" s="399"/>
      <c r="CH1132" s="399"/>
      <c r="CI1132" s="399"/>
      <c r="CJ1132" s="399"/>
      <c r="CK1132" s="399"/>
      <c r="CL1132" s="399"/>
      <c r="CM1132" s="399"/>
      <c r="CN1132" s="399"/>
      <c r="CO1132" s="399"/>
      <c r="CP1132" s="399"/>
      <c r="CQ1132" s="399"/>
      <c r="CR1132" s="399"/>
      <c r="CS1132" s="399"/>
      <c r="CT1132" s="399"/>
      <c r="CU1132" s="399"/>
      <c r="CV1132" s="399"/>
      <c r="CW1132" s="399"/>
      <c r="CX1132" s="399"/>
      <c r="CY1132" s="399"/>
      <c r="CZ1132" s="399"/>
      <c r="DA1132" s="399"/>
      <c r="DB1132" s="399"/>
      <c r="DC1132" s="399"/>
      <c r="DD1132" s="399"/>
      <c r="DE1132" s="399"/>
      <c r="DF1132" s="399"/>
      <c r="DG1132" s="399"/>
      <c r="DH1132" s="399"/>
      <c r="DI1132" s="399"/>
      <c r="DJ1132" s="399"/>
      <c r="DK1132" s="399"/>
      <c r="DL1132" s="399"/>
      <c r="DM1132" s="399"/>
      <c r="DN1132" s="399"/>
      <c r="DO1132" s="399"/>
      <c r="DP1132" s="399"/>
      <c r="DQ1132" s="399"/>
    </row>
    <row r="1133" spans="1:121" s="760" customFormat="1" ht="14.45" customHeight="1" x14ac:dyDescent="0.25">
      <c r="A1133" s="266">
        <f t="shared" si="17"/>
        <v>64.766666666666666</v>
      </c>
      <c r="B1133" s="389">
        <v>40913</v>
      </c>
      <c r="C1133" s="390" t="s">
        <v>451</v>
      </c>
      <c r="D1133" s="391" t="s">
        <v>459</v>
      </c>
      <c r="E1133" s="390" t="s">
        <v>380</v>
      </c>
      <c r="F1133" s="262" t="s">
        <v>310</v>
      </c>
      <c r="G1133" s="262" t="s">
        <v>326</v>
      </c>
      <c r="H1133" s="261"/>
      <c r="I1133" s="261"/>
      <c r="J1133" s="261"/>
      <c r="K1133" s="261">
        <v>52</v>
      </c>
      <c r="L1133" s="261">
        <v>29</v>
      </c>
      <c r="M1133" s="261">
        <v>52</v>
      </c>
      <c r="N1133" s="261">
        <v>29</v>
      </c>
      <c r="O1133" s="261">
        <v>29</v>
      </c>
      <c r="P1133" s="261">
        <v>29</v>
      </c>
      <c r="Q1133" s="261">
        <v>29</v>
      </c>
      <c r="R1133" s="261"/>
      <c r="S1133" s="261"/>
      <c r="T1133" s="261"/>
      <c r="U1133" s="261"/>
      <c r="V1133" s="762"/>
      <c r="W1133" s="762"/>
      <c r="X1133" s="762"/>
      <c r="Y1133" s="264">
        <f>IF(NFI_Expiration=1,IF($A1133&lt;VLOOKUP(H$5,NFI,5,0),1,0)*Table_NFI[[#This Row],[Hygiene Kit]],Table_NFI[Hygiene Kit])</f>
        <v>0</v>
      </c>
      <c r="Z1133" s="264">
        <f>IF(NFI_Expiration=1,IF($A1133&lt;VLOOKUP(I$5,NFI,5,0),1,0)*Table_NFI[[#This Row],[NFI Core Kit]],Table_NFI[NFI Core Kit])</f>
        <v>0</v>
      </c>
      <c r="AA1133" s="264">
        <f>IF(NFI_Expiration=1,IF($A1133&lt;VLOOKUP(J$5,NFI,5,0),1,0)*Table_NFI[[#This Row],[Sanitary Kit]],Table_NFI[Sanitary Kit])</f>
        <v>0</v>
      </c>
      <c r="AB1133" s="264">
        <f>IF(NFI_Expiration=1,IF($A1133&lt;VLOOKUP(K$5,NFI,5,0),1,0)*Table_NFI[[#This Row],[Mosquito net]],Table_NFI[Mosquito net])</f>
        <v>0</v>
      </c>
      <c r="AC1133" s="264">
        <f>IF(NFI_Expiration=1,IF($A1133&lt;VLOOKUP(L$5,NFI,5,0),1,0)*Table_NFI[[#This Row],[Tarpaulin]],Table_NFI[[#This Row],[Tarpaulin]])</f>
        <v>0</v>
      </c>
      <c r="AD1133" s="264">
        <f>IF(NFI_Expiration=1,IF($A1133&lt;VLOOKUP(M$5,NFI,5,0),1,0)*Table_NFI[[#This Row],[Blanket]],Table_NFI[[#This Row],[Blanket]])</f>
        <v>0</v>
      </c>
      <c r="AE1133" s="264">
        <f>IF(NFI_Expiration=1,IF($A1133&lt;VLOOKUP(N$5,NFI,5,0),1,0)*Table_NFI[[#This Row],[Kitchen Set]],Table_NFI[Kitchen Set])</f>
        <v>0</v>
      </c>
      <c r="AF1133" s="264">
        <f>IF(NFI_Expiration=1,IF($A1133&lt;VLOOKUP(O$5,NFI,5,0),1,0)*Table_NFI[[#This Row],[Clothes Kit]],Table_NFI[Clothes Kit])</f>
        <v>0</v>
      </c>
      <c r="AG1133" s="264">
        <f>IF(NFI_Expiration=1,IF($A1133&lt;VLOOKUP(P$5,NFI,5,0),1,0)*Table_NFI[[#This Row],[Plastic Bucket]],Table_NFI[Plastic Bucket])</f>
        <v>0</v>
      </c>
      <c r="AH1133" s="264">
        <f>IF(NFI_Expiration=1,IF($A1133&lt;VLOOKUP(Q$5,NFI,5,0),1,0)*Table_NFI[[#This Row],[Plastic Mat]],Table_NFI[Plastic Mat])*IF(Table_NFI[[#This Row],[Distribution Date]]&gt;"2014-04-01",1,2.5)</f>
        <v>0</v>
      </c>
      <c r="AI1133" s="264">
        <f>IF(NFI_Expiration=1,IF($A1133&lt;VLOOKUP(R$5,NFI,5,0),1,0)*Table_NFI[[#This Row],[Winter Clothes Adult]],Table_NFI[Winter Clothes Adult])</f>
        <v>0</v>
      </c>
      <c r="AJ1133" s="264">
        <f>IF(NFI_Expiration=1,IF($A1133&lt;VLOOKUP(S$5,NFI,5,0),1,0)*Table_NFI[[#This Row],[Winter Clothes Children]],Table_NFI[Winter Clothes Children])</f>
        <v>0</v>
      </c>
      <c r="AK1133" s="264">
        <f>IF(NFI_Expiration=1,IF($A1133&lt;VLOOKUP(T$5,NFI,5,0),1,0)*Table_NFI[[#This Row],[Winter Items Other]],Table_NFI[Winter Items Other])</f>
        <v>0</v>
      </c>
      <c r="AL1133" s="264">
        <f>IF(NFI_Expiration=1,IF($A1133&lt;VLOOKUP(M$5,NFI,5,0),1,0)*Table_NFI[[#This Row],[Winter Blanket]],Table_NFI[[#This Row],[Winter Blanket]])</f>
        <v>0</v>
      </c>
      <c r="AM1133" s="264">
        <f>IF(Table_NFI[[#This Row],[Winter Clothes Adult]]+Table_NFI[[#This Row],[Winter Clothes Children]]+Table_NFI[[#This Row],[Winter Items Other]]+Table_NFI[[#This Row],[Winter Blanket]]&gt;0,1,0)</f>
        <v>0</v>
      </c>
      <c r="AN1133" s="296">
        <f>IF(NFI_Expiration=1,IF($A1133&lt;VLOOKUP(V$5,NFI,5,0),1,0)*Table_NFI[[#This Row],[Jerry Can]],Table_NFI[Jerry Can])</f>
        <v>0</v>
      </c>
      <c r="AO1133" s="296">
        <f>IF(NFI_Expiration=1,IF($A1133&lt;VLOOKUP(V$5,NFI,5,0),1,0)*Table_NFI[[#This Row],[Shelter Tool kit]],Table_NFI[Shelter Tool kit])</f>
        <v>0</v>
      </c>
      <c r="AP1133" s="296">
        <f>IF(NFI_Expiration=1,IF($A1133&lt;VLOOKUP(V$5,NFI,5,0),1,0)*Table_NFI[[#This Row],[Tent]],Table_NFI[Tent])</f>
        <v>0</v>
      </c>
      <c r="AQ1133" s="396" t="str">
        <f>IFERROR(VLOOKUP(Table_NFI[[#This Row],[Camp Name]],CL,2,0),"")</f>
        <v>MMR001CMP039</v>
      </c>
      <c r="AR1133" s="702">
        <f ca="1">IF(Table_NFI[[#This Row],[Pcode]]="","",IF(OFFSET(CampList[Opening Date],MATCH(Table_NFI[[#This Row],[Pcode]],CampList[CP_Pcode],0)-1,0,1,1)&gt;=NFI_Monitor_Date,1,0))</f>
        <v>0</v>
      </c>
      <c r="AS1133" s="396" t="str">
        <f>IFERROR(VLOOKUP(Table_NFI[[#This Row],[Camp Name]],CL,3,0),"")</f>
        <v>Open</v>
      </c>
      <c r="AT1133" s="264" t="str">
        <f ca="1">IF(Table_NFI[[#This Row],[Pcode]]="","",OFFSET(CampList[Priority],MATCH(Table_NFI[[#This Row],[Pcode]],CampList[CP_Pcode],0)-1,0,1,1))</f>
        <v>P4</v>
      </c>
      <c r="AU1133" s="263">
        <f>IFERROR(Table_NFI[[#This Row],[Kitchen Set]]/VLOOKUP(Table_NFI[[#This Row],[Camp Name]],CL,4,0),"")</f>
        <v>7.0942805421008858E-4</v>
      </c>
      <c r="AV1133" s="390" t="s">
        <v>1087</v>
      </c>
      <c r="AW1133" s="392"/>
      <c r="AX1133" s="399"/>
      <c r="AY1133" s="399"/>
      <c r="AZ1133" s="399"/>
      <c r="BA1133" s="399"/>
      <c r="BB1133" s="399"/>
      <c r="BC1133" s="399"/>
      <c r="BD1133" s="399"/>
      <c r="BE1133" s="399"/>
      <c r="BF1133" s="399"/>
      <c r="BG1133" s="399"/>
      <c r="BH1133" s="399"/>
      <c r="BI1133" s="399"/>
      <c r="BJ1133" s="399"/>
      <c r="BK1133" s="399"/>
      <c r="BL1133" s="399"/>
      <c r="BM1133" s="399"/>
      <c r="BN1133" s="399"/>
      <c r="BO1133" s="399"/>
      <c r="BP1133" s="399"/>
      <c r="BQ1133" s="399"/>
      <c r="BR1133" s="399"/>
      <c r="BS1133" s="399"/>
      <c r="BT1133" s="399"/>
      <c r="BU1133" s="399"/>
      <c r="BV1133" s="399"/>
      <c r="BW1133" s="399"/>
      <c r="BX1133" s="399"/>
      <c r="BY1133" s="399"/>
      <c r="BZ1133" s="399"/>
      <c r="CA1133" s="399"/>
      <c r="CB1133" s="399"/>
      <c r="CC1133" s="399"/>
      <c r="CD1133" s="399"/>
      <c r="CE1133" s="399"/>
      <c r="CF1133" s="399"/>
      <c r="CG1133" s="399"/>
      <c r="CH1133" s="399"/>
      <c r="CI1133" s="399"/>
      <c r="CJ1133" s="399"/>
      <c r="CK1133" s="399"/>
      <c r="CL1133" s="399"/>
      <c r="CM1133" s="399"/>
      <c r="CN1133" s="399"/>
      <c r="CO1133" s="399"/>
      <c r="CP1133" s="399"/>
      <c r="CQ1133" s="399"/>
      <c r="CR1133" s="399"/>
      <c r="CS1133" s="399"/>
      <c r="CT1133" s="399"/>
      <c r="CU1133" s="399"/>
      <c r="CV1133" s="399"/>
      <c r="CW1133" s="399"/>
      <c r="CX1133" s="399"/>
      <c r="CY1133" s="399"/>
      <c r="CZ1133" s="399"/>
      <c r="DA1133" s="399"/>
      <c r="DB1133" s="399"/>
      <c r="DC1133" s="399"/>
      <c r="DD1133" s="399"/>
      <c r="DE1133" s="399"/>
      <c r="DF1133" s="399"/>
      <c r="DG1133" s="399"/>
      <c r="DH1133" s="399"/>
      <c r="DI1133" s="399"/>
      <c r="DJ1133" s="399"/>
      <c r="DK1133" s="399"/>
      <c r="DL1133" s="399"/>
      <c r="DM1133" s="399"/>
      <c r="DN1133" s="399"/>
      <c r="DO1133" s="399"/>
      <c r="DP1133" s="399"/>
      <c r="DQ1133" s="399"/>
    </row>
    <row r="1134" spans="1:121" s="760" customFormat="1" ht="14.45" customHeight="1" x14ac:dyDescent="0.25">
      <c r="A1134" s="266">
        <f t="shared" si="17"/>
        <v>64.833333333333329</v>
      </c>
      <c r="B1134" s="389">
        <v>40911</v>
      </c>
      <c r="C1134" s="390" t="s">
        <v>451</v>
      </c>
      <c r="D1134" s="391" t="s">
        <v>505</v>
      </c>
      <c r="E1134" s="390" t="s">
        <v>380</v>
      </c>
      <c r="F1134" s="262" t="s">
        <v>237</v>
      </c>
      <c r="G1134" s="262" t="s">
        <v>249</v>
      </c>
      <c r="H1134" s="261"/>
      <c r="I1134" s="261"/>
      <c r="J1134" s="261"/>
      <c r="K1134" s="261">
        <v>0</v>
      </c>
      <c r="L1134" s="261">
        <v>0</v>
      </c>
      <c r="M1134" s="261">
        <v>0</v>
      </c>
      <c r="N1134" s="261">
        <v>0</v>
      </c>
      <c r="O1134" s="261">
        <v>8</v>
      </c>
      <c r="P1134" s="261">
        <v>8</v>
      </c>
      <c r="Q1134" s="261">
        <v>8</v>
      </c>
      <c r="R1134" s="261"/>
      <c r="S1134" s="261"/>
      <c r="T1134" s="261"/>
      <c r="U1134" s="261"/>
      <c r="V1134" s="762"/>
      <c r="W1134" s="762"/>
      <c r="X1134" s="762"/>
      <c r="Y1134" s="264">
        <f>IF(NFI_Expiration=1,IF($A1134&lt;VLOOKUP(H$5,NFI,5,0),1,0)*Table_NFI[[#This Row],[Hygiene Kit]],Table_NFI[Hygiene Kit])</f>
        <v>0</v>
      </c>
      <c r="Z1134" s="264">
        <f>IF(NFI_Expiration=1,IF($A1134&lt;VLOOKUP(I$5,NFI,5,0),1,0)*Table_NFI[[#This Row],[NFI Core Kit]],Table_NFI[NFI Core Kit])</f>
        <v>0</v>
      </c>
      <c r="AA1134" s="264">
        <f>IF(NFI_Expiration=1,IF($A1134&lt;VLOOKUP(J$5,NFI,5,0),1,0)*Table_NFI[[#This Row],[Sanitary Kit]],Table_NFI[Sanitary Kit])</f>
        <v>0</v>
      </c>
      <c r="AB1134" s="264">
        <f>IF(NFI_Expiration=1,IF($A1134&lt;VLOOKUP(K$5,NFI,5,0),1,0)*Table_NFI[[#This Row],[Mosquito net]],Table_NFI[Mosquito net])</f>
        <v>0</v>
      </c>
      <c r="AC1134" s="264">
        <f>IF(NFI_Expiration=1,IF($A1134&lt;VLOOKUP(L$5,NFI,5,0),1,0)*Table_NFI[[#This Row],[Tarpaulin]],Table_NFI[[#This Row],[Tarpaulin]])</f>
        <v>0</v>
      </c>
      <c r="AD1134" s="264">
        <f>IF(NFI_Expiration=1,IF($A1134&lt;VLOOKUP(M$5,NFI,5,0),1,0)*Table_NFI[[#This Row],[Blanket]],Table_NFI[[#This Row],[Blanket]])</f>
        <v>0</v>
      </c>
      <c r="AE1134" s="264">
        <f>IF(NFI_Expiration=1,IF($A1134&lt;VLOOKUP(N$5,NFI,5,0),1,0)*Table_NFI[[#This Row],[Kitchen Set]],Table_NFI[Kitchen Set])</f>
        <v>0</v>
      </c>
      <c r="AF1134" s="264">
        <f>IF(NFI_Expiration=1,IF($A1134&lt;VLOOKUP(O$5,NFI,5,0),1,0)*Table_NFI[[#This Row],[Clothes Kit]],Table_NFI[Clothes Kit])</f>
        <v>0</v>
      </c>
      <c r="AG1134" s="264">
        <f>IF(NFI_Expiration=1,IF($A1134&lt;VLOOKUP(P$5,NFI,5,0),1,0)*Table_NFI[[#This Row],[Plastic Bucket]],Table_NFI[Plastic Bucket])</f>
        <v>0</v>
      </c>
      <c r="AH1134" s="264">
        <f>IF(NFI_Expiration=1,IF($A1134&lt;VLOOKUP(Q$5,NFI,5,0),1,0)*Table_NFI[[#This Row],[Plastic Mat]],Table_NFI[Plastic Mat])*IF(Table_NFI[[#This Row],[Distribution Date]]&gt;"2014-04-01",1,2.5)</f>
        <v>0</v>
      </c>
      <c r="AI1134" s="264">
        <f>IF(NFI_Expiration=1,IF($A1134&lt;VLOOKUP(R$5,NFI,5,0),1,0)*Table_NFI[[#This Row],[Winter Clothes Adult]],Table_NFI[Winter Clothes Adult])</f>
        <v>0</v>
      </c>
      <c r="AJ1134" s="264">
        <f>IF(NFI_Expiration=1,IF($A1134&lt;VLOOKUP(S$5,NFI,5,0),1,0)*Table_NFI[[#This Row],[Winter Clothes Children]],Table_NFI[Winter Clothes Children])</f>
        <v>0</v>
      </c>
      <c r="AK1134" s="264">
        <f>IF(NFI_Expiration=1,IF($A1134&lt;VLOOKUP(T$5,NFI,5,0),1,0)*Table_NFI[[#This Row],[Winter Items Other]],Table_NFI[Winter Items Other])</f>
        <v>0</v>
      </c>
      <c r="AL1134" s="264">
        <f>IF(NFI_Expiration=1,IF($A1134&lt;VLOOKUP(M$5,NFI,5,0),1,0)*Table_NFI[[#This Row],[Winter Blanket]],Table_NFI[[#This Row],[Winter Blanket]])</f>
        <v>0</v>
      </c>
      <c r="AM1134" s="264">
        <f>IF(Table_NFI[[#This Row],[Winter Clothes Adult]]+Table_NFI[[#This Row],[Winter Clothes Children]]+Table_NFI[[#This Row],[Winter Items Other]]+Table_NFI[[#This Row],[Winter Blanket]]&gt;0,1,0)</f>
        <v>0</v>
      </c>
      <c r="AN1134" s="296">
        <f>IF(NFI_Expiration=1,IF($A1134&lt;VLOOKUP(V$5,NFI,5,0),1,0)*Table_NFI[[#This Row],[Jerry Can]],Table_NFI[Jerry Can])</f>
        <v>0</v>
      </c>
      <c r="AO1134" s="296">
        <f>IF(NFI_Expiration=1,IF($A1134&lt;VLOOKUP(V$5,NFI,5,0),1,0)*Table_NFI[[#This Row],[Shelter Tool kit]],Table_NFI[Shelter Tool kit])</f>
        <v>0</v>
      </c>
      <c r="AP1134" s="296">
        <f>IF(NFI_Expiration=1,IF($A1134&lt;VLOOKUP(V$5,NFI,5,0),1,0)*Table_NFI[[#This Row],[Tent]],Table_NFI[Tent])</f>
        <v>0</v>
      </c>
      <c r="AQ1134" s="396" t="str">
        <f>IFERROR(VLOOKUP(Table_NFI[[#This Row],[Camp Name]],CL,2,0),"")</f>
        <v>MMR001CMP004</v>
      </c>
      <c r="AR1134" s="702">
        <f ca="1">IF(Table_NFI[[#This Row],[Pcode]]="","",IF(OFFSET(CampList[Opening Date],MATCH(Table_NFI[[#This Row],[Pcode]],CampList[CP_Pcode],0)-1,0,1,1)&gt;=NFI_Monitor_Date,1,0))</f>
        <v>0</v>
      </c>
      <c r="AS1134" s="396" t="str">
        <f>IFERROR(VLOOKUP(Table_NFI[[#This Row],[Camp Name]],CL,3,0),"")</f>
        <v>Open</v>
      </c>
      <c r="AT1134" s="264" t="str">
        <f ca="1">IF(Table_NFI[[#This Row],[Pcode]]="","",OFFSET(CampList[Priority],MATCH(Table_NFI[[#This Row],[Pcode]],CampList[CP_Pcode],0)-1,0,1,1))</f>
        <v>P4</v>
      </c>
      <c r="AU1134" s="263">
        <f>IFERROR(Table_NFI[[#This Row],[Kitchen Set]]/VLOOKUP(Table_NFI[[#This Row],[Camp Name]],CL,4,0),"")</f>
        <v>0</v>
      </c>
      <c r="AV1134" s="390" t="s">
        <v>1087</v>
      </c>
      <c r="AW1134" s="392"/>
      <c r="AX1134" s="399"/>
      <c r="AY1134" s="399"/>
      <c r="AZ1134" s="399"/>
      <c r="BA1134" s="399"/>
      <c r="BB1134" s="399"/>
      <c r="BC1134" s="399"/>
      <c r="BD1134" s="399"/>
      <c r="BE1134" s="399"/>
      <c r="BF1134" s="399"/>
      <c r="BG1134" s="399"/>
      <c r="BH1134" s="399"/>
      <c r="BI1134" s="399"/>
      <c r="BJ1134" s="399"/>
      <c r="BK1134" s="399"/>
      <c r="BL1134" s="399"/>
      <c r="BM1134" s="399"/>
      <c r="BN1134" s="399"/>
      <c r="BO1134" s="399"/>
      <c r="BP1134" s="399"/>
      <c r="BQ1134" s="399"/>
      <c r="BR1134" s="399"/>
      <c r="BS1134" s="399"/>
      <c r="BT1134" s="399"/>
      <c r="BU1134" s="399"/>
      <c r="BV1134" s="399"/>
      <c r="BW1134" s="399"/>
      <c r="BX1134" s="399"/>
      <c r="BY1134" s="399"/>
      <c r="BZ1134" s="399"/>
      <c r="CA1134" s="399"/>
      <c r="CB1134" s="399"/>
      <c r="CC1134" s="399"/>
      <c r="CD1134" s="399"/>
      <c r="CE1134" s="399"/>
      <c r="CF1134" s="399"/>
      <c r="CG1134" s="399"/>
      <c r="CH1134" s="399"/>
      <c r="CI1134" s="399"/>
      <c r="CJ1134" s="399"/>
      <c r="CK1134" s="399"/>
      <c r="CL1134" s="399"/>
      <c r="CM1134" s="399"/>
      <c r="CN1134" s="399"/>
      <c r="CO1134" s="399"/>
      <c r="CP1134" s="399"/>
      <c r="CQ1134" s="399"/>
      <c r="CR1134" s="399"/>
      <c r="CS1134" s="399"/>
      <c r="CT1134" s="399"/>
      <c r="CU1134" s="399"/>
      <c r="CV1134" s="399"/>
      <c r="CW1134" s="399"/>
      <c r="CX1134" s="399"/>
      <c r="CY1134" s="399"/>
      <c r="CZ1134" s="399"/>
      <c r="DA1134" s="399"/>
      <c r="DB1134" s="399"/>
      <c r="DC1134" s="399"/>
      <c r="DD1134" s="399"/>
      <c r="DE1134" s="399"/>
      <c r="DF1134" s="399"/>
      <c r="DG1134" s="399"/>
      <c r="DH1134" s="399"/>
      <c r="DI1134" s="399"/>
      <c r="DJ1134" s="399"/>
      <c r="DK1134" s="399"/>
      <c r="DL1134" s="399"/>
      <c r="DM1134" s="399"/>
      <c r="DN1134" s="399"/>
      <c r="DO1134" s="399"/>
      <c r="DP1134" s="399"/>
      <c r="DQ1134" s="399"/>
    </row>
    <row r="1135" spans="1:121" s="760" customFormat="1" ht="14.45" customHeight="1" x14ac:dyDescent="0.25">
      <c r="A1135" s="266">
        <f t="shared" si="17"/>
        <v>64.933333333333337</v>
      </c>
      <c r="B1135" s="389">
        <v>40908</v>
      </c>
      <c r="C1135" s="390" t="s">
        <v>451</v>
      </c>
      <c r="D1135" s="391" t="s">
        <v>505</v>
      </c>
      <c r="E1135" s="390" t="s">
        <v>380</v>
      </c>
      <c r="F1135" s="262" t="s">
        <v>310</v>
      </c>
      <c r="G1135" s="262" t="s">
        <v>330</v>
      </c>
      <c r="H1135" s="261"/>
      <c r="I1135" s="261"/>
      <c r="J1135" s="261"/>
      <c r="K1135" s="261">
        <v>46</v>
      </c>
      <c r="L1135" s="261">
        <v>27</v>
      </c>
      <c r="M1135" s="261">
        <v>47</v>
      </c>
      <c r="N1135" s="261">
        <v>27</v>
      </c>
      <c r="O1135" s="261">
        <v>27</v>
      </c>
      <c r="P1135" s="261">
        <v>27</v>
      </c>
      <c r="Q1135" s="261">
        <v>27</v>
      </c>
      <c r="R1135" s="261"/>
      <c r="S1135" s="261"/>
      <c r="T1135" s="261"/>
      <c r="U1135" s="261"/>
      <c r="V1135" s="762"/>
      <c r="W1135" s="762"/>
      <c r="X1135" s="762"/>
      <c r="Y1135" s="264">
        <f>IF(NFI_Expiration=1,IF($A1135&lt;VLOOKUP(H$5,NFI,5,0),1,0)*Table_NFI[[#This Row],[Hygiene Kit]],Table_NFI[Hygiene Kit])</f>
        <v>0</v>
      </c>
      <c r="Z1135" s="264">
        <f>IF(NFI_Expiration=1,IF($A1135&lt;VLOOKUP(I$5,NFI,5,0),1,0)*Table_NFI[[#This Row],[NFI Core Kit]],Table_NFI[NFI Core Kit])</f>
        <v>0</v>
      </c>
      <c r="AA1135" s="264">
        <f>IF(NFI_Expiration=1,IF($A1135&lt;VLOOKUP(J$5,NFI,5,0),1,0)*Table_NFI[[#This Row],[Sanitary Kit]],Table_NFI[Sanitary Kit])</f>
        <v>0</v>
      </c>
      <c r="AB1135" s="264">
        <f>IF(NFI_Expiration=1,IF($A1135&lt;VLOOKUP(K$5,NFI,5,0),1,0)*Table_NFI[[#This Row],[Mosquito net]],Table_NFI[Mosquito net])</f>
        <v>0</v>
      </c>
      <c r="AC1135" s="264">
        <f>IF(NFI_Expiration=1,IF($A1135&lt;VLOOKUP(L$5,NFI,5,0),1,0)*Table_NFI[[#This Row],[Tarpaulin]],Table_NFI[[#This Row],[Tarpaulin]])</f>
        <v>0</v>
      </c>
      <c r="AD1135" s="264">
        <f>IF(NFI_Expiration=1,IF($A1135&lt;VLOOKUP(M$5,NFI,5,0),1,0)*Table_NFI[[#This Row],[Blanket]],Table_NFI[[#This Row],[Blanket]])</f>
        <v>0</v>
      </c>
      <c r="AE1135" s="264">
        <f>IF(NFI_Expiration=1,IF($A1135&lt;VLOOKUP(N$5,NFI,5,0),1,0)*Table_NFI[[#This Row],[Kitchen Set]],Table_NFI[Kitchen Set])</f>
        <v>0</v>
      </c>
      <c r="AF1135" s="264">
        <f>IF(NFI_Expiration=1,IF($A1135&lt;VLOOKUP(O$5,NFI,5,0),1,0)*Table_NFI[[#This Row],[Clothes Kit]],Table_NFI[Clothes Kit])</f>
        <v>0</v>
      </c>
      <c r="AG1135" s="264">
        <f>IF(NFI_Expiration=1,IF($A1135&lt;VLOOKUP(P$5,NFI,5,0),1,0)*Table_NFI[[#This Row],[Plastic Bucket]],Table_NFI[Plastic Bucket])</f>
        <v>0</v>
      </c>
      <c r="AH1135" s="264">
        <f>IF(NFI_Expiration=1,IF($A1135&lt;VLOOKUP(Q$5,NFI,5,0),1,0)*Table_NFI[[#This Row],[Plastic Mat]],Table_NFI[Plastic Mat])*IF(Table_NFI[[#This Row],[Distribution Date]]&gt;"2014-04-01",1,2.5)</f>
        <v>0</v>
      </c>
      <c r="AI1135" s="264">
        <f>IF(NFI_Expiration=1,IF($A1135&lt;VLOOKUP(R$5,NFI,5,0),1,0)*Table_NFI[[#This Row],[Winter Clothes Adult]],Table_NFI[Winter Clothes Adult])</f>
        <v>0</v>
      </c>
      <c r="AJ1135" s="264">
        <f>IF(NFI_Expiration=1,IF($A1135&lt;VLOOKUP(S$5,NFI,5,0),1,0)*Table_NFI[[#This Row],[Winter Clothes Children]],Table_NFI[Winter Clothes Children])</f>
        <v>0</v>
      </c>
      <c r="AK1135" s="264">
        <f>IF(NFI_Expiration=1,IF($A1135&lt;VLOOKUP(T$5,NFI,5,0),1,0)*Table_NFI[[#This Row],[Winter Items Other]],Table_NFI[Winter Items Other])</f>
        <v>0</v>
      </c>
      <c r="AL1135" s="264">
        <f>IF(NFI_Expiration=1,IF($A1135&lt;VLOOKUP(M$5,NFI,5,0),1,0)*Table_NFI[[#This Row],[Winter Blanket]],Table_NFI[[#This Row],[Winter Blanket]])</f>
        <v>0</v>
      </c>
      <c r="AM1135" s="264">
        <f>IF(Table_NFI[[#This Row],[Winter Clothes Adult]]+Table_NFI[[#This Row],[Winter Clothes Children]]+Table_NFI[[#This Row],[Winter Items Other]]+Table_NFI[[#This Row],[Winter Blanket]]&gt;0,1,0)</f>
        <v>0</v>
      </c>
      <c r="AN1135" s="296">
        <f>IF(NFI_Expiration=1,IF($A1135&lt;VLOOKUP(V$5,NFI,5,0),1,0)*Table_NFI[[#This Row],[Jerry Can]],Table_NFI[Jerry Can])</f>
        <v>0</v>
      </c>
      <c r="AO1135" s="296">
        <f>IF(NFI_Expiration=1,IF($A1135&lt;VLOOKUP(V$5,NFI,5,0),1,0)*Table_NFI[[#This Row],[Shelter Tool kit]],Table_NFI[Shelter Tool kit])</f>
        <v>0</v>
      </c>
      <c r="AP1135" s="296">
        <f>IF(NFI_Expiration=1,IF($A1135&lt;VLOOKUP(V$5,NFI,5,0),1,0)*Table_NFI[[#This Row],[Tent]],Table_NFI[Tent])</f>
        <v>0</v>
      </c>
      <c r="AQ1135" s="396" t="str">
        <f>IFERROR(VLOOKUP(Table_NFI[[#This Row],[Camp Name]],CL,2,0),"")</f>
        <v>MMR001CMP029</v>
      </c>
      <c r="AR1135" s="702">
        <f ca="1">IF(Table_NFI[[#This Row],[Pcode]]="","",IF(OFFSET(CampList[Opening Date],MATCH(Table_NFI[[#This Row],[Pcode]],CampList[CP_Pcode],0)-1,0,1,1)&gt;=NFI_Monitor_Date,1,0))</f>
        <v>0</v>
      </c>
      <c r="AS1135" s="396" t="str">
        <f>IFERROR(VLOOKUP(Table_NFI[[#This Row],[Camp Name]],CL,3,0),"")</f>
        <v>Open</v>
      </c>
      <c r="AT1135" s="264" t="str">
        <f ca="1">IF(Table_NFI[[#This Row],[Pcode]]="","",OFFSET(CampList[Priority],MATCH(Table_NFI[[#This Row],[Pcode]],CampList[CP_Pcode],0)-1,0,1,1))</f>
        <v>P4</v>
      </c>
      <c r="AU1135" s="263">
        <f>IFERROR(Table_NFI[[#This Row],[Kitchen Set]]/VLOOKUP(Table_NFI[[#This Row],[Camp Name]],CL,4,0),"")</f>
        <v>6.5176459228503839E-4</v>
      </c>
      <c r="AV1135" s="390" t="s">
        <v>1087</v>
      </c>
      <c r="AW1135" s="392"/>
      <c r="AX1135" s="399"/>
      <c r="AY1135" s="399"/>
      <c r="AZ1135" s="399"/>
      <c r="BA1135" s="399"/>
      <c r="BB1135" s="399"/>
      <c r="BC1135" s="399"/>
      <c r="BD1135" s="399"/>
      <c r="BE1135" s="399"/>
      <c r="BF1135" s="399"/>
      <c r="BG1135" s="399"/>
      <c r="BH1135" s="399"/>
      <c r="BI1135" s="399"/>
      <c r="BJ1135" s="399"/>
      <c r="BK1135" s="399"/>
      <c r="BL1135" s="399"/>
      <c r="BM1135" s="399"/>
      <c r="BN1135" s="399"/>
      <c r="BO1135" s="399"/>
      <c r="BP1135" s="399"/>
      <c r="BQ1135" s="399"/>
      <c r="BR1135" s="399"/>
      <c r="BS1135" s="399"/>
      <c r="BT1135" s="399"/>
      <c r="BU1135" s="399"/>
      <c r="BV1135" s="399"/>
      <c r="BW1135" s="399"/>
      <c r="BX1135" s="399"/>
      <c r="BY1135" s="399"/>
      <c r="BZ1135" s="399"/>
      <c r="CA1135" s="399"/>
      <c r="CB1135" s="399"/>
      <c r="CC1135" s="399"/>
      <c r="CD1135" s="399"/>
      <c r="CE1135" s="399"/>
      <c r="CF1135" s="399"/>
      <c r="CG1135" s="399"/>
      <c r="CH1135" s="399"/>
      <c r="CI1135" s="399"/>
      <c r="CJ1135" s="399"/>
      <c r="CK1135" s="399"/>
      <c r="CL1135" s="399"/>
      <c r="CM1135" s="399"/>
      <c r="CN1135" s="399"/>
      <c r="CO1135" s="399"/>
      <c r="CP1135" s="399"/>
      <c r="CQ1135" s="399"/>
      <c r="CR1135" s="399"/>
      <c r="CS1135" s="399"/>
      <c r="CT1135" s="399"/>
      <c r="CU1135" s="399"/>
      <c r="CV1135" s="399"/>
      <c r="CW1135" s="399"/>
      <c r="CX1135" s="399"/>
      <c r="CY1135" s="399"/>
      <c r="CZ1135" s="399"/>
      <c r="DA1135" s="399"/>
      <c r="DB1135" s="399"/>
      <c r="DC1135" s="399"/>
      <c r="DD1135" s="399"/>
      <c r="DE1135" s="399"/>
      <c r="DF1135" s="399"/>
      <c r="DG1135" s="399"/>
      <c r="DH1135" s="399"/>
      <c r="DI1135" s="399"/>
      <c r="DJ1135" s="399"/>
      <c r="DK1135" s="399"/>
      <c r="DL1135" s="399"/>
      <c r="DM1135" s="399"/>
      <c r="DN1135" s="399"/>
      <c r="DO1135" s="399"/>
      <c r="DP1135" s="399"/>
      <c r="DQ1135" s="399"/>
    </row>
    <row r="1136" spans="1:121" s="760" customFormat="1" ht="14.45" customHeight="1" x14ac:dyDescent="0.25">
      <c r="A1136" s="266">
        <f t="shared" si="17"/>
        <v>64.966666666666669</v>
      </c>
      <c r="B1136" s="389">
        <v>40907</v>
      </c>
      <c r="C1136" s="390" t="s">
        <v>451</v>
      </c>
      <c r="D1136" s="391" t="s">
        <v>459</v>
      </c>
      <c r="E1136" s="390" t="s">
        <v>380</v>
      </c>
      <c r="F1136" s="262" t="s">
        <v>237</v>
      </c>
      <c r="G1136" s="262" t="s">
        <v>253</v>
      </c>
      <c r="H1136" s="261"/>
      <c r="I1136" s="261"/>
      <c r="J1136" s="261"/>
      <c r="K1136" s="261">
        <v>56</v>
      </c>
      <c r="L1136" s="261">
        <v>29</v>
      </c>
      <c r="M1136" s="261">
        <v>56</v>
      </c>
      <c r="N1136" s="261">
        <v>29</v>
      </c>
      <c r="O1136" s="261">
        <v>29</v>
      </c>
      <c r="P1136" s="261">
        <v>29</v>
      </c>
      <c r="Q1136" s="261">
        <v>29</v>
      </c>
      <c r="R1136" s="261"/>
      <c r="S1136" s="261"/>
      <c r="T1136" s="261"/>
      <c r="U1136" s="261"/>
      <c r="V1136" s="762"/>
      <c r="W1136" s="762"/>
      <c r="X1136" s="762"/>
      <c r="Y1136" s="264">
        <f>IF(NFI_Expiration=1,IF($A1136&lt;VLOOKUP(H$5,NFI,5,0),1,0)*Table_NFI[[#This Row],[Hygiene Kit]],Table_NFI[Hygiene Kit])</f>
        <v>0</v>
      </c>
      <c r="Z1136" s="264">
        <f>IF(NFI_Expiration=1,IF($A1136&lt;VLOOKUP(I$5,NFI,5,0),1,0)*Table_NFI[[#This Row],[NFI Core Kit]],Table_NFI[NFI Core Kit])</f>
        <v>0</v>
      </c>
      <c r="AA1136" s="264">
        <f>IF(NFI_Expiration=1,IF($A1136&lt;VLOOKUP(J$5,NFI,5,0),1,0)*Table_NFI[[#This Row],[Sanitary Kit]],Table_NFI[Sanitary Kit])</f>
        <v>0</v>
      </c>
      <c r="AB1136" s="264">
        <f>IF(NFI_Expiration=1,IF($A1136&lt;VLOOKUP(K$5,NFI,5,0),1,0)*Table_NFI[[#This Row],[Mosquito net]],Table_NFI[Mosquito net])</f>
        <v>0</v>
      </c>
      <c r="AC1136" s="264">
        <f>IF(NFI_Expiration=1,IF($A1136&lt;VLOOKUP(L$5,NFI,5,0),1,0)*Table_NFI[[#This Row],[Tarpaulin]],Table_NFI[[#This Row],[Tarpaulin]])</f>
        <v>0</v>
      </c>
      <c r="AD1136" s="264">
        <f>IF(NFI_Expiration=1,IF($A1136&lt;VLOOKUP(M$5,NFI,5,0),1,0)*Table_NFI[[#This Row],[Blanket]],Table_NFI[[#This Row],[Blanket]])</f>
        <v>0</v>
      </c>
      <c r="AE1136" s="264">
        <f>IF(NFI_Expiration=1,IF($A1136&lt;VLOOKUP(N$5,NFI,5,0),1,0)*Table_NFI[[#This Row],[Kitchen Set]],Table_NFI[Kitchen Set])</f>
        <v>0</v>
      </c>
      <c r="AF1136" s="264">
        <f>IF(NFI_Expiration=1,IF($A1136&lt;VLOOKUP(O$5,NFI,5,0),1,0)*Table_NFI[[#This Row],[Clothes Kit]],Table_NFI[Clothes Kit])</f>
        <v>0</v>
      </c>
      <c r="AG1136" s="264">
        <f>IF(NFI_Expiration=1,IF($A1136&lt;VLOOKUP(P$5,NFI,5,0),1,0)*Table_NFI[[#This Row],[Plastic Bucket]],Table_NFI[Plastic Bucket])</f>
        <v>0</v>
      </c>
      <c r="AH1136" s="264">
        <f>IF(NFI_Expiration=1,IF($A1136&lt;VLOOKUP(Q$5,NFI,5,0),1,0)*Table_NFI[[#This Row],[Plastic Mat]],Table_NFI[Plastic Mat])*IF(Table_NFI[[#This Row],[Distribution Date]]&gt;"2014-04-01",1,2.5)</f>
        <v>0</v>
      </c>
      <c r="AI1136" s="264">
        <f>IF(NFI_Expiration=1,IF($A1136&lt;VLOOKUP(R$5,NFI,5,0),1,0)*Table_NFI[[#This Row],[Winter Clothes Adult]],Table_NFI[Winter Clothes Adult])</f>
        <v>0</v>
      </c>
      <c r="AJ1136" s="264">
        <f>IF(NFI_Expiration=1,IF($A1136&lt;VLOOKUP(S$5,NFI,5,0),1,0)*Table_NFI[[#This Row],[Winter Clothes Children]],Table_NFI[Winter Clothes Children])</f>
        <v>0</v>
      </c>
      <c r="AK1136" s="264">
        <f>IF(NFI_Expiration=1,IF($A1136&lt;VLOOKUP(T$5,NFI,5,0),1,0)*Table_NFI[[#This Row],[Winter Items Other]],Table_NFI[Winter Items Other])</f>
        <v>0</v>
      </c>
      <c r="AL1136" s="264">
        <f>IF(NFI_Expiration=1,IF($A1136&lt;VLOOKUP(M$5,NFI,5,0),1,0)*Table_NFI[[#This Row],[Winter Blanket]],Table_NFI[[#This Row],[Winter Blanket]])</f>
        <v>0</v>
      </c>
      <c r="AM1136" s="264">
        <f>IF(Table_NFI[[#This Row],[Winter Clothes Adult]]+Table_NFI[[#This Row],[Winter Clothes Children]]+Table_NFI[[#This Row],[Winter Items Other]]+Table_NFI[[#This Row],[Winter Blanket]]&gt;0,1,0)</f>
        <v>0</v>
      </c>
      <c r="AN1136" s="296">
        <f>IF(NFI_Expiration=1,IF($A1136&lt;VLOOKUP(V$5,NFI,5,0),1,0)*Table_NFI[[#This Row],[Jerry Can]],Table_NFI[Jerry Can])</f>
        <v>0</v>
      </c>
      <c r="AO1136" s="296">
        <f>IF(NFI_Expiration=1,IF($A1136&lt;VLOOKUP(V$5,NFI,5,0),1,0)*Table_NFI[[#This Row],[Shelter Tool kit]],Table_NFI[Shelter Tool kit])</f>
        <v>0</v>
      </c>
      <c r="AP1136" s="296">
        <f>IF(NFI_Expiration=1,IF($A1136&lt;VLOOKUP(V$5,NFI,5,0),1,0)*Table_NFI[[#This Row],[Tent]],Table_NFI[Tent])</f>
        <v>0</v>
      </c>
      <c r="AQ1136" s="396" t="str">
        <f>IFERROR(VLOOKUP(Table_NFI[[#This Row],[Camp Name]],CL,2,0),"")</f>
        <v>MMR001CMP018</v>
      </c>
      <c r="AR1136" s="702">
        <f ca="1">IF(Table_NFI[[#This Row],[Pcode]]="","",IF(OFFSET(CampList[Opening Date],MATCH(Table_NFI[[#This Row],[Pcode]],CampList[CP_Pcode],0)-1,0,1,1)&gt;=NFI_Monitor_Date,1,0))</f>
        <v>0</v>
      </c>
      <c r="AS1136" s="396" t="str">
        <f>IFERROR(VLOOKUP(Table_NFI[[#This Row],[Camp Name]],CL,3,0),"")</f>
        <v>Open</v>
      </c>
      <c r="AT1136" s="264" t="str">
        <f ca="1">IF(Table_NFI[[#This Row],[Pcode]]="","",OFFSET(CampList[Priority],MATCH(Table_NFI[[#This Row],[Pcode]],CampList[CP_Pcode],0)-1,0,1,1))</f>
        <v>P4</v>
      </c>
      <c r="AU1136" s="263">
        <f>IFERROR(Table_NFI[[#This Row],[Kitchen Set]]/VLOOKUP(Table_NFI[[#This Row],[Camp Name]],CL,4,0),"")</f>
        <v>7.1209330877839165E-4</v>
      </c>
      <c r="AV1136" s="390" t="s">
        <v>1087</v>
      </c>
      <c r="AW1136" s="392"/>
      <c r="AX1136" s="399"/>
      <c r="AY1136" s="399"/>
      <c r="AZ1136" s="399"/>
      <c r="BA1136" s="399"/>
      <c r="BB1136" s="399"/>
      <c r="BC1136" s="399"/>
      <c r="BD1136" s="399"/>
      <c r="BE1136" s="399"/>
      <c r="BF1136" s="399"/>
      <c r="BG1136" s="399"/>
      <c r="BH1136" s="399"/>
      <c r="BI1136" s="399"/>
      <c r="BJ1136" s="399"/>
      <c r="BK1136" s="399"/>
      <c r="BL1136" s="399"/>
      <c r="BM1136" s="399"/>
      <c r="BN1136" s="399"/>
      <c r="BO1136" s="399"/>
      <c r="BP1136" s="399"/>
      <c r="BQ1136" s="399"/>
      <c r="BR1136" s="399"/>
      <c r="BS1136" s="399"/>
      <c r="BT1136" s="399"/>
      <c r="BU1136" s="399"/>
      <c r="BV1136" s="399"/>
      <c r="BW1136" s="399"/>
      <c r="BX1136" s="399"/>
      <c r="BY1136" s="399"/>
      <c r="BZ1136" s="399"/>
      <c r="CA1136" s="399"/>
      <c r="CB1136" s="399"/>
      <c r="CC1136" s="399"/>
      <c r="CD1136" s="399"/>
      <c r="CE1136" s="399"/>
      <c r="CF1136" s="399"/>
      <c r="CG1136" s="399"/>
      <c r="CH1136" s="399"/>
      <c r="CI1136" s="399"/>
      <c r="CJ1136" s="399"/>
      <c r="CK1136" s="399"/>
      <c r="CL1136" s="399"/>
      <c r="CM1136" s="399"/>
      <c r="CN1136" s="399"/>
      <c r="CO1136" s="399"/>
      <c r="CP1136" s="399"/>
      <c r="CQ1136" s="399"/>
      <c r="CR1136" s="399"/>
      <c r="CS1136" s="399"/>
      <c r="CT1136" s="399"/>
      <c r="CU1136" s="399"/>
      <c r="CV1136" s="399"/>
      <c r="CW1136" s="399"/>
      <c r="CX1136" s="399"/>
      <c r="CY1136" s="399"/>
      <c r="CZ1136" s="399"/>
      <c r="DA1136" s="399"/>
      <c r="DB1136" s="399"/>
      <c r="DC1136" s="399"/>
      <c r="DD1136" s="399"/>
      <c r="DE1136" s="399"/>
      <c r="DF1136" s="399"/>
      <c r="DG1136" s="399"/>
      <c r="DH1136" s="399"/>
      <c r="DI1136" s="399"/>
      <c r="DJ1136" s="399"/>
      <c r="DK1136" s="399"/>
      <c r="DL1136" s="399"/>
      <c r="DM1136" s="399"/>
      <c r="DN1136" s="399"/>
      <c r="DO1136" s="399"/>
      <c r="DP1136" s="399"/>
      <c r="DQ1136" s="399"/>
    </row>
    <row r="1137" spans="1:121" s="760" customFormat="1" ht="14.45" customHeight="1" x14ac:dyDescent="0.25">
      <c r="A1137" s="266">
        <f t="shared" si="17"/>
        <v>65.033333333333331</v>
      </c>
      <c r="B1137" s="389">
        <v>40905</v>
      </c>
      <c r="C1137" s="390" t="s">
        <v>451</v>
      </c>
      <c r="D1137" s="390" t="s">
        <v>902</v>
      </c>
      <c r="E1137" s="390" t="s">
        <v>380</v>
      </c>
      <c r="F1137" s="390" t="s">
        <v>310</v>
      </c>
      <c r="G1137" s="262" t="s">
        <v>313</v>
      </c>
      <c r="H1137" s="261"/>
      <c r="I1137" s="261"/>
      <c r="J1137" s="261"/>
      <c r="K1137" s="261">
        <v>31</v>
      </c>
      <c r="L1137" s="261">
        <v>19</v>
      </c>
      <c r="M1137" s="261">
        <v>31</v>
      </c>
      <c r="N1137" s="261">
        <v>19</v>
      </c>
      <c r="O1137" s="261">
        <v>19</v>
      </c>
      <c r="P1137" s="261">
        <v>19</v>
      </c>
      <c r="Q1137" s="261">
        <v>19</v>
      </c>
      <c r="R1137" s="261"/>
      <c r="S1137" s="261"/>
      <c r="T1137" s="261"/>
      <c r="U1137" s="261"/>
      <c r="V1137" s="762"/>
      <c r="W1137" s="762"/>
      <c r="X1137" s="762"/>
      <c r="Y1137" s="264">
        <f>IF(NFI_Expiration=1,IF($A1137&lt;VLOOKUP(H$5,NFI,5,0),1,0)*Table_NFI[[#This Row],[Hygiene Kit]],Table_NFI[Hygiene Kit])</f>
        <v>0</v>
      </c>
      <c r="Z1137" s="264">
        <f>IF(NFI_Expiration=1,IF($A1137&lt;VLOOKUP(I$5,NFI,5,0),1,0)*Table_NFI[[#This Row],[NFI Core Kit]],Table_NFI[NFI Core Kit])</f>
        <v>0</v>
      </c>
      <c r="AA1137" s="264">
        <f>IF(NFI_Expiration=1,IF($A1137&lt;VLOOKUP(J$5,NFI,5,0),1,0)*Table_NFI[[#This Row],[Sanitary Kit]],Table_NFI[Sanitary Kit])</f>
        <v>0</v>
      </c>
      <c r="AB1137" s="264">
        <f>IF(NFI_Expiration=1,IF($A1137&lt;VLOOKUP(K$5,NFI,5,0),1,0)*Table_NFI[[#This Row],[Mosquito net]],Table_NFI[Mosquito net])</f>
        <v>0</v>
      </c>
      <c r="AC1137" s="264">
        <f>IF(NFI_Expiration=1,IF($A1137&lt;VLOOKUP(L$5,NFI,5,0),1,0)*Table_NFI[[#This Row],[Tarpaulin]],Table_NFI[[#This Row],[Tarpaulin]])</f>
        <v>0</v>
      </c>
      <c r="AD1137" s="264">
        <f>IF(NFI_Expiration=1,IF($A1137&lt;VLOOKUP(M$5,NFI,5,0),1,0)*Table_NFI[[#This Row],[Blanket]],Table_NFI[[#This Row],[Blanket]])</f>
        <v>0</v>
      </c>
      <c r="AE1137" s="264">
        <f>IF(NFI_Expiration=1,IF($A1137&lt;VLOOKUP(N$5,NFI,5,0),1,0)*Table_NFI[[#This Row],[Kitchen Set]],Table_NFI[Kitchen Set])</f>
        <v>0</v>
      </c>
      <c r="AF1137" s="264">
        <f>IF(NFI_Expiration=1,IF($A1137&lt;VLOOKUP(O$5,NFI,5,0),1,0)*Table_NFI[[#This Row],[Clothes Kit]],Table_NFI[Clothes Kit])</f>
        <v>0</v>
      </c>
      <c r="AG1137" s="264">
        <f>IF(NFI_Expiration=1,IF($A1137&lt;VLOOKUP(P$5,NFI,5,0),1,0)*Table_NFI[[#This Row],[Plastic Bucket]],Table_NFI[Plastic Bucket])</f>
        <v>0</v>
      </c>
      <c r="AH1137" s="264">
        <f>IF(NFI_Expiration=1,IF($A1137&lt;VLOOKUP(Q$5,NFI,5,0),1,0)*Table_NFI[[#This Row],[Plastic Mat]],Table_NFI[Plastic Mat])*IF(Table_NFI[[#This Row],[Distribution Date]]&gt;"2014-04-01",1,2.5)</f>
        <v>0</v>
      </c>
      <c r="AI1137" s="264">
        <f>IF(NFI_Expiration=1,IF($A1137&lt;VLOOKUP(R$5,NFI,5,0),1,0)*Table_NFI[[#This Row],[Winter Clothes Adult]],Table_NFI[Winter Clothes Adult])</f>
        <v>0</v>
      </c>
      <c r="AJ1137" s="264">
        <f>IF(NFI_Expiration=1,IF($A1137&lt;VLOOKUP(S$5,NFI,5,0),1,0)*Table_NFI[[#This Row],[Winter Clothes Children]],Table_NFI[Winter Clothes Children])</f>
        <v>0</v>
      </c>
      <c r="AK1137" s="264">
        <f>IF(NFI_Expiration=1,IF($A1137&lt;VLOOKUP(T$5,NFI,5,0),1,0)*Table_NFI[[#This Row],[Winter Items Other]],Table_NFI[Winter Items Other])</f>
        <v>0</v>
      </c>
      <c r="AL1137" s="264">
        <f>IF(NFI_Expiration=1,IF($A1137&lt;VLOOKUP(M$5,NFI,5,0),1,0)*Table_NFI[[#This Row],[Winter Blanket]],Table_NFI[[#This Row],[Winter Blanket]])</f>
        <v>0</v>
      </c>
      <c r="AM1137" s="264">
        <f>IF(Table_NFI[[#This Row],[Winter Clothes Adult]]+Table_NFI[[#This Row],[Winter Clothes Children]]+Table_NFI[[#This Row],[Winter Items Other]]+Table_NFI[[#This Row],[Winter Blanket]]&gt;0,1,0)</f>
        <v>0</v>
      </c>
      <c r="AN1137" s="296">
        <f>IF(NFI_Expiration=1,IF($A1137&lt;VLOOKUP(V$5,NFI,5,0),1,0)*Table_NFI[[#This Row],[Jerry Can]],Table_NFI[Jerry Can])</f>
        <v>0</v>
      </c>
      <c r="AO1137" s="296">
        <f>IF(NFI_Expiration=1,IF($A1137&lt;VLOOKUP(V$5,NFI,5,0),1,0)*Table_NFI[[#This Row],[Shelter Tool kit]],Table_NFI[Shelter Tool kit])</f>
        <v>0</v>
      </c>
      <c r="AP1137" s="296">
        <f>IF(NFI_Expiration=1,IF($A1137&lt;VLOOKUP(V$5,NFI,5,0),1,0)*Table_NFI[[#This Row],[Tent]],Table_NFI[Tent])</f>
        <v>0</v>
      </c>
      <c r="AQ1137" s="396" t="str">
        <f>IFERROR(VLOOKUP(Table_NFI[[#This Row],[Camp Name]],CL,2,0),"")</f>
        <v>MMR001CMP028</v>
      </c>
      <c r="AR1137" s="702">
        <f ca="1">IF(Table_NFI[[#This Row],[Pcode]]="","",IF(OFFSET(CampList[Opening Date],MATCH(Table_NFI[[#This Row],[Pcode]],CampList[CP_Pcode],0)-1,0,1,1)&gt;=NFI_Monitor_Date,1,0))</f>
        <v>0</v>
      </c>
      <c r="AS1137" s="396" t="str">
        <f>IFERROR(VLOOKUP(Table_NFI[[#This Row],[Camp Name]],CL,3,0),"")</f>
        <v>Open</v>
      </c>
      <c r="AT1137" s="264" t="str">
        <f ca="1">IF(Table_NFI[[#This Row],[Pcode]]="","",OFFSET(CampList[Priority],MATCH(Table_NFI[[#This Row],[Pcode]],CampList[CP_Pcode],0)-1,0,1,1))</f>
        <v>P4</v>
      </c>
      <c r="AU1137" s="263">
        <f>IFERROR(Table_NFI[[#This Row],[Kitchen Set]]/VLOOKUP(Table_NFI[[#This Row],[Camp Name]],CL,4,0),"")</f>
        <v>4.6688782405700946E-4</v>
      </c>
      <c r="AV1137" s="390" t="s">
        <v>1087</v>
      </c>
      <c r="AW1137" s="392"/>
      <c r="AX1137" s="399"/>
      <c r="AY1137" s="399"/>
      <c r="AZ1137" s="399"/>
      <c r="BA1137" s="399"/>
      <c r="BB1137" s="399"/>
      <c r="BC1137" s="399"/>
      <c r="BD1137" s="399"/>
      <c r="BE1137" s="399"/>
      <c r="BF1137" s="399"/>
      <c r="BG1137" s="399"/>
      <c r="BH1137" s="399"/>
      <c r="BI1137" s="399"/>
      <c r="BJ1137" s="399"/>
      <c r="BK1137" s="399"/>
      <c r="BL1137" s="399"/>
      <c r="BM1137" s="399"/>
      <c r="BN1137" s="399"/>
      <c r="BO1137" s="399"/>
      <c r="BP1137" s="399"/>
      <c r="BQ1137" s="399"/>
      <c r="BR1137" s="399"/>
      <c r="BS1137" s="399"/>
      <c r="BT1137" s="399"/>
      <c r="BU1137" s="399"/>
      <c r="BV1137" s="399"/>
      <c r="BW1137" s="399"/>
      <c r="BX1137" s="399"/>
      <c r="BY1137" s="399"/>
      <c r="BZ1137" s="399"/>
      <c r="CA1137" s="399"/>
      <c r="CB1137" s="399"/>
      <c r="CC1137" s="399"/>
      <c r="CD1137" s="399"/>
      <c r="CE1137" s="399"/>
      <c r="CF1137" s="399"/>
      <c r="CG1137" s="399"/>
      <c r="CH1137" s="399"/>
      <c r="CI1137" s="399"/>
      <c r="CJ1137" s="399"/>
      <c r="CK1137" s="399"/>
      <c r="CL1137" s="399"/>
      <c r="CM1137" s="399"/>
      <c r="CN1137" s="399"/>
      <c r="CO1137" s="399"/>
      <c r="CP1137" s="399"/>
      <c r="CQ1137" s="399"/>
      <c r="CR1137" s="399"/>
      <c r="CS1137" s="399"/>
      <c r="CT1137" s="399"/>
      <c r="CU1137" s="399"/>
      <c r="CV1137" s="399"/>
      <c r="CW1137" s="399"/>
      <c r="CX1137" s="399"/>
      <c r="CY1137" s="399"/>
      <c r="CZ1137" s="399"/>
      <c r="DA1137" s="399"/>
      <c r="DB1137" s="399"/>
      <c r="DC1137" s="399"/>
      <c r="DD1137" s="399"/>
      <c r="DE1137" s="399"/>
      <c r="DF1137" s="399"/>
      <c r="DG1137" s="399"/>
      <c r="DH1137" s="399"/>
      <c r="DI1137" s="399"/>
      <c r="DJ1137" s="399"/>
      <c r="DK1137" s="399"/>
      <c r="DL1137" s="399"/>
      <c r="DM1137" s="399"/>
      <c r="DN1137" s="399"/>
      <c r="DO1137" s="399"/>
      <c r="DP1137" s="399"/>
      <c r="DQ1137" s="399"/>
    </row>
    <row r="1138" spans="1:121" s="760" customFormat="1" ht="14.45" customHeight="1" x14ac:dyDescent="0.25">
      <c r="A1138" s="266">
        <f t="shared" si="17"/>
        <v>65.099999999999994</v>
      </c>
      <c r="B1138" s="389">
        <v>40903</v>
      </c>
      <c r="C1138" s="390" t="s">
        <v>451</v>
      </c>
      <c r="D1138" s="390" t="s">
        <v>459</v>
      </c>
      <c r="E1138" s="390" t="s">
        <v>380</v>
      </c>
      <c r="F1138" s="262" t="s">
        <v>310</v>
      </c>
      <c r="G1138" s="262" t="s">
        <v>342</v>
      </c>
      <c r="H1138" s="261"/>
      <c r="I1138" s="261"/>
      <c r="J1138" s="261"/>
      <c r="K1138" s="261">
        <v>54</v>
      </c>
      <c r="L1138" s="261">
        <v>33</v>
      </c>
      <c r="M1138" s="261">
        <v>54</v>
      </c>
      <c r="N1138" s="261">
        <v>33</v>
      </c>
      <c r="O1138" s="261">
        <v>33</v>
      </c>
      <c r="P1138" s="261">
        <v>33</v>
      </c>
      <c r="Q1138" s="261">
        <v>33</v>
      </c>
      <c r="R1138" s="261"/>
      <c r="S1138" s="261"/>
      <c r="T1138" s="261"/>
      <c r="U1138" s="261"/>
      <c r="V1138" s="762"/>
      <c r="W1138" s="762"/>
      <c r="X1138" s="762"/>
      <c r="Y1138" s="264">
        <f>IF(NFI_Expiration=1,IF($A1138&lt;VLOOKUP(H$5,NFI,5,0),1,0)*Table_NFI[[#This Row],[Hygiene Kit]],Table_NFI[Hygiene Kit])</f>
        <v>0</v>
      </c>
      <c r="Z1138" s="264">
        <f>IF(NFI_Expiration=1,IF($A1138&lt;VLOOKUP(I$5,NFI,5,0),1,0)*Table_NFI[[#This Row],[NFI Core Kit]],Table_NFI[NFI Core Kit])</f>
        <v>0</v>
      </c>
      <c r="AA1138" s="264">
        <f>IF(NFI_Expiration=1,IF($A1138&lt;VLOOKUP(J$5,NFI,5,0),1,0)*Table_NFI[[#This Row],[Sanitary Kit]],Table_NFI[Sanitary Kit])</f>
        <v>0</v>
      </c>
      <c r="AB1138" s="264">
        <f>IF(NFI_Expiration=1,IF($A1138&lt;VLOOKUP(K$5,NFI,5,0),1,0)*Table_NFI[[#This Row],[Mosquito net]],Table_NFI[Mosquito net])</f>
        <v>0</v>
      </c>
      <c r="AC1138" s="264">
        <f>IF(NFI_Expiration=1,IF($A1138&lt;VLOOKUP(L$5,NFI,5,0),1,0)*Table_NFI[[#This Row],[Tarpaulin]],Table_NFI[[#This Row],[Tarpaulin]])</f>
        <v>0</v>
      </c>
      <c r="AD1138" s="264">
        <f>IF(NFI_Expiration=1,IF($A1138&lt;VLOOKUP(M$5,NFI,5,0),1,0)*Table_NFI[[#This Row],[Blanket]],Table_NFI[[#This Row],[Blanket]])</f>
        <v>0</v>
      </c>
      <c r="AE1138" s="264">
        <f>IF(NFI_Expiration=1,IF($A1138&lt;VLOOKUP(N$5,NFI,5,0),1,0)*Table_NFI[[#This Row],[Kitchen Set]],Table_NFI[Kitchen Set])</f>
        <v>0</v>
      </c>
      <c r="AF1138" s="264">
        <f>IF(NFI_Expiration=1,IF($A1138&lt;VLOOKUP(O$5,NFI,5,0),1,0)*Table_NFI[[#This Row],[Clothes Kit]],Table_NFI[Clothes Kit])</f>
        <v>0</v>
      </c>
      <c r="AG1138" s="264">
        <f>IF(NFI_Expiration=1,IF($A1138&lt;VLOOKUP(P$5,NFI,5,0),1,0)*Table_NFI[[#This Row],[Plastic Bucket]],Table_NFI[Plastic Bucket])</f>
        <v>0</v>
      </c>
      <c r="AH1138" s="264">
        <f>IF(NFI_Expiration=1,IF($A1138&lt;VLOOKUP(Q$5,NFI,5,0),1,0)*Table_NFI[[#This Row],[Plastic Mat]],Table_NFI[Plastic Mat])*IF(Table_NFI[[#This Row],[Distribution Date]]&gt;"2014-04-01",1,2.5)</f>
        <v>0</v>
      </c>
      <c r="AI1138" s="264">
        <f>IF(NFI_Expiration=1,IF($A1138&lt;VLOOKUP(R$5,NFI,5,0),1,0)*Table_NFI[[#This Row],[Winter Clothes Adult]],Table_NFI[Winter Clothes Adult])</f>
        <v>0</v>
      </c>
      <c r="AJ1138" s="264">
        <f>IF(NFI_Expiration=1,IF($A1138&lt;VLOOKUP(S$5,NFI,5,0),1,0)*Table_NFI[[#This Row],[Winter Clothes Children]],Table_NFI[Winter Clothes Children])</f>
        <v>0</v>
      </c>
      <c r="AK1138" s="264">
        <f>IF(NFI_Expiration=1,IF($A1138&lt;VLOOKUP(T$5,NFI,5,0),1,0)*Table_NFI[[#This Row],[Winter Items Other]],Table_NFI[Winter Items Other])</f>
        <v>0</v>
      </c>
      <c r="AL1138" s="264">
        <f>IF(NFI_Expiration=1,IF($A1138&lt;VLOOKUP(M$5,NFI,5,0),1,0)*Table_NFI[[#This Row],[Winter Blanket]],Table_NFI[[#This Row],[Winter Blanket]])</f>
        <v>0</v>
      </c>
      <c r="AM1138" s="264">
        <f>IF(Table_NFI[[#This Row],[Winter Clothes Adult]]+Table_NFI[[#This Row],[Winter Clothes Children]]+Table_NFI[[#This Row],[Winter Items Other]]+Table_NFI[[#This Row],[Winter Blanket]]&gt;0,1,0)</f>
        <v>0</v>
      </c>
      <c r="AN1138" s="296">
        <f>IF(NFI_Expiration=1,IF($A1138&lt;VLOOKUP(V$5,NFI,5,0),1,0)*Table_NFI[[#This Row],[Jerry Can]],Table_NFI[Jerry Can])</f>
        <v>0</v>
      </c>
      <c r="AO1138" s="296">
        <f>IF(NFI_Expiration=1,IF($A1138&lt;VLOOKUP(V$5,NFI,5,0),1,0)*Table_NFI[[#This Row],[Shelter Tool kit]],Table_NFI[Shelter Tool kit])</f>
        <v>0</v>
      </c>
      <c r="AP1138" s="296">
        <f>IF(NFI_Expiration=1,IF($A1138&lt;VLOOKUP(V$5,NFI,5,0),1,0)*Table_NFI[[#This Row],[Tent]],Table_NFI[Tent])</f>
        <v>0</v>
      </c>
      <c r="AQ1138" s="396" t="str">
        <f>IFERROR(VLOOKUP(Table_NFI[[#This Row],[Camp Name]],CL,2,0),"")</f>
        <v>MMR001CMP025</v>
      </c>
      <c r="AR1138" s="702">
        <f ca="1">IF(Table_NFI[[#This Row],[Pcode]]="","",IF(OFFSET(CampList[Opening Date],MATCH(Table_NFI[[#This Row],[Pcode]],CampList[CP_Pcode],0)-1,0,1,1)&gt;=NFI_Monitor_Date,1,0))</f>
        <v>0</v>
      </c>
      <c r="AS1138" s="396" t="str">
        <f>IFERROR(VLOOKUP(Table_NFI[[#This Row],[Camp Name]],CL,3,0),"")</f>
        <v>Open</v>
      </c>
      <c r="AT1138" s="264" t="str">
        <f ca="1">IF(Table_NFI[[#This Row],[Pcode]]="","",OFFSET(CampList[Priority],MATCH(Table_NFI[[#This Row],[Pcode]],CampList[CP_Pcode],0)-1,0,1,1))</f>
        <v>P4</v>
      </c>
      <c r="AU1138" s="263">
        <f>IFERROR(Table_NFI[[#This Row],[Kitchen Set]]/VLOOKUP(Table_NFI[[#This Row],[Camp Name]],CL,4,0),"")</f>
        <v>8.1091043125691112E-4</v>
      </c>
      <c r="AV1138" s="390" t="s">
        <v>1087</v>
      </c>
      <c r="AW1138" s="392"/>
      <c r="AX1138" s="399"/>
      <c r="AY1138" s="399"/>
      <c r="AZ1138" s="399"/>
      <c r="BA1138" s="399"/>
      <c r="BB1138" s="399"/>
      <c r="BC1138" s="399"/>
      <c r="BD1138" s="399"/>
      <c r="BE1138" s="399"/>
      <c r="BF1138" s="399"/>
      <c r="BG1138" s="399"/>
      <c r="BH1138" s="399"/>
      <c r="BI1138" s="399"/>
      <c r="BJ1138" s="399"/>
      <c r="BK1138" s="399"/>
      <c r="BL1138" s="399"/>
      <c r="BM1138" s="399"/>
      <c r="BN1138" s="399"/>
      <c r="BO1138" s="399"/>
      <c r="BP1138" s="399"/>
      <c r="BQ1138" s="399"/>
      <c r="BR1138" s="399"/>
      <c r="BS1138" s="399"/>
      <c r="BT1138" s="399"/>
      <c r="BU1138" s="399"/>
      <c r="BV1138" s="399"/>
      <c r="BW1138" s="399"/>
      <c r="BX1138" s="399"/>
      <c r="BY1138" s="399"/>
      <c r="BZ1138" s="399"/>
      <c r="CA1138" s="399"/>
      <c r="CB1138" s="399"/>
      <c r="CC1138" s="399"/>
      <c r="CD1138" s="399"/>
      <c r="CE1138" s="399"/>
      <c r="CF1138" s="399"/>
      <c r="CG1138" s="399"/>
      <c r="CH1138" s="399"/>
      <c r="CI1138" s="399"/>
      <c r="CJ1138" s="399"/>
      <c r="CK1138" s="399"/>
      <c r="CL1138" s="399"/>
      <c r="CM1138" s="399"/>
      <c r="CN1138" s="399"/>
      <c r="CO1138" s="399"/>
      <c r="CP1138" s="399"/>
      <c r="CQ1138" s="399"/>
      <c r="CR1138" s="399"/>
      <c r="CS1138" s="399"/>
      <c r="CT1138" s="399"/>
      <c r="CU1138" s="399"/>
      <c r="CV1138" s="399"/>
      <c r="CW1138" s="399"/>
      <c r="CX1138" s="399"/>
      <c r="CY1138" s="399"/>
      <c r="CZ1138" s="399"/>
      <c r="DA1138" s="399"/>
      <c r="DB1138" s="399"/>
      <c r="DC1138" s="399"/>
      <c r="DD1138" s="399"/>
      <c r="DE1138" s="399"/>
      <c r="DF1138" s="399"/>
      <c r="DG1138" s="399"/>
      <c r="DH1138" s="399"/>
      <c r="DI1138" s="399"/>
      <c r="DJ1138" s="399"/>
      <c r="DK1138" s="399"/>
      <c r="DL1138" s="399"/>
      <c r="DM1138" s="399"/>
      <c r="DN1138" s="399"/>
      <c r="DO1138" s="399"/>
      <c r="DP1138" s="399"/>
      <c r="DQ1138" s="399"/>
    </row>
    <row r="1139" spans="1:121" s="760" customFormat="1" ht="14.45" customHeight="1" x14ac:dyDescent="0.25">
      <c r="A1139" s="266">
        <f t="shared" si="17"/>
        <v>65.233333333333334</v>
      </c>
      <c r="B1139" s="389">
        <v>40899</v>
      </c>
      <c r="C1139" s="390" t="s">
        <v>451</v>
      </c>
      <c r="D1139" s="390" t="s">
        <v>451</v>
      </c>
      <c r="E1139" s="390" t="s">
        <v>380</v>
      </c>
      <c r="F1139" s="262" t="s">
        <v>310</v>
      </c>
      <c r="G1139" s="262" t="s">
        <v>318</v>
      </c>
      <c r="H1139" s="261"/>
      <c r="I1139" s="261"/>
      <c r="J1139" s="261"/>
      <c r="K1139" s="261">
        <v>0</v>
      </c>
      <c r="L1139" s="261">
        <v>0</v>
      </c>
      <c r="M1139" s="261">
        <v>0</v>
      </c>
      <c r="N1139" s="261">
        <v>0</v>
      </c>
      <c r="O1139" s="261">
        <v>4</v>
      </c>
      <c r="P1139" s="261">
        <v>4</v>
      </c>
      <c r="Q1139" s="261">
        <v>4</v>
      </c>
      <c r="R1139" s="261"/>
      <c r="S1139" s="261"/>
      <c r="T1139" s="261"/>
      <c r="U1139" s="261"/>
      <c r="V1139" s="762"/>
      <c r="W1139" s="762"/>
      <c r="X1139" s="762"/>
      <c r="Y1139" s="264">
        <f>IF(NFI_Expiration=1,IF($A1139&lt;VLOOKUP(H$5,NFI,5,0),1,0)*Table_NFI[[#This Row],[Hygiene Kit]],Table_NFI[Hygiene Kit])</f>
        <v>0</v>
      </c>
      <c r="Z1139" s="264">
        <f>IF(NFI_Expiration=1,IF($A1139&lt;VLOOKUP(I$5,NFI,5,0),1,0)*Table_NFI[[#This Row],[NFI Core Kit]],Table_NFI[NFI Core Kit])</f>
        <v>0</v>
      </c>
      <c r="AA1139" s="264">
        <f>IF(NFI_Expiration=1,IF($A1139&lt;VLOOKUP(J$5,NFI,5,0),1,0)*Table_NFI[[#This Row],[Sanitary Kit]],Table_NFI[Sanitary Kit])</f>
        <v>0</v>
      </c>
      <c r="AB1139" s="264">
        <f>IF(NFI_Expiration=1,IF($A1139&lt;VLOOKUP(K$5,NFI,5,0),1,0)*Table_NFI[[#This Row],[Mosquito net]],Table_NFI[Mosquito net])</f>
        <v>0</v>
      </c>
      <c r="AC1139" s="264">
        <f>IF(NFI_Expiration=1,IF($A1139&lt;VLOOKUP(L$5,NFI,5,0),1,0)*Table_NFI[[#This Row],[Tarpaulin]],Table_NFI[[#This Row],[Tarpaulin]])</f>
        <v>0</v>
      </c>
      <c r="AD1139" s="264">
        <f>IF(NFI_Expiration=1,IF($A1139&lt;VLOOKUP(M$5,NFI,5,0),1,0)*Table_NFI[[#This Row],[Blanket]],Table_NFI[[#This Row],[Blanket]])</f>
        <v>0</v>
      </c>
      <c r="AE1139" s="264">
        <f>IF(NFI_Expiration=1,IF($A1139&lt;VLOOKUP(N$5,NFI,5,0),1,0)*Table_NFI[[#This Row],[Kitchen Set]],Table_NFI[Kitchen Set])</f>
        <v>0</v>
      </c>
      <c r="AF1139" s="264">
        <f>IF(NFI_Expiration=1,IF($A1139&lt;VLOOKUP(O$5,NFI,5,0),1,0)*Table_NFI[[#This Row],[Clothes Kit]],Table_NFI[Clothes Kit])</f>
        <v>0</v>
      </c>
      <c r="AG1139" s="264">
        <f>IF(NFI_Expiration=1,IF($A1139&lt;VLOOKUP(P$5,NFI,5,0),1,0)*Table_NFI[[#This Row],[Plastic Bucket]],Table_NFI[Plastic Bucket])</f>
        <v>0</v>
      </c>
      <c r="AH1139" s="264">
        <f>IF(NFI_Expiration=1,IF($A1139&lt;VLOOKUP(Q$5,NFI,5,0),1,0)*Table_NFI[[#This Row],[Plastic Mat]],Table_NFI[Plastic Mat])*IF(Table_NFI[[#This Row],[Distribution Date]]&gt;"2014-04-01",1,2.5)</f>
        <v>0</v>
      </c>
      <c r="AI1139" s="264">
        <f>IF(NFI_Expiration=1,IF($A1139&lt;VLOOKUP(R$5,NFI,5,0),1,0)*Table_NFI[[#This Row],[Winter Clothes Adult]],Table_NFI[Winter Clothes Adult])</f>
        <v>0</v>
      </c>
      <c r="AJ1139" s="264">
        <f>IF(NFI_Expiration=1,IF($A1139&lt;VLOOKUP(S$5,NFI,5,0),1,0)*Table_NFI[[#This Row],[Winter Clothes Children]],Table_NFI[Winter Clothes Children])</f>
        <v>0</v>
      </c>
      <c r="AK1139" s="264">
        <f>IF(NFI_Expiration=1,IF($A1139&lt;VLOOKUP(T$5,NFI,5,0),1,0)*Table_NFI[[#This Row],[Winter Items Other]],Table_NFI[Winter Items Other])</f>
        <v>0</v>
      </c>
      <c r="AL1139" s="264">
        <f>IF(NFI_Expiration=1,IF($A1139&lt;VLOOKUP(M$5,NFI,5,0),1,0)*Table_NFI[[#This Row],[Winter Blanket]],Table_NFI[[#This Row],[Winter Blanket]])</f>
        <v>0</v>
      </c>
      <c r="AM1139" s="264">
        <f>IF(Table_NFI[[#This Row],[Winter Clothes Adult]]+Table_NFI[[#This Row],[Winter Clothes Children]]+Table_NFI[[#This Row],[Winter Items Other]]+Table_NFI[[#This Row],[Winter Blanket]]&gt;0,1,0)</f>
        <v>0</v>
      </c>
      <c r="AN1139" s="296">
        <f>IF(NFI_Expiration=1,IF($A1139&lt;VLOOKUP(V$5,NFI,5,0),1,0)*Table_NFI[[#This Row],[Jerry Can]],Table_NFI[Jerry Can])</f>
        <v>0</v>
      </c>
      <c r="AO1139" s="296">
        <f>IF(NFI_Expiration=1,IF($A1139&lt;VLOOKUP(V$5,NFI,5,0),1,0)*Table_NFI[[#This Row],[Shelter Tool kit]],Table_NFI[Shelter Tool kit])</f>
        <v>0</v>
      </c>
      <c r="AP1139" s="296">
        <f>IF(NFI_Expiration=1,IF($A1139&lt;VLOOKUP(V$5,NFI,5,0),1,0)*Table_NFI[[#This Row],[Tent]],Table_NFI[Tent])</f>
        <v>0</v>
      </c>
      <c r="AQ1139" s="396" t="str">
        <f>IFERROR(VLOOKUP(Table_NFI[[#This Row],[Camp Name]],CL,2,0),"")</f>
        <v>MMR001CMP032</v>
      </c>
      <c r="AR1139" s="702">
        <f ca="1">IF(Table_NFI[[#This Row],[Pcode]]="","",IF(OFFSET(CampList[Opening Date],MATCH(Table_NFI[[#This Row],[Pcode]],CampList[CP_Pcode],0)-1,0,1,1)&gt;=NFI_Monitor_Date,1,0))</f>
        <v>0</v>
      </c>
      <c r="AS1139" s="396" t="str">
        <f>IFERROR(VLOOKUP(Table_NFI[[#This Row],[Camp Name]],CL,3,0),"")</f>
        <v>Open</v>
      </c>
      <c r="AT1139" s="264" t="str">
        <f ca="1">IF(Table_NFI[[#This Row],[Pcode]]="","",OFFSET(CampList[Priority],MATCH(Table_NFI[[#This Row],[Pcode]],CampList[CP_Pcode],0)-1,0,1,1))</f>
        <v>P4</v>
      </c>
      <c r="AU1139" s="263">
        <f>IFERROR(Table_NFI[[#This Row],[Kitchen Set]]/VLOOKUP(Table_NFI[[#This Row],[Camp Name]],CL,4,0),"")</f>
        <v>0</v>
      </c>
      <c r="AV1139" s="390" t="s">
        <v>1087</v>
      </c>
      <c r="AW1139" s="392"/>
      <c r="AX1139" s="399"/>
      <c r="AY1139" s="399"/>
      <c r="AZ1139" s="399"/>
      <c r="BA1139" s="399"/>
      <c r="BB1139" s="399"/>
      <c r="BC1139" s="399"/>
      <c r="BD1139" s="399"/>
      <c r="BE1139" s="399"/>
      <c r="BF1139" s="399"/>
      <c r="BG1139" s="399"/>
      <c r="BH1139" s="399"/>
      <c r="BI1139" s="399"/>
      <c r="BJ1139" s="399"/>
      <c r="BK1139" s="399"/>
      <c r="BL1139" s="399"/>
      <c r="BM1139" s="399"/>
      <c r="BN1139" s="399"/>
      <c r="BO1139" s="399"/>
      <c r="BP1139" s="399"/>
      <c r="BQ1139" s="399"/>
      <c r="BR1139" s="399"/>
      <c r="BS1139" s="399"/>
      <c r="BT1139" s="399"/>
      <c r="BU1139" s="399"/>
      <c r="BV1139" s="399"/>
      <c r="BW1139" s="399"/>
      <c r="BX1139" s="399"/>
      <c r="BY1139" s="399"/>
      <c r="BZ1139" s="399"/>
      <c r="CA1139" s="399"/>
      <c r="CB1139" s="399"/>
      <c r="CC1139" s="399"/>
      <c r="CD1139" s="399"/>
      <c r="CE1139" s="399"/>
      <c r="CF1139" s="399"/>
      <c r="CG1139" s="399"/>
      <c r="CH1139" s="399"/>
      <c r="CI1139" s="399"/>
      <c r="CJ1139" s="399"/>
      <c r="CK1139" s="399"/>
      <c r="CL1139" s="399"/>
      <c r="CM1139" s="399"/>
      <c r="CN1139" s="399"/>
      <c r="CO1139" s="399"/>
      <c r="CP1139" s="399"/>
      <c r="CQ1139" s="399"/>
      <c r="CR1139" s="399"/>
      <c r="CS1139" s="399"/>
      <c r="CT1139" s="399"/>
      <c r="CU1139" s="399"/>
      <c r="CV1139" s="399"/>
      <c r="CW1139" s="399"/>
      <c r="CX1139" s="399"/>
      <c r="CY1139" s="399"/>
      <c r="CZ1139" s="399"/>
      <c r="DA1139" s="399"/>
      <c r="DB1139" s="399"/>
      <c r="DC1139" s="399"/>
      <c r="DD1139" s="399"/>
      <c r="DE1139" s="399"/>
      <c r="DF1139" s="399"/>
      <c r="DG1139" s="399"/>
      <c r="DH1139" s="399"/>
      <c r="DI1139" s="399"/>
      <c r="DJ1139" s="399"/>
      <c r="DK1139" s="399"/>
      <c r="DL1139" s="399"/>
      <c r="DM1139" s="399"/>
      <c r="DN1139" s="399"/>
      <c r="DO1139" s="399"/>
      <c r="DP1139" s="399"/>
      <c r="DQ1139" s="399"/>
    </row>
    <row r="1140" spans="1:121" s="760" customFormat="1" ht="14.45" customHeight="1" x14ac:dyDescent="0.25">
      <c r="A1140" s="266">
        <f t="shared" si="17"/>
        <v>65.533333333333331</v>
      </c>
      <c r="B1140" s="389">
        <v>40890</v>
      </c>
      <c r="C1140" s="390" t="s">
        <v>451</v>
      </c>
      <c r="D1140" s="391" t="s">
        <v>571</v>
      </c>
      <c r="E1140" s="390" t="s">
        <v>380</v>
      </c>
      <c r="F1140" s="262" t="s">
        <v>185</v>
      </c>
      <c r="G1140" s="262" t="s">
        <v>194</v>
      </c>
      <c r="H1140" s="261"/>
      <c r="I1140" s="261"/>
      <c r="J1140" s="261"/>
      <c r="K1140" s="261">
        <v>250</v>
      </c>
      <c r="L1140" s="261">
        <v>125</v>
      </c>
      <c r="M1140" s="261">
        <v>250</v>
      </c>
      <c r="N1140" s="261">
        <v>125</v>
      </c>
      <c r="O1140" s="261">
        <v>125</v>
      </c>
      <c r="P1140" s="261">
        <v>125</v>
      </c>
      <c r="Q1140" s="261">
        <v>125</v>
      </c>
      <c r="R1140" s="261"/>
      <c r="S1140" s="261"/>
      <c r="T1140" s="261"/>
      <c r="U1140" s="261"/>
      <c r="V1140" s="762"/>
      <c r="W1140" s="762"/>
      <c r="X1140" s="762"/>
      <c r="Y1140" s="264">
        <f>IF(NFI_Expiration=1,IF($A1140&lt;VLOOKUP(H$5,NFI,5,0),1,0)*Table_NFI[[#This Row],[Hygiene Kit]],Table_NFI[Hygiene Kit])</f>
        <v>0</v>
      </c>
      <c r="Z1140" s="264">
        <f>IF(NFI_Expiration=1,IF($A1140&lt;VLOOKUP(I$5,NFI,5,0),1,0)*Table_NFI[[#This Row],[NFI Core Kit]],Table_NFI[NFI Core Kit])</f>
        <v>0</v>
      </c>
      <c r="AA1140" s="264">
        <f>IF(NFI_Expiration=1,IF($A1140&lt;VLOOKUP(J$5,NFI,5,0),1,0)*Table_NFI[[#This Row],[Sanitary Kit]],Table_NFI[Sanitary Kit])</f>
        <v>0</v>
      </c>
      <c r="AB1140" s="264">
        <f>IF(NFI_Expiration=1,IF($A1140&lt;VLOOKUP(K$5,NFI,5,0),1,0)*Table_NFI[[#This Row],[Mosquito net]],Table_NFI[Mosquito net])</f>
        <v>0</v>
      </c>
      <c r="AC1140" s="264">
        <f>IF(NFI_Expiration=1,IF($A1140&lt;VLOOKUP(L$5,NFI,5,0),1,0)*Table_NFI[[#This Row],[Tarpaulin]],Table_NFI[[#This Row],[Tarpaulin]])</f>
        <v>0</v>
      </c>
      <c r="AD1140" s="264">
        <f>IF(NFI_Expiration=1,IF($A1140&lt;VLOOKUP(M$5,NFI,5,0),1,0)*Table_NFI[[#This Row],[Blanket]],Table_NFI[[#This Row],[Blanket]])</f>
        <v>0</v>
      </c>
      <c r="AE1140" s="264">
        <f>IF(NFI_Expiration=1,IF($A1140&lt;VLOOKUP(N$5,NFI,5,0),1,0)*Table_NFI[[#This Row],[Kitchen Set]],Table_NFI[Kitchen Set])</f>
        <v>0</v>
      </c>
      <c r="AF1140" s="264">
        <f>IF(NFI_Expiration=1,IF($A1140&lt;VLOOKUP(O$5,NFI,5,0),1,0)*Table_NFI[[#This Row],[Clothes Kit]],Table_NFI[Clothes Kit])</f>
        <v>0</v>
      </c>
      <c r="AG1140" s="264">
        <f>IF(NFI_Expiration=1,IF($A1140&lt;VLOOKUP(P$5,NFI,5,0),1,0)*Table_NFI[[#This Row],[Plastic Bucket]],Table_NFI[Plastic Bucket])</f>
        <v>0</v>
      </c>
      <c r="AH1140" s="264">
        <f>IF(NFI_Expiration=1,IF($A1140&lt;VLOOKUP(Q$5,NFI,5,0),1,0)*Table_NFI[[#This Row],[Plastic Mat]],Table_NFI[Plastic Mat])*IF(Table_NFI[[#This Row],[Distribution Date]]&gt;"2014-04-01",1,2.5)</f>
        <v>0</v>
      </c>
      <c r="AI1140" s="264">
        <f>IF(NFI_Expiration=1,IF($A1140&lt;VLOOKUP(R$5,NFI,5,0),1,0)*Table_NFI[[#This Row],[Winter Clothes Adult]],Table_NFI[Winter Clothes Adult])</f>
        <v>0</v>
      </c>
      <c r="AJ1140" s="264">
        <f>IF(NFI_Expiration=1,IF($A1140&lt;VLOOKUP(S$5,NFI,5,0),1,0)*Table_NFI[[#This Row],[Winter Clothes Children]],Table_NFI[Winter Clothes Children])</f>
        <v>0</v>
      </c>
      <c r="AK1140" s="264">
        <f>IF(NFI_Expiration=1,IF($A1140&lt;VLOOKUP(T$5,NFI,5,0),1,0)*Table_NFI[[#This Row],[Winter Items Other]],Table_NFI[Winter Items Other])</f>
        <v>0</v>
      </c>
      <c r="AL1140" s="264">
        <f>IF(NFI_Expiration=1,IF($A1140&lt;VLOOKUP(M$5,NFI,5,0),1,0)*Table_NFI[[#This Row],[Winter Blanket]],Table_NFI[[#This Row],[Winter Blanket]])</f>
        <v>0</v>
      </c>
      <c r="AM1140" s="264">
        <f>IF(Table_NFI[[#This Row],[Winter Clothes Adult]]+Table_NFI[[#This Row],[Winter Clothes Children]]+Table_NFI[[#This Row],[Winter Items Other]]+Table_NFI[[#This Row],[Winter Blanket]]&gt;0,1,0)</f>
        <v>0</v>
      </c>
      <c r="AN1140" s="296">
        <f>IF(NFI_Expiration=1,IF($A1140&lt;VLOOKUP(V$5,NFI,5,0),1,0)*Table_NFI[[#This Row],[Jerry Can]],Table_NFI[Jerry Can])</f>
        <v>0</v>
      </c>
      <c r="AO1140" s="296">
        <f>IF(NFI_Expiration=1,IF($A1140&lt;VLOOKUP(V$5,NFI,5,0),1,0)*Table_NFI[[#This Row],[Shelter Tool kit]],Table_NFI[Shelter Tool kit])</f>
        <v>0</v>
      </c>
      <c r="AP1140" s="296">
        <f>IF(NFI_Expiration=1,IF($A1140&lt;VLOOKUP(V$5,NFI,5,0),1,0)*Table_NFI[[#This Row],[Tent]],Table_NFI[Tent])</f>
        <v>0</v>
      </c>
      <c r="AQ1140" s="396" t="str">
        <f>IFERROR(VLOOKUP(Table_NFI[[#This Row],[Camp Name]],CL,2,0),"")</f>
        <v>MMR001CMP122</v>
      </c>
      <c r="AR1140" s="702">
        <f ca="1">IF(Table_NFI[[#This Row],[Pcode]]="","",IF(OFFSET(CampList[Opening Date],MATCH(Table_NFI[[#This Row],[Pcode]],CampList[CP_Pcode],0)-1,0,1,1)&gt;=NFI_Monitor_Date,1,0))</f>
        <v>0</v>
      </c>
      <c r="AS1140" s="396" t="str">
        <f>IFERROR(VLOOKUP(Table_NFI[[#This Row],[Camp Name]],CL,3,0),"")</f>
        <v>Open</v>
      </c>
      <c r="AT1140" s="264" t="str">
        <f ca="1">IF(Table_NFI[[#This Row],[Pcode]]="","",OFFSET(CampList[Priority],MATCH(Table_NFI[[#This Row],[Pcode]],CampList[CP_Pcode],0)-1,0,1,1))</f>
        <v>P2</v>
      </c>
      <c r="AU1140" s="263">
        <f>IFERROR(Table_NFI[[#This Row],[Kitchen Set]]/VLOOKUP(Table_NFI[[#This Row],[Camp Name]],CL,4,0),"")</f>
        <v>3.0716304214276936E-3</v>
      </c>
      <c r="AV1140" s="390" t="s">
        <v>1087</v>
      </c>
      <c r="AW1140" s="392"/>
      <c r="AX1140" s="399"/>
      <c r="AY1140" s="399"/>
      <c r="AZ1140" s="399"/>
      <c r="BA1140" s="399"/>
      <c r="BB1140" s="399"/>
      <c r="BC1140" s="399"/>
      <c r="BD1140" s="399"/>
      <c r="BE1140" s="399"/>
      <c r="BF1140" s="399"/>
      <c r="BG1140" s="399"/>
      <c r="BH1140" s="399"/>
      <c r="BI1140" s="399"/>
      <c r="BJ1140" s="399"/>
      <c r="BK1140" s="399"/>
      <c r="BL1140" s="399"/>
      <c r="BM1140" s="399"/>
      <c r="BN1140" s="399"/>
      <c r="BO1140" s="399"/>
      <c r="BP1140" s="399"/>
      <c r="BQ1140" s="399"/>
      <c r="BR1140" s="399"/>
      <c r="BS1140" s="399"/>
      <c r="BT1140" s="399"/>
      <c r="BU1140" s="399"/>
      <c r="BV1140" s="399"/>
      <c r="BW1140" s="399"/>
      <c r="BX1140" s="399"/>
      <c r="BY1140" s="399"/>
      <c r="BZ1140" s="399"/>
      <c r="CA1140" s="399"/>
      <c r="CB1140" s="399"/>
      <c r="CC1140" s="399"/>
      <c r="CD1140" s="399"/>
      <c r="CE1140" s="399"/>
      <c r="CF1140" s="399"/>
      <c r="CG1140" s="399"/>
      <c r="CH1140" s="399"/>
      <c r="CI1140" s="399"/>
      <c r="CJ1140" s="399"/>
      <c r="CK1140" s="399"/>
      <c r="CL1140" s="399"/>
      <c r="CM1140" s="399"/>
      <c r="CN1140" s="399"/>
      <c r="CO1140" s="399"/>
      <c r="CP1140" s="399"/>
      <c r="CQ1140" s="399"/>
      <c r="CR1140" s="399"/>
      <c r="CS1140" s="399"/>
      <c r="CT1140" s="399"/>
      <c r="CU1140" s="399"/>
      <c r="CV1140" s="399"/>
      <c r="CW1140" s="399"/>
      <c r="CX1140" s="399"/>
      <c r="CY1140" s="399"/>
      <c r="CZ1140" s="399"/>
      <c r="DA1140" s="399"/>
      <c r="DB1140" s="399"/>
      <c r="DC1140" s="399"/>
      <c r="DD1140" s="399"/>
      <c r="DE1140" s="399"/>
      <c r="DF1140" s="399"/>
      <c r="DG1140" s="399"/>
      <c r="DH1140" s="399"/>
      <c r="DI1140" s="399"/>
      <c r="DJ1140" s="399"/>
      <c r="DK1140" s="399"/>
      <c r="DL1140" s="399"/>
      <c r="DM1140" s="399"/>
      <c r="DN1140" s="399"/>
      <c r="DO1140" s="399"/>
      <c r="DP1140" s="399"/>
      <c r="DQ1140" s="399"/>
    </row>
    <row r="1141" spans="1:121" s="760" customFormat="1" ht="14.45" customHeight="1" x14ac:dyDescent="0.25">
      <c r="A1141" s="266">
        <f t="shared" si="17"/>
        <v>65.533333333333331</v>
      </c>
      <c r="B1141" s="389">
        <v>40890</v>
      </c>
      <c r="C1141" s="390" t="s">
        <v>451</v>
      </c>
      <c r="D1141" s="391" t="s">
        <v>571</v>
      </c>
      <c r="E1141" s="390" t="s">
        <v>380</v>
      </c>
      <c r="F1141" s="262" t="s">
        <v>185</v>
      </c>
      <c r="G1141" s="262" t="s">
        <v>196</v>
      </c>
      <c r="H1141" s="261"/>
      <c r="I1141" s="261"/>
      <c r="J1141" s="261"/>
      <c r="K1141" s="261">
        <v>250</v>
      </c>
      <c r="L1141" s="261">
        <v>125</v>
      </c>
      <c r="M1141" s="261">
        <v>250</v>
      </c>
      <c r="N1141" s="261">
        <v>125</v>
      </c>
      <c r="O1141" s="261">
        <v>125</v>
      </c>
      <c r="P1141" s="261">
        <v>125</v>
      </c>
      <c r="Q1141" s="261">
        <v>125</v>
      </c>
      <c r="R1141" s="261"/>
      <c r="S1141" s="261"/>
      <c r="T1141" s="261"/>
      <c r="U1141" s="261"/>
      <c r="V1141" s="762"/>
      <c r="W1141" s="762"/>
      <c r="X1141" s="762"/>
      <c r="Y1141" s="264">
        <f>IF(NFI_Expiration=1,IF($A1141&lt;VLOOKUP(H$5,NFI,5,0),1,0)*Table_NFI[[#This Row],[Hygiene Kit]],Table_NFI[Hygiene Kit])</f>
        <v>0</v>
      </c>
      <c r="Z1141" s="264">
        <f>IF(NFI_Expiration=1,IF($A1141&lt;VLOOKUP(I$5,NFI,5,0),1,0)*Table_NFI[[#This Row],[NFI Core Kit]],Table_NFI[NFI Core Kit])</f>
        <v>0</v>
      </c>
      <c r="AA1141" s="264">
        <f>IF(NFI_Expiration=1,IF($A1141&lt;VLOOKUP(J$5,NFI,5,0),1,0)*Table_NFI[[#This Row],[Sanitary Kit]],Table_NFI[Sanitary Kit])</f>
        <v>0</v>
      </c>
      <c r="AB1141" s="264">
        <f>IF(NFI_Expiration=1,IF($A1141&lt;VLOOKUP(K$5,NFI,5,0),1,0)*Table_NFI[[#This Row],[Mosquito net]],Table_NFI[Mosquito net])</f>
        <v>0</v>
      </c>
      <c r="AC1141" s="264">
        <f>IF(NFI_Expiration=1,IF($A1141&lt;VLOOKUP(L$5,NFI,5,0),1,0)*Table_NFI[[#This Row],[Tarpaulin]],Table_NFI[[#This Row],[Tarpaulin]])</f>
        <v>0</v>
      </c>
      <c r="AD1141" s="264">
        <f>IF(NFI_Expiration=1,IF($A1141&lt;VLOOKUP(M$5,NFI,5,0),1,0)*Table_NFI[[#This Row],[Blanket]],Table_NFI[[#This Row],[Blanket]])</f>
        <v>0</v>
      </c>
      <c r="AE1141" s="264">
        <f>IF(NFI_Expiration=1,IF($A1141&lt;VLOOKUP(N$5,NFI,5,0),1,0)*Table_NFI[[#This Row],[Kitchen Set]],Table_NFI[Kitchen Set])</f>
        <v>0</v>
      </c>
      <c r="AF1141" s="264">
        <f>IF(NFI_Expiration=1,IF($A1141&lt;VLOOKUP(O$5,NFI,5,0),1,0)*Table_NFI[[#This Row],[Clothes Kit]],Table_NFI[Clothes Kit])</f>
        <v>0</v>
      </c>
      <c r="AG1141" s="264">
        <f>IF(NFI_Expiration=1,IF($A1141&lt;VLOOKUP(P$5,NFI,5,0),1,0)*Table_NFI[[#This Row],[Plastic Bucket]],Table_NFI[Plastic Bucket])</f>
        <v>0</v>
      </c>
      <c r="AH1141" s="264">
        <f>IF(NFI_Expiration=1,IF($A1141&lt;VLOOKUP(Q$5,NFI,5,0),1,0)*Table_NFI[[#This Row],[Plastic Mat]],Table_NFI[Plastic Mat])*IF(Table_NFI[[#This Row],[Distribution Date]]&gt;"2014-04-01",1,2.5)</f>
        <v>0</v>
      </c>
      <c r="AI1141" s="264">
        <f>IF(NFI_Expiration=1,IF($A1141&lt;VLOOKUP(R$5,NFI,5,0),1,0)*Table_NFI[[#This Row],[Winter Clothes Adult]],Table_NFI[Winter Clothes Adult])</f>
        <v>0</v>
      </c>
      <c r="AJ1141" s="264">
        <f>IF(NFI_Expiration=1,IF($A1141&lt;VLOOKUP(S$5,NFI,5,0),1,0)*Table_NFI[[#This Row],[Winter Clothes Children]],Table_NFI[Winter Clothes Children])</f>
        <v>0</v>
      </c>
      <c r="AK1141" s="264">
        <f>IF(NFI_Expiration=1,IF($A1141&lt;VLOOKUP(T$5,NFI,5,0),1,0)*Table_NFI[[#This Row],[Winter Items Other]],Table_NFI[Winter Items Other])</f>
        <v>0</v>
      </c>
      <c r="AL1141" s="264">
        <f>IF(NFI_Expiration=1,IF($A1141&lt;VLOOKUP(M$5,NFI,5,0),1,0)*Table_NFI[[#This Row],[Winter Blanket]],Table_NFI[[#This Row],[Winter Blanket]])</f>
        <v>0</v>
      </c>
      <c r="AM1141" s="264">
        <f>IF(Table_NFI[[#This Row],[Winter Clothes Adult]]+Table_NFI[[#This Row],[Winter Clothes Children]]+Table_NFI[[#This Row],[Winter Items Other]]+Table_NFI[[#This Row],[Winter Blanket]]&gt;0,1,0)</f>
        <v>0</v>
      </c>
      <c r="AN1141" s="296">
        <f>IF(NFI_Expiration=1,IF($A1141&lt;VLOOKUP(V$5,NFI,5,0),1,0)*Table_NFI[[#This Row],[Jerry Can]],Table_NFI[Jerry Can])</f>
        <v>0</v>
      </c>
      <c r="AO1141" s="296">
        <f>IF(NFI_Expiration=1,IF($A1141&lt;VLOOKUP(V$5,NFI,5,0),1,0)*Table_NFI[[#This Row],[Shelter Tool kit]],Table_NFI[Shelter Tool kit])</f>
        <v>0</v>
      </c>
      <c r="AP1141" s="296">
        <f>IF(NFI_Expiration=1,IF($A1141&lt;VLOOKUP(V$5,NFI,5,0),1,0)*Table_NFI[[#This Row],[Tent]],Table_NFI[Tent])</f>
        <v>0</v>
      </c>
      <c r="AQ1141" s="396" t="str">
        <f>IFERROR(VLOOKUP(Table_NFI[[#This Row],[Camp Name]],CL,2,0),"")</f>
        <v>MMR001CMP121</v>
      </c>
      <c r="AR1141" s="702">
        <f ca="1">IF(Table_NFI[[#This Row],[Pcode]]="","",IF(OFFSET(CampList[Opening Date],MATCH(Table_NFI[[#This Row],[Pcode]],CampList[CP_Pcode],0)-1,0,1,1)&gt;=NFI_Monitor_Date,1,0))</f>
        <v>0</v>
      </c>
      <c r="AS1141" s="396" t="str">
        <f>IFERROR(VLOOKUP(Table_NFI[[#This Row],[Camp Name]],CL,3,0),"")</f>
        <v>Open</v>
      </c>
      <c r="AT1141" s="264" t="str">
        <f ca="1">IF(Table_NFI[[#This Row],[Pcode]]="","",OFFSET(CampList[Priority],MATCH(Table_NFI[[#This Row],[Pcode]],CampList[CP_Pcode],0)-1,0,1,1))</f>
        <v>P2</v>
      </c>
      <c r="AU1141" s="263">
        <f>IFERROR(Table_NFI[[#This Row],[Kitchen Set]]/VLOOKUP(Table_NFI[[#This Row],[Camp Name]],CL,4,0),"")</f>
        <v>3.0442512359660019E-3</v>
      </c>
      <c r="AV1141" s="390" t="s">
        <v>1087</v>
      </c>
      <c r="AW1141" s="392"/>
      <c r="AX1141" s="399"/>
      <c r="AY1141" s="399"/>
      <c r="AZ1141" s="399"/>
      <c r="BA1141" s="399"/>
      <c r="BB1141" s="399"/>
      <c r="BC1141" s="399"/>
      <c r="BD1141" s="399"/>
      <c r="BE1141" s="399"/>
      <c r="BF1141" s="399"/>
      <c r="BG1141" s="399"/>
      <c r="BH1141" s="399"/>
      <c r="BI1141" s="399"/>
      <c r="BJ1141" s="399"/>
      <c r="BK1141" s="399"/>
      <c r="BL1141" s="399"/>
      <c r="BM1141" s="399"/>
      <c r="BN1141" s="399"/>
      <c r="BO1141" s="399"/>
      <c r="BP1141" s="399"/>
      <c r="BQ1141" s="399"/>
      <c r="BR1141" s="399"/>
      <c r="BS1141" s="399"/>
      <c r="BT1141" s="399"/>
      <c r="BU1141" s="399"/>
      <c r="BV1141" s="399"/>
      <c r="BW1141" s="399"/>
      <c r="BX1141" s="399"/>
      <c r="BY1141" s="399"/>
      <c r="BZ1141" s="399"/>
      <c r="CA1141" s="399"/>
      <c r="CB1141" s="399"/>
      <c r="CC1141" s="399"/>
      <c r="CD1141" s="399"/>
      <c r="CE1141" s="399"/>
      <c r="CF1141" s="399"/>
      <c r="CG1141" s="399"/>
      <c r="CH1141" s="399"/>
      <c r="CI1141" s="399"/>
      <c r="CJ1141" s="399"/>
      <c r="CK1141" s="399"/>
      <c r="CL1141" s="399"/>
      <c r="CM1141" s="399"/>
      <c r="CN1141" s="399"/>
      <c r="CO1141" s="399"/>
      <c r="CP1141" s="399"/>
      <c r="CQ1141" s="399"/>
      <c r="CR1141" s="399"/>
      <c r="CS1141" s="399"/>
      <c r="CT1141" s="399"/>
      <c r="CU1141" s="399"/>
      <c r="CV1141" s="399"/>
      <c r="CW1141" s="399"/>
      <c r="CX1141" s="399"/>
      <c r="CY1141" s="399"/>
      <c r="CZ1141" s="399"/>
      <c r="DA1141" s="399"/>
      <c r="DB1141" s="399"/>
      <c r="DC1141" s="399"/>
      <c r="DD1141" s="399"/>
      <c r="DE1141" s="399"/>
      <c r="DF1141" s="399"/>
      <c r="DG1141" s="399"/>
      <c r="DH1141" s="399"/>
      <c r="DI1141" s="399"/>
      <c r="DJ1141" s="399"/>
      <c r="DK1141" s="399"/>
      <c r="DL1141" s="399"/>
      <c r="DM1141" s="399"/>
      <c r="DN1141" s="399"/>
      <c r="DO1141" s="399"/>
      <c r="DP1141" s="399"/>
      <c r="DQ1141" s="399"/>
    </row>
    <row r="1142" spans="1:121" s="760" customFormat="1" ht="14.45" customHeight="1" x14ac:dyDescent="0.25">
      <c r="A1142" s="266">
        <f t="shared" si="17"/>
        <v>65.533333333333331</v>
      </c>
      <c r="B1142" s="389">
        <v>40890</v>
      </c>
      <c r="C1142" s="390" t="s">
        <v>451</v>
      </c>
      <c r="D1142" s="391" t="s">
        <v>571</v>
      </c>
      <c r="E1142" s="390" t="s">
        <v>380</v>
      </c>
      <c r="F1142" s="262" t="s">
        <v>310</v>
      </c>
      <c r="G1142" s="262" t="s">
        <v>322</v>
      </c>
      <c r="H1142" s="261"/>
      <c r="I1142" s="261"/>
      <c r="J1142" s="261"/>
      <c r="K1142" s="261">
        <v>250</v>
      </c>
      <c r="L1142" s="261">
        <v>125</v>
      </c>
      <c r="M1142" s="261">
        <v>250</v>
      </c>
      <c r="N1142" s="261">
        <v>125</v>
      </c>
      <c r="O1142" s="261">
        <v>125</v>
      </c>
      <c r="P1142" s="261">
        <v>125</v>
      </c>
      <c r="Q1142" s="261">
        <v>125</v>
      </c>
      <c r="R1142" s="261"/>
      <c r="S1142" s="261"/>
      <c r="T1142" s="261"/>
      <c r="U1142" s="261"/>
      <c r="V1142" s="762"/>
      <c r="W1142" s="762"/>
      <c r="X1142" s="762"/>
      <c r="Y1142" s="264">
        <f>IF(NFI_Expiration=1,IF($A1142&lt;VLOOKUP(H$5,NFI,5,0),1,0)*Table_NFI[[#This Row],[Hygiene Kit]],Table_NFI[Hygiene Kit])</f>
        <v>0</v>
      </c>
      <c r="Z1142" s="264">
        <f>IF(NFI_Expiration=1,IF($A1142&lt;VLOOKUP(I$5,NFI,5,0),1,0)*Table_NFI[[#This Row],[NFI Core Kit]],Table_NFI[NFI Core Kit])</f>
        <v>0</v>
      </c>
      <c r="AA1142" s="264">
        <f>IF(NFI_Expiration=1,IF($A1142&lt;VLOOKUP(J$5,NFI,5,0),1,0)*Table_NFI[[#This Row],[Sanitary Kit]],Table_NFI[Sanitary Kit])</f>
        <v>0</v>
      </c>
      <c r="AB1142" s="264">
        <f>IF(NFI_Expiration=1,IF($A1142&lt;VLOOKUP(K$5,NFI,5,0),1,0)*Table_NFI[[#This Row],[Mosquito net]],Table_NFI[Mosquito net])</f>
        <v>0</v>
      </c>
      <c r="AC1142" s="264">
        <f>IF(NFI_Expiration=1,IF($A1142&lt;VLOOKUP(L$5,NFI,5,0),1,0)*Table_NFI[[#This Row],[Tarpaulin]],Table_NFI[[#This Row],[Tarpaulin]])</f>
        <v>0</v>
      </c>
      <c r="AD1142" s="264">
        <f>IF(NFI_Expiration=1,IF($A1142&lt;VLOOKUP(M$5,NFI,5,0),1,0)*Table_NFI[[#This Row],[Blanket]],Table_NFI[[#This Row],[Blanket]])</f>
        <v>0</v>
      </c>
      <c r="AE1142" s="264">
        <f>IF(NFI_Expiration=1,IF($A1142&lt;VLOOKUP(N$5,NFI,5,0),1,0)*Table_NFI[[#This Row],[Kitchen Set]],Table_NFI[Kitchen Set])</f>
        <v>0</v>
      </c>
      <c r="AF1142" s="264">
        <f>IF(NFI_Expiration=1,IF($A1142&lt;VLOOKUP(O$5,NFI,5,0),1,0)*Table_NFI[[#This Row],[Clothes Kit]],Table_NFI[Clothes Kit])</f>
        <v>0</v>
      </c>
      <c r="AG1142" s="264">
        <f>IF(NFI_Expiration=1,IF($A1142&lt;VLOOKUP(P$5,NFI,5,0),1,0)*Table_NFI[[#This Row],[Plastic Bucket]],Table_NFI[Plastic Bucket])</f>
        <v>0</v>
      </c>
      <c r="AH1142" s="264">
        <f>IF(NFI_Expiration=1,IF($A1142&lt;VLOOKUP(Q$5,NFI,5,0),1,0)*Table_NFI[[#This Row],[Plastic Mat]],Table_NFI[Plastic Mat])*IF(Table_NFI[[#This Row],[Distribution Date]]&gt;"2014-04-01",1,2.5)</f>
        <v>0</v>
      </c>
      <c r="AI1142" s="264">
        <f>IF(NFI_Expiration=1,IF($A1142&lt;VLOOKUP(R$5,NFI,5,0),1,0)*Table_NFI[[#This Row],[Winter Clothes Adult]],Table_NFI[Winter Clothes Adult])</f>
        <v>0</v>
      </c>
      <c r="AJ1142" s="264">
        <f>IF(NFI_Expiration=1,IF($A1142&lt;VLOOKUP(S$5,NFI,5,0),1,0)*Table_NFI[[#This Row],[Winter Clothes Children]],Table_NFI[Winter Clothes Children])</f>
        <v>0</v>
      </c>
      <c r="AK1142" s="264">
        <f>IF(NFI_Expiration=1,IF($A1142&lt;VLOOKUP(T$5,NFI,5,0),1,0)*Table_NFI[[#This Row],[Winter Items Other]],Table_NFI[Winter Items Other])</f>
        <v>0</v>
      </c>
      <c r="AL1142" s="264">
        <f>IF(NFI_Expiration=1,IF($A1142&lt;VLOOKUP(M$5,NFI,5,0),1,0)*Table_NFI[[#This Row],[Winter Blanket]],Table_NFI[[#This Row],[Winter Blanket]])</f>
        <v>0</v>
      </c>
      <c r="AM1142" s="264">
        <f>IF(Table_NFI[[#This Row],[Winter Clothes Adult]]+Table_NFI[[#This Row],[Winter Clothes Children]]+Table_NFI[[#This Row],[Winter Items Other]]+Table_NFI[[#This Row],[Winter Blanket]]&gt;0,1,0)</f>
        <v>0</v>
      </c>
      <c r="AN1142" s="296">
        <f>IF(NFI_Expiration=1,IF($A1142&lt;VLOOKUP(V$5,NFI,5,0),1,0)*Table_NFI[[#This Row],[Jerry Can]],Table_NFI[Jerry Can])</f>
        <v>0</v>
      </c>
      <c r="AO1142" s="296">
        <f>IF(NFI_Expiration=1,IF($A1142&lt;VLOOKUP(V$5,NFI,5,0),1,0)*Table_NFI[[#This Row],[Shelter Tool kit]],Table_NFI[Shelter Tool kit])</f>
        <v>0</v>
      </c>
      <c r="AP1142" s="296">
        <f>IF(NFI_Expiration=1,IF($A1142&lt;VLOOKUP(V$5,NFI,5,0),1,0)*Table_NFI[[#This Row],[Tent]],Table_NFI[Tent])</f>
        <v>0</v>
      </c>
      <c r="AQ1142" s="396" t="str">
        <f>IFERROR(VLOOKUP(Table_NFI[[#This Row],[Camp Name]],CL,2,0),"")</f>
        <v>MMR001CMP119</v>
      </c>
      <c r="AR1142" s="702">
        <f ca="1">IF(Table_NFI[[#This Row],[Pcode]]="","",IF(OFFSET(CampList[Opening Date],MATCH(Table_NFI[[#This Row],[Pcode]],CampList[CP_Pcode],0)-1,0,1,1)&gt;=NFI_Monitor_Date,1,0))</f>
        <v>0</v>
      </c>
      <c r="AS1142" s="396" t="str">
        <f>IFERROR(VLOOKUP(Table_NFI[[#This Row],[Camp Name]],CL,3,0),"")</f>
        <v>Open</v>
      </c>
      <c r="AT1142" s="264" t="str">
        <f ca="1">IF(Table_NFI[[#This Row],[Pcode]]="","",OFFSET(CampList[Priority],MATCH(Table_NFI[[#This Row],[Pcode]],CampList[CP_Pcode],0)-1,0,1,1))</f>
        <v>P2</v>
      </c>
      <c r="AU1142" s="263">
        <f>IFERROR(Table_NFI[[#This Row],[Kitchen Set]]/VLOOKUP(Table_NFI[[#This Row],[Camp Name]],CL,4,0),"")</f>
        <v>3.0716304214276936E-3</v>
      </c>
      <c r="AV1142" s="390" t="s">
        <v>1087</v>
      </c>
      <c r="AW1142" s="392"/>
      <c r="AX1142" s="399"/>
      <c r="AY1142" s="399"/>
      <c r="AZ1142" s="399"/>
      <c r="BA1142" s="399"/>
      <c r="BB1142" s="399"/>
      <c r="BC1142" s="399"/>
      <c r="BD1142" s="399"/>
      <c r="BE1142" s="399"/>
      <c r="BF1142" s="399"/>
      <c r="BG1142" s="399"/>
      <c r="BH1142" s="399"/>
      <c r="BI1142" s="399"/>
      <c r="BJ1142" s="399"/>
      <c r="BK1142" s="399"/>
      <c r="BL1142" s="399"/>
      <c r="BM1142" s="399"/>
      <c r="BN1142" s="399"/>
      <c r="BO1142" s="399"/>
      <c r="BP1142" s="399"/>
      <c r="BQ1142" s="399"/>
      <c r="BR1142" s="399"/>
      <c r="BS1142" s="399"/>
      <c r="BT1142" s="399"/>
      <c r="BU1142" s="399"/>
      <c r="BV1142" s="399"/>
      <c r="BW1142" s="399"/>
      <c r="BX1142" s="399"/>
      <c r="BY1142" s="399"/>
      <c r="BZ1142" s="399"/>
      <c r="CA1142" s="399"/>
      <c r="CB1142" s="399"/>
      <c r="CC1142" s="399"/>
      <c r="CD1142" s="399"/>
      <c r="CE1142" s="399"/>
      <c r="CF1142" s="399"/>
      <c r="CG1142" s="399"/>
      <c r="CH1142" s="399"/>
      <c r="CI1142" s="399"/>
      <c r="CJ1142" s="399"/>
      <c r="CK1142" s="399"/>
      <c r="CL1142" s="399"/>
      <c r="CM1142" s="399"/>
      <c r="CN1142" s="399"/>
      <c r="CO1142" s="399"/>
      <c r="CP1142" s="399"/>
      <c r="CQ1142" s="399"/>
      <c r="CR1142" s="399"/>
      <c r="CS1142" s="399"/>
      <c r="CT1142" s="399"/>
      <c r="CU1142" s="399"/>
      <c r="CV1142" s="399"/>
      <c r="CW1142" s="399"/>
      <c r="CX1142" s="399"/>
      <c r="CY1142" s="399"/>
      <c r="CZ1142" s="399"/>
      <c r="DA1142" s="399"/>
      <c r="DB1142" s="399"/>
      <c r="DC1142" s="399"/>
      <c r="DD1142" s="399"/>
      <c r="DE1142" s="399"/>
      <c r="DF1142" s="399"/>
      <c r="DG1142" s="399"/>
      <c r="DH1142" s="399"/>
      <c r="DI1142" s="399"/>
      <c r="DJ1142" s="399"/>
      <c r="DK1142" s="399"/>
      <c r="DL1142" s="399"/>
      <c r="DM1142" s="399"/>
      <c r="DN1142" s="399"/>
      <c r="DO1142" s="399"/>
      <c r="DP1142" s="399"/>
      <c r="DQ1142" s="399"/>
    </row>
    <row r="1143" spans="1:121" s="760" customFormat="1" ht="14.45" customHeight="1" x14ac:dyDescent="0.25">
      <c r="A1143" s="266">
        <f t="shared" si="17"/>
        <v>65.533333333333331</v>
      </c>
      <c r="B1143" s="389">
        <v>40890</v>
      </c>
      <c r="C1143" s="390" t="s">
        <v>451</v>
      </c>
      <c r="D1143" s="391" t="s">
        <v>571</v>
      </c>
      <c r="E1143" s="390" t="s">
        <v>380</v>
      </c>
      <c r="F1143" s="262" t="s">
        <v>310</v>
      </c>
      <c r="G1143" s="262" t="s">
        <v>1233</v>
      </c>
      <c r="H1143" s="261"/>
      <c r="I1143" s="261"/>
      <c r="J1143" s="261"/>
      <c r="K1143" s="261">
        <v>250</v>
      </c>
      <c r="L1143" s="261">
        <v>125</v>
      </c>
      <c r="M1143" s="261">
        <v>250</v>
      </c>
      <c r="N1143" s="261">
        <v>125</v>
      </c>
      <c r="O1143" s="261">
        <v>125</v>
      </c>
      <c r="P1143" s="261">
        <v>125</v>
      </c>
      <c r="Q1143" s="261">
        <v>125</v>
      </c>
      <c r="R1143" s="261"/>
      <c r="S1143" s="261"/>
      <c r="T1143" s="261"/>
      <c r="U1143" s="261"/>
      <c r="V1143" s="762"/>
      <c r="W1143" s="762"/>
      <c r="X1143" s="762"/>
      <c r="Y1143" s="264">
        <f>IF(NFI_Expiration=1,IF($A1143&lt;VLOOKUP(H$5,NFI,5,0),1,0)*Table_NFI[[#This Row],[Hygiene Kit]],Table_NFI[Hygiene Kit])</f>
        <v>0</v>
      </c>
      <c r="Z1143" s="264">
        <f>IF(NFI_Expiration=1,IF($A1143&lt;VLOOKUP(I$5,NFI,5,0),1,0)*Table_NFI[[#This Row],[NFI Core Kit]],Table_NFI[NFI Core Kit])</f>
        <v>0</v>
      </c>
      <c r="AA1143" s="264">
        <f>IF(NFI_Expiration=1,IF($A1143&lt;VLOOKUP(J$5,NFI,5,0),1,0)*Table_NFI[[#This Row],[Sanitary Kit]],Table_NFI[Sanitary Kit])</f>
        <v>0</v>
      </c>
      <c r="AB1143" s="264">
        <f>IF(NFI_Expiration=1,IF($A1143&lt;VLOOKUP(K$5,NFI,5,0),1,0)*Table_NFI[[#This Row],[Mosquito net]],Table_NFI[Mosquito net])</f>
        <v>0</v>
      </c>
      <c r="AC1143" s="264">
        <f>IF(NFI_Expiration=1,IF($A1143&lt;VLOOKUP(L$5,NFI,5,0),1,0)*Table_NFI[[#This Row],[Tarpaulin]],Table_NFI[[#This Row],[Tarpaulin]])</f>
        <v>0</v>
      </c>
      <c r="AD1143" s="264">
        <f>IF(NFI_Expiration=1,IF($A1143&lt;VLOOKUP(M$5,NFI,5,0),1,0)*Table_NFI[[#This Row],[Blanket]],Table_NFI[[#This Row],[Blanket]])</f>
        <v>0</v>
      </c>
      <c r="AE1143" s="264">
        <f>IF(NFI_Expiration=1,IF($A1143&lt;VLOOKUP(N$5,NFI,5,0),1,0)*Table_NFI[[#This Row],[Kitchen Set]],Table_NFI[Kitchen Set])</f>
        <v>0</v>
      </c>
      <c r="AF1143" s="264">
        <f>IF(NFI_Expiration=1,IF($A1143&lt;VLOOKUP(O$5,NFI,5,0),1,0)*Table_NFI[[#This Row],[Clothes Kit]],Table_NFI[Clothes Kit])</f>
        <v>0</v>
      </c>
      <c r="AG1143" s="264">
        <f>IF(NFI_Expiration=1,IF($A1143&lt;VLOOKUP(P$5,NFI,5,0),1,0)*Table_NFI[[#This Row],[Plastic Bucket]],Table_NFI[Plastic Bucket])</f>
        <v>0</v>
      </c>
      <c r="AH1143" s="264">
        <f>IF(NFI_Expiration=1,IF($A1143&lt;VLOOKUP(Q$5,NFI,5,0),1,0)*Table_NFI[[#This Row],[Plastic Mat]],Table_NFI[Plastic Mat])*IF(Table_NFI[[#This Row],[Distribution Date]]&gt;"2014-04-01",1,2.5)</f>
        <v>0</v>
      </c>
      <c r="AI1143" s="264">
        <f>IF(NFI_Expiration=1,IF($A1143&lt;VLOOKUP(R$5,NFI,5,0),1,0)*Table_NFI[[#This Row],[Winter Clothes Adult]],Table_NFI[Winter Clothes Adult])</f>
        <v>0</v>
      </c>
      <c r="AJ1143" s="264">
        <f>IF(NFI_Expiration=1,IF($A1143&lt;VLOOKUP(S$5,NFI,5,0),1,0)*Table_NFI[[#This Row],[Winter Clothes Children]],Table_NFI[Winter Clothes Children])</f>
        <v>0</v>
      </c>
      <c r="AK1143" s="264">
        <f>IF(NFI_Expiration=1,IF($A1143&lt;VLOOKUP(T$5,NFI,5,0),1,0)*Table_NFI[[#This Row],[Winter Items Other]],Table_NFI[Winter Items Other])</f>
        <v>0</v>
      </c>
      <c r="AL1143" s="264">
        <f>IF(NFI_Expiration=1,IF($A1143&lt;VLOOKUP(M$5,NFI,5,0),1,0)*Table_NFI[[#This Row],[Winter Blanket]],Table_NFI[[#This Row],[Winter Blanket]])</f>
        <v>0</v>
      </c>
      <c r="AM1143" s="264">
        <f>IF(Table_NFI[[#This Row],[Winter Clothes Adult]]+Table_NFI[[#This Row],[Winter Clothes Children]]+Table_NFI[[#This Row],[Winter Items Other]]+Table_NFI[[#This Row],[Winter Blanket]]&gt;0,1,0)</f>
        <v>0</v>
      </c>
      <c r="AN1143" s="296">
        <f>IF(NFI_Expiration=1,IF($A1143&lt;VLOOKUP(V$5,NFI,5,0),1,0)*Table_NFI[[#This Row],[Jerry Can]],Table_NFI[Jerry Can])</f>
        <v>0</v>
      </c>
      <c r="AO1143" s="296">
        <f>IF(NFI_Expiration=1,IF($A1143&lt;VLOOKUP(V$5,NFI,5,0),1,0)*Table_NFI[[#This Row],[Shelter Tool kit]],Table_NFI[Shelter Tool kit])</f>
        <v>0</v>
      </c>
      <c r="AP1143" s="296">
        <f>IF(NFI_Expiration=1,IF($A1143&lt;VLOOKUP(V$5,NFI,5,0),1,0)*Table_NFI[[#This Row],[Tent]],Table_NFI[Tent])</f>
        <v>0</v>
      </c>
      <c r="AQ1143" s="396" t="str">
        <f>IFERROR(VLOOKUP(Table_NFI[[#This Row],[Camp Name]],CL,2,0),"")</f>
        <v>MMR001CMP111</v>
      </c>
      <c r="AR1143" s="702">
        <f ca="1">IF(Table_NFI[[#This Row],[Pcode]]="","",IF(OFFSET(CampList[Opening Date],MATCH(Table_NFI[[#This Row],[Pcode]],CampList[CP_Pcode],0)-1,0,1,1)&gt;=NFI_Monitor_Date,1,0))</f>
        <v>0</v>
      </c>
      <c r="AS1143" s="396" t="str">
        <f>IFERROR(VLOOKUP(Table_NFI[[#This Row],[Camp Name]],CL,3,0),"")</f>
        <v>Closed</v>
      </c>
      <c r="AT1143" s="264" t="str">
        <f ca="1">IF(Table_NFI[[#This Row],[Pcode]]="","",OFFSET(CampList[Priority],MATCH(Table_NFI[[#This Row],[Pcode]],CampList[CP_Pcode],0)-1,0,1,1))</f>
        <v>P2</v>
      </c>
      <c r="AU1143" s="263">
        <f>IFERROR(Table_NFI[[#This Row],[Kitchen Set]]/VLOOKUP(Table_NFI[[#This Row],[Camp Name]],CL,4,0),"")</f>
        <v>3.0601253427340385E-3</v>
      </c>
      <c r="AV1143" s="390" t="s">
        <v>1087</v>
      </c>
      <c r="AW1143" s="392"/>
      <c r="AX1143" s="399"/>
      <c r="AY1143" s="399"/>
      <c r="AZ1143" s="399"/>
      <c r="BA1143" s="399"/>
      <c r="BB1143" s="399"/>
      <c r="BC1143" s="399"/>
      <c r="BD1143" s="399"/>
      <c r="BE1143" s="399"/>
      <c r="BF1143" s="399"/>
      <c r="BG1143" s="399"/>
      <c r="BH1143" s="399"/>
      <c r="BI1143" s="399"/>
      <c r="BJ1143" s="399"/>
      <c r="BK1143" s="399"/>
      <c r="BL1143" s="399"/>
      <c r="BM1143" s="399"/>
      <c r="BN1143" s="399"/>
      <c r="BO1143" s="399"/>
      <c r="BP1143" s="399"/>
      <c r="BQ1143" s="399"/>
      <c r="BR1143" s="399"/>
      <c r="BS1143" s="399"/>
      <c r="BT1143" s="399"/>
      <c r="BU1143" s="399"/>
      <c r="BV1143" s="399"/>
      <c r="BW1143" s="399"/>
      <c r="BX1143" s="399"/>
      <c r="BY1143" s="399"/>
      <c r="BZ1143" s="399"/>
      <c r="CA1143" s="399"/>
      <c r="CB1143" s="399"/>
      <c r="CC1143" s="399"/>
      <c r="CD1143" s="399"/>
      <c r="CE1143" s="399"/>
      <c r="CF1143" s="399"/>
      <c r="CG1143" s="399"/>
      <c r="CH1143" s="399"/>
      <c r="CI1143" s="399"/>
      <c r="CJ1143" s="399"/>
      <c r="CK1143" s="399"/>
      <c r="CL1143" s="399"/>
      <c r="CM1143" s="399"/>
      <c r="CN1143" s="399"/>
      <c r="CO1143" s="399"/>
      <c r="CP1143" s="399"/>
      <c r="CQ1143" s="399"/>
      <c r="CR1143" s="399"/>
      <c r="CS1143" s="399"/>
      <c r="CT1143" s="399"/>
      <c r="CU1143" s="399"/>
      <c r="CV1143" s="399"/>
      <c r="CW1143" s="399"/>
      <c r="CX1143" s="399"/>
      <c r="CY1143" s="399"/>
      <c r="CZ1143" s="399"/>
      <c r="DA1143" s="399"/>
      <c r="DB1143" s="399"/>
      <c r="DC1143" s="399"/>
      <c r="DD1143" s="399"/>
      <c r="DE1143" s="399"/>
      <c r="DF1143" s="399"/>
      <c r="DG1143" s="399"/>
      <c r="DH1143" s="399"/>
      <c r="DI1143" s="399"/>
      <c r="DJ1143" s="399"/>
      <c r="DK1143" s="399"/>
      <c r="DL1143" s="399"/>
      <c r="DM1143" s="399"/>
      <c r="DN1143" s="399"/>
      <c r="DO1143" s="399"/>
      <c r="DP1143" s="399"/>
      <c r="DQ1143" s="399"/>
    </row>
    <row r="1144" spans="1:121" s="760" customFormat="1" ht="14.45" customHeight="1" x14ac:dyDescent="0.25">
      <c r="A1144" s="266">
        <f t="shared" si="17"/>
        <v>65.599999999999994</v>
      </c>
      <c r="B1144" s="389">
        <v>40888</v>
      </c>
      <c r="C1144" s="390" t="s">
        <v>451</v>
      </c>
      <c r="D1144" s="390" t="s">
        <v>459</v>
      </c>
      <c r="E1144" s="390" t="s">
        <v>380</v>
      </c>
      <c r="F1144" s="262" t="s">
        <v>237</v>
      </c>
      <c r="G1144" s="262" t="s">
        <v>261</v>
      </c>
      <c r="H1144" s="261"/>
      <c r="I1144" s="261"/>
      <c r="J1144" s="261"/>
      <c r="K1144" s="261">
        <v>6</v>
      </c>
      <c r="L1144" s="261">
        <v>4</v>
      </c>
      <c r="M1144" s="261">
        <v>6</v>
      </c>
      <c r="N1144" s="261">
        <v>4</v>
      </c>
      <c r="O1144" s="261">
        <v>4</v>
      </c>
      <c r="P1144" s="261">
        <v>4</v>
      </c>
      <c r="Q1144" s="261">
        <v>4</v>
      </c>
      <c r="R1144" s="261"/>
      <c r="S1144" s="261"/>
      <c r="T1144" s="261"/>
      <c r="U1144" s="261"/>
      <c r="V1144" s="762"/>
      <c r="W1144" s="762"/>
      <c r="X1144" s="762"/>
      <c r="Y1144" s="264">
        <f>IF(NFI_Expiration=1,IF($A1144&lt;VLOOKUP(H$5,NFI,5,0),1,0)*Table_NFI[[#This Row],[Hygiene Kit]],Table_NFI[Hygiene Kit])</f>
        <v>0</v>
      </c>
      <c r="Z1144" s="264">
        <f>IF(NFI_Expiration=1,IF($A1144&lt;VLOOKUP(I$5,NFI,5,0),1,0)*Table_NFI[[#This Row],[NFI Core Kit]],Table_NFI[NFI Core Kit])</f>
        <v>0</v>
      </c>
      <c r="AA1144" s="264">
        <f>IF(NFI_Expiration=1,IF($A1144&lt;VLOOKUP(J$5,NFI,5,0),1,0)*Table_NFI[[#This Row],[Sanitary Kit]],Table_NFI[Sanitary Kit])</f>
        <v>0</v>
      </c>
      <c r="AB1144" s="264">
        <f>IF(NFI_Expiration=1,IF($A1144&lt;VLOOKUP(K$5,NFI,5,0),1,0)*Table_NFI[[#This Row],[Mosquito net]],Table_NFI[Mosquito net])</f>
        <v>0</v>
      </c>
      <c r="AC1144" s="264">
        <f>IF(NFI_Expiration=1,IF($A1144&lt;VLOOKUP(L$5,NFI,5,0),1,0)*Table_NFI[[#This Row],[Tarpaulin]],Table_NFI[[#This Row],[Tarpaulin]])</f>
        <v>0</v>
      </c>
      <c r="AD1144" s="264">
        <f>IF(NFI_Expiration=1,IF($A1144&lt;VLOOKUP(M$5,NFI,5,0),1,0)*Table_NFI[[#This Row],[Blanket]],Table_NFI[[#This Row],[Blanket]])</f>
        <v>0</v>
      </c>
      <c r="AE1144" s="264">
        <f>IF(NFI_Expiration=1,IF($A1144&lt;VLOOKUP(N$5,NFI,5,0),1,0)*Table_NFI[[#This Row],[Kitchen Set]],Table_NFI[Kitchen Set])</f>
        <v>0</v>
      </c>
      <c r="AF1144" s="264">
        <f>IF(NFI_Expiration=1,IF($A1144&lt;VLOOKUP(O$5,NFI,5,0),1,0)*Table_NFI[[#This Row],[Clothes Kit]],Table_NFI[Clothes Kit])</f>
        <v>0</v>
      </c>
      <c r="AG1144" s="264">
        <f>IF(NFI_Expiration=1,IF($A1144&lt;VLOOKUP(P$5,NFI,5,0),1,0)*Table_NFI[[#This Row],[Plastic Bucket]],Table_NFI[Plastic Bucket])</f>
        <v>0</v>
      </c>
      <c r="AH1144" s="264">
        <f>IF(NFI_Expiration=1,IF($A1144&lt;VLOOKUP(Q$5,NFI,5,0),1,0)*Table_NFI[[#This Row],[Plastic Mat]],Table_NFI[Plastic Mat])*IF(Table_NFI[[#This Row],[Distribution Date]]&gt;"2014-04-01",1,2.5)</f>
        <v>0</v>
      </c>
      <c r="AI1144" s="264">
        <f>IF(NFI_Expiration=1,IF($A1144&lt;VLOOKUP(R$5,NFI,5,0),1,0)*Table_NFI[[#This Row],[Winter Clothes Adult]],Table_NFI[Winter Clothes Adult])</f>
        <v>0</v>
      </c>
      <c r="AJ1144" s="264">
        <f>IF(NFI_Expiration=1,IF($A1144&lt;VLOOKUP(S$5,NFI,5,0),1,0)*Table_NFI[[#This Row],[Winter Clothes Children]],Table_NFI[Winter Clothes Children])</f>
        <v>0</v>
      </c>
      <c r="AK1144" s="264">
        <f>IF(NFI_Expiration=1,IF($A1144&lt;VLOOKUP(T$5,NFI,5,0),1,0)*Table_NFI[[#This Row],[Winter Items Other]],Table_NFI[Winter Items Other])</f>
        <v>0</v>
      </c>
      <c r="AL1144" s="264">
        <f>IF(NFI_Expiration=1,IF($A1144&lt;VLOOKUP(M$5,NFI,5,0),1,0)*Table_NFI[[#This Row],[Winter Blanket]],Table_NFI[[#This Row],[Winter Blanket]])</f>
        <v>0</v>
      </c>
      <c r="AM1144" s="264">
        <f>IF(Table_NFI[[#This Row],[Winter Clothes Adult]]+Table_NFI[[#This Row],[Winter Clothes Children]]+Table_NFI[[#This Row],[Winter Items Other]]+Table_NFI[[#This Row],[Winter Blanket]]&gt;0,1,0)</f>
        <v>0</v>
      </c>
      <c r="AN1144" s="296">
        <f>IF(NFI_Expiration=1,IF($A1144&lt;VLOOKUP(V$5,NFI,5,0),1,0)*Table_NFI[[#This Row],[Jerry Can]],Table_NFI[Jerry Can])</f>
        <v>0</v>
      </c>
      <c r="AO1144" s="296">
        <f>IF(NFI_Expiration=1,IF($A1144&lt;VLOOKUP(V$5,NFI,5,0),1,0)*Table_NFI[[#This Row],[Shelter Tool kit]],Table_NFI[Shelter Tool kit])</f>
        <v>0</v>
      </c>
      <c r="AP1144" s="296">
        <f>IF(NFI_Expiration=1,IF($A1144&lt;VLOOKUP(V$5,NFI,5,0),1,0)*Table_NFI[[#This Row],[Tent]],Table_NFI[Tent])</f>
        <v>0</v>
      </c>
      <c r="AQ1144" s="396" t="str">
        <f>IFERROR(VLOOKUP(Table_NFI[[#This Row],[Camp Name]],CL,2,0),"")</f>
        <v>MMR001CMP008</v>
      </c>
      <c r="AR1144" s="702">
        <f ca="1">IF(Table_NFI[[#This Row],[Pcode]]="","",IF(OFFSET(CampList[Opening Date],MATCH(Table_NFI[[#This Row],[Pcode]],CampList[CP_Pcode],0)-1,0,1,1)&gt;=NFI_Monitor_Date,1,0))</f>
        <v>0</v>
      </c>
      <c r="AS1144" s="396" t="str">
        <f>IFERROR(VLOOKUP(Table_NFI[[#This Row],[Camp Name]],CL,3,0),"")</f>
        <v>Open</v>
      </c>
      <c r="AT1144" s="264" t="str">
        <f ca="1">IF(Table_NFI[[#This Row],[Pcode]]="","",OFFSET(CampList[Priority],MATCH(Table_NFI[[#This Row],[Pcode]],CampList[CP_Pcode],0)-1,0,1,1))</f>
        <v>P4</v>
      </c>
      <c r="AU1144" s="263">
        <f>IFERROR(Table_NFI[[#This Row],[Kitchen Set]]/VLOOKUP(Table_NFI[[#This Row],[Camp Name]],CL,4,0),"")</f>
        <v>9.8219766728054015E-5</v>
      </c>
      <c r="AV1144" s="390" t="s">
        <v>1087</v>
      </c>
      <c r="AW1144" s="392"/>
      <c r="AX1144" s="399"/>
      <c r="AY1144" s="399"/>
      <c r="AZ1144" s="399"/>
      <c r="BA1144" s="399"/>
      <c r="BB1144" s="399"/>
      <c r="BC1144" s="399"/>
      <c r="BD1144" s="399"/>
      <c r="BE1144" s="399"/>
      <c r="BF1144" s="399"/>
      <c r="BG1144" s="399"/>
      <c r="BH1144" s="399"/>
      <c r="BI1144" s="399"/>
      <c r="BJ1144" s="399"/>
      <c r="BK1144" s="399"/>
      <c r="BL1144" s="399"/>
      <c r="BM1144" s="399"/>
      <c r="BN1144" s="399"/>
      <c r="BO1144" s="399"/>
      <c r="BP1144" s="399"/>
      <c r="BQ1144" s="399"/>
      <c r="BR1144" s="399"/>
      <c r="BS1144" s="399"/>
      <c r="BT1144" s="399"/>
      <c r="BU1144" s="399"/>
      <c r="BV1144" s="399"/>
      <c r="BW1144" s="399"/>
      <c r="BX1144" s="399"/>
      <c r="BY1144" s="399"/>
      <c r="BZ1144" s="399"/>
      <c r="CA1144" s="399"/>
      <c r="CB1144" s="399"/>
      <c r="CC1144" s="399"/>
      <c r="CD1144" s="399"/>
      <c r="CE1144" s="399"/>
      <c r="CF1144" s="399"/>
      <c r="CG1144" s="399"/>
      <c r="CH1144" s="399"/>
      <c r="CI1144" s="399"/>
      <c r="CJ1144" s="399"/>
      <c r="CK1144" s="399"/>
      <c r="CL1144" s="399"/>
      <c r="CM1144" s="399"/>
      <c r="CN1144" s="399"/>
      <c r="CO1144" s="399"/>
      <c r="CP1144" s="399"/>
      <c r="CQ1144" s="399"/>
      <c r="CR1144" s="399"/>
      <c r="CS1144" s="399"/>
      <c r="CT1144" s="399"/>
      <c r="CU1144" s="399"/>
      <c r="CV1144" s="399"/>
      <c r="CW1144" s="399"/>
      <c r="CX1144" s="399"/>
      <c r="CY1144" s="399"/>
      <c r="CZ1144" s="399"/>
      <c r="DA1144" s="399"/>
      <c r="DB1144" s="399"/>
      <c r="DC1144" s="399"/>
      <c r="DD1144" s="399"/>
      <c r="DE1144" s="399"/>
      <c r="DF1144" s="399"/>
      <c r="DG1144" s="399"/>
      <c r="DH1144" s="399"/>
      <c r="DI1144" s="399"/>
      <c r="DJ1144" s="399"/>
      <c r="DK1144" s="399"/>
      <c r="DL1144" s="399"/>
      <c r="DM1144" s="399"/>
      <c r="DN1144" s="399"/>
      <c r="DO1144" s="399"/>
      <c r="DP1144" s="399"/>
      <c r="DQ1144" s="399"/>
    </row>
    <row r="1145" spans="1:121" s="760" customFormat="1" ht="14.45" customHeight="1" x14ac:dyDescent="0.25">
      <c r="A1145" s="266">
        <f t="shared" si="17"/>
        <v>65.599999999999994</v>
      </c>
      <c r="B1145" s="389">
        <v>40888</v>
      </c>
      <c r="C1145" s="390" t="s">
        <v>451</v>
      </c>
      <c r="D1145" s="391" t="s">
        <v>459</v>
      </c>
      <c r="E1145" s="390" t="s">
        <v>380</v>
      </c>
      <c r="F1145" s="262" t="s">
        <v>237</v>
      </c>
      <c r="G1145" s="262" t="s">
        <v>277</v>
      </c>
      <c r="H1145" s="261"/>
      <c r="I1145" s="261"/>
      <c r="J1145" s="261"/>
      <c r="K1145" s="261">
        <v>2</v>
      </c>
      <c r="L1145" s="261">
        <v>2</v>
      </c>
      <c r="M1145" s="261">
        <v>2</v>
      </c>
      <c r="N1145" s="261">
        <v>2</v>
      </c>
      <c r="O1145" s="261">
        <v>2</v>
      </c>
      <c r="P1145" s="261">
        <v>2</v>
      </c>
      <c r="Q1145" s="261">
        <v>2</v>
      </c>
      <c r="R1145" s="261"/>
      <c r="S1145" s="261"/>
      <c r="T1145" s="261"/>
      <c r="U1145" s="261"/>
      <c r="V1145" s="762"/>
      <c r="W1145" s="762"/>
      <c r="X1145" s="762"/>
      <c r="Y1145" s="264">
        <f>IF(NFI_Expiration=1,IF($A1145&lt;VLOOKUP(H$5,NFI,5,0),1,0)*Table_NFI[[#This Row],[Hygiene Kit]],Table_NFI[Hygiene Kit])</f>
        <v>0</v>
      </c>
      <c r="Z1145" s="264">
        <f>IF(NFI_Expiration=1,IF($A1145&lt;VLOOKUP(I$5,NFI,5,0),1,0)*Table_NFI[[#This Row],[NFI Core Kit]],Table_NFI[NFI Core Kit])</f>
        <v>0</v>
      </c>
      <c r="AA1145" s="264">
        <f>IF(NFI_Expiration=1,IF($A1145&lt;VLOOKUP(J$5,NFI,5,0),1,0)*Table_NFI[[#This Row],[Sanitary Kit]],Table_NFI[Sanitary Kit])</f>
        <v>0</v>
      </c>
      <c r="AB1145" s="264">
        <f>IF(NFI_Expiration=1,IF($A1145&lt;VLOOKUP(K$5,NFI,5,0),1,0)*Table_NFI[[#This Row],[Mosquito net]],Table_NFI[Mosquito net])</f>
        <v>0</v>
      </c>
      <c r="AC1145" s="264">
        <f>IF(NFI_Expiration=1,IF($A1145&lt;VLOOKUP(L$5,NFI,5,0),1,0)*Table_NFI[[#This Row],[Tarpaulin]],Table_NFI[[#This Row],[Tarpaulin]])</f>
        <v>0</v>
      </c>
      <c r="AD1145" s="264">
        <f>IF(NFI_Expiration=1,IF($A1145&lt;VLOOKUP(M$5,NFI,5,0),1,0)*Table_NFI[[#This Row],[Blanket]],Table_NFI[[#This Row],[Blanket]])</f>
        <v>0</v>
      </c>
      <c r="AE1145" s="264">
        <f>IF(NFI_Expiration=1,IF($A1145&lt;VLOOKUP(N$5,NFI,5,0),1,0)*Table_NFI[[#This Row],[Kitchen Set]],Table_NFI[Kitchen Set])</f>
        <v>0</v>
      </c>
      <c r="AF1145" s="264">
        <f>IF(NFI_Expiration=1,IF($A1145&lt;VLOOKUP(O$5,NFI,5,0),1,0)*Table_NFI[[#This Row],[Clothes Kit]],Table_NFI[Clothes Kit])</f>
        <v>0</v>
      </c>
      <c r="AG1145" s="264">
        <f>IF(NFI_Expiration=1,IF($A1145&lt;VLOOKUP(P$5,NFI,5,0),1,0)*Table_NFI[[#This Row],[Plastic Bucket]],Table_NFI[Plastic Bucket])</f>
        <v>0</v>
      </c>
      <c r="AH1145" s="264">
        <f>IF(NFI_Expiration=1,IF($A1145&lt;VLOOKUP(Q$5,NFI,5,0),1,0)*Table_NFI[[#This Row],[Plastic Mat]],Table_NFI[Plastic Mat])*IF(Table_NFI[[#This Row],[Distribution Date]]&gt;"2014-04-01",1,2.5)</f>
        <v>0</v>
      </c>
      <c r="AI1145" s="264">
        <f>IF(NFI_Expiration=1,IF($A1145&lt;VLOOKUP(R$5,NFI,5,0),1,0)*Table_NFI[[#This Row],[Winter Clothes Adult]],Table_NFI[Winter Clothes Adult])</f>
        <v>0</v>
      </c>
      <c r="AJ1145" s="264">
        <f>IF(NFI_Expiration=1,IF($A1145&lt;VLOOKUP(S$5,NFI,5,0),1,0)*Table_NFI[[#This Row],[Winter Clothes Children]],Table_NFI[Winter Clothes Children])</f>
        <v>0</v>
      </c>
      <c r="AK1145" s="264">
        <f>IF(NFI_Expiration=1,IF($A1145&lt;VLOOKUP(T$5,NFI,5,0),1,0)*Table_NFI[[#This Row],[Winter Items Other]],Table_NFI[Winter Items Other])</f>
        <v>0</v>
      </c>
      <c r="AL1145" s="264">
        <f>IF(NFI_Expiration=1,IF($A1145&lt;VLOOKUP(M$5,NFI,5,0),1,0)*Table_NFI[[#This Row],[Winter Blanket]],Table_NFI[[#This Row],[Winter Blanket]])</f>
        <v>0</v>
      </c>
      <c r="AM1145" s="264">
        <f>IF(Table_NFI[[#This Row],[Winter Clothes Adult]]+Table_NFI[[#This Row],[Winter Clothes Children]]+Table_NFI[[#This Row],[Winter Items Other]]+Table_NFI[[#This Row],[Winter Blanket]]&gt;0,1,0)</f>
        <v>0</v>
      </c>
      <c r="AN1145" s="296">
        <f>IF(NFI_Expiration=1,IF($A1145&lt;VLOOKUP(V$5,NFI,5,0),1,0)*Table_NFI[[#This Row],[Jerry Can]],Table_NFI[Jerry Can])</f>
        <v>0</v>
      </c>
      <c r="AO1145" s="296">
        <f>IF(NFI_Expiration=1,IF($A1145&lt;VLOOKUP(V$5,NFI,5,0),1,0)*Table_NFI[[#This Row],[Shelter Tool kit]],Table_NFI[Shelter Tool kit])</f>
        <v>0</v>
      </c>
      <c r="AP1145" s="296">
        <f>IF(NFI_Expiration=1,IF($A1145&lt;VLOOKUP(V$5,NFI,5,0),1,0)*Table_NFI[[#This Row],[Tent]],Table_NFI[Tent])</f>
        <v>0</v>
      </c>
      <c r="AQ1145" s="396" t="str">
        <f>IFERROR(VLOOKUP(Table_NFI[[#This Row],[Camp Name]],CL,2,0),"")</f>
        <v>MMR001CMP006</v>
      </c>
      <c r="AR1145" s="702">
        <f ca="1">IF(Table_NFI[[#This Row],[Pcode]]="","",IF(OFFSET(CampList[Opening Date],MATCH(Table_NFI[[#This Row],[Pcode]],CampList[CP_Pcode],0)-1,0,1,1)&gt;=NFI_Monitor_Date,1,0))</f>
        <v>0</v>
      </c>
      <c r="AS1145" s="396" t="str">
        <f>IFERROR(VLOOKUP(Table_NFI[[#This Row],[Camp Name]],CL,3,0),"")</f>
        <v>Open</v>
      </c>
      <c r="AT1145" s="264" t="str">
        <f ca="1">IF(Table_NFI[[#This Row],[Pcode]]="","",OFFSET(CampList[Priority],MATCH(Table_NFI[[#This Row],[Pcode]],CampList[CP_Pcode],0)-1,0,1,1))</f>
        <v>P4</v>
      </c>
      <c r="AU1145" s="263">
        <f>IFERROR(Table_NFI[[#This Row],[Kitchen Set]]/VLOOKUP(Table_NFI[[#This Row],[Camp Name]],CL,4,0),"")</f>
        <v>4.9072529198154875E-5</v>
      </c>
      <c r="AV1145" s="390" t="s">
        <v>1087</v>
      </c>
      <c r="AW1145" s="392"/>
      <c r="AX1145" s="399"/>
      <c r="AY1145" s="399"/>
      <c r="AZ1145" s="399"/>
      <c r="BA1145" s="399"/>
      <c r="BB1145" s="399"/>
      <c r="BC1145" s="399"/>
      <c r="BD1145" s="399"/>
      <c r="BE1145" s="399"/>
      <c r="BF1145" s="399"/>
      <c r="BG1145" s="399"/>
      <c r="BH1145" s="399"/>
      <c r="BI1145" s="399"/>
      <c r="BJ1145" s="399"/>
      <c r="BK1145" s="399"/>
      <c r="BL1145" s="399"/>
      <c r="BM1145" s="399"/>
      <c r="BN1145" s="399"/>
      <c r="BO1145" s="399"/>
      <c r="BP1145" s="399"/>
      <c r="BQ1145" s="399"/>
      <c r="BR1145" s="399"/>
      <c r="BS1145" s="399"/>
      <c r="BT1145" s="399"/>
      <c r="BU1145" s="399"/>
      <c r="BV1145" s="399"/>
      <c r="BW1145" s="399"/>
      <c r="BX1145" s="399"/>
      <c r="BY1145" s="399"/>
      <c r="BZ1145" s="399"/>
      <c r="CA1145" s="399"/>
      <c r="CB1145" s="399"/>
      <c r="CC1145" s="399"/>
      <c r="CD1145" s="399"/>
      <c r="CE1145" s="399"/>
      <c r="CF1145" s="399"/>
      <c r="CG1145" s="399"/>
      <c r="CH1145" s="399"/>
      <c r="CI1145" s="399"/>
      <c r="CJ1145" s="399"/>
      <c r="CK1145" s="399"/>
      <c r="CL1145" s="399"/>
      <c r="CM1145" s="399"/>
      <c r="CN1145" s="399"/>
      <c r="CO1145" s="399"/>
      <c r="CP1145" s="399"/>
      <c r="CQ1145" s="399"/>
      <c r="CR1145" s="399"/>
      <c r="CS1145" s="399"/>
      <c r="CT1145" s="399"/>
      <c r="CU1145" s="399"/>
      <c r="CV1145" s="399"/>
      <c r="CW1145" s="399"/>
      <c r="CX1145" s="399"/>
      <c r="CY1145" s="399"/>
      <c r="CZ1145" s="399"/>
      <c r="DA1145" s="399"/>
      <c r="DB1145" s="399"/>
      <c r="DC1145" s="399"/>
      <c r="DD1145" s="399"/>
      <c r="DE1145" s="399"/>
      <c r="DF1145" s="399"/>
      <c r="DG1145" s="399"/>
      <c r="DH1145" s="399"/>
      <c r="DI1145" s="399"/>
      <c r="DJ1145" s="399"/>
      <c r="DK1145" s="399"/>
      <c r="DL1145" s="399"/>
      <c r="DM1145" s="399"/>
      <c r="DN1145" s="399"/>
      <c r="DO1145" s="399"/>
      <c r="DP1145" s="399"/>
      <c r="DQ1145" s="399"/>
    </row>
    <row r="1146" spans="1:121" s="760" customFormat="1" ht="14.45" customHeight="1" x14ac:dyDescent="0.25">
      <c r="A1146" s="266">
        <f t="shared" si="17"/>
        <v>65.599999999999994</v>
      </c>
      <c r="B1146" s="389">
        <v>40888</v>
      </c>
      <c r="C1146" s="390" t="s">
        <v>451</v>
      </c>
      <c r="D1146" s="391" t="s">
        <v>459</v>
      </c>
      <c r="E1146" s="390" t="s">
        <v>380</v>
      </c>
      <c r="F1146" s="262" t="s">
        <v>237</v>
      </c>
      <c r="G1146" s="262" t="s">
        <v>275</v>
      </c>
      <c r="H1146" s="261"/>
      <c r="I1146" s="261"/>
      <c r="J1146" s="261"/>
      <c r="K1146" s="261">
        <v>3</v>
      </c>
      <c r="L1146" s="261">
        <v>2</v>
      </c>
      <c r="M1146" s="261">
        <v>3</v>
      </c>
      <c r="N1146" s="261">
        <v>2</v>
      </c>
      <c r="O1146" s="261">
        <v>2</v>
      </c>
      <c r="P1146" s="261">
        <v>2</v>
      </c>
      <c r="Q1146" s="261">
        <v>2</v>
      </c>
      <c r="R1146" s="261"/>
      <c r="S1146" s="261"/>
      <c r="T1146" s="261"/>
      <c r="U1146" s="261"/>
      <c r="V1146" s="762"/>
      <c r="W1146" s="762"/>
      <c r="X1146" s="762"/>
      <c r="Y1146" s="264">
        <f>IF(NFI_Expiration=1,IF($A1146&lt;VLOOKUP(H$5,NFI,5,0),1,0)*Table_NFI[[#This Row],[Hygiene Kit]],Table_NFI[Hygiene Kit])</f>
        <v>0</v>
      </c>
      <c r="Z1146" s="264">
        <f>IF(NFI_Expiration=1,IF($A1146&lt;VLOOKUP(I$5,NFI,5,0),1,0)*Table_NFI[[#This Row],[NFI Core Kit]],Table_NFI[NFI Core Kit])</f>
        <v>0</v>
      </c>
      <c r="AA1146" s="264">
        <f>IF(NFI_Expiration=1,IF($A1146&lt;VLOOKUP(J$5,NFI,5,0),1,0)*Table_NFI[[#This Row],[Sanitary Kit]],Table_NFI[Sanitary Kit])</f>
        <v>0</v>
      </c>
      <c r="AB1146" s="264">
        <f>IF(NFI_Expiration=1,IF($A1146&lt;VLOOKUP(K$5,NFI,5,0),1,0)*Table_NFI[[#This Row],[Mosquito net]],Table_NFI[Mosquito net])</f>
        <v>0</v>
      </c>
      <c r="AC1146" s="264">
        <f>IF(NFI_Expiration=1,IF($A1146&lt;VLOOKUP(L$5,NFI,5,0),1,0)*Table_NFI[[#This Row],[Tarpaulin]],Table_NFI[[#This Row],[Tarpaulin]])</f>
        <v>0</v>
      </c>
      <c r="AD1146" s="264">
        <f>IF(NFI_Expiration=1,IF($A1146&lt;VLOOKUP(M$5,NFI,5,0),1,0)*Table_NFI[[#This Row],[Blanket]],Table_NFI[[#This Row],[Blanket]])</f>
        <v>0</v>
      </c>
      <c r="AE1146" s="264">
        <f>IF(NFI_Expiration=1,IF($A1146&lt;VLOOKUP(N$5,NFI,5,0),1,0)*Table_NFI[[#This Row],[Kitchen Set]],Table_NFI[Kitchen Set])</f>
        <v>0</v>
      </c>
      <c r="AF1146" s="264">
        <f>IF(NFI_Expiration=1,IF($A1146&lt;VLOOKUP(O$5,NFI,5,0),1,0)*Table_NFI[[#This Row],[Clothes Kit]],Table_NFI[Clothes Kit])</f>
        <v>0</v>
      </c>
      <c r="AG1146" s="264">
        <f>IF(NFI_Expiration=1,IF($A1146&lt;VLOOKUP(P$5,NFI,5,0),1,0)*Table_NFI[[#This Row],[Plastic Bucket]],Table_NFI[Plastic Bucket])</f>
        <v>0</v>
      </c>
      <c r="AH1146" s="264">
        <f>IF(NFI_Expiration=1,IF($A1146&lt;VLOOKUP(Q$5,NFI,5,0),1,0)*Table_NFI[[#This Row],[Plastic Mat]],Table_NFI[Plastic Mat])*IF(Table_NFI[[#This Row],[Distribution Date]]&gt;"2014-04-01",1,2.5)</f>
        <v>0</v>
      </c>
      <c r="AI1146" s="264">
        <f>IF(NFI_Expiration=1,IF($A1146&lt;VLOOKUP(R$5,NFI,5,0),1,0)*Table_NFI[[#This Row],[Winter Clothes Adult]],Table_NFI[Winter Clothes Adult])</f>
        <v>0</v>
      </c>
      <c r="AJ1146" s="264">
        <f>IF(NFI_Expiration=1,IF($A1146&lt;VLOOKUP(S$5,NFI,5,0),1,0)*Table_NFI[[#This Row],[Winter Clothes Children]],Table_NFI[Winter Clothes Children])</f>
        <v>0</v>
      </c>
      <c r="AK1146" s="264">
        <f>IF(NFI_Expiration=1,IF($A1146&lt;VLOOKUP(T$5,NFI,5,0),1,0)*Table_NFI[[#This Row],[Winter Items Other]],Table_NFI[Winter Items Other])</f>
        <v>0</v>
      </c>
      <c r="AL1146" s="264">
        <f>IF(NFI_Expiration=1,IF($A1146&lt;VLOOKUP(M$5,NFI,5,0),1,0)*Table_NFI[[#This Row],[Winter Blanket]],Table_NFI[[#This Row],[Winter Blanket]])</f>
        <v>0</v>
      </c>
      <c r="AM1146" s="264">
        <f>IF(Table_NFI[[#This Row],[Winter Clothes Adult]]+Table_NFI[[#This Row],[Winter Clothes Children]]+Table_NFI[[#This Row],[Winter Items Other]]+Table_NFI[[#This Row],[Winter Blanket]]&gt;0,1,0)</f>
        <v>0</v>
      </c>
      <c r="AN1146" s="296">
        <f>IF(NFI_Expiration=1,IF($A1146&lt;VLOOKUP(V$5,NFI,5,0),1,0)*Table_NFI[[#This Row],[Jerry Can]],Table_NFI[Jerry Can])</f>
        <v>0</v>
      </c>
      <c r="AO1146" s="296">
        <f>IF(NFI_Expiration=1,IF($A1146&lt;VLOOKUP(V$5,NFI,5,0),1,0)*Table_NFI[[#This Row],[Shelter Tool kit]],Table_NFI[Shelter Tool kit])</f>
        <v>0</v>
      </c>
      <c r="AP1146" s="296">
        <f>IF(NFI_Expiration=1,IF($A1146&lt;VLOOKUP(V$5,NFI,5,0),1,0)*Table_NFI[[#This Row],[Tent]],Table_NFI[Tent])</f>
        <v>0</v>
      </c>
      <c r="AQ1146" s="396" t="str">
        <f>IFERROR(VLOOKUP(Table_NFI[[#This Row],[Camp Name]],CL,2,0),"")</f>
        <v>MMR001CMP005</v>
      </c>
      <c r="AR1146" s="702">
        <f ca="1">IF(Table_NFI[[#This Row],[Pcode]]="","",IF(OFFSET(CampList[Opening Date],MATCH(Table_NFI[[#This Row],[Pcode]],CampList[CP_Pcode],0)-1,0,1,1)&gt;=NFI_Monitor_Date,1,0))</f>
        <v>0</v>
      </c>
      <c r="AS1146" s="396" t="str">
        <f>IFERROR(VLOOKUP(Table_NFI[[#This Row],[Camp Name]],CL,3,0),"")</f>
        <v>Open</v>
      </c>
      <c r="AT1146" s="264" t="str">
        <f ca="1">IF(Table_NFI[[#This Row],[Pcode]]="","",OFFSET(CampList[Priority],MATCH(Table_NFI[[#This Row],[Pcode]],CampList[CP_Pcode],0)-1,0,1,1))</f>
        <v>P4</v>
      </c>
      <c r="AU1146" s="263">
        <f>IFERROR(Table_NFI[[#This Row],[Kitchen Set]]/VLOOKUP(Table_NFI[[#This Row],[Camp Name]],CL,4,0),"")</f>
        <v>4.8999191513340027E-5</v>
      </c>
      <c r="AV1146" s="390" t="s">
        <v>1087</v>
      </c>
      <c r="AW1146" s="392"/>
      <c r="AX1146" s="399"/>
      <c r="AY1146" s="399"/>
      <c r="AZ1146" s="399"/>
      <c r="BA1146" s="399"/>
      <c r="BB1146" s="399"/>
      <c r="BC1146" s="399"/>
      <c r="BD1146" s="399"/>
      <c r="BE1146" s="399"/>
      <c r="BF1146" s="399"/>
      <c r="BG1146" s="399"/>
      <c r="BH1146" s="399"/>
      <c r="BI1146" s="399"/>
      <c r="BJ1146" s="399"/>
      <c r="BK1146" s="399"/>
      <c r="BL1146" s="399"/>
      <c r="BM1146" s="399"/>
      <c r="BN1146" s="399"/>
      <c r="BO1146" s="399"/>
      <c r="BP1146" s="399"/>
      <c r="BQ1146" s="399"/>
      <c r="BR1146" s="399"/>
      <c r="BS1146" s="399"/>
      <c r="BT1146" s="399"/>
      <c r="BU1146" s="399"/>
      <c r="BV1146" s="399"/>
      <c r="BW1146" s="399"/>
      <c r="BX1146" s="399"/>
      <c r="BY1146" s="399"/>
      <c r="BZ1146" s="399"/>
      <c r="CA1146" s="399"/>
      <c r="CB1146" s="399"/>
      <c r="CC1146" s="399"/>
      <c r="CD1146" s="399"/>
      <c r="CE1146" s="399"/>
      <c r="CF1146" s="399"/>
      <c r="CG1146" s="399"/>
      <c r="CH1146" s="399"/>
      <c r="CI1146" s="399"/>
      <c r="CJ1146" s="399"/>
      <c r="CK1146" s="399"/>
      <c r="CL1146" s="399"/>
      <c r="CM1146" s="399"/>
      <c r="CN1146" s="399"/>
      <c r="CO1146" s="399"/>
      <c r="CP1146" s="399"/>
      <c r="CQ1146" s="399"/>
      <c r="CR1146" s="399"/>
      <c r="CS1146" s="399"/>
      <c r="CT1146" s="399"/>
      <c r="CU1146" s="399"/>
      <c r="CV1146" s="399"/>
      <c r="CW1146" s="399"/>
      <c r="CX1146" s="399"/>
      <c r="CY1146" s="399"/>
      <c r="CZ1146" s="399"/>
      <c r="DA1146" s="399"/>
      <c r="DB1146" s="399"/>
      <c r="DC1146" s="399"/>
      <c r="DD1146" s="399"/>
      <c r="DE1146" s="399"/>
      <c r="DF1146" s="399"/>
      <c r="DG1146" s="399"/>
      <c r="DH1146" s="399"/>
      <c r="DI1146" s="399"/>
      <c r="DJ1146" s="399"/>
      <c r="DK1146" s="399"/>
      <c r="DL1146" s="399"/>
      <c r="DM1146" s="399"/>
      <c r="DN1146" s="399"/>
      <c r="DO1146" s="399"/>
      <c r="DP1146" s="399"/>
      <c r="DQ1146" s="399"/>
    </row>
    <row r="1147" spans="1:121" s="760" customFormat="1" ht="14.45" customHeight="1" x14ac:dyDescent="0.25">
      <c r="A1147" s="266">
        <f t="shared" si="17"/>
        <v>65.599999999999994</v>
      </c>
      <c r="B1147" s="389">
        <v>40888</v>
      </c>
      <c r="C1147" s="390" t="s">
        <v>451</v>
      </c>
      <c r="D1147" s="390" t="s">
        <v>902</v>
      </c>
      <c r="E1147" s="390" t="s">
        <v>380</v>
      </c>
      <c r="F1147" s="390" t="s">
        <v>237</v>
      </c>
      <c r="G1147" s="262" t="s">
        <v>917</v>
      </c>
      <c r="H1147" s="261"/>
      <c r="I1147" s="261"/>
      <c r="J1147" s="261"/>
      <c r="K1147" s="261">
        <v>88</v>
      </c>
      <c r="L1147" s="261">
        <v>49</v>
      </c>
      <c r="M1147" s="261">
        <v>88</v>
      </c>
      <c r="N1147" s="261">
        <v>49</v>
      </c>
      <c r="O1147" s="261">
        <v>49</v>
      </c>
      <c r="P1147" s="261">
        <v>49</v>
      </c>
      <c r="Q1147" s="261">
        <v>49</v>
      </c>
      <c r="R1147" s="261"/>
      <c r="S1147" s="261"/>
      <c r="T1147" s="261"/>
      <c r="U1147" s="261"/>
      <c r="V1147" s="762"/>
      <c r="W1147" s="762"/>
      <c r="X1147" s="762"/>
      <c r="Y1147" s="264">
        <f>IF(NFI_Expiration=1,IF($A1147&lt;VLOOKUP(H$5,NFI,5,0),1,0)*Table_NFI[[#This Row],[Hygiene Kit]],Table_NFI[Hygiene Kit])</f>
        <v>0</v>
      </c>
      <c r="Z1147" s="264">
        <f>IF(NFI_Expiration=1,IF($A1147&lt;VLOOKUP(I$5,NFI,5,0),1,0)*Table_NFI[[#This Row],[NFI Core Kit]],Table_NFI[NFI Core Kit])</f>
        <v>0</v>
      </c>
      <c r="AA1147" s="264">
        <f>IF(NFI_Expiration=1,IF($A1147&lt;VLOOKUP(J$5,NFI,5,0),1,0)*Table_NFI[[#This Row],[Sanitary Kit]],Table_NFI[Sanitary Kit])</f>
        <v>0</v>
      </c>
      <c r="AB1147" s="264">
        <f>IF(NFI_Expiration=1,IF($A1147&lt;VLOOKUP(K$5,NFI,5,0),1,0)*Table_NFI[[#This Row],[Mosquito net]],Table_NFI[Mosquito net])</f>
        <v>0</v>
      </c>
      <c r="AC1147" s="264">
        <f>IF(NFI_Expiration=1,IF($A1147&lt;VLOOKUP(L$5,NFI,5,0),1,0)*Table_NFI[[#This Row],[Tarpaulin]],Table_NFI[[#This Row],[Tarpaulin]])</f>
        <v>0</v>
      </c>
      <c r="AD1147" s="264">
        <f>IF(NFI_Expiration=1,IF($A1147&lt;VLOOKUP(M$5,NFI,5,0),1,0)*Table_NFI[[#This Row],[Blanket]],Table_NFI[[#This Row],[Blanket]])</f>
        <v>0</v>
      </c>
      <c r="AE1147" s="264">
        <f>IF(NFI_Expiration=1,IF($A1147&lt;VLOOKUP(N$5,NFI,5,0),1,0)*Table_NFI[[#This Row],[Kitchen Set]],Table_NFI[Kitchen Set])</f>
        <v>0</v>
      </c>
      <c r="AF1147" s="264">
        <f>IF(NFI_Expiration=1,IF($A1147&lt;VLOOKUP(O$5,NFI,5,0),1,0)*Table_NFI[[#This Row],[Clothes Kit]],Table_NFI[Clothes Kit])</f>
        <v>0</v>
      </c>
      <c r="AG1147" s="264">
        <f>IF(NFI_Expiration=1,IF($A1147&lt;VLOOKUP(P$5,NFI,5,0),1,0)*Table_NFI[[#This Row],[Plastic Bucket]],Table_NFI[Plastic Bucket])</f>
        <v>0</v>
      </c>
      <c r="AH1147" s="264">
        <f>IF(NFI_Expiration=1,IF($A1147&lt;VLOOKUP(Q$5,NFI,5,0),1,0)*Table_NFI[[#This Row],[Plastic Mat]],Table_NFI[Plastic Mat])*IF(Table_NFI[[#This Row],[Distribution Date]]&gt;"2014-04-01",1,2.5)</f>
        <v>0</v>
      </c>
      <c r="AI1147" s="264">
        <f>IF(NFI_Expiration=1,IF($A1147&lt;VLOOKUP(R$5,NFI,5,0),1,0)*Table_NFI[[#This Row],[Winter Clothes Adult]],Table_NFI[Winter Clothes Adult])</f>
        <v>0</v>
      </c>
      <c r="AJ1147" s="264">
        <f>IF(NFI_Expiration=1,IF($A1147&lt;VLOOKUP(S$5,NFI,5,0),1,0)*Table_NFI[[#This Row],[Winter Clothes Children]],Table_NFI[Winter Clothes Children])</f>
        <v>0</v>
      </c>
      <c r="AK1147" s="264">
        <f>IF(NFI_Expiration=1,IF($A1147&lt;VLOOKUP(T$5,NFI,5,0),1,0)*Table_NFI[[#This Row],[Winter Items Other]],Table_NFI[Winter Items Other])</f>
        <v>0</v>
      </c>
      <c r="AL1147" s="264">
        <f>IF(NFI_Expiration=1,IF($A1147&lt;VLOOKUP(M$5,NFI,5,0),1,0)*Table_NFI[[#This Row],[Winter Blanket]],Table_NFI[[#This Row],[Winter Blanket]])</f>
        <v>0</v>
      </c>
      <c r="AM1147" s="264">
        <f>IF(Table_NFI[[#This Row],[Winter Clothes Adult]]+Table_NFI[[#This Row],[Winter Clothes Children]]+Table_NFI[[#This Row],[Winter Items Other]]+Table_NFI[[#This Row],[Winter Blanket]]&gt;0,1,0)</f>
        <v>0</v>
      </c>
      <c r="AN1147" s="296">
        <f>IF(NFI_Expiration=1,IF($A1147&lt;VLOOKUP(V$5,NFI,5,0),1,0)*Table_NFI[[#This Row],[Jerry Can]],Table_NFI[Jerry Can])</f>
        <v>0</v>
      </c>
      <c r="AO1147" s="296">
        <f>IF(NFI_Expiration=1,IF($A1147&lt;VLOOKUP(V$5,NFI,5,0),1,0)*Table_NFI[[#This Row],[Shelter Tool kit]],Table_NFI[Shelter Tool kit])</f>
        <v>0</v>
      </c>
      <c r="AP1147" s="296">
        <f>IF(NFI_Expiration=1,IF($A1147&lt;VLOOKUP(V$5,NFI,5,0),1,0)*Table_NFI[[#This Row],[Tent]],Table_NFI[Tent])</f>
        <v>0</v>
      </c>
      <c r="AQ1147" s="396" t="str">
        <f>IFERROR(VLOOKUP(Table_NFI[[#This Row],[Camp Name]],CL,2,0),"")</f>
        <v/>
      </c>
      <c r="AR1147" s="702" t="str">
        <f ca="1">IF(Table_NFI[[#This Row],[Pcode]]="","",IF(OFFSET(CampList[Opening Date],MATCH(Table_NFI[[#This Row],[Pcode]],CampList[CP_Pcode],0)-1,0,1,1)&gt;=NFI_Monitor_Date,1,0))</f>
        <v/>
      </c>
      <c r="AS1147" s="396" t="str">
        <f>IFERROR(VLOOKUP(Table_NFI[[#This Row],[Camp Name]],CL,3,0),"")</f>
        <v/>
      </c>
      <c r="AT1147" s="264" t="str">
        <f ca="1">IF(Table_NFI[[#This Row],[Pcode]]="","",OFFSET(CampList[Priority],MATCH(Table_NFI[[#This Row],[Pcode]],CampList[CP_Pcode],0)-1,0,1,1))</f>
        <v/>
      </c>
      <c r="AU1147" s="263" t="str">
        <f>IFERROR(Table_NFI[[#This Row],[Kitchen Set]]/VLOOKUP(Table_NFI[[#This Row],[Camp Name]],CL,4,0),"")</f>
        <v/>
      </c>
      <c r="AV1147" s="390" t="s">
        <v>1087</v>
      </c>
      <c r="AW1147" s="392"/>
      <c r="AX1147" s="399"/>
      <c r="AY1147" s="399"/>
      <c r="AZ1147" s="399"/>
      <c r="BA1147" s="399"/>
      <c r="BB1147" s="399"/>
      <c r="BC1147" s="399"/>
      <c r="BD1147" s="399"/>
      <c r="BE1147" s="399"/>
      <c r="BF1147" s="399"/>
      <c r="BG1147" s="399"/>
      <c r="BH1147" s="399"/>
      <c r="BI1147" s="399"/>
      <c r="BJ1147" s="399"/>
      <c r="BK1147" s="399"/>
      <c r="BL1147" s="399"/>
      <c r="BM1147" s="399"/>
      <c r="BN1147" s="399"/>
      <c r="BO1147" s="399"/>
      <c r="BP1147" s="399"/>
      <c r="BQ1147" s="399"/>
      <c r="BR1147" s="399"/>
      <c r="BS1147" s="399"/>
      <c r="BT1147" s="399"/>
      <c r="BU1147" s="399"/>
      <c r="BV1147" s="399"/>
      <c r="BW1147" s="399"/>
      <c r="BX1147" s="399"/>
      <c r="BY1147" s="399"/>
      <c r="BZ1147" s="399"/>
      <c r="CA1147" s="399"/>
      <c r="CB1147" s="399"/>
      <c r="CC1147" s="399"/>
      <c r="CD1147" s="399"/>
      <c r="CE1147" s="399"/>
      <c r="CF1147" s="399"/>
      <c r="CG1147" s="399"/>
      <c r="CH1147" s="399"/>
      <c r="CI1147" s="399"/>
      <c r="CJ1147" s="399"/>
      <c r="CK1147" s="399"/>
      <c r="CL1147" s="399"/>
      <c r="CM1147" s="399"/>
      <c r="CN1147" s="399"/>
      <c r="CO1147" s="399"/>
      <c r="CP1147" s="399"/>
      <c r="CQ1147" s="399"/>
      <c r="CR1147" s="399"/>
      <c r="CS1147" s="399"/>
      <c r="CT1147" s="399"/>
      <c r="CU1147" s="399"/>
      <c r="CV1147" s="399"/>
      <c r="CW1147" s="399"/>
      <c r="CX1147" s="399"/>
      <c r="CY1147" s="399"/>
      <c r="CZ1147" s="399"/>
      <c r="DA1147" s="399"/>
      <c r="DB1147" s="399"/>
      <c r="DC1147" s="399"/>
      <c r="DD1147" s="399"/>
      <c r="DE1147" s="399"/>
      <c r="DF1147" s="399"/>
      <c r="DG1147" s="399"/>
      <c r="DH1147" s="399"/>
      <c r="DI1147" s="399"/>
      <c r="DJ1147" s="399"/>
      <c r="DK1147" s="399"/>
      <c r="DL1147" s="399"/>
      <c r="DM1147" s="399"/>
      <c r="DN1147" s="399"/>
      <c r="DO1147" s="399"/>
      <c r="DP1147" s="399"/>
      <c r="DQ1147" s="399"/>
    </row>
    <row r="1148" spans="1:121" s="760" customFormat="1" ht="14.45" customHeight="1" x14ac:dyDescent="0.25">
      <c r="A1148" s="266">
        <f t="shared" si="17"/>
        <v>65.666666666666671</v>
      </c>
      <c r="B1148" s="389">
        <v>40886</v>
      </c>
      <c r="C1148" s="390" t="s">
        <v>451</v>
      </c>
      <c r="D1148" s="391" t="s">
        <v>459</v>
      </c>
      <c r="E1148" s="390" t="s">
        <v>380</v>
      </c>
      <c r="F1148" s="262" t="s">
        <v>237</v>
      </c>
      <c r="G1148" s="262" t="s">
        <v>240</v>
      </c>
      <c r="H1148" s="261"/>
      <c r="I1148" s="261"/>
      <c r="J1148" s="261"/>
      <c r="K1148" s="261">
        <v>13</v>
      </c>
      <c r="L1148" s="261">
        <v>6</v>
      </c>
      <c r="M1148" s="261">
        <v>13</v>
      </c>
      <c r="N1148" s="261">
        <v>6</v>
      </c>
      <c r="O1148" s="261">
        <v>6</v>
      </c>
      <c r="P1148" s="261">
        <v>6</v>
      </c>
      <c r="Q1148" s="261">
        <v>6</v>
      </c>
      <c r="R1148" s="261"/>
      <c r="S1148" s="261"/>
      <c r="T1148" s="261"/>
      <c r="U1148" s="261"/>
      <c r="V1148" s="762"/>
      <c r="W1148" s="762"/>
      <c r="X1148" s="762"/>
      <c r="Y1148" s="264">
        <f>IF(NFI_Expiration=1,IF($A1148&lt;VLOOKUP(H$5,NFI,5,0),1,0)*Table_NFI[[#This Row],[Hygiene Kit]],Table_NFI[Hygiene Kit])</f>
        <v>0</v>
      </c>
      <c r="Z1148" s="264">
        <f>IF(NFI_Expiration=1,IF($A1148&lt;VLOOKUP(I$5,NFI,5,0),1,0)*Table_NFI[[#This Row],[NFI Core Kit]],Table_NFI[NFI Core Kit])</f>
        <v>0</v>
      </c>
      <c r="AA1148" s="264">
        <f>IF(NFI_Expiration=1,IF($A1148&lt;VLOOKUP(J$5,NFI,5,0),1,0)*Table_NFI[[#This Row],[Sanitary Kit]],Table_NFI[Sanitary Kit])</f>
        <v>0</v>
      </c>
      <c r="AB1148" s="264">
        <f>IF(NFI_Expiration=1,IF($A1148&lt;VLOOKUP(K$5,NFI,5,0),1,0)*Table_NFI[[#This Row],[Mosquito net]],Table_NFI[Mosquito net])</f>
        <v>0</v>
      </c>
      <c r="AC1148" s="264">
        <f>IF(NFI_Expiration=1,IF($A1148&lt;VLOOKUP(L$5,NFI,5,0),1,0)*Table_NFI[[#This Row],[Tarpaulin]],Table_NFI[[#This Row],[Tarpaulin]])</f>
        <v>0</v>
      </c>
      <c r="AD1148" s="264">
        <f>IF(NFI_Expiration=1,IF($A1148&lt;VLOOKUP(M$5,NFI,5,0),1,0)*Table_NFI[[#This Row],[Blanket]],Table_NFI[[#This Row],[Blanket]])</f>
        <v>0</v>
      </c>
      <c r="AE1148" s="264">
        <f>IF(NFI_Expiration=1,IF($A1148&lt;VLOOKUP(N$5,NFI,5,0),1,0)*Table_NFI[[#This Row],[Kitchen Set]],Table_NFI[Kitchen Set])</f>
        <v>0</v>
      </c>
      <c r="AF1148" s="264">
        <f>IF(NFI_Expiration=1,IF($A1148&lt;VLOOKUP(O$5,NFI,5,0),1,0)*Table_NFI[[#This Row],[Clothes Kit]],Table_NFI[Clothes Kit])</f>
        <v>0</v>
      </c>
      <c r="AG1148" s="264">
        <f>IF(NFI_Expiration=1,IF($A1148&lt;VLOOKUP(P$5,NFI,5,0),1,0)*Table_NFI[[#This Row],[Plastic Bucket]],Table_NFI[Plastic Bucket])</f>
        <v>0</v>
      </c>
      <c r="AH1148" s="264">
        <f>IF(NFI_Expiration=1,IF($A1148&lt;VLOOKUP(Q$5,NFI,5,0),1,0)*Table_NFI[[#This Row],[Plastic Mat]],Table_NFI[Plastic Mat])*IF(Table_NFI[[#This Row],[Distribution Date]]&gt;"2014-04-01",1,2.5)</f>
        <v>0</v>
      </c>
      <c r="AI1148" s="264">
        <f>IF(NFI_Expiration=1,IF($A1148&lt;VLOOKUP(R$5,NFI,5,0),1,0)*Table_NFI[[#This Row],[Winter Clothes Adult]],Table_NFI[Winter Clothes Adult])</f>
        <v>0</v>
      </c>
      <c r="AJ1148" s="264">
        <f>IF(NFI_Expiration=1,IF($A1148&lt;VLOOKUP(S$5,NFI,5,0),1,0)*Table_NFI[[#This Row],[Winter Clothes Children]],Table_NFI[Winter Clothes Children])</f>
        <v>0</v>
      </c>
      <c r="AK1148" s="264">
        <f>IF(NFI_Expiration=1,IF($A1148&lt;VLOOKUP(T$5,NFI,5,0),1,0)*Table_NFI[[#This Row],[Winter Items Other]],Table_NFI[Winter Items Other])</f>
        <v>0</v>
      </c>
      <c r="AL1148" s="264">
        <f>IF(NFI_Expiration=1,IF($A1148&lt;VLOOKUP(M$5,NFI,5,0),1,0)*Table_NFI[[#This Row],[Winter Blanket]],Table_NFI[[#This Row],[Winter Blanket]])</f>
        <v>0</v>
      </c>
      <c r="AM1148" s="264">
        <f>IF(Table_NFI[[#This Row],[Winter Clothes Adult]]+Table_NFI[[#This Row],[Winter Clothes Children]]+Table_NFI[[#This Row],[Winter Items Other]]+Table_NFI[[#This Row],[Winter Blanket]]&gt;0,1,0)</f>
        <v>0</v>
      </c>
      <c r="AN1148" s="296">
        <f>IF(NFI_Expiration=1,IF($A1148&lt;VLOOKUP(V$5,NFI,5,0),1,0)*Table_NFI[[#This Row],[Jerry Can]],Table_NFI[Jerry Can])</f>
        <v>0</v>
      </c>
      <c r="AO1148" s="296">
        <f>IF(NFI_Expiration=1,IF($A1148&lt;VLOOKUP(V$5,NFI,5,0),1,0)*Table_NFI[[#This Row],[Shelter Tool kit]],Table_NFI[Shelter Tool kit])</f>
        <v>0</v>
      </c>
      <c r="AP1148" s="296">
        <f>IF(NFI_Expiration=1,IF($A1148&lt;VLOOKUP(V$5,NFI,5,0),1,0)*Table_NFI[[#This Row],[Tent]],Table_NFI[Tent])</f>
        <v>0</v>
      </c>
      <c r="AQ1148" s="396" t="str">
        <f>IFERROR(VLOOKUP(Table_NFI[[#This Row],[Camp Name]],CL,2,0),"")</f>
        <v>MMR001CMP015</v>
      </c>
      <c r="AR1148" s="702">
        <f ca="1">IF(Table_NFI[[#This Row],[Pcode]]="","",IF(OFFSET(CampList[Opening Date],MATCH(Table_NFI[[#This Row],[Pcode]],CampList[CP_Pcode],0)-1,0,1,1)&gt;=NFI_Monitor_Date,1,0))</f>
        <v>0</v>
      </c>
      <c r="AS1148" s="396" t="str">
        <f>IFERROR(VLOOKUP(Table_NFI[[#This Row],[Camp Name]],CL,3,0),"")</f>
        <v>Open</v>
      </c>
      <c r="AT1148" s="264" t="str">
        <f ca="1">IF(Table_NFI[[#This Row],[Pcode]]="","",OFFSET(CampList[Priority],MATCH(Table_NFI[[#This Row],[Pcode]],CampList[CP_Pcode],0)-1,0,1,1))</f>
        <v>P4</v>
      </c>
      <c r="AU1148" s="263">
        <f>IFERROR(Table_NFI[[#This Row],[Kitchen Set]]/VLOOKUP(Table_NFI[[#This Row],[Camp Name]],CL,4,0),"")</f>
        <v>1.4777233209368765E-4</v>
      </c>
      <c r="AV1148" s="390" t="s">
        <v>1087</v>
      </c>
      <c r="AW1148" s="392"/>
      <c r="AX1148" s="399"/>
      <c r="AY1148" s="399"/>
      <c r="AZ1148" s="399"/>
      <c r="BA1148" s="399"/>
      <c r="BB1148" s="399"/>
      <c r="BC1148" s="399"/>
      <c r="BD1148" s="399"/>
      <c r="BE1148" s="399"/>
      <c r="BF1148" s="399"/>
      <c r="BG1148" s="399"/>
      <c r="BH1148" s="399"/>
      <c r="BI1148" s="399"/>
      <c r="BJ1148" s="399"/>
      <c r="BK1148" s="399"/>
      <c r="BL1148" s="399"/>
      <c r="BM1148" s="399"/>
      <c r="BN1148" s="399"/>
      <c r="BO1148" s="399"/>
      <c r="BP1148" s="399"/>
      <c r="BQ1148" s="399"/>
      <c r="BR1148" s="399"/>
      <c r="BS1148" s="399"/>
      <c r="BT1148" s="399"/>
      <c r="BU1148" s="399"/>
      <c r="BV1148" s="399"/>
      <c r="BW1148" s="399"/>
      <c r="BX1148" s="399"/>
      <c r="BY1148" s="399"/>
      <c r="BZ1148" s="399"/>
      <c r="CA1148" s="399"/>
      <c r="CB1148" s="399"/>
      <c r="CC1148" s="399"/>
      <c r="CD1148" s="399"/>
      <c r="CE1148" s="399"/>
      <c r="CF1148" s="399"/>
      <c r="CG1148" s="399"/>
      <c r="CH1148" s="399"/>
      <c r="CI1148" s="399"/>
      <c r="CJ1148" s="399"/>
      <c r="CK1148" s="399"/>
      <c r="CL1148" s="399"/>
      <c r="CM1148" s="399"/>
      <c r="CN1148" s="399"/>
      <c r="CO1148" s="399"/>
      <c r="CP1148" s="399"/>
      <c r="CQ1148" s="399"/>
      <c r="CR1148" s="399"/>
      <c r="CS1148" s="399"/>
      <c r="CT1148" s="399"/>
      <c r="CU1148" s="399"/>
      <c r="CV1148" s="399"/>
      <c r="CW1148" s="399"/>
      <c r="CX1148" s="399"/>
      <c r="CY1148" s="399"/>
      <c r="CZ1148" s="399"/>
      <c r="DA1148" s="399"/>
      <c r="DB1148" s="399"/>
      <c r="DC1148" s="399"/>
      <c r="DD1148" s="399"/>
      <c r="DE1148" s="399"/>
      <c r="DF1148" s="399"/>
      <c r="DG1148" s="399"/>
      <c r="DH1148" s="399"/>
      <c r="DI1148" s="399"/>
      <c r="DJ1148" s="399"/>
      <c r="DK1148" s="399"/>
      <c r="DL1148" s="399"/>
      <c r="DM1148" s="399"/>
      <c r="DN1148" s="399"/>
      <c r="DO1148" s="399"/>
      <c r="DP1148" s="399"/>
      <c r="DQ1148" s="399"/>
    </row>
    <row r="1149" spans="1:121" s="760" customFormat="1" ht="14.45" customHeight="1" x14ac:dyDescent="0.25">
      <c r="A1149" s="266">
        <f t="shared" si="17"/>
        <v>65.8</v>
      </c>
      <c r="B1149" s="389">
        <v>40882</v>
      </c>
      <c r="C1149" s="390" t="s">
        <v>451</v>
      </c>
      <c r="D1149" s="391" t="s">
        <v>505</v>
      </c>
      <c r="E1149" s="390" t="s">
        <v>380</v>
      </c>
      <c r="F1149" s="262" t="s">
        <v>237</v>
      </c>
      <c r="G1149" s="262" t="s">
        <v>253</v>
      </c>
      <c r="H1149" s="261"/>
      <c r="I1149" s="261"/>
      <c r="J1149" s="261"/>
      <c r="K1149" s="261">
        <v>80</v>
      </c>
      <c r="L1149" s="261">
        <v>45</v>
      </c>
      <c r="M1149" s="261">
        <v>80</v>
      </c>
      <c r="N1149" s="261">
        <v>45</v>
      </c>
      <c r="O1149" s="261">
        <v>45</v>
      </c>
      <c r="P1149" s="261">
        <v>45</v>
      </c>
      <c r="Q1149" s="261">
        <v>45</v>
      </c>
      <c r="R1149" s="261"/>
      <c r="S1149" s="261"/>
      <c r="T1149" s="261"/>
      <c r="U1149" s="261"/>
      <c r="V1149" s="762"/>
      <c r="W1149" s="762"/>
      <c r="X1149" s="762"/>
      <c r="Y1149" s="264">
        <f>IF(NFI_Expiration=1,IF($A1149&lt;VLOOKUP(H$5,NFI,5,0),1,0)*Table_NFI[[#This Row],[Hygiene Kit]],Table_NFI[Hygiene Kit])</f>
        <v>0</v>
      </c>
      <c r="Z1149" s="264">
        <f>IF(NFI_Expiration=1,IF($A1149&lt;VLOOKUP(I$5,NFI,5,0),1,0)*Table_NFI[[#This Row],[NFI Core Kit]],Table_NFI[NFI Core Kit])</f>
        <v>0</v>
      </c>
      <c r="AA1149" s="264">
        <f>IF(NFI_Expiration=1,IF($A1149&lt;VLOOKUP(J$5,NFI,5,0),1,0)*Table_NFI[[#This Row],[Sanitary Kit]],Table_NFI[Sanitary Kit])</f>
        <v>0</v>
      </c>
      <c r="AB1149" s="264">
        <f>IF(NFI_Expiration=1,IF($A1149&lt;VLOOKUP(K$5,NFI,5,0),1,0)*Table_NFI[[#This Row],[Mosquito net]],Table_NFI[Mosquito net])</f>
        <v>0</v>
      </c>
      <c r="AC1149" s="264">
        <f>IF(NFI_Expiration=1,IF($A1149&lt;VLOOKUP(L$5,NFI,5,0),1,0)*Table_NFI[[#This Row],[Tarpaulin]],Table_NFI[[#This Row],[Tarpaulin]])</f>
        <v>0</v>
      </c>
      <c r="AD1149" s="264">
        <f>IF(NFI_Expiration=1,IF($A1149&lt;VLOOKUP(M$5,NFI,5,0),1,0)*Table_NFI[[#This Row],[Blanket]],Table_NFI[[#This Row],[Blanket]])</f>
        <v>0</v>
      </c>
      <c r="AE1149" s="264">
        <f>IF(NFI_Expiration=1,IF($A1149&lt;VLOOKUP(N$5,NFI,5,0),1,0)*Table_NFI[[#This Row],[Kitchen Set]],Table_NFI[Kitchen Set])</f>
        <v>0</v>
      </c>
      <c r="AF1149" s="264">
        <f>IF(NFI_Expiration=1,IF($A1149&lt;VLOOKUP(O$5,NFI,5,0),1,0)*Table_NFI[[#This Row],[Clothes Kit]],Table_NFI[Clothes Kit])</f>
        <v>0</v>
      </c>
      <c r="AG1149" s="264">
        <f>IF(NFI_Expiration=1,IF($A1149&lt;VLOOKUP(P$5,NFI,5,0),1,0)*Table_NFI[[#This Row],[Plastic Bucket]],Table_NFI[Plastic Bucket])</f>
        <v>0</v>
      </c>
      <c r="AH1149" s="264">
        <f>IF(NFI_Expiration=1,IF($A1149&lt;VLOOKUP(Q$5,NFI,5,0),1,0)*Table_NFI[[#This Row],[Plastic Mat]],Table_NFI[Plastic Mat])*IF(Table_NFI[[#This Row],[Distribution Date]]&gt;"2014-04-01",1,2.5)</f>
        <v>0</v>
      </c>
      <c r="AI1149" s="264">
        <f>IF(NFI_Expiration=1,IF($A1149&lt;VLOOKUP(R$5,NFI,5,0),1,0)*Table_NFI[[#This Row],[Winter Clothes Adult]],Table_NFI[Winter Clothes Adult])</f>
        <v>0</v>
      </c>
      <c r="AJ1149" s="264">
        <f>IF(NFI_Expiration=1,IF($A1149&lt;VLOOKUP(S$5,NFI,5,0),1,0)*Table_NFI[[#This Row],[Winter Clothes Children]],Table_NFI[Winter Clothes Children])</f>
        <v>0</v>
      </c>
      <c r="AK1149" s="264">
        <f>IF(NFI_Expiration=1,IF($A1149&lt;VLOOKUP(T$5,NFI,5,0),1,0)*Table_NFI[[#This Row],[Winter Items Other]],Table_NFI[Winter Items Other])</f>
        <v>0</v>
      </c>
      <c r="AL1149" s="264">
        <f>IF(NFI_Expiration=1,IF($A1149&lt;VLOOKUP(M$5,NFI,5,0),1,0)*Table_NFI[[#This Row],[Winter Blanket]],Table_NFI[[#This Row],[Winter Blanket]])</f>
        <v>0</v>
      </c>
      <c r="AM1149" s="264">
        <f>IF(Table_NFI[[#This Row],[Winter Clothes Adult]]+Table_NFI[[#This Row],[Winter Clothes Children]]+Table_NFI[[#This Row],[Winter Items Other]]+Table_NFI[[#This Row],[Winter Blanket]]&gt;0,1,0)</f>
        <v>0</v>
      </c>
      <c r="AN1149" s="296">
        <f>IF(NFI_Expiration=1,IF($A1149&lt;VLOOKUP(V$5,NFI,5,0),1,0)*Table_NFI[[#This Row],[Jerry Can]],Table_NFI[Jerry Can])</f>
        <v>0</v>
      </c>
      <c r="AO1149" s="296">
        <f>IF(NFI_Expiration=1,IF($A1149&lt;VLOOKUP(V$5,NFI,5,0),1,0)*Table_NFI[[#This Row],[Shelter Tool kit]],Table_NFI[Shelter Tool kit])</f>
        <v>0</v>
      </c>
      <c r="AP1149" s="296">
        <f>IF(NFI_Expiration=1,IF($A1149&lt;VLOOKUP(V$5,NFI,5,0),1,0)*Table_NFI[[#This Row],[Tent]],Table_NFI[Tent])</f>
        <v>0</v>
      </c>
      <c r="AQ1149" s="396" t="str">
        <f>IFERROR(VLOOKUP(Table_NFI[[#This Row],[Camp Name]],CL,2,0),"")</f>
        <v>MMR001CMP018</v>
      </c>
      <c r="AR1149" s="702">
        <f ca="1">IF(Table_NFI[[#This Row],[Pcode]]="","",IF(OFFSET(CampList[Opening Date],MATCH(Table_NFI[[#This Row],[Pcode]],CampList[CP_Pcode],0)-1,0,1,1)&gt;=NFI_Monitor_Date,1,0))</f>
        <v>0</v>
      </c>
      <c r="AS1149" s="396" t="str">
        <f>IFERROR(VLOOKUP(Table_NFI[[#This Row],[Camp Name]],CL,3,0),"")</f>
        <v>Open</v>
      </c>
      <c r="AT1149" s="264" t="str">
        <f ca="1">IF(Table_NFI[[#This Row],[Pcode]]="","",OFFSET(CampList[Priority],MATCH(Table_NFI[[#This Row],[Pcode]],CampList[CP_Pcode],0)-1,0,1,1))</f>
        <v>P4</v>
      </c>
      <c r="AU1149" s="263">
        <f>IFERROR(Table_NFI[[#This Row],[Kitchen Set]]/VLOOKUP(Table_NFI[[#This Row],[Camp Name]],CL,4,0),"")</f>
        <v>1.1049723756906078E-3</v>
      </c>
      <c r="AV1149" s="390" t="s">
        <v>1087</v>
      </c>
      <c r="AW1149" s="392"/>
      <c r="AX1149" s="399"/>
      <c r="AY1149" s="399"/>
      <c r="AZ1149" s="399"/>
      <c r="BA1149" s="399"/>
      <c r="BB1149" s="399"/>
      <c r="BC1149" s="399"/>
      <c r="BD1149" s="399"/>
      <c r="BE1149" s="399"/>
      <c r="BF1149" s="399"/>
      <c r="BG1149" s="399"/>
      <c r="BH1149" s="399"/>
      <c r="BI1149" s="399"/>
      <c r="BJ1149" s="399"/>
      <c r="BK1149" s="399"/>
      <c r="BL1149" s="399"/>
      <c r="BM1149" s="399"/>
      <c r="BN1149" s="399"/>
      <c r="BO1149" s="399"/>
      <c r="BP1149" s="399"/>
      <c r="BQ1149" s="399"/>
      <c r="BR1149" s="399"/>
      <c r="BS1149" s="399"/>
      <c r="BT1149" s="399"/>
      <c r="BU1149" s="399"/>
      <c r="BV1149" s="399"/>
      <c r="BW1149" s="399"/>
      <c r="BX1149" s="399"/>
      <c r="BY1149" s="399"/>
      <c r="BZ1149" s="399"/>
      <c r="CA1149" s="399"/>
      <c r="CB1149" s="399"/>
      <c r="CC1149" s="399"/>
      <c r="CD1149" s="399"/>
      <c r="CE1149" s="399"/>
      <c r="CF1149" s="399"/>
      <c r="CG1149" s="399"/>
      <c r="CH1149" s="399"/>
      <c r="CI1149" s="399"/>
      <c r="CJ1149" s="399"/>
      <c r="CK1149" s="399"/>
      <c r="CL1149" s="399"/>
      <c r="CM1149" s="399"/>
      <c r="CN1149" s="399"/>
      <c r="CO1149" s="399"/>
      <c r="CP1149" s="399"/>
      <c r="CQ1149" s="399"/>
      <c r="CR1149" s="399"/>
      <c r="CS1149" s="399"/>
      <c r="CT1149" s="399"/>
      <c r="CU1149" s="399"/>
      <c r="CV1149" s="399"/>
      <c r="CW1149" s="399"/>
      <c r="CX1149" s="399"/>
      <c r="CY1149" s="399"/>
      <c r="CZ1149" s="399"/>
      <c r="DA1149" s="399"/>
      <c r="DB1149" s="399"/>
      <c r="DC1149" s="399"/>
      <c r="DD1149" s="399"/>
      <c r="DE1149" s="399"/>
      <c r="DF1149" s="399"/>
      <c r="DG1149" s="399"/>
      <c r="DH1149" s="399"/>
      <c r="DI1149" s="399"/>
      <c r="DJ1149" s="399"/>
      <c r="DK1149" s="399"/>
      <c r="DL1149" s="399"/>
      <c r="DM1149" s="399"/>
      <c r="DN1149" s="399"/>
      <c r="DO1149" s="399"/>
      <c r="DP1149" s="399"/>
      <c r="DQ1149" s="399"/>
    </row>
    <row r="1150" spans="1:121" s="760" customFormat="1" ht="14.45" customHeight="1" x14ac:dyDescent="0.25">
      <c r="A1150" s="266">
        <f t="shared" si="17"/>
        <v>65.833333333333329</v>
      </c>
      <c r="B1150" s="389">
        <v>40881</v>
      </c>
      <c r="C1150" s="390" t="s">
        <v>451</v>
      </c>
      <c r="D1150" s="391" t="s">
        <v>459</v>
      </c>
      <c r="E1150" s="390" t="s">
        <v>380</v>
      </c>
      <c r="F1150" s="262" t="s">
        <v>237</v>
      </c>
      <c r="G1150" s="262" t="s">
        <v>281</v>
      </c>
      <c r="H1150" s="261"/>
      <c r="I1150" s="261"/>
      <c r="J1150" s="261"/>
      <c r="K1150" s="261">
        <v>52</v>
      </c>
      <c r="L1150" s="261">
        <v>27</v>
      </c>
      <c r="M1150" s="261">
        <v>52</v>
      </c>
      <c r="N1150" s="261">
        <v>27</v>
      </c>
      <c r="O1150" s="261">
        <v>27</v>
      </c>
      <c r="P1150" s="261">
        <v>27</v>
      </c>
      <c r="Q1150" s="261">
        <v>27</v>
      </c>
      <c r="R1150" s="261"/>
      <c r="S1150" s="261"/>
      <c r="T1150" s="261"/>
      <c r="U1150" s="261"/>
      <c r="V1150" s="762"/>
      <c r="W1150" s="762"/>
      <c r="X1150" s="762"/>
      <c r="Y1150" s="264">
        <f>IF(NFI_Expiration=1,IF($A1150&lt;VLOOKUP(H$5,NFI,5,0),1,0)*Table_NFI[[#This Row],[Hygiene Kit]],Table_NFI[Hygiene Kit])</f>
        <v>0</v>
      </c>
      <c r="Z1150" s="264">
        <f>IF(NFI_Expiration=1,IF($A1150&lt;VLOOKUP(I$5,NFI,5,0),1,0)*Table_NFI[[#This Row],[NFI Core Kit]],Table_NFI[NFI Core Kit])</f>
        <v>0</v>
      </c>
      <c r="AA1150" s="264">
        <f>IF(NFI_Expiration=1,IF($A1150&lt;VLOOKUP(J$5,NFI,5,0),1,0)*Table_NFI[[#This Row],[Sanitary Kit]],Table_NFI[Sanitary Kit])</f>
        <v>0</v>
      </c>
      <c r="AB1150" s="264">
        <f>IF(NFI_Expiration=1,IF($A1150&lt;VLOOKUP(K$5,NFI,5,0),1,0)*Table_NFI[[#This Row],[Mosquito net]],Table_NFI[Mosquito net])</f>
        <v>0</v>
      </c>
      <c r="AC1150" s="264">
        <f>IF(NFI_Expiration=1,IF($A1150&lt;VLOOKUP(L$5,NFI,5,0),1,0)*Table_NFI[[#This Row],[Tarpaulin]],Table_NFI[[#This Row],[Tarpaulin]])</f>
        <v>0</v>
      </c>
      <c r="AD1150" s="264">
        <f>IF(NFI_Expiration=1,IF($A1150&lt;VLOOKUP(M$5,NFI,5,0),1,0)*Table_NFI[[#This Row],[Blanket]],Table_NFI[[#This Row],[Blanket]])</f>
        <v>0</v>
      </c>
      <c r="AE1150" s="264">
        <f>IF(NFI_Expiration=1,IF($A1150&lt;VLOOKUP(N$5,NFI,5,0),1,0)*Table_NFI[[#This Row],[Kitchen Set]],Table_NFI[Kitchen Set])</f>
        <v>0</v>
      </c>
      <c r="AF1150" s="264">
        <f>IF(NFI_Expiration=1,IF($A1150&lt;VLOOKUP(O$5,NFI,5,0),1,0)*Table_NFI[[#This Row],[Clothes Kit]],Table_NFI[Clothes Kit])</f>
        <v>0</v>
      </c>
      <c r="AG1150" s="264">
        <f>IF(NFI_Expiration=1,IF($A1150&lt;VLOOKUP(P$5,NFI,5,0),1,0)*Table_NFI[[#This Row],[Plastic Bucket]],Table_NFI[Plastic Bucket])</f>
        <v>0</v>
      </c>
      <c r="AH1150" s="264">
        <f>IF(NFI_Expiration=1,IF($A1150&lt;VLOOKUP(Q$5,NFI,5,0),1,0)*Table_NFI[[#This Row],[Plastic Mat]],Table_NFI[Plastic Mat])*IF(Table_NFI[[#This Row],[Distribution Date]]&gt;"2014-04-01",1,2.5)</f>
        <v>0</v>
      </c>
      <c r="AI1150" s="264">
        <f>IF(NFI_Expiration=1,IF($A1150&lt;VLOOKUP(R$5,NFI,5,0),1,0)*Table_NFI[[#This Row],[Winter Clothes Adult]],Table_NFI[Winter Clothes Adult])</f>
        <v>0</v>
      </c>
      <c r="AJ1150" s="264">
        <f>IF(NFI_Expiration=1,IF($A1150&lt;VLOOKUP(S$5,NFI,5,0),1,0)*Table_NFI[[#This Row],[Winter Clothes Children]],Table_NFI[Winter Clothes Children])</f>
        <v>0</v>
      </c>
      <c r="AK1150" s="264">
        <f>IF(NFI_Expiration=1,IF($A1150&lt;VLOOKUP(T$5,NFI,5,0),1,0)*Table_NFI[[#This Row],[Winter Items Other]],Table_NFI[Winter Items Other])</f>
        <v>0</v>
      </c>
      <c r="AL1150" s="264">
        <f>IF(NFI_Expiration=1,IF($A1150&lt;VLOOKUP(M$5,NFI,5,0),1,0)*Table_NFI[[#This Row],[Winter Blanket]],Table_NFI[[#This Row],[Winter Blanket]])</f>
        <v>0</v>
      </c>
      <c r="AM1150" s="264">
        <f>IF(Table_NFI[[#This Row],[Winter Clothes Adult]]+Table_NFI[[#This Row],[Winter Clothes Children]]+Table_NFI[[#This Row],[Winter Items Other]]+Table_NFI[[#This Row],[Winter Blanket]]&gt;0,1,0)</f>
        <v>0</v>
      </c>
      <c r="AN1150" s="296">
        <f>IF(NFI_Expiration=1,IF($A1150&lt;VLOOKUP(V$5,NFI,5,0),1,0)*Table_NFI[[#This Row],[Jerry Can]],Table_NFI[Jerry Can])</f>
        <v>0</v>
      </c>
      <c r="AO1150" s="296">
        <f>IF(NFI_Expiration=1,IF($A1150&lt;VLOOKUP(V$5,NFI,5,0),1,0)*Table_NFI[[#This Row],[Shelter Tool kit]],Table_NFI[Shelter Tool kit])</f>
        <v>0</v>
      </c>
      <c r="AP1150" s="296">
        <f>IF(NFI_Expiration=1,IF($A1150&lt;VLOOKUP(V$5,NFI,5,0),1,0)*Table_NFI[[#This Row],[Tent]],Table_NFI[Tent])</f>
        <v>0</v>
      </c>
      <c r="AQ1150" s="396" t="str">
        <f>IFERROR(VLOOKUP(Table_NFI[[#This Row],[Camp Name]],CL,2,0),"")</f>
        <v>MMR001CMP009</v>
      </c>
      <c r="AR1150" s="702">
        <f ca="1">IF(Table_NFI[[#This Row],[Pcode]]="","",IF(OFFSET(CampList[Opening Date],MATCH(Table_NFI[[#This Row],[Pcode]],CampList[CP_Pcode],0)-1,0,1,1)&gt;=NFI_Monitor_Date,1,0))</f>
        <v>0</v>
      </c>
      <c r="AS1150" s="396" t="str">
        <f>IFERROR(VLOOKUP(Table_NFI[[#This Row],[Camp Name]],CL,3,0),"")</f>
        <v>Open</v>
      </c>
      <c r="AT1150" s="264" t="str">
        <f ca="1">IF(Table_NFI[[#This Row],[Pcode]]="","",OFFSET(CampList[Priority],MATCH(Table_NFI[[#This Row],[Pcode]],CampList[CP_Pcode],0)-1,0,1,1))</f>
        <v>P4</v>
      </c>
      <c r="AU1150" s="263">
        <f>IFERROR(Table_NFI[[#This Row],[Kitchen Set]]/VLOOKUP(Table_NFI[[#This Row],[Camp Name]],CL,4,0),"")</f>
        <v>6.6298342541436467E-4</v>
      </c>
      <c r="AV1150" s="390" t="s">
        <v>1087</v>
      </c>
      <c r="AW1150" s="392"/>
      <c r="AX1150" s="399"/>
      <c r="AY1150" s="399"/>
      <c r="AZ1150" s="399"/>
      <c r="BA1150" s="399"/>
      <c r="BB1150" s="399"/>
      <c r="BC1150" s="399"/>
      <c r="BD1150" s="399"/>
      <c r="BE1150" s="399"/>
      <c r="BF1150" s="399"/>
      <c r="BG1150" s="399"/>
      <c r="BH1150" s="399"/>
      <c r="BI1150" s="399"/>
      <c r="BJ1150" s="399"/>
      <c r="BK1150" s="399"/>
      <c r="BL1150" s="399"/>
      <c r="BM1150" s="399"/>
      <c r="BN1150" s="399"/>
      <c r="BO1150" s="399"/>
      <c r="BP1150" s="399"/>
      <c r="BQ1150" s="399"/>
      <c r="BR1150" s="399"/>
      <c r="BS1150" s="399"/>
      <c r="BT1150" s="399"/>
      <c r="BU1150" s="399"/>
      <c r="BV1150" s="399"/>
      <c r="BW1150" s="399"/>
      <c r="BX1150" s="399"/>
      <c r="BY1150" s="399"/>
      <c r="BZ1150" s="399"/>
      <c r="CA1150" s="399"/>
      <c r="CB1150" s="399"/>
      <c r="CC1150" s="399"/>
      <c r="CD1150" s="399"/>
      <c r="CE1150" s="399"/>
      <c r="CF1150" s="399"/>
      <c r="CG1150" s="399"/>
      <c r="CH1150" s="399"/>
      <c r="CI1150" s="399"/>
      <c r="CJ1150" s="399"/>
      <c r="CK1150" s="399"/>
      <c r="CL1150" s="399"/>
      <c r="CM1150" s="399"/>
      <c r="CN1150" s="399"/>
      <c r="CO1150" s="399"/>
      <c r="CP1150" s="399"/>
      <c r="CQ1150" s="399"/>
      <c r="CR1150" s="399"/>
      <c r="CS1150" s="399"/>
      <c r="CT1150" s="399"/>
      <c r="CU1150" s="399"/>
      <c r="CV1150" s="399"/>
      <c r="CW1150" s="399"/>
      <c r="CX1150" s="399"/>
      <c r="CY1150" s="399"/>
      <c r="CZ1150" s="399"/>
      <c r="DA1150" s="399"/>
      <c r="DB1150" s="399"/>
      <c r="DC1150" s="399"/>
      <c r="DD1150" s="399"/>
      <c r="DE1150" s="399"/>
      <c r="DF1150" s="399"/>
      <c r="DG1150" s="399"/>
      <c r="DH1150" s="399"/>
      <c r="DI1150" s="399"/>
      <c r="DJ1150" s="399"/>
      <c r="DK1150" s="399"/>
      <c r="DL1150" s="399"/>
      <c r="DM1150" s="399"/>
      <c r="DN1150" s="399"/>
      <c r="DO1150" s="399"/>
      <c r="DP1150" s="399"/>
      <c r="DQ1150" s="399"/>
    </row>
    <row r="1151" spans="1:121" s="760" customFormat="1" ht="14.45" customHeight="1" x14ac:dyDescent="0.25">
      <c r="A1151" s="266">
        <f t="shared" si="17"/>
        <v>66.36666666666666</v>
      </c>
      <c r="B1151" s="389">
        <v>40865</v>
      </c>
      <c r="C1151" s="390" t="s">
        <v>451</v>
      </c>
      <c r="D1151" s="391" t="s">
        <v>451</v>
      </c>
      <c r="E1151" s="390" t="s">
        <v>380</v>
      </c>
      <c r="F1151" s="262" t="s">
        <v>237</v>
      </c>
      <c r="G1151" s="262" t="s">
        <v>283</v>
      </c>
      <c r="H1151" s="261"/>
      <c r="I1151" s="261"/>
      <c r="J1151" s="261"/>
      <c r="K1151" s="261">
        <v>175</v>
      </c>
      <c r="L1151" s="261">
        <v>0</v>
      </c>
      <c r="M1151" s="261">
        <v>175</v>
      </c>
      <c r="N1151" s="261">
        <v>0</v>
      </c>
      <c r="O1151" s="261">
        <v>0</v>
      </c>
      <c r="P1151" s="261"/>
      <c r="Q1151" s="261"/>
      <c r="R1151" s="261"/>
      <c r="S1151" s="261"/>
      <c r="T1151" s="261"/>
      <c r="U1151" s="261"/>
      <c r="V1151" s="762"/>
      <c r="W1151" s="762"/>
      <c r="X1151" s="762"/>
      <c r="Y1151" s="264">
        <f>IF(NFI_Expiration=1,IF($A1151&lt;VLOOKUP(H$5,NFI,5,0),1,0)*Table_NFI[[#This Row],[Hygiene Kit]],Table_NFI[Hygiene Kit])</f>
        <v>0</v>
      </c>
      <c r="Z1151" s="264">
        <f>IF(NFI_Expiration=1,IF($A1151&lt;VLOOKUP(I$5,NFI,5,0),1,0)*Table_NFI[[#This Row],[NFI Core Kit]],Table_NFI[NFI Core Kit])</f>
        <v>0</v>
      </c>
      <c r="AA1151" s="264">
        <f>IF(NFI_Expiration=1,IF($A1151&lt;VLOOKUP(J$5,NFI,5,0),1,0)*Table_NFI[[#This Row],[Sanitary Kit]],Table_NFI[Sanitary Kit])</f>
        <v>0</v>
      </c>
      <c r="AB1151" s="264">
        <f>IF(NFI_Expiration=1,IF($A1151&lt;VLOOKUP(K$5,NFI,5,0),1,0)*Table_NFI[[#This Row],[Mosquito net]],Table_NFI[Mosquito net])</f>
        <v>0</v>
      </c>
      <c r="AC1151" s="264">
        <f>IF(NFI_Expiration=1,IF($A1151&lt;VLOOKUP(L$5,NFI,5,0),1,0)*Table_NFI[[#This Row],[Tarpaulin]],Table_NFI[[#This Row],[Tarpaulin]])</f>
        <v>0</v>
      </c>
      <c r="AD1151" s="264">
        <f>IF(NFI_Expiration=1,IF($A1151&lt;VLOOKUP(M$5,NFI,5,0),1,0)*Table_NFI[[#This Row],[Blanket]],Table_NFI[[#This Row],[Blanket]])</f>
        <v>0</v>
      </c>
      <c r="AE1151" s="264">
        <f>IF(NFI_Expiration=1,IF($A1151&lt;VLOOKUP(N$5,NFI,5,0),1,0)*Table_NFI[[#This Row],[Kitchen Set]],Table_NFI[Kitchen Set])</f>
        <v>0</v>
      </c>
      <c r="AF1151" s="264">
        <f>IF(NFI_Expiration=1,IF($A1151&lt;VLOOKUP(O$5,NFI,5,0),1,0)*Table_NFI[[#This Row],[Clothes Kit]],Table_NFI[Clothes Kit])</f>
        <v>0</v>
      </c>
      <c r="AG1151" s="264">
        <f>IF(NFI_Expiration=1,IF($A1151&lt;VLOOKUP(P$5,NFI,5,0),1,0)*Table_NFI[[#This Row],[Plastic Bucket]],Table_NFI[Plastic Bucket])</f>
        <v>0</v>
      </c>
      <c r="AH1151" s="264">
        <f>IF(NFI_Expiration=1,IF($A1151&lt;VLOOKUP(Q$5,NFI,5,0),1,0)*Table_NFI[[#This Row],[Plastic Mat]],Table_NFI[Plastic Mat])*IF(Table_NFI[[#This Row],[Distribution Date]]&gt;"2014-04-01",1,2.5)</f>
        <v>0</v>
      </c>
      <c r="AI1151" s="264">
        <f>IF(NFI_Expiration=1,IF($A1151&lt;VLOOKUP(R$5,NFI,5,0),1,0)*Table_NFI[[#This Row],[Winter Clothes Adult]],Table_NFI[Winter Clothes Adult])</f>
        <v>0</v>
      </c>
      <c r="AJ1151" s="264">
        <f>IF(NFI_Expiration=1,IF($A1151&lt;VLOOKUP(S$5,NFI,5,0),1,0)*Table_NFI[[#This Row],[Winter Clothes Children]],Table_NFI[Winter Clothes Children])</f>
        <v>0</v>
      </c>
      <c r="AK1151" s="264">
        <f>IF(NFI_Expiration=1,IF($A1151&lt;VLOOKUP(T$5,NFI,5,0),1,0)*Table_NFI[[#This Row],[Winter Items Other]],Table_NFI[Winter Items Other])</f>
        <v>0</v>
      </c>
      <c r="AL1151" s="264">
        <f>IF(NFI_Expiration=1,IF($A1151&lt;VLOOKUP(M$5,NFI,5,0),1,0)*Table_NFI[[#This Row],[Winter Blanket]],Table_NFI[[#This Row],[Winter Blanket]])</f>
        <v>0</v>
      </c>
      <c r="AM1151" s="264">
        <f>IF(Table_NFI[[#This Row],[Winter Clothes Adult]]+Table_NFI[[#This Row],[Winter Clothes Children]]+Table_NFI[[#This Row],[Winter Items Other]]+Table_NFI[[#This Row],[Winter Blanket]]&gt;0,1,0)</f>
        <v>0</v>
      </c>
      <c r="AN1151" s="296">
        <f>IF(NFI_Expiration=1,IF($A1151&lt;VLOOKUP(V$5,NFI,5,0),1,0)*Table_NFI[[#This Row],[Jerry Can]],Table_NFI[Jerry Can])</f>
        <v>0</v>
      </c>
      <c r="AO1151" s="296">
        <f>IF(NFI_Expiration=1,IF($A1151&lt;VLOOKUP(V$5,NFI,5,0),1,0)*Table_NFI[[#This Row],[Shelter Tool kit]],Table_NFI[Shelter Tool kit])</f>
        <v>0</v>
      </c>
      <c r="AP1151" s="296">
        <f>IF(NFI_Expiration=1,IF($A1151&lt;VLOOKUP(V$5,NFI,5,0),1,0)*Table_NFI[[#This Row],[Tent]],Table_NFI[Tent])</f>
        <v>0</v>
      </c>
      <c r="AQ1151" s="396" t="str">
        <f>IFERROR(VLOOKUP(Table_NFI[[#This Row],[Camp Name]],CL,2,0),"")</f>
        <v>MMR001CMP022</v>
      </c>
      <c r="AR1151" s="702">
        <f ca="1">IF(Table_NFI[[#This Row],[Pcode]]="","",IF(OFFSET(CampList[Opening Date],MATCH(Table_NFI[[#This Row],[Pcode]],CampList[CP_Pcode],0)-1,0,1,1)&gt;=NFI_Monitor_Date,1,0))</f>
        <v>0</v>
      </c>
      <c r="AS1151" s="396" t="str">
        <f>IFERROR(VLOOKUP(Table_NFI[[#This Row],[Camp Name]],CL,3,0),"")</f>
        <v>Open</v>
      </c>
      <c r="AT1151" s="264" t="str">
        <f ca="1">IF(Table_NFI[[#This Row],[Pcode]]="","",OFFSET(CampList[Priority],MATCH(Table_NFI[[#This Row],[Pcode]],CampList[CP_Pcode],0)-1,0,1,1))</f>
        <v>P4</v>
      </c>
      <c r="AU1151" s="263">
        <f>IFERROR(Table_NFI[[#This Row],[Kitchen Set]]/VLOOKUP(Table_NFI[[#This Row],[Camp Name]],CL,4,0),"")</f>
        <v>0</v>
      </c>
      <c r="AV1151" s="390" t="s">
        <v>1087</v>
      </c>
      <c r="AW1151" s="392"/>
      <c r="AX1151" s="399"/>
      <c r="AY1151" s="399"/>
      <c r="AZ1151" s="399"/>
      <c r="BA1151" s="399"/>
      <c r="BB1151" s="399"/>
      <c r="BC1151" s="399"/>
      <c r="BD1151" s="399"/>
      <c r="BE1151" s="399"/>
      <c r="BF1151" s="399"/>
      <c r="BG1151" s="399"/>
      <c r="BH1151" s="399"/>
      <c r="BI1151" s="399"/>
      <c r="BJ1151" s="399"/>
      <c r="BK1151" s="399"/>
      <c r="BL1151" s="399"/>
      <c r="BM1151" s="399"/>
      <c r="BN1151" s="399"/>
      <c r="BO1151" s="399"/>
      <c r="BP1151" s="399"/>
      <c r="BQ1151" s="399"/>
      <c r="BR1151" s="399"/>
      <c r="BS1151" s="399"/>
      <c r="BT1151" s="399"/>
      <c r="BU1151" s="399"/>
      <c r="BV1151" s="399"/>
      <c r="BW1151" s="399"/>
      <c r="BX1151" s="399"/>
      <c r="BY1151" s="399"/>
      <c r="BZ1151" s="399"/>
      <c r="CA1151" s="399"/>
      <c r="CB1151" s="399"/>
      <c r="CC1151" s="399"/>
      <c r="CD1151" s="399"/>
      <c r="CE1151" s="399"/>
      <c r="CF1151" s="399"/>
      <c r="CG1151" s="399"/>
      <c r="CH1151" s="399"/>
      <c r="CI1151" s="399"/>
      <c r="CJ1151" s="399"/>
      <c r="CK1151" s="399"/>
      <c r="CL1151" s="399"/>
      <c r="CM1151" s="399"/>
      <c r="CN1151" s="399"/>
      <c r="CO1151" s="399"/>
      <c r="CP1151" s="399"/>
      <c r="CQ1151" s="399"/>
      <c r="CR1151" s="399"/>
      <c r="CS1151" s="399"/>
      <c r="CT1151" s="399"/>
      <c r="CU1151" s="399"/>
      <c r="CV1151" s="399"/>
      <c r="CW1151" s="399"/>
      <c r="CX1151" s="399"/>
      <c r="CY1151" s="399"/>
      <c r="CZ1151" s="399"/>
      <c r="DA1151" s="399"/>
      <c r="DB1151" s="399"/>
      <c r="DC1151" s="399"/>
      <c r="DD1151" s="399"/>
      <c r="DE1151" s="399"/>
      <c r="DF1151" s="399"/>
      <c r="DG1151" s="399"/>
      <c r="DH1151" s="399"/>
      <c r="DI1151" s="399"/>
      <c r="DJ1151" s="399"/>
      <c r="DK1151" s="399"/>
      <c r="DL1151" s="399"/>
      <c r="DM1151" s="399"/>
      <c r="DN1151" s="399"/>
      <c r="DO1151" s="399"/>
      <c r="DP1151" s="399"/>
      <c r="DQ1151" s="399"/>
    </row>
    <row r="1152" spans="1:121" s="760" customFormat="1" ht="14.45" customHeight="1" x14ac:dyDescent="0.25">
      <c r="A1152" s="266">
        <f t="shared" si="17"/>
        <v>66.36666666666666</v>
      </c>
      <c r="B1152" s="389">
        <v>40865</v>
      </c>
      <c r="C1152" s="390" t="s">
        <v>451</v>
      </c>
      <c r="D1152" s="391" t="s">
        <v>451</v>
      </c>
      <c r="E1152" s="390" t="s">
        <v>380</v>
      </c>
      <c r="F1152" s="262" t="s">
        <v>237</v>
      </c>
      <c r="G1152" s="262" t="s">
        <v>905</v>
      </c>
      <c r="H1152" s="261"/>
      <c r="I1152" s="261"/>
      <c r="J1152" s="261"/>
      <c r="K1152" s="261">
        <v>24</v>
      </c>
      <c r="L1152" s="261">
        <v>3</v>
      </c>
      <c r="M1152" s="261">
        <v>24</v>
      </c>
      <c r="N1152" s="261">
        <v>3</v>
      </c>
      <c r="O1152" s="261">
        <v>3</v>
      </c>
      <c r="P1152" s="261">
        <v>3</v>
      </c>
      <c r="Q1152" s="261">
        <v>3</v>
      </c>
      <c r="R1152" s="261"/>
      <c r="S1152" s="261"/>
      <c r="T1152" s="261"/>
      <c r="U1152" s="261"/>
      <c r="V1152" s="762"/>
      <c r="W1152" s="762"/>
      <c r="X1152" s="762"/>
      <c r="Y1152" s="264">
        <f>IF(NFI_Expiration=1,IF($A1152&lt;VLOOKUP(H$5,NFI,5,0),1,0)*Table_NFI[[#This Row],[Hygiene Kit]],Table_NFI[Hygiene Kit])</f>
        <v>0</v>
      </c>
      <c r="Z1152" s="264">
        <f>IF(NFI_Expiration=1,IF($A1152&lt;VLOOKUP(I$5,NFI,5,0),1,0)*Table_NFI[[#This Row],[NFI Core Kit]],Table_NFI[NFI Core Kit])</f>
        <v>0</v>
      </c>
      <c r="AA1152" s="264">
        <f>IF(NFI_Expiration=1,IF($A1152&lt;VLOOKUP(J$5,NFI,5,0),1,0)*Table_NFI[[#This Row],[Sanitary Kit]],Table_NFI[Sanitary Kit])</f>
        <v>0</v>
      </c>
      <c r="AB1152" s="264">
        <f>IF(NFI_Expiration=1,IF($A1152&lt;VLOOKUP(K$5,NFI,5,0),1,0)*Table_NFI[[#This Row],[Mosquito net]],Table_NFI[Mosquito net])</f>
        <v>0</v>
      </c>
      <c r="AC1152" s="264">
        <f>IF(NFI_Expiration=1,IF($A1152&lt;VLOOKUP(L$5,NFI,5,0),1,0)*Table_NFI[[#This Row],[Tarpaulin]],Table_NFI[[#This Row],[Tarpaulin]])</f>
        <v>0</v>
      </c>
      <c r="AD1152" s="264">
        <f>IF(NFI_Expiration=1,IF($A1152&lt;VLOOKUP(M$5,NFI,5,0),1,0)*Table_NFI[[#This Row],[Blanket]],Table_NFI[[#This Row],[Blanket]])</f>
        <v>0</v>
      </c>
      <c r="AE1152" s="264">
        <f>IF(NFI_Expiration=1,IF($A1152&lt;VLOOKUP(N$5,NFI,5,0),1,0)*Table_NFI[[#This Row],[Kitchen Set]],Table_NFI[Kitchen Set])</f>
        <v>0</v>
      </c>
      <c r="AF1152" s="264">
        <f>IF(NFI_Expiration=1,IF($A1152&lt;VLOOKUP(O$5,NFI,5,0),1,0)*Table_NFI[[#This Row],[Clothes Kit]],Table_NFI[Clothes Kit])</f>
        <v>0</v>
      </c>
      <c r="AG1152" s="264">
        <f>IF(NFI_Expiration=1,IF($A1152&lt;VLOOKUP(P$5,NFI,5,0),1,0)*Table_NFI[[#This Row],[Plastic Bucket]],Table_NFI[Plastic Bucket])</f>
        <v>0</v>
      </c>
      <c r="AH1152" s="264">
        <f>IF(NFI_Expiration=1,IF($A1152&lt;VLOOKUP(Q$5,NFI,5,0),1,0)*Table_NFI[[#This Row],[Plastic Mat]],Table_NFI[Plastic Mat])*IF(Table_NFI[[#This Row],[Distribution Date]]&gt;"2014-04-01",1,2.5)</f>
        <v>0</v>
      </c>
      <c r="AI1152" s="264">
        <f>IF(NFI_Expiration=1,IF($A1152&lt;VLOOKUP(R$5,NFI,5,0),1,0)*Table_NFI[[#This Row],[Winter Clothes Adult]],Table_NFI[Winter Clothes Adult])</f>
        <v>0</v>
      </c>
      <c r="AJ1152" s="264">
        <f>IF(NFI_Expiration=1,IF($A1152&lt;VLOOKUP(S$5,NFI,5,0),1,0)*Table_NFI[[#This Row],[Winter Clothes Children]],Table_NFI[Winter Clothes Children])</f>
        <v>0</v>
      </c>
      <c r="AK1152" s="264">
        <f>IF(NFI_Expiration=1,IF($A1152&lt;VLOOKUP(T$5,NFI,5,0),1,0)*Table_NFI[[#This Row],[Winter Items Other]],Table_NFI[Winter Items Other])</f>
        <v>0</v>
      </c>
      <c r="AL1152" s="264">
        <f>IF(NFI_Expiration=1,IF($A1152&lt;VLOOKUP(M$5,NFI,5,0),1,0)*Table_NFI[[#This Row],[Winter Blanket]],Table_NFI[[#This Row],[Winter Blanket]])</f>
        <v>0</v>
      </c>
      <c r="AM1152" s="264">
        <f>IF(Table_NFI[[#This Row],[Winter Clothes Adult]]+Table_NFI[[#This Row],[Winter Clothes Children]]+Table_NFI[[#This Row],[Winter Items Other]]+Table_NFI[[#This Row],[Winter Blanket]]&gt;0,1,0)</f>
        <v>0</v>
      </c>
      <c r="AN1152" s="296">
        <f>IF(NFI_Expiration=1,IF($A1152&lt;VLOOKUP(V$5,NFI,5,0),1,0)*Table_NFI[[#This Row],[Jerry Can]],Table_NFI[Jerry Can])</f>
        <v>0</v>
      </c>
      <c r="AO1152" s="296">
        <f>IF(NFI_Expiration=1,IF($A1152&lt;VLOOKUP(V$5,NFI,5,0),1,0)*Table_NFI[[#This Row],[Shelter Tool kit]],Table_NFI[Shelter Tool kit])</f>
        <v>0</v>
      </c>
      <c r="AP1152" s="296">
        <f>IF(NFI_Expiration=1,IF($A1152&lt;VLOOKUP(V$5,NFI,5,0),1,0)*Table_NFI[[#This Row],[Tent]],Table_NFI[Tent])</f>
        <v>0</v>
      </c>
      <c r="AQ1152" s="396" t="str">
        <f>IFERROR(VLOOKUP(Table_NFI[[#This Row],[Camp Name]],CL,2,0),"")</f>
        <v/>
      </c>
      <c r="AR1152" s="702" t="str">
        <f ca="1">IF(Table_NFI[[#This Row],[Pcode]]="","",IF(OFFSET(CampList[Opening Date],MATCH(Table_NFI[[#This Row],[Pcode]],CampList[CP_Pcode],0)-1,0,1,1)&gt;=NFI_Monitor_Date,1,0))</f>
        <v/>
      </c>
      <c r="AS1152" s="396" t="str">
        <f>IFERROR(VLOOKUP(Table_NFI[[#This Row],[Camp Name]],CL,3,0),"")</f>
        <v/>
      </c>
      <c r="AT1152" s="264" t="str">
        <f ca="1">IF(Table_NFI[[#This Row],[Pcode]]="","",OFFSET(CampList[Priority],MATCH(Table_NFI[[#This Row],[Pcode]],CampList[CP_Pcode],0)-1,0,1,1))</f>
        <v/>
      </c>
      <c r="AU1152" s="263" t="str">
        <f>IFERROR(Table_NFI[[#This Row],[Kitchen Set]]/VLOOKUP(Table_NFI[[#This Row],[Camp Name]],CL,4,0),"")</f>
        <v/>
      </c>
      <c r="AV1152" s="390" t="s">
        <v>1087</v>
      </c>
      <c r="AW1152" s="392"/>
      <c r="AX1152" s="399"/>
      <c r="AY1152" s="399"/>
      <c r="AZ1152" s="399"/>
      <c r="BA1152" s="399"/>
      <c r="BB1152" s="399"/>
      <c r="BC1152" s="399"/>
      <c r="BD1152" s="399"/>
      <c r="BE1152" s="399"/>
      <c r="BF1152" s="399"/>
      <c r="BG1152" s="399"/>
      <c r="BH1152" s="399"/>
      <c r="BI1152" s="399"/>
      <c r="BJ1152" s="399"/>
      <c r="BK1152" s="399"/>
      <c r="BL1152" s="399"/>
      <c r="BM1152" s="399"/>
      <c r="BN1152" s="399"/>
      <c r="BO1152" s="399"/>
      <c r="BP1152" s="399"/>
      <c r="BQ1152" s="399"/>
      <c r="BR1152" s="399"/>
      <c r="BS1152" s="399"/>
      <c r="BT1152" s="399"/>
      <c r="BU1152" s="399"/>
      <c r="BV1152" s="399"/>
      <c r="BW1152" s="399"/>
      <c r="BX1152" s="399"/>
      <c r="BY1152" s="399"/>
      <c r="BZ1152" s="399"/>
      <c r="CA1152" s="399"/>
      <c r="CB1152" s="399"/>
      <c r="CC1152" s="399"/>
      <c r="CD1152" s="399"/>
      <c r="CE1152" s="399"/>
      <c r="CF1152" s="399"/>
      <c r="CG1152" s="399"/>
      <c r="CH1152" s="399"/>
      <c r="CI1152" s="399"/>
      <c r="CJ1152" s="399"/>
      <c r="CK1152" s="399"/>
      <c r="CL1152" s="399"/>
      <c r="CM1152" s="399"/>
      <c r="CN1152" s="399"/>
      <c r="CO1152" s="399"/>
      <c r="CP1152" s="399"/>
      <c r="CQ1152" s="399"/>
      <c r="CR1152" s="399"/>
      <c r="CS1152" s="399"/>
      <c r="CT1152" s="399"/>
      <c r="CU1152" s="399"/>
      <c r="CV1152" s="399"/>
      <c r="CW1152" s="399"/>
      <c r="CX1152" s="399"/>
      <c r="CY1152" s="399"/>
      <c r="CZ1152" s="399"/>
      <c r="DA1152" s="399"/>
      <c r="DB1152" s="399"/>
      <c r="DC1152" s="399"/>
      <c r="DD1152" s="399"/>
      <c r="DE1152" s="399"/>
      <c r="DF1152" s="399"/>
      <c r="DG1152" s="399"/>
      <c r="DH1152" s="399"/>
      <c r="DI1152" s="399"/>
      <c r="DJ1152" s="399"/>
      <c r="DK1152" s="399"/>
      <c r="DL1152" s="399"/>
      <c r="DM1152" s="399"/>
      <c r="DN1152" s="399"/>
      <c r="DO1152" s="399"/>
      <c r="DP1152" s="399"/>
      <c r="DQ1152" s="399"/>
    </row>
    <row r="1153" spans="1:121" s="760" customFormat="1" ht="14.45" customHeight="1" x14ac:dyDescent="0.25">
      <c r="A1153" s="266">
        <f t="shared" si="17"/>
        <v>66.433333333333337</v>
      </c>
      <c r="B1153" s="389">
        <v>40863</v>
      </c>
      <c r="C1153" s="390" t="s">
        <v>451</v>
      </c>
      <c r="D1153" s="391" t="s">
        <v>459</v>
      </c>
      <c r="E1153" s="390" t="s">
        <v>380</v>
      </c>
      <c r="F1153" s="262" t="s">
        <v>237</v>
      </c>
      <c r="G1153" s="262" t="s">
        <v>269</v>
      </c>
      <c r="H1153" s="261"/>
      <c r="I1153" s="261"/>
      <c r="J1153" s="261"/>
      <c r="K1153" s="261">
        <v>92</v>
      </c>
      <c r="L1153" s="261">
        <v>53</v>
      </c>
      <c r="M1153" s="261">
        <v>92</v>
      </c>
      <c r="N1153" s="261">
        <v>53</v>
      </c>
      <c r="O1153" s="261">
        <v>53</v>
      </c>
      <c r="P1153" s="261">
        <v>53</v>
      </c>
      <c r="Q1153" s="261">
        <v>53</v>
      </c>
      <c r="R1153" s="261"/>
      <c r="S1153" s="261"/>
      <c r="T1153" s="261"/>
      <c r="U1153" s="261"/>
      <c r="V1153" s="762"/>
      <c r="W1153" s="762"/>
      <c r="X1153" s="762"/>
      <c r="Y1153" s="264">
        <f>IF(NFI_Expiration=1,IF($A1153&lt;VLOOKUP(H$5,NFI,5,0),1,0)*Table_NFI[[#This Row],[Hygiene Kit]],Table_NFI[Hygiene Kit])</f>
        <v>0</v>
      </c>
      <c r="Z1153" s="264">
        <f>IF(NFI_Expiration=1,IF($A1153&lt;VLOOKUP(I$5,NFI,5,0),1,0)*Table_NFI[[#This Row],[NFI Core Kit]],Table_NFI[NFI Core Kit])</f>
        <v>0</v>
      </c>
      <c r="AA1153" s="264">
        <f>IF(NFI_Expiration=1,IF($A1153&lt;VLOOKUP(J$5,NFI,5,0),1,0)*Table_NFI[[#This Row],[Sanitary Kit]],Table_NFI[Sanitary Kit])</f>
        <v>0</v>
      </c>
      <c r="AB1153" s="264">
        <f>IF(NFI_Expiration=1,IF($A1153&lt;VLOOKUP(K$5,NFI,5,0),1,0)*Table_NFI[[#This Row],[Mosquito net]],Table_NFI[Mosquito net])</f>
        <v>0</v>
      </c>
      <c r="AC1153" s="264">
        <f>IF(NFI_Expiration=1,IF($A1153&lt;VLOOKUP(L$5,NFI,5,0),1,0)*Table_NFI[[#This Row],[Tarpaulin]],Table_NFI[[#This Row],[Tarpaulin]])</f>
        <v>0</v>
      </c>
      <c r="AD1153" s="264">
        <f>IF(NFI_Expiration=1,IF($A1153&lt;VLOOKUP(M$5,NFI,5,0),1,0)*Table_NFI[[#This Row],[Blanket]],Table_NFI[[#This Row],[Blanket]])</f>
        <v>0</v>
      </c>
      <c r="AE1153" s="264">
        <f>IF(NFI_Expiration=1,IF($A1153&lt;VLOOKUP(N$5,NFI,5,0),1,0)*Table_NFI[[#This Row],[Kitchen Set]],Table_NFI[Kitchen Set])</f>
        <v>0</v>
      </c>
      <c r="AF1153" s="264">
        <f>IF(NFI_Expiration=1,IF($A1153&lt;VLOOKUP(O$5,NFI,5,0),1,0)*Table_NFI[[#This Row],[Clothes Kit]],Table_NFI[Clothes Kit])</f>
        <v>0</v>
      </c>
      <c r="AG1153" s="264">
        <f>IF(NFI_Expiration=1,IF($A1153&lt;VLOOKUP(P$5,NFI,5,0),1,0)*Table_NFI[[#This Row],[Plastic Bucket]],Table_NFI[Plastic Bucket])</f>
        <v>0</v>
      </c>
      <c r="AH1153" s="264">
        <f>IF(NFI_Expiration=1,IF($A1153&lt;VLOOKUP(Q$5,NFI,5,0),1,0)*Table_NFI[[#This Row],[Plastic Mat]],Table_NFI[Plastic Mat])*IF(Table_NFI[[#This Row],[Distribution Date]]&gt;"2014-04-01",1,2.5)</f>
        <v>0</v>
      </c>
      <c r="AI1153" s="264">
        <f>IF(NFI_Expiration=1,IF($A1153&lt;VLOOKUP(R$5,NFI,5,0),1,0)*Table_NFI[[#This Row],[Winter Clothes Adult]],Table_NFI[Winter Clothes Adult])</f>
        <v>0</v>
      </c>
      <c r="AJ1153" s="264">
        <f>IF(NFI_Expiration=1,IF($A1153&lt;VLOOKUP(S$5,NFI,5,0),1,0)*Table_NFI[[#This Row],[Winter Clothes Children]],Table_NFI[Winter Clothes Children])</f>
        <v>0</v>
      </c>
      <c r="AK1153" s="264">
        <f>IF(NFI_Expiration=1,IF($A1153&lt;VLOOKUP(T$5,NFI,5,0),1,0)*Table_NFI[[#This Row],[Winter Items Other]],Table_NFI[Winter Items Other])</f>
        <v>0</v>
      </c>
      <c r="AL1153" s="264">
        <f>IF(NFI_Expiration=1,IF($A1153&lt;VLOOKUP(M$5,NFI,5,0),1,0)*Table_NFI[[#This Row],[Winter Blanket]],Table_NFI[[#This Row],[Winter Blanket]])</f>
        <v>0</v>
      </c>
      <c r="AM1153" s="264">
        <f>IF(Table_NFI[[#This Row],[Winter Clothes Adult]]+Table_NFI[[#This Row],[Winter Clothes Children]]+Table_NFI[[#This Row],[Winter Items Other]]+Table_NFI[[#This Row],[Winter Blanket]]&gt;0,1,0)</f>
        <v>0</v>
      </c>
      <c r="AN1153" s="296">
        <f>IF(NFI_Expiration=1,IF($A1153&lt;VLOOKUP(V$5,NFI,5,0),1,0)*Table_NFI[[#This Row],[Jerry Can]],Table_NFI[Jerry Can])</f>
        <v>0</v>
      </c>
      <c r="AO1153" s="296">
        <f>IF(NFI_Expiration=1,IF($A1153&lt;VLOOKUP(V$5,NFI,5,0),1,0)*Table_NFI[[#This Row],[Shelter Tool kit]],Table_NFI[Shelter Tool kit])</f>
        <v>0</v>
      </c>
      <c r="AP1153" s="296">
        <f>IF(NFI_Expiration=1,IF($A1153&lt;VLOOKUP(V$5,NFI,5,0),1,0)*Table_NFI[[#This Row],[Tent]],Table_NFI[Tent])</f>
        <v>0</v>
      </c>
      <c r="AQ1153" s="396" t="str">
        <f>IFERROR(VLOOKUP(Table_NFI[[#This Row],[Camp Name]],CL,2,0),"")</f>
        <v>MMR001CMP002</v>
      </c>
      <c r="AR1153" s="702">
        <f ca="1">IF(Table_NFI[[#This Row],[Pcode]]="","",IF(OFFSET(CampList[Opening Date],MATCH(Table_NFI[[#This Row],[Pcode]],CampList[CP_Pcode],0)-1,0,1,1)&gt;=NFI_Monitor_Date,1,0))</f>
        <v>0</v>
      </c>
      <c r="AS1153" s="396" t="str">
        <f>IFERROR(VLOOKUP(Table_NFI[[#This Row],[Camp Name]],CL,3,0),"")</f>
        <v>Open</v>
      </c>
      <c r="AT1153" s="264" t="str">
        <f ca="1">IF(Table_NFI[[#This Row],[Pcode]]="","",OFFSET(CampList[Priority],MATCH(Table_NFI[[#This Row],[Pcode]],CampList[CP_Pcode],0)-1,0,1,1))</f>
        <v>P4</v>
      </c>
      <c r="AU1153" s="263">
        <f>IFERROR(Table_NFI[[#This Row],[Kitchen Set]]/VLOOKUP(Table_NFI[[#This Row],[Camp Name]],CL,4,0),"")</f>
        <v>1.3023712986853422E-3</v>
      </c>
      <c r="AV1153" s="390" t="s">
        <v>1087</v>
      </c>
      <c r="AW1153" s="392"/>
      <c r="AX1153" s="399"/>
      <c r="AY1153" s="399"/>
      <c r="AZ1153" s="399"/>
      <c r="BA1153" s="399"/>
      <c r="BB1153" s="399"/>
      <c r="BC1153" s="399"/>
      <c r="BD1153" s="399"/>
      <c r="BE1153" s="399"/>
      <c r="BF1153" s="399"/>
      <c r="BG1153" s="399"/>
      <c r="BH1153" s="399"/>
      <c r="BI1153" s="399"/>
      <c r="BJ1153" s="399"/>
      <c r="BK1153" s="399"/>
      <c r="BL1153" s="399"/>
      <c r="BM1153" s="399"/>
      <c r="BN1153" s="399"/>
      <c r="BO1153" s="399"/>
      <c r="BP1153" s="399"/>
      <c r="BQ1153" s="399"/>
      <c r="BR1153" s="399"/>
      <c r="BS1153" s="399"/>
      <c r="BT1153" s="399"/>
      <c r="BU1153" s="399"/>
      <c r="BV1153" s="399"/>
      <c r="BW1153" s="399"/>
      <c r="BX1153" s="399"/>
      <c r="BY1153" s="399"/>
      <c r="BZ1153" s="399"/>
      <c r="CA1153" s="399"/>
      <c r="CB1153" s="399"/>
      <c r="CC1153" s="399"/>
      <c r="CD1153" s="399"/>
      <c r="CE1153" s="399"/>
      <c r="CF1153" s="399"/>
      <c r="CG1153" s="399"/>
      <c r="CH1153" s="399"/>
      <c r="CI1153" s="399"/>
      <c r="CJ1153" s="399"/>
      <c r="CK1153" s="399"/>
      <c r="CL1153" s="399"/>
      <c r="CM1153" s="399"/>
      <c r="CN1153" s="399"/>
      <c r="CO1153" s="399"/>
      <c r="CP1153" s="399"/>
      <c r="CQ1153" s="399"/>
      <c r="CR1153" s="399"/>
      <c r="CS1153" s="399"/>
      <c r="CT1153" s="399"/>
      <c r="CU1153" s="399"/>
      <c r="CV1153" s="399"/>
      <c r="CW1153" s="399"/>
      <c r="CX1153" s="399"/>
      <c r="CY1153" s="399"/>
      <c r="CZ1153" s="399"/>
      <c r="DA1153" s="399"/>
      <c r="DB1153" s="399"/>
      <c r="DC1153" s="399"/>
      <c r="DD1153" s="399"/>
      <c r="DE1153" s="399"/>
      <c r="DF1153" s="399"/>
      <c r="DG1153" s="399"/>
      <c r="DH1153" s="399"/>
      <c r="DI1153" s="399"/>
      <c r="DJ1153" s="399"/>
      <c r="DK1153" s="399"/>
      <c r="DL1153" s="399"/>
      <c r="DM1153" s="399"/>
      <c r="DN1153" s="399"/>
      <c r="DO1153" s="399"/>
      <c r="DP1153" s="399"/>
      <c r="DQ1153" s="399"/>
    </row>
    <row r="1154" spans="1:121" s="760" customFormat="1" ht="14.45" customHeight="1" x14ac:dyDescent="0.25">
      <c r="A1154" s="266">
        <f t="shared" si="17"/>
        <v>66.433333333333337</v>
      </c>
      <c r="B1154" s="389">
        <v>40863</v>
      </c>
      <c r="C1154" s="390" t="s">
        <v>451</v>
      </c>
      <c r="D1154" s="391" t="s">
        <v>459</v>
      </c>
      <c r="E1154" s="390" t="s">
        <v>380</v>
      </c>
      <c r="F1154" s="262" t="s">
        <v>237</v>
      </c>
      <c r="G1154" s="262" t="s">
        <v>281</v>
      </c>
      <c r="H1154" s="261"/>
      <c r="I1154" s="261"/>
      <c r="J1154" s="261"/>
      <c r="K1154" s="261">
        <v>63</v>
      </c>
      <c r="L1154" s="261">
        <v>30</v>
      </c>
      <c r="M1154" s="261">
        <v>63</v>
      </c>
      <c r="N1154" s="261">
        <v>30</v>
      </c>
      <c r="O1154" s="261">
        <v>30</v>
      </c>
      <c r="P1154" s="261">
        <v>30</v>
      </c>
      <c r="Q1154" s="261">
        <v>30</v>
      </c>
      <c r="R1154" s="261"/>
      <c r="S1154" s="261"/>
      <c r="T1154" s="261"/>
      <c r="U1154" s="261"/>
      <c r="V1154" s="762"/>
      <c r="W1154" s="762"/>
      <c r="X1154" s="762"/>
      <c r="Y1154" s="264">
        <f>IF(NFI_Expiration=1,IF($A1154&lt;VLOOKUP(H$5,NFI,5,0),1,0)*Table_NFI[[#This Row],[Hygiene Kit]],Table_NFI[Hygiene Kit])</f>
        <v>0</v>
      </c>
      <c r="Z1154" s="264">
        <f>IF(NFI_Expiration=1,IF($A1154&lt;VLOOKUP(I$5,NFI,5,0),1,0)*Table_NFI[[#This Row],[NFI Core Kit]],Table_NFI[NFI Core Kit])</f>
        <v>0</v>
      </c>
      <c r="AA1154" s="264">
        <f>IF(NFI_Expiration=1,IF($A1154&lt;VLOOKUP(J$5,NFI,5,0),1,0)*Table_NFI[[#This Row],[Sanitary Kit]],Table_NFI[Sanitary Kit])</f>
        <v>0</v>
      </c>
      <c r="AB1154" s="264">
        <f>IF(NFI_Expiration=1,IF($A1154&lt;VLOOKUP(K$5,NFI,5,0),1,0)*Table_NFI[[#This Row],[Mosquito net]],Table_NFI[Mosquito net])</f>
        <v>0</v>
      </c>
      <c r="AC1154" s="264">
        <f>IF(NFI_Expiration=1,IF($A1154&lt;VLOOKUP(L$5,NFI,5,0),1,0)*Table_NFI[[#This Row],[Tarpaulin]],Table_NFI[[#This Row],[Tarpaulin]])</f>
        <v>0</v>
      </c>
      <c r="AD1154" s="264">
        <f>IF(NFI_Expiration=1,IF($A1154&lt;VLOOKUP(M$5,NFI,5,0),1,0)*Table_NFI[[#This Row],[Blanket]],Table_NFI[[#This Row],[Blanket]])</f>
        <v>0</v>
      </c>
      <c r="AE1154" s="264">
        <f>IF(NFI_Expiration=1,IF($A1154&lt;VLOOKUP(N$5,NFI,5,0),1,0)*Table_NFI[[#This Row],[Kitchen Set]],Table_NFI[Kitchen Set])</f>
        <v>0</v>
      </c>
      <c r="AF1154" s="264">
        <f>IF(NFI_Expiration=1,IF($A1154&lt;VLOOKUP(O$5,NFI,5,0),1,0)*Table_NFI[[#This Row],[Clothes Kit]],Table_NFI[Clothes Kit])</f>
        <v>0</v>
      </c>
      <c r="AG1154" s="264">
        <f>IF(NFI_Expiration=1,IF($A1154&lt;VLOOKUP(P$5,NFI,5,0),1,0)*Table_NFI[[#This Row],[Plastic Bucket]],Table_NFI[Plastic Bucket])</f>
        <v>0</v>
      </c>
      <c r="AH1154" s="264">
        <f>IF(NFI_Expiration=1,IF($A1154&lt;VLOOKUP(Q$5,NFI,5,0),1,0)*Table_NFI[[#This Row],[Plastic Mat]],Table_NFI[Plastic Mat])*IF(Table_NFI[[#This Row],[Distribution Date]]&gt;"2014-04-01",1,2.5)</f>
        <v>0</v>
      </c>
      <c r="AI1154" s="264">
        <f>IF(NFI_Expiration=1,IF($A1154&lt;VLOOKUP(R$5,NFI,5,0),1,0)*Table_NFI[[#This Row],[Winter Clothes Adult]],Table_NFI[Winter Clothes Adult])</f>
        <v>0</v>
      </c>
      <c r="AJ1154" s="264">
        <f>IF(NFI_Expiration=1,IF($A1154&lt;VLOOKUP(S$5,NFI,5,0),1,0)*Table_NFI[[#This Row],[Winter Clothes Children]],Table_NFI[Winter Clothes Children])</f>
        <v>0</v>
      </c>
      <c r="AK1154" s="264">
        <f>IF(NFI_Expiration=1,IF($A1154&lt;VLOOKUP(T$5,NFI,5,0),1,0)*Table_NFI[[#This Row],[Winter Items Other]],Table_NFI[Winter Items Other])</f>
        <v>0</v>
      </c>
      <c r="AL1154" s="264">
        <f>IF(NFI_Expiration=1,IF($A1154&lt;VLOOKUP(M$5,NFI,5,0),1,0)*Table_NFI[[#This Row],[Winter Blanket]],Table_NFI[[#This Row],[Winter Blanket]])</f>
        <v>0</v>
      </c>
      <c r="AM1154" s="264">
        <f>IF(Table_NFI[[#This Row],[Winter Clothes Adult]]+Table_NFI[[#This Row],[Winter Clothes Children]]+Table_NFI[[#This Row],[Winter Items Other]]+Table_NFI[[#This Row],[Winter Blanket]]&gt;0,1,0)</f>
        <v>0</v>
      </c>
      <c r="AN1154" s="296">
        <f>IF(NFI_Expiration=1,IF($A1154&lt;VLOOKUP(V$5,NFI,5,0),1,0)*Table_NFI[[#This Row],[Jerry Can]],Table_NFI[Jerry Can])</f>
        <v>0</v>
      </c>
      <c r="AO1154" s="296">
        <f>IF(NFI_Expiration=1,IF($A1154&lt;VLOOKUP(V$5,NFI,5,0),1,0)*Table_NFI[[#This Row],[Shelter Tool kit]],Table_NFI[Shelter Tool kit])</f>
        <v>0</v>
      </c>
      <c r="AP1154" s="296">
        <f>IF(NFI_Expiration=1,IF($A1154&lt;VLOOKUP(V$5,NFI,5,0),1,0)*Table_NFI[[#This Row],[Tent]],Table_NFI[Tent])</f>
        <v>0</v>
      </c>
      <c r="AQ1154" s="396" t="str">
        <f>IFERROR(VLOOKUP(Table_NFI[[#This Row],[Camp Name]],CL,2,0),"")</f>
        <v>MMR001CMP009</v>
      </c>
      <c r="AR1154" s="702">
        <f ca="1">IF(Table_NFI[[#This Row],[Pcode]]="","",IF(OFFSET(CampList[Opening Date],MATCH(Table_NFI[[#This Row],[Pcode]],CampList[CP_Pcode],0)-1,0,1,1)&gt;=NFI_Monitor_Date,1,0))</f>
        <v>0</v>
      </c>
      <c r="AS1154" s="396" t="str">
        <f>IFERROR(VLOOKUP(Table_NFI[[#This Row],[Camp Name]],CL,3,0),"")</f>
        <v>Open</v>
      </c>
      <c r="AT1154" s="264" t="str">
        <f ca="1">IF(Table_NFI[[#This Row],[Pcode]]="","",OFFSET(CampList[Priority],MATCH(Table_NFI[[#This Row],[Pcode]],CampList[CP_Pcode],0)-1,0,1,1))</f>
        <v>P4</v>
      </c>
      <c r="AU1154" s="263">
        <f>IFERROR(Table_NFI[[#This Row],[Kitchen Set]]/VLOOKUP(Table_NFI[[#This Row],[Camp Name]],CL,4,0),"")</f>
        <v>7.3664825046040514E-4</v>
      </c>
      <c r="AV1154" s="390" t="s">
        <v>1087</v>
      </c>
      <c r="AW1154" s="392"/>
      <c r="AX1154" s="399"/>
      <c r="AY1154" s="399"/>
      <c r="AZ1154" s="399"/>
      <c r="BA1154" s="399"/>
      <c r="BB1154" s="399"/>
      <c r="BC1154" s="399"/>
      <c r="BD1154" s="399"/>
      <c r="BE1154" s="399"/>
      <c r="BF1154" s="399"/>
      <c r="BG1154" s="399"/>
      <c r="BH1154" s="399"/>
      <c r="BI1154" s="399"/>
      <c r="BJ1154" s="399"/>
      <c r="BK1154" s="399"/>
      <c r="BL1154" s="399"/>
      <c r="BM1154" s="399"/>
      <c r="BN1154" s="399"/>
      <c r="BO1154" s="399"/>
      <c r="BP1154" s="399"/>
      <c r="BQ1154" s="399"/>
      <c r="BR1154" s="399"/>
      <c r="BS1154" s="399"/>
      <c r="BT1154" s="399"/>
      <c r="BU1154" s="399"/>
      <c r="BV1154" s="399"/>
      <c r="BW1154" s="399"/>
      <c r="BX1154" s="399"/>
      <c r="BY1154" s="399"/>
      <c r="BZ1154" s="399"/>
      <c r="CA1154" s="399"/>
      <c r="CB1154" s="399"/>
      <c r="CC1154" s="399"/>
      <c r="CD1154" s="399"/>
      <c r="CE1154" s="399"/>
      <c r="CF1154" s="399"/>
      <c r="CG1154" s="399"/>
      <c r="CH1154" s="399"/>
      <c r="CI1154" s="399"/>
      <c r="CJ1154" s="399"/>
      <c r="CK1154" s="399"/>
      <c r="CL1154" s="399"/>
      <c r="CM1154" s="399"/>
      <c r="CN1154" s="399"/>
      <c r="CO1154" s="399"/>
      <c r="CP1154" s="399"/>
      <c r="CQ1154" s="399"/>
      <c r="CR1154" s="399"/>
      <c r="CS1154" s="399"/>
      <c r="CT1154" s="399"/>
      <c r="CU1154" s="399"/>
      <c r="CV1154" s="399"/>
      <c r="CW1154" s="399"/>
      <c r="CX1154" s="399"/>
      <c r="CY1154" s="399"/>
      <c r="CZ1154" s="399"/>
      <c r="DA1154" s="399"/>
      <c r="DB1154" s="399"/>
      <c r="DC1154" s="399"/>
      <c r="DD1154" s="399"/>
      <c r="DE1154" s="399"/>
      <c r="DF1154" s="399"/>
      <c r="DG1154" s="399"/>
      <c r="DH1154" s="399"/>
      <c r="DI1154" s="399"/>
      <c r="DJ1154" s="399"/>
      <c r="DK1154" s="399"/>
      <c r="DL1154" s="399"/>
      <c r="DM1154" s="399"/>
      <c r="DN1154" s="399"/>
      <c r="DO1154" s="399"/>
      <c r="DP1154" s="399"/>
      <c r="DQ1154" s="399"/>
    </row>
    <row r="1155" spans="1:121" s="760" customFormat="1" ht="14.45" customHeight="1" x14ac:dyDescent="0.25">
      <c r="A1155" s="266">
        <f t="shared" si="17"/>
        <v>66.433333333333337</v>
      </c>
      <c r="B1155" s="389">
        <v>40863</v>
      </c>
      <c r="C1155" s="390" t="s">
        <v>451</v>
      </c>
      <c r="D1155" s="390" t="s">
        <v>459</v>
      </c>
      <c r="E1155" s="390" t="s">
        <v>380</v>
      </c>
      <c r="F1155" s="262" t="s">
        <v>237</v>
      </c>
      <c r="G1155" s="262" t="s">
        <v>251</v>
      </c>
      <c r="H1155" s="261"/>
      <c r="I1155" s="261"/>
      <c r="J1155" s="261"/>
      <c r="K1155" s="261">
        <v>53</v>
      </c>
      <c r="L1155" s="261">
        <v>31</v>
      </c>
      <c r="M1155" s="261">
        <v>53</v>
      </c>
      <c r="N1155" s="261">
        <v>31</v>
      </c>
      <c r="O1155" s="261">
        <v>31</v>
      </c>
      <c r="P1155" s="261">
        <v>31</v>
      </c>
      <c r="Q1155" s="261">
        <v>31</v>
      </c>
      <c r="R1155" s="261"/>
      <c r="S1155" s="261"/>
      <c r="T1155" s="261"/>
      <c r="U1155" s="261"/>
      <c r="V1155" s="762"/>
      <c r="W1155" s="762"/>
      <c r="X1155" s="762"/>
      <c r="Y1155" s="264">
        <f>IF(NFI_Expiration=1,IF($A1155&lt;VLOOKUP(H$5,NFI,5,0),1,0)*Table_NFI[[#This Row],[Hygiene Kit]],Table_NFI[Hygiene Kit])</f>
        <v>0</v>
      </c>
      <c r="Z1155" s="264">
        <f>IF(NFI_Expiration=1,IF($A1155&lt;VLOOKUP(I$5,NFI,5,0),1,0)*Table_NFI[[#This Row],[NFI Core Kit]],Table_NFI[NFI Core Kit])</f>
        <v>0</v>
      </c>
      <c r="AA1155" s="264">
        <f>IF(NFI_Expiration=1,IF($A1155&lt;VLOOKUP(J$5,NFI,5,0),1,0)*Table_NFI[[#This Row],[Sanitary Kit]],Table_NFI[Sanitary Kit])</f>
        <v>0</v>
      </c>
      <c r="AB1155" s="264">
        <f>IF(NFI_Expiration=1,IF($A1155&lt;VLOOKUP(K$5,NFI,5,0),1,0)*Table_NFI[[#This Row],[Mosquito net]],Table_NFI[Mosquito net])</f>
        <v>0</v>
      </c>
      <c r="AC1155" s="264">
        <f>IF(NFI_Expiration=1,IF($A1155&lt;VLOOKUP(L$5,NFI,5,0),1,0)*Table_NFI[[#This Row],[Tarpaulin]],Table_NFI[[#This Row],[Tarpaulin]])</f>
        <v>0</v>
      </c>
      <c r="AD1155" s="264">
        <f>IF(NFI_Expiration=1,IF($A1155&lt;VLOOKUP(M$5,NFI,5,0),1,0)*Table_NFI[[#This Row],[Blanket]],Table_NFI[[#This Row],[Blanket]])</f>
        <v>0</v>
      </c>
      <c r="AE1155" s="264">
        <f>IF(NFI_Expiration=1,IF($A1155&lt;VLOOKUP(N$5,NFI,5,0),1,0)*Table_NFI[[#This Row],[Kitchen Set]],Table_NFI[Kitchen Set])</f>
        <v>0</v>
      </c>
      <c r="AF1155" s="264">
        <f>IF(NFI_Expiration=1,IF($A1155&lt;VLOOKUP(O$5,NFI,5,0),1,0)*Table_NFI[[#This Row],[Clothes Kit]],Table_NFI[Clothes Kit])</f>
        <v>0</v>
      </c>
      <c r="AG1155" s="264">
        <f>IF(NFI_Expiration=1,IF($A1155&lt;VLOOKUP(P$5,NFI,5,0),1,0)*Table_NFI[[#This Row],[Plastic Bucket]],Table_NFI[Plastic Bucket])</f>
        <v>0</v>
      </c>
      <c r="AH1155" s="264">
        <f>IF(NFI_Expiration=1,IF($A1155&lt;VLOOKUP(Q$5,NFI,5,0),1,0)*Table_NFI[[#This Row],[Plastic Mat]],Table_NFI[Plastic Mat])*IF(Table_NFI[[#This Row],[Distribution Date]]&gt;"2014-04-01",1,2.5)</f>
        <v>0</v>
      </c>
      <c r="AI1155" s="264">
        <f>IF(NFI_Expiration=1,IF($A1155&lt;VLOOKUP(R$5,NFI,5,0),1,0)*Table_NFI[[#This Row],[Winter Clothes Adult]],Table_NFI[Winter Clothes Adult])</f>
        <v>0</v>
      </c>
      <c r="AJ1155" s="264">
        <f>IF(NFI_Expiration=1,IF($A1155&lt;VLOOKUP(S$5,NFI,5,0),1,0)*Table_NFI[[#This Row],[Winter Clothes Children]],Table_NFI[Winter Clothes Children])</f>
        <v>0</v>
      </c>
      <c r="AK1155" s="264">
        <f>IF(NFI_Expiration=1,IF($A1155&lt;VLOOKUP(T$5,NFI,5,0),1,0)*Table_NFI[[#This Row],[Winter Items Other]],Table_NFI[Winter Items Other])</f>
        <v>0</v>
      </c>
      <c r="AL1155" s="264">
        <f>IF(NFI_Expiration=1,IF($A1155&lt;VLOOKUP(M$5,NFI,5,0),1,0)*Table_NFI[[#This Row],[Winter Blanket]],Table_NFI[[#This Row],[Winter Blanket]])</f>
        <v>0</v>
      </c>
      <c r="AM1155" s="264">
        <f>IF(Table_NFI[[#This Row],[Winter Clothes Adult]]+Table_NFI[[#This Row],[Winter Clothes Children]]+Table_NFI[[#This Row],[Winter Items Other]]+Table_NFI[[#This Row],[Winter Blanket]]&gt;0,1,0)</f>
        <v>0</v>
      </c>
      <c r="AN1155" s="296">
        <f>IF(NFI_Expiration=1,IF($A1155&lt;VLOOKUP(V$5,NFI,5,0),1,0)*Table_NFI[[#This Row],[Jerry Can]],Table_NFI[Jerry Can])</f>
        <v>0</v>
      </c>
      <c r="AO1155" s="296">
        <f>IF(NFI_Expiration=1,IF($A1155&lt;VLOOKUP(V$5,NFI,5,0),1,0)*Table_NFI[[#This Row],[Shelter Tool kit]],Table_NFI[Shelter Tool kit])</f>
        <v>0</v>
      </c>
      <c r="AP1155" s="296">
        <f>IF(NFI_Expiration=1,IF($A1155&lt;VLOOKUP(V$5,NFI,5,0),1,0)*Table_NFI[[#This Row],[Tent]],Table_NFI[Tent])</f>
        <v>0</v>
      </c>
      <c r="AQ1155" s="396" t="str">
        <f>IFERROR(VLOOKUP(Table_NFI[[#This Row],[Camp Name]],CL,2,0),"")</f>
        <v>MMR001CMP003</v>
      </c>
      <c r="AR1155" s="702">
        <f ca="1">IF(Table_NFI[[#This Row],[Pcode]]="","",IF(OFFSET(CampList[Opening Date],MATCH(Table_NFI[[#This Row],[Pcode]],CampList[CP_Pcode],0)-1,0,1,1)&gt;=NFI_Monitor_Date,1,0))</f>
        <v>0</v>
      </c>
      <c r="AS1155" s="396" t="str">
        <f>IFERROR(VLOOKUP(Table_NFI[[#This Row],[Camp Name]],CL,3,0),"")</f>
        <v>Open</v>
      </c>
      <c r="AT1155" s="264" t="str">
        <f ca="1">IF(Table_NFI[[#This Row],[Pcode]]="","",OFFSET(CampList[Priority],MATCH(Table_NFI[[#This Row],[Pcode]],CampList[CP_Pcode],0)-1,0,1,1))</f>
        <v>P4</v>
      </c>
      <c r="AU1155" s="263">
        <f>IFERROR(Table_NFI[[#This Row],[Kitchen Set]]/VLOOKUP(Table_NFI[[#This Row],[Camp Name]],CL,4,0),"")</f>
        <v>7.6120319214241863E-4</v>
      </c>
      <c r="AV1155" s="390" t="s">
        <v>1087</v>
      </c>
      <c r="AW1155" s="392"/>
      <c r="AX1155" s="399"/>
      <c r="AY1155" s="399"/>
      <c r="AZ1155" s="399"/>
      <c r="BA1155" s="399"/>
      <c r="BB1155" s="399"/>
      <c r="BC1155" s="399"/>
      <c r="BD1155" s="399"/>
      <c r="BE1155" s="399"/>
      <c r="BF1155" s="399"/>
      <c r="BG1155" s="399"/>
      <c r="BH1155" s="399"/>
      <c r="BI1155" s="399"/>
      <c r="BJ1155" s="399"/>
      <c r="BK1155" s="399"/>
      <c r="BL1155" s="399"/>
      <c r="BM1155" s="399"/>
      <c r="BN1155" s="399"/>
      <c r="BO1155" s="399"/>
      <c r="BP1155" s="399"/>
      <c r="BQ1155" s="399"/>
      <c r="BR1155" s="399"/>
      <c r="BS1155" s="399"/>
      <c r="BT1155" s="399"/>
      <c r="BU1155" s="399"/>
      <c r="BV1155" s="399"/>
      <c r="BW1155" s="399"/>
      <c r="BX1155" s="399"/>
      <c r="BY1155" s="399"/>
      <c r="BZ1155" s="399"/>
      <c r="CA1155" s="399"/>
      <c r="CB1155" s="399"/>
      <c r="CC1155" s="399"/>
      <c r="CD1155" s="399"/>
      <c r="CE1155" s="399"/>
      <c r="CF1155" s="399"/>
      <c r="CG1155" s="399"/>
      <c r="CH1155" s="399"/>
      <c r="CI1155" s="399"/>
      <c r="CJ1155" s="399"/>
      <c r="CK1155" s="399"/>
      <c r="CL1155" s="399"/>
      <c r="CM1155" s="399"/>
      <c r="CN1155" s="399"/>
      <c r="CO1155" s="399"/>
      <c r="CP1155" s="399"/>
      <c r="CQ1155" s="399"/>
      <c r="CR1155" s="399"/>
      <c r="CS1155" s="399"/>
      <c r="CT1155" s="399"/>
      <c r="CU1155" s="399"/>
      <c r="CV1155" s="399"/>
      <c r="CW1155" s="399"/>
      <c r="CX1155" s="399"/>
      <c r="CY1155" s="399"/>
      <c r="CZ1155" s="399"/>
      <c r="DA1155" s="399"/>
      <c r="DB1155" s="399"/>
      <c r="DC1155" s="399"/>
      <c r="DD1155" s="399"/>
      <c r="DE1155" s="399"/>
      <c r="DF1155" s="399"/>
      <c r="DG1155" s="399"/>
      <c r="DH1155" s="399"/>
      <c r="DI1155" s="399"/>
      <c r="DJ1155" s="399"/>
      <c r="DK1155" s="399"/>
      <c r="DL1155" s="399"/>
      <c r="DM1155" s="399"/>
      <c r="DN1155" s="399"/>
      <c r="DO1155" s="399"/>
      <c r="DP1155" s="399"/>
      <c r="DQ1155" s="399"/>
    </row>
    <row r="1156" spans="1:121" s="760" customFormat="1" ht="14.45" customHeight="1" x14ac:dyDescent="0.25">
      <c r="A1156" s="266">
        <f t="shared" si="17"/>
        <v>66.466666666666669</v>
      </c>
      <c r="B1156" s="389">
        <v>40862</v>
      </c>
      <c r="C1156" s="390" t="s">
        <v>451</v>
      </c>
      <c r="D1156" s="391" t="s">
        <v>459</v>
      </c>
      <c r="E1156" s="390" t="s">
        <v>380</v>
      </c>
      <c r="F1156" s="262" t="s">
        <v>237</v>
      </c>
      <c r="G1156" s="262" t="s">
        <v>275</v>
      </c>
      <c r="H1156" s="261"/>
      <c r="I1156" s="261"/>
      <c r="J1156" s="261"/>
      <c r="K1156" s="261">
        <v>30</v>
      </c>
      <c r="L1156" s="261">
        <v>17</v>
      </c>
      <c r="M1156" s="261">
        <v>30</v>
      </c>
      <c r="N1156" s="261">
        <v>17</v>
      </c>
      <c r="O1156" s="261">
        <v>17</v>
      </c>
      <c r="P1156" s="261">
        <v>17</v>
      </c>
      <c r="Q1156" s="261">
        <v>17</v>
      </c>
      <c r="R1156" s="261"/>
      <c r="S1156" s="261"/>
      <c r="T1156" s="261"/>
      <c r="U1156" s="261"/>
      <c r="V1156" s="762"/>
      <c r="W1156" s="762"/>
      <c r="X1156" s="762"/>
      <c r="Y1156" s="264">
        <f>IF(NFI_Expiration=1,IF($A1156&lt;VLOOKUP(H$5,NFI,5,0),1,0)*Table_NFI[[#This Row],[Hygiene Kit]],Table_NFI[Hygiene Kit])</f>
        <v>0</v>
      </c>
      <c r="Z1156" s="264">
        <f>IF(NFI_Expiration=1,IF($A1156&lt;VLOOKUP(I$5,NFI,5,0),1,0)*Table_NFI[[#This Row],[NFI Core Kit]],Table_NFI[NFI Core Kit])</f>
        <v>0</v>
      </c>
      <c r="AA1156" s="264">
        <f>IF(NFI_Expiration=1,IF($A1156&lt;VLOOKUP(J$5,NFI,5,0),1,0)*Table_NFI[[#This Row],[Sanitary Kit]],Table_NFI[Sanitary Kit])</f>
        <v>0</v>
      </c>
      <c r="AB1156" s="264">
        <f>IF(NFI_Expiration=1,IF($A1156&lt;VLOOKUP(K$5,NFI,5,0),1,0)*Table_NFI[[#This Row],[Mosquito net]],Table_NFI[Mosquito net])</f>
        <v>0</v>
      </c>
      <c r="AC1156" s="264">
        <f>IF(NFI_Expiration=1,IF($A1156&lt;VLOOKUP(L$5,NFI,5,0),1,0)*Table_NFI[[#This Row],[Tarpaulin]],Table_NFI[[#This Row],[Tarpaulin]])</f>
        <v>0</v>
      </c>
      <c r="AD1156" s="264">
        <f>IF(NFI_Expiration=1,IF($A1156&lt;VLOOKUP(M$5,NFI,5,0),1,0)*Table_NFI[[#This Row],[Blanket]],Table_NFI[[#This Row],[Blanket]])</f>
        <v>0</v>
      </c>
      <c r="AE1156" s="264">
        <f>IF(NFI_Expiration=1,IF($A1156&lt;VLOOKUP(N$5,NFI,5,0),1,0)*Table_NFI[[#This Row],[Kitchen Set]],Table_NFI[Kitchen Set])</f>
        <v>0</v>
      </c>
      <c r="AF1156" s="264">
        <f>IF(NFI_Expiration=1,IF($A1156&lt;VLOOKUP(O$5,NFI,5,0),1,0)*Table_NFI[[#This Row],[Clothes Kit]],Table_NFI[Clothes Kit])</f>
        <v>0</v>
      </c>
      <c r="AG1156" s="264">
        <f>IF(NFI_Expiration=1,IF($A1156&lt;VLOOKUP(P$5,NFI,5,0),1,0)*Table_NFI[[#This Row],[Plastic Bucket]],Table_NFI[Plastic Bucket])</f>
        <v>0</v>
      </c>
      <c r="AH1156" s="264">
        <f>IF(NFI_Expiration=1,IF($A1156&lt;VLOOKUP(Q$5,NFI,5,0),1,0)*Table_NFI[[#This Row],[Plastic Mat]],Table_NFI[Plastic Mat])*IF(Table_NFI[[#This Row],[Distribution Date]]&gt;"2014-04-01",1,2.5)</f>
        <v>0</v>
      </c>
      <c r="AI1156" s="264">
        <f>IF(NFI_Expiration=1,IF($A1156&lt;VLOOKUP(R$5,NFI,5,0),1,0)*Table_NFI[[#This Row],[Winter Clothes Adult]],Table_NFI[Winter Clothes Adult])</f>
        <v>0</v>
      </c>
      <c r="AJ1156" s="264">
        <f>IF(NFI_Expiration=1,IF($A1156&lt;VLOOKUP(S$5,NFI,5,0),1,0)*Table_NFI[[#This Row],[Winter Clothes Children]],Table_NFI[Winter Clothes Children])</f>
        <v>0</v>
      </c>
      <c r="AK1156" s="264">
        <f>IF(NFI_Expiration=1,IF($A1156&lt;VLOOKUP(T$5,NFI,5,0),1,0)*Table_NFI[[#This Row],[Winter Items Other]],Table_NFI[Winter Items Other])</f>
        <v>0</v>
      </c>
      <c r="AL1156" s="264">
        <f>IF(NFI_Expiration=1,IF($A1156&lt;VLOOKUP(M$5,NFI,5,0),1,0)*Table_NFI[[#This Row],[Winter Blanket]],Table_NFI[[#This Row],[Winter Blanket]])</f>
        <v>0</v>
      </c>
      <c r="AM1156" s="264">
        <f>IF(Table_NFI[[#This Row],[Winter Clothes Adult]]+Table_NFI[[#This Row],[Winter Clothes Children]]+Table_NFI[[#This Row],[Winter Items Other]]+Table_NFI[[#This Row],[Winter Blanket]]&gt;0,1,0)</f>
        <v>0</v>
      </c>
      <c r="AN1156" s="296">
        <f>IF(NFI_Expiration=1,IF($A1156&lt;VLOOKUP(V$5,NFI,5,0),1,0)*Table_NFI[[#This Row],[Jerry Can]],Table_NFI[Jerry Can])</f>
        <v>0</v>
      </c>
      <c r="AO1156" s="296">
        <f>IF(NFI_Expiration=1,IF($A1156&lt;VLOOKUP(V$5,NFI,5,0),1,0)*Table_NFI[[#This Row],[Shelter Tool kit]],Table_NFI[Shelter Tool kit])</f>
        <v>0</v>
      </c>
      <c r="AP1156" s="296">
        <f>IF(NFI_Expiration=1,IF($A1156&lt;VLOOKUP(V$5,NFI,5,0),1,0)*Table_NFI[[#This Row],[Tent]],Table_NFI[Tent])</f>
        <v>0</v>
      </c>
      <c r="AQ1156" s="396" t="str">
        <f>IFERROR(VLOOKUP(Table_NFI[[#This Row],[Camp Name]],CL,2,0),"")</f>
        <v>MMR001CMP005</v>
      </c>
      <c r="AR1156" s="702">
        <f ca="1">IF(Table_NFI[[#This Row],[Pcode]]="","",IF(OFFSET(CampList[Opening Date],MATCH(Table_NFI[[#This Row],[Pcode]],CampList[CP_Pcode],0)-1,0,1,1)&gt;=NFI_Monitor_Date,1,0))</f>
        <v>0</v>
      </c>
      <c r="AS1156" s="396" t="str">
        <f>IFERROR(VLOOKUP(Table_NFI[[#This Row],[Camp Name]],CL,3,0),"")</f>
        <v>Open</v>
      </c>
      <c r="AT1156" s="264" t="str">
        <f ca="1">IF(Table_NFI[[#This Row],[Pcode]]="","",OFFSET(CampList[Priority],MATCH(Table_NFI[[#This Row],[Pcode]],CampList[CP_Pcode],0)-1,0,1,1))</f>
        <v>P4</v>
      </c>
      <c r="AU1156" s="263">
        <f>IFERROR(Table_NFI[[#This Row],[Kitchen Set]]/VLOOKUP(Table_NFI[[#This Row],[Camp Name]],CL,4,0),"")</f>
        <v>4.1649312786339027E-4</v>
      </c>
      <c r="AV1156" s="390" t="s">
        <v>1087</v>
      </c>
      <c r="AW1156" s="392"/>
      <c r="AX1156" s="399"/>
      <c r="AY1156" s="399"/>
      <c r="AZ1156" s="399"/>
      <c r="BA1156" s="399"/>
      <c r="BB1156" s="399"/>
      <c r="BC1156" s="399"/>
      <c r="BD1156" s="399"/>
      <c r="BE1156" s="399"/>
      <c r="BF1156" s="399"/>
      <c r="BG1156" s="399"/>
      <c r="BH1156" s="399"/>
      <c r="BI1156" s="399"/>
      <c r="BJ1156" s="399"/>
      <c r="BK1156" s="399"/>
      <c r="BL1156" s="399"/>
      <c r="BM1156" s="399"/>
      <c r="BN1156" s="399"/>
      <c r="BO1156" s="399"/>
      <c r="BP1156" s="399"/>
      <c r="BQ1156" s="399"/>
      <c r="BR1156" s="399"/>
      <c r="BS1156" s="399"/>
      <c r="BT1156" s="399"/>
      <c r="BU1156" s="399"/>
      <c r="BV1156" s="399"/>
      <c r="BW1156" s="399"/>
      <c r="BX1156" s="399"/>
      <c r="BY1156" s="399"/>
      <c r="BZ1156" s="399"/>
      <c r="CA1156" s="399"/>
      <c r="CB1156" s="399"/>
      <c r="CC1156" s="399"/>
      <c r="CD1156" s="399"/>
      <c r="CE1156" s="399"/>
      <c r="CF1156" s="399"/>
      <c r="CG1156" s="399"/>
      <c r="CH1156" s="399"/>
      <c r="CI1156" s="399"/>
      <c r="CJ1156" s="399"/>
      <c r="CK1156" s="399"/>
      <c r="CL1156" s="399"/>
      <c r="CM1156" s="399"/>
      <c r="CN1156" s="399"/>
      <c r="CO1156" s="399"/>
      <c r="CP1156" s="399"/>
      <c r="CQ1156" s="399"/>
      <c r="CR1156" s="399"/>
      <c r="CS1156" s="399"/>
      <c r="CT1156" s="399"/>
      <c r="CU1156" s="399"/>
      <c r="CV1156" s="399"/>
      <c r="CW1156" s="399"/>
      <c r="CX1156" s="399"/>
      <c r="CY1156" s="399"/>
      <c r="CZ1156" s="399"/>
      <c r="DA1156" s="399"/>
      <c r="DB1156" s="399"/>
      <c r="DC1156" s="399"/>
      <c r="DD1156" s="399"/>
      <c r="DE1156" s="399"/>
      <c r="DF1156" s="399"/>
      <c r="DG1156" s="399"/>
      <c r="DH1156" s="399"/>
      <c r="DI1156" s="399"/>
      <c r="DJ1156" s="399"/>
      <c r="DK1156" s="399"/>
      <c r="DL1156" s="399"/>
      <c r="DM1156" s="399"/>
      <c r="DN1156" s="399"/>
      <c r="DO1156" s="399"/>
      <c r="DP1156" s="399"/>
      <c r="DQ1156" s="399"/>
    </row>
    <row r="1157" spans="1:121" s="760" customFormat="1" ht="14.45" customHeight="1" x14ac:dyDescent="0.25">
      <c r="A1157" s="266">
        <f t="shared" si="17"/>
        <v>66.5</v>
      </c>
      <c r="B1157" s="389">
        <v>40861</v>
      </c>
      <c r="C1157" s="390" t="s">
        <v>451</v>
      </c>
      <c r="D1157" s="391" t="s">
        <v>459</v>
      </c>
      <c r="E1157" s="390" t="s">
        <v>380</v>
      </c>
      <c r="F1157" s="262" t="s">
        <v>237</v>
      </c>
      <c r="G1157" s="262" t="s">
        <v>257</v>
      </c>
      <c r="H1157" s="261"/>
      <c r="I1157" s="261"/>
      <c r="J1157" s="261"/>
      <c r="K1157" s="261">
        <v>47</v>
      </c>
      <c r="L1157" s="261">
        <v>28</v>
      </c>
      <c r="M1157" s="261">
        <v>47</v>
      </c>
      <c r="N1157" s="261">
        <v>28</v>
      </c>
      <c r="O1157" s="261">
        <v>28</v>
      </c>
      <c r="P1157" s="261">
        <v>28</v>
      </c>
      <c r="Q1157" s="261">
        <v>28</v>
      </c>
      <c r="R1157" s="261"/>
      <c r="S1157" s="261"/>
      <c r="T1157" s="261"/>
      <c r="U1157" s="261"/>
      <c r="V1157" s="762"/>
      <c r="W1157" s="762"/>
      <c r="X1157" s="762"/>
      <c r="Y1157" s="264">
        <f>IF(NFI_Expiration=1,IF($A1157&lt;VLOOKUP(H$5,NFI,5,0),1,0)*Table_NFI[[#This Row],[Hygiene Kit]],Table_NFI[Hygiene Kit])</f>
        <v>0</v>
      </c>
      <c r="Z1157" s="264">
        <f>IF(NFI_Expiration=1,IF($A1157&lt;VLOOKUP(I$5,NFI,5,0),1,0)*Table_NFI[[#This Row],[NFI Core Kit]],Table_NFI[NFI Core Kit])</f>
        <v>0</v>
      </c>
      <c r="AA1157" s="264">
        <f>IF(NFI_Expiration=1,IF($A1157&lt;VLOOKUP(J$5,NFI,5,0),1,0)*Table_NFI[[#This Row],[Sanitary Kit]],Table_NFI[Sanitary Kit])</f>
        <v>0</v>
      </c>
      <c r="AB1157" s="264">
        <f>IF(NFI_Expiration=1,IF($A1157&lt;VLOOKUP(K$5,NFI,5,0),1,0)*Table_NFI[[#This Row],[Mosquito net]],Table_NFI[Mosquito net])</f>
        <v>0</v>
      </c>
      <c r="AC1157" s="264">
        <f>IF(NFI_Expiration=1,IF($A1157&lt;VLOOKUP(L$5,NFI,5,0),1,0)*Table_NFI[[#This Row],[Tarpaulin]],Table_NFI[[#This Row],[Tarpaulin]])</f>
        <v>0</v>
      </c>
      <c r="AD1157" s="264">
        <f>IF(NFI_Expiration=1,IF($A1157&lt;VLOOKUP(M$5,NFI,5,0),1,0)*Table_NFI[[#This Row],[Blanket]],Table_NFI[[#This Row],[Blanket]])</f>
        <v>0</v>
      </c>
      <c r="AE1157" s="264">
        <f>IF(NFI_Expiration=1,IF($A1157&lt;VLOOKUP(N$5,NFI,5,0),1,0)*Table_NFI[[#This Row],[Kitchen Set]],Table_NFI[Kitchen Set])</f>
        <v>0</v>
      </c>
      <c r="AF1157" s="264">
        <f>IF(NFI_Expiration=1,IF($A1157&lt;VLOOKUP(O$5,NFI,5,0),1,0)*Table_NFI[[#This Row],[Clothes Kit]],Table_NFI[Clothes Kit])</f>
        <v>0</v>
      </c>
      <c r="AG1157" s="264">
        <f>IF(NFI_Expiration=1,IF($A1157&lt;VLOOKUP(P$5,NFI,5,0),1,0)*Table_NFI[[#This Row],[Plastic Bucket]],Table_NFI[Plastic Bucket])</f>
        <v>0</v>
      </c>
      <c r="AH1157" s="264">
        <f>IF(NFI_Expiration=1,IF($A1157&lt;VLOOKUP(Q$5,NFI,5,0),1,0)*Table_NFI[[#This Row],[Plastic Mat]],Table_NFI[Plastic Mat])*IF(Table_NFI[[#This Row],[Distribution Date]]&gt;"2014-04-01",1,2.5)</f>
        <v>0</v>
      </c>
      <c r="AI1157" s="264">
        <f>IF(NFI_Expiration=1,IF($A1157&lt;VLOOKUP(R$5,NFI,5,0),1,0)*Table_NFI[[#This Row],[Winter Clothes Adult]],Table_NFI[Winter Clothes Adult])</f>
        <v>0</v>
      </c>
      <c r="AJ1157" s="264">
        <f>IF(NFI_Expiration=1,IF($A1157&lt;VLOOKUP(S$5,NFI,5,0),1,0)*Table_NFI[[#This Row],[Winter Clothes Children]],Table_NFI[Winter Clothes Children])</f>
        <v>0</v>
      </c>
      <c r="AK1157" s="264">
        <f>IF(NFI_Expiration=1,IF($A1157&lt;VLOOKUP(T$5,NFI,5,0),1,0)*Table_NFI[[#This Row],[Winter Items Other]],Table_NFI[Winter Items Other])</f>
        <v>0</v>
      </c>
      <c r="AL1157" s="264">
        <f>IF(NFI_Expiration=1,IF($A1157&lt;VLOOKUP(M$5,NFI,5,0),1,0)*Table_NFI[[#This Row],[Winter Blanket]],Table_NFI[[#This Row],[Winter Blanket]])</f>
        <v>0</v>
      </c>
      <c r="AM1157" s="264">
        <f>IF(Table_NFI[[#This Row],[Winter Clothes Adult]]+Table_NFI[[#This Row],[Winter Clothes Children]]+Table_NFI[[#This Row],[Winter Items Other]]+Table_NFI[[#This Row],[Winter Blanket]]&gt;0,1,0)</f>
        <v>0</v>
      </c>
      <c r="AN1157" s="296">
        <f>IF(NFI_Expiration=1,IF($A1157&lt;VLOOKUP(V$5,NFI,5,0),1,0)*Table_NFI[[#This Row],[Jerry Can]],Table_NFI[Jerry Can])</f>
        <v>0</v>
      </c>
      <c r="AO1157" s="296">
        <f>IF(NFI_Expiration=1,IF($A1157&lt;VLOOKUP(V$5,NFI,5,0),1,0)*Table_NFI[[#This Row],[Shelter Tool kit]],Table_NFI[Shelter Tool kit])</f>
        <v>0</v>
      </c>
      <c r="AP1157" s="296">
        <f>IF(NFI_Expiration=1,IF($A1157&lt;VLOOKUP(V$5,NFI,5,0),1,0)*Table_NFI[[#This Row],[Tent]],Table_NFI[Tent])</f>
        <v>0</v>
      </c>
      <c r="AQ1157" s="396" t="str">
        <f>IFERROR(VLOOKUP(Table_NFI[[#This Row],[Camp Name]],CL,2,0),"")</f>
        <v>MMR001CMP013</v>
      </c>
      <c r="AR1157" s="702">
        <f ca="1">IF(Table_NFI[[#This Row],[Pcode]]="","",IF(OFFSET(CampList[Opening Date],MATCH(Table_NFI[[#This Row],[Pcode]],CampList[CP_Pcode],0)-1,0,1,1)&gt;=NFI_Monitor_Date,1,0))</f>
        <v>0</v>
      </c>
      <c r="AS1157" s="396" t="str">
        <f>IFERROR(VLOOKUP(Table_NFI[[#This Row],[Camp Name]],CL,3,0),"")</f>
        <v>Open</v>
      </c>
      <c r="AT1157" s="264" t="str">
        <f ca="1">IF(Table_NFI[[#This Row],[Pcode]]="","",OFFSET(CampList[Priority],MATCH(Table_NFI[[#This Row],[Pcode]],CampList[CP_Pcode],0)-1,0,1,1))</f>
        <v>P4</v>
      </c>
      <c r="AU1157" s="263">
        <f>IFERROR(Table_NFI[[#This Row],[Kitchen Set]]/VLOOKUP(Table_NFI[[#This Row],[Camp Name]],CL,4,0),"")</f>
        <v>6.8444596543547874E-4</v>
      </c>
      <c r="AV1157" s="390" t="s">
        <v>1087</v>
      </c>
      <c r="AW1157" s="392"/>
      <c r="AX1157" s="399"/>
      <c r="AY1157" s="399"/>
      <c r="AZ1157" s="399"/>
      <c r="BA1157" s="399"/>
      <c r="BB1157" s="399"/>
      <c r="BC1157" s="399"/>
      <c r="BD1157" s="399"/>
      <c r="BE1157" s="399"/>
      <c r="BF1157" s="399"/>
      <c r="BG1157" s="399"/>
      <c r="BH1157" s="399"/>
      <c r="BI1157" s="399"/>
      <c r="BJ1157" s="399"/>
      <c r="BK1157" s="399"/>
      <c r="BL1157" s="399"/>
      <c r="BM1157" s="399"/>
      <c r="BN1157" s="399"/>
      <c r="BO1157" s="399"/>
      <c r="BP1157" s="399"/>
      <c r="BQ1157" s="399"/>
      <c r="BR1157" s="399"/>
      <c r="BS1157" s="399"/>
      <c r="BT1157" s="399"/>
      <c r="BU1157" s="399"/>
      <c r="BV1157" s="399"/>
      <c r="BW1157" s="399"/>
      <c r="BX1157" s="399"/>
      <c r="BY1157" s="399"/>
      <c r="BZ1157" s="399"/>
      <c r="CA1157" s="399"/>
      <c r="CB1157" s="399"/>
      <c r="CC1157" s="399"/>
      <c r="CD1157" s="399"/>
      <c r="CE1157" s="399"/>
      <c r="CF1157" s="399"/>
      <c r="CG1157" s="399"/>
      <c r="CH1157" s="399"/>
      <c r="CI1157" s="399"/>
      <c r="CJ1157" s="399"/>
      <c r="CK1157" s="399"/>
      <c r="CL1157" s="399"/>
      <c r="CM1157" s="399"/>
      <c r="CN1157" s="399"/>
      <c r="CO1157" s="399"/>
      <c r="CP1157" s="399"/>
      <c r="CQ1157" s="399"/>
      <c r="CR1157" s="399"/>
      <c r="CS1157" s="399"/>
      <c r="CT1157" s="399"/>
      <c r="CU1157" s="399"/>
      <c r="CV1157" s="399"/>
      <c r="CW1157" s="399"/>
      <c r="CX1157" s="399"/>
      <c r="CY1157" s="399"/>
      <c r="CZ1157" s="399"/>
      <c r="DA1157" s="399"/>
      <c r="DB1157" s="399"/>
      <c r="DC1157" s="399"/>
      <c r="DD1157" s="399"/>
      <c r="DE1157" s="399"/>
      <c r="DF1157" s="399"/>
      <c r="DG1157" s="399"/>
      <c r="DH1157" s="399"/>
      <c r="DI1157" s="399"/>
      <c r="DJ1157" s="399"/>
      <c r="DK1157" s="399"/>
      <c r="DL1157" s="399"/>
      <c r="DM1157" s="399"/>
      <c r="DN1157" s="399"/>
      <c r="DO1157" s="399"/>
      <c r="DP1157" s="399"/>
      <c r="DQ1157" s="399"/>
    </row>
    <row r="1158" spans="1:121" s="760" customFormat="1" x14ac:dyDescent="0.25">
      <c r="A1158" s="754">
        <f t="shared" ref="A1158:A1172" si="18">IF(ISBLANK(B1158),"",(Report_Date-B1158)/30)</f>
        <v>66.5</v>
      </c>
      <c r="B1158" s="755">
        <v>40861</v>
      </c>
      <c r="C1158" s="390" t="s">
        <v>451</v>
      </c>
      <c r="D1158" s="391" t="s">
        <v>459</v>
      </c>
      <c r="E1158" s="390" t="s">
        <v>380</v>
      </c>
      <c r="F1158" s="851" t="s">
        <v>237</v>
      </c>
      <c r="G1158" s="262" t="s">
        <v>240</v>
      </c>
      <c r="H1158" s="762"/>
      <c r="I1158" s="762"/>
      <c r="J1158" s="762"/>
      <c r="K1158" s="762">
        <v>52</v>
      </c>
      <c r="L1158" s="762">
        <v>25</v>
      </c>
      <c r="M1158" s="762">
        <v>52</v>
      </c>
      <c r="N1158" s="762">
        <v>25</v>
      </c>
      <c r="O1158" s="762">
        <v>25</v>
      </c>
      <c r="P1158" s="762">
        <v>25</v>
      </c>
      <c r="Q1158" s="762">
        <v>25</v>
      </c>
      <c r="R1158" s="762"/>
      <c r="S1158" s="762"/>
      <c r="T1158" s="762"/>
      <c r="U1158" s="762"/>
      <c r="V1158" s="762"/>
      <c r="W1158" s="762"/>
      <c r="X1158" s="762"/>
      <c r="Y1158" s="296">
        <f>IF(NFI_Expiration=1,IF($A1158&lt;VLOOKUP(H$5,NFI,5,0),1,0)*Table_NFI[[#This Row],[Hygiene Kit]],Table_NFI[Hygiene Kit])</f>
        <v>0</v>
      </c>
      <c r="Z1158" s="296">
        <f>IF(NFI_Expiration=1,IF($A1158&lt;VLOOKUP(I$5,NFI,5,0),1,0)*Table_NFI[[#This Row],[NFI Core Kit]],Table_NFI[NFI Core Kit])</f>
        <v>0</v>
      </c>
      <c r="AA1158" s="296">
        <f>IF(NFI_Expiration=1,IF($A1158&lt;VLOOKUP(J$5,NFI,5,0),1,0)*Table_NFI[[#This Row],[Sanitary Kit]],Table_NFI[Sanitary Kit])</f>
        <v>0</v>
      </c>
      <c r="AB1158" s="296">
        <f>IF(NFI_Expiration=1,IF($A1158&lt;VLOOKUP(K$5,NFI,5,0),1,0)*Table_NFI[[#This Row],[Mosquito net]],Table_NFI[Mosquito net])</f>
        <v>0</v>
      </c>
      <c r="AC1158" s="296">
        <f>IF(NFI_Expiration=1,IF($A1158&lt;VLOOKUP(L$5,NFI,5,0),1,0)*Table_NFI[[#This Row],[Tarpaulin]],Table_NFI[[#This Row],[Tarpaulin]])</f>
        <v>0</v>
      </c>
      <c r="AD1158" s="296">
        <f>IF(NFI_Expiration=1,IF($A1158&lt;VLOOKUP(M$5,NFI,5,0),1,0)*Table_NFI[[#This Row],[Blanket]],Table_NFI[[#This Row],[Blanket]])</f>
        <v>0</v>
      </c>
      <c r="AE1158" s="296">
        <f>IF(NFI_Expiration=1,IF($A1158&lt;VLOOKUP(N$5,NFI,5,0),1,0)*Table_NFI[[#This Row],[Kitchen Set]],Table_NFI[Kitchen Set])</f>
        <v>0</v>
      </c>
      <c r="AF1158" s="296">
        <f>IF(NFI_Expiration=1,IF($A1158&lt;VLOOKUP(O$5,NFI,5,0),1,0)*Table_NFI[[#This Row],[Clothes Kit]],Table_NFI[Clothes Kit])</f>
        <v>0</v>
      </c>
      <c r="AG1158" s="296">
        <f>IF(NFI_Expiration=1,IF($A1158&lt;VLOOKUP(P$5,NFI,5,0),1,0)*Table_NFI[[#This Row],[Plastic Bucket]],Table_NFI[Plastic Bucket])</f>
        <v>0</v>
      </c>
      <c r="AH1158" s="296">
        <f>IF(NFI_Expiration=1,IF($A1158&lt;VLOOKUP(Q$5,NFI,5,0),1,0)*Table_NFI[[#This Row],[Plastic Mat]],Table_NFI[Plastic Mat])*IF(Table_NFI[[#This Row],[Distribution Date]]&gt;"2014-04-01",1,2.5)</f>
        <v>0</v>
      </c>
      <c r="AI1158" s="296">
        <f>IF(NFI_Expiration=1,IF($A1158&lt;VLOOKUP(R$5,NFI,5,0),1,0)*Table_NFI[[#This Row],[Winter Clothes Adult]],Table_NFI[Winter Clothes Adult])</f>
        <v>0</v>
      </c>
      <c r="AJ1158" s="296">
        <f>IF(NFI_Expiration=1,IF($A1158&lt;VLOOKUP(S$5,NFI,5,0),1,0)*Table_NFI[[#This Row],[Winter Clothes Children]],Table_NFI[Winter Clothes Children])</f>
        <v>0</v>
      </c>
      <c r="AK1158" s="296">
        <f>IF(NFI_Expiration=1,IF($A1158&lt;VLOOKUP(T$5,NFI,5,0),1,0)*Table_NFI[[#This Row],[Winter Items Other]],Table_NFI[Winter Items Other])</f>
        <v>0</v>
      </c>
      <c r="AL1158" s="296">
        <f>IF(NFI_Expiration=1,IF($A1158&lt;VLOOKUP(M$5,NFI,5,0),1,0)*Table_NFI[[#This Row],[Winter Blanket]],Table_NFI[[#This Row],[Winter Blanket]])</f>
        <v>0</v>
      </c>
      <c r="AM1158" s="296">
        <f>IF(Table_NFI[[#This Row],[Winter Clothes Adult]]+Table_NFI[[#This Row],[Winter Clothes Children]]+Table_NFI[[#This Row],[Winter Items Other]]+Table_NFI[[#This Row],[Winter Blanket]]&gt;0,1,0)</f>
        <v>0</v>
      </c>
      <c r="AN1158" s="296">
        <f>IF(NFI_Expiration=1,IF($A1158&lt;VLOOKUP(V$5,NFI,5,0),1,0)*Table_NFI[[#This Row],[Jerry Can]],Table_NFI[Jerry Can])</f>
        <v>0</v>
      </c>
      <c r="AO1158" s="296">
        <f>IF(NFI_Expiration=1,IF($A1158&lt;VLOOKUP(V$5,NFI,5,0),1,0)*Table_NFI[[#This Row],[Shelter Tool kit]],Table_NFI[Shelter Tool kit])</f>
        <v>0</v>
      </c>
      <c r="AP1158" s="296">
        <f>IF(NFI_Expiration=1,IF($A1158&lt;VLOOKUP(V$5,NFI,5,0),1,0)*Table_NFI[[#This Row],[Tent]],Table_NFI[Tent])</f>
        <v>0</v>
      </c>
      <c r="AQ1158" s="756" t="str">
        <f>IFERROR(VLOOKUP(Table_NFI[[#This Row],[Camp Name]],CL,2,0),"")</f>
        <v>MMR001CMP015</v>
      </c>
      <c r="AR1158" s="702">
        <f ca="1">IF(Table_NFI[[#This Row],[Pcode]]="","",IF(OFFSET(CampList[Opening Date],MATCH(Table_NFI[[#This Row],[Pcode]],CampList[CP_Pcode],0)-1,0,1,1)&gt;=NFI_Monitor_Date,1,0))</f>
        <v>0</v>
      </c>
      <c r="AS1158" s="756" t="str">
        <f>IFERROR(VLOOKUP(Table_NFI[[#This Row],[Camp Name]],CL,3,0),"")</f>
        <v>Open</v>
      </c>
      <c r="AT1158" s="296" t="str">
        <f ca="1">IF(Table_NFI[[#This Row],[Pcode]]="","",OFFSET(CampList[Priority],MATCH(Table_NFI[[#This Row],[Pcode]],CampList[CP_Pcode],0)-1,0,1,1))</f>
        <v>P4</v>
      </c>
      <c r="AU1158" s="757">
        <f>IFERROR(Table_NFI[[#This Row],[Kitchen Set]]/VLOOKUP(Table_NFI[[#This Row],[Camp Name]],CL,4,0),"")</f>
        <v>6.1571805039036529E-4</v>
      </c>
      <c r="AV1158" s="398" t="s">
        <v>1087</v>
      </c>
      <c r="AW1158" s="946"/>
      <c r="AX1158" s="399"/>
      <c r="AY1158" s="399"/>
      <c r="AZ1158" s="399"/>
      <c r="BA1158" s="399"/>
      <c r="BB1158" s="399"/>
      <c r="BC1158" s="399"/>
      <c r="BD1158" s="399"/>
      <c r="BE1158" s="399"/>
      <c r="BF1158" s="399"/>
      <c r="BG1158" s="399"/>
      <c r="BH1158" s="399"/>
      <c r="BI1158" s="399"/>
      <c r="BJ1158" s="399"/>
      <c r="BK1158" s="399"/>
      <c r="BL1158" s="399"/>
      <c r="BM1158" s="399"/>
      <c r="BN1158" s="399"/>
      <c r="BO1158" s="399"/>
      <c r="BP1158" s="399"/>
      <c r="BQ1158" s="399"/>
      <c r="BR1158" s="399"/>
      <c r="BS1158" s="399"/>
      <c r="BT1158" s="399"/>
      <c r="BU1158" s="399"/>
      <c r="BV1158" s="399"/>
      <c r="BW1158" s="399"/>
      <c r="BX1158" s="399"/>
      <c r="BY1158" s="399"/>
      <c r="BZ1158" s="399"/>
      <c r="CA1158" s="399"/>
      <c r="CB1158" s="399"/>
      <c r="CC1158" s="399"/>
      <c r="CD1158" s="399"/>
      <c r="CE1158" s="399"/>
      <c r="CF1158" s="399"/>
      <c r="CG1158" s="399"/>
      <c r="CH1158" s="399"/>
      <c r="CI1158" s="399"/>
      <c r="CJ1158" s="399"/>
      <c r="CK1158" s="399"/>
      <c r="CL1158" s="399"/>
      <c r="CM1158" s="399"/>
      <c r="CN1158" s="399"/>
      <c r="CO1158" s="399"/>
      <c r="CP1158" s="399"/>
      <c r="CQ1158" s="399"/>
      <c r="CR1158" s="399"/>
      <c r="CS1158" s="399"/>
      <c r="CT1158" s="399"/>
      <c r="CU1158" s="399"/>
      <c r="CV1158" s="399"/>
      <c r="CW1158" s="399"/>
      <c r="CX1158" s="399"/>
      <c r="CY1158" s="399"/>
      <c r="CZ1158" s="399"/>
      <c r="DA1158" s="399"/>
      <c r="DB1158" s="399"/>
      <c r="DC1158" s="399"/>
      <c r="DD1158" s="399"/>
      <c r="DE1158" s="399"/>
      <c r="DF1158" s="399"/>
      <c r="DG1158" s="399"/>
      <c r="DH1158" s="399"/>
      <c r="DI1158" s="399"/>
      <c r="DJ1158" s="399"/>
      <c r="DK1158" s="399"/>
      <c r="DL1158" s="399"/>
      <c r="DM1158" s="399"/>
      <c r="DN1158" s="399"/>
      <c r="DO1158" s="399"/>
      <c r="DP1158" s="399"/>
      <c r="DQ1158" s="399"/>
    </row>
    <row r="1159" spans="1:121" s="760" customFormat="1" x14ac:dyDescent="0.25">
      <c r="A1159" s="754">
        <f t="shared" si="18"/>
        <v>66.5</v>
      </c>
      <c r="B1159" s="755">
        <v>40861</v>
      </c>
      <c r="C1159" s="398" t="s">
        <v>451</v>
      </c>
      <c r="D1159" s="850" t="s">
        <v>459</v>
      </c>
      <c r="E1159" s="398" t="s">
        <v>380</v>
      </c>
      <c r="F1159" s="851" t="s">
        <v>237</v>
      </c>
      <c r="G1159" s="851" t="s">
        <v>259</v>
      </c>
      <c r="H1159" s="762"/>
      <c r="I1159" s="762"/>
      <c r="J1159" s="762"/>
      <c r="K1159" s="762">
        <v>57</v>
      </c>
      <c r="L1159" s="762">
        <v>30</v>
      </c>
      <c r="M1159" s="762">
        <v>57</v>
      </c>
      <c r="N1159" s="762">
        <v>30</v>
      </c>
      <c r="O1159" s="762">
        <v>30</v>
      </c>
      <c r="P1159" s="762">
        <v>30</v>
      </c>
      <c r="Q1159" s="762">
        <v>30</v>
      </c>
      <c r="R1159" s="762"/>
      <c r="S1159" s="762"/>
      <c r="T1159" s="762"/>
      <c r="U1159" s="762"/>
      <c r="V1159" s="762"/>
      <c r="W1159" s="762"/>
      <c r="X1159" s="762"/>
      <c r="Y1159" s="296">
        <f>IF(NFI_Expiration=1,IF($A1159&lt;VLOOKUP(H$5,NFI,5,0),1,0)*Table_NFI[[#This Row],[Hygiene Kit]],Table_NFI[Hygiene Kit])</f>
        <v>0</v>
      </c>
      <c r="Z1159" s="296">
        <f>IF(NFI_Expiration=1,IF($A1159&lt;VLOOKUP(I$5,NFI,5,0),1,0)*Table_NFI[[#This Row],[NFI Core Kit]],Table_NFI[NFI Core Kit])</f>
        <v>0</v>
      </c>
      <c r="AA1159" s="296">
        <f>IF(NFI_Expiration=1,IF($A1159&lt;VLOOKUP(J$5,NFI,5,0),1,0)*Table_NFI[[#This Row],[Sanitary Kit]],Table_NFI[Sanitary Kit])</f>
        <v>0</v>
      </c>
      <c r="AB1159" s="296">
        <f>IF(NFI_Expiration=1,IF($A1159&lt;VLOOKUP(K$5,NFI,5,0),1,0)*Table_NFI[[#This Row],[Mosquito net]],Table_NFI[Mosquito net])</f>
        <v>0</v>
      </c>
      <c r="AC1159" s="296">
        <f>IF(NFI_Expiration=1,IF($A1159&lt;VLOOKUP(L$5,NFI,5,0),1,0)*Table_NFI[[#This Row],[Tarpaulin]],Table_NFI[[#This Row],[Tarpaulin]])</f>
        <v>0</v>
      </c>
      <c r="AD1159" s="296">
        <f>IF(NFI_Expiration=1,IF($A1159&lt;VLOOKUP(M$5,NFI,5,0),1,0)*Table_NFI[[#This Row],[Blanket]],Table_NFI[[#This Row],[Blanket]])</f>
        <v>0</v>
      </c>
      <c r="AE1159" s="296">
        <f>IF(NFI_Expiration=1,IF($A1159&lt;VLOOKUP(N$5,NFI,5,0),1,0)*Table_NFI[[#This Row],[Kitchen Set]],Table_NFI[Kitchen Set])</f>
        <v>0</v>
      </c>
      <c r="AF1159" s="296">
        <f>IF(NFI_Expiration=1,IF($A1159&lt;VLOOKUP(O$5,NFI,5,0),1,0)*Table_NFI[[#This Row],[Clothes Kit]],Table_NFI[Clothes Kit])</f>
        <v>0</v>
      </c>
      <c r="AG1159" s="296">
        <f>IF(NFI_Expiration=1,IF($A1159&lt;VLOOKUP(P$5,NFI,5,0),1,0)*Table_NFI[[#This Row],[Plastic Bucket]],Table_NFI[Plastic Bucket])</f>
        <v>0</v>
      </c>
      <c r="AH1159" s="296">
        <f>IF(NFI_Expiration=1,IF($A1159&lt;VLOOKUP(Q$5,NFI,5,0),1,0)*Table_NFI[[#This Row],[Plastic Mat]],Table_NFI[Plastic Mat])*IF(Table_NFI[[#This Row],[Distribution Date]]&gt;"2014-04-01",1,2.5)</f>
        <v>0</v>
      </c>
      <c r="AI1159" s="296">
        <f>IF(NFI_Expiration=1,IF($A1159&lt;VLOOKUP(R$5,NFI,5,0),1,0)*Table_NFI[[#This Row],[Winter Clothes Adult]],Table_NFI[Winter Clothes Adult])</f>
        <v>0</v>
      </c>
      <c r="AJ1159" s="296">
        <f>IF(NFI_Expiration=1,IF($A1159&lt;VLOOKUP(S$5,NFI,5,0),1,0)*Table_NFI[[#This Row],[Winter Clothes Children]],Table_NFI[Winter Clothes Children])</f>
        <v>0</v>
      </c>
      <c r="AK1159" s="296">
        <f>IF(NFI_Expiration=1,IF($A1159&lt;VLOOKUP(T$5,NFI,5,0),1,0)*Table_NFI[[#This Row],[Winter Items Other]],Table_NFI[Winter Items Other])</f>
        <v>0</v>
      </c>
      <c r="AL1159" s="296">
        <f>IF(NFI_Expiration=1,IF($A1159&lt;VLOOKUP(M$5,NFI,5,0),1,0)*Table_NFI[[#This Row],[Winter Blanket]],Table_NFI[[#This Row],[Winter Blanket]])</f>
        <v>0</v>
      </c>
      <c r="AM1159" s="296">
        <f>IF(Table_NFI[[#This Row],[Winter Clothes Adult]]+Table_NFI[[#This Row],[Winter Clothes Children]]+Table_NFI[[#This Row],[Winter Items Other]]+Table_NFI[[#This Row],[Winter Blanket]]&gt;0,1,0)</f>
        <v>0</v>
      </c>
      <c r="AN1159" s="296">
        <f>IF(NFI_Expiration=1,IF($A1159&lt;VLOOKUP(V$5,NFI,5,0),1,0)*Table_NFI[[#This Row],[Jerry Can]],Table_NFI[Jerry Can])</f>
        <v>0</v>
      </c>
      <c r="AO1159" s="296">
        <f>IF(NFI_Expiration=1,IF($A1159&lt;VLOOKUP(V$5,NFI,5,0),1,0)*Table_NFI[[#This Row],[Shelter Tool kit]],Table_NFI[Shelter Tool kit])</f>
        <v>0</v>
      </c>
      <c r="AP1159" s="296">
        <f>IF(NFI_Expiration=1,IF($A1159&lt;VLOOKUP(V$5,NFI,5,0),1,0)*Table_NFI[[#This Row],[Tent]],Table_NFI[Tent])</f>
        <v>0</v>
      </c>
      <c r="AQ1159" s="756" t="str">
        <f>IFERROR(VLOOKUP(Table_NFI[[#This Row],[Camp Name]],CL,2,0),"")</f>
        <v>MMR001CMP016</v>
      </c>
      <c r="AR1159" s="702">
        <f ca="1">IF(Table_NFI[[#This Row],[Pcode]]="","",IF(OFFSET(CampList[Opening Date],MATCH(Table_NFI[[#This Row],[Pcode]],CampList[CP_Pcode],0)-1,0,1,1)&gt;=NFI_Monitor_Date,1,0))</f>
        <v>0</v>
      </c>
      <c r="AS1159" s="756" t="str">
        <f>IFERROR(VLOOKUP(Table_NFI[[#This Row],[Camp Name]],CL,3,0),"")</f>
        <v>Open</v>
      </c>
      <c r="AT1159" s="296" t="str">
        <f ca="1">IF(Table_NFI[[#This Row],[Pcode]]="","",OFFSET(CampList[Priority],MATCH(Table_NFI[[#This Row],[Pcode]],CampList[CP_Pcode],0)-1,0,1,1))</f>
        <v>P4</v>
      </c>
      <c r="AU1159" s="757">
        <f>IFERROR(Table_NFI[[#This Row],[Kitchen Set]]/VLOOKUP(Table_NFI[[#This Row],[Camp Name]],CL,4,0),"")</f>
        <v>7.3608793797232315E-4</v>
      </c>
      <c r="AV1159" s="398" t="s">
        <v>1087</v>
      </c>
      <c r="AW1159" s="946"/>
      <c r="AX1159" s="399"/>
      <c r="AY1159" s="399"/>
      <c r="AZ1159" s="399"/>
      <c r="BA1159" s="399"/>
      <c r="BB1159" s="399"/>
      <c r="BC1159" s="399"/>
      <c r="BD1159" s="399"/>
      <c r="BE1159" s="399"/>
      <c r="BF1159" s="399"/>
      <c r="BG1159" s="399"/>
      <c r="BH1159" s="399"/>
      <c r="BI1159" s="399"/>
      <c r="BJ1159" s="399"/>
      <c r="BK1159" s="399"/>
      <c r="BL1159" s="399"/>
      <c r="BM1159" s="399"/>
      <c r="BN1159" s="399"/>
      <c r="BO1159" s="399"/>
      <c r="BP1159" s="399"/>
      <c r="BQ1159" s="399"/>
      <c r="BR1159" s="399"/>
      <c r="BS1159" s="399"/>
      <c r="BT1159" s="399"/>
      <c r="BU1159" s="399"/>
      <c r="BV1159" s="399"/>
      <c r="BW1159" s="399"/>
      <c r="BX1159" s="399"/>
      <c r="BY1159" s="399"/>
      <c r="BZ1159" s="399"/>
      <c r="CA1159" s="399"/>
      <c r="CB1159" s="399"/>
      <c r="CC1159" s="399"/>
      <c r="CD1159" s="399"/>
      <c r="CE1159" s="399"/>
      <c r="CF1159" s="399"/>
      <c r="CG1159" s="399"/>
      <c r="CH1159" s="399"/>
      <c r="CI1159" s="399"/>
      <c r="CJ1159" s="399"/>
      <c r="CK1159" s="399"/>
      <c r="CL1159" s="399"/>
      <c r="CM1159" s="399"/>
      <c r="CN1159" s="399"/>
      <c r="CO1159" s="399"/>
      <c r="CP1159" s="399"/>
      <c r="CQ1159" s="399"/>
      <c r="CR1159" s="399"/>
      <c r="CS1159" s="399"/>
      <c r="CT1159" s="399"/>
      <c r="CU1159" s="399"/>
      <c r="CV1159" s="399"/>
      <c r="CW1159" s="399"/>
      <c r="CX1159" s="399"/>
      <c r="CY1159" s="399"/>
      <c r="CZ1159" s="399"/>
      <c r="DA1159" s="399"/>
      <c r="DB1159" s="399"/>
      <c r="DC1159" s="399"/>
      <c r="DD1159" s="399"/>
      <c r="DE1159" s="399"/>
      <c r="DF1159" s="399"/>
      <c r="DG1159" s="399"/>
      <c r="DH1159" s="399"/>
      <c r="DI1159" s="399"/>
      <c r="DJ1159" s="399"/>
      <c r="DK1159" s="399"/>
      <c r="DL1159" s="399"/>
      <c r="DM1159" s="399"/>
      <c r="DN1159" s="399"/>
      <c r="DO1159" s="399"/>
      <c r="DP1159" s="399"/>
      <c r="DQ1159" s="399"/>
    </row>
    <row r="1160" spans="1:121" s="760" customFormat="1" x14ac:dyDescent="0.25">
      <c r="A1160" s="266">
        <f t="shared" si="18"/>
        <v>66.833333333333329</v>
      </c>
      <c r="B1160" s="389">
        <v>40851</v>
      </c>
      <c r="C1160" s="390" t="s">
        <v>451</v>
      </c>
      <c r="D1160" s="391" t="s">
        <v>459</v>
      </c>
      <c r="E1160" s="390" t="s">
        <v>380</v>
      </c>
      <c r="F1160" s="262" t="s">
        <v>237</v>
      </c>
      <c r="G1160" s="262" t="s">
        <v>253</v>
      </c>
      <c r="H1160" s="261"/>
      <c r="I1160" s="261"/>
      <c r="J1160" s="261"/>
      <c r="K1160" s="261">
        <v>208</v>
      </c>
      <c r="L1160" s="261">
        <v>102</v>
      </c>
      <c r="M1160" s="261">
        <v>208</v>
      </c>
      <c r="N1160" s="261">
        <v>102</v>
      </c>
      <c r="O1160" s="261">
        <v>102</v>
      </c>
      <c r="P1160" s="261">
        <v>102</v>
      </c>
      <c r="Q1160" s="261">
        <v>102</v>
      </c>
      <c r="R1160" s="261"/>
      <c r="S1160" s="261"/>
      <c r="T1160" s="261"/>
      <c r="U1160" s="261"/>
      <c r="V1160" s="762"/>
      <c r="W1160" s="762"/>
      <c r="X1160" s="762"/>
      <c r="Y1160" s="264">
        <f>IF(NFI_Expiration=1,IF($A1160&lt;VLOOKUP(H$5,NFI,5,0),1,0)*Table_NFI[[#This Row],[Hygiene Kit]],Table_NFI[Hygiene Kit])</f>
        <v>0</v>
      </c>
      <c r="Z1160" s="264">
        <f>IF(NFI_Expiration=1,IF($A1160&lt;VLOOKUP(I$5,NFI,5,0),1,0)*Table_NFI[[#This Row],[NFI Core Kit]],Table_NFI[NFI Core Kit])</f>
        <v>0</v>
      </c>
      <c r="AA1160" s="264">
        <f>IF(NFI_Expiration=1,IF($A1160&lt;VLOOKUP(J$5,NFI,5,0),1,0)*Table_NFI[[#This Row],[Sanitary Kit]],Table_NFI[Sanitary Kit])</f>
        <v>0</v>
      </c>
      <c r="AB1160" s="264">
        <f>IF(NFI_Expiration=1,IF($A1160&lt;VLOOKUP(K$5,NFI,5,0),1,0)*Table_NFI[[#This Row],[Mosquito net]],Table_NFI[Mosquito net])</f>
        <v>0</v>
      </c>
      <c r="AC1160" s="264">
        <f>IF(NFI_Expiration=1,IF($A1160&lt;VLOOKUP(L$5,NFI,5,0),1,0)*Table_NFI[[#This Row],[Tarpaulin]],Table_NFI[[#This Row],[Tarpaulin]])</f>
        <v>0</v>
      </c>
      <c r="AD1160" s="264">
        <f>IF(NFI_Expiration=1,IF($A1160&lt;VLOOKUP(M$5,NFI,5,0),1,0)*Table_NFI[[#This Row],[Blanket]],Table_NFI[[#This Row],[Blanket]])</f>
        <v>0</v>
      </c>
      <c r="AE1160" s="264">
        <f>IF(NFI_Expiration=1,IF($A1160&lt;VLOOKUP(N$5,NFI,5,0),1,0)*Table_NFI[[#This Row],[Kitchen Set]],Table_NFI[Kitchen Set])</f>
        <v>0</v>
      </c>
      <c r="AF1160" s="264">
        <f>IF(NFI_Expiration=1,IF($A1160&lt;VLOOKUP(O$5,NFI,5,0),1,0)*Table_NFI[[#This Row],[Clothes Kit]],Table_NFI[Clothes Kit])</f>
        <v>0</v>
      </c>
      <c r="AG1160" s="264">
        <f>IF(NFI_Expiration=1,IF($A1160&lt;VLOOKUP(P$5,NFI,5,0),1,0)*Table_NFI[[#This Row],[Plastic Bucket]],Table_NFI[Plastic Bucket])</f>
        <v>0</v>
      </c>
      <c r="AH1160" s="264">
        <f>IF(NFI_Expiration=1,IF($A1160&lt;VLOOKUP(Q$5,NFI,5,0),1,0)*Table_NFI[[#This Row],[Plastic Mat]],Table_NFI[Plastic Mat])*IF(Table_NFI[[#This Row],[Distribution Date]]&gt;"2014-04-01",1,2.5)</f>
        <v>0</v>
      </c>
      <c r="AI1160" s="264">
        <f>IF(NFI_Expiration=1,IF($A1160&lt;VLOOKUP(R$5,NFI,5,0),1,0)*Table_NFI[[#This Row],[Winter Clothes Adult]],Table_NFI[Winter Clothes Adult])</f>
        <v>0</v>
      </c>
      <c r="AJ1160" s="264">
        <f>IF(NFI_Expiration=1,IF($A1160&lt;VLOOKUP(S$5,NFI,5,0),1,0)*Table_NFI[[#This Row],[Winter Clothes Children]],Table_NFI[Winter Clothes Children])</f>
        <v>0</v>
      </c>
      <c r="AK1160" s="264">
        <f>IF(NFI_Expiration=1,IF($A1160&lt;VLOOKUP(T$5,NFI,5,0),1,0)*Table_NFI[[#This Row],[Winter Items Other]],Table_NFI[Winter Items Other])</f>
        <v>0</v>
      </c>
      <c r="AL1160" s="264">
        <f>IF(NFI_Expiration=1,IF($A1160&lt;VLOOKUP(M$5,NFI,5,0),1,0)*Table_NFI[[#This Row],[Winter Blanket]],Table_NFI[[#This Row],[Winter Blanket]])</f>
        <v>0</v>
      </c>
      <c r="AM1160" s="264">
        <f>IF(Table_NFI[[#This Row],[Winter Clothes Adult]]+Table_NFI[[#This Row],[Winter Clothes Children]]+Table_NFI[[#This Row],[Winter Items Other]]+Table_NFI[[#This Row],[Winter Blanket]]&gt;0,1,0)</f>
        <v>0</v>
      </c>
      <c r="AN1160" s="296">
        <f>IF(NFI_Expiration=1,IF($A1160&lt;VLOOKUP(V$5,NFI,5,0),1,0)*Table_NFI[[#This Row],[Jerry Can]],Table_NFI[Jerry Can])</f>
        <v>0</v>
      </c>
      <c r="AO1160" s="296">
        <f>IF(NFI_Expiration=1,IF($A1160&lt;VLOOKUP(V$5,NFI,5,0),1,0)*Table_NFI[[#This Row],[Shelter Tool kit]],Table_NFI[Shelter Tool kit])</f>
        <v>0</v>
      </c>
      <c r="AP1160" s="296">
        <f>IF(NFI_Expiration=1,IF($A1160&lt;VLOOKUP(V$5,NFI,5,0),1,0)*Table_NFI[[#This Row],[Tent]],Table_NFI[Tent])</f>
        <v>0</v>
      </c>
      <c r="AQ1160" s="396" t="str">
        <f>IFERROR(VLOOKUP(Table_NFI[[#This Row],[Camp Name]],CL,2,0),"")</f>
        <v>MMR001CMP018</v>
      </c>
      <c r="AR1160" s="702">
        <f ca="1">IF(Table_NFI[[#This Row],[Pcode]]="","",IF(OFFSET(CampList[Opening Date],MATCH(Table_NFI[[#This Row],[Pcode]],CampList[CP_Pcode],0)-1,0,1,1)&gt;=NFI_Monitor_Date,1,0))</f>
        <v>0</v>
      </c>
      <c r="AS1160" s="396" t="str">
        <f>IFERROR(VLOOKUP(Table_NFI[[#This Row],[Camp Name]],CL,3,0),"")</f>
        <v>Open</v>
      </c>
      <c r="AT1160" s="264" t="str">
        <f ca="1">IF(Table_NFI[[#This Row],[Pcode]]="","",OFFSET(CampList[Priority],MATCH(Table_NFI[[#This Row],[Pcode]],CampList[CP_Pcode],0)-1,0,1,1))</f>
        <v>P4</v>
      </c>
      <c r="AU1160" s="263">
        <f>IFERROR(Table_NFI[[#This Row],[Kitchen Set]]/VLOOKUP(Table_NFI[[#This Row],[Camp Name]],CL,4,0),"")</f>
        <v>2.5046040515653775E-3</v>
      </c>
      <c r="AV1160" s="390" t="s">
        <v>1087</v>
      </c>
      <c r="AW1160" s="392"/>
      <c r="AX1160" s="399"/>
      <c r="AY1160" s="399"/>
      <c r="AZ1160" s="399"/>
      <c r="BA1160" s="399"/>
      <c r="BB1160" s="399"/>
      <c r="BC1160" s="399"/>
      <c r="BD1160" s="399"/>
      <c r="BE1160" s="399"/>
      <c r="BF1160" s="399"/>
      <c r="BG1160" s="399"/>
      <c r="BH1160" s="399"/>
      <c r="BI1160" s="399"/>
      <c r="BJ1160" s="399"/>
      <c r="BK1160" s="399"/>
      <c r="BL1160" s="399"/>
      <c r="BM1160" s="399"/>
      <c r="BN1160" s="399"/>
      <c r="BO1160" s="399"/>
      <c r="BP1160" s="399"/>
      <c r="BQ1160" s="399"/>
      <c r="BR1160" s="399"/>
      <c r="BS1160" s="399"/>
      <c r="BT1160" s="399"/>
      <c r="BU1160" s="399"/>
      <c r="BV1160" s="399"/>
      <c r="BW1160" s="399"/>
      <c r="BX1160" s="399"/>
      <c r="BY1160" s="399"/>
      <c r="BZ1160" s="399"/>
      <c r="CA1160" s="399"/>
      <c r="CB1160" s="399"/>
      <c r="CC1160" s="399"/>
      <c r="CD1160" s="399"/>
      <c r="CE1160" s="399"/>
      <c r="CF1160" s="399"/>
      <c r="CG1160" s="399"/>
      <c r="CH1160" s="399"/>
      <c r="CI1160" s="399"/>
      <c r="CJ1160" s="399"/>
      <c r="CK1160" s="399"/>
      <c r="CL1160" s="399"/>
      <c r="CM1160" s="399"/>
      <c r="CN1160" s="399"/>
      <c r="CO1160" s="399"/>
      <c r="CP1160" s="399"/>
      <c r="CQ1160" s="399"/>
      <c r="CR1160" s="399"/>
      <c r="CS1160" s="399"/>
      <c r="CT1160" s="399"/>
      <c r="CU1160" s="399"/>
      <c r="CV1160" s="399"/>
      <c r="CW1160" s="399"/>
      <c r="CX1160" s="399"/>
      <c r="CY1160" s="399"/>
      <c r="CZ1160" s="399"/>
      <c r="DA1160" s="399"/>
      <c r="DB1160" s="399"/>
      <c r="DC1160" s="399"/>
      <c r="DD1160" s="399"/>
      <c r="DE1160" s="399"/>
      <c r="DF1160" s="399"/>
      <c r="DG1160" s="399"/>
      <c r="DH1160" s="399"/>
      <c r="DI1160" s="399"/>
      <c r="DJ1160" s="399"/>
      <c r="DK1160" s="399"/>
      <c r="DL1160" s="399"/>
      <c r="DM1160" s="399"/>
      <c r="DN1160" s="399"/>
      <c r="DO1160" s="399"/>
      <c r="DP1160" s="399"/>
      <c r="DQ1160" s="399"/>
    </row>
    <row r="1161" spans="1:121" s="760" customFormat="1" x14ac:dyDescent="0.25">
      <c r="A1161" s="266">
        <f t="shared" si="18"/>
        <v>66.833333333333329</v>
      </c>
      <c r="B1161" s="389">
        <v>40851</v>
      </c>
      <c r="C1161" s="390" t="s">
        <v>451</v>
      </c>
      <c r="D1161" s="391" t="s">
        <v>459</v>
      </c>
      <c r="E1161" s="390" t="s">
        <v>380</v>
      </c>
      <c r="F1161" s="262" t="s">
        <v>237</v>
      </c>
      <c r="G1161" s="262" t="s">
        <v>267</v>
      </c>
      <c r="H1161" s="261"/>
      <c r="I1161" s="261"/>
      <c r="J1161" s="261"/>
      <c r="K1161" s="261">
        <v>10</v>
      </c>
      <c r="L1161" s="261">
        <v>6</v>
      </c>
      <c r="M1161" s="261">
        <v>10</v>
      </c>
      <c r="N1161" s="261">
        <v>6</v>
      </c>
      <c r="O1161" s="261">
        <v>6</v>
      </c>
      <c r="P1161" s="261">
        <v>6</v>
      </c>
      <c r="Q1161" s="261">
        <v>6</v>
      </c>
      <c r="R1161" s="261"/>
      <c r="S1161" s="261"/>
      <c r="T1161" s="261"/>
      <c r="U1161" s="261"/>
      <c r="V1161" s="762"/>
      <c r="W1161" s="762"/>
      <c r="X1161" s="762"/>
      <c r="Y1161" s="264">
        <f>IF(NFI_Expiration=1,IF($A1161&lt;VLOOKUP(H$5,NFI,5,0),1,0)*Table_NFI[[#This Row],[Hygiene Kit]],Table_NFI[Hygiene Kit])</f>
        <v>0</v>
      </c>
      <c r="Z1161" s="264">
        <f>IF(NFI_Expiration=1,IF($A1161&lt;VLOOKUP(I$5,NFI,5,0),1,0)*Table_NFI[[#This Row],[NFI Core Kit]],Table_NFI[NFI Core Kit])</f>
        <v>0</v>
      </c>
      <c r="AA1161" s="264">
        <f>IF(NFI_Expiration=1,IF($A1161&lt;VLOOKUP(J$5,NFI,5,0),1,0)*Table_NFI[[#This Row],[Sanitary Kit]],Table_NFI[Sanitary Kit])</f>
        <v>0</v>
      </c>
      <c r="AB1161" s="264">
        <f>IF(NFI_Expiration=1,IF($A1161&lt;VLOOKUP(K$5,NFI,5,0),1,0)*Table_NFI[[#This Row],[Mosquito net]],Table_NFI[Mosquito net])</f>
        <v>0</v>
      </c>
      <c r="AC1161" s="264">
        <f>IF(NFI_Expiration=1,IF($A1161&lt;VLOOKUP(L$5,NFI,5,0),1,0)*Table_NFI[[#This Row],[Tarpaulin]],Table_NFI[[#This Row],[Tarpaulin]])</f>
        <v>0</v>
      </c>
      <c r="AD1161" s="264">
        <f>IF(NFI_Expiration=1,IF($A1161&lt;VLOOKUP(M$5,NFI,5,0),1,0)*Table_NFI[[#This Row],[Blanket]],Table_NFI[[#This Row],[Blanket]])</f>
        <v>0</v>
      </c>
      <c r="AE1161" s="264">
        <f>IF(NFI_Expiration=1,IF($A1161&lt;VLOOKUP(N$5,NFI,5,0),1,0)*Table_NFI[[#This Row],[Kitchen Set]],Table_NFI[Kitchen Set])</f>
        <v>0</v>
      </c>
      <c r="AF1161" s="264">
        <f>IF(NFI_Expiration=1,IF($A1161&lt;VLOOKUP(O$5,NFI,5,0),1,0)*Table_NFI[[#This Row],[Clothes Kit]],Table_NFI[Clothes Kit])</f>
        <v>0</v>
      </c>
      <c r="AG1161" s="264">
        <f>IF(NFI_Expiration=1,IF($A1161&lt;VLOOKUP(P$5,NFI,5,0),1,0)*Table_NFI[[#This Row],[Plastic Bucket]],Table_NFI[Plastic Bucket])</f>
        <v>0</v>
      </c>
      <c r="AH1161" s="264">
        <f>IF(NFI_Expiration=1,IF($A1161&lt;VLOOKUP(Q$5,NFI,5,0),1,0)*Table_NFI[[#This Row],[Plastic Mat]],Table_NFI[Plastic Mat])*IF(Table_NFI[[#This Row],[Distribution Date]]&gt;"2014-04-01",1,2.5)</f>
        <v>0</v>
      </c>
      <c r="AI1161" s="264">
        <f>IF(NFI_Expiration=1,IF($A1161&lt;VLOOKUP(R$5,NFI,5,0),1,0)*Table_NFI[[#This Row],[Winter Clothes Adult]],Table_NFI[Winter Clothes Adult])</f>
        <v>0</v>
      </c>
      <c r="AJ1161" s="264">
        <f>IF(NFI_Expiration=1,IF($A1161&lt;VLOOKUP(S$5,NFI,5,0),1,0)*Table_NFI[[#This Row],[Winter Clothes Children]],Table_NFI[Winter Clothes Children])</f>
        <v>0</v>
      </c>
      <c r="AK1161" s="264">
        <f>IF(NFI_Expiration=1,IF($A1161&lt;VLOOKUP(T$5,NFI,5,0),1,0)*Table_NFI[[#This Row],[Winter Items Other]],Table_NFI[Winter Items Other])</f>
        <v>0</v>
      </c>
      <c r="AL1161" s="264">
        <f>IF(NFI_Expiration=1,IF($A1161&lt;VLOOKUP(M$5,NFI,5,0),1,0)*Table_NFI[[#This Row],[Winter Blanket]],Table_NFI[[#This Row],[Winter Blanket]])</f>
        <v>0</v>
      </c>
      <c r="AM1161" s="264">
        <f>IF(Table_NFI[[#This Row],[Winter Clothes Adult]]+Table_NFI[[#This Row],[Winter Clothes Children]]+Table_NFI[[#This Row],[Winter Items Other]]+Table_NFI[[#This Row],[Winter Blanket]]&gt;0,1,0)</f>
        <v>0</v>
      </c>
      <c r="AN1161" s="296">
        <f>IF(NFI_Expiration=1,IF($A1161&lt;VLOOKUP(V$5,NFI,5,0),1,0)*Table_NFI[[#This Row],[Jerry Can]],Table_NFI[Jerry Can])</f>
        <v>0</v>
      </c>
      <c r="AO1161" s="761">
        <f>IF(NFI_Expiration=1,IF($A1161&lt;VLOOKUP(V$5,NFI,5,0),1,0)*Table_NFI[[#This Row],[Shelter Tool kit]],Table_NFI[Shelter Tool kit])</f>
        <v>0</v>
      </c>
      <c r="AP1161" s="761">
        <f>IF(NFI_Expiration=1,IF($A1161&lt;VLOOKUP(V$5,NFI,5,0),1,0)*Table_NFI[[#This Row],[Tent]],Table_NFI[Tent])</f>
        <v>0</v>
      </c>
      <c r="AQ1161" s="396" t="str">
        <f>IFERROR(VLOOKUP(Table_NFI[[#This Row],[Camp Name]],CL,2,0),"")</f>
        <v>MMR001CMP017</v>
      </c>
      <c r="AR1161" s="702">
        <f ca="1">IF(Table_NFI[[#This Row],[Pcode]]="","",IF(OFFSET(CampList[Opening Date],MATCH(Table_NFI[[#This Row],[Pcode]],CampList[CP_Pcode],0)-1,0,1,1)&gt;=NFI_Monitor_Date,1,0))</f>
        <v>0</v>
      </c>
      <c r="AS1161" s="396" t="str">
        <f>IFERROR(VLOOKUP(Table_NFI[[#This Row],[Camp Name]],CL,3,0),"")</f>
        <v>Closed</v>
      </c>
      <c r="AT1161" s="264" t="str">
        <f ca="1">IF(Table_NFI[[#This Row],[Pcode]]="","",OFFSET(CampList[Priority],MATCH(Table_NFI[[#This Row],[Pcode]],CampList[CP_Pcode],0)-1,0,1,1))</f>
        <v>P4</v>
      </c>
      <c r="AU1161" s="263">
        <f>IFERROR(Table_NFI[[#This Row],[Kitchen Set]]/VLOOKUP(Table_NFI[[#This Row],[Camp Name]],CL,4,0),"")</f>
        <v>1.4699757454002008E-4</v>
      </c>
      <c r="AV1161" s="390" t="s">
        <v>1087</v>
      </c>
      <c r="AW1161" s="392"/>
      <c r="AX1161" s="399"/>
      <c r="AY1161" s="399"/>
      <c r="AZ1161" s="399"/>
      <c r="BA1161" s="399"/>
      <c r="BB1161" s="399"/>
      <c r="BC1161" s="399"/>
      <c r="BD1161" s="399"/>
      <c r="BE1161" s="399"/>
      <c r="BF1161" s="399"/>
      <c r="BG1161" s="399"/>
      <c r="BH1161" s="399"/>
      <c r="BI1161" s="399"/>
      <c r="BJ1161" s="399"/>
      <c r="BK1161" s="399"/>
      <c r="BL1161" s="399"/>
      <c r="BM1161" s="399"/>
      <c r="BN1161" s="399"/>
      <c r="BO1161" s="399"/>
      <c r="BP1161" s="399"/>
      <c r="BQ1161" s="399"/>
      <c r="BR1161" s="399"/>
      <c r="BS1161" s="399"/>
      <c r="BT1161" s="399"/>
      <c r="BU1161" s="399"/>
      <c r="BV1161" s="399"/>
      <c r="BW1161" s="399"/>
      <c r="BX1161" s="399"/>
      <c r="BY1161" s="399"/>
      <c r="BZ1161" s="399"/>
      <c r="CA1161" s="399"/>
      <c r="CB1161" s="399"/>
      <c r="CC1161" s="399"/>
      <c r="CD1161" s="399"/>
      <c r="CE1161" s="399"/>
      <c r="CF1161" s="399"/>
      <c r="CG1161" s="399"/>
      <c r="CH1161" s="399"/>
      <c r="CI1161" s="399"/>
      <c r="CJ1161" s="399"/>
      <c r="CK1161" s="399"/>
      <c r="CL1161" s="399"/>
      <c r="CM1161" s="399"/>
      <c r="CN1161" s="399"/>
      <c r="CO1161" s="399"/>
      <c r="CP1161" s="399"/>
      <c r="CQ1161" s="399"/>
      <c r="CR1161" s="399"/>
      <c r="CS1161" s="399"/>
      <c r="CT1161" s="399"/>
      <c r="CU1161" s="399"/>
      <c r="CV1161" s="399"/>
      <c r="CW1161" s="399"/>
      <c r="CX1161" s="399"/>
      <c r="CY1161" s="399"/>
      <c r="CZ1161" s="399"/>
      <c r="DA1161" s="399"/>
      <c r="DB1161" s="399"/>
      <c r="DC1161" s="399"/>
      <c r="DD1161" s="399"/>
      <c r="DE1161" s="399"/>
      <c r="DF1161" s="399"/>
      <c r="DG1161" s="399"/>
      <c r="DH1161" s="399"/>
      <c r="DI1161" s="399"/>
      <c r="DJ1161" s="399"/>
      <c r="DK1161" s="399"/>
      <c r="DL1161" s="399"/>
      <c r="DM1161" s="399"/>
      <c r="DN1161" s="399"/>
      <c r="DO1161" s="399"/>
      <c r="DP1161" s="399"/>
      <c r="DQ1161" s="399"/>
    </row>
    <row r="1162" spans="1:121" s="760" customFormat="1" x14ac:dyDescent="0.25">
      <c r="A1162" s="266">
        <f t="shared" si="18"/>
        <v>66.86666666666666</v>
      </c>
      <c r="B1162" s="389">
        <v>40850</v>
      </c>
      <c r="C1162" s="390" t="s">
        <v>451</v>
      </c>
      <c r="D1162" s="391" t="s">
        <v>505</v>
      </c>
      <c r="E1162" s="390" t="s">
        <v>380</v>
      </c>
      <c r="F1162" s="262" t="s">
        <v>237</v>
      </c>
      <c r="G1162" s="262" t="s">
        <v>253</v>
      </c>
      <c r="H1162" s="261"/>
      <c r="I1162" s="261"/>
      <c r="J1162" s="261"/>
      <c r="K1162" s="261">
        <v>106</v>
      </c>
      <c r="L1162" s="261">
        <v>52</v>
      </c>
      <c r="M1162" s="261">
        <v>106</v>
      </c>
      <c r="N1162" s="261">
        <v>52</v>
      </c>
      <c r="O1162" s="261">
        <v>52</v>
      </c>
      <c r="P1162" s="261">
        <v>52</v>
      </c>
      <c r="Q1162" s="261">
        <v>52</v>
      </c>
      <c r="R1162" s="261"/>
      <c r="S1162" s="261"/>
      <c r="T1162" s="261"/>
      <c r="U1162" s="261"/>
      <c r="V1162" s="762"/>
      <c r="W1162" s="762"/>
      <c r="X1162" s="762"/>
      <c r="Y1162" s="264">
        <f>IF(NFI_Expiration=1,IF($A1162&lt;VLOOKUP(H$5,NFI,5,0),1,0)*Table_NFI[[#This Row],[Hygiene Kit]],Table_NFI[Hygiene Kit])</f>
        <v>0</v>
      </c>
      <c r="Z1162" s="264">
        <f>IF(NFI_Expiration=1,IF($A1162&lt;VLOOKUP(I$5,NFI,5,0),1,0)*Table_NFI[[#This Row],[NFI Core Kit]],Table_NFI[NFI Core Kit])</f>
        <v>0</v>
      </c>
      <c r="AA1162" s="264">
        <f>IF(NFI_Expiration=1,IF($A1162&lt;VLOOKUP(J$5,NFI,5,0),1,0)*Table_NFI[[#This Row],[Sanitary Kit]],Table_NFI[Sanitary Kit])</f>
        <v>0</v>
      </c>
      <c r="AB1162" s="264">
        <f>IF(NFI_Expiration=1,IF($A1162&lt;VLOOKUP(K$5,NFI,5,0),1,0)*Table_NFI[[#This Row],[Mosquito net]],Table_NFI[Mosquito net])</f>
        <v>0</v>
      </c>
      <c r="AC1162" s="264">
        <f>IF(NFI_Expiration=1,IF($A1162&lt;VLOOKUP(L$5,NFI,5,0),1,0)*Table_NFI[[#This Row],[Tarpaulin]],Table_NFI[[#This Row],[Tarpaulin]])</f>
        <v>0</v>
      </c>
      <c r="AD1162" s="264">
        <f>IF(NFI_Expiration=1,IF($A1162&lt;VLOOKUP(M$5,NFI,5,0),1,0)*Table_NFI[[#This Row],[Blanket]],Table_NFI[[#This Row],[Blanket]])</f>
        <v>0</v>
      </c>
      <c r="AE1162" s="264">
        <f>IF(NFI_Expiration=1,IF($A1162&lt;VLOOKUP(N$5,NFI,5,0),1,0)*Table_NFI[[#This Row],[Kitchen Set]],Table_NFI[Kitchen Set])</f>
        <v>0</v>
      </c>
      <c r="AF1162" s="264">
        <f>IF(NFI_Expiration=1,IF($A1162&lt;VLOOKUP(O$5,NFI,5,0),1,0)*Table_NFI[[#This Row],[Clothes Kit]],Table_NFI[Clothes Kit])</f>
        <v>0</v>
      </c>
      <c r="AG1162" s="264">
        <f>IF(NFI_Expiration=1,IF($A1162&lt;VLOOKUP(P$5,NFI,5,0),1,0)*Table_NFI[[#This Row],[Plastic Bucket]],Table_NFI[Plastic Bucket])</f>
        <v>0</v>
      </c>
      <c r="AH1162" s="264">
        <f>IF(NFI_Expiration=1,IF($A1162&lt;VLOOKUP(Q$5,NFI,5,0),1,0)*Table_NFI[[#This Row],[Plastic Mat]],Table_NFI[Plastic Mat])*IF(Table_NFI[[#This Row],[Distribution Date]]&gt;"2014-04-01",1,2.5)</f>
        <v>0</v>
      </c>
      <c r="AI1162" s="264">
        <f>IF(NFI_Expiration=1,IF($A1162&lt;VLOOKUP(R$5,NFI,5,0),1,0)*Table_NFI[[#This Row],[Winter Clothes Adult]],Table_NFI[Winter Clothes Adult])</f>
        <v>0</v>
      </c>
      <c r="AJ1162" s="264">
        <f>IF(NFI_Expiration=1,IF($A1162&lt;VLOOKUP(S$5,NFI,5,0),1,0)*Table_NFI[[#This Row],[Winter Clothes Children]],Table_NFI[Winter Clothes Children])</f>
        <v>0</v>
      </c>
      <c r="AK1162" s="264">
        <f>IF(NFI_Expiration=1,IF($A1162&lt;VLOOKUP(T$5,NFI,5,0),1,0)*Table_NFI[[#This Row],[Winter Items Other]],Table_NFI[Winter Items Other])</f>
        <v>0</v>
      </c>
      <c r="AL1162" s="264">
        <f>IF(NFI_Expiration=1,IF($A1162&lt;VLOOKUP(M$5,NFI,5,0),1,0)*Table_NFI[[#This Row],[Winter Blanket]],Table_NFI[[#This Row],[Winter Blanket]])</f>
        <v>0</v>
      </c>
      <c r="AM1162" s="264">
        <f>IF(Table_NFI[[#This Row],[Winter Clothes Adult]]+Table_NFI[[#This Row],[Winter Clothes Children]]+Table_NFI[[#This Row],[Winter Items Other]]+Table_NFI[[#This Row],[Winter Blanket]]&gt;0,1,0)</f>
        <v>0</v>
      </c>
      <c r="AN1162" s="296">
        <f>IF(NFI_Expiration=1,IF($A1162&lt;VLOOKUP(V$5,NFI,5,0),1,0)*Table_NFI[[#This Row],[Jerry Can]],Table_NFI[Jerry Can])</f>
        <v>0</v>
      </c>
      <c r="AO1162" s="761">
        <f>IF(NFI_Expiration=1,IF($A1162&lt;VLOOKUP(V$5,NFI,5,0),1,0)*Table_NFI[[#This Row],[Shelter Tool kit]],Table_NFI[Shelter Tool kit])</f>
        <v>0</v>
      </c>
      <c r="AP1162" s="761">
        <f>IF(NFI_Expiration=1,IF($A1162&lt;VLOOKUP(V$5,NFI,5,0),1,0)*Table_NFI[[#This Row],[Tent]],Table_NFI[Tent])</f>
        <v>0</v>
      </c>
      <c r="AQ1162" s="396" t="str">
        <f>IFERROR(VLOOKUP(Table_NFI[[#This Row],[Camp Name]],CL,2,0),"")</f>
        <v>MMR001CMP018</v>
      </c>
      <c r="AR1162" s="702">
        <f ca="1">IF(Table_NFI[[#This Row],[Pcode]]="","",IF(OFFSET(CampList[Opening Date],MATCH(Table_NFI[[#This Row],[Pcode]],CampList[CP_Pcode],0)-1,0,1,1)&gt;=NFI_Monitor_Date,1,0))</f>
        <v>0</v>
      </c>
      <c r="AS1162" s="396" t="str">
        <f>IFERROR(VLOOKUP(Table_NFI[[#This Row],[Camp Name]],CL,3,0),"")</f>
        <v>Open</v>
      </c>
      <c r="AT1162" s="264" t="str">
        <f ca="1">IF(Table_NFI[[#This Row],[Pcode]]="","",OFFSET(CampList[Priority],MATCH(Table_NFI[[#This Row],[Pcode]],CampList[CP_Pcode],0)-1,0,1,1))</f>
        <v>P4</v>
      </c>
      <c r="AU1162" s="263">
        <f>IFERROR(Table_NFI[[#This Row],[Kitchen Set]]/VLOOKUP(Table_NFI[[#This Row],[Camp Name]],CL,4,0),"")</f>
        <v>1.2768569674647024E-3</v>
      </c>
      <c r="AV1162" s="390" t="s">
        <v>1087</v>
      </c>
      <c r="AW1162" s="392"/>
      <c r="AX1162" s="399"/>
      <c r="AY1162" s="399"/>
      <c r="AZ1162" s="399"/>
      <c r="BA1162" s="399"/>
      <c r="BB1162" s="399"/>
      <c r="BC1162" s="399"/>
      <c r="BD1162" s="399"/>
      <c r="BE1162" s="399"/>
      <c r="BF1162" s="399"/>
      <c r="BG1162" s="399"/>
      <c r="BH1162" s="399"/>
      <c r="BI1162" s="399"/>
      <c r="BJ1162" s="399"/>
      <c r="BK1162" s="399"/>
      <c r="BL1162" s="399"/>
      <c r="BM1162" s="399"/>
      <c r="BN1162" s="399"/>
      <c r="BO1162" s="399"/>
      <c r="BP1162" s="399"/>
      <c r="BQ1162" s="399"/>
      <c r="BR1162" s="399"/>
      <c r="BS1162" s="399"/>
      <c r="BT1162" s="399"/>
      <c r="BU1162" s="399"/>
      <c r="BV1162" s="399"/>
      <c r="BW1162" s="399"/>
      <c r="BX1162" s="399"/>
      <c r="BY1162" s="399"/>
      <c r="BZ1162" s="399"/>
      <c r="CA1162" s="399"/>
      <c r="CB1162" s="399"/>
      <c r="CC1162" s="399"/>
      <c r="CD1162" s="399"/>
      <c r="CE1162" s="399"/>
      <c r="CF1162" s="399"/>
      <c r="CG1162" s="399"/>
      <c r="CH1162" s="399"/>
      <c r="CI1162" s="399"/>
      <c r="CJ1162" s="399"/>
      <c r="CK1162" s="399"/>
      <c r="CL1162" s="399"/>
      <c r="CM1162" s="399"/>
      <c r="CN1162" s="399"/>
      <c r="CO1162" s="399"/>
      <c r="CP1162" s="399"/>
      <c r="CQ1162" s="399"/>
      <c r="CR1162" s="399"/>
      <c r="CS1162" s="399"/>
      <c r="CT1162" s="399"/>
      <c r="CU1162" s="399"/>
      <c r="CV1162" s="399"/>
      <c r="CW1162" s="399"/>
      <c r="CX1162" s="399"/>
      <c r="CY1162" s="399"/>
      <c r="CZ1162" s="399"/>
      <c r="DA1162" s="399"/>
      <c r="DB1162" s="399"/>
      <c r="DC1162" s="399"/>
      <c r="DD1162" s="399"/>
      <c r="DE1162" s="399"/>
      <c r="DF1162" s="399"/>
      <c r="DG1162" s="399"/>
      <c r="DH1162" s="399"/>
      <c r="DI1162" s="399"/>
      <c r="DJ1162" s="399"/>
      <c r="DK1162" s="399"/>
      <c r="DL1162" s="399"/>
      <c r="DM1162" s="399"/>
      <c r="DN1162" s="399"/>
      <c r="DO1162" s="399"/>
      <c r="DP1162" s="399"/>
      <c r="DQ1162" s="399"/>
    </row>
    <row r="1163" spans="1:121" s="760" customFormat="1" x14ac:dyDescent="0.25">
      <c r="A1163" s="754">
        <f t="shared" si="18"/>
        <v>66.86666666666666</v>
      </c>
      <c r="B1163" s="755">
        <v>40850</v>
      </c>
      <c r="C1163" s="398" t="s">
        <v>451</v>
      </c>
      <c r="D1163" s="850" t="s">
        <v>459</v>
      </c>
      <c r="E1163" s="398" t="s">
        <v>380</v>
      </c>
      <c r="F1163" s="851" t="s">
        <v>237</v>
      </c>
      <c r="G1163" s="262" t="s">
        <v>285</v>
      </c>
      <c r="H1163" s="762"/>
      <c r="I1163" s="762"/>
      <c r="J1163" s="762"/>
      <c r="K1163" s="762">
        <v>116</v>
      </c>
      <c r="L1163" s="762">
        <v>49</v>
      </c>
      <c r="M1163" s="762">
        <v>116</v>
      </c>
      <c r="N1163" s="762">
        <v>49</v>
      </c>
      <c r="O1163" s="762">
        <v>49</v>
      </c>
      <c r="P1163" s="762">
        <v>49</v>
      </c>
      <c r="Q1163" s="762">
        <v>49</v>
      </c>
      <c r="R1163" s="762"/>
      <c r="S1163" s="762"/>
      <c r="T1163" s="762"/>
      <c r="U1163" s="762"/>
      <c r="V1163" s="762"/>
      <c r="W1163" s="762"/>
      <c r="X1163" s="762"/>
      <c r="Y1163" s="296">
        <f>IF(NFI_Expiration=1,IF($A1163&lt;VLOOKUP(H$5,NFI,5,0),1,0)*Table_NFI[[#This Row],[Hygiene Kit]],Table_NFI[Hygiene Kit])</f>
        <v>0</v>
      </c>
      <c r="Z1163" s="296">
        <f>IF(NFI_Expiration=1,IF($A1163&lt;VLOOKUP(I$5,NFI,5,0),1,0)*Table_NFI[[#This Row],[NFI Core Kit]],Table_NFI[NFI Core Kit])</f>
        <v>0</v>
      </c>
      <c r="AA1163" s="296">
        <f>IF(NFI_Expiration=1,IF($A1163&lt;VLOOKUP(J$5,NFI,5,0),1,0)*Table_NFI[[#This Row],[Sanitary Kit]],Table_NFI[Sanitary Kit])</f>
        <v>0</v>
      </c>
      <c r="AB1163" s="296">
        <f>IF(NFI_Expiration=1,IF($A1163&lt;VLOOKUP(K$5,NFI,5,0),1,0)*Table_NFI[[#This Row],[Mosquito net]],Table_NFI[Mosquito net])</f>
        <v>0</v>
      </c>
      <c r="AC1163" s="296">
        <f>IF(NFI_Expiration=1,IF($A1163&lt;VLOOKUP(L$5,NFI,5,0),1,0)*Table_NFI[[#This Row],[Tarpaulin]],Table_NFI[[#This Row],[Tarpaulin]])</f>
        <v>0</v>
      </c>
      <c r="AD1163" s="296">
        <f>IF(NFI_Expiration=1,IF($A1163&lt;VLOOKUP(M$5,NFI,5,0),1,0)*Table_NFI[[#This Row],[Blanket]],Table_NFI[[#This Row],[Blanket]])</f>
        <v>0</v>
      </c>
      <c r="AE1163" s="296">
        <f>IF(NFI_Expiration=1,IF($A1163&lt;VLOOKUP(N$5,NFI,5,0),1,0)*Table_NFI[[#This Row],[Kitchen Set]],Table_NFI[Kitchen Set])</f>
        <v>0</v>
      </c>
      <c r="AF1163" s="296">
        <f>IF(NFI_Expiration=1,IF($A1163&lt;VLOOKUP(O$5,NFI,5,0),1,0)*Table_NFI[[#This Row],[Clothes Kit]],Table_NFI[Clothes Kit])</f>
        <v>0</v>
      </c>
      <c r="AG1163" s="296">
        <f>IF(NFI_Expiration=1,IF($A1163&lt;VLOOKUP(P$5,NFI,5,0),1,0)*Table_NFI[[#This Row],[Plastic Bucket]],Table_NFI[Plastic Bucket])</f>
        <v>0</v>
      </c>
      <c r="AH1163" s="296">
        <f>IF(NFI_Expiration=1,IF($A1163&lt;VLOOKUP(Q$5,NFI,5,0),1,0)*Table_NFI[[#This Row],[Plastic Mat]],Table_NFI[Plastic Mat])*IF(Table_NFI[[#This Row],[Distribution Date]]&gt;"2014-04-01",1,2.5)</f>
        <v>0</v>
      </c>
      <c r="AI1163" s="296">
        <f>IF(NFI_Expiration=1,IF($A1163&lt;VLOOKUP(R$5,NFI,5,0),1,0)*Table_NFI[[#This Row],[Winter Clothes Adult]],Table_NFI[Winter Clothes Adult])</f>
        <v>0</v>
      </c>
      <c r="AJ1163" s="296">
        <f>IF(NFI_Expiration=1,IF($A1163&lt;VLOOKUP(S$5,NFI,5,0),1,0)*Table_NFI[[#This Row],[Winter Clothes Children]],Table_NFI[Winter Clothes Children])</f>
        <v>0</v>
      </c>
      <c r="AK1163" s="296">
        <f>IF(NFI_Expiration=1,IF($A1163&lt;VLOOKUP(T$5,NFI,5,0),1,0)*Table_NFI[[#This Row],[Winter Items Other]],Table_NFI[Winter Items Other])</f>
        <v>0</v>
      </c>
      <c r="AL1163" s="296">
        <f>IF(NFI_Expiration=1,IF($A1163&lt;VLOOKUP(M$5,NFI,5,0),1,0)*Table_NFI[[#This Row],[Winter Blanket]],Table_NFI[[#This Row],[Winter Blanket]])</f>
        <v>0</v>
      </c>
      <c r="AM1163" s="296">
        <f>IF(Table_NFI[[#This Row],[Winter Clothes Adult]]+Table_NFI[[#This Row],[Winter Clothes Children]]+Table_NFI[[#This Row],[Winter Items Other]]+Table_NFI[[#This Row],[Winter Blanket]]&gt;0,1,0)</f>
        <v>0</v>
      </c>
      <c r="AN1163" s="296">
        <f>IF(NFI_Expiration=1,IF($A1163&lt;VLOOKUP(V$5,NFI,5,0),1,0)*Table_NFI[[#This Row],[Jerry Can]],Table_NFI[Jerry Can])</f>
        <v>0</v>
      </c>
      <c r="AO1163" s="761">
        <f>IF(NFI_Expiration=1,IF($A1163&lt;VLOOKUP(V$5,NFI,5,0),1,0)*Table_NFI[[#This Row],[Shelter Tool kit]],Table_NFI[Shelter Tool kit])</f>
        <v>0</v>
      </c>
      <c r="AP1163" s="761">
        <f>IF(NFI_Expiration=1,IF($A1163&lt;VLOOKUP(V$5,NFI,5,0),1,0)*Table_NFI[[#This Row],[Tent]],Table_NFI[Tent])</f>
        <v>0</v>
      </c>
      <c r="AQ1163" s="756" t="str">
        <f>IFERROR(VLOOKUP(Table_NFI[[#This Row],[Camp Name]],CL,2,0),"")</f>
        <v>MMR001CMP014</v>
      </c>
      <c r="AR1163" s="852">
        <f ca="1">IF(Table_NFI[[#This Row],[Pcode]]="","",IF(OFFSET(CampList[Opening Date],MATCH(Table_NFI[[#This Row],[Pcode]],CampList[CP_Pcode],0)-1,0,1,1)&gt;=NFI_Monitor_Date,1,0))</f>
        <v>0</v>
      </c>
      <c r="AS1163" s="756" t="str">
        <f>IFERROR(VLOOKUP(Table_NFI[[#This Row],[Camp Name]],CL,3,0),"")</f>
        <v>Open</v>
      </c>
      <c r="AT1163" s="296" t="str">
        <f ca="1">IF(Table_NFI[[#This Row],[Pcode]]="","",OFFSET(CampList[Priority],MATCH(Table_NFI[[#This Row],[Pcode]],CampList[CP_Pcode],0)-1,0,1,1))</f>
        <v>P4</v>
      </c>
      <c r="AU1163" s="757">
        <f>IFERROR(Table_NFI[[#This Row],[Kitchen Set]]/VLOOKUP(Table_NFI[[#This Row],[Camp Name]],CL,4,0),"")</f>
        <v>1.204079125199656E-3</v>
      </c>
      <c r="AV1163" s="398" t="s">
        <v>1087</v>
      </c>
      <c r="AW1163" s="392"/>
      <c r="AX1163" s="399"/>
      <c r="AY1163" s="399"/>
      <c r="AZ1163" s="399"/>
      <c r="BA1163" s="399"/>
      <c r="BB1163" s="399"/>
      <c r="BC1163" s="399"/>
      <c r="BD1163" s="399"/>
      <c r="BE1163" s="399"/>
      <c r="BF1163" s="399"/>
      <c r="BG1163" s="399"/>
      <c r="BH1163" s="399"/>
      <c r="BI1163" s="399"/>
      <c r="BJ1163" s="399"/>
      <c r="BK1163" s="399"/>
      <c r="BL1163" s="399"/>
      <c r="BM1163" s="399"/>
      <c r="BN1163" s="399"/>
      <c r="BO1163" s="399"/>
      <c r="BP1163" s="399"/>
      <c r="BQ1163" s="399"/>
      <c r="BR1163" s="399"/>
      <c r="BS1163" s="399"/>
      <c r="BT1163" s="399"/>
      <c r="BU1163" s="399"/>
      <c r="BV1163" s="399"/>
      <c r="BW1163" s="399"/>
      <c r="BX1163" s="399"/>
      <c r="BY1163" s="399"/>
      <c r="BZ1163" s="399"/>
      <c r="CA1163" s="399"/>
      <c r="CB1163" s="399"/>
      <c r="CC1163" s="399"/>
      <c r="CD1163" s="399"/>
      <c r="CE1163" s="399"/>
      <c r="CF1163" s="399"/>
      <c r="CG1163" s="399"/>
      <c r="CH1163" s="399"/>
      <c r="CI1163" s="399"/>
      <c r="CJ1163" s="399"/>
      <c r="CK1163" s="399"/>
      <c r="CL1163" s="399"/>
      <c r="CM1163" s="399"/>
      <c r="CN1163" s="399"/>
      <c r="CO1163" s="399"/>
      <c r="CP1163" s="399"/>
      <c r="CQ1163" s="399"/>
      <c r="CR1163" s="399"/>
      <c r="CS1163" s="399"/>
      <c r="CT1163" s="399"/>
      <c r="CU1163" s="399"/>
      <c r="CV1163" s="399"/>
      <c r="CW1163" s="399"/>
      <c r="CX1163" s="399"/>
      <c r="CY1163" s="399"/>
      <c r="CZ1163" s="399"/>
      <c r="DA1163" s="399"/>
      <c r="DB1163" s="399"/>
      <c r="DC1163" s="399"/>
      <c r="DD1163" s="399"/>
      <c r="DE1163" s="399"/>
      <c r="DF1163" s="399"/>
      <c r="DG1163" s="399"/>
      <c r="DH1163" s="399"/>
      <c r="DI1163" s="399"/>
      <c r="DJ1163" s="399"/>
      <c r="DK1163" s="399"/>
      <c r="DL1163" s="399"/>
      <c r="DM1163" s="399"/>
      <c r="DN1163" s="399"/>
      <c r="DO1163" s="399"/>
      <c r="DP1163" s="399"/>
      <c r="DQ1163" s="399"/>
    </row>
    <row r="1164" spans="1:121" s="760" customFormat="1" x14ac:dyDescent="0.25">
      <c r="A1164" s="754">
        <f t="shared" si="18"/>
        <v>66.86666666666666</v>
      </c>
      <c r="B1164" s="755">
        <v>40850</v>
      </c>
      <c r="C1164" s="398" t="s">
        <v>451</v>
      </c>
      <c r="D1164" s="850" t="s">
        <v>505</v>
      </c>
      <c r="E1164" s="398" t="s">
        <v>380</v>
      </c>
      <c r="F1164" s="851" t="s">
        <v>237</v>
      </c>
      <c r="G1164" s="262" t="s">
        <v>281</v>
      </c>
      <c r="H1164" s="762"/>
      <c r="I1164" s="762"/>
      <c r="J1164" s="762"/>
      <c r="K1164" s="762">
        <v>18</v>
      </c>
      <c r="L1164" s="762">
        <v>8</v>
      </c>
      <c r="M1164" s="762">
        <v>18</v>
      </c>
      <c r="N1164" s="762">
        <v>8</v>
      </c>
      <c r="O1164" s="762">
        <v>8</v>
      </c>
      <c r="P1164" s="762">
        <v>8</v>
      </c>
      <c r="Q1164" s="762">
        <v>8</v>
      </c>
      <c r="R1164" s="762"/>
      <c r="S1164" s="762"/>
      <c r="T1164" s="762"/>
      <c r="U1164" s="762"/>
      <c r="V1164" s="762"/>
      <c r="W1164" s="762"/>
      <c r="X1164" s="762"/>
      <c r="Y1164" s="296">
        <f>IF(NFI_Expiration=1,IF($A1164&lt;VLOOKUP(H$5,NFI,5,0),1,0)*Table_NFI[[#This Row],[Hygiene Kit]],Table_NFI[Hygiene Kit])</f>
        <v>0</v>
      </c>
      <c r="Z1164" s="296">
        <f>IF(NFI_Expiration=1,IF($A1164&lt;VLOOKUP(I$5,NFI,5,0),1,0)*Table_NFI[[#This Row],[NFI Core Kit]],Table_NFI[NFI Core Kit])</f>
        <v>0</v>
      </c>
      <c r="AA1164" s="296">
        <f>IF(NFI_Expiration=1,IF($A1164&lt;VLOOKUP(J$5,NFI,5,0),1,0)*Table_NFI[[#This Row],[Sanitary Kit]],Table_NFI[Sanitary Kit])</f>
        <v>0</v>
      </c>
      <c r="AB1164" s="296">
        <f>IF(NFI_Expiration=1,IF($A1164&lt;VLOOKUP(K$5,NFI,5,0),1,0)*Table_NFI[[#This Row],[Mosquito net]],Table_NFI[Mosquito net])</f>
        <v>0</v>
      </c>
      <c r="AC1164" s="296">
        <f>IF(NFI_Expiration=1,IF($A1164&lt;VLOOKUP(L$5,NFI,5,0),1,0)*Table_NFI[[#This Row],[Tarpaulin]],Table_NFI[[#This Row],[Tarpaulin]])</f>
        <v>0</v>
      </c>
      <c r="AD1164" s="296">
        <f>IF(NFI_Expiration=1,IF($A1164&lt;VLOOKUP(M$5,NFI,5,0),1,0)*Table_NFI[[#This Row],[Blanket]],Table_NFI[[#This Row],[Blanket]])</f>
        <v>0</v>
      </c>
      <c r="AE1164" s="296">
        <f>IF(NFI_Expiration=1,IF($A1164&lt;VLOOKUP(N$5,NFI,5,0),1,0)*Table_NFI[[#This Row],[Kitchen Set]],Table_NFI[Kitchen Set])</f>
        <v>0</v>
      </c>
      <c r="AF1164" s="296">
        <f>IF(NFI_Expiration=1,IF($A1164&lt;VLOOKUP(O$5,NFI,5,0),1,0)*Table_NFI[[#This Row],[Clothes Kit]],Table_NFI[Clothes Kit])</f>
        <v>0</v>
      </c>
      <c r="AG1164" s="296">
        <f>IF(NFI_Expiration=1,IF($A1164&lt;VLOOKUP(P$5,NFI,5,0),1,0)*Table_NFI[[#This Row],[Plastic Bucket]],Table_NFI[Plastic Bucket])</f>
        <v>0</v>
      </c>
      <c r="AH1164" s="296">
        <f>IF(NFI_Expiration=1,IF($A1164&lt;VLOOKUP(Q$5,NFI,5,0),1,0)*Table_NFI[[#This Row],[Plastic Mat]],Table_NFI[Plastic Mat])*IF(Table_NFI[[#This Row],[Distribution Date]]&gt;"2014-04-01",1,2.5)</f>
        <v>0</v>
      </c>
      <c r="AI1164" s="296">
        <f>IF(NFI_Expiration=1,IF($A1164&lt;VLOOKUP(R$5,NFI,5,0),1,0)*Table_NFI[[#This Row],[Winter Clothes Adult]],Table_NFI[Winter Clothes Adult])</f>
        <v>0</v>
      </c>
      <c r="AJ1164" s="296">
        <f>IF(NFI_Expiration=1,IF($A1164&lt;VLOOKUP(S$5,NFI,5,0),1,0)*Table_NFI[[#This Row],[Winter Clothes Children]],Table_NFI[Winter Clothes Children])</f>
        <v>0</v>
      </c>
      <c r="AK1164" s="296">
        <f>IF(NFI_Expiration=1,IF($A1164&lt;VLOOKUP(T$5,NFI,5,0),1,0)*Table_NFI[[#This Row],[Winter Items Other]],Table_NFI[Winter Items Other])</f>
        <v>0</v>
      </c>
      <c r="AL1164" s="296">
        <f>IF(NFI_Expiration=1,IF($A1164&lt;VLOOKUP(M$5,NFI,5,0),1,0)*Table_NFI[[#This Row],[Winter Blanket]],Table_NFI[[#This Row],[Winter Blanket]])</f>
        <v>0</v>
      </c>
      <c r="AM1164" s="296">
        <f>IF(Table_NFI[[#This Row],[Winter Clothes Adult]]+Table_NFI[[#This Row],[Winter Clothes Children]]+Table_NFI[[#This Row],[Winter Items Other]]+Table_NFI[[#This Row],[Winter Blanket]]&gt;0,1,0)</f>
        <v>0</v>
      </c>
      <c r="AN1164" s="296">
        <f>IF(NFI_Expiration=1,IF($A1164&lt;VLOOKUP(V$5,NFI,5,0),1,0)*Table_NFI[[#This Row],[Jerry Can]],Table_NFI[Jerry Can])</f>
        <v>0</v>
      </c>
      <c r="AO1164" s="296">
        <f>IF(NFI_Expiration=1,IF($A1164&lt;VLOOKUP(V$5,NFI,5,0),1,0)*Table_NFI[[#This Row],[Shelter Tool kit]],Table_NFI[Shelter Tool kit])</f>
        <v>0</v>
      </c>
      <c r="AP1164" s="296">
        <f>IF(NFI_Expiration=1,IF($A1164&lt;VLOOKUP(V$5,NFI,5,0),1,0)*Table_NFI[[#This Row],[Tent]],Table_NFI[Tent])</f>
        <v>0</v>
      </c>
      <c r="AQ1164" s="756" t="str">
        <f>IFERROR(VLOOKUP(Table_NFI[[#This Row],[Camp Name]],CL,2,0),"")</f>
        <v>MMR001CMP009</v>
      </c>
      <c r="AR1164" s="852">
        <f ca="1">IF(Table_NFI[[#This Row],[Pcode]]="","",IF(OFFSET(CampList[Opening Date],MATCH(Table_NFI[[#This Row],[Pcode]],CampList[CP_Pcode],0)-1,0,1,1)&gt;=NFI_Monitor_Date,1,0))</f>
        <v>0</v>
      </c>
      <c r="AS1164" s="756" t="str">
        <f>IFERROR(VLOOKUP(Table_NFI[[#This Row],[Camp Name]],CL,3,0),"")</f>
        <v>Open</v>
      </c>
      <c r="AT1164" s="296" t="str">
        <f ca="1">IF(Table_NFI[[#This Row],[Pcode]]="","",OFFSET(CampList[Priority],MATCH(Table_NFI[[#This Row],[Pcode]],CampList[CP_Pcode],0)-1,0,1,1))</f>
        <v>P4</v>
      </c>
      <c r="AU1164" s="757">
        <f>IFERROR(Table_NFI[[#This Row],[Kitchen Set]]/VLOOKUP(Table_NFI[[#This Row],[Camp Name]],CL,4,0),"")</f>
        <v>1.9643953345610803E-4</v>
      </c>
      <c r="AV1164" s="398" t="s">
        <v>1087</v>
      </c>
      <c r="AW1164" s="392"/>
      <c r="AX1164" s="399"/>
      <c r="AY1164" s="399"/>
      <c r="AZ1164" s="399"/>
      <c r="BA1164" s="399"/>
      <c r="BB1164" s="399"/>
      <c r="BC1164" s="399"/>
      <c r="BD1164" s="399"/>
      <c r="BE1164" s="399"/>
      <c r="BF1164" s="399"/>
      <c r="BG1164" s="399"/>
      <c r="BH1164" s="399"/>
      <c r="BI1164" s="399"/>
      <c r="BJ1164" s="399"/>
      <c r="BK1164" s="399"/>
      <c r="BL1164" s="399"/>
      <c r="BM1164" s="399"/>
      <c r="BN1164" s="399"/>
      <c r="BO1164" s="399"/>
      <c r="BP1164" s="399"/>
      <c r="BQ1164" s="399"/>
      <c r="BR1164" s="399"/>
      <c r="BS1164" s="399"/>
      <c r="BT1164" s="399"/>
      <c r="BU1164" s="399"/>
      <c r="BV1164" s="399"/>
      <c r="BW1164" s="399"/>
      <c r="BX1164" s="399"/>
      <c r="BY1164" s="399"/>
      <c r="BZ1164" s="399"/>
      <c r="CA1164" s="399"/>
      <c r="CB1164" s="399"/>
      <c r="CC1164" s="399"/>
      <c r="CD1164" s="399"/>
      <c r="CE1164" s="399"/>
      <c r="CF1164" s="399"/>
      <c r="CG1164" s="399"/>
      <c r="CH1164" s="399"/>
      <c r="CI1164" s="399"/>
      <c r="CJ1164" s="399"/>
      <c r="CK1164" s="399"/>
      <c r="CL1164" s="399"/>
      <c r="CM1164" s="399"/>
      <c r="CN1164" s="399"/>
      <c r="CO1164" s="399"/>
      <c r="CP1164" s="399"/>
      <c r="CQ1164" s="399"/>
      <c r="CR1164" s="399"/>
      <c r="CS1164" s="399"/>
      <c r="CT1164" s="399"/>
      <c r="CU1164" s="399"/>
      <c r="CV1164" s="399"/>
      <c r="CW1164" s="399"/>
      <c r="CX1164" s="399"/>
      <c r="CY1164" s="399"/>
      <c r="CZ1164" s="399"/>
      <c r="DA1164" s="399"/>
      <c r="DB1164" s="399"/>
      <c r="DC1164" s="399"/>
      <c r="DD1164" s="399"/>
      <c r="DE1164" s="399"/>
      <c r="DF1164" s="399"/>
      <c r="DG1164" s="399"/>
      <c r="DH1164" s="399"/>
      <c r="DI1164" s="399"/>
      <c r="DJ1164" s="399"/>
      <c r="DK1164" s="399"/>
      <c r="DL1164" s="399"/>
      <c r="DM1164" s="399"/>
      <c r="DN1164" s="399"/>
      <c r="DO1164" s="399"/>
      <c r="DP1164" s="399"/>
      <c r="DQ1164" s="399"/>
    </row>
    <row r="1165" spans="1:121" s="760" customFormat="1" x14ac:dyDescent="0.25">
      <c r="A1165" s="754">
        <f t="shared" si="18"/>
        <v>66.86666666666666</v>
      </c>
      <c r="B1165" s="755">
        <v>40850</v>
      </c>
      <c r="C1165" s="398" t="s">
        <v>451</v>
      </c>
      <c r="D1165" s="850" t="s">
        <v>459</v>
      </c>
      <c r="E1165" s="398" t="s">
        <v>380</v>
      </c>
      <c r="F1165" s="851" t="s">
        <v>237</v>
      </c>
      <c r="G1165" s="262" t="s">
        <v>238</v>
      </c>
      <c r="H1165" s="762"/>
      <c r="I1165" s="762"/>
      <c r="J1165" s="762"/>
      <c r="K1165" s="762">
        <v>73</v>
      </c>
      <c r="L1165" s="762">
        <v>34</v>
      </c>
      <c r="M1165" s="762">
        <v>73</v>
      </c>
      <c r="N1165" s="762">
        <v>34</v>
      </c>
      <c r="O1165" s="762">
        <v>34</v>
      </c>
      <c r="P1165" s="762">
        <v>34</v>
      </c>
      <c r="Q1165" s="762">
        <v>34</v>
      </c>
      <c r="R1165" s="762"/>
      <c r="S1165" s="762"/>
      <c r="T1165" s="762"/>
      <c r="U1165" s="762"/>
      <c r="V1165" s="762"/>
      <c r="W1165" s="762"/>
      <c r="X1165" s="762"/>
      <c r="Y1165" s="296">
        <f>IF(NFI_Expiration=1,IF($A1165&lt;VLOOKUP(H$5,NFI,5,0),1,0)*Table_NFI[[#This Row],[Hygiene Kit]],Table_NFI[Hygiene Kit])</f>
        <v>0</v>
      </c>
      <c r="Z1165" s="296">
        <f>IF(NFI_Expiration=1,IF($A1165&lt;VLOOKUP(I$5,NFI,5,0),1,0)*Table_NFI[[#This Row],[NFI Core Kit]],Table_NFI[NFI Core Kit])</f>
        <v>0</v>
      </c>
      <c r="AA1165" s="296">
        <f>IF(NFI_Expiration=1,IF($A1165&lt;VLOOKUP(J$5,NFI,5,0),1,0)*Table_NFI[[#This Row],[Sanitary Kit]],Table_NFI[Sanitary Kit])</f>
        <v>0</v>
      </c>
      <c r="AB1165" s="296">
        <f>IF(NFI_Expiration=1,IF($A1165&lt;VLOOKUP(K$5,NFI,5,0),1,0)*Table_NFI[[#This Row],[Mosquito net]],Table_NFI[Mosquito net])</f>
        <v>0</v>
      </c>
      <c r="AC1165" s="296">
        <f>IF(NFI_Expiration=1,IF($A1165&lt;VLOOKUP(L$5,NFI,5,0),1,0)*Table_NFI[[#This Row],[Tarpaulin]],Table_NFI[[#This Row],[Tarpaulin]])</f>
        <v>0</v>
      </c>
      <c r="AD1165" s="296">
        <f>IF(NFI_Expiration=1,IF($A1165&lt;VLOOKUP(M$5,NFI,5,0),1,0)*Table_NFI[[#This Row],[Blanket]],Table_NFI[[#This Row],[Blanket]])</f>
        <v>0</v>
      </c>
      <c r="AE1165" s="296">
        <f>IF(NFI_Expiration=1,IF($A1165&lt;VLOOKUP(N$5,NFI,5,0),1,0)*Table_NFI[[#This Row],[Kitchen Set]],Table_NFI[Kitchen Set])</f>
        <v>0</v>
      </c>
      <c r="AF1165" s="296">
        <f>IF(NFI_Expiration=1,IF($A1165&lt;VLOOKUP(O$5,NFI,5,0),1,0)*Table_NFI[[#This Row],[Clothes Kit]],Table_NFI[Clothes Kit])</f>
        <v>0</v>
      </c>
      <c r="AG1165" s="296">
        <f>IF(NFI_Expiration=1,IF($A1165&lt;VLOOKUP(P$5,NFI,5,0),1,0)*Table_NFI[[#This Row],[Plastic Bucket]],Table_NFI[Plastic Bucket])</f>
        <v>0</v>
      </c>
      <c r="AH1165" s="296">
        <f>IF(NFI_Expiration=1,IF($A1165&lt;VLOOKUP(Q$5,NFI,5,0),1,0)*Table_NFI[[#This Row],[Plastic Mat]],Table_NFI[Plastic Mat])*IF(Table_NFI[[#This Row],[Distribution Date]]&gt;"2014-04-01",1,2.5)</f>
        <v>0</v>
      </c>
      <c r="AI1165" s="296">
        <f>IF(NFI_Expiration=1,IF($A1165&lt;VLOOKUP(R$5,NFI,5,0),1,0)*Table_NFI[[#This Row],[Winter Clothes Adult]],Table_NFI[Winter Clothes Adult])</f>
        <v>0</v>
      </c>
      <c r="AJ1165" s="296">
        <f>IF(NFI_Expiration=1,IF($A1165&lt;VLOOKUP(S$5,NFI,5,0),1,0)*Table_NFI[[#This Row],[Winter Clothes Children]],Table_NFI[Winter Clothes Children])</f>
        <v>0</v>
      </c>
      <c r="AK1165" s="296">
        <f>IF(NFI_Expiration=1,IF($A1165&lt;VLOOKUP(T$5,NFI,5,0),1,0)*Table_NFI[[#This Row],[Winter Items Other]],Table_NFI[Winter Items Other])</f>
        <v>0</v>
      </c>
      <c r="AL1165" s="296">
        <f>IF(NFI_Expiration=1,IF($A1165&lt;VLOOKUP(M$5,NFI,5,0),1,0)*Table_NFI[[#This Row],[Winter Blanket]],Table_NFI[[#This Row],[Winter Blanket]])</f>
        <v>0</v>
      </c>
      <c r="AM1165" s="296">
        <f>IF(Table_NFI[[#This Row],[Winter Clothes Adult]]+Table_NFI[[#This Row],[Winter Clothes Children]]+Table_NFI[[#This Row],[Winter Items Other]]+Table_NFI[[#This Row],[Winter Blanket]]&gt;0,1,0)</f>
        <v>0</v>
      </c>
      <c r="AN1165" s="296">
        <f>IF(NFI_Expiration=1,IF($A1165&lt;VLOOKUP(V$5,NFI,5,0),1,0)*Table_NFI[[#This Row],[Jerry Can]],Table_NFI[Jerry Can])</f>
        <v>0</v>
      </c>
      <c r="AO1165" s="296">
        <f>IF(NFI_Expiration=1,IF($A1165&lt;VLOOKUP(V$5,NFI,5,0),1,0)*Table_NFI[[#This Row],[Shelter Tool kit]],Table_NFI[Shelter Tool kit])</f>
        <v>0</v>
      </c>
      <c r="AP1165" s="296">
        <f>IF(NFI_Expiration=1,IF($A1165&lt;VLOOKUP(V$5,NFI,5,0),1,0)*Table_NFI[[#This Row],[Tent]],Table_NFI[Tent])</f>
        <v>0</v>
      </c>
      <c r="AQ1165" s="756" t="str">
        <f>IFERROR(VLOOKUP(Table_NFI[[#This Row],[Camp Name]],CL,2,0),"")</f>
        <v>MMR001CMP001</v>
      </c>
      <c r="AR1165" s="852">
        <f ca="1">IF(Table_NFI[[#This Row],[Pcode]]="","",IF(OFFSET(CampList[Opening Date],MATCH(Table_NFI[[#This Row],[Pcode]],CampList[CP_Pcode],0)-1,0,1,1)&gt;=NFI_Monitor_Date,1,0))</f>
        <v>0</v>
      </c>
      <c r="AS1165" s="756" t="str">
        <f>IFERROR(VLOOKUP(Table_NFI[[#This Row],[Camp Name]],CL,3,0),"")</f>
        <v>Open</v>
      </c>
      <c r="AT1165" s="296" t="str">
        <f ca="1">IF(Table_NFI[[#This Row],[Pcode]]="","",OFFSET(CampList[Priority],MATCH(Table_NFI[[#This Row],[Pcode]],CampList[CP_Pcode],0)-1,0,1,1))</f>
        <v>P4</v>
      </c>
      <c r="AU1165" s="757">
        <f>IFERROR(Table_NFI[[#This Row],[Kitchen Set]]/VLOOKUP(Table_NFI[[#This Row],[Camp Name]],CL,4,0),"")</f>
        <v>8.3548347462833277E-4</v>
      </c>
      <c r="AV1165" s="398" t="s">
        <v>1087</v>
      </c>
      <c r="AW1165" s="392"/>
      <c r="AX1165" s="399"/>
      <c r="AY1165" s="399"/>
      <c r="AZ1165" s="399"/>
      <c r="BA1165" s="399"/>
      <c r="BB1165" s="399"/>
      <c r="BC1165" s="399"/>
      <c r="BD1165" s="399"/>
      <c r="BE1165" s="399"/>
      <c r="BF1165" s="399"/>
      <c r="BG1165" s="399"/>
      <c r="BH1165" s="399"/>
      <c r="BI1165" s="399"/>
      <c r="BJ1165" s="399"/>
      <c r="BK1165" s="399"/>
      <c r="BL1165" s="399"/>
      <c r="BM1165" s="399"/>
      <c r="BN1165" s="399"/>
      <c r="BO1165" s="399"/>
      <c r="BP1165" s="399"/>
      <c r="BQ1165" s="399"/>
      <c r="BR1165" s="399"/>
      <c r="BS1165" s="399"/>
      <c r="BT1165" s="399"/>
      <c r="BU1165" s="399"/>
      <c r="BV1165" s="399"/>
      <c r="BW1165" s="399"/>
      <c r="BX1165" s="399"/>
      <c r="BY1165" s="399"/>
      <c r="BZ1165" s="399"/>
      <c r="CA1165" s="399"/>
      <c r="CB1165" s="399"/>
      <c r="CC1165" s="399"/>
      <c r="CD1165" s="399"/>
      <c r="CE1165" s="399"/>
      <c r="CF1165" s="399"/>
      <c r="CG1165" s="399"/>
      <c r="CH1165" s="399"/>
      <c r="CI1165" s="399"/>
      <c r="CJ1165" s="399"/>
      <c r="CK1165" s="399"/>
      <c r="CL1165" s="399"/>
      <c r="CM1165" s="399"/>
      <c r="CN1165" s="399"/>
      <c r="CO1165" s="399"/>
      <c r="CP1165" s="399"/>
      <c r="CQ1165" s="399"/>
      <c r="CR1165" s="399"/>
      <c r="CS1165" s="399"/>
      <c r="CT1165" s="399"/>
      <c r="CU1165" s="399"/>
      <c r="CV1165" s="399"/>
      <c r="CW1165" s="399"/>
      <c r="CX1165" s="399"/>
      <c r="CY1165" s="399"/>
      <c r="CZ1165" s="399"/>
      <c r="DA1165" s="399"/>
      <c r="DB1165" s="399"/>
      <c r="DC1165" s="399"/>
      <c r="DD1165" s="399"/>
      <c r="DE1165" s="399"/>
      <c r="DF1165" s="399"/>
      <c r="DG1165" s="399"/>
      <c r="DH1165" s="399"/>
      <c r="DI1165" s="399"/>
      <c r="DJ1165" s="399"/>
      <c r="DK1165" s="399"/>
      <c r="DL1165" s="399"/>
      <c r="DM1165" s="399"/>
      <c r="DN1165" s="399"/>
      <c r="DO1165" s="399"/>
      <c r="DP1165" s="399"/>
      <c r="DQ1165" s="399"/>
    </row>
    <row r="1166" spans="1:121" x14ac:dyDescent="0.25">
      <c r="A1166" s="754">
        <f t="shared" si="18"/>
        <v>66.86666666666666</v>
      </c>
      <c r="B1166" s="755">
        <v>40850</v>
      </c>
      <c r="C1166" s="398" t="s">
        <v>451</v>
      </c>
      <c r="D1166" s="850" t="s">
        <v>505</v>
      </c>
      <c r="E1166" s="398" t="s">
        <v>380</v>
      </c>
      <c r="F1166" s="851" t="s">
        <v>237</v>
      </c>
      <c r="G1166" s="851" t="s">
        <v>249</v>
      </c>
      <c r="H1166" s="762"/>
      <c r="I1166" s="762"/>
      <c r="J1166" s="762"/>
      <c r="K1166" s="762">
        <v>18</v>
      </c>
      <c r="L1166" s="762">
        <v>8</v>
      </c>
      <c r="M1166" s="762">
        <v>18</v>
      </c>
      <c r="N1166" s="762">
        <v>8</v>
      </c>
      <c r="O1166" s="762">
        <v>8</v>
      </c>
      <c r="P1166" s="762">
        <v>8</v>
      </c>
      <c r="Q1166" s="762">
        <v>8</v>
      </c>
      <c r="R1166" s="762"/>
      <c r="S1166" s="762"/>
      <c r="T1166" s="762"/>
      <c r="U1166" s="762"/>
      <c r="V1166" s="762"/>
      <c r="W1166" s="762"/>
      <c r="X1166" s="762"/>
      <c r="Y1166" s="296">
        <f>IF(NFI_Expiration=1,IF($A1166&lt;VLOOKUP(H$5,NFI,5,0),1,0)*Table_NFI[[#This Row],[Hygiene Kit]],Table_NFI[Hygiene Kit])</f>
        <v>0</v>
      </c>
      <c r="Z1166" s="296">
        <f>IF(NFI_Expiration=1,IF($A1166&lt;VLOOKUP(I$5,NFI,5,0),1,0)*Table_NFI[[#This Row],[NFI Core Kit]],Table_NFI[NFI Core Kit])</f>
        <v>0</v>
      </c>
      <c r="AA1166" s="296">
        <f>IF(NFI_Expiration=1,IF($A1166&lt;VLOOKUP(J$5,NFI,5,0),1,0)*Table_NFI[[#This Row],[Sanitary Kit]],Table_NFI[Sanitary Kit])</f>
        <v>0</v>
      </c>
      <c r="AB1166" s="296">
        <f>IF(NFI_Expiration=1,IF($A1166&lt;VLOOKUP(K$5,NFI,5,0),1,0)*Table_NFI[[#This Row],[Mosquito net]],Table_NFI[Mosquito net])</f>
        <v>0</v>
      </c>
      <c r="AC1166" s="296">
        <f>IF(NFI_Expiration=1,IF($A1166&lt;VLOOKUP(L$5,NFI,5,0),1,0)*Table_NFI[[#This Row],[Tarpaulin]],Table_NFI[[#This Row],[Tarpaulin]])</f>
        <v>0</v>
      </c>
      <c r="AD1166" s="296">
        <f>IF(NFI_Expiration=1,IF($A1166&lt;VLOOKUP(M$5,NFI,5,0),1,0)*Table_NFI[[#This Row],[Blanket]],Table_NFI[[#This Row],[Blanket]])</f>
        <v>0</v>
      </c>
      <c r="AE1166" s="296">
        <f>IF(NFI_Expiration=1,IF($A1166&lt;VLOOKUP(N$5,NFI,5,0),1,0)*Table_NFI[[#This Row],[Kitchen Set]],Table_NFI[Kitchen Set])</f>
        <v>0</v>
      </c>
      <c r="AF1166" s="296">
        <f>IF(NFI_Expiration=1,IF($A1166&lt;VLOOKUP(O$5,NFI,5,0),1,0)*Table_NFI[[#This Row],[Clothes Kit]],Table_NFI[Clothes Kit])</f>
        <v>0</v>
      </c>
      <c r="AG1166" s="296">
        <f>IF(NFI_Expiration=1,IF($A1166&lt;VLOOKUP(P$5,NFI,5,0),1,0)*Table_NFI[[#This Row],[Plastic Bucket]],Table_NFI[Plastic Bucket])</f>
        <v>0</v>
      </c>
      <c r="AH1166" s="296">
        <f>IF(NFI_Expiration=1,IF($A1166&lt;VLOOKUP(Q$5,NFI,5,0),1,0)*Table_NFI[[#This Row],[Plastic Mat]],Table_NFI[Plastic Mat])*IF(Table_NFI[[#This Row],[Distribution Date]]&gt;"2014-04-01",1,2.5)</f>
        <v>0</v>
      </c>
      <c r="AI1166" s="296">
        <f>IF(NFI_Expiration=1,IF($A1166&lt;VLOOKUP(R$5,NFI,5,0),1,0)*Table_NFI[[#This Row],[Winter Clothes Adult]],Table_NFI[Winter Clothes Adult])</f>
        <v>0</v>
      </c>
      <c r="AJ1166" s="296">
        <f>IF(NFI_Expiration=1,IF($A1166&lt;VLOOKUP(S$5,NFI,5,0),1,0)*Table_NFI[[#This Row],[Winter Clothes Children]],Table_NFI[Winter Clothes Children])</f>
        <v>0</v>
      </c>
      <c r="AK1166" s="296">
        <f>IF(NFI_Expiration=1,IF($A1166&lt;VLOOKUP(T$5,NFI,5,0),1,0)*Table_NFI[[#This Row],[Winter Items Other]],Table_NFI[Winter Items Other])</f>
        <v>0</v>
      </c>
      <c r="AL1166" s="296">
        <f>IF(NFI_Expiration=1,IF($A1166&lt;VLOOKUP(M$5,NFI,5,0),1,0)*Table_NFI[[#This Row],[Winter Blanket]],Table_NFI[[#This Row],[Winter Blanket]])</f>
        <v>0</v>
      </c>
      <c r="AM1166" s="296">
        <f>IF(Table_NFI[[#This Row],[Winter Clothes Adult]]+Table_NFI[[#This Row],[Winter Clothes Children]]+Table_NFI[[#This Row],[Winter Items Other]]+Table_NFI[[#This Row],[Winter Blanket]]&gt;0,1,0)</f>
        <v>0</v>
      </c>
      <c r="AN1166" s="296">
        <f>IF(NFI_Expiration=1,IF($A1166&lt;VLOOKUP(V$5,NFI,5,0),1,0)*Table_NFI[[#This Row],[Jerry Can]],Table_NFI[Jerry Can])</f>
        <v>0</v>
      </c>
      <c r="AO1166" s="296">
        <f>IF(NFI_Expiration=1,IF($A1166&lt;VLOOKUP(V$5,NFI,5,0),1,0)*Table_NFI[[#This Row],[Shelter Tool kit]],Table_NFI[Shelter Tool kit])</f>
        <v>0</v>
      </c>
      <c r="AP1166" s="296">
        <f>IF(NFI_Expiration=1,IF($A1166&lt;VLOOKUP(V$5,NFI,5,0),1,0)*Table_NFI[[#This Row],[Tent]],Table_NFI[Tent])</f>
        <v>0</v>
      </c>
      <c r="AQ1166" s="756" t="str">
        <f>IFERROR(VLOOKUP(Table_NFI[[#This Row],[Camp Name]],CL,2,0),"")</f>
        <v>MMR001CMP004</v>
      </c>
      <c r="AR1166" s="852">
        <f ca="1">IF(Table_NFI[[#This Row],[Pcode]]="","",IF(OFFSET(CampList[Opening Date],MATCH(Table_NFI[[#This Row],[Pcode]],CampList[CP_Pcode],0)-1,0,1,1)&gt;=NFI_Monitor_Date,1,0))</f>
        <v>0</v>
      </c>
      <c r="AS1166" s="756" t="str">
        <f>IFERROR(VLOOKUP(Table_NFI[[#This Row],[Camp Name]],CL,3,0),"")</f>
        <v>Open</v>
      </c>
      <c r="AT1166" s="296" t="str">
        <f ca="1">IF(Table_NFI[[#This Row],[Pcode]]="","",OFFSET(CampList[Priority],MATCH(Table_NFI[[#This Row],[Pcode]],CampList[CP_Pcode],0)-1,0,1,1))</f>
        <v>P4</v>
      </c>
      <c r="AU1166" s="757">
        <f>IFERROR(Table_NFI[[#This Row],[Kitchen Set]]/VLOOKUP(Table_NFI[[#This Row],[Camp Name]],CL,4,0),"")</f>
        <v>1.962901167926195E-4</v>
      </c>
      <c r="AV1166" s="398" t="s">
        <v>1087</v>
      </c>
      <c r="AW1166" s="946"/>
    </row>
    <row r="1167" spans="1:121" x14ac:dyDescent="0.25">
      <c r="A1167" s="266">
        <f t="shared" si="18"/>
        <v>66.900000000000006</v>
      </c>
      <c r="B1167" s="389">
        <v>40849</v>
      </c>
      <c r="C1167" s="390" t="s">
        <v>451</v>
      </c>
      <c r="D1167" s="391" t="s">
        <v>459</v>
      </c>
      <c r="E1167" s="390" t="s">
        <v>380</v>
      </c>
      <c r="F1167" s="262" t="s">
        <v>237</v>
      </c>
      <c r="G1167" s="262" t="s">
        <v>243</v>
      </c>
      <c r="H1167" s="261"/>
      <c r="I1167" s="261"/>
      <c r="J1167" s="261"/>
      <c r="K1167" s="261">
        <v>0</v>
      </c>
      <c r="L1167" s="261">
        <v>5</v>
      </c>
      <c r="M1167" s="261">
        <v>0</v>
      </c>
      <c r="N1167" s="261">
        <v>5</v>
      </c>
      <c r="O1167" s="261">
        <v>5</v>
      </c>
      <c r="P1167" s="261">
        <v>5</v>
      </c>
      <c r="Q1167" s="261">
        <v>5</v>
      </c>
      <c r="R1167" s="261"/>
      <c r="S1167" s="261"/>
      <c r="T1167" s="261"/>
      <c r="U1167" s="261"/>
      <c r="V1167" s="762"/>
      <c r="W1167" s="762"/>
      <c r="X1167" s="762"/>
      <c r="Y1167" s="264">
        <f>IF(NFI_Expiration=1,IF($A1167&lt;VLOOKUP(H$5,NFI,5,0),1,0)*Table_NFI[[#This Row],[Hygiene Kit]],Table_NFI[Hygiene Kit])</f>
        <v>0</v>
      </c>
      <c r="Z1167" s="264">
        <f>IF(NFI_Expiration=1,IF($A1167&lt;VLOOKUP(I$5,NFI,5,0),1,0)*Table_NFI[[#This Row],[NFI Core Kit]],Table_NFI[NFI Core Kit])</f>
        <v>0</v>
      </c>
      <c r="AA1167" s="264">
        <f>IF(NFI_Expiration=1,IF($A1167&lt;VLOOKUP(J$5,NFI,5,0),1,0)*Table_NFI[[#This Row],[Sanitary Kit]],Table_NFI[Sanitary Kit])</f>
        <v>0</v>
      </c>
      <c r="AB1167" s="264">
        <f>IF(NFI_Expiration=1,IF($A1167&lt;VLOOKUP(K$5,NFI,5,0),1,0)*Table_NFI[[#This Row],[Mosquito net]],Table_NFI[Mosquito net])</f>
        <v>0</v>
      </c>
      <c r="AC1167" s="264">
        <f>IF(NFI_Expiration=1,IF($A1167&lt;VLOOKUP(L$5,NFI,5,0),1,0)*Table_NFI[[#This Row],[Tarpaulin]],Table_NFI[[#This Row],[Tarpaulin]])</f>
        <v>0</v>
      </c>
      <c r="AD1167" s="264">
        <f>IF(NFI_Expiration=1,IF($A1167&lt;VLOOKUP(M$5,NFI,5,0),1,0)*Table_NFI[[#This Row],[Blanket]],Table_NFI[[#This Row],[Blanket]])</f>
        <v>0</v>
      </c>
      <c r="AE1167" s="264">
        <f>IF(NFI_Expiration=1,IF($A1167&lt;VLOOKUP(N$5,NFI,5,0),1,0)*Table_NFI[[#This Row],[Kitchen Set]],Table_NFI[Kitchen Set])</f>
        <v>0</v>
      </c>
      <c r="AF1167" s="264">
        <f>IF(NFI_Expiration=1,IF($A1167&lt;VLOOKUP(O$5,NFI,5,0),1,0)*Table_NFI[[#This Row],[Clothes Kit]],Table_NFI[Clothes Kit])</f>
        <v>0</v>
      </c>
      <c r="AG1167" s="264">
        <f>IF(NFI_Expiration=1,IF($A1167&lt;VLOOKUP(P$5,NFI,5,0),1,0)*Table_NFI[[#This Row],[Plastic Bucket]],Table_NFI[Plastic Bucket])</f>
        <v>0</v>
      </c>
      <c r="AH1167" s="264">
        <f>IF(NFI_Expiration=1,IF($A1167&lt;VLOOKUP(Q$5,NFI,5,0),1,0)*Table_NFI[[#This Row],[Plastic Mat]],Table_NFI[Plastic Mat])*IF(Table_NFI[[#This Row],[Distribution Date]]&gt;"2014-04-01",1,2.5)</f>
        <v>0</v>
      </c>
      <c r="AI1167" s="264">
        <f>IF(NFI_Expiration=1,IF($A1167&lt;VLOOKUP(R$5,NFI,5,0),1,0)*Table_NFI[[#This Row],[Winter Clothes Adult]],Table_NFI[Winter Clothes Adult])</f>
        <v>0</v>
      </c>
      <c r="AJ1167" s="264">
        <f>IF(NFI_Expiration=1,IF($A1167&lt;VLOOKUP(S$5,NFI,5,0),1,0)*Table_NFI[[#This Row],[Winter Clothes Children]],Table_NFI[Winter Clothes Children])</f>
        <v>0</v>
      </c>
      <c r="AK1167" s="264">
        <f>IF(NFI_Expiration=1,IF($A1167&lt;VLOOKUP(T$5,NFI,5,0),1,0)*Table_NFI[[#This Row],[Winter Items Other]],Table_NFI[Winter Items Other])</f>
        <v>0</v>
      </c>
      <c r="AL1167" s="264">
        <f>IF(NFI_Expiration=1,IF($A1167&lt;VLOOKUP(M$5,NFI,5,0),1,0)*Table_NFI[[#This Row],[Winter Blanket]],Table_NFI[[#This Row],[Winter Blanket]])</f>
        <v>0</v>
      </c>
      <c r="AM1167" s="264">
        <f>IF(Table_NFI[[#This Row],[Winter Clothes Adult]]+Table_NFI[[#This Row],[Winter Clothes Children]]+Table_NFI[[#This Row],[Winter Items Other]]+Table_NFI[[#This Row],[Winter Blanket]]&gt;0,1,0)</f>
        <v>0</v>
      </c>
      <c r="AN1167" s="296">
        <f>IF(NFI_Expiration=1,IF($A1167&lt;VLOOKUP(V$5,NFI,5,0),1,0)*Table_NFI[[#This Row],[Jerry Can]],Table_NFI[Jerry Can])</f>
        <v>0</v>
      </c>
      <c r="AO1167" s="296">
        <f>IF(NFI_Expiration=1,IF($A1167&lt;VLOOKUP(V$5,NFI,5,0),1,0)*Table_NFI[[#This Row],[Shelter Tool kit]],Table_NFI[Shelter Tool kit])</f>
        <v>0</v>
      </c>
      <c r="AP1167" s="296">
        <f>IF(NFI_Expiration=1,IF($A1167&lt;VLOOKUP(V$5,NFI,5,0),1,0)*Table_NFI[[#This Row],[Tent]],Table_NFI[Tent])</f>
        <v>0</v>
      </c>
      <c r="AQ1167" s="396" t="str">
        <f>IFERROR(VLOOKUP(Table_NFI[[#This Row],[Camp Name]],CL,2,0),"")</f>
        <v>MMR001CMP012</v>
      </c>
      <c r="AR1167" s="852">
        <f ca="1">IF(Table_NFI[[#This Row],[Pcode]]="","",IF(OFFSET(CampList[Opening Date],MATCH(Table_NFI[[#This Row],[Pcode]],CampList[CP_Pcode],0)-1,0,1,1)&gt;=NFI_Monitor_Date,1,0))</f>
        <v>0</v>
      </c>
      <c r="AS1167" s="396" t="str">
        <f>IFERROR(VLOOKUP(Table_NFI[[#This Row],[Camp Name]],CL,3,0),"")</f>
        <v>Open</v>
      </c>
      <c r="AT1167" s="264" t="str">
        <f ca="1">IF(Table_NFI[[#This Row],[Pcode]]="","",OFFSET(CampList[Priority],MATCH(Table_NFI[[#This Row],[Pcode]],CampList[CP_Pcode],0)-1,0,1,1))</f>
        <v>P4</v>
      </c>
      <c r="AU1167" s="263">
        <f>IFERROR(Table_NFI[[#This Row],[Kitchen Set]]/VLOOKUP(Table_NFI[[#This Row],[Camp Name]],CL,4,0),"")</f>
        <v>1.2286521685710776E-4</v>
      </c>
      <c r="AV1167" s="390" t="s">
        <v>1087</v>
      </c>
      <c r="AW1167" s="392"/>
    </row>
    <row r="1168" spans="1:121" x14ac:dyDescent="0.25">
      <c r="A1168" s="266">
        <f t="shared" si="18"/>
        <v>66.900000000000006</v>
      </c>
      <c r="B1168" s="389">
        <v>40849</v>
      </c>
      <c r="C1168" s="390" t="s">
        <v>451</v>
      </c>
      <c r="D1168" s="391" t="s">
        <v>459</v>
      </c>
      <c r="E1168" s="390" t="s">
        <v>380</v>
      </c>
      <c r="F1168" s="262" t="s">
        <v>237</v>
      </c>
      <c r="G1168" s="262" t="s">
        <v>245</v>
      </c>
      <c r="H1168" s="261"/>
      <c r="I1168" s="261"/>
      <c r="J1168" s="261"/>
      <c r="K1168" s="261">
        <v>0</v>
      </c>
      <c r="L1168" s="261">
        <v>6</v>
      </c>
      <c r="M1168" s="261">
        <v>0</v>
      </c>
      <c r="N1168" s="261">
        <v>6</v>
      </c>
      <c r="O1168" s="261">
        <v>6</v>
      </c>
      <c r="P1168" s="261">
        <v>6</v>
      </c>
      <c r="Q1168" s="261">
        <v>6</v>
      </c>
      <c r="R1168" s="261"/>
      <c r="S1168" s="261"/>
      <c r="T1168" s="261"/>
      <c r="U1168" s="261"/>
      <c r="V1168" s="762"/>
      <c r="W1168" s="762"/>
      <c r="X1168" s="762"/>
      <c r="Y1168" s="264">
        <f>IF(NFI_Expiration=1,IF($A1168&lt;VLOOKUP(H$5,NFI,5,0),1,0)*Table_NFI[[#This Row],[Hygiene Kit]],Table_NFI[Hygiene Kit])</f>
        <v>0</v>
      </c>
      <c r="Z1168" s="264">
        <f>IF(NFI_Expiration=1,IF($A1168&lt;VLOOKUP(I$5,NFI,5,0),1,0)*Table_NFI[[#This Row],[NFI Core Kit]],Table_NFI[NFI Core Kit])</f>
        <v>0</v>
      </c>
      <c r="AA1168" s="264">
        <f>IF(NFI_Expiration=1,IF($A1168&lt;VLOOKUP(J$5,NFI,5,0),1,0)*Table_NFI[[#This Row],[Sanitary Kit]],Table_NFI[Sanitary Kit])</f>
        <v>0</v>
      </c>
      <c r="AB1168" s="264">
        <f>IF(NFI_Expiration=1,IF($A1168&lt;VLOOKUP(K$5,NFI,5,0),1,0)*Table_NFI[[#This Row],[Mosquito net]],Table_NFI[Mosquito net])</f>
        <v>0</v>
      </c>
      <c r="AC1168" s="264">
        <f>IF(NFI_Expiration=1,IF($A1168&lt;VLOOKUP(L$5,NFI,5,0),1,0)*Table_NFI[[#This Row],[Tarpaulin]],Table_NFI[[#This Row],[Tarpaulin]])</f>
        <v>0</v>
      </c>
      <c r="AD1168" s="264">
        <f>IF(NFI_Expiration=1,IF($A1168&lt;VLOOKUP(M$5,NFI,5,0),1,0)*Table_NFI[[#This Row],[Blanket]],Table_NFI[[#This Row],[Blanket]])</f>
        <v>0</v>
      </c>
      <c r="AE1168" s="264">
        <f>IF(NFI_Expiration=1,IF($A1168&lt;VLOOKUP(N$5,NFI,5,0),1,0)*Table_NFI[[#This Row],[Kitchen Set]],Table_NFI[Kitchen Set])</f>
        <v>0</v>
      </c>
      <c r="AF1168" s="264">
        <f>IF(NFI_Expiration=1,IF($A1168&lt;VLOOKUP(O$5,NFI,5,0),1,0)*Table_NFI[[#This Row],[Clothes Kit]],Table_NFI[Clothes Kit])</f>
        <v>0</v>
      </c>
      <c r="AG1168" s="264">
        <f>IF(NFI_Expiration=1,IF($A1168&lt;VLOOKUP(P$5,NFI,5,0),1,0)*Table_NFI[[#This Row],[Plastic Bucket]],Table_NFI[Plastic Bucket])</f>
        <v>0</v>
      </c>
      <c r="AH1168" s="264">
        <f>IF(NFI_Expiration=1,IF($A1168&lt;VLOOKUP(Q$5,NFI,5,0),1,0)*Table_NFI[[#This Row],[Plastic Mat]],Table_NFI[Plastic Mat])*IF(Table_NFI[[#This Row],[Distribution Date]]&gt;"2014-04-01",1,2.5)</f>
        <v>0</v>
      </c>
      <c r="AI1168" s="264">
        <f>IF(NFI_Expiration=1,IF($A1168&lt;VLOOKUP(R$5,NFI,5,0),1,0)*Table_NFI[[#This Row],[Winter Clothes Adult]],Table_NFI[Winter Clothes Adult])</f>
        <v>0</v>
      </c>
      <c r="AJ1168" s="264">
        <f>IF(NFI_Expiration=1,IF($A1168&lt;VLOOKUP(S$5,NFI,5,0),1,0)*Table_NFI[[#This Row],[Winter Clothes Children]],Table_NFI[Winter Clothes Children])</f>
        <v>0</v>
      </c>
      <c r="AK1168" s="264">
        <f>IF(NFI_Expiration=1,IF($A1168&lt;VLOOKUP(T$5,NFI,5,0),1,0)*Table_NFI[[#This Row],[Winter Items Other]],Table_NFI[Winter Items Other])</f>
        <v>0</v>
      </c>
      <c r="AL1168" s="264">
        <f>IF(NFI_Expiration=1,IF($A1168&lt;VLOOKUP(M$5,NFI,5,0),1,0)*Table_NFI[[#This Row],[Winter Blanket]],Table_NFI[[#This Row],[Winter Blanket]])</f>
        <v>0</v>
      </c>
      <c r="AM1168" s="264">
        <f>IF(Table_NFI[[#This Row],[Winter Clothes Adult]]+Table_NFI[[#This Row],[Winter Clothes Children]]+Table_NFI[[#This Row],[Winter Items Other]]+Table_NFI[[#This Row],[Winter Blanket]]&gt;0,1,0)</f>
        <v>0</v>
      </c>
      <c r="AN1168" s="296">
        <f>IF(NFI_Expiration=1,IF($A1168&lt;VLOOKUP(V$5,NFI,5,0),1,0)*Table_NFI[[#This Row],[Jerry Can]],Table_NFI[Jerry Can])</f>
        <v>0</v>
      </c>
      <c r="AO1168" s="761">
        <f>IF(NFI_Expiration=1,IF($A1168&lt;VLOOKUP(V$5,NFI,5,0),1,0)*Table_NFI[[#This Row],[Shelter Tool kit]],Table_NFI[Shelter Tool kit])</f>
        <v>0</v>
      </c>
      <c r="AP1168" s="761">
        <f>IF(NFI_Expiration=1,IF($A1168&lt;VLOOKUP(V$5,NFI,5,0),1,0)*Table_NFI[[#This Row],[Tent]],Table_NFI[Tent])</f>
        <v>0</v>
      </c>
      <c r="AQ1168" s="396" t="str">
        <f>IFERROR(VLOOKUP(Table_NFI[[#This Row],[Camp Name]],CL,2,0),"")</f>
        <v>MMR001CMP010</v>
      </c>
      <c r="AR1168" s="852">
        <f ca="1">IF(Table_NFI[[#This Row],[Pcode]]="","",IF(OFFSET(CampList[Opening Date],MATCH(Table_NFI[[#This Row],[Pcode]],CampList[CP_Pcode],0)-1,0,1,1)&gt;=NFI_Monitor_Date,1,0))</f>
        <v>0</v>
      </c>
      <c r="AS1168" s="396" t="str">
        <f>IFERROR(VLOOKUP(Table_NFI[[#This Row],[Camp Name]],CL,3,0),"")</f>
        <v>Open</v>
      </c>
      <c r="AT1168" s="264" t="str">
        <f ca="1">IF(Table_NFI[[#This Row],[Pcode]]="","",OFFSET(CampList[Priority],MATCH(Table_NFI[[#This Row],[Pcode]],CampList[CP_Pcode],0)-1,0,1,1))</f>
        <v>P4</v>
      </c>
      <c r="AU1168" s="263">
        <f>IFERROR(Table_NFI[[#This Row],[Kitchen Set]]/VLOOKUP(Table_NFI[[#This Row],[Camp Name]],CL,4,0),"")</f>
        <v>1.474382602285293E-4</v>
      </c>
      <c r="AV1168" s="390" t="s">
        <v>1087</v>
      </c>
      <c r="AW1168" s="392"/>
    </row>
    <row r="1169" spans="1:49" x14ac:dyDescent="0.25">
      <c r="A1169" s="266">
        <f t="shared" si="18"/>
        <v>66.900000000000006</v>
      </c>
      <c r="B1169" s="389">
        <v>40849</v>
      </c>
      <c r="C1169" s="390" t="s">
        <v>451</v>
      </c>
      <c r="D1169" s="391" t="s">
        <v>459</v>
      </c>
      <c r="E1169" s="390" t="s">
        <v>380</v>
      </c>
      <c r="F1169" s="262" t="s">
        <v>237</v>
      </c>
      <c r="G1169" s="262" t="s">
        <v>247</v>
      </c>
      <c r="H1169" s="261"/>
      <c r="I1169" s="261"/>
      <c r="J1169" s="261"/>
      <c r="K1169" s="261">
        <v>39</v>
      </c>
      <c r="L1169" s="261">
        <v>8</v>
      </c>
      <c r="M1169" s="261">
        <v>39</v>
      </c>
      <c r="N1169" s="261">
        <v>8</v>
      </c>
      <c r="O1169" s="261">
        <v>8</v>
      </c>
      <c r="P1169" s="261">
        <v>8</v>
      </c>
      <c r="Q1169" s="261">
        <v>8</v>
      </c>
      <c r="R1169" s="261"/>
      <c r="S1169" s="261"/>
      <c r="T1169" s="261"/>
      <c r="U1169" s="261"/>
      <c r="V1169" s="762"/>
      <c r="W1169" s="762"/>
      <c r="X1169" s="762"/>
      <c r="Y1169" s="264">
        <f>IF(NFI_Expiration=1,IF($A1169&lt;VLOOKUP(H$5,NFI,5,0),1,0)*Table_NFI[[#This Row],[Hygiene Kit]],Table_NFI[Hygiene Kit])</f>
        <v>0</v>
      </c>
      <c r="Z1169" s="264">
        <f>IF(NFI_Expiration=1,IF($A1169&lt;VLOOKUP(I$5,NFI,5,0),1,0)*Table_NFI[[#This Row],[NFI Core Kit]],Table_NFI[NFI Core Kit])</f>
        <v>0</v>
      </c>
      <c r="AA1169" s="264">
        <f>IF(NFI_Expiration=1,IF($A1169&lt;VLOOKUP(J$5,NFI,5,0),1,0)*Table_NFI[[#This Row],[Sanitary Kit]],Table_NFI[Sanitary Kit])</f>
        <v>0</v>
      </c>
      <c r="AB1169" s="264">
        <f>IF(NFI_Expiration=1,IF($A1169&lt;VLOOKUP(K$5,NFI,5,0),1,0)*Table_NFI[[#This Row],[Mosquito net]],Table_NFI[Mosquito net])</f>
        <v>0</v>
      </c>
      <c r="AC1169" s="264">
        <f>IF(NFI_Expiration=1,IF($A1169&lt;VLOOKUP(L$5,NFI,5,0),1,0)*Table_NFI[[#This Row],[Tarpaulin]],Table_NFI[[#This Row],[Tarpaulin]])</f>
        <v>0</v>
      </c>
      <c r="AD1169" s="264">
        <f>IF(NFI_Expiration=1,IF($A1169&lt;VLOOKUP(M$5,NFI,5,0),1,0)*Table_NFI[[#This Row],[Blanket]],Table_NFI[[#This Row],[Blanket]])</f>
        <v>0</v>
      </c>
      <c r="AE1169" s="264">
        <f>IF(NFI_Expiration=1,IF($A1169&lt;VLOOKUP(N$5,NFI,5,0),1,0)*Table_NFI[[#This Row],[Kitchen Set]],Table_NFI[Kitchen Set])</f>
        <v>0</v>
      </c>
      <c r="AF1169" s="264">
        <f>IF(NFI_Expiration=1,IF($A1169&lt;VLOOKUP(O$5,NFI,5,0),1,0)*Table_NFI[[#This Row],[Clothes Kit]],Table_NFI[Clothes Kit])</f>
        <v>0</v>
      </c>
      <c r="AG1169" s="264">
        <f>IF(NFI_Expiration=1,IF($A1169&lt;VLOOKUP(P$5,NFI,5,0),1,0)*Table_NFI[[#This Row],[Plastic Bucket]],Table_NFI[Plastic Bucket])</f>
        <v>0</v>
      </c>
      <c r="AH1169" s="264">
        <f>IF(NFI_Expiration=1,IF($A1169&lt;VLOOKUP(Q$5,NFI,5,0),1,0)*Table_NFI[[#This Row],[Plastic Mat]],Table_NFI[Plastic Mat])*IF(Table_NFI[[#This Row],[Distribution Date]]&gt;"2014-04-01",1,2.5)</f>
        <v>0</v>
      </c>
      <c r="AI1169" s="264">
        <f>IF(NFI_Expiration=1,IF($A1169&lt;VLOOKUP(R$5,NFI,5,0),1,0)*Table_NFI[[#This Row],[Winter Clothes Adult]],Table_NFI[Winter Clothes Adult])</f>
        <v>0</v>
      </c>
      <c r="AJ1169" s="264">
        <f>IF(NFI_Expiration=1,IF($A1169&lt;VLOOKUP(S$5,NFI,5,0),1,0)*Table_NFI[[#This Row],[Winter Clothes Children]],Table_NFI[Winter Clothes Children])</f>
        <v>0</v>
      </c>
      <c r="AK1169" s="264">
        <f>IF(NFI_Expiration=1,IF($A1169&lt;VLOOKUP(T$5,NFI,5,0),1,0)*Table_NFI[[#This Row],[Winter Items Other]],Table_NFI[Winter Items Other])</f>
        <v>0</v>
      </c>
      <c r="AL1169" s="264">
        <f>IF(NFI_Expiration=1,IF($A1169&lt;VLOOKUP(M$5,NFI,5,0),1,0)*Table_NFI[[#This Row],[Winter Blanket]],Table_NFI[[#This Row],[Winter Blanket]])</f>
        <v>0</v>
      </c>
      <c r="AM1169" s="264">
        <f>IF(Table_NFI[[#This Row],[Winter Clothes Adult]]+Table_NFI[[#This Row],[Winter Clothes Children]]+Table_NFI[[#This Row],[Winter Items Other]]+Table_NFI[[#This Row],[Winter Blanket]]&gt;0,1,0)</f>
        <v>0</v>
      </c>
      <c r="AN1169" s="296">
        <f>IF(NFI_Expiration=1,IF($A1169&lt;VLOOKUP(V$5,NFI,5,0),1,0)*Table_NFI[[#This Row],[Jerry Can]],Table_NFI[Jerry Can])</f>
        <v>0</v>
      </c>
      <c r="AO1169" s="761">
        <f>IF(NFI_Expiration=1,IF($A1169&lt;VLOOKUP(V$5,NFI,5,0),1,0)*Table_NFI[[#This Row],[Shelter Tool kit]],Table_NFI[Shelter Tool kit])</f>
        <v>0</v>
      </c>
      <c r="AP1169" s="761">
        <f>IF(NFI_Expiration=1,IF($A1169&lt;VLOOKUP(V$5,NFI,5,0),1,0)*Table_NFI[[#This Row],[Tent]],Table_NFI[Tent])</f>
        <v>0</v>
      </c>
      <c r="AQ1169" s="396" t="str">
        <f>IFERROR(VLOOKUP(Table_NFI[[#This Row],[Camp Name]],CL,2,0),"")</f>
        <v>MMR001CMP011</v>
      </c>
      <c r="AR1169" s="852">
        <f ca="1">IF(Table_NFI[[#This Row],[Pcode]]="","",IF(OFFSET(CampList[Opening Date],MATCH(Table_NFI[[#This Row],[Pcode]],CampList[CP_Pcode],0)-1,0,1,1)&gt;=NFI_Monitor_Date,1,0))</f>
        <v>0</v>
      </c>
      <c r="AS1169" s="396" t="str">
        <f>IFERROR(VLOOKUP(Table_NFI[[#This Row],[Camp Name]],CL,3,0),"")</f>
        <v>Open</v>
      </c>
      <c r="AT1169" s="264" t="str">
        <f ca="1">IF(Table_NFI[[#This Row],[Pcode]]="","",OFFSET(CampList[Priority],MATCH(Table_NFI[[#This Row],[Pcode]],CampList[CP_Pcode],0)-1,0,1,1))</f>
        <v>P4</v>
      </c>
      <c r="AU1169" s="263">
        <f>IFERROR(Table_NFI[[#This Row],[Kitchen Set]]/VLOOKUP(Table_NFI[[#This Row],[Camp Name]],CL,4,0),"")</f>
        <v>1.965843469713724E-4</v>
      </c>
      <c r="AV1169" s="390" t="s">
        <v>1087</v>
      </c>
      <c r="AW1169" s="392"/>
    </row>
    <row r="1170" spans="1:49" x14ac:dyDescent="0.25">
      <c r="A1170" s="266">
        <f t="shared" si="18"/>
        <v>66.900000000000006</v>
      </c>
      <c r="B1170" s="389">
        <v>40849</v>
      </c>
      <c r="C1170" s="390" t="s">
        <v>451</v>
      </c>
      <c r="D1170" s="391" t="s">
        <v>459</v>
      </c>
      <c r="E1170" s="390" t="s">
        <v>380</v>
      </c>
      <c r="F1170" s="262" t="s">
        <v>237</v>
      </c>
      <c r="G1170" s="262" t="s">
        <v>261</v>
      </c>
      <c r="H1170" s="261"/>
      <c r="I1170" s="261"/>
      <c r="J1170" s="261"/>
      <c r="K1170" s="261">
        <v>112</v>
      </c>
      <c r="L1170" s="261">
        <v>68</v>
      </c>
      <c r="M1170" s="261">
        <v>112</v>
      </c>
      <c r="N1170" s="261">
        <v>68</v>
      </c>
      <c r="O1170" s="261">
        <v>68</v>
      </c>
      <c r="P1170" s="261">
        <v>68</v>
      </c>
      <c r="Q1170" s="261">
        <v>68</v>
      </c>
      <c r="R1170" s="261"/>
      <c r="S1170" s="261"/>
      <c r="T1170" s="261"/>
      <c r="U1170" s="261"/>
      <c r="V1170" s="762"/>
      <c r="W1170" s="762"/>
      <c r="X1170" s="762"/>
      <c r="Y1170" s="264">
        <f>IF(NFI_Expiration=1,IF($A1170&lt;VLOOKUP(H$5,NFI,5,0),1,0)*Table_NFI[[#This Row],[Hygiene Kit]],Table_NFI[Hygiene Kit])</f>
        <v>0</v>
      </c>
      <c r="Z1170" s="264">
        <f>IF(NFI_Expiration=1,IF($A1170&lt;VLOOKUP(I$5,NFI,5,0),1,0)*Table_NFI[[#This Row],[NFI Core Kit]],Table_NFI[NFI Core Kit])</f>
        <v>0</v>
      </c>
      <c r="AA1170" s="264">
        <f>IF(NFI_Expiration=1,IF($A1170&lt;VLOOKUP(J$5,NFI,5,0),1,0)*Table_NFI[[#This Row],[Sanitary Kit]],Table_NFI[Sanitary Kit])</f>
        <v>0</v>
      </c>
      <c r="AB1170" s="264">
        <f>IF(NFI_Expiration=1,IF($A1170&lt;VLOOKUP(K$5,NFI,5,0),1,0)*Table_NFI[[#This Row],[Mosquito net]],Table_NFI[Mosquito net])</f>
        <v>0</v>
      </c>
      <c r="AC1170" s="264">
        <f>IF(NFI_Expiration=1,IF($A1170&lt;VLOOKUP(L$5,NFI,5,0),1,0)*Table_NFI[[#This Row],[Tarpaulin]],Table_NFI[[#This Row],[Tarpaulin]])</f>
        <v>0</v>
      </c>
      <c r="AD1170" s="264">
        <f>IF(NFI_Expiration=1,IF($A1170&lt;VLOOKUP(M$5,NFI,5,0),1,0)*Table_NFI[[#This Row],[Blanket]],Table_NFI[[#This Row],[Blanket]])</f>
        <v>0</v>
      </c>
      <c r="AE1170" s="264">
        <f>IF(NFI_Expiration=1,IF($A1170&lt;VLOOKUP(N$5,NFI,5,0),1,0)*Table_NFI[[#This Row],[Kitchen Set]],Table_NFI[Kitchen Set])</f>
        <v>0</v>
      </c>
      <c r="AF1170" s="264">
        <f>IF(NFI_Expiration=1,IF($A1170&lt;VLOOKUP(O$5,NFI,5,0),1,0)*Table_NFI[[#This Row],[Clothes Kit]],Table_NFI[Clothes Kit])</f>
        <v>0</v>
      </c>
      <c r="AG1170" s="264">
        <f>IF(NFI_Expiration=1,IF($A1170&lt;VLOOKUP(P$5,NFI,5,0),1,0)*Table_NFI[[#This Row],[Plastic Bucket]],Table_NFI[Plastic Bucket])</f>
        <v>0</v>
      </c>
      <c r="AH1170" s="264">
        <f>IF(NFI_Expiration=1,IF($A1170&lt;VLOOKUP(Q$5,NFI,5,0),1,0)*Table_NFI[[#This Row],[Plastic Mat]],Table_NFI[Plastic Mat])*IF(Table_NFI[[#This Row],[Distribution Date]]&gt;"2014-04-01",1,2.5)</f>
        <v>0</v>
      </c>
      <c r="AI1170" s="264">
        <f>IF(NFI_Expiration=1,IF($A1170&lt;VLOOKUP(R$5,NFI,5,0),1,0)*Table_NFI[[#This Row],[Winter Clothes Adult]],Table_NFI[Winter Clothes Adult])</f>
        <v>0</v>
      </c>
      <c r="AJ1170" s="264">
        <f>IF(NFI_Expiration=1,IF($A1170&lt;VLOOKUP(S$5,NFI,5,0),1,0)*Table_NFI[[#This Row],[Winter Clothes Children]],Table_NFI[Winter Clothes Children])</f>
        <v>0</v>
      </c>
      <c r="AK1170" s="264">
        <f>IF(NFI_Expiration=1,IF($A1170&lt;VLOOKUP(T$5,NFI,5,0),1,0)*Table_NFI[[#This Row],[Winter Items Other]],Table_NFI[Winter Items Other])</f>
        <v>0</v>
      </c>
      <c r="AL1170" s="264">
        <f>IF(NFI_Expiration=1,IF($A1170&lt;VLOOKUP(M$5,NFI,5,0),1,0)*Table_NFI[[#This Row],[Winter Blanket]],Table_NFI[[#This Row],[Winter Blanket]])</f>
        <v>0</v>
      </c>
      <c r="AM1170" s="264">
        <f>IF(Table_NFI[[#This Row],[Winter Clothes Adult]]+Table_NFI[[#This Row],[Winter Clothes Children]]+Table_NFI[[#This Row],[Winter Items Other]]+Table_NFI[[#This Row],[Winter Blanket]]&gt;0,1,0)</f>
        <v>0</v>
      </c>
      <c r="AN1170" s="296">
        <f>IF(NFI_Expiration=1,IF($A1170&lt;VLOOKUP(V$5,NFI,5,0),1,0)*Table_NFI[[#This Row],[Jerry Can]],Table_NFI[Jerry Can])</f>
        <v>0</v>
      </c>
      <c r="AO1170" s="761">
        <f>IF(NFI_Expiration=1,IF($A1170&lt;VLOOKUP(V$5,NFI,5,0),1,0)*Table_NFI[[#This Row],[Shelter Tool kit]],Table_NFI[Shelter Tool kit])</f>
        <v>0</v>
      </c>
      <c r="AP1170" s="761">
        <f>IF(NFI_Expiration=1,IF($A1170&lt;VLOOKUP(V$5,NFI,5,0),1,0)*Table_NFI[[#This Row],[Tent]],Table_NFI[Tent])</f>
        <v>0</v>
      </c>
      <c r="AQ1170" s="396" t="str">
        <f>IFERROR(VLOOKUP(Table_NFI[[#This Row],[Camp Name]],CL,2,0),"")</f>
        <v>MMR001CMP008</v>
      </c>
      <c r="AR1170" s="852">
        <f ca="1">IF(Table_NFI[[#This Row],[Pcode]]="","",IF(OFFSET(CampList[Opening Date],MATCH(Table_NFI[[#This Row],[Pcode]],CampList[CP_Pcode],0)-1,0,1,1)&gt;=NFI_Monitor_Date,1,0))</f>
        <v>0</v>
      </c>
      <c r="AS1170" s="396" t="str">
        <f>IFERROR(VLOOKUP(Table_NFI[[#This Row],[Camp Name]],CL,3,0),"")</f>
        <v>Open</v>
      </c>
      <c r="AT1170" s="264" t="str">
        <f ca="1">IF(Table_NFI[[#This Row],[Pcode]]="","",OFFSET(CampList[Priority],MATCH(Table_NFI[[#This Row],[Pcode]],CampList[CP_Pcode],0)-1,0,1,1))</f>
        <v>P4</v>
      </c>
      <c r="AU1170" s="263">
        <f>IFERROR(Table_NFI[[#This Row],[Kitchen Set]]/VLOOKUP(Table_NFI[[#This Row],[Camp Name]],CL,4,0),"")</f>
        <v>1.6697360343769184E-3</v>
      </c>
      <c r="AV1170" s="390" t="s">
        <v>1087</v>
      </c>
      <c r="AW1170" s="392"/>
    </row>
    <row r="1171" spans="1:49" x14ac:dyDescent="0.25">
      <c r="A1171" s="754">
        <f t="shared" si="18"/>
        <v>66.900000000000006</v>
      </c>
      <c r="B1171" s="389">
        <v>40849</v>
      </c>
      <c r="C1171" s="390" t="s">
        <v>451</v>
      </c>
      <c r="D1171" s="390" t="s">
        <v>459</v>
      </c>
      <c r="E1171" s="390" t="s">
        <v>380</v>
      </c>
      <c r="F1171" s="262" t="s">
        <v>237</v>
      </c>
      <c r="G1171" s="262" t="s">
        <v>277</v>
      </c>
      <c r="H1171" s="762"/>
      <c r="I1171" s="762"/>
      <c r="J1171" s="762"/>
      <c r="K1171" s="762">
        <v>219</v>
      </c>
      <c r="L1171" s="762">
        <v>117</v>
      </c>
      <c r="M1171" s="762">
        <v>219</v>
      </c>
      <c r="N1171" s="762">
        <v>117</v>
      </c>
      <c r="O1171" s="762">
        <v>117</v>
      </c>
      <c r="P1171" s="762">
        <v>117</v>
      </c>
      <c r="Q1171" s="762">
        <v>117</v>
      </c>
      <c r="R1171" s="762"/>
      <c r="S1171" s="762"/>
      <c r="T1171" s="762"/>
      <c r="U1171" s="762"/>
      <c r="V1171" s="762"/>
      <c r="W1171" s="762"/>
      <c r="X1171" s="762"/>
      <c r="Y1171" s="296">
        <f>IF(NFI_Expiration=1,IF($A1171&lt;VLOOKUP(H$5,NFI,5,0),1,0)*Table_NFI[[#This Row],[Hygiene Kit]],Table_NFI[Hygiene Kit])</f>
        <v>0</v>
      </c>
      <c r="Z1171" s="296">
        <f>IF(NFI_Expiration=1,IF($A1171&lt;VLOOKUP(I$5,NFI,5,0),1,0)*Table_NFI[[#This Row],[NFI Core Kit]],Table_NFI[NFI Core Kit])</f>
        <v>0</v>
      </c>
      <c r="AA1171" s="296">
        <f>IF(NFI_Expiration=1,IF($A1171&lt;VLOOKUP(J$5,NFI,5,0),1,0)*Table_NFI[[#This Row],[Sanitary Kit]],Table_NFI[Sanitary Kit])</f>
        <v>0</v>
      </c>
      <c r="AB1171" s="296">
        <f>IF(NFI_Expiration=1,IF($A1171&lt;VLOOKUP(K$5,NFI,5,0),1,0)*Table_NFI[[#This Row],[Mosquito net]],Table_NFI[Mosquito net])</f>
        <v>0</v>
      </c>
      <c r="AC1171" s="296">
        <f>IF(NFI_Expiration=1,IF($A1171&lt;VLOOKUP(L$5,NFI,5,0),1,0)*Table_NFI[[#This Row],[Tarpaulin]],Table_NFI[[#This Row],[Tarpaulin]])</f>
        <v>0</v>
      </c>
      <c r="AD1171" s="296">
        <f>IF(NFI_Expiration=1,IF($A1171&lt;VLOOKUP(M$5,NFI,5,0),1,0)*Table_NFI[[#This Row],[Blanket]],Table_NFI[[#This Row],[Blanket]])</f>
        <v>0</v>
      </c>
      <c r="AE1171" s="296">
        <f>IF(NFI_Expiration=1,IF($A1171&lt;VLOOKUP(N$5,NFI,5,0),1,0)*Table_NFI[[#This Row],[Kitchen Set]],Table_NFI[Kitchen Set])</f>
        <v>0</v>
      </c>
      <c r="AF1171" s="296">
        <f>IF(NFI_Expiration=1,IF($A1171&lt;VLOOKUP(O$5,NFI,5,0),1,0)*Table_NFI[[#This Row],[Clothes Kit]],Table_NFI[Clothes Kit])</f>
        <v>0</v>
      </c>
      <c r="AG1171" s="296">
        <f>IF(NFI_Expiration=1,IF($A1171&lt;VLOOKUP(P$5,NFI,5,0),1,0)*Table_NFI[[#This Row],[Plastic Bucket]],Table_NFI[Plastic Bucket])</f>
        <v>0</v>
      </c>
      <c r="AH1171" s="296">
        <f>IF(NFI_Expiration=1,IF($A1171&lt;VLOOKUP(Q$5,NFI,5,0),1,0)*Table_NFI[[#This Row],[Plastic Mat]],Table_NFI[Plastic Mat])*IF(Table_NFI[[#This Row],[Distribution Date]]&gt;"2014-04-01",1,2.5)</f>
        <v>0</v>
      </c>
      <c r="AI1171" s="296">
        <f>IF(NFI_Expiration=1,IF($A1171&lt;VLOOKUP(R$5,NFI,5,0),1,0)*Table_NFI[[#This Row],[Winter Clothes Adult]],Table_NFI[Winter Clothes Adult])</f>
        <v>0</v>
      </c>
      <c r="AJ1171" s="296">
        <f>IF(NFI_Expiration=1,IF($A1171&lt;VLOOKUP(S$5,NFI,5,0),1,0)*Table_NFI[[#This Row],[Winter Clothes Children]],Table_NFI[Winter Clothes Children])</f>
        <v>0</v>
      </c>
      <c r="AK1171" s="296">
        <f>IF(NFI_Expiration=1,IF($A1171&lt;VLOOKUP(T$5,NFI,5,0),1,0)*Table_NFI[[#This Row],[Winter Items Other]],Table_NFI[Winter Items Other])</f>
        <v>0</v>
      </c>
      <c r="AL1171" s="296">
        <f>IF(NFI_Expiration=1,IF($A1171&lt;VLOOKUP(M$5,NFI,5,0),1,0)*Table_NFI[[#This Row],[Winter Blanket]],Table_NFI[[#This Row],[Winter Blanket]])</f>
        <v>0</v>
      </c>
      <c r="AM1171" s="296">
        <f>IF(Table_NFI[[#This Row],[Winter Clothes Adult]]+Table_NFI[[#This Row],[Winter Clothes Children]]+Table_NFI[[#This Row],[Winter Items Other]]+Table_NFI[[#This Row],[Winter Blanket]]&gt;0,1,0)</f>
        <v>0</v>
      </c>
      <c r="AN1171" s="296">
        <f>IF(NFI_Expiration=1,IF($A1171&lt;VLOOKUP(V$5,NFI,5,0),1,0)*Table_NFI[[#This Row],[Jerry Can]],Table_NFI[Jerry Can])</f>
        <v>0</v>
      </c>
      <c r="AO1171" s="761">
        <f>IF(NFI_Expiration=1,IF($A1171&lt;VLOOKUP(V$5,NFI,5,0),1,0)*Table_NFI[[#This Row],[Shelter Tool kit]],Table_NFI[Shelter Tool kit])</f>
        <v>0</v>
      </c>
      <c r="AP1171" s="761">
        <f>IF(NFI_Expiration=1,IF($A1171&lt;VLOOKUP(V$5,NFI,5,0),1,0)*Table_NFI[[#This Row],[Tent]],Table_NFI[Tent])</f>
        <v>0</v>
      </c>
      <c r="AQ1171" s="756" t="str">
        <f>IFERROR(VLOOKUP(Table_NFI[[#This Row],[Camp Name]],CL,2,0),"")</f>
        <v>MMR001CMP006</v>
      </c>
      <c r="AR1171" s="852">
        <f ca="1">IF(Table_NFI[[#This Row],[Pcode]]="","",IF(OFFSET(CampList[Opening Date],MATCH(Table_NFI[[#This Row],[Pcode]],CampList[CP_Pcode],0)-1,0,1,1)&gt;=NFI_Monitor_Date,1,0))</f>
        <v>0</v>
      </c>
      <c r="AS1171" s="756" t="str">
        <f>IFERROR(VLOOKUP(Table_NFI[[#This Row],[Camp Name]],CL,3,0),"")</f>
        <v>Open</v>
      </c>
      <c r="AT1171" s="296" t="str">
        <f ca="1">IF(Table_NFI[[#This Row],[Pcode]]="","",OFFSET(CampList[Priority],MATCH(Table_NFI[[#This Row],[Pcode]],CampList[CP_Pcode],0)-1,0,1,1))</f>
        <v>P4</v>
      </c>
      <c r="AU1171" s="757">
        <f>IFERROR(Table_NFI[[#This Row],[Kitchen Set]]/VLOOKUP(Table_NFI[[#This Row],[Camp Name]],CL,4,0),"")</f>
        <v>2.87074295809206E-3</v>
      </c>
      <c r="AV1171" s="398" t="s">
        <v>1087</v>
      </c>
      <c r="AW1171" s="392"/>
    </row>
    <row r="1172" spans="1:49" x14ac:dyDescent="0.25">
      <c r="A1172" s="266">
        <f t="shared" si="18"/>
        <v>66.900000000000006</v>
      </c>
      <c r="B1172" s="389">
        <v>40849</v>
      </c>
      <c r="C1172" s="390" t="s">
        <v>451</v>
      </c>
      <c r="D1172" s="391" t="s">
        <v>459</v>
      </c>
      <c r="E1172" s="390" t="s">
        <v>380</v>
      </c>
      <c r="F1172" s="262" t="s">
        <v>237</v>
      </c>
      <c r="G1172" s="262" t="s">
        <v>279</v>
      </c>
      <c r="H1172" s="261"/>
      <c r="I1172" s="261"/>
      <c r="J1172" s="261"/>
      <c r="K1172" s="261">
        <v>2</v>
      </c>
      <c r="L1172" s="261">
        <v>1</v>
      </c>
      <c r="M1172" s="261">
        <v>2</v>
      </c>
      <c r="N1172" s="261">
        <v>1</v>
      </c>
      <c r="O1172" s="261">
        <v>1</v>
      </c>
      <c r="P1172" s="261">
        <v>1</v>
      </c>
      <c r="Q1172" s="261">
        <v>1</v>
      </c>
      <c r="R1172" s="261"/>
      <c r="S1172" s="261"/>
      <c r="T1172" s="261"/>
      <c r="U1172" s="261"/>
      <c r="V1172" s="762"/>
      <c r="W1172" s="762"/>
      <c r="X1172" s="762"/>
      <c r="Y1172" s="264">
        <f>IF(NFI_Expiration=1,IF($A1172&lt;VLOOKUP(H$5,NFI,5,0),1,0)*Table_NFI[[#This Row],[Hygiene Kit]],Table_NFI[Hygiene Kit])</f>
        <v>0</v>
      </c>
      <c r="Z1172" s="264">
        <f>IF(NFI_Expiration=1,IF($A1172&lt;VLOOKUP(I$5,NFI,5,0),1,0)*Table_NFI[[#This Row],[NFI Core Kit]],Table_NFI[NFI Core Kit])</f>
        <v>0</v>
      </c>
      <c r="AA1172" s="264">
        <f>IF(NFI_Expiration=1,IF($A1172&lt;VLOOKUP(J$5,NFI,5,0),1,0)*Table_NFI[[#This Row],[Sanitary Kit]],Table_NFI[Sanitary Kit])</f>
        <v>0</v>
      </c>
      <c r="AB1172" s="264">
        <f>IF(NFI_Expiration=1,IF($A1172&lt;VLOOKUP(K$5,NFI,5,0),1,0)*Table_NFI[[#This Row],[Mosquito net]],Table_NFI[Mosquito net])</f>
        <v>0</v>
      </c>
      <c r="AC1172" s="264">
        <f>IF(NFI_Expiration=1,IF($A1172&lt;VLOOKUP(L$5,NFI,5,0),1,0)*Table_NFI[[#This Row],[Tarpaulin]],Table_NFI[[#This Row],[Tarpaulin]])</f>
        <v>0</v>
      </c>
      <c r="AD1172" s="264">
        <f>IF(NFI_Expiration=1,IF($A1172&lt;VLOOKUP(M$5,NFI,5,0),1,0)*Table_NFI[[#This Row],[Blanket]],Table_NFI[[#This Row],[Blanket]])</f>
        <v>0</v>
      </c>
      <c r="AE1172" s="264">
        <f>IF(NFI_Expiration=1,IF($A1172&lt;VLOOKUP(N$5,NFI,5,0),1,0)*Table_NFI[[#This Row],[Kitchen Set]],Table_NFI[Kitchen Set])</f>
        <v>0</v>
      </c>
      <c r="AF1172" s="264">
        <f>IF(NFI_Expiration=1,IF($A1172&lt;VLOOKUP(O$5,NFI,5,0),1,0)*Table_NFI[[#This Row],[Clothes Kit]],Table_NFI[Clothes Kit])</f>
        <v>0</v>
      </c>
      <c r="AG1172" s="264">
        <f>IF(NFI_Expiration=1,IF($A1172&lt;VLOOKUP(P$5,NFI,5,0),1,0)*Table_NFI[[#This Row],[Plastic Bucket]],Table_NFI[Plastic Bucket])</f>
        <v>0</v>
      </c>
      <c r="AH1172" s="264">
        <f>IF(NFI_Expiration=1,IF($A1172&lt;VLOOKUP(Q$5,NFI,5,0),1,0)*Table_NFI[[#This Row],[Plastic Mat]],Table_NFI[Plastic Mat])*IF(Table_NFI[[#This Row],[Distribution Date]]&gt;"2014-04-01",1,2.5)</f>
        <v>0</v>
      </c>
      <c r="AI1172" s="264">
        <f>IF(NFI_Expiration=1,IF($A1172&lt;VLOOKUP(R$5,NFI,5,0),1,0)*Table_NFI[[#This Row],[Winter Clothes Adult]],Table_NFI[Winter Clothes Adult])</f>
        <v>0</v>
      </c>
      <c r="AJ1172" s="264">
        <f>IF(NFI_Expiration=1,IF($A1172&lt;VLOOKUP(S$5,NFI,5,0),1,0)*Table_NFI[[#This Row],[Winter Clothes Children]],Table_NFI[Winter Clothes Children])</f>
        <v>0</v>
      </c>
      <c r="AK1172" s="264">
        <f>IF(NFI_Expiration=1,IF($A1172&lt;VLOOKUP(T$5,NFI,5,0),1,0)*Table_NFI[[#This Row],[Winter Items Other]],Table_NFI[Winter Items Other])</f>
        <v>0</v>
      </c>
      <c r="AL1172" s="264">
        <f>IF(NFI_Expiration=1,IF($A1172&lt;VLOOKUP(M$5,NFI,5,0),1,0)*Table_NFI[[#This Row],[Winter Blanket]],Table_NFI[[#This Row],[Winter Blanket]])</f>
        <v>0</v>
      </c>
      <c r="AM1172" s="264">
        <f>IF(Table_NFI[[#This Row],[Winter Clothes Adult]]+Table_NFI[[#This Row],[Winter Clothes Children]]+Table_NFI[[#This Row],[Winter Items Other]]+Table_NFI[[#This Row],[Winter Blanket]]&gt;0,1,0)</f>
        <v>0</v>
      </c>
      <c r="AN1172" s="296">
        <f>IF(NFI_Expiration=1,IF($A1172&lt;VLOOKUP(V$5,NFI,5,0),1,0)*Table_NFI[[#This Row],[Jerry Can]],Table_NFI[Jerry Can])</f>
        <v>0</v>
      </c>
      <c r="AO1172" s="296">
        <f>IF(NFI_Expiration=1,IF($A1172&lt;VLOOKUP(V$5,NFI,5,0),1,0)*Table_NFI[[#This Row],[Shelter Tool kit]],Table_NFI[Shelter Tool kit])</f>
        <v>0</v>
      </c>
      <c r="AP1172" s="296">
        <f>IF(NFI_Expiration=1,IF($A1172&lt;VLOOKUP(V$5,NFI,5,0),1,0)*Table_NFI[[#This Row],[Tent]],Table_NFI[Tent])</f>
        <v>0</v>
      </c>
      <c r="AQ1172" s="396" t="str">
        <f>IFERROR(VLOOKUP(Table_NFI[[#This Row],[Camp Name]],CL,2,0),"")</f>
        <v>MMR001CMP007</v>
      </c>
      <c r="AR1172" s="852">
        <f ca="1">IF(Table_NFI[[#This Row],[Pcode]]="","",IF(OFFSET(CampList[Opening Date],MATCH(Table_NFI[[#This Row],[Pcode]],CampList[CP_Pcode],0)-1,0,1,1)&gt;=NFI_Monitor_Date,1,0))</f>
        <v>0</v>
      </c>
      <c r="AS1172" s="396" t="str">
        <f>IFERROR(VLOOKUP(Table_NFI[[#This Row],[Camp Name]],CL,3,0),"")</f>
        <v>Open</v>
      </c>
      <c r="AT1172" s="264" t="str">
        <f ca="1">IF(Table_NFI[[#This Row],[Pcode]]="","",OFFSET(CampList[Priority],MATCH(Table_NFI[[#This Row],[Pcode]],CampList[CP_Pcode],0)-1,0,1,1))</f>
        <v>P4</v>
      </c>
      <c r="AU1172" s="263">
        <f>IFERROR(Table_NFI[[#This Row],[Kitchen Set]]/VLOOKUP(Table_NFI[[#This Row],[Camp Name]],CL,4,0),"")</f>
        <v>2.4444498765552813E-5</v>
      </c>
      <c r="AV1172" s="390" t="s">
        <v>1087</v>
      </c>
      <c r="AW1172" s="392"/>
    </row>
  </sheetData>
  <sortState ref="A873:G911">
    <sortCondition descending="1" ref="A8"/>
  </sortState>
  <mergeCells count="3">
    <mergeCell ref="A4:C4"/>
    <mergeCell ref="A2:H2"/>
    <mergeCell ref="A3:H3"/>
  </mergeCells>
  <conditionalFormatting sqref="AQ915:AQ937 AQ11:AQ911">
    <cfRule type="containsText" dxfId="786" priority="62" operator="containsText" text="close">
      <formula>NOT(ISERROR(SEARCH("close",AQ11)))</formula>
    </cfRule>
    <cfRule type="containsText" dxfId="785" priority="63" operator="containsText" text="open">
      <formula>NOT(ISERROR(SEARCH("open",AQ11)))</formula>
    </cfRule>
  </conditionalFormatting>
  <conditionalFormatting sqref="AQ912:AQ914">
    <cfRule type="containsText" dxfId="784" priority="58" operator="containsText" text="close">
      <formula>NOT(ISERROR(SEARCH("close",AQ912)))</formula>
    </cfRule>
    <cfRule type="containsText" dxfId="783" priority="59" operator="containsText" text="open">
      <formula>NOT(ISERROR(SEARCH("open",AQ912)))</formula>
    </cfRule>
  </conditionalFormatting>
  <conditionalFormatting sqref="AQ1008:AQ1063">
    <cfRule type="containsText" dxfId="782" priority="20" operator="containsText" text="close">
      <formula>NOT(ISERROR(SEARCH("close",AQ1008)))</formula>
    </cfRule>
    <cfRule type="containsText" dxfId="781" priority="21" operator="containsText" text="open">
      <formula>NOT(ISERROR(SEARCH("open",AQ1008)))</formula>
    </cfRule>
  </conditionalFormatting>
  <conditionalFormatting sqref="AS1:AS1048576">
    <cfRule type="cellIs" dxfId="780" priority="2" operator="equal">
      <formula>"Open"</formula>
    </cfRule>
    <cfRule type="cellIs" dxfId="779" priority="1" operator="equal">
      <formula>"Closed"</formula>
    </cfRule>
  </conditionalFormatting>
  <dataValidations count="3">
    <dataValidation type="list" allowBlank="1" showInputMessage="1" showErrorMessage="1" sqref="G1062:G1159 G1161:G1165 G6:G1060 G1167:G1172">
      <formula1>OFFSET(TCL_T1,MATCH(F6,TCL_T,0)-1,1,COUNTIF(TCL_T,F6),1)</formula1>
    </dataValidation>
    <dataValidation type="list" allowBlank="1" showInputMessage="1" showErrorMessage="1" sqref="E6:E1172">
      <formula1>State</formula1>
    </dataValidation>
    <dataValidation type="list" showInputMessage="1" showErrorMessage="1" sqref="F6:F1172">
      <formula1>INDIRECT(E6)</formula1>
    </dataValidation>
  </dataValidations>
  <printOptions gridLines="1"/>
  <pageMargins left="0.25" right="0.25" top="0.75" bottom="0.75" header="0.3" footer="0.3"/>
  <pageSetup paperSize="9" scale="70"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Q7"/>
  <sheetViews>
    <sheetView topLeftCell="D1" workbookViewId="0">
      <selection activeCell="K2" sqref="K2:K7"/>
    </sheetView>
  </sheetViews>
  <sheetFormatPr defaultRowHeight="15" x14ac:dyDescent="0.25"/>
  <cols>
    <col min="1" max="1" width="9.42578125" customWidth="1"/>
    <col min="2" max="2" width="17" customWidth="1"/>
    <col min="3" max="3" width="13.5703125" customWidth="1"/>
    <col min="4" max="4" width="21.28515625" customWidth="1"/>
    <col min="6" max="6" width="11" customWidth="1"/>
    <col min="7" max="7" width="13.28515625" customWidth="1"/>
    <col min="8" max="8" width="12.28515625" customWidth="1"/>
    <col min="9" max="9" width="12.7109375" customWidth="1"/>
    <col min="10" max="10" width="12.42578125" customWidth="1"/>
    <col min="11" max="11" width="14.28515625" customWidth="1"/>
    <col min="12" max="12" width="10.7109375" customWidth="1"/>
    <col min="13" max="13" width="9.28515625" customWidth="1"/>
    <col min="14" max="14" width="12.28515625" customWidth="1"/>
    <col min="15" max="15" width="11.7109375" customWidth="1"/>
    <col min="16" max="16" width="14.42578125" customWidth="1"/>
    <col min="17" max="17" width="12.140625" customWidth="1"/>
    <col min="18" max="18" width="20.28515625" customWidth="1"/>
    <col min="19" max="19" width="22.7109375" customWidth="1"/>
    <col min="20" max="20" width="18.85546875" customWidth="1"/>
    <col min="21" max="22" width="15.28515625" customWidth="1"/>
    <col min="23" max="23" width="15.5703125" customWidth="1"/>
    <col min="24" max="24" width="15.28515625" customWidth="1"/>
    <col min="25" max="25" width="17.140625" customWidth="1"/>
    <col min="26" max="26" width="13.7109375" customWidth="1"/>
    <col min="27" max="27" width="12.140625" customWidth="1"/>
    <col min="28" max="28" width="15.28515625" customWidth="1"/>
    <col min="29" max="29" width="14.7109375" customWidth="1"/>
    <col min="30" max="30" width="17.7109375" customWidth="1"/>
    <col min="31" max="31" width="15.42578125" customWidth="1"/>
    <col min="32" max="32" width="23.140625" customWidth="1"/>
    <col min="33" max="33" width="25.5703125" customWidth="1"/>
    <col min="34" max="34" width="21.7109375" customWidth="1"/>
    <col min="35" max="35" width="18.28515625" customWidth="1"/>
    <col min="38" max="38" width="14.5703125" customWidth="1"/>
    <col min="40" max="40" width="9" customWidth="1"/>
    <col min="41" max="41" width="10.7109375" customWidth="1"/>
    <col min="42" max="42" width="20" customWidth="1"/>
    <col min="43" max="43" width="11.28515625" customWidth="1"/>
  </cols>
  <sheetData>
    <row r="1" spans="1:43" x14ac:dyDescent="0.25">
      <c r="A1" t="s">
        <v>438</v>
      </c>
      <c r="B1" t="s">
        <v>412</v>
      </c>
      <c r="C1" t="s">
        <v>402</v>
      </c>
      <c r="D1" t="s">
        <v>413</v>
      </c>
      <c r="E1" t="s">
        <v>395</v>
      </c>
      <c r="F1" t="s">
        <v>0</v>
      </c>
      <c r="G1" t="s">
        <v>394</v>
      </c>
      <c r="H1" t="s">
        <v>454</v>
      </c>
      <c r="I1" t="s">
        <v>404</v>
      </c>
      <c r="J1" t="s">
        <v>455</v>
      </c>
      <c r="K1" t="s">
        <v>594</v>
      </c>
      <c r="L1" t="s">
        <v>456</v>
      </c>
      <c r="M1" t="s">
        <v>434</v>
      </c>
      <c r="N1" t="s">
        <v>435</v>
      </c>
      <c r="O1" t="s">
        <v>1207</v>
      </c>
      <c r="P1" t="s">
        <v>576</v>
      </c>
      <c r="Q1" t="s">
        <v>577</v>
      </c>
      <c r="R1" t="s">
        <v>986</v>
      </c>
      <c r="S1" t="s">
        <v>990</v>
      </c>
      <c r="T1" t="s">
        <v>994</v>
      </c>
      <c r="U1" t="s">
        <v>1106</v>
      </c>
      <c r="V1" t="s">
        <v>1129</v>
      </c>
      <c r="W1" t="s">
        <v>1130</v>
      </c>
      <c r="X1" t="s">
        <v>1131</v>
      </c>
      <c r="Y1" t="s">
        <v>1132</v>
      </c>
      <c r="Z1" t="s">
        <v>1133</v>
      </c>
      <c r="AA1" t="s">
        <v>1135</v>
      </c>
      <c r="AB1" t="s">
        <v>1134</v>
      </c>
      <c r="AC1" t="s">
        <v>1208</v>
      </c>
      <c r="AD1" t="s">
        <v>1136</v>
      </c>
      <c r="AE1" t="s">
        <v>1137</v>
      </c>
      <c r="AF1" t="s">
        <v>1138</v>
      </c>
      <c r="AG1" t="s">
        <v>1139</v>
      </c>
      <c r="AH1" t="s">
        <v>1140</v>
      </c>
      <c r="AI1" t="s">
        <v>1141</v>
      </c>
      <c r="AJ1" t="s">
        <v>1144</v>
      </c>
      <c r="AK1" t="s">
        <v>557</v>
      </c>
      <c r="AL1" t="s">
        <v>1128</v>
      </c>
      <c r="AM1" t="s">
        <v>497</v>
      </c>
      <c r="AN1" t="s">
        <v>1075</v>
      </c>
      <c r="AO1" t="s">
        <v>440</v>
      </c>
      <c r="AP1" t="s">
        <v>1086</v>
      </c>
      <c r="AQ1" t="s">
        <v>495</v>
      </c>
    </row>
    <row r="2" spans="1:43" x14ac:dyDescent="0.25">
      <c r="A2">
        <v>15.566666666666666</v>
      </c>
      <c r="B2" s="136">
        <v>41750</v>
      </c>
      <c r="C2" t="s">
        <v>451</v>
      </c>
      <c r="E2" t="s">
        <v>552</v>
      </c>
      <c r="F2" t="s">
        <v>289</v>
      </c>
      <c r="G2" t="s">
        <v>1051</v>
      </c>
      <c r="K2">
        <v>90</v>
      </c>
      <c r="L2">
        <v>49</v>
      </c>
      <c r="M2">
        <v>98</v>
      </c>
      <c r="N2">
        <v>49</v>
      </c>
      <c r="P2">
        <v>49</v>
      </c>
      <c r="Q2">
        <v>225</v>
      </c>
      <c r="V2">
        <v>0</v>
      </c>
      <c r="W2">
        <v>0</v>
      </c>
      <c r="X2">
        <v>0</v>
      </c>
      <c r="Y2">
        <v>0</v>
      </c>
      <c r="Z2">
        <v>0</v>
      </c>
      <c r="AA2">
        <v>0</v>
      </c>
      <c r="AB2">
        <v>0</v>
      </c>
      <c r="AC2">
        <v>0</v>
      </c>
      <c r="AD2">
        <v>0</v>
      </c>
      <c r="AE2">
        <v>0</v>
      </c>
      <c r="AF2">
        <v>0</v>
      </c>
      <c r="AG2">
        <v>0</v>
      </c>
      <c r="AH2">
        <v>0</v>
      </c>
      <c r="AI2">
        <v>0</v>
      </c>
      <c r="AJ2">
        <v>0</v>
      </c>
      <c r="AK2" t="s">
        <v>1052</v>
      </c>
      <c r="AL2">
        <v>1</v>
      </c>
      <c r="AM2" t="s">
        <v>499</v>
      </c>
      <c r="AN2" t="s">
        <v>1088</v>
      </c>
      <c r="AO2">
        <v>1.1951219512195121</v>
      </c>
    </row>
    <row r="3" spans="1:43" x14ac:dyDescent="0.25">
      <c r="A3">
        <v>15.566666666666666</v>
      </c>
      <c r="B3" s="136">
        <v>41750</v>
      </c>
      <c r="C3" t="s">
        <v>451</v>
      </c>
      <c r="E3" t="s">
        <v>552</v>
      </c>
      <c r="F3" t="s">
        <v>289</v>
      </c>
      <c r="G3" t="s">
        <v>1051</v>
      </c>
      <c r="K3">
        <v>0</v>
      </c>
      <c r="L3">
        <v>1</v>
      </c>
      <c r="M3">
        <v>167</v>
      </c>
      <c r="N3">
        <v>1</v>
      </c>
      <c r="O3">
        <v>0</v>
      </c>
      <c r="P3">
        <v>1</v>
      </c>
      <c r="Q3">
        <v>0</v>
      </c>
      <c r="V3">
        <v>0</v>
      </c>
      <c r="W3">
        <v>0</v>
      </c>
      <c r="X3">
        <v>0</v>
      </c>
      <c r="Y3">
        <v>0</v>
      </c>
      <c r="Z3">
        <v>0</v>
      </c>
      <c r="AA3">
        <v>0</v>
      </c>
      <c r="AB3">
        <v>0</v>
      </c>
      <c r="AC3">
        <v>0</v>
      </c>
      <c r="AD3">
        <v>0</v>
      </c>
      <c r="AE3">
        <v>0</v>
      </c>
      <c r="AF3">
        <v>0</v>
      </c>
      <c r="AG3">
        <v>0</v>
      </c>
      <c r="AH3">
        <v>0</v>
      </c>
      <c r="AI3">
        <v>0</v>
      </c>
      <c r="AJ3">
        <v>0</v>
      </c>
      <c r="AK3" t="s">
        <v>1052</v>
      </c>
      <c r="AL3">
        <v>1</v>
      </c>
      <c r="AM3" t="s">
        <v>499</v>
      </c>
      <c r="AN3" t="s">
        <v>1088</v>
      </c>
      <c r="AO3">
        <v>2.4390243902439025E-2</v>
      </c>
      <c r="AQ3" t="s">
        <v>1221</v>
      </c>
    </row>
    <row r="4" spans="1:43" x14ac:dyDescent="0.25">
      <c r="A4">
        <v>14.866666666666667</v>
      </c>
      <c r="B4" s="136">
        <v>41771</v>
      </c>
      <c r="C4" t="s">
        <v>451</v>
      </c>
      <c r="E4" t="s">
        <v>552</v>
      </c>
      <c r="F4" t="s">
        <v>230</v>
      </c>
      <c r="G4" t="s">
        <v>1059</v>
      </c>
      <c r="K4">
        <v>82</v>
      </c>
      <c r="L4">
        <v>41</v>
      </c>
      <c r="M4">
        <v>82</v>
      </c>
      <c r="N4">
        <v>41</v>
      </c>
      <c r="P4">
        <v>41</v>
      </c>
      <c r="Q4">
        <v>205</v>
      </c>
      <c r="V4">
        <v>0</v>
      </c>
      <c r="W4">
        <v>0</v>
      </c>
      <c r="X4">
        <v>0</v>
      </c>
      <c r="Y4">
        <v>0</v>
      </c>
      <c r="Z4">
        <v>0</v>
      </c>
      <c r="AA4">
        <v>0</v>
      </c>
      <c r="AB4">
        <v>0</v>
      </c>
      <c r="AC4">
        <v>0</v>
      </c>
      <c r="AD4">
        <v>0</v>
      </c>
      <c r="AE4">
        <v>0</v>
      </c>
      <c r="AF4">
        <v>0</v>
      </c>
      <c r="AG4">
        <v>0</v>
      </c>
      <c r="AH4">
        <v>0</v>
      </c>
      <c r="AI4">
        <v>0</v>
      </c>
      <c r="AJ4">
        <v>0</v>
      </c>
      <c r="AK4" t="s">
        <v>1060</v>
      </c>
      <c r="AL4">
        <v>1</v>
      </c>
      <c r="AM4" t="s">
        <v>499</v>
      </c>
      <c r="AN4" t="s">
        <v>1088</v>
      </c>
      <c r="AO4">
        <v>1.3666666666666667</v>
      </c>
    </row>
    <row r="5" spans="1:43" x14ac:dyDescent="0.25">
      <c r="A5">
        <v>14.866666666666667</v>
      </c>
      <c r="B5" s="136">
        <v>41771</v>
      </c>
      <c r="C5" t="s">
        <v>451</v>
      </c>
      <c r="E5" t="s">
        <v>552</v>
      </c>
      <c r="F5" t="s">
        <v>230</v>
      </c>
      <c r="G5" t="s">
        <v>1059</v>
      </c>
      <c r="K5">
        <v>68</v>
      </c>
      <c r="L5">
        <v>9</v>
      </c>
      <c r="M5">
        <v>118</v>
      </c>
      <c r="N5">
        <v>9</v>
      </c>
      <c r="O5">
        <v>0</v>
      </c>
      <c r="P5">
        <v>9</v>
      </c>
      <c r="Q5">
        <v>45</v>
      </c>
      <c r="V5">
        <v>0</v>
      </c>
      <c r="W5">
        <v>0</v>
      </c>
      <c r="X5">
        <v>0</v>
      </c>
      <c r="Y5">
        <v>0</v>
      </c>
      <c r="Z5">
        <v>0</v>
      </c>
      <c r="AA5">
        <v>0</v>
      </c>
      <c r="AB5">
        <v>0</v>
      </c>
      <c r="AC5">
        <v>0</v>
      </c>
      <c r="AD5">
        <v>0</v>
      </c>
      <c r="AE5">
        <v>0</v>
      </c>
      <c r="AF5">
        <v>0</v>
      </c>
      <c r="AG5">
        <v>0</v>
      </c>
      <c r="AH5">
        <v>0</v>
      </c>
      <c r="AI5">
        <v>0</v>
      </c>
      <c r="AJ5">
        <v>0</v>
      </c>
      <c r="AK5" t="s">
        <v>1060</v>
      </c>
      <c r="AL5">
        <v>1</v>
      </c>
      <c r="AM5" t="s">
        <v>499</v>
      </c>
      <c r="AN5" t="s">
        <v>1088</v>
      </c>
      <c r="AO5">
        <v>0.3</v>
      </c>
      <c r="AQ5" t="s">
        <v>1221</v>
      </c>
    </row>
    <row r="6" spans="1:43" x14ac:dyDescent="0.25">
      <c r="A6">
        <v>14.9</v>
      </c>
      <c r="B6" s="136">
        <v>41770</v>
      </c>
      <c r="C6" t="s">
        <v>451</v>
      </c>
      <c r="E6" t="s">
        <v>552</v>
      </c>
      <c r="F6" t="s">
        <v>230</v>
      </c>
      <c r="G6" t="s">
        <v>1049</v>
      </c>
      <c r="K6">
        <v>162</v>
      </c>
      <c r="L6">
        <v>81</v>
      </c>
      <c r="M6">
        <v>162</v>
      </c>
      <c r="N6">
        <v>81</v>
      </c>
      <c r="P6">
        <v>81</v>
      </c>
      <c r="Q6">
        <v>405</v>
      </c>
      <c r="V6">
        <v>0</v>
      </c>
      <c r="W6">
        <v>0</v>
      </c>
      <c r="X6">
        <v>0</v>
      </c>
      <c r="Y6">
        <v>0</v>
      </c>
      <c r="Z6">
        <v>0</v>
      </c>
      <c r="AA6">
        <v>0</v>
      </c>
      <c r="AB6">
        <v>0</v>
      </c>
      <c r="AC6">
        <v>0</v>
      </c>
      <c r="AD6">
        <v>0</v>
      </c>
      <c r="AE6">
        <v>0</v>
      </c>
      <c r="AF6">
        <v>0</v>
      </c>
      <c r="AG6">
        <v>0</v>
      </c>
      <c r="AH6">
        <v>0</v>
      </c>
      <c r="AI6">
        <v>0</v>
      </c>
      <c r="AJ6">
        <v>0</v>
      </c>
      <c r="AK6" t="s">
        <v>1050</v>
      </c>
      <c r="AL6">
        <v>1</v>
      </c>
      <c r="AM6" t="s">
        <v>499</v>
      </c>
      <c r="AN6" t="s">
        <v>1088</v>
      </c>
      <c r="AO6">
        <v>1.3278688524590163</v>
      </c>
    </row>
    <row r="7" spans="1:43" x14ac:dyDescent="0.25">
      <c r="A7">
        <v>14.9</v>
      </c>
      <c r="B7" s="136">
        <v>41770</v>
      </c>
      <c r="C7" t="s">
        <v>451</v>
      </c>
      <c r="E7" t="s">
        <v>552</v>
      </c>
      <c r="F7" t="s">
        <v>230</v>
      </c>
      <c r="G7" t="s">
        <v>1049</v>
      </c>
      <c r="K7">
        <v>138</v>
      </c>
      <c r="L7">
        <v>19</v>
      </c>
      <c r="M7">
        <v>238</v>
      </c>
      <c r="N7">
        <v>19</v>
      </c>
      <c r="O7">
        <v>0</v>
      </c>
      <c r="P7">
        <v>19</v>
      </c>
      <c r="Q7">
        <v>95</v>
      </c>
      <c r="V7">
        <v>0</v>
      </c>
      <c r="W7">
        <v>0</v>
      </c>
      <c r="X7">
        <v>0</v>
      </c>
      <c r="Y7">
        <v>0</v>
      </c>
      <c r="Z7">
        <v>0</v>
      </c>
      <c r="AA7">
        <v>0</v>
      </c>
      <c r="AB7">
        <v>0</v>
      </c>
      <c r="AC7">
        <v>0</v>
      </c>
      <c r="AD7">
        <v>0</v>
      </c>
      <c r="AE7">
        <v>0</v>
      </c>
      <c r="AF7">
        <v>0</v>
      </c>
      <c r="AG7">
        <v>0</v>
      </c>
      <c r="AH7">
        <v>0</v>
      </c>
      <c r="AI7">
        <v>0</v>
      </c>
      <c r="AJ7">
        <v>0</v>
      </c>
      <c r="AK7" t="s">
        <v>1050</v>
      </c>
      <c r="AL7">
        <v>1</v>
      </c>
      <c r="AM7" t="s">
        <v>499</v>
      </c>
      <c r="AN7" t="s">
        <v>1088</v>
      </c>
      <c r="AO7">
        <v>0.31147540983606559</v>
      </c>
      <c r="AQ7" t="s">
        <v>1221</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pageSetUpPr fitToPage="1"/>
  </sheetPr>
  <dimension ref="A1:BO80"/>
  <sheetViews>
    <sheetView showZeros="0" zoomScale="85" zoomScaleNormal="85" workbookViewId="0">
      <pane ySplit="2" topLeftCell="A3" activePane="bottomLeft" state="frozen"/>
      <selection activeCell="AS915" sqref="AS915"/>
      <selection pane="bottomLeft" activeCell="P26" sqref="P26"/>
    </sheetView>
  </sheetViews>
  <sheetFormatPr defaultRowHeight="15" x14ac:dyDescent="0.25"/>
  <cols>
    <col min="1" max="1" width="14.140625" customWidth="1"/>
    <col min="2" max="2" width="9.28515625" customWidth="1"/>
    <col min="3" max="3" width="8" customWidth="1"/>
    <col min="4" max="4" width="11" customWidth="1"/>
    <col min="5" max="5" width="13.7109375" customWidth="1"/>
    <col min="6" max="6" width="11.140625" customWidth="1"/>
    <col min="7" max="7" width="14.85546875" customWidth="1"/>
    <col min="8" max="8" width="17.7109375" customWidth="1"/>
    <col min="9" max="13" width="15" customWidth="1"/>
    <col min="14" max="14" width="17" customWidth="1"/>
    <col min="15" max="15" width="17" style="34" customWidth="1"/>
    <col min="16" max="16" width="17.28515625" style="34" bestFit="1" customWidth="1"/>
    <col min="17" max="20" width="10.85546875" style="34" customWidth="1"/>
    <col min="21" max="21" width="14.7109375" style="34" customWidth="1"/>
    <col min="22" max="22" width="11.28515625" style="34" customWidth="1"/>
    <col min="23" max="67" width="9.140625" style="34"/>
  </cols>
  <sheetData>
    <row r="1" spans="1:67" s="1" customFormat="1" ht="36" x14ac:dyDescent="0.25">
      <c r="A1" s="208"/>
      <c r="B1" s="209"/>
      <c r="C1" s="209"/>
      <c r="D1" s="209"/>
      <c r="E1" s="209"/>
      <c r="F1" s="209"/>
      <c r="G1" s="209"/>
      <c r="H1" s="209"/>
      <c r="I1" s="209"/>
      <c r="J1" s="209"/>
      <c r="K1" s="209"/>
      <c r="L1" s="209"/>
      <c r="M1" s="209"/>
      <c r="N1" s="210"/>
      <c r="O1" s="200"/>
      <c r="P1" s="200"/>
      <c r="Q1" s="200"/>
      <c r="R1" s="200"/>
      <c r="S1" s="200"/>
      <c r="T1" s="200"/>
      <c r="U1" s="200"/>
      <c r="V1" s="200"/>
      <c r="W1" s="200"/>
      <c r="X1" s="200"/>
      <c r="Y1" s="200"/>
      <c r="Z1" s="200"/>
      <c r="AA1" s="373"/>
      <c r="AB1" s="373"/>
      <c r="AC1" s="372"/>
      <c r="AD1" s="372"/>
      <c r="AE1" s="372"/>
      <c r="AF1" s="372"/>
      <c r="AG1" s="372"/>
      <c r="AH1" s="372"/>
      <c r="AI1" s="372"/>
      <c r="AJ1" s="372"/>
      <c r="AK1" s="372"/>
      <c r="AL1" s="372"/>
      <c r="AM1" s="372"/>
      <c r="AN1" s="372"/>
      <c r="AO1" s="372"/>
      <c r="AP1" s="372"/>
      <c r="AQ1" s="372"/>
      <c r="AR1" s="372"/>
      <c r="AS1" s="372"/>
      <c r="AT1" s="372"/>
      <c r="AU1" s="372"/>
      <c r="AV1" s="372"/>
      <c r="AW1" s="372"/>
      <c r="AX1" s="372"/>
      <c r="AY1" s="372"/>
      <c r="AZ1" s="372"/>
      <c r="BA1" s="372"/>
      <c r="BB1" s="372"/>
      <c r="BC1" s="372"/>
      <c r="BD1" s="372"/>
      <c r="BE1" s="372"/>
      <c r="BF1" s="372"/>
      <c r="BG1" s="372"/>
      <c r="BH1" s="372"/>
      <c r="BI1" s="372"/>
      <c r="BJ1" s="372"/>
      <c r="BK1" s="372"/>
      <c r="BL1" s="372"/>
      <c r="BM1" s="372"/>
      <c r="BN1" s="372"/>
      <c r="BO1" s="372"/>
    </row>
    <row r="2" spans="1:67" s="1" customFormat="1" ht="33.75" x14ac:dyDescent="0.35">
      <c r="A2" s="961" t="s">
        <v>457</v>
      </c>
      <c r="B2" s="962"/>
      <c r="C2" s="962"/>
      <c r="D2" s="962"/>
      <c r="E2" s="962"/>
      <c r="F2" s="962"/>
      <c r="G2" s="962"/>
      <c r="H2" s="962"/>
      <c r="I2" s="63"/>
      <c r="J2" s="63"/>
      <c r="K2" s="63"/>
      <c r="L2" s="63"/>
      <c r="M2" s="63"/>
      <c r="N2" s="211"/>
      <c r="O2" s="724"/>
      <c r="P2" s="373"/>
      <c r="Q2" s="373"/>
      <c r="R2" s="373"/>
      <c r="S2" s="373"/>
      <c r="T2" s="373"/>
      <c r="U2" s="373"/>
      <c r="V2" s="374"/>
      <c r="W2" s="374"/>
      <c r="X2" s="374"/>
      <c r="Y2" s="374"/>
      <c r="Z2" s="374"/>
      <c r="AA2" s="374"/>
      <c r="AB2" s="374"/>
      <c r="AC2" s="34"/>
      <c r="AD2" s="34"/>
      <c r="AE2" s="34"/>
      <c r="AF2" s="34"/>
      <c r="AG2" s="34"/>
      <c r="AH2" s="34"/>
      <c r="AI2" s="34"/>
      <c r="AJ2" s="34"/>
      <c r="AK2" s="34"/>
      <c r="AL2" s="34"/>
      <c r="AM2" s="34"/>
      <c r="AN2" s="34"/>
      <c r="AO2" s="34"/>
      <c r="AP2" s="34"/>
      <c r="AQ2" s="372"/>
      <c r="AR2" s="372"/>
      <c r="AS2" s="372"/>
      <c r="AT2" s="372"/>
      <c r="AU2" s="372"/>
      <c r="AV2" s="372"/>
      <c r="AW2" s="372"/>
      <c r="AX2" s="372"/>
      <c r="AY2" s="372"/>
      <c r="AZ2" s="372"/>
      <c r="BA2" s="372"/>
      <c r="BB2" s="372"/>
      <c r="BC2" s="372"/>
      <c r="BD2" s="372"/>
      <c r="BE2" s="372"/>
      <c r="BF2" s="372"/>
      <c r="BG2" s="372"/>
      <c r="BH2" s="372"/>
      <c r="BI2" s="372"/>
      <c r="BJ2" s="372"/>
      <c r="BK2" s="372"/>
      <c r="BL2" s="372"/>
      <c r="BM2" s="372"/>
      <c r="BN2" s="372"/>
      <c r="BO2" s="372"/>
    </row>
    <row r="3" spans="1:67" s="15" customFormat="1" ht="33.75" x14ac:dyDescent="0.35">
      <c r="A3" s="963">
        <f>Definition!B23</f>
        <v>42856</v>
      </c>
      <c r="B3" s="964"/>
      <c r="C3" s="964"/>
      <c r="D3" s="964"/>
      <c r="E3" s="964"/>
      <c r="F3" s="964"/>
      <c r="G3" s="964"/>
      <c r="H3" s="964"/>
      <c r="I3" s="212"/>
      <c r="J3" s="212"/>
      <c r="K3" s="212"/>
      <c r="L3" s="212"/>
      <c r="M3" s="212"/>
      <c r="N3" s="213"/>
      <c r="O3" s="724"/>
      <c r="P3" s="373"/>
      <c r="Q3" s="373"/>
      <c r="R3" s="373"/>
      <c r="S3" s="373"/>
      <c r="T3" s="373"/>
      <c r="U3" s="373"/>
      <c r="V3" s="373"/>
      <c r="W3" s="374"/>
      <c r="X3" s="374"/>
      <c r="Y3" s="374"/>
      <c r="Z3" s="374"/>
      <c r="AA3" s="374"/>
      <c r="AB3" s="374"/>
      <c r="AC3" s="34"/>
      <c r="AD3" s="34"/>
      <c r="AE3" s="34"/>
      <c r="AF3" s="34"/>
      <c r="AG3" s="34"/>
      <c r="AH3" s="34"/>
      <c r="AI3" s="34"/>
      <c r="AJ3" s="34"/>
      <c r="AK3" s="34"/>
      <c r="AL3" s="34"/>
      <c r="AM3" s="34"/>
      <c r="AN3" s="34"/>
      <c r="AO3" s="34"/>
      <c r="AP3" s="34"/>
      <c r="AQ3" s="373"/>
      <c r="AR3" s="373"/>
      <c r="AS3" s="373"/>
      <c r="AT3" s="373"/>
      <c r="AU3" s="373"/>
      <c r="AV3" s="373"/>
      <c r="AW3" s="373"/>
      <c r="AX3" s="373"/>
      <c r="AY3" s="373"/>
      <c r="AZ3" s="373"/>
      <c r="BA3" s="373"/>
      <c r="BB3" s="373"/>
      <c r="BC3" s="373"/>
      <c r="BD3" s="373"/>
      <c r="BE3" s="373"/>
      <c r="BF3" s="373"/>
      <c r="BG3" s="373"/>
      <c r="BH3" s="373"/>
      <c r="BI3" s="373"/>
      <c r="BJ3" s="373"/>
      <c r="BK3" s="373"/>
      <c r="BL3" s="373"/>
      <c r="BM3" s="373"/>
      <c r="BN3" s="373"/>
      <c r="BO3" s="373"/>
    </row>
    <row r="4" spans="1:67" s="15" customFormat="1" ht="36" x14ac:dyDescent="0.25">
      <c r="A4" s="46"/>
      <c r="B4" s="784" t="s">
        <v>1711</v>
      </c>
      <c r="C4" s="46"/>
      <c r="D4" s="32"/>
      <c r="E4" s="32"/>
      <c r="F4" s="32"/>
      <c r="G4" s="32"/>
      <c r="H4" s="32"/>
      <c r="I4" s="32"/>
      <c r="J4" s="32"/>
      <c r="L4" s="32"/>
      <c r="M4" s="32"/>
      <c r="N4" s="32"/>
      <c r="O4" s="32"/>
      <c r="P4" s="32"/>
      <c r="Q4" s="32"/>
      <c r="R4" s="32"/>
      <c r="S4" s="373"/>
      <c r="T4" s="32"/>
      <c r="U4" s="32"/>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3"/>
      <c r="BJ4" s="373"/>
      <c r="BK4" s="373"/>
      <c r="BL4" s="373"/>
      <c r="BM4" s="373"/>
      <c r="BN4" s="373"/>
      <c r="BO4" s="373"/>
    </row>
    <row r="5" spans="1:67" s="37" customFormat="1" ht="32.25" thickBot="1" x14ac:dyDescent="0.55000000000000004">
      <c r="A5" s="40" t="s">
        <v>380</v>
      </c>
      <c r="B5" s="42"/>
      <c r="C5" s="42"/>
      <c r="D5" s="42"/>
      <c r="E5" s="42"/>
      <c r="F5" s="42"/>
      <c r="G5" s="42"/>
      <c r="H5" s="42"/>
      <c r="I5" s="42"/>
      <c r="J5" s="42"/>
      <c r="K5" s="42"/>
      <c r="L5" s="42"/>
      <c r="M5" s="42"/>
      <c r="N5" s="42"/>
      <c r="O5" s="725"/>
      <c r="P5" s="725"/>
      <c r="Q5" s="725"/>
      <c r="R5" s="725"/>
      <c r="S5" s="725"/>
      <c r="T5" s="725"/>
      <c r="U5" s="725"/>
      <c r="V5" s="725"/>
      <c r="W5" s="725"/>
      <c r="X5" s="725"/>
      <c r="Y5" s="725"/>
      <c r="Z5" s="725"/>
      <c r="AA5" s="374"/>
      <c r="AB5" s="37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row>
    <row r="6" spans="1:67" ht="25.5" x14ac:dyDescent="0.25">
      <c r="A6" s="997" t="s">
        <v>0</v>
      </c>
      <c r="B6" s="999" t="s">
        <v>425</v>
      </c>
      <c r="C6" s="999" t="s">
        <v>426</v>
      </c>
      <c r="D6" s="230" t="s">
        <v>482</v>
      </c>
      <c r="E6" s="230" t="s">
        <v>456</v>
      </c>
      <c r="F6" s="230" t="s">
        <v>434</v>
      </c>
      <c r="G6" s="230" t="s">
        <v>435</v>
      </c>
      <c r="H6" s="230" t="s">
        <v>483</v>
      </c>
      <c r="I6" s="230" t="s">
        <v>576</v>
      </c>
      <c r="J6" s="230" t="s">
        <v>577</v>
      </c>
      <c r="K6" s="230" t="s">
        <v>986</v>
      </c>
      <c r="L6" s="230" t="s">
        <v>990</v>
      </c>
      <c r="M6" s="230" t="s">
        <v>994</v>
      </c>
      <c r="N6" s="75" t="s">
        <v>994</v>
      </c>
      <c r="O6" s="374"/>
      <c r="P6" s="374"/>
      <c r="Q6" s="374"/>
      <c r="R6" s="374"/>
      <c r="S6" s="374"/>
      <c r="T6" s="374"/>
      <c r="U6" s="374"/>
      <c r="V6" s="374"/>
      <c r="W6" s="374"/>
      <c r="X6" s="374"/>
      <c r="Y6" s="374"/>
      <c r="Z6" s="374"/>
      <c r="AA6" s="374"/>
      <c r="AB6" s="374"/>
    </row>
    <row r="7" spans="1:67" x14ac:dyDescent="0.25">
      <c r="A7" s="998"/>
      <c r="B7" s="1000"/>
      <c r="C7" s="1000"/>
      <c r="D7" s="231" t="s">
        <v>436</v>
      </c>
      <c r="E7" s="231" t="s">
        <v>436</v>
      </c>
      <c r="F7" s="231" t="s">
        <v>436</v>
      </c>
      <c r="G7" s="231" t="s">
        <v>436</v>
      </c>
      <c r="H7" s="231" t="s">
        <v>436</v>
      </c>
      <c r="I7" s="231" t="s">
        <v>436</v>
      </c>
      <c r="J7" s="231" t="s">
        <v>436</v>
      </c>
      <c r="K7" s="231" t="s">
        <v>436</v>
      </c>
      <c r="L7" s="231" t="s">
        <v>436</v>
      </c>
      <c r="M7" s="231" t="s">
        <v>436</v>
      </c>
      <c r="N7" s="76" t="s">
        <v>436</v>
      </c>
      <c r="O7" s="374"/>
      <c r="P7" s="374"/>
      <c r="Q7" s="374"/>
      <c r="R7" s="374"/>
      <c r="S7" s="374"/>
      <c r="T7" s="374"/>
      <c r="U7" s="374"/>
      <c r="V7" s="374"/>
      <c r="W7" s="374"/>
      <c r="X7" s="374"/>
      <c r="Y7" s="374"/>
      <c r="Z7" s="374"/>
      <c r="AA7" s="374"/>
      <c r="AB7" s="374"/>
    </row>
    <row r="8" spans="1:67" x14ac:dyDescent="0.25">
      <c r="A8" s="274" t="s">
        <v>5</v>
      </c>
      <c r="B8" s="273">
        <f>SUMIFS(Camplist_HH,Camplist_Township,'NFI Distribution (by Tship)'!$A8,Camplist_Type_Of_Acc,"Camp")</f>
        <v>1297</v>
      </c>
      <c r="C8" s="273">
        <f>SUMIFS(Camplist_Popl,Camplist_Township,'NFI Distribution (by Tship)'!$A8,Camplist_Type_Of_Acc,"Camp")</f>
        <v>7446</v>
      </c>
      <c r="D8" s="24">
        <f t="shared" ref="D8:D29" si="0">SUMIF(NFI_Township,$A8,NFI_Mosquito_Track)</f>
        <v>54</v>
      </c>
      <c r="E8" s="24">
        <f t="shared" ref="E8:E29" si="1">SUMIF(NFI_Township,$A8,NFI_Tarpaulin_Track)</f>
        <v>14</v>
      </c>
      <c r="F8" s="24">
        <f t="shared" ref="F8:F29" si="2">SUMIF(NFI_Township,$A8,NFI_Blanket_Track)</f>
        <v>108</v>
      </c>
      <c r="G8" s="24">
        <f t="shared" ref="G8:G29" si="3">SUMIF(NFI_Township,$A8,NFI_Kitchen_Track)</f>
        <v>54</v>
      </c>
      <c r="H8" s="24">
        <f t="shared" ref="H8:H29" si="4">SUMIF(NFI_Township,$A8,NFI_Clothes_Track)</f>
        <v>0</v>
      </c>
      <c r="I8" s="24">
        <f t="shared" ref="I8:I29" si="5">SUMIF(NFI_Township,$A8,NFI_Plastic_Bucket_Track)</f>
        <v>0</v>
      </c>
      <c r="J8" s="24">
        <f t="shared" ref="J8:J29" si="6">SUMIF(NFI_Township,$A8,NFI_Plastic_Mat_Track)</f>
        <v>135</v>
      </c>
      <c r="K8" s="24">
        <f t="shared" ref="K8:K29" si="7">SUMIF(NFI_Township,$A8,NFI_Winter_Clothes_Adult_Track)</f>
        <v>0</v>
      </c>
      <c r="L8" s="24">
        <f t="shared" ref="L8:L29" si="8">SUMIF(NFI_Township,$A8,NFI_Winter_Clothes_Children_Track)</f>
        <v>0</v>
      </c>
      <c r="M8" s="24">
        <f t="shared" ref="M8:M29" si="9">SUMIF(NFI_Township,$A8,NFI_Winter_Items_Other_Track)</f>
        <v>0</v>
      </c>
      <c r="N8" s="275">
        <f t="shared" ref="N8:N29" si="10">SUMIF(NFI_Township,$A8,NFI_Winter_Blanket_Track)</f>
        <v>0</v>
      </c>
      <c r="O8" s="374"/>
      <c r="P8" s="374"/>
      <c r="Q8" s="374"/>
      <c r="R8" s="374"/>
      <c r="S8" s="374"/>
      <c r="T8" s="374"/>
      <c r="U8" s="374"/>
      <c r="V8" s="374"/>
      <c r="W8" s="374"/>
      <c r="X8" s="374"/>
      <c r="Y8" s="374"/>
      <c r="Z8" s="374"/>
      <c r="AA8" s="374"/>
      <c r="AB8" s="374"/>
    </row>
    <row r="9" spans="1:67" x14ac:dyDescent="0.25">
      <c r="A9" s="274" t="s">
        <v>27</v>
      </c>
      <c r="B9" s="273">
        <f>SUMIFS(Camplist_HH,Camplist_Township,'NFI Distribution (by Tship)'!$A9,Camplist_Type_Of_Acc,"Camp")</f>
        <v>498</v>
      </c>
      <c r="C9" s="273">
        <f>SUMIFS(Camplist_Popl,Camplist_Township,'NFI Distribution (by Tship)'!$A9,Camplist_Type_Of_Acc,"Camp")</f>
        <v>2556</v>
      </c>
      <c r="D9" s="24">
        <f t="shared" si="0"/>
        <v>0</v>
      </c>
      <c r="E9" s="24">
        <f t="shared" si="1"/>
        <v>0</v>
      </c>
      <c r="F9" s="24">
        <f t="shared" si="2"/>
        <v>0</v>
      </c>
      <c r="G9" s="24">
        <f t="shared" si="3"/>
        <v>0</v>
      </c>
      <c r="H9" s="24">
        <f t="shared" si="4"/>
        <v>0</v>
      </c>
      <c r="I9" s="24">
        <f t="shared" si="5"/>
        <v>0</v>
      </c>
      <c r="J9" s="24">
        <f t="shared" si="6"/>
        <v>0</v>
      </c>
      <c r="K9" s="24">
        <f t="shared" si="7"/>
        <v>176</v>
      </c>
      <c r="L9" s="24">
        <f t="shared" si="8"/>
        <v>355</v>
      </c>
      <c r="M9" s="24">
        <f t="shared" si="9"/>
        <v>0</v>
      </c>
      <c r="N9" s="275">
        <f t="shared" si="10"/>
        <v>0</v>
      </c>
      <c r="O9" s="374"/>
      <c r="P9" s="374"/>
      <c r="Q9" s="374"/>
      <c r="R9" s="374"/>
      <c r="S9" s="374"/>
      <c r="T9" s="374"/>
      <c r="U9" s="374"/>
      <c r="V9" s="374"/>
      <c r="W9" s="374"/>
      <c r="X9" s="374"/>
      <c r="Y9" s="374"/>
      <c r="Z9" s="374"/>
      <c r="AA9" s="374"/>
      <c r="AB9" s="374"/>
    </row>
    <row r="10" spans="1:67" x14ac:dyDescent="0.25">
      <c r="A10" s="274" t="s">
        <v>526</v>
      </c>
      <c r="B10" s="273">
        <f>SUMIFS(CampList[HH],CampList[Township],A10,CampList[Type of Accomodation],"Camp")</f>
        <v>719</v>
      </c>
      <c r="C10" s="273">
        <f>SUMIFS(Camplist_Popl,Camplist_Township,'NFI Distribution (by Tship)'!$A10,Camplist_Type_Of_Acc,"Camp")</f>
        <v>3537</v>
      </c>
      <c r="D10" s="24">
        <f t="shared" si="0"/>
        <v>203</v>
      </c>
      <c r="E10" s="24">
        <f t="shared" si="1"/>
        <v>104</v>
      </c>
      <c r="F10" s="24">
        <f t="shared" si="2"/>
        <v>208</v>
      </c>
      <c r="G10" s="24">
        <f t="shared" si="3"/>
        <v>104</v>
      </c>
      <c r="H10" s="24">
        <f t="shared" si="4"/>
        <v>0</v>
      </c>
      <c r="I10" s="24">
        <f t="shared" si="5"/>
        <v>104</v>
      </c>
      <c r="J10" s="24">
        <f t="shared" si="6"/>
        <v>575</v>
      </c>
      <c r="K10" s="24">
        <f t="shared" si="7"/>
        <v>62</v>
      </c>
      <c r="L10" s="24">
        <f t="shared" si="8"/>
        <v>33</v>
      </c>
      <c r="M10" s="24">
        <f t="shared" si="9"/>
        <v>0</v>
      </c>
      <c r="N10" s="275">
        <f t="shared" si="10"/>
        <v>0</v>
      </c>
    </row>
    <row r="11" spans="1:67" x14ac:dyDescent="0.25">
      <c r="A11" s="274" t="s">
        <v>778</v>
      </c>
      <c r="B11" s="273">
        <f>SUMIFS(Camplist_HH,Camplist_Township,'NFI Distribution (by Tship)'!$A11,Camplist_Type_Of_Acc,"Camp")</f>
        <v>34</v>
      </c>
      <c r="C11" s="273">
        <f>SUMIFS(Camplist_Popl,Camplist_Township,'NFI Distribution (by Tship)'!$A11,Camplist_Type_Of_Acc,"Camp")</f>
        <v>185</v>
      </c>
      <c r="D11" s="24">
        <f t="shared" si="0"/>
        <v>57</v>
      </c>
      <c r="E11" s="24">
        <f t="shared" si="1"/>
        <v>0</v>
      </c>
      <c r="F11" s="24">
        <f t="shared" si="2"/>
        <v>0</v>
      </c>
      <c r="G11" s="24">
        <f t="shared" si="3"/>
        <v>57</v>
      </c>
      <c r="H11" s="24">
        <f t="shared" si="4"/>
        <v>0</v>
      </c>
      <c r="I11" s="24">
        <f t="shared" si="5"/>
        <v>0</v>
      </c>
      <c r="J11" s="24">
        <f t="shared" si="6"/>
        <v>142.5</v>
      </c>
      <c r="K11" s="24">
        <f t="shared" si="7"/>
        <v>0</v>
      </c>
      <c r="L11" s="24">
        <f t="shared" si="8"/>
        <v>0</v>
      </c>
      <c r="M11" s="24">
        <f t="shared" si="9"/>
        <v>0</v>
      </c>
      <c r="N11" s="275">
        <f t="shared" si="10"/>
        <v>0</v>
      </c>
    </row>
    <row r="12" spans="1:67" s="297" customFormat="1" x14ac:dyDescent="0.25">
      <c r="A12" s="274" t="s">
        <v>1481</v>
      </c>
      <c r="B12" s="273">
        <f>SUMIFS(Camplist_HH,Camplist_Township,'NFI Distribution (by Tship)'!$A12,Camplist_Type_Of_Acc,"Camp")</f>
        <v>37</v>
      </c>
      <c r="C12" s="273">
        <f>SUMIFS(Camplist_Popl,Camplist_Township,'NFI Distribution (by Tship)'!$A12,Camplist_Type_Of_Acc,"Camp")</f>
        <v>120</v>
      </c>
      <c r="D12" s="24">
        <f t="shared" si="0"/>
        <v>0</v>
      </c>
      <c r="E12" s="24">
        <f t="shared" si="1"/>
        <v>38</v>
      </c>
      <c r="F12" s="24">
        <f t="shared" si="2"/>
        <v>0</v>
      </c>
      <c r="G12" s="24">
        <f t="shared" si="3"/>
        <v>0</v>
      </c>
      <c r="H12" s="24">
        <f t="shared" si="4"/>
        <v>0</v>
      </c>
      <c r="I12" s="24">
        <f t="shared" si="5"/>
        <v>0</v>
      </c>
      <c r="J12" s="24">
        <f t="shared" si="6"/>
        <v>0</v>
      </c>
      <c r="K12" s="24">
        <f t="shared" si="7"/>
        <v>0</v>
      </c>
      <c r="L12" s="24">
        <f t="shared" si="8"/>
        <v>0</v>
      </c>
      <c r="M12" s="24">
        <f t="shared" si="9"/>
        <v>0</v>
      </c>
      <c r="N12" s="275">
        <f t="shared" si="10"/>
        <v>0</v>
      </c>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row>
    <row r="13" spans="1:67" x14ac:dyDescent="0.25">
      <c r="A13" s="274" t="s">
        <v>363</v>
      </c>
      <c r="B13" s="273">
        <f>SUMIFS(Camplist_HH,Camplist_Township,'NFI Distribution (by Tship)'!$A13,Camplist_Type_Of_Acc,"Camp")</f>
        <v>0</v>
      </c>
      <c r="C13" s="273">
        <f>SUMIFS(Camplist_Popl,Camplist_Township,'NFI Distribution (by Tship)'!$A13,Camplist_Type_Of_Acc,"Camp")</f>
        <v>0</v>
      </c>
      <c r="D13" s="24">
        <f t="shared" si="0"/>
        <v>0</v>
      </c>
      <c r="E13" s="24">
        <f t="shared" si="1"/>
        <v>0</v>
      </c>
      <c r="F13" s="24">
        <f t="shared" si="2"/>
        <v>0</v>
      </c>
      <c r="G13" s="24">
        <f t="shared" si="3"/>
        <v>0</v>
      </c>
      <c r="H13" s="24">
        <f t="shared" si="4"/>
        <v>0</v>
      </c>
      <c r="I13" s="24">
        <f t="shared" si="5"/>
        <v>0</v>
      </c>
      <c r="J13" s="24">
        <f t="shared" si="6"/>
        <v>0</v>
      </c>
      <c r="K13" s="24">
        <f t="shared" si="7"/>
        <v>0</v>
      </c>
      <c r="L13" s="24">
        <f t="shared" si="8"/>
        <v>0</v>
      </c>
      <c r="M13" s="24">
        <f t="shared" si="9"/>
        <v>0</v>
      </c>
      <c r="N13" s="275">
        <f t="shared" si="10"/>
        <v>0</v>
      </c>
    </row>
    <row r="14" spans="1:67" s="62" customFormat="1" x14ac:dyDescent="0.25">
      <c r="A14" s="274" t="s">
        <v>144</v>
      </c>
      <c r="B14" s="273">
        <f>SUMIFS(Camplist_HH,Camplist_Township,'NFI Distribution (by Tship)'!$A14,Camplist_Type_Of_Acc,"Camp")</f>
        <v>0</v>
      </c>
      <c r="C14" s="273">
        <f>SUMIFS(Camplist_Popl,Camplist_Township,'NFI Distribution (by Tship)'!$A14,Camplist_Type_Of_Acc,"Camp")</f>
        <v>0</v>
      </c>
      <c r="D14" s="24">
        <f t="shared" si="0"/>
        <v>0</v>
      </c>
      <c r="E14" s="24">
        <f t="shared" si="1"/>
        <v>0</v>
      </c>
      <c r="F14" s="24">
        <f t="shared" si="2"/>
        <v>0</v>
      </c>
      <c r="G14" s="24">
        <f t="shared" si="3"/>
        <v>0</v>
      </c>
      <c r="H14" s="24">
        <f>SUMIF(NFI_Township,$A14,NFI_Clothes_Track)</f>
        <v>0</v>
      </c>
      <c r="I14" s="24">
        <f t="shared" si="5"/>
        <v>0</v>
      </c>
      <c r="J14" s="24">
        <f t="shared" si="6"/>
        <v>0</v>
      </c>
      <c r="K14" s="24">
        <f t="shared" si="7"/>
        <v>0</v>
      </c>
      <c r="L14" s="24">
        <f t="shared" si="8"/>
        <v>0</v>
      </c>
      <c r="M14" s="24">
        <f t="shared" si="9"/>
        <v>0</v>
      </c>
      <c r="N14" s="275">
        <f t="shared" si="10"/>
        <v>0</v>
      </c>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row>
    <row r="15" spans="1:67" s="62" customFormat="1" x14ac:dyDescent="0.25">
      <c r="A15" s="274" t="s">
        <v>146</v>
      </c>
      <c r="B15" s="273">
        <f>SUMIFS(Camplist_HH,Camplist_Township,'NFI Distribution (by Tship)'!$A15,Camplist_Type_Of_Acc,"Camp")</f>
        <v>854</v>
      </c>
      <c r="C15" s="273">
        <f>SUMIFS(Camplist_Popl,Camplist_Township,'NFI Distribution (by Tship)'!$A15,Camplist_Type_Of_Acc,"Camp")</f>
        <v>4142</v>
      </c>
      <c r="D15" s="24">
        <f t="shared" si="0"/>
        <v>213</v>
      </c>
      <c r="E15" s="24">
        <f>SUMIF(NFI_Township,$A15,NFI_Tarpaulin_Track)</f>
        <v>83</v>
      </c>
      <c r="F15" s="24">
        <f t="shared" si="2"/>
        <v>426</v>
      </c>
      <c r="G15" s="24">
        <f t="shared" si="3"/>
        <v>213</v>
      </c>
      <c r="H15" s="24">
        <f>SUMIF(NFI_Township,$A15,NFI_Clothes_Track)</f>
        <v>0</v>
      </c>
      <c r="I15" s="24">
        <f t="shared" si="5"/>
        <v>0</v>
      </c>
      <c r="J15" s="24">
        <f t="shared" si="6"/>
        <v>532.5</v>
      </c>
      <c r="K15" s="24">
        <f t="shared" si="7"/>
        <v>540</v>
      </c>
      <c r="L15" s="24">
        <f t="shared" si="8"/>
        <v>0</v>
      </c>
      <c r="M15" s="24">
        <f t="shared" si="9"/>
        <v>0</v>
      </c>
      <c r="N15" s="275">
        <f t="shared" si="10"/>
        <v>135</v>
      </c>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row>
    <row r="16" spans="1:67" s="62" customFormat="1" x14ac:dyDescent="0.25">
      <c r="A16" s="274" t="s">
        <v>891</v>
      </c>
      <c r="B16" s="273">
        <f>SUMIFS(Camplist_HH,Camplist_Township,'NFI Distribution (by Tship)'!$A16,Camplist_Type_Of_Acc,"Camp")</f>
        <v>0</v>
      </c>
      <c r="C16" s="273">
        <f>SUMIFS(Camplist_Popl,Camplist_Township,'NFI Distribution (by Tship)'!$A16,Camplist_Type_Of_Acc,"Camp")</f>
        <v>0</v>
      </c>
      <c r="D16" s="24">
        <f t="shared" si="0"/>
        <v>0</v>
      </c>
      <c r="E16" s="24">
        <f t="shared" si="1"/>
        <v>0</v>
      </c>
      <c r="F16" s="24">
        <f t="shared" si="2"/>
        <v>0</v>
      </c>
      <c r="G16" s="24">
        <f t="shared" si="3"/>
        <v>0</v>
      </c>
      <c r="H16" s="24">
        <f t="shared" si="4"/>
        <v>0</v>
      </c>
      <c r="I16" s="24">
        <f t="shared" si="5"/>
        <v>0</v>
      </c>
      <c r="J16" s="24">
        <f t="shared" si="6"/>
        <v>0</v>
      </c>
      <c r="K16" s="24">
        <f t="shared" si="7"/>
        <v>0</v>
      </c>
      <c r="L16" s="24">
        <f t="shared" si="8"/>
        <v>0</v>
      </c>
      <c r="M16" s="24">
        <f t="shared" si="9"/>
        <v>0</v>
      </c>
      <c r="N16" s="275">
        <f t="shared" si="10"/>
        <v>0</v>
      </c>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row>
    <row r="17" spans="1:67" s="62" customFormat="1" x14ac:dyDescent="0.25">
      <c r="A17" s="274" t="s">
        <v>151</v>
      </c>
      <c r="B17" s="273">
        <f>SUMIFS(Camplist_HH,Camplist_Township,'NFI Distribution (by Tship)'!$A17,Camplist_Type_Of_Acc,"Camp")</f>
        <v>2513</v>
      </c>
      <c r="C17" s="273">
        <f>SUMIFS(Camplist_Popl,Camplist_Township,'NFI Distribution (by Tship)'!$A17,Camplist_Type_Of_Acc,"Camp")</f>
        <v>11961</v>
      </c>
      <c r="D17" s="24">
        <f t="shared" si="0"/>
        <v>171</v>
      </c>
      <c r="E17" s="24">
        <f t="shared" si="1"/>
        <v>131</v>
      </c>
      <c r="F17" s="24">
        <f t="shared" si="2"/>
        <v>191</v>
      </c>
      <c r="G17" s="24">
        <f t="shared" si="3"/>
        <v>106</v>
      </c>
      <c r="H17" s="24">
        <f t="shared" si="4"/>
        <v>0</v>
      </c>
      <c r="I17" s="24">
        <f t="shared" si="5"/>
        <v>123</v>
      </c>
      <c r="J17" s="24">
        <f t="shared" si="6"/>
        <v>870</v>
      </c>
      <c r="K17" s="24">
        <f t="shared" si="7"/>
        <v>144</v>
      </c>
      <c r="L17" s="24">
        <f t="shared" si="8"/>
        <v>0</v>
      </c>
      <c r="M17" s="24">
        <f t="shared" si="9"/>
        <v>0</v>
      </c>
      <c r="N17" s="275">
        <f t="shared" si="10"/>
        <v>36</v>
      </c>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row>
    <row r="18" spans="1:67" x14ac:dyDescent="0.25">
      <c r="A18" s="274" t="s">
        <v>166</v>
      </c>
      <c r="B18" s="273">
        <f>SUMIFS(Camplist_HH,Camplist_Township,'NFI Distribution (by Tship)'!$A18,Camplist_Type_Of_Acc,"Camp")</f>
        <v>100</v>
      </c>
      <c r="C18" s="273">
        <f>SUMIFS(Camplist_Popl,Camplist_Township,'NFI Distribution (by Tship)'!$A18,Camplist_Type_Of_Acc,"Camp")</f>
        <v>544</v>
      </c>
      <c r="D18" s="24">
        <f t="shared" si="0"/>
        <v>0</v>
      </c>
      <c r="E18" s="24">
        <f t="shared" si="1"/>
        <v>0</v>
      </c>
      <c r="F18" s="24">
        <f t="shared" si="2"/>
        <v>0</v>
      </c>
      <c r="G18" s="24">
        <f t="shared" si="3"/>
        <v>0</v>
      </c>
      <c r="H18" s="24">
        <f t="shared" si="4"/>
        <v>0</v>
      </c>
      <c r="I18" s="24">
        <f t="shared" si="5"/>
        <v>0</v>
      </c>
      <c r="J18" s="24">
        <f t="shared" si="6"/>
        <v>0</v>
      </c>
      <c r="K18" s="24">
        <f t="shared" si="7"/>
        <v>0</v>
      </c>
      <c r="L18" s="24">
        <f t="shared" si="8"/>
        <v>0</v>
      </c>
      <c r="M18" s="24">
        <f t="shared" si="9"/>
        <v>0</v>
      </c>
      <c r="N18" s="275">
        <f t="shared" si="10"/>
        <v>0</v>
      </c>
    </row>
    <row r="19" spans="1:67" x14ac:dyDescent="0.25">
      <c r="A19" s="274" t="s">
        <v>173</v>
      </c>
      <c r="B19" s="273">
        <f>SUMIFS(Camplist_HH,Camplist_Township,'NFI Distribution (by Tship)'!$A19,Camplist_Type_Of_Acc,"Camp")</f>
        <v>75</v>
      </c>
      <c r="C19" s="273">
        <f>SUMIFS(Camplist_Popl,Camplist_Township,'NFI Distribution (by Tship)'!$A19,Camplist_Type_Of_Acc,"Camp")</f>
        <v>350</v>
      </c>
      <c r="D19" s="24">
        <f t="shared" si="0"/>
        <v>0</v>
      </c>
      <c r="E19" s="24">
        <f t="shared" si="1"/>
        <v>0</v>
      </c>
      <c r="F19" s="24">
        <f t="shared" si="2"/>
        <v>0</v>
      </c>
      <c r="G19" s="24">
        <f t="shared" si="3"/>
        <v>0</v>
      </c>
      <c r="H19" s="24">
        <f t="shared" si="4"/>
        <v>0</v>
      </c>
      <c r="I19" s="24">
        <f t="shared" si="5"/>
        <v>0</v>
      </c>
      <c r="J19" s="24">
        <f t="shared" si="6"/>
        <v>0</v>
      </c>
      <c r="K19" s="24">
        <f t="shared" si="7"/>
        <v>0</v>
      </c>
      <c r="L19" s="24">
        <f t="shared" si="8"/>
        <v>0</v>
      </c>
      <c r="M19" s="24">
        <f t="shared" si="9"/>
        <v>0</v>
      </c>
      <c r="N19" s="275">
        <f t="shared" si="10"/>
        <v>0</v>
      </c>
    </row>
    <row r="20" spans="1:67" x14ac:dyDescent="0.25">
      <c r="A20" s="274" t="s">
        <v>180</v>
      </c>
      <c r="B20" s="273">
        <f>SUMIFS(Camplist_HH,Camplist_Township,'NFI Distribution (by Tship)'!$A20,Camplist_Type_Of_Acc,"Camp")</f>
        <v>30</v>
      </c>
      <c r="C20" s="273">
        <f>SUMIFS(Camplist_Popl,Camplist_Township,'NFI Distribution (by Tship)'!$A20,Camplist_Type_Of_Acc,"Camp")</f>
        <v>160</v>
      </c>
      <c r="D20" s="24">
        <f t="shared" si="0"/>
        <v>0</v>
      </c>
      <c r="E20" s="24">
        <f t="shared" si="1"/>
        <v>0</v>
      </c>
      <c r="F20" s="24">
        <f t="shared" si="2"/>
        <v>0</v>
      </c>
      <c r="G20" s="24">
        <f t="shared" si="3"/>
        <v>0</v>
      </c>
      <c r="H20" s="24">
        <f t="shared" si="4"/>
        <v>0</v>
      </c>
      <c r="I20" s="24">
        <f t="shared" si="5"/>
        <v>0</v>
      </c>
      <c r="J20" s="24">
        <f t="shared" si="6"/>
        <v>0</v>
      </c>
      <c r="K20" s="24">
        <f t="shared" si="7"/>
        <v>0</v>
      </c>
      <c r="L20" s="24">
        <f t="shared" si="8"/>
        <v>0</v>
      </c>
      <c r="M20" s="24">
        <f t="shared" si="9"/>
        <v>0</v>
      </c>
      <c r="N20" s="275">
        <f t="shared" si="10"/>
        <v>0</v>
      </c>
    </row>
    <row r="21" spans="1:67" x14ac:dyDescent="0.25">
      <c r="A21" s="274" t="s">
        <v>185</v>
      </c>
      <c r="B21" s="273">
        <f>SUMIFS(Camplist_HH,Camplist_Township,'NFI Distribution (by Tship)'!$A21,Camplist_Type_Of_Acc,"Camp")</f>
        <v>4400</v>
      </c>
      <c r="C21" s="273">
        <f>SUMIFS(Camplist_Popl,Camplist_Township,'NFI Distribution (by Tship)'!$A21,Camplist_Type_Of_Acc,"Camp")</f>
        <v>23092</v>
      </c>
      <c r="D21" s="24">
        <f t="shared" si="0"/>
        <v>162</v>
      </c>
      <c r="E21" s="24">
        <f t="shared" si="1"/>
        <v>0</v>
      </c>
      <c r="F21" s="24">
        <f t="shared" si="2"/>
        <v>162</v>
      </c>
      <c r="G21" s="24">
        <f t="shared" si="3"/>
        <v>0</v>
      </c>
      <c r="H21" s="24">
        <f t="shared" si="4"/>
        <v>0</v>
      </c>
      <c r="I21" s="24">
        <f t="shared" si="5"/>
        <v>73</v>
      </c>
      <c r="J21" s="24">
        <f t="shared" si="6"/>
        <v>405</v>
      </c>
      <c r="K21" s="24">
        <f t="shared" si="7"/>
        <v>0</v>
      </c>
      <c r="L21" s="24">
        <f t="shared" si="8"/>
        <v>0</v>
      </c>
      <c r="M21" s="24">
        <f t="shared" si="9"/>
        <v>0</v>
      </c>
      <c r="N21" s="275">
        <f t="shared" si="10"/>
        <v>0</v>
      </c>
    </row>
    <row r="22" spans="1:67" x14ac:dyDescent="0.25">
      <c r="A22" s="274" t="s">
        <v>230</v>
      </c>
      <c r="B22" s="273">
        <f>SUMIFS(Camplist_HH,Camplist_Township,'NFI Distribution (by Tship)'!$A22,Camplist_Type_Of_Acc,"Camp")</f>
        <v>286</v>
      </c>
      <c r="C22" s="273">
        <f>SUMIFS(Camplist_Popl,Camplist_Township,'NFI Distribution (by Tship)'!$A22,Camplist_Type_Of_Acc,"Camp")</f>
        <v>1323</v>
      </c>
      <c r="D22" s="24">
        <f t="shared" si="0"/>
        <v>76</v>
      </c>
      <c r="E22" s="24">
        <f t="shared" si="1"/>
        <v>38</v>
      </c>
      <c r="F22" s="24">
        <f t="shared" si="2"/>
        <v>76</v>
      </c>
      <c r="G22" s="24">
        <f t="shared" si="3"/>
        <v>0</v>
      </c>
      <c r="H22" s="24">
        <f t="shared" si="4"/>
        <v>0</v>
      </c>
      <c r="I22" s="24">
        <f t="shared" si="5"/>
        <v>38</v>
      </c>
      <c r="J22" s="24">
        <f t="shared" si="6"/>
        <v>285</v>
      </c>
      <c r="K22" s="24">
        <f t="shared" si="7"/>
        <v>0</v>
      </c>
      <c r="L22" s="24">
        <f t="shared" si="8"/>
        <v>0</v>
      </c>
      <c r="M22" s="24">
        <f t="shared" si="9"/>
        <v>0</v>
      </c>
      <c r="N22" s="275">
        <f t="shared" si="10"/>
        <v>0</v>
      </c>
    </row>
    <row r="23" spans="1:67" x14ac:dyDescent="0.25">
      <c r="A23" s="274" t="s">
        <v>237</v>
      </c>
      <c r="B23" s="273">
        <f>SUMIFS(Camplist_HH,Camplist_Township,'NFI Distribution (by Tship)'!$A23,Camplist_Type_Of_Acc,"Camp")</f>
        <v>1473</v>
      </c>
      <c r="C23" s="273">
        <f>SUMIFS(Camplist_Popl,Camplist_Township,'NFI Distribution (by Tship)'!$A23,Camplist_Type_Of_Acc,"Camp")</f>
        <v>7544</v>
      </c>
      <c r="D23" s="24">
        <f t="shared" si="0"/>
        <v>46</v>
      </c>
      <c r="E23" s="24">
        <f t="shared" si="1"/>
        <v>49</v>
      </c>
      <c r="F23" s="24">
        <f t="shared" si="2"/>
        <v>69</v>
      </c>
      <c r="G23" s="24">
        <f t="shared" si="3"/>
        <v>20</v>
      </c>
      <c r="H23" s="24">
        <f t="shared" si="4"/>
        <v>0</v>
      </c>
      <c r="I23" s="24">
        <f t="shared" si="5"/>
        <v>20</v>
      </c>
      <c r="J23" s="24">
        <f t="shared" si="6"/>
        <v>172.5</v>
      </c>
      <c r="K23" s="24">
        <f t="shared" si="7"/>
        <v>0</v>
      </c>
      <c r="L23" s="24">
        <f t="shared" si="8"/>
        <v>0</v>
      </c>
      <c r="M23" s="24">
        <f t="shared" si="9"/>
        <v>0</v>
      </c>
      <c r="N23" s="275">
        <f t="shared" si="10"/>
        <v>0</v>
      </c>
    </row>
    <row r="24" spans="1:67" x14ac:dyDescent="0.25">
      <c r="A24" s="274" t="s">
        <v>289</v>
      </c>
      <c r="B24" s="273">
        <f>SUMIFS(Camplist_HH,Camplist_Township,'NFI Distribution (by Tship)'!$A24,Camplist_Type_Of_Acc,"Camp")</f>
        <v>402</v>
      </c>
      <c r="C24" s="273">
        <f>SUMIFS(Camplist_Popl,Camplist_Township,'NFI Distribution (by Tship)'!$A24,Camplist_Type_Of_Acc,"Camp")</f>
        <v>1976</v>
      </c>
      <c r="D24" s="24">
        <f t="shared" si="0"/>
        <v>0</v>
      </c>
      <c r="E24" s="24">
        <f t="shared" si="1"/>
        <v>0</v>
      </c>
      <c r="F24" s="24">
        <f t="shared" si="2"/>
        <v>0</v>
      </c>
      <c r="G24" s="24">
        <f t="shared" si="3"/>
        <v>0</v>
      </c>
      <c r="H24" s="24">
        <f t="shared" si="4"/>
        <v>0</v>
      </c>
      <c r="I24" s="24">
        <f t="shared" si="5"/>
        <v>0</v>
      </c>
      <c r="J24" s="24">
        <f t="shared" si="6"/>
        <v>0</v>
      </c>
      <c r="K24" s="24">
        <f t="shared" si="7"/>
        <v>0</v>
      </c>
      <c r="L24" s="24">
        <f t="shared" si="8"/>
        <v>0</v>
      </c>
      <c r="M24" s="24">
        <f t="shared" si="9"/>
        <v>0</v>
      </c>
      <c r="N24" s="275">
        <f t="shared" si="10"/>
        <v>0</v>
      </c>
    </row>
    <row r="25" spans="1:67" x14ac:dyDescent="0.25">
      <c r="A25" s="274" t="s">
        <v>298</v>
      </c>
      <c r="B25" s="273">
        <f>SUMIFS(Camplist_HH,Camplist_Township,'NFI Distribution (by Tship)'!$A25,Camplist_Type_Of_Acc,"Camp")</f>
        <v>170</v>
      </c>
      <c r="C25" s="273">
        <f>SUMIFS(Camplist_Popl,Camplist_Township,'NFI Distribution (by Tship)'!$A25,Camplist_Type_Of_Acc,"Camp")</f>
        <v>697</v>
      </c>
      <c r="D25" s="24">
        <f t="shared" si="0"/>
        <v>147</v>
      </c>
      <c r="E25" s="24">
        <f t="shared" si="1"/>
        <v>220</v>
      </c>
      <c r="F25" s="24">
        <f t="shared" si="2"/>
        <v>147</v>
      </c>
      <c r="G25" s="24">
        <f t="shared" si="3"/>
        <v>147</v>
      </c>
      <c r="H25" s="24">
        <f t="shared" si="4"/>
        <v>0</v>
      </c>
      <c r="I25" s="24">
        <f t="shared" si="5"/>
        <v>0</v>
      </c>
      <c r="J25" s="24">
        <f t="shared" si="6"/>
        <v>367.5</v>
      </c>
      <c r="K25" s="24">
        <f t="shared" si="7"/>
        <v>0</v>
      </c>
      <c r="L25" s="24">
        <f t="shared" si="8"/>
        <v>0</v>
      </c>
      <c r="M25" s="24">
        <f t="shared" si="9"/>
        <v>0</v>
      </c>
      <c r="N25" s="275">
        <f t="shared" si="10"/>
        <v>0</v>
      </c>
    </row>
    <row r="26" spans="1:67" x14ac:dyDescent="0.25">
      <c r="A26" s="274" t="s">
        <v>300</v>
      </c>
      <c r="B26" s="273">
        <f>SUMIFS(Camplist_HH,Camplist_Township,'NFI Distribution (by Tship)'!$A26,Camplist_Type_Of_Acc,"Camp")</f>
        <v>61</v>
      </c>
      <c r="C26" s="273">
        <f>SUMIFS(Camplist_Popl,Camplist_Township,'NFI Distribution (by Tship)'!$A26,Camplist_Type_Of_Acc,"Camp")</f>
        <v>276</v>
      </c>
      <c r="D26" s="24">
        <f t="shared" si="0"/>
        <v>0</v>
      </c>
      <c r="E26" s="24">
        <f t="shared" si="1"/>
        <v>0</v>
      </c>
      <c r="F26" s="24">
        <f t="shared" si="2"/>
        <v>0</v>
      </c>
      <c r="G26" s="24">
        <f t="shared" si="3"/>
        <v>0</v>
      </c>
      <c r="H26" s="24">
        <f t="shared" si="4"/>
        <v>0</v>
      </c>
      <c r="I26" s="24">
        <f>SUMIF(NFI_Township,$A26,NFI_Plastic_Bucket_Track)</f>
        <v>0</v>
      </c>
      <c r="J26" s="24">
        <f t="shared" si="6"/>
        <v>0</v>
      </c>
      <c r="K26" s="24">
        <f t="shared" si="7"/>
        <v>0</v>
      </c>
      <c r="L26" s="24">
        <f t="shared" si="8"/>
        <v>0</v>
      </c>
      <c r="M26" s="24">
        <f t="shared" si="9"/>
        <v>0</v>
      </c>
      <c r="N26" s="275">
        <f t="shared" si="10"/>
        <v>0</v>
      </c>
    </row>
    <row r="27" spans="1:67" s="62" customFormat="1" x14ac:dyDescent="0.25">
      <c r="A27" s="274" t="s">
        <v>302</v>
      </c>
      <c r="B27" s="273">
        <f>SUMIFS(Camplist_HH,Camplist_Township,'NFI Distribution (by Tship)'!$A27,Camplist_Type_Of_Acc,"Camp")</f>
        <v>129</v>
      </c>
      <c r="C27" s="273">
        <f>SUMIFS(Camplist_Popl,Camplist_Township,'NFI Distribution (by Tship)'!$A27,Camplist_Type_Of_Acc,"Camp")</f>
        <v>473</v>
      </c>
      <c r="D27" s="24">
        <f t="shared" si="0"/>
        <v>0</v>
      </c>
      <c r="E27" s="24">
        <f t="shared" si="1"/>
        <v>0</v>
      </c>
      <c r="F27" s="24">
        <f t="shared" si="2"/>
        <v>0</v>
      </c>
      <c r="G27" s="24">
        <f t="shared" si="3"/>
        <v>0</v>
      </c>
      <c r="H27" s="24">
        <f t="shared" si="4"/>
        <v>0</v>
      </c>
      <c r="I27" s="24">
        <f t="shared" si="5"/>
        <v>0</v>
      </c>
      <c r="J27" s="24">
        <f t="shared" si="6"/>
        <v>0</v>
      </c>
      <c r="K27" s="24">
        <f t="shared" si="7"/>
        <v>0</v>
      </c>
      <c r="L27" s="24">
        <f t="shared" si="8"/>
        <v>0</v>
      </c>
      <c r="M27" s="24">
        <f t="shared" si="9"/>
        <v>0</v>
      </c>
      <c r="N27" s="275">
        <f t="shared" si="10"/>
        <v>0</v>
      </c>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row>
    <row r="28" spans="1:67" s="62" customFormat="1" x14ac:dyDescent="0.25">
      <c r="A28" s="274" t="s">
        <v>807</v>
      </c>
      <c r="B28" s="273">
        <f>SUMIFS(Camplist_HH,Camplist_Township,'NFI Distribution (by Tship)'!$A28,Camplist_Type_Of_Acc,"Camp")</f>
        <v>141</v>
      </c>
      <c r="C28" s="273">
        <f>SUMIFS(Camplist_Popl,Camplist_Township,'NFI Distribution (by Tship)'!$A28,Camplist_Type_Of_Acc,"Camp")</f>
        <v>759</v>
      </c>
      <c r="D28" s="24">
        <f t="shared" si="0"/>
        <v>25</v>
      </c>
      <c r="E28" s="24">
        <f t="shared" si="1"/>
        <v>8</v>
      </c>
      <c r="F28" s="24">
        <f t="shared" si="2"/>
        <v>492</v>
      </c>
      <c r="G28" s="24">
        <f t="shared" si="3"/>
        <v>34</v>
      </c>
      <c r="H28" s="24">
        <f t="shared" si="4"/>
        <v>0</v>
      </c>
      <c r="I28" s="24">
        <f t="shared" si="5"/>
        <v>6</v>
      </c>
      <c r="J28" s="24">
        <f t="shared" si="6"/>
        <v>260</v>
      </c>
      <c r="K28" s="24">
        <f t="shared" si="7"/>
        <v>0</v>
      </c>
      <c r="L28" s="24">
        <f t="shared" si="8"/>
        <v>0</v>
      </c>
      <c r="M28" s="24">
        <f t="shared" si="9"/>
        <v>0</v>
      </c>
      <c r="N28" s="275">
        <f t="shared" si="10"/>
        <v>0</v>
      </c>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row>
    <row r="29" spans="1:67" x14ac:dyDescent="0.25">
      <c r="A29" s="274" t="s">
        <v>310</v>
      </c>
      <c r="B29" s="273">
        <f>SUMIFS(Camplist_HH,Camplist_Township,'NFI Distribution (by Tship)'!$A29,Camplist_Type_Of_Acc,"Camp")</f>
        <v>4738</v>
      </c>
      <c r="C29" s="273">
        <f>SUMIFS(Camplist_Popl,Camplist_Township,'NFI Distribution (by Tship)'!$A29,Camplist_Type_Of_Acc,"Camp")</f>
        <v>23061</v>
      </c>
      <c r="D29" s="24">
        <f t="shared" si="0"/>
        <v>689</v>
      </c>
      <c r="E29" s="24">
        <f t="shared" si="1"/>
        <v>273</v>
      </c>
      <c r="F29" s="24">
        <f t="shared" si="2"/>
        <v>1113</v>
      </c>
      <c r="G29" s="24">
        <f t="shared" si="3"/>
        <v>103</v>
      </c>
      <c r="H29" s="24">
        <f t="shared" si="4"/>
        <v>0</v>
      </c>
      <c r="I29" s="24">
        <f t="shared" si="5"/>
        <v>307</v>
      </c>
      <c r="J29" s="24">
        <f t="shared" si="6"/>
        <v>2012.5</v>
      </c>
      <c r="K29" s="24">
        <f t="shared" si="7"/>
        <v>0</v>
      </c>
      <c r="L29" s="24">
        <f t="shared" si="8"/>
        <v>0</v>
      </c>
      <c r="M29" s="24">
        <f t="shared" si="9"/>
        <v>0</v>
      </c>
      <c r="N29" s="275">
        <f t="shared" si="10"/>
        <v>0</v>
      </c>
    </row>
    <row r="30" spans="1:67" ht="21" customHeight="1" thickBot="1" x14ac:dyDescent="0.3">
      <c r="A30" s="78" t="s">
        <v>3</v>
      </c>
      <c r="B30" s="79">
        <f t="shared" ref="B30:N30" si="11">SUM(B8:B29)</f>
        <v>17957</v>
      </c>
      <c r="C30" s="79">
        <f t="shared" si="11"/>
        <v>90202</v>
      </c>
      <c r="D30" s="79">
        <f t="shared" si="11"/>
        <v>1843</v>
      </c>
      <c r="E30" s="79">
        <f t="shared" si="11"/>
        <v>958</v>
      </c>
      <c r="F30" s="79">
        <f t="shared" si="11"/>
        <v>2992</v>
      </c>
      <c r="G30" s="79">
        <f t="shared" si="11"/>
        <v>838</v>
      </c>
      <c r="H30" s="79">
        <f t="shared" si="11"/>
        <v>0</v>
      </c>
      <c r="I30" s="79">
        <f t="shared" si="11"/>
        <v>671</v>
      </c>
      <c r="J30" s="276">
        <f t="shared" si="11"/>
        <v>5757.5</v>
      </c>
      <c r="K30" s="79">
        <f t="shared" si="11"/>
        <v>922</v>
      </c>
      <c r="L30" s="79">
        <f t="shared" si="11"/>
        <v>388</v>
      </c>
      <c r="M30" s="79">
        <f t="shared" si="11"/>
        <v>0</v>
      </c>
      <c r="N30" s="80">
        <f t="shared" si="11"/>
        <v>171</v>
      </c>
    </row>
    <row r="31" spans="1:67" s="89" customFormat="1" ht="21" hidden="1" customHeight="1" x14ac:dyDescent="0.25">
      <c r="A31" s="107"/>
      <c r="B31" s="107"/>
      <c r="C31" s="107"/>
      <c r="D31" s="107"/>
      <c r="E31" s="107"/>
      <c r="F31" s="107"/>
      <c r="G31" s="107"/>
      <c r="H31" s="107"/>
      <c r="I31" s="107"/>
      <c r="J31" s="107"/>
      <c r="K31" s="107"/>
      <c r="L31" s="107"/>
      <c r="M31" s="107"/>
      <c r="N31" s="107"/>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row>
    <row r="32" spans="1:67" s="62" customFormat="1" ht="21" hidden="1" customHeight="1" thickBot="1" x14ac:dyDescent="0.3">
      <c r="A32"/>
      <c r="B32"/>
      <c r="C32"/>
      <c r="D32"/>
      <c r="E32"/>
      <c r="F32"/>
      <c r="G32"/>
      <c r="H32"/>
      <c r="I32"/>
      <c r="J32"/>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row>
    <row r="33" spans="1:67" s="62" customFormat="1" ht="21" hidden="1" customHeight="1" x14ac:dyDescent="0.25">
      <c r="A33" s="997" t="s">
        <v>0</v>
      </c>
      <c r="B33" s="999" t="s">
        <v>425</v>
      </c>
      <c r="C33" s="999" t="s">
        <v>426</v>
      </c>
      <c r="D33" s="1002" t="s">
        <v>454</v>
      </c>
      <c r="E33" s="1002"/>
      <c r="F33" s="1002"/>
      <c r="G33" s="1003"/>
      <c r="H33" s="90" t="s">
        <v>404</v>
      </c>
      <c r="I33" s="91"/>
      <c r="J33" s="91"/>
      <c r="K33" s="92"/>
      <c r="L33" s="1001" t="s">
        <v>455</v>
      </c>
      <c r="M33" s="1002"/>
      <c r="N33" s="1002"/>
      <c r="O33" s="1003"/>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1:67" s="62" customFormat="1" ht="21" hidden="1" customHeight="1" x14ac:dyDescent="0.25">
      <c r="A34" s="998"/>
      <c r="B34" s="1000"/>
      <c r="C34" s="1000"/>
      <c r="D34" s="70" t="s">
        <v>436</v>
      </c>
      <c r="E34" s="71" t="s">
        <v>439</v>
      </c>
      <c r="F34" s="71" t="s">
        <v>410</v>
      </c>
      <c r="G34" s="11" t="s">
        <v>437</v>
      </c>
      <c r="H34" s="71" t="s">
        <v>436</v>
      </c>
      <c r="I34" s="71" t="s">
        <v>439</v>
      </c>
      <c r="J34" s="71" t="s">
        <v>410</v>
      </c>
      <c r="K34" s="11" t="s">
        <v>437</v>
      </c>
      <c r="L34" s="71" t="s">
        <v>436</v>
      </c>
      <c r="M34" s="71" t="s">
        <v>439</v>
      </c>
      <c r="N34" s="71" t="s">
        <v>410</v>
      </c>
      <c r="O34" s="11" t="s">
        <v>437</v>
      </c>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row>
    <row r="35" spans="1:67" s="62" customFormat="1" ht="21" hidden="1" customHeight="1" x14ac:dyDescent="0.25">
      <c r="A35" s="77" t="s">
        <v>5</v>
      </c>
      <c r="B35" s="8">
        <f>SUMIF(Camplist_Township,'NFI Distribution (by Tship)'!$A35,Camplist_HH)</f>
        <v>1494</v>
      </c>
      <c r="C35" s="8">
        <f>SUMIF(Camplist_Township,'NFI Distribution (by Tship)'!$A35,Camplist_Popl)</f>
        <v>8403</v>
      </c>
      <c r="D35" s="73">
        <f t="shared" ref="D35:D54" si="12">SUMIF(NFI_Township,$A35,NFI_Hygiene_Track)</f>
        <v>0</v>
      </c>
      <c r="E35" s="8">
        <f t="shared" ref="E35:E54" si="13">SUMIF(NFI_Pipeline_Township,$A35,NFI_Hygiene_Stock)</f>
        <v>0</v>
      </c>
      <c r="F35" s="8">
        <f t="shared" ref="F35:F54" si="14">SUMIF(NFI_Pipeline_Township,$A33,NFI_Hygiene_Pipeline)</f>
        <v>0</v>
      </c>
      <c r="G35" s="12">
        <f t="shared" ref="G35:G54" si="15">IF(B35-(D35+E35+F35)&lt;0,0,B35-(D35+E35+F35))</f>
        <v>1494</v>
      </c>
      <c r="H35" s="7">
        <f t="shared" ref="H35:H54" si="16">SUMIF(NFI_Township,$A35,NFI_Core_Track)</f>
        <v>0</v>
      </c>
      <c r="I35" s="7">
        <f t="shared" ref="I35:I54" si="17">SUMIF(NFI_Pipeline_Township,$A35,NFI_Core_Stock)</f>
        <v>80</v>
      </c>
      <c r="J35" s="7">
        <f t="shared" ref="J35:J54" si="18">SUMIF(NFI_Pipeline_Township,$A33,NFI_Core_Pipeline)</f>
        <v>0</v>
      </c>
      <c r="K35" s="14">
        <f t="shared" ref="K35:K54" si="19">IF(B35-(H35+I35+J35)&lt;0,0,B35-(H35+I35+J35))</f>
        <v>1414</v>
      </c>
      <c r="L35" s="7">
        <f t="shared" ref="L35:L54" si="20">SUMIF(NFI_Township,$A35,NFI_Sanitary_Track)</f>
        <v>0</v>
      </c>
      <c r="M35" s="7">
        <f t="shared" ref="M35:M54" si="21">SUMIF(NFI_Pipeline_Township,$A35,NFI_Sanitary_Stock)</f>
        <v>86</v>
      </c>
      <c r="N35" s="7">
        <f t="shared" ref="N35:N54" si="22">SUMIF(NFI_Pipeline_Township,$A33,NFI_Sanitary_Pipeline)</f>
        <v>0</v>
      </c>
      <c r="O35" s="726">
        <f t="shared" ref="O35:O54" si="23">IF(B35-(L35+M35+N35)&lt;0,0,B35-(L35+M35+N35))</f>
        <v>1408</v>
      </c>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row>
    <row r="36" spans="1:67" s="62" customFormat="1" ht="21" hidden="1" customHeight="1" x14ac:dyDescent="0.25">
      <c r="A36" s="77" t="s">
        <v>27</v>
      </c>
      <c r="B36" s="8">
        <f>SUMIF(Camplist_Township,'NFI Distribution (by Tship)'!$A36,Camplist_HH)</f>
        <v>498</v>
      </c>
      <c r="C36" s="8">
        <f>SUMIF(Camplist_Township,'NFI Distribution (by Tship)'!$A36,Camplist_Popl)</f>
        <v>2556</v>
      </c>
      <c r="D36" s="73">
        <f t="shared" si="12"/>
        <v>0</v>
      </c>
      <c r="E36" s="8">
        <f t="shared" si="13"/>
        <v>0</v>
      </c>
      <c r="F36" s="8">
        <f t="shared" si="14"/>
        <v>0</v>
      </c>
      <c r="G36" s="12">
        <f t="shared" si="15"/>
        <v>498</v>
      </c>
      <c r="H36" s="7">
        <f t="shared" si="16"/>
        <v>0</v>
      </c>
      <c r="I36" s="7">
        <f t="shared" si="17"/>
        <v>0</v>
      </c>
      <c r="J36" s="7">
        <f t="shared" si="18"/>
        <v>0</v>
      </c>
      <c r="K36" s="14">
        <f t="shared" si="19"/>
        <v>498</v>
      </c>
      <c r="L36" s="7">
        <f t="shared" si="20"/>
        <v>0</v>
      </c>
      <c r="M36" s="7">
        <f t="shared" si="21"/>
        <v>0</v>
      </c>
      <c r="N36" s="7">
        <f t="shared" si="22"/>
        <v>0</v>
      </c>
      <c r="O36" s="726">
        <f t="shared" si="23"/>
        <v>498</v>
      </c>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row>
    <row r="37" spans="1:67" s="62" customFormat="1" ht="21" hidden="1" customHeight="1" x14ac:dyDescent="0.25">
      <c r="A37" s="77" t="s">
        <v>526</v>
      </c>
      <c r="B37" s="8">
        <f>SUMIF(Camplist_Township,'NFI Distribution (by Tship)'!$A37,Camplist_HH)</f>
        <v>719</v>
      </c>
      <c r="C37" s="8">
        <f>SUMIF(Camplist_Township,'NFI Distribution (by Tship)'!$A37,Camplist_Popl)</f>
        <v>3537</v>
      </c>
      <c r="D37" s="73">
        <f t="shared" si="12"/>
        <v>165</v>
      </c>
      <c r="E37" s="8">
        <f t="shared" si="13"/>
        <v>0</v>
      </c>
      <c r="F37" s="8">
        <f t="shared" si="14"/>
        <v>0</v>
      </c>
      <c r="G37" s="12">
        <f t="shared" si="15"/>
        <v>554</v>
      </c>
      <c r="H37" s="7">
        <f t="shared" si="16"/>
        <v>243</v>
      </c>
      <c r="I37" s="7">
        <f t="shared" si="17"/>
        <v>0</v>
      </c>
      <c r="J37" s="7">
        <f t="shared" si="18"/>
        <v>0</v>
      </c>
      <c r="K37" s="14">
        <f t="shared" si="19"/>
        <v>476</v>
      </c>
      <c r="L37" s="7">
        <f t="shared" si="20"/>
        <v>81</v>
      </c>
      <c r="M37" s="7">
        <f t="shared" si="21"/>
        <v>0</v>
      </c>
      <c r="N37" s="7">
        <f t="shared" si="22"/>
        <v>0</v>
      </c>
      <c r="O37" s="726">
        <f t="shared" si="23"/>
        <v>638</v>
      </c>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row>
    <row r="38" spans="1:67" s="62" customFormat="1" ht="21" hidden="1" customHeight="1" x14ac:dyDescent="0.25">
      <c r="A38" s="77" t="s">
        <v>778</v>
      </c>
      <c r="B38" s="8">
        <f>SUMIF(Camplist_Township,'NFI Distribution (by Tship)'!$A38,Camplist_HH)</f>
        <v>101</v>
      </c>
      <c r="C38" s="8">
        <f>SUMIF(Camplist_Township,'NFI Distribution (by Tship)'!$A38,Camplist_Popl)</f>
        <v>577</v>
      </c>
      <c r="D38" s="73">
        <f t="shared" si="12"/>
        <v>0</v>
      </c>
      <c r="E38" s="8">
        <f t="shared" si="13"/>
        <v>0</v>
      </c>
      <c r="F38" s="8">
        <f t="shared" si="14"/>
        <v>0</v>
      </c>
      <c r="G38" s="12">
        <f t="shared" si="15"/>
        <v>101</v>
      </c>
      <c r="H38" s="7">
        <f t="shared" si="16"/>
        <v>0</v>
      </c>
      <c r="I38" s="7">
        <f t="shared" si="17"/>
        <v>0</v>
      </c>
      <c r="J38" s="7">
        <f t="shared" si="18"/>
        <v>0</v>
      </c>
      <c r="K38" s="14">
        <f t="shared" si="19"/>
        <v>101</v>
      </c>
      <c r="L38" s="7">
        <f t="shared" si="20"/>
        <v>0</v>
      </c>
      <c r="M38" s="7">
        <f t="shared" si="21"/>
        <v>0</v>
      </c>
      <c r="N38" s="7">
        <f t="shared" si="22"/>
        <v>0</v>
      </c>
      <c r="O38" s="726">
        <f t="shared" si="23"/>
        <v>101</v>
      </c>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row>
    <row r="39" spans="1:67" s="62" customFormat="1" ht="21" hidden="1" customHeight="1" x14ac:dyDescent="0.25">
      <c r="A39" s="77" t="s">
        <v>363</v>
      </c>
      <c r="B39" s="8">
        <f>SUMIF(Camplist_Township,'NFI Distribution (by Tship)'!$A39,Camplist_HH)</f>
        <v>0</v>
      </c>
      <c r="C39" s="8">
        <f>SUMIF(Camplist_Township,'NFI Distribution (by Tship)'!$A39,Camplist_Popl)</f>
        <v>0</v>
      </c>
      <c r="D39" s="73">
        <f t="shared" si="12"/>
        <v>0</v>
      </c>
      <c r="E39" s="8">
        <f t="shared" si="13"/>
        <v>0</v>
      </c>
      <c r="F39" s="8">
        <f t="shared" si="14"/>
        <v>0</v>
      </c>
      <c r="G39" s="12">
        <f t="shared" si="15"/>
        <v>0</v>
      </c>
      <c r="H39" s="7">
        <f t="shared" si="16"/>
        <v>0</v>
      </c>
      <c r="I39" s="7">
        <f t="shared" si="17"/>
        <v>0</v>
      </c>
      <c r="J39" s="7">
        <f t="shared" si="18"/>
        <v>0</v>
      </c>
      <c r="K39" s="14">
        <f t="shared" si="19"/>
        <v>0</v>
      </c>
      <c r="L39" s="7">
        <f t="shared" si="20"/>
        <v>0</v>
      </c>
      <c r="M39" s="7">
        <f t="shared" si="21"/>
        <v>0</v>
      </c>
      <c r="N39" s="7">
        <f t="shared" si="22"/>
        <v>0</v>
      </c>
      <c r="O39" s="726">
        <f t="shared" si="23"/>
        <v>0</v>
      </c>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row>
    <row r="40" spans="1:67" s="62" customFormat="1" ht="21" hidden="1" customHeight="1" x14ac:dyDescent="0.25">
      <c r="A40" s="77" t="s">
        <v>144</v>
      </c>
      <c r="B40" s="8">
        <f>SUMIF(Camplist_Township,'NFI Distribution (by Tship)'!$A40,Camplist_HH)</f>
        <v>0</v>
      </c>
      <c r="C40" s="8">
        <f>SUMIF(Camplist_Township,'NFI Distribution (by Tship)'!$A40,Camplist_Popl)</f>
        <v>0</v>
      </c>
      <c r="D40" s="73">
        <f t="shared" si="12"/>
        <v>0</v>
      </c>
      <c r="E40" s="8">
        <f t="shared" si="13"/>
        <v>0</v>
      </c>
      <c r="F40" s="8">
        <f t="shared" si="14"/>
        <v>0</v>
      </c>
      <c r="G40" s="12">
        <f t="shared" si="15"/>
        <v>0</v>
      </c>
      <c r="H40" s="7">
        <f t="shared" si="16"/>
        <v>0</v>
      </c>
      <c r="I40" s="7">
        <f t="shared" si="17"/>
        <v>0</v>
      </c>
      <c r="J40" s="7">
        <f t="shared" si="18"/>
        <v>0</v>
      </c>
      <c r="K40" s="14">
        <f t="shared" si="19"/>
        <v>0</v>
      </c>
      <c r="L40" s="7">
        <f t="shared" si="20"/>
        <v>0</v>
      </c>
      <c r="M40" s="7">
        <f t="shared" si="21"/>
        <v>0</v>
      </c>
      <c r="N40" s="7">
        <f t="shared" si="22"/>
        <v>0</v>
      </c>
      <c r="O40" s="726">
        <f t="shared" si="23"/>
        <v>0</v>
      </c>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row>
    <row r="41" spans="1:67" s="62" customFormat="1" ht="21" hidden="1" customHeight="1" x14ac:dyDescent="0.25">
      <c r="A41" s="77" t="s">
        <v>146</v>
      </c>
      <c r="B41" s="8">
        <f>SUMIF(Camplist_Township,'NFI Distribution (by Tship)'!$A41,Camplist_HH)</f>
        <v>854</v>
      </c>
      <c r="C41" s="8">
        <f>SUMIF(Camplist_Township,'NFI Distribution (by Tship)'!$A41,Camplist_Popl)</f>
        <v>4142</v>
      </c>
      <c r="D41" s="73">
        <f t="shared" si="12"/>
        <v>0</v>
      </c>
      <c r="E41" s="8">
        <f t="shared" si="13"/>
        <v>0</v>
      </c>
      <c r="F41" s="8">
        <f t="shared" si="14"/>
        <v>0</v>
      </c>
      <c r="G41" s="12">
        <f t="shared" si="15"/>
        <v>854</v>
      </c>
      <c r="H41" s="7">
        <f t="shared" si="16"/>
        <v>0</v>
      </c>
      <c r="I41" s="7">
        <f t="shared" si="17"/>
        <v>0</v>
      </c>
      <c r="J41" s="7">
        <f t="shared" si="18"/>
        <v>0</v>
      </c>
      <c r="K41" s="14">
        <f t="shared" si="19"/>
        <v>854</v>
      </c>
      <c r="L41" s="7">
        <f t="shared" si="20"/>
        <v>0</v>
      </c>
      <c r="M41" s="7">
        <f t="shared" si="21"/>
        <v>0</v>
      </c>
      <c r="N41" s="7">
        <f t="shared" si="22"/>
        <v>0</v>
      </c>
      <c r="O41" s="726">
        <f t="shared" si="23"/>
        <v>854</v>
      </c>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row>
    <row r="42" spans="1:67" s="62" customFormat="1" ht="21" hidden="1" customHeight="1" x14ac:dyDescent="0.25">
      <c r="A42" s="77" t="s">
        <v>151</v>
      </c>
      <c r="B42" s="8">
        <f>SUMIF(Camplist_Township,'NFI Distribution (by Tship)'!$A42,Camplist_HH)</f>
        <v>2761</v>
      </c>
      <c r="C42" s="8">
        <f>SUMIF(Camplist_Township,'NFI Distribution (by Tship)'!$A42,Camplist_Popl)</f>
        <v>13069</v>
      </c>
      <c r="D42" s="73">
        <f t="shared" si="12"/>
        <v>42</v>
      </c>
      <c r="E42" s="8">
        <f t="shared" si="13"/>
        <v>0</v>
      </c>
      <c r="F42" s="8">
        <f t="shared" si="14"/>
        <v>0</v>
      </c>
      <c r="G42" s="12">
        <f t="shared" si="15"/>
        <v>2719</v>
      </c>
      <c r="H42" s="7">
        <f t="shared" si="16"/>
        <v>129</v>
      </c>
      <c r="I42" s="7">
        <f t="shared" si="17"/>
        <v>0</v>
      </c>
      <c r="J42" s="7">
        <f t="shared" si="18"/>
        <v>0</v>
      </c>
      <c r="K42" s="14">
        <f t="shared" si="19"/>
        <v>2632</v>
      </c>
      <c r="L42" s="7">
        <f t="shared" si="20"/>
        <v>259</v>
      </c>
      <c r="M42" s="7">
        <f t="shared" si="21"/>
        <v>0</v>
      </c>
      <c r="N42" s="7">
        <f t="shared" si="22"/>
        <v>0</v>
      </c>
      <c r="O42" s="726">
        <f t="shared" si="23"/>
        <v>2502</v>
      </c>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row>
    <row r="43" spans="1:67" s="62" customFormat="1" ht="21" hidden="1" customHeight="1" x14ac:dyDescent="0.25">
      <c r="A43" s="77" t="s">
        <v>166</v>
      </c>
      <c r="B43" s="8">
        <f>SUMIF(Camplist_Township,'NFI Distribution (by Tship)'!$A43,Camplist_HH)</f>
        <v>100</v>
      </c>
      <c r="C43" s="8">
        <f>SUMIF(Camplist_Township,'NFI Distribution (by Tship)'!$A43,Camplist_Popl)</f>
        <v>544</v>
      </c>
      <c r="D43" s="73">
        <f t="shared" si="12"/>
        <v>0</v>
      </c>
      <c r="E43" s="8">
        <f t="shared" si="13"/>
        <v>0</v>
      </c>
      <c r="F43" s="8">
        <f t="shared" si="14"/>
        <v>0</v>
      </c>
      <c r="G43" s="12">
        <f t="shared" si="15"/>
        <v>100</v>
      </c>
      <c r="H43" s="7">
        <f t="shared" si="16"/>
        <v>0</v>
      </c>
      <c r="I43" s="7">
        <f t="shared" si="17"/>
        <v>0</v>
      </c>
      <c r="J43" s="7">
        <f t="shared" si="18"/>
        <v>0</v>
      </c>
      <c r="K43" s="14">
        <f t="shared" si="19"/>
        <v>100</v>
      </c>
      <c r="L43" s="7">
        <f t="shared" si="20"/>
        <v>0</v>
      </c>
      <c r="M43" s="7">
        <f t="shared" si="21"/>
        <v>0</v>
      </c>
      <c r="N43" s="7">
        <f t="shared" si="22"/>
        <v>0</v>
      </c>
      <c r="O43" s="726">
        <f t="shared" si="23"/>
        <v>100</v>
      </c>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row>
    <row r="44" spans="1:67" s="62" customFormat="1" ht="21" hidden="1" customHeight="1" x14ac:dyDescent="0.25">
      <c r="A44" s="77" t="s">
        <v>173</v>
      </c>
      <c r="B44" s="8">
        <f>SUMIF(Camplist_Township,'NFI Distribution (by Tship)'!$A44,Camplist_HH)</f>
        <v>75</v>
      </c>
      <c r="C44" s="8">
        <f>SUMIF(Camplist_Township,'NFI Distribution (by Tship)'!$A44,Camplist_Popl)</f>
        <v>350</v>
      </c>
      <c r="D44" s="73">
        <f t="shared" si="12"/>
        <v>0</v>
      </c>
      <c r="E44" s="8">
        <f t="shared" si="13"/>
        <v>0</v>
      </c>
      <c r="F44" s="8">
        <f t="shared" si="14"/>
        <v>0</v>
      </c>
      <c r="G44" s="12">
        <f t="shared" si="15"/>
        <v>75</v>
      </c>
      <c r="H44" s="7">
        <f t="shared" si="16"/>
        <v>0</v>
      </c>
      <c r="I44" s="7">
        <f t="shared" si="17"/>
        <v>0</v>
      </c>
      <c r="J44" s="7">
        <f t="shared" si="18"/>
        <v>0</v>
      </c>
      <c r="K44" s="14">
        <f t="shared" si="19"/>
        <v>75</v>
      </c>
      <c r="L44" s="7">
        <f t="shared" si="20"/>
        <v>0</v>
      </c>
      <c r="M44" s="7">
        <f t="shared" si="21"/>
        <v>0</v>
      </c>
      <c r="N44" s="7">
        <f t="shared" si="22"/>
        <v>0</v>
      </c>
      <c r="O44" s="726">
        <f t="shared" si="23"/>
        <v>75</v>
      </c>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row>
    <row r="45" spans="1:67" s="62" customFormat="1" ht="21" hidden="1" customHeight="1" x14ac:dyDescent="0.25">
      <c r="A45" s="77" t="s">
        <v>180</v>
      </c>
      <c r="B45" s="8">
        <f>SUMIF(Camplist_Township,'NFI Distribution (by Tship)'!$A45,Camplist_HH)</f>
        <v>70</v>
      </c>
      <c r="C45" s="8">
        <f>SUMIF(Camplist_Township,'NFI Distribution (by Tship)'!$A45,Camplist_Popl)</f>
        <v>336</v>
      </c>
      <c r="D45" s="73">
        <f t="shared" si="12"/>
        <v>0</v>
      </c>
      <c r="E45" s="8">
        <f t="shared" si="13"/>
        <v>0</v>
      </c>
      <c r="F45" s="8">
        <f t="shared" si="14"/>
        <v>0</v>
      </c>
      <c r="G45" s="12">
        <f t="shared" si="15"/>
        <v>70</v>
      </c>
      <c r="H45" s="7">
        <f t="shared" si="16"/>
        <v>0</v>
      </c>
      <c r="I45" s="7">
        <f t="shared" si="17"/>
        <v>0</v>
      </c>
      <c r="J45" s="7">
        <f t="shared" si="18"/>
        <v>0</v>
      </c>
      <c r="K45" s="14">
        <f t="shared" si="19"/>
        <v>70</v>
      </c>
      <c r="L45" s="7">
        <f t="shared" si="20"/>
        <v>0</v>
      </c>
      <c r="M45" s="7">
        <f t="shared" si="21"/>
        <v>0</v>
      </c>
      <c r="N45" s="7">
        <f t="shared" si="22"/>
        <v>0</v>
      </c>
      <c r="O45" s="726">
        <f t="shared" si="23"/>
        <v>70</v>
      </c>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row>
    <row r="46" spans="1:67" s="62" customFormat="1" ht="21" hidden="1" customHeight="1" x14ac:dyDescent="0.25">
      <c r="A46" s="77" t="s">
        <v>185</v>
      </c>
      <c r="B46" s="8">
        <f>SUMIF(Camplist_Township,'NFI Distribution (by Tship)'!$A46,Camplist_HH)</f>
        <v>4674</v>
      </c>
      <c r="C46" s="8">
        <f>SUMIF(Camplist_Township,'NFI Distribution (by Tship)'!$A46,Camplist_Popl)</f>
        <v>24309</v>
      </c>
      <c r="D46" s="73">
        <f t="shared" si="12"/>
        <v>73</v>
      </c>
      <c r="E46" s="8">
        <f t="shared" si="13"/>
        <v>0</v>
      </c>
      <c r="F46" s="8">
        <f t="shared" si="14"/>
        <v>0</v>
      </c>
      <c r="G46" s="12">
        <f t="shared" si="15"/>
        <v>4601</v>
      </c>
      <c r="H46" s="7">
        <f t="shared" si="16"/>
        <v>81</v>
      </c>
      <c r="I46" s="7">
        <f t="shared" si="17"/>
        <v>0</v>
      </c>
      <c r="J46" s="7">
        <f t="shared" si="18"/>
        <v>0</v>
      </c>
      <c r="K46" s="14">
        <f t="shared" si="19"/>
        <v>4593</v>
      </c>
      <c r="L46" s="7">
        <f t="shared" si="20"/>
        <v>657</v>
      </c>
      <c r="M46" s="7">
        <f t="shared" si="21"/>
        <v>0</v>
      </c>
      <c r="N46" s="7">
        <f t="shared" si="22"/>
        <v>0</v>
      </c>
      <c r="O46" s="726">
        <f t="shared" si="23"/>
        <v>4017</v>
      </c>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row>
    <row r="47" spans="1:67" s="62" customFormat="1" ht="21" hidden="1" customHeight="1" x14ac:dyDescent="0.25">
      <c r="A47" s="77" t="s">
        <v>230</v>
      </c>
      <c r="B47" s="8">
        <f>SUMIF(Camplist_Township,'NFI Distribution (by Tship)'!$A47,Camplist_HH)</f>
        <v>318</v>
      </c>
      <c r="C47" s="8">
        <f>SUMIF(Camplist_Township,'NFI Distribution (by Tship)'!$A47,Camplist_Popl)</f>
        <v>1510</v>
      </c>
      <c r="D47" s="73">
        <f t="shared" si="12"/>
        <v>0</v>
      </c>
      <c r="E47" s="8">
        <f t="shared" si="13"/>
        <v>0</v>
      </c>
      <c r="F47" s="8">
        <f t="shared" si="14"/>
        <v>0</v>
      </c>
      <c r="G47" s="12">
        <f t="shared" si="15"/>
        <v>318</v>
      </c>
      <c r="H47" s="7">
        <f t="shared" si="16"/>
        <v>0</v>
      </c>
      <c r="I47" s="7">
        <f t="shared" si="17"/>
        <v>156</v>
      </c>
      <c r="J47" s="7">
        <f t="shared" si="18"/>
        <v>0</v>
      </c>
      <c r="K47" s="14">
        <f t="shared" si="19"/>
        <v>162</v>
      </c>
      <c r="L47" s="7">
        <f t="shared" si="20"/>
        <v>0</v>
      </c>
      <c r="M47" s="7">
        <f t="shared" si="21"/>
        <v>0</v>
      </c>
      <c r="N47" s="7">
        <f t="shared" si="22"/>
        <v>0</v>
      </c>
      <c r="O47" s="726">
        <f t="shared" si="23"/>
        <v>318</v>
      </c>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row>
    <row r="48" spans="1:67" s="62" customFormat="1" ht="21" hidden="1" customHeight="1" x14ac:dyDescent="0.25">
      <c r="A48" s="77" t="s">
        <v>237</v>
      </c>
      <c r="B48" s="8">
        <f>SUMIF(Camplist_Township,'NFI Distribution (by Tship)'!$A48,Camplist_HH)</f>
        <v>1473</v>
      </c>
      <c r="C48" s="8">
        <f>SUMIF(Camplist_Township,'NFI Distribution (by Tship)'!$A48,Camplist_Popl)</f>
        <v>7544</v>
      </c>
      <c r="D48" s="73">
        <f t="shared" si="12"/>
        <v>0</v>
      </c>
      <c r="E48" s="8">
        <f t="shared" si="13"/>
        <v>0</v>
      </c>
      <c r="F48" s="8">
        <f t="shared" si="14"/>
        <v>0</v>
      </c>
      <c r="G48" s="12">
        <f t="shared" si="15"/>
        <v>1473</v>
      </c>
      <c r="H48" s="7">
        <f t="shared" si="16"/>
        <v>20</v>
      </c>
      <c r="I48" s="7">
        <f t="shared" si="17"/>
        <v>621</v>
      </c>
      <c r="J48" s="7">
        <f t="shared" si="18"/>
        <v>0</v>
      </c>
      <c r="K48" s="14">
        <f t="shared" si="19"/>
        <v>832</v>
      </c>
      <c r="L48" s="7">
        <f t="shared" si="20"/>
        <v>20</v>
      </c>
      <c r="M48" s="7">
        <f t="shared" si="21"/>
        <v>103</v>
      </c>
      <c r="N48" s="7">
        <f t="shared" si="22"/>
        <v>0</v>
      </c>
      <c r="O48" s="726">
        <f t="shared" si="23"/>
        <v>1350</v>
      </c>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row>
    <row r="49" spans="1:67" s="62" customFormat="1" ht="21" hidden="1" customHeight="1" x14ac:dyDescent="0.25">
      <c r="A49" s="77" t="s">
        <v>289</v>
      </c>
      <c r="B49" s="8">
        <f>SUMIF(Camplist_Township,'NFI Distribution (by Tship)'!$A49,Camplist_HH)</f>
        <v>402</v>
      </c>
      <c r="C49" s="8">
        <f>SUMIF(Camplist_Township,'NFI Distribution (by Tship)'!$A49,Camplist_Popl)</f>
        <v>1976</v>
      </c>
      <c r="D49" s="73">
        <f t="shared" si="12"/>
        <v>0</v>
      </c>
      <c r="E49" s="8">
        <f t="shared" si="13"/>
        <v>0</v>
      </c>
      <c r="F49" s="8">
        <f t="shared" si="14"/>
        <v>0</v>
      </c>
      <c r="G49" s="12">
        <f t="shared" si="15"/>
        <v>402</v>
      </c>
      <c r="H49" s="7">
        <f t="shared" si="16"/>
        <v>0</v>
      </c>
      <c r="I49" s="7">
        <f t="shared" si="17"/>
        <v>0</v>
      </c>
      <c r="J49" s="7">
        <f t="shared" si="18"/>
        <v>0</v>
      </c>
      <c r="K49" s="14">
        <f t="shared" si="19"/>
        <v>402</v>
      </c>
      <c r="L49" s="7">
        <f t="shared" si="20"/>
        <v>0</v>
      </c>
      <c r="M49" s="7">
        <f t="shared" si="21"/>
        <v>0</v>
      </c>
      <c r="N49" s="7">
        <f t="shared" si="22"/>
        <v>0</v>
      </c>
      <c r="O49" s="726">
        <f t="shared" si="23"/>
        <v>402</v>
      </c>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row>
    <row r="50" spans="1:67" s="62" customFormat="1" ht="21" hidden="1" customHeight="1" x14ac:dyDescent="0.25">
      <c r="A50" s="77" t="s">
        <v>298</v>
      </c>
      <c r="B50" s="8">
        <f>SUMIF(Camplist_Township,'NFI Distribution (by Tship)'!$A50,Camplist_HH)</f>
        <v>288</v>
      </c>
      <c r="C50" s="8">
        <f>SUMIF(Camplist_Township,'NFI Distribution (by Tship)'!$A50,Camplist_Popl)</f>
        <v>1217</v>
      </c>
      <c r="D50" s="73">
        <f t="shared" si="12"/>
        <v>121</v>
      </c>
      <c r="E50" s="8">
        <f t="shared" si="13"/>
        <v>0</v>
      </c>
      <c r="F50" s="8">
        <f t="shared" si="14"/>
        <v>0</v>
      </c>
      <c r="G50" s="12">
        <f t="shared" si="15"/>
        <v>167</v>
      </c>
      <c r="H50" s="7">
        <f t="shared" si="16"/>
        <v>0</v>
      </c>
      <c r="I50" s="7">
        <f t="shared" si="17"/>
        <v>0</v>
      </c>
      <c r="J50" s="7">
        <f t="shared" si="18"/>
        <v>0</v>
      </c>
      <c r="K50" s="14">
        <f t="shared" si="19"/>
        <v>288</v>
      </c>
      <c r="L50" s="7">
        <f t="shared" si="20"/>
        <v>0</v>
      </c>
      <c r="M50" s="7">
        <f t="shared" si="21"/>
        <v>0</v>
      </c>
      <c r="N50" s="7">
        <f t="shared" si="22"/>
        <v>0</v>
      </c>
      <c r="O50" s="726">
        <f t="shared" si="23"/>
        <v>288</v>
      </c>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row>
    <row r="51" spans="1:67" s="62" customFormat="1" ht="21" hidden="1" customHeight="1" x14ac:dyDescent="0.25">
      <c r="A51" s="77" t="s">
        <v>300</v>
      </c>
      <c r="B51" s="8">
        <f>SUMIF(Camplist_Township,'NFI Distribution (by Tship)'!$A51,Camplist_HH)</f>
        <v>85</v>
      </c>
      <c r="C51" s="8">
        <f>SUMIF(Camplist_Township,'NFI Distribution (by Tship)'!$A51,Camplist_Popl)</f>
        <v>407</v>
      </c>
      <c r="D51" s="73">
        <f t="shared" si="12"/>
        <v>0</v>
      </c>
      <c r="E51" s="8">
        <f t="shared" si="13"/>
        <v>0</v>
      </c>
      <c r="F51" s="8">
        <f t="shared" si="14"/>
        <v>0</v>
      </c>
      <c r="G51" s="12">
        <f t="shared" si="15"/>
        <v>85</v>
      </c>
      <c r="H51" s="7">
        <f t="shared" si="16"/>
        <v>0</v>
      </c>
      <c r="I51" s="7">
        <f t="shared" si="17"/>
        <v>0</v>
      </c>
      <c r="J51" s="7">
        <f t="shared" si="18"/>
        <v>0</v>
      </c>
      <c r="K51" s="14">
        <f t="shared" si="19"/>
        <v>85</v>
      </c>
      <c r="L51" s="7">
        <f t="shared" si="20"/>
        <v>0</v>
      </c>
      <c r="M51" s="7">
        <f t="shared" si="21"/>
        <v>0</v>
      </c>
      <c r="N51" s="7">
        <f t="shared" si="22"/>
        <v>0</v>
      </c>
      <c r="O51" s="726">
        <f t="shared" si="23"/>
        <v>85</v>
      </c>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row>
    <row r="52" spans="1:67" s="62" customFormat="1" ht="21" hidden="1" customHeight="1" x14ac:dyDescent="0.25">
      <c r="A52" s="77" t="s">
        <v>302</v>
      </c>
      <c r="B52" s="8">
        <f>SUMIF(Camplist_Township,'NFI Distribution (by Tship)'!$A52,Camplist_HH)</f>
        <v>504</v>
      </c>
      <c r="C52" s="8">
        <f>SUMIF(Camplist_Township,'NFI Distribution (by Tship)'!$A52,Camplist_Popl)</f>
        <v>2164</v>
      </c>
      <c r="D52" s="73">
        <f t="shared" si="12"/>
        <v>0</v>
      </c>
      <c r="E52" s="8">
        <f t="shared" si="13"/>
        <v>0</v>
      </c>
      <c r="F52" s="8">
        <f t="shared" si="14"/>
        <v>0</v>
      </c>
      <c r="G52" s="12">
        <f t="shared" si="15"/>
        <v>504</v>
      </c>
      <c r="H52" s="7">
        <f t="shared" si="16"/>
        <v>0</v>
      </c>
      <c r="I52" s="7">
        <f t="shared" si="17"/>
        <v>0</v>
      </c>
      <c r="J52" s="7">
        <f t="shared" si="18"/>
        <v>0</v>
      </c>
      <c r="K52" s="14">
        <f t="shared" si="19"/>
        <v>504</v>
      </c>
      <c r="L52" s="7">
        <f t="shared" si="20"/>
        <v>50</v>
      </c>
      <c r="M52" s="7">
        <f t="shared" si="21"/>
        <v>0</v>
      </c>
      <c r="N52" s="7">
        <f t="shared" si="22"/>
        <v>0</v>
      </c>
      <c r="O52" s="726">
        <f t="shared" si="23"/>
        <v>454</v>
      </c>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row>
    <row r="53" spans="1:67" s="62" customFormat="1" ht="21" hidden="1" customHeight="1" x14ac:dyDescent="0.25">
      <c r="A53" s="77" t="s">
        <v>807</v>
      </c>
      <c r="B53" s="8">
        <f>SUMIF(Camplist_Township,'NFI Distribution (by Tship)'!$A53,Camplist_HH)</f>
        <v>141</v>
      </c>
      <c r="C53" s="8">
        <f>SUMIF(Camplist_Township,'NFI Distribution (by Tship)'!$A53,Camplist_Popl)</f>
        <v>759</v>
      </c>
      <c r="D53" s="73">
        <f t="shared" si="12"/>
        <v>0</v>
      </c>
      <c r="E53" s="8">
        <f t="shared" si="13"/>
        <v>0</v>
      </c>
      <c r="F53" s="8">
        <f t="shared" si="14"/>
        <v>0</v>
      </c>
      <c r="G53" s="12">
        <f t="shared" si="15"/>
        <v>141</v>
      </c>
      <c r="H53" s="7">
        <f t="shared" si="16"/>
        <v>0</v>
      </c>
      <c r="I53" s="7">
        <f t="shared" si="17"/>
        <v>0</v>
      </c>
      <c r="J53" s="7">
        <f t="shared" si="18"/>
        <v>0</v>
      </c>
      <c r="K53" s="14">
        <f t="shared" si="19"/>
        <v>141</v>
      </c>
      <c r="L53" s="7">
        <f t="shared" si="20"/>
        <v>0</v>
      </c>
      <c r="M53" s="7">
        <f t="shared" si="21"/>
        <v>0</v>
      </c>
      <c r="N53" s="7">
        <f t="shared" si="22"/>
        <v>0</v>
      </c>
      <c r="O53" s="726">
        <f t="shared" si="23"/>
        <v>141</v>
      </c>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row>
    <row r="54" spans="1:67" s="62" customFormat="1" ht="21" hidden="1" customHeight="1" x14ac:dyDescent="0.25">
      <c r="A54" s="77" t="s">
        <v>310</v>
      </c>
      <c r="B54" s="8">
        <f>SUMIF(Camplist_Township,'NFI Distribution (by Tship)'!$A54,Camplist_HH)</f>
        <v>5093</v>
      </c>
      <c r="C54" s="8">
        <f>SUMIF(Camplist_Township,'NFI Distribution (by Tship)'!$A54,Camplist_Popl)</f>
        <v>28558</v>
      </c>
      <c r="D54" s="73">
        <f t="shared" si="12"/>
        <v>194</v>
      </c>
      <c r="E54" s="8">
        <f t="shared" si="13"/>
        <v>0</v>
      </c>
      <c r="F54" s="8">
        <f t="shared" si="14"/>
        <v>0</v>
      </c>
      <c r="G54" s="12">
        <f t="shared" si="15"/>
        <v>4899</v>
      </c>
      <c r="H54" s="7">
        <f t="shared" si="16"/>
        <v>255</v>
      </c>
      <c r="I54" s="7">
        <f t="shared" si="17"/>
        <v>0</v>
      </c>
      <c r="J54" s="7">
        <f t="shared" si="18"/>
        <v>0</v>
      </c>
      <c r="K54" s="14">
        <f t="shared" si="19"/>
        <v>4838</v>
      </c>
      <c r="L54" s="7">
        <f t="shared" si="20"/>
        <v>1666</v>
      </c>
      <c r="M54" s="7">
        <f t="shared" si="21"/>
        <v>0</v>
      </c>
      <c r="N54" s="7">
        <f t="shared" si="22"/>
        <v>0</v>
      </c>
      <c r="O54" s="726">
        <f t="shared" si="23"/>
        <v>3427</v>
      </c>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row>
    <row r="55" spans="1:67" ht="21" hidden="1" customHeight="1" thickBot="1" x14ac:dyDescent="0.3">
      <c r="A55" s="78" t="s">
        <v>3</v>
      </c>
      <c r="B55" s="79">
        <f t="shared" ref="B55:J55" si="24">SUM(B35:B54)</f>
        <v>19650</v>
      </c>
      <c r="C55" s="79">
        <f t="shared" si="24"/>
        <v>101958</v>
      </c>
      <c r="D55" s="74">
        <f t="shared" si="24"/>
        <v>595</v>
      </c>
      <c r="E55" s="9">
        <f t="shared" si="24"/>
        <v>0</v>
      </c>
      <c r="F55" s="9">
        <f t="shared" si="24"/>
        <v>0</v>
      </c>
      <c r="G55" s="13">
        <f t="shared" si="24"/>
        <v>19055</v>
      </c>
      <c r="H55" s="9">
        <f t="shared" si="24"/>
        <v>728</v>
      </c>
      <c r="I55" s="9">
        <f t="shared" si="24"/>
        <v>857</v>
      </c>
      <c r="J55" s="9">
        <f t="shared" si="24"/>
        <v>0</v>
      </c>
      <c r="K55" s="13">
        <f>SUM(K35:K54)</f>
        <v>18065</v>
      </c>
      <c r="L55" s="9">
        <f>SUM(L35:L54)</f>
        <v>2733</v>
      </c>
      <c r="M55" s="9">
        <f>SUM(M35:M54)</f>
        <v>189</v>
      </c>
      <c r="N55" s="9">
        <f>SUM(N35:N54)</f>
        <v>0</v>
      </c>
      <c r="O55" s="727">
        <f>SUM(O35:O54)</f>
        <v>16728</v>
      </c>
    </row>
    <row r="56" spans="1:67" ht="21" customHeight="1" x14ac:dyDescent="0.25"/>
    <row r="57" spans="1:67" ht="17.25" hidden="1" customHeight="1" x14ac:dyDescent="0.25">
      <c r="I57" s="26"/>
    </row>
    <row r="58" spans="1:67" hidden="1" x14ac:dyDescent="0.25">
      <c r="I58" s="26"/>
    </row>
    <row r="60" spans="1:67" x14ac:dyDescent="0.25">
      <c r="A60" s="250" t="s">
        <v>497</v>
      </c>
      <c r="B60" s="752" t="s">
        <v>499</v>
      </c>
    </row>
    <row r="61" spans="1:67" x14ac:dyDescent="0.25">
      <c r="A61" s="250" t="s">
        <v>1128</v>
      </c>
      <c r="B61" s="752" t="s">
        <v>595</v>
      </c>
      <c r="C61" s="26"/>
      <c r="D61" s="26"/>
      <c r="E61" s="26"/>
      <c r="F61" s="26"/>
      <c r="G61" s="26"/>
      <c r="H61" s="26"/>
    </row>
    <row r="62" spans="1:67" x14ac:dyDescent="0.25">
      <c r="A62" s="26"/>
      <c r="B62" s="26"/>
      <c r="C62" s="26"/>
      <c r="D62" s="26"/>
      <c r="E62" s="26"/>
      <c r="F62" s="26"/>
      <c r="G62" s="26"/>
      <c r="H62" s="26"/>
    </row>
    <row r="63" spans="1:67" x14ac:dyDescent="0.25">
      <c r="A63" s="752" t="s">
        <v>1214</v>
      </c>
      <c r="B63" s="752" t="s">
        <v>456</v>
      </c>
      <c r="C63" s="752" t="s">
        <v>434</v>
      </c>
      <c r="D63" s="752" t="s">
        <v>435</v>
      </c>
      <c r="E63" s="752" t="s">
        <v>1215</v>
      </c>
      <c r="F63" s="752" t="s">
        <v>1216</v>
      </c>
    </row>
    <row r="64" spans="1:67" s="89" customFormat="1" x14ac:dyDescent="0.25">
      <c r="A64" s="350">
        <v>38157</v>
      </c>
      <c r="B64" s="350">
        <v>18203</v>
      </c>
      <c r="C64" s="350">
        <v>45637</v>
      </c>
      <c r="D64" s="350">
        <v>17077</v>
      </c>
      <c r="E64" s="350">
        <v>14926</v>
      </c>
      <c r="F64" s="350">
        <v>40793</v>
      </c>
      <c r="G64"/>
      <c r="H64"/>
      <c r="I64"/>
      <c r="J64"/>
      <c r="K64"/>
      <c r="L6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row>
    <row r="65" spans="1:67" s="89" customFormat="1" x14ac:dyDescent="0.25">
      <c r="A65"/>
      <c r="B65"/>
      <c r="C65"/>
      <c r="D65"/>
      <c r="E65"/>
      <c r="F65"/>
      <c r="G65"/>
      <c r="H65"/>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row>
    <row r="66" spans="1:67" s="89" customFormat="1" x14ac:dyDescent="0.25">
      <c r="A66"/>
      <c r="B66"/>
      <c r="C66"/>
      <c r="D66"/>
      <c r="E66"/>
      <c r="F66"/>
      <c r="G66"/>
      <c r="H66"/>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row>
    <row r="67" spans="1:67" s="89" customFormat="1" x14ac:dyDescent="0.25">
      <c r="A67"/>
      <c r="B67"/>
      <c r="C67"/>
      <c r="D67"/>
      <c r="E67"/>
      <c r="F67"/>
      <c r="G67"/>
      <c r="H67"/>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row>
    <row r="68" spans="1:67" s="89" customFormat="1" x14ac:dyDescent="0.25">
      <c r="A68"/>
      <c r="B68"/>
      <c r="C68"/>
      <c r="D68"/>
      <c r="E68"/>
      <c r="F68"/>
      <c r="G68"/>
      <c r="H68"/>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row>
    <row r="69" spans="1:67" s="89" customFormat="1" x14ac:dyDescent="0.25">
      <c r="A69" s="250" t="s">
        <v>497</v>
      </c>
      <c r="B69" s="752" t="s">
        <v>499</v>
      </c>
      <c r="C69"/>
      <c r="D69"/>
      <c r="E69"/>
      <c r="F69"/>
      <c r="G69"/>
      <c r="H69"/>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row>
    <row r="70" spans="1:67" s="89" customFormat="1" x14ac:dyDescent="0.25">
      <c r="A70" s="250" t="s">
        <v>1075</v>
      </c>
      <c r="B70" s="752" t="s">
        <v>1072</v>
      </c>
      <c r="E70"/>
      <c r="F70"/>
      <c r="G70"/>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row>
    <row r="71" spans="1:67" x14ac:dyDescent="0.25">
      <c r="A71" s="250" t="s">
        <v>1144</v>
      </c>
      <c r="B71" s="249">
        <v>1</v>
      </c>
      <c r="C71" s="89"/>
      <c r="D71" s="89"/>
      <c r="H71" s="89"/>
    </row>
    <row r="72" spans="1:67" x14ac:dyDescent="0.25">
      <c r="A72" s="89"/>
      <c r="B72" s="89"/>
      <c r="C72" s="89"/>
      <c r="D72" s="89"/>
      <c r="H72" s="89"/>
    </row>
    <row r="73" spans="1:67" s="97" customFormat="1" ht="60" x14ac:dyDescent="0.25">
      <c r="A73" s="277" t="s">
        <v>414</v>
      </c>
      <c r="B73" s="278" t="s">
        <v>998</v>
      </c>
      <c r="C73" s="278" t="s">
        <v>999</v>
      </c>
      <c r="D73" s="278" t="s">
        <v>1213</v>
      </c>
      <c r="O73" s="728"/>
      <c r="P73" s="728"/>
      <c r="Q73" s="728"/>
      <c r="R73" s="728"/>
      <c r="S73" s="728"/>
      <c r="T73" s="728"/>
      <c r="U73" s="728"/>
      <c r="V73" s="728"/>
      <c r="W73" s="728"/>
      <c r="X73" s="728"/>
      <c r="Y73" s="728"/>
      <c r="Z73" s="728"/>
      <c r="AA73" s="728"/>
      <c r="AB73" s="728"/>
      <c r="AC73" s="728"/>
      <c r="AD73" s="728"/>
      <c r="AE73" s="728"/>
      <c r="AF73" s="728"/>
      <c r="AG73" s="728"/>
      <c r="AH73" s="728"/>
      <c r="AI73" s="728"/>
      <c r="AJ73" s="728"/>
      <c r="AK73" s="728"/>
      <c r="AL73" s="728"/>
      <c r="AM73" s="728"/>
      <c r="AN73" s="728"/>
      <c r="AO73" s="728"/>
      <c r="AP73" s="728"/>
      <c r="AQ73" s="728"/>
      <c r="AR73" s="728"/>
      <c r="AS73" s="728"/>
      <c r="AT73" s="728"/>
      <c r="AU73" s="728"/>
      <c r="AV73" s="728"/>
      <c r="AW73" s="728"/>
      <c r="AX73" s="728"/>
      <c r="AY73" s="728"/>
      <c r="AZ73" s="728"/>
      <c r="BA73" s="728"/>
      <c r="BB73" s="728"/>
      <c r="BC73" s="728"/>
      <c r="BD73" s="728"/>
      <c r="BE73" s="728"/>
      <c r="BF73" s="728"/>
      <c r="BG73" s="728"/>
      <c r="BH73" s="728"/>
      <c r="BI73" s="728"/>
      <c r="BJ73" s="728"/>
      <c r="BK73" s="728"/>
      <c r="BL73" s="728"/>
      <c r="BM73" s="728"/>
      <c r="BN73" s="728"/>
      <c r="BO73" s="728"/>
    </row>
    <row r="74" spans="1:67" x14ac:dyDescent="0.25">
      <c r="A74" s="249" t="s">
        <v>1099</v>
      </c>
      <c r="B74" s="350"/>
      <c r="C74" s="350"/>
      <c r="D74" s="350">
        <v>684</v>
      </c>
    </row>
    <row r="75" spans="1:67" x14ac:dyDescent="0.25">
      <c r="A75" s="249" t="s">
        <v>452</v>
      </c>
      <c r="B75" s="350">
        <v>944</v>
      </c>
      <c r="C75" s="350">
        <v>553</v>
      </c>
      <c r="D75" s="350"/>
    </row>
    <row r="76" spans="1:67" x14ac:dyDescent="0.25">
      <c r="A76" s="249" t="s">
        <v>1089</v>
      </c>
      <c r="B76" s="350">
        <v>941</v>
      </c>
      <c r="C76" s="350">
        <v>619</v>
      </c>
      <c r="D76" s="350">
        <v>549</v>
      </c>
    </row>
    <row r="77" spans="1:67" x14ac:dyDescent="0.25">
      <c r="A77" s="249" t="s">
        <v>1034</v>
      </c>
      <c r="B77" s="350"/>
      <c r="C77" s="350">
        <v>1333</v>
      </c>
      <c r="D77" s="350"/>
      <c r="L77" s="3"/>
    </row>
    <row r="78" spans="1:67" x14ac:dyDescent="0.25">
      <c r="A78" s="249" t="s">
        <v>904</v>
      </c>
      <c r="B78" s="350">
        <v>1155</v>
      </c>
      <c r="C78" s="350">
        <v>2263</v>
      </c>
      <c r="D78" s="350">
        <v>3418</v>
      </c>
    </row>
    <row r="79" spans="1:67" x14ac:dyDescent="0.25">
      <c r="A79" s="249" t="s">
        <v>451</v>
      </c>
      <c r="B79" s="350">
        <v>2518</v>
      </c>
      <c r="C79" s="350">
        <v>4251</v>
      </c>
      <c r="D79" s="350">
        <v>3416</v>
      </c>
    </row>
    <row r="80" spans="1:67" x14ac:dyDescent="0.25">
      <c r="A80" s="249" t="s">
        <v>415</v>
      </c>
      <c r="B80" s="350">
        <v>5558</v>
      </c>
      <c r="C80" s="350">
        <v>9019</v>
      </c>
      <c r="D80" s="350">
        <v>8067</v>
      </c>
    </row>
  </sheetData>
  <sortState ref="A8:T17">
    <sortCondition ref="A8:A17"/>
  </sortState>
  <mergeCells count="10">
    <mergeCell ref="L33:O33"/>
    <mergeCell ref="A33:A34"/>
    <mergeCell ref="B33:B34"/>
    <mergeCell ref="C33:C34"/>
    <mergeCell ref="D33:G33"/>
    <mergeCell ref="A2:H2"/>
    <mergeCell ref="A3:H3"/>
    <mergeCell ref="A6:A7"/>
    <mergeCell ref="B6:B7"/>
    <mergeCell ref="C6:C7"/>
  </mergeCells>
  <pageMargins left="0.25" right="0.25" top="0.75" bottom="0.75" header="0.3" footer="0.3"/>
  <pageSetup paperSize="9" scale="4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BC410"/>
  <sheetViews>
    <sheetView showZeros="0" tabSelected="1" zoomScaleNormal="100" workbookViewId="0">
      <pane xSplit="3" ySplit="4" topLeftCell="D5" activePane="bottomRight" state="frozen"/>
      <selection pane="topRight" activeCell="D1" sqref="D1"/>
      <selection pane="bottomLeft" activeCell="A5" sqref="A5"/>
      <selection pane="bottomRight" activeCell="F18" sqref="F18"/>
    </sheetView>
  </sheetViews>
  <sheetFormatPr defaultColWidth="8.85546875" defaultRowHeight="15.6" customHeight="1" x14ac:dyDescent="0.25"/>
  <cols>
    <col min="1" max="1" width="14" style="447" customWidth="1"/>
    <col min="2" max="2" width="11.85546875" style="447" customWidth="1"/>
    <col min="3" max="3" width="9.28515625" style="438" customWidth="1"/>
    <col min="4" max="4" width="10.5703125" style="438" customWidth="1"/>
    <col min="5" max="5" width="13.85546875" style="438" customWidth="1"/>
    <col min="6" max="6" width="16.85546875" style="438" customWidth="1"/>
    <col min="7" max="7" width="19.28515625" style="438" customWidth="1"/>
    <col min="8" max="8" width="33.7109375" style="438" customWidth="1"/>
    <col min="9" max="10" width="19.28515625" style="438" customWidth="1"/>
    <col min="11" max="11" width="22.28515625" style="438" customWidth="1"/>
    <col min="12" max="12" width="38.85546875" style="448" customWidth="1"/>
    <col min="13" max="13" width="17.42578125" style="438" customWidth="1"/>
    <col min="14" max="14" width="12.7109375" style="439" customWidth="1"/>
    <col min="15" max="15" width="9.7109375" style="439" customWidth="1"/>
    <col min="16" max="16" width="16.42578125" style="439" customWidth="1"/>
    <col min="17" max="17" width="14.28515625" style="708" customWidth="1"/>
    <col min="18" max="18" width="18.5703125" style="709" customWidth="1"/>
    <col min="19" max="19" width="14.7109375" style="452" customWidth="1"/>
    <col min="20" max="20" width="12.7109375" style="437" customWidth="1"/>
    <col min="21" max="21" width="14" style="357" customWidth="1"/>
    <col min="22" max="22" width="12.28515625" style="437" customWidth="1"/>
    <col min="23" max="23" width="11" style="437" customWidth="1"/>
    <col min="24" max="24" width="15.140625" style="459" customWidth="1"/>
    <col min="25" max="25" width="12.85546875" style="460" customWidth="1"/>
    <col min="26" max="26" width="9" style="460" customWidth="1"/>
    <col min="27" max="27" width="6.5703125" style="438" customWidth="1"/>
    <col min="28" max="28" width="15" style="93" customWidth="1"/>
    <col min="29" max="29" width="12.42578125" style="439" customWidth="1"/>
    <col min="30" max="30" width="37.7109375" style="508" customWidth="1"/>
    <col min="31" max="31" width="9.7109375" style="437" customWidth="1"/>
    <col min="32" max="32" width="13.28515625" style="437" customWidth="1"/>
    <col min="33" max="33" width="17.7109375" style="437" customWidth="1"/>
    <col min="34" max="34" width="14.28515625" style="439" customWidth="1"/>
    <col min="35" max="35" width="16.7109375" style="437" customWidth="1"/>
    <col min="36" max="36" width="12.5703125" style="465" customWidth="1"/>
    <col min="37" max="37" width="12.42578125" style="439" customWidth="1"/>
    <col min="38" max="38" width="9.140625" style="34"/>
    <col min="39" max="39" width="9.140625" style="913"/>
    <col min="40" max="40" width="8.85546875" style="913"/>
    <col min="41" max="49" width="8.85546875" style="436"/>
    <col min="50" max="51" width="9.140625" style="2" customWidth="1"/>
    <col min="52" max="16384" width="8.85546875" style="436"/>
  </cols>
  <sheetData>
    <row r="1" spans="1:55" s="434" customFormat="1" ht="41.45" customHeight="1" x14ac:dyDescent="0.25">
      <c r="A1" s="446"/>
      <c r="B1" s="441"/>
      <c r="C1" s="441"/>
      <c r="D1" s="441"/>
      <c r="E1" s="441"/>
      <c r="F1" s="441"/>
      <c r="G1" s="441"/>
      <c r="H1" s="441"/>
      <c r="I1" s="441"/>
      <c r="J1" s="441"/>
      <c r="K1" s="441"/>
      <c r="L1" s="444"/>
      <c r="M1" s="441"/>
      <c r="N1" s="449"/>
      <c r="O1" s="449"/>
      <c r="P1" s="449"/>
      <c r="Q1" s="440"/>
      <c r="R1" s="440" t="s">
        <v>600</v>
      </c>
      <c r="S1" s="449"/>
      <c r="T1" s="440"/>
      <c r="U1" s="440"/>
      <c r="V1" s="440"/>
      <c r="W1" s="440"/>
      <c r="X1" s="453"/>
      <c r="Y1" s="454"/>
      <c r="Z1" s="454"/>
      <c r="AA1" s="441"/>
      <c r="AB1" s="442"/>
      <c r="AC1" s="449"/>
      <c r="AD1" s="506"/>
      <c r="AE1" s="929"/>
      <c r="AF1" s="929" t="s">
        <v>600</v>
      </c>
      <c r="AG1" s="461"/>
      <c r="AH1" s="455"/>
      <c r="AI1" s="461"/>
      <c r="AJ1" s="462"/>
      <c r="AK1" s="466"/>
      <c r="AL1" s="372"/>
      <c r="AM1" s="913"/>
      <c r="AN1" s="913"/>
      <c r="AW1" s="44"/>
      <c r="AX1" s="44"/>
    </row>
    <row r="2" spans="1:55" s="434" customFormat="1" ht="15.6" customHeight="1" x14ac:dyDescent="0.25">
      <c r="A2" s="549" t="s">
        <v>418</v>
      </c>
      <c r="B2" s="444"/>
      <c r="C2" s="444"/>
      <c r="D2" s="444"/>
      <c r="E2" s="444"/>
      <c r="F2" s="444"/>
      <c r="G2" s="444"/>
      <c r="H2" s="444"/>
      <c r="I2" s="444"/>
      <c r="J2" s="444"/>
      <c r="K2" s="444"/>
      <c r="L2" s="444"/>
      <c r="M2" s="444"/>
      <c r="N2" s="450"/>
      <c r="O2" s="450"/>
      <c r="P2" s="450"/>
      <c r="Q2" s="703"/>
      <c r="R2" s="703"/>
      <c r="S2" s="451"/>
      <c r="T2" s="443"/>
      <c r="U2" s="443"/>
      <c r="V2" s="443"/>
      <c r="W2" s="443"/>
      <c r="X2" s="456"/>
      <c r="Y2" s="457"/>
      <c r="Z2" s="457"/>
      <c r="AA2" s="444"/>
      <c r="AB2" s="445"/>
      <c r="AC2" s="450"/>
      <c r="AD2" s="507"/>
      <c r="AE2" s="463"/>
      <c r="AF2" s="463"/>
      <c r="AG2" s="463"/>
      <c r="AH2" s="458"/>
      <c r="AI2" s="463"/>
      <c r="AJ2" s="464"/>
      <c r="AK2" s="467"/>
      <c r="AL2" s="372"/>
      <c r="AM2" s="913"/>
      <c r="AN2" s="913"/>
      <c r="AU2" s="44"/>
      <c r="AV2" s="44"/>
    </row>
    <row r="3" spans="1:55" s="435" customFormat="1" ht="15.6" customHeight="1" x14ac:dyDescent="0.25">
      <c r="A3" s="951">
        <f>Definition!B23</f>
        <v>42856</v>
      </c>
      <c r="B3" s="952"/>
      <c r="C3" s="952"/>
      <c r="D3" s="444"/>
      <c r="E3" s="444"/>
      <c r="F3" s="444"/>
      <c r="G3" s="444"/>
      <c r="H3" s="444"/>
      <c r="I3" s="444"/>
      <c r="J3" s="444"/>
      <c r="K3" s="444"/>
      <c r="L3" s="444"/>
      <c r="M3" s="444"/>
      <c r="N3" s="450"/>
      <c r="O3" s="450"/>
      <c r="P3" s="450"/>
      <c r="Q3" s="703"/>
      <c r="R3" s="703"/>
      <c r="S3" s="451"/>
      <c r="T3" s="443"/>
      <c r="U3" s="443"/>
      <c r="V3" s="443"/>
      <c r="W3" s="443"/>
      <c r="X3" s="456"/>
      <c r="Y3" s="457"/>
      <c r="Z3" s="457"/>
      <c r="AA3" s="444"/>
      <c r="AB3" s="445"/>
      <c r="AC3" s="450"/>
      <c r="AD3" s="507"/>
      <c r="AE3" s="463"/>
      <c r="AF3" s="463"/>
      <c r="AG3" s="463"/>
      <c r="AH3" s="458"/>
      <c r="AI3" s="463"/>
      <c r="AJ3" s="464"/>
      <c r="AK3" s="467"/>
      <c r="AL3" s="373"/>
      <c r="AM3" s="913"/>
      <c r="AN3" s="913"/>
      <c r="AU3" s="45"/>
      <c r="AV3" s="45"/>
    </row>
    <row r="4" spans="1:55" s="470" customFormat="1" ht="15.75" customHeight="1" x14ac:dyDescent="0.25">
      <c r="A4" s="500" t="s">
        <v>497</v>
      </c>
      <c r="B4" s="500" t="s">
        <v>395</v>
      </c>
      <c r="C4" s="500" t="s">
        <v>918</v>
      </c>
      <c r="D4" s="500" t="s">
        <v>523</v>
      </c>
      <c r="E4" s="500" t="s">
        <v>919</v>
      </c>
      <c r="F4" s="500" t="s">
        <v>0</v>
      </c>
      <c r="G4" s="500" t="s">
        <v>920</v>
      </c>
      <c r="H4" s="500" t="s">
        <v>921</v>
      </c>
      <c r="I4" s="500" t="s">
        <v>922</v>
      </c>
      <c r="J4" s="500" t="s">
        <v>522</v>
      </c>
      <c r="K4" s="500" t="s">
        <v>923</v>
      </c>
      <c r="L4" s="500" t="s">
        <v>553</v>
      </c>
      <c r="M4" s="500" t="s">
        <v>924</v>
      </c>
      <c r="N4" s="500" t="s">
        <v>1</v>
      </c>
      <c r="O4" s="501" t="s">
        <v>1306</v>
      </c>
      <c r="P4" s="501" t="s">
        <v>851</v>
      </c>
      <c r="Q4" s="501" t="s">
        <v>2</v>
      </c>
      <c r="R4" s="546" t="s">
        <v>3</v>
      </c>
      <c r="S4" s="565" t="s">
        <v>489</v>
      </c>
      <c r="T4" s="500" t="s">
        <v>496</v>
      </c>
      <c r="U4" s="501" t="s">
        <v>1237</v>
      </c>
      <c r="V4" s="500" t="s">
        <v>401</v>
      </c>
      <c r="W4" s="501" t="s">
        <v>852</v>
      </c>
      <c r="X4" s="502" t="s">
        <v>853</v>
      </c>
      <c r="Y4" s="566" t="s">
        <v>926</v>
      </c>
      <c r="Z4" s="501" t="s">
        <v>925</v>
      </c>
      <c r="AA4" s="750" t="s">
        <v>490</v>
      </c>
      <c r="AB4" s="500" t="s">
        <v>491</v>
      </c>
      <c r="AC4" s="567" t="s">
        <v>500</v>
      </c>
      <c r="AD4" s="568" t="s">
        <v>495</v>
      </c>
      <c r="AE4" s="503" t="s">
        <v>1075</v>
      </c>
      <c r="AF4" s="504" t="s">
        <v>1121</v>
      </c>
      <c r="AG4" s="504" t="s">
        <v>1118</v>
      </c>
      <c r="AH4" s="504" t="s">
        <v>1119</v>
      </c>
      <c r="AI4" s="505" t="s">
        <v>1178</v>
      </c>
      <c r="AJ4" s="569" t="s">
        <v>1179</v>
      </c>
      <c r="AK4" s="569" t="s">
        <v>1200</v>
      </c>
      <c r="AL4" s="469"/>
      <c r="AM4" s="914" t="s">
        <v>2</v>
      </c>
      <c r="AN4" s="914" t="s">
        <v>3</v>
      </c>
      <c r="BB4" s="471"/>
      <c r="BC4" s="471"/>
    </row>
    <row r="5" spans="1:55" s="374" customFormat="1" ht="15.75" customHeight="1" x14ac:dyDescent="0.25">
      <c r="A5" s="570" t="s">
        <v>499</v>
      </c>
      <c r="B5" s="551" t="s">
        <v>380</v>
      </c>
      <c r="C5" s="551" t="s">
        <v>524</v>
      </c>
      <c r="D5" s="551" t="s">
        <v>237</v>
      </c>
      <c r="E5" s="551" t="s">
        <v>530</v>
      </c>
      <c r="F5" s="551" t="s">
        <v>237</v>
      </c>
      <c r="G5" s="551" t="s">
        <v>534</v>
      </c>
      <c r="H5" s="551" t="s">
        <v>670</v>
      </c>
      <c r="I5" s="551" t="s">
        <v>671</v>
      </c>
      <c r="J5" s="551" t="s">
        <v>675</v>
      </c>
      <c r="K5" s="551" t="s">
        <v>676</v>
      </c>
      <c r="L5" s="551" t="s">
        <v>238</v>
      </c>
      <c r="M5" s="551" t="s">
        <v>236</v>
      </c>
      <c r="N5" s="571">
        <v>97.386718999999999</v>
      </c>
      <c r="O5" s="571">
        <v>25.415482000000001</v>
      </c>
      <c r="P5" s="572">
        <v>0</v>
      </c>
      <c r="Q5" s="776">
        <v>66</v>
      </c>
      <c r="R5" s="776">
        <v>344</v>
      </c>
      <c r="S5" s="574">
        <f>IF(CampList[[#This Row],[HH]]&gt;0,CampList[[#This Row],[Total]]/CampList[[#This Row],[HH]],"NA")</f>
        <v>5.2121212121212119</v>
      </c>
      <c r="T5" s="553" t="s">
        <v>510</v>
      </c>
      <c r="U5" s="553" t="s">
        <v>1180</v>
      </c>
      <c r="V5" s="553" t="s">
        <v>553</v>
      </c>
      <c r="W5" s="553" t="s">
        <v>802</v>
      </c>
      <c r="X5" s="794">
        <v>40695</v>
      </c>
      <c r="Y5" s="576">
        <v>1</v>
      </c>
      <c r="Z5" s="575" t="s">
        <v>459</v>
      </c>
      <c r="AA5" s="551" t="s">
        <v>841</v>
      </c>
      <c r="AB5" s="577"/>
      <c r="AC5" s="578">
        <v>42919</v>
      </c>
      <c r="AD5" s="579" t="s">
        <v>1636</v>
      </c>
      <c r="AE5" s="580" t="s">
        <v>1088</v>
      </c>
      <c r="AF5" s="402">
        <f>IF(CampList[[#This Row],[Type of Accomodation]]="camp",MAX(0,CampList[[#This Row],[HH]]-SUMIF(Table_Shelter[Pcode],CampList[[#This Row],[CP_Pcode]],Table_Shelter[HH Covered2])),0)</f>
        <v>6</v>
      </c>
      <c r="AG5" s="553"/>
      <c r="AH5" s="577">
        <f>MIN(CampList[[#This Row],[Shelter Gap]],CampList[[#This Row],[Land Status]])</f>
        <v>6</v>
      </c>
      <c r="AI5" s="553" t="str">
        <f ca="1">IFERROR(OFFSET(DistanceToCamp[Nearest Town],MATCH(CampList[[#This Row],[CP_Pcode]],DistanceToCamp[CP_Pcode],0)-1,0,1,1),"")</f>
        <v>Myitkyina Town</v>
      </c>
      <c r="AJ5" s="581">
        <f ca="1">IFERROR(OFFSET(DistanceToCamp[distance],MATCH(CampList[[#This Row],[CP_Pcode]],DistanceToCamp[CP_Pcode],0)-1,0,1,1),"")</f>
        <v>3.1341427522963001</v>
      </c>
      <c r="AK5" s="582">
        <f ca="1">IFERROR(INT(CampList[[#This Row],[Distance]]/5)+1,"")</f>
        <v>1</v>
      </c>
      <c r="AM5" s="913"/>
      <c r="AN5" s="913"/>
    </row>
    <row r="6" spans="1:55" s="374" customFormat="1" ht="15.75" customHeight="1" x14ac:dyDescent="0.25">
      <c r="A6" s="570" t="s">
        <v>499</v>
      </c>
      <c r="B6" s="551" t="s">
        <v>380</v>
      </c>
      <c r="C6" s="551" t="s">
        <v>524</v>
      </c>
      <c r="D6" s="551" t="s">
        <v>237</v>
      </c>
      <c r="E6" s="551" t="s">
        <v>530</v>
      </c>
      <c r="F6" s="551" t="s">
        <v>237</v>
      </c>
      <c r="G6" s="551" t="s">
        <v>534</v>
      </c>
      <c r="H6" s="551" t="s">
        <v>670</v>
      </c>
      <c r="I6" s="551" t="s">
        <v>671</v>
      </c>
      <c r="J6" s="551" t="s">
        <v>679</v>
      </c>
      <c r="K6" s="551"/>
      <c r="L6" s="551" t="s">
        <v>269</v>
      </c>
      <c r="M6" s="551" t="s">
        <v>268</v>
      </c>
      <c r="N6" s="571">
        <v>97.394547000000003</v>
      </c>
      <c r="O6" s="571">
        <v>25.422194000000001</v>
      </c>
      <c r="P6" s="572">
        <v>0</v>
      </c>
      <c r="Q6" s="776">
        <v>65</v>
      </c>
      <c r="R6" s="776">
        <v>292</v>
      </c>
      <c r="S6" s="574">
        <f>IF(CampList[[#This Row],[HH]]&gt;0,CampList[[#This Row],[Total]]/CampList[[#This Row],[HH]],"NA")</f>
        <v>4.4923076923076923</v>
      </c>
      <c r="T6" s="553" t="s">
        <v>510</v>
      </c>
      <c r="U6" s="553" t="s">
        <v>1180</v>
      </c>
      <c r="V6" s="553" t="s">
        <v>553</v>
      </c>
      <c r="W6" s="553" t="s">
        <v>802</v>
      </c>
      <c r="X6" s="794">
        <v>40695</v>
      </c>
      <c r="Y6" s="576">
        <v>1</v>
      </c>
      <c r="Z6" s="575" t="s">
        <v>459</v>
      </c>
      <c r="AA6" s="551" t="s">
        <v>841</v>
      </c>
      <c r="AB6" s="577"/>
      <c r="AC6" s="578">
        <v>42919</v>
      </c>
      <c r="AD6" s="579" t="s">
        <v>1637</v>
      </c>
      <c r="AE6" s="580" t="s">
        <v>1088</v>
      </c>
      <c r="AF6" s="402">
        <f>IF(CampList[[#This Row],[Type of Accomodation]]="camp",MAX(0,CampList[[#This Row],[HH]]-SUMIF(Table_Shelter[Pcode],CampList[[#This Row],[CP_Pcode]],Table_Shelter[HH Covered2])),0)</f>
        <v>0</v>
      </c>
      <c r="AG6" s="402"/>
      <c r="AH6" s="577">
        <f>MIN(CampList[[#This Row],[Shelter Gap]],CampList[[#This Row],[Land Status]])</f>
        <v>0</v>
      </c>
      <c r="AI6" s="553" t="str">
        <f ca="1">IFERROR(OFFSET(DistanceToCamp[Nearest Town],MATCH(CampList[[#This Row],[CP_Pcode]],DistanceToCamp[CP_Pcode],0)-1,0,1,1),"")</f>
        <v>Myitkyina Town</v>
      </c>
      <c r="AJ6" s="581">
        <f ca="1">IFERROR(OFFSET(DistanceToCamp[distance],MATCH(CampList[[#This Row],[CP_Pcode]],DistanceToCamp[CP_Pcode],0)-1,0,1,1),"")</f>
        <v>3.8820329084732199</v>
      </c>
      <c r="AK6" s="582">
        <f ca="1">IFERROR(INT(CampList[[#This Row],[Distance]]/5)+1,"")</f>
        <v>1</v>
      </c>
      <c r="AM6" s="913"/>
      <c r="AN6" s="913"/>
    </row>
    <row r="7" spans="1:55" s="374" customFormat="1" ht="15.75" customHeight="1" x14ac:dyDescent="0.25">
      <c r="A7" s="570" t="s">
        <v>499</v>
      </c>
      <c r="B7" s="551" t="s">
        <v>380</v>
      </c>
      <c r="C7" s="551" t="s">
        <v>524</v>
      </c>
      <c r="D7" s="551" t="s">
        <v>237</v>
      </c>
      <c r="E7" s="551" t="s">
        <v>530</v>
      </c>
      <c r="F7" s="551" t="s">
        <v>237</v>
      </c>
      <c r="G7" s="551" t="s">
        <v>534</v>
      </c>
      <c r="H7" s="551" t="s">
        <v>670</v>
      </c>
      <c r="I7" s="551" t="s">
        <v>671</v>
      </c>
      <c r="J7" s="551" t="s">
        <v>675</v>
      </c>
      <c r="K7" s="551" t="s">
        <v>676</v>
      </c>
      <c r="L7" s="551" t="s">
        <v>251</v>
      </c>
      <c r="M7" s="551" t="s">
        <v>250</v>
      </c>
      <c r="N7" s="571">
        <v>97.377662999999998</v>
      </c>
      <c r="O7" s="571">
        <v>25.404752999999999</v>
      </c>
      <c r="P7" s="572">
        <v>0</v>
      </c>
      <c r="Q7" s="776">
        <v>31</v>
      </c>
      <c r="R7" s="776">
        <v>170</v>
      </c>
      <c r="S7" s="574">
        <f>IF(CampList[[#This Row],[HH]]&gt;0,CampList[[#This Row],[Total]]/CampList[[#This Row],[HH]],"NA")</f>
        <v>5.4838709677419351</v>
      </c>
      <c r="T7" s="553" t="s">
        <v>510</v>
      </c>
      <c r="U7" s="553" t="s">
        <v>1180</v>
      </c>
      <c r="V7" s="553" t="s">
        <v>553</v>
      </c>
      <c r="W7" s="553" t="s">
        <v>802</v>
      </c>
      <c r="X7" s="794">
        <v>40725</v>
      </c>
      <c r="Y7" s="576">
        <v>1</v>
      </c>
      <c r="Z7" s="575" t="s">
        <v>459</v>
      </c>
      <c r="AA7" s="551" t="s">
        <v>841</v>
      </c>
      <c r="AB7" s="577"/>
      <c r="AC7" s="578">
        <v>42919</v>
      </c>
      <c r="AD7" s="579" t="s">
        <v>1638</v>
      </c>
      <c r="AE7" s="580" t="s">
        <v>1088</v>
      </c>
      <c r="AF7" s="402">
        <f>IF(CampList[[#This Row],[Type of Accomodation]]="camp",MAX(0,CampList[[#This Row],[HH]]-SUMIF(Table_Shelter[Pcode],CampList[[#This Row],[CP_Pcode]],Table_Shelter[HH Covered2])),0)</f>
        <v>11</v>
      </c>
      <c r="AG7" s="553"/>
      <c r="AH7" s="577">
        <f>MIN(CampList[[#This Row],[Shelter Gap]],CampList[[#This Row],[Land Status]])</f>
        <v>11</v>
      </c>
      <c r="AI7" s="553" t="str">
        <f ca="1">IFERROR(OFFSET(DistanceToCamp[Nearest Town],MATCH(CampList[[#This Row],[CP_Pcode]],DistanceToCamp[CP_Pcode],0)-1,0,1,1),"")</f>
        <v>Myitkyina Town</v>
      </c>
      <c r="AJ7" s="581">
        <f ca="1">IFERROR(OFFSET(DistanceToCamp[distance],MATCH(CampList[[#This Row],[CP_Pcode]],DistanceToCamp[CP_Pcode],0)-1,0,1,1),"")</f>
        <v>2.3045478259125423</v>
      </c>
      <c r="AK7" s="582">
        <f ca="1">IFERROR(INT(CampList[[#This Row],[Distance]]/5)+1,"")</f>
        <v>1</v>
      </c>
      <c r="AM7" s="913"/>
      <c r="AN7" s="913"/>
    </row>
    <row r="8" spans="1:55" s="374" customFormat="1" ht="15.75" customHeight="1" x14ac:dyDescent="0.25">
      <c r="A8" s="570" t="s">
        <v>499</v>
      </c>
      <c r="B8" s="551" t="s">
        <v>380</v>
      </c>
      <c r="C8" s="551" t="s">
        <v>524</v>
      </c>
      <c r="D8" s="551" t="s">
        <v>237</v>
      </c>
      <c r="E8" s="551" t="s">
        <v>530</v>
      </c>
      <c r="F8" s="551" t="s">
        <v>237</v>
      </c>
      <c r="G8" s="551" t="s">
        <v>534</v>
      </c>
      <c r="H8" s="551" t="s">
        <v>670</v>
      </c>
      <c r="I8" s="551" t="s">
        <v>671</v>
      </c>
      <c r="J8" s="551" t="s">
        <v>675</v>
      </c>
      <c r="K8" s="551" t="s">
        <v>676</v>
      </c>
      <c r="L8" s="551" t="s">
        <v>249</v>
      </c>
      <c r="M8" s="551" t="s">
        <v>248</v>
      </c>
      <c r="N8" s="571">
        <v>97.389778000000007</v>
      </c>
      <c r="O8" s="571">
        <v>25.417733999999999</v>
      </c>
      <c r="P8" s="572">
        <v>0</v>
      </c>
      <c r="Q8" s="776">
        <v>4</v>
      </c>
      <c r="R8" s="776">
        <v>22</v>
      </c>
      <c r="S8" s="574">
        <f>IF(CampList[[#This Row],[HH]]&gt;0,CampList[[#This Row],[Total]]/CampList[[#This Row],[HH]],"NA")</f>
        <v>5.5</v>
      </c>
      <c r="T8" s="553" t="s">
        <v>510</v>
      </c>
      <c r="U8" s="553" t="s">
        <v>1180</v>
      </c>
      <c r="V8" s="553" t="s">
        <v>553</v>
      </c>
      <c r="W8" s="553" t="s">
        <v>802</v>
      </c>
      <c r="X8" s="794">
        <v>40756</v>
      </c>
      <c r="Y8" s="576">
        <v>1</v>
      </c>
      <c r="Z8" s="575" t="s">
        <v>504</v>
      </c>
      <c r="AA8" s="551" t="s">
        <v>841</v>
      </c>
      <c r="AB8" s="577"/>
      <c r="AC8" s="578">
        <v>42915</v>
      </c>
      <c r="AD8" s="579" t="s">
        <v>1605</v>
      </c>
      <c r="AE8" s="580" t="s">
        <v>1088</v>
      </c>
      <c r="AF8" s="402">
        <f>IF(CampList[[#This Row],[Type of Accomodation]]="camp",MAX(0,CampList[[#This Row],[HH]]-SUMIF(Table_Shelter[Pcode],CampList[[#This Row],[CP_Pcode]],Table_Shelter[HH Covered2])),0)</f>
        <v>0</v>
      </c>
      <c r="AG8" s="553"/>
      <c r="AH8" s="577">
        <f>MIN(CampList[[#This Row],[Shelter Gap]],CampList[[#This Row],[Land Status]])</f>
        <v>0</v>
      </c>
      <c r="AI8" s="553" t="str">
        <f ca="1">IFERROR(OFFSET(DistanceToCamp[Nearest Town],MATCH(CampList[[#This Row],[CP_Pcode]],DistanceToCamp[CP_Pcode],0)-1,0,1,1),"")</f>
        <v>Myitkyina Town</v>
      </c>
      <c r="AJ8" s="581">
        <f ca="1">IFERROR(OFFSET(DistanceToCamp[distance],MATCH(CampList[[#This Row],[CP_Pcode]],DistanceToCamp[CP_Pcode],0)-1,0,1,1),"")</f>
        <v>3.3637010801853577</v>
      </c>
      <c r="AK8" s="582">
        <f ca="1">IFERROR(INT(CampList[[#This Row],[Distance]]/5)+1,"")</f>
        <v>1</v>
      </c>
      <c r="AM8" s="913"/>
      <c r="AN8" s="913"/>
    </row>
    <row r="9" spans="1:55" s="374" customFormat="1" ht="15.75" customHeight="1" x14ac:dyDescent="0.25">
      <c r="A9" s="570" t="s">
        <v>499</v>
      </c>
      <c r="B9" s="551" t="s">
        <v>380</v>
      </c>
      <c r="C9" s="551" t="s">
        <v>524</v>
      </c>
      <c r="D9" s="551" t="s">
        <v>237</v>
      </c>
      <c r="E9" s="551" t="s">
        <v>530</v>
      </c>
      <c r="F9" s="551" t="s">
        <v>237</v>
      </c>
      <c r="G9" s="551" t="s">
        <v>534</v>
      </c>
      <c r="H9" s="551" t="s">
        <v>670</v>
      </c>
      <c r="I9" s="551" t="s">
        <v>671</v>
      </c>
      <c r="J9" s="551" t="s">
        <v>675</v>
      </c>
      <c r="K9" s="551" t="s">
        <v>676</v>
      </c>
      <c r="L9" s="551" t="s">
        <v>275</v>
      </c>
      <c r="M9" s="551" t="s">
        <v>274</v>
      </c>
      <c r="N9" s="571">
        <v>97.382192000000003</v>
      </c>
      <c r="O9" s="571">
        <v>25.404015000000001</v>
      </c>
      <c r="P9" s="572">
        <v>0</v>
      </c>
      <c r="Q9" s="776">
        <v>46</v>
      </c>
      <c r="R9" s="776">
        <v>238</v>
      </c>
      <c r="S9" s="574">
        <f>IF(CampList[[#This Row],[HH]]&gt;0,CampList[[#This Row],[Total]]/CampList[[#This Row],[HH]],"NA")</f>
        <v>5.1739130434782608</v>
      </c>
      <c r="T9" s="553" t="s">
        <v>510</v>
      </c>
      <c r="U9" s="553" t="s">
        <v>1180</v>
      </c>
      <c r="V9" s="553" t="s">
        <v>553</v>
      </c>
      <c r="W9" s="553" t="s">
        <v>802</v>
      </c>
      <c r="X9" s="794">
        <v>40817</v>
      </c>
      <c r="Y9" s="576">
        <v>1</v>
      </c>
      <c r="Z9" s="575" t="s">
        <v>459</v>
      </c>
      <c r="AA9" s="551" t="s">
        <v>841</v>
      </c>
      <c r="AB9" s="577"/>
      <c r="AC9" s="578">
        <v>42919</v>
      </c>
      <c r="AD9" s="579" t="s">
        <v>1639</v>
      </c>
      <c r="AE9" s="580" t="s">
        <v>1088</v>
      </c>
      <c r="AF9" s="402">
        <f>IF(CampList[[#This Row],[Type of Accomodation]]="camp",MAX(0,CampList[[#This Row],[HH]]-SUMIF(Table_Shelter[Pcode],CampList[[#This Row],[CP_Pcode]],Table_Shelter[HH Covered2])),0)</f>
        <v>14</v>
      </c>
      <c r="AG9" s="553"/>
      <c r="AH9" s="577">
        <f>MIN(CampList[[#This Row],[Shelter Gap]],CampList[[#This Row],[Land Status]])</f>
        <v>14</v>
      </c>
      <c r="AI9" s="553" t="str">
        <f ca="1">IFERROR(OFFSET(DistanceToCamp[Nearest Town],MATCH(CampList[[#This Row],[CP_Pcode]],DistanceToCamp[CP_Pcode],0)-1,0,1,1),"")</f>
        <v>Myitkyina Town</v>
      </c>
      <c r="AJ9" s="581">
        <f ca="1">IFERROR(OFFSET(DistanceToCamp[distance],MATCH(CampList[[#This Row],[CP_Pcode]],DistanceToCamp[CP_Pcode],0)-1,0,1,1),"")</f>
        <v>2.0123527499589278</v>
      </c>
      <c r="AK9" s="582">
        <f ca="1">IFERROR(INT(CampList[[#This Row],[Distance]]/5)+1,"")</f>
        <v>1</v>
      </c>
      <c r="AM9" s="913"/>
      <c r="AN9" s="913"/>
    </row>
    <row r="10" spans="1:55" s="374" customFormat="1" ht="15.75" customHeight="1" x14ac:dyDescent="0.25">
      <c r="A10" s="570" t="s">
        <v>499</v>
      </c>
      <c r="B10" s="551" t="s">
        <v>380</v>
      </c>
      <c r="C10" s="551" t="s">
        <v>524</v>
      </c>
      <c r="D10" s="551" t="s">
        <v>237</v>
      </c>
      <c r="E10" s="551" t="s">
        <v>530</v>
      </c>
      <c r="F10" s="551" t="s">
        <v>237</v>
      </c>
      <c r="G10" s="551" t="s">
        <v>534</v>
      </c>
      <c r="H10" s="551" t="s">
        <v>670</v>
      </c>
      <c r="I10" s="551" t="s">
        <v>671</v>
      </c>
      <c r="J10" s="551" t="s">
        <v>680</v>
      </c>
      <c r="K10" s="551" t="s">
        <v>681</v>
      </c>
      <c r="L10" s="551" t="s">
        <v>277</v>
      </c>
      <c r="M10" s="551" t="s">
        <v>276</v>
      </c>
      <c r="N10" s="571">
        <v>97.399628000000007</v>
      </c>
      <c r="O10" s="571">
        <v>25.412313000000001</v>
      </c>
      <c r="P10" s="572">
        <v>0</v>
      </c>
      <c r="Q10" s="776">
        <v>118</v>
      </c>
      <c r="R10" s="776">
        <v>529</v>
      </c>
      <c r="S10" s="574">
        <f>IF(CampList[[#This Row],[HH]]&gt;0,CampList[[#This Row],[Total]]/CampList[[#This Row],[HH]],"NA")</f>
        <v>4.4830508474576272</v>
      </c>
      <c r="T10" s="553" t="s">
        <v>510</v>
      </c>
      <c r="U10" s="553" t="s">
        <v>1180</v>
      </c>
      <c r="V10" s="553" t="s">
        <v>553</v>
      </c>
      <c r="W10" s="553" t="s">
        <v>802</v>
      </c>
      <c r="X10" s="794">
        <v>40756</v>
      </c>
      <c r="Y10" s="576">
        <v>2</v>
      </c>
      <c r="Z10" s="575" t="s">
        <v>459</v>
      </c>
      <c r="AA10" s="551" t="s">
        <v>841</v>
      </c>
      <c r="AB10" s="577"/>
      <c r="AC10" s="578">
        <v>42919</v>
      </c>
      <c r="AD10" s="579" t="s">
        <v>1640</v>
      </c>
      <c r="AE10" s="580" t="s">
        <v>1088</v>
      </c>
      <c r="AF10" s="402">
        <f>IF(CampList[[#This Row],[Type of Accomodation]]="camp",MAX(0,CampList[[#This Row],[HH]]-SUMIF(Table_Shelter[Pcode],CampList[[#This Row],[CP_Pcode]],Table_Shelter[HH Covered2])),0)</f>
        <v>54</v>
      </c>
      <c r="AG10" s="553"/>
      <c r="AH10" s="577">
        <f>MIN(CampList[[#This Row],[Shelter Gap]],CampList[[#This Row],[Land Status]])</f>
        <v>54</v>
      </c>
      <c r="AI10" s="553" t="str">
        <f ca="1">IFERROR(OFFSET(DistanceToCamp[Nearest Town],MATCH(CampList[[#This Row],[CP_Pcode]],DistanceToCamp[CP_Pcode],0)-1,0,1,1),"")</f>
        <v>Myitkyina Town</v>
      </c>
      <c r="AJ10" s="581">
        <f ca="1">IFERROR(OFFSET(DistanceToCamp[distance],MATCH(CampList[[#This Row],[CP_Pcode]],DistanceToCamp[CP_Pcode],0)-1,0,1,1),"")</f>
        <v>2.9133254097712102</v>
      </c>
      <c r="AK10" s="582">
        <f ca="1">IFERROR(INT(CampList[[#This Row],[Distance]]/5)+1,"")</f>
        <v>1</v>
      </c>
      <c r="AM10" s="913"/>
      <c r="AN10" s="913"/>
    </row>
    <row r="11" spans="1:55" s="374" customFormat="1" ht="15.75" customHeight="1" x14ac:dyDescent="0.25">
      <c r="A11" s="570" t="s">
        <v>499</v>
      </c>
      <c r="B11" s="551" t="s">
        <v>380</v>
      </c>
      <c r="C11" s="551" t="s">
        <v>524</v>
      </c>
      <c r="D11" s="551" t="s">
        <v>237</v>
      </c>
      <c r="E11" s="551" t="s">
        <v>530</v>
      </c>
      <c r="F11" s="551" t="s">
        <v>237</v>
      </c>
      <c r="G11" s="551" t="s">
        <v>534</v>
      </c>
      <c r="H11" s="551" t="s">
        <v>670</v>
      </c>
      <c r="I11" s="551" t="s">
        <v>671</v>
      </c>
      <c r="J11" s="551" t="s">
        <v>680</v>
      </c>
      <c r="K11" s="551" t="s">
        <v>681</v>
      </c>
      <c r="L11" s="551" t="s">
        <v>279</v>
      </c>
      <c r="M11" s="551" t="s">
        <v>278</v>
      </c>
      <c r="N11" s="571">
        <v>97.418004999999994</v>
      </c>
      <c r="O11" s="571">
        <v>25.423817</v>
      </c>
      <c r="P11" s="572">
        <v>0</v>
      </c>
      <c r="Q11" s="776">
        <v>22</v>
      </c>
      <c r="R11" s="776">
        <v>111</v>
      </c>
      <c r="S11" s="574">
        <f>IF(CampList[[#This Row],[HH]]&gt;0,CampList[[#This Row],[Total]]/CampList[[#This Row],[HH]],"NA")</f>
        <v>5.0454545454545459</v>
      </c>
      <c r="T11" s="553" t="s">
        <v>510</v>
      </c>
      <c r="U11" s="553" t="s">
        <v>1180</v>
      </c>
      <c r="V11" s="553" t="s">
        <v>553</v>
      </c>
      <c r="W11" s="553" t="s">
        <v>802</v>
      </c>
      <c r="X11" s="794">
        <v>40909</v>
      </c>
      <c r="Y11" s="576">
        <v>1</v>
      </c>
      <c r="Z11" s="575" t="s">
        <v>504</v>
      </c>
      <c r="AA11" s="551" t="s">
        <v>841</v>
      </c>
      <c r="AB11" s="577"/>
      <c r="AC11" s="578">
        <v>42915</v>
      </c>
      <c r="AD11" s="579" t="s">
        <v>1606</v>
      </c>
      <c r="AE11" s="580" t="s">
        <v>1088</v>
      </c>
      <c r="AF11" s="402">
        <f>IF(CampList[[#This Row],[Type of Accomodation]]="camp",MAX(0,CampList[[#This Row],[HH]]-SUMIF(Table_Shelter[Pcode],CampList[[#This Row],[CP_Pcode]],Table_Shelter[HH Covered2])),0)</f>
        <v>22</v>
      </c>
      <c r="AG11" s="553"/>
      <c r="AH11" s="577">
        <f>MIN(CampList[[#This Row],[Shelter Gap]],CampList[[#This Row],[Land Status]])</f>
        <v>22</v>
      </c>
      <c r="AI11" s="553" t="str">
        <f ca="1">IFERROR(OFFSET(DistanceToCamp[Nearest Town],MATCH(CampList[[#This Row],[CP_Pcode]],DistanceToCamp[CP_Pcode],0)-1,0,1,1),"")</f>
        <v>Myitkyina Town</v>
      </c>
      <c r="AJ11" s="581">
        <f ca="1">IFERROR(OFFSET(DistanceToCamp[distance],MATCH(CampList[[#This Row],[CP_Pcode]],DistanceToCamp[CP_Pcode],0)-1,0,1,1),"")</f>
        <v>4.9021696969220816</v>
      </c>
      <c r="AK11" s="582">
        <f ca="1">IFERROR(INT(CampList[[#This Row],[Distance]]/5)+1,"")</f>
        <v>1</v>
      </c>
      <c r="AM11" s="913"/>
      <c r="AN11" s="913"/>
    </row>
    <row r="12" spans="1:55" s="374" customFormat="1" ht="15.75" customHeight="1" x14ac:dyDescent="0.25">
      <c r="A12" s="570" t="s">
        <v>499</v>
      </c>
      <c r="B12" s="551" t="s">
        <v>380</v>
      </c>
      <c r="C12" s="551" t="s">
        <v>524</v>
      </c>
      <c r="D12" s="551" t="s">
        <v>237</v>
      </c>
      <c r="E12" s="551" t="s">
        <v>530</v>
      </c>
      <c r="F12" s="551" t="s">
        <v>237</v>
      </c>
      <c r="G12" s="551" t="s">
        <v>534</v>
      </c>
      <c r="H12" s="579" t="s">
        <v>670</v>
      </c>
      <c r="I12" s="579" t="s">
        <v>671</v>
      </c>
      <c r="J12" s="579" t="s">
        <v>688</v>
      </c>
      <c r="K12" s="579" t="s">
        <v>689</v>
      </c>
      <c r="L12" s="551" t="s">
        <v>261</v>
      </c>
      <c r="M12" s="551" t="s">
        <v>260</v>
      </c>
      <c r="N12" s="571">
        <v>97.418694000000002</v>
      </c>
      <c r="O12" s="571">
        <v>25.428910999999999</v>
      </c>
      <c r="P12" s="572">
        <v>0</v>
      </c>
      <c r="Q12" s="776">
        <v>104</v>
      </c>
      <c r="R12" s="776">
        <v>574</v>
      </c>
      <c r="S12" s="574">
        <f>IF(CampList[[#This Row],[HH]]&gt;0,CampList[[#This Row],[Total]]/CampList[[#This Row],[HH]],"NA")</f>
        <v>5.5192307692307692</v>
      </c>
      <c r="T12" s="553" t="s">
        <v>510</v>
      </c>
      <c r="U12" s="553" t="s">
        <v>1180</v>
      </c>
      <c r="V12" s="553" t="s">
        <v>553</v>
      </c>
      <c r="W12" s="553" t="s">
        <v>802</v>
      </c>
      <c r="X12" s="794">
        <v>40725</v>
      </c>
      <c r="Y12" s="576">
        <v>2</v>
      </c>
      <c r="Z12" s="575" t="s">
        <v>459</v>
      </c>
      <c r="AA12" s="598" t="s">
        <v>841</v>
      </c>
      <c r="AB12" s="577"/>
      <c r="AC12" s="578">
        <v>42919</v>
      </c>
      <c r="AD12" s="570" t="s">
        <v>1641</v>
      </c>
      <c r="AE12" s="580" t="s">
        <v>1088</v>
      </c>
      <c r="AF12" s="402">
        <f>IF(CampList[[#This Row],[Type of Accomodation]]="camp",MAX(0,CampList[[#This Row],[HH]]-SUMIF(Table_Shelter[Pcode],CampList[[#This Row],[CP_Pcode]],Table_Shelter[HH Covered2])),0)</f>
        <v>24</v>
      </c>
      <c r="AG12" s="553"/>
      <c r="AH12" s="577">
        <f>MIN(CampList[[#This Row],[Shelter Gap]],CampList[[#This Row],[Land Status]])</f>
        <v>24</v>
      </c>
      <c r="AI12" s="553" t="str">
        <f ca="1">IFERROR(OFFSET(DistanceToCamp[Nearest Town],MATCH(CampList[[#This Row],[CP_Pcode]],DistanceToCamp[CP_Pcode],0)-1,0,1,1),"")</f>
        <v>Myitkyina Town</v>
      </c>
      <c r="AJ12" s="581">
        <f ca="1">IFERROR(OFFSET(DistanceToCamp[distance],MATCH(CampList[[#This Row],[CP_Pcode]],DistanceToCamp[CP_Pcode],0)-1,0,1,1),"")</f>
        <v>5.4145379230647226</v>
      </c>
      <c r="AK12" s="582">
        <f ca="1">IFERROR(INT(CampList[[#This Row],[Distance]]/5)+1,"")</f>
        <v>2</v>
      </c>
      <c r="AM12" s="913"/>
      <c r="AN12" s="913"/>
    </row>
    <row r="13" spans="1:55" s="374" customFormat="1" ht="15.75" customHeight="1" x14ac:dyDescent="0.25">
      <c r="A13" s="570" t="s">
        <v>499</v>
      </c>
      <c r="B13" s="551" t="s">
        <v>380</v>
      </c>
      <c r="C13" s="551" t="s">
        <v>524</v>
      </c>
      <c r="D13" s="551" t="s">
        <v>237</v>
      </c>
      <c r="E13" s="551" t="s">
        <v>530</v>
      </c>
      <c r="F13" s="551" t="s">
        <v>237</v>
      </c>
      <c r="G13" s="551" t="s">
        <v>534</v>
      </c>
      <c r="H13" s="551" t="s">
        <v>670</v>
      </c>
      <c r="I13" s="551" t="s">
        <v>671</v>
      </c>
      <c r="J13" s="551" t="s">
        <v>690</v>
      </c>
      <c r="K13" s="551" t="s">
        <v>691</v>
      </c>
      <c r="L13" s="551" t="s">
        <v>281</v>
      </c>
      <c r="M13" s="551" t="s">
        <v>280</v>
      </c>
      <c r="N13" s="571">
        <v>97.419403000000003</v>
      </c>
      <c r="O13" s="571">
        <v>25.440928</v>
      </c>
      <c r="P13" s="572">
        <v>0</v>
      </c>
      <c r="Q13" s="776">
        <v>92</v>
      </c>
      <c r="R13" s="776">
        <v>499</v>
      </c>
      <c r="S13" s="574">
        <f>IF(CampList[[#This Row],[HH]]&gt;0,CampList[[#This Row],[Total]]/CampList[[#This Row],[HH]],"NA")</f>
        <v>5.4239130434782608</v>
      </c>
      <c r="T13" s="553" t="s">
        <v>510</v>
      </c>
      <c r="U13" s="553" t="s">
        <v>1180</v>
      </c>
      <c r="V13" s="553" t="s">
        <v>553</v>
      </c>
      <c r="W13" s="553" t="s">
        <v>802</v>
      </c>
      <c r="X13" s="794">
        <v>40725</v>
      </c>
      <c r="Y13" s="576">
        <v>2</v>
      </c>
      <c r="Z13" s="575" t="s">
        <v>459</v>
      </c>
      <c r="AA13" s="551" t="s">
        <v>841</v>
      </c>
      <c r="AB13" s="577"/>
      <c r="AC13" s="578">
        <v>42919</v>
      </c>
      <c r="AD13" s="579" t="s">
        <v>1642</v>
      </c>
      <c r="AE13" s="580" t="s">
        <v>1088</v>
      </c>
      <c r="AF13" s="402">
        <f>IF(CampList[[#This Row],[Type of Accomodation]]="camp",MAX(0,CampList[[#This Row],[HH]]-SUMIF(Table_Shelter[Pcode],CampList[[#This Row],[CP_Pcode]],Table_Shelter[HH Covered2])),0)</f>
        <v>42</v>
      </c>
      <c r="AG13" s="553"/>
      <c r="AH13" s="577">
        <f>MIN(CampList[[#This Row],[Shelter Gap]],CampList[[#This Row],[Land Status]])</f>
        <v>42</v>
      </c>
      <c r="AI13" s="553" t="str">
        <f ca="1">IFERROR(OFFSET(DistanceToCamp[Nearest Town],MATCH(CampList[[#This Row],[CP_Pcode]],DistanceToCamp[CP_Pcode],0)-1,0,1,1),"")</f>
        <v>Myitkyina Town</v>
      </c>
      <c r="AJ13" s="581">
        <f ca="1">IFERROR(OFFSET(DistanceToCamp[distance],MATCH(CampList[[#This Row],[CP_Pcode]],DistanceToCamp[CP_Pcode],0)-1,0,1,1),"")</f>
        <v>6.6198004689728469</v>
      </c>
      <c r="AK13" s="582">
        <f ca="1">IFERROR(INT(CampList[[#This Row],[Distance]]/5)+1,"")</f>
        <v>2</v>
      </c>
      <c r="AM13" s="913"/>
      <c r="AN13" s="913"/>
    </row>
    <row r="14" spans="1:55" s="374" customFormat="1" ht="15.75" customHeight="1" x14ac:dyDescent="0.25">
      <c r="A14" s="570" t="s">
        <v>499</v>
      </c>
      <c r="B14" s="551" t="s">
        <v>380</v>
      </c>
      <c r="C14" s="551" t="s">
        <v>524</v>
      </c>
      <c r="D14" s="551" t="s">
        <v>237</v>
      </c>
      <c r="E14" s="551" t="s">
        <v>530</v>
      </c>
      <c r="F14" s="551" t="s">
        <v>237</v>
      </c>
      <c r="G14" s="551" t="s">
        <v>534</v>
      </c>
      <c r="H14" s="579" t="s">
        <v>670</v>
      </c>
      <c r="I14" s="579" t="s">
        <v>671</v>
      </c>
      <c r="J14" s="579" t="s">
        <v>677</v>
      </c>
      <c r="K14" s="579" t="s">
        <v>678</v>
      </c>
      <c r="L14" s="551" t="s">
        <v>245</v>
      </c>
      <c r="M14" s="551" t="s">
        <v>244</v>
      </c>
      <c r="N14" s="571">
        <v>97.382997575757599</v>
      </c>
      <c r="O14" s="571">
        <v>25.3959740909091</v>
      </c>
      <c r="P14" s="572">
        <v>0</v>
      </c>
      <c r="Q14" s="777">
        <v>7</v>
      </c>
      <c r="R14" s="778">
        <v>46</v>
      </c>
      <c r="S14" s="574">
        <f>IF(CampList[[#This Row],[HH]]&gt;0,CampList[[#This Row],[Total]]/CampList[[#This Row],[HH]],"NA")</f>
        <v>6.5714285714285712</v>
      </c>
      <c r="T14" s="553" t="s">
        <v>510</v>
      </c>
      <c r="U14" s="553" t="s">
        <v>1180</v>
      </c>
      <c r="V14" s="553" t="s">
        <v>553</v>
      </c>
      <c r="W14" s="553" t="s">
        <v>802</v>
      </c>
      <c r="X14" s="794">
        <v>40695</v>
      </c>
      <c r="Y14" s="576"/>
      <c r="Z14" s="575" t="s">
        <v>459</v>
      </c>
      <c r="AA14" s="552" t="s">
        <v>841</v>
      </c>
      <c r="AB14" s="577"/>
      <c r="AC14" s="578">
        <v>42919</v>
      </c>
      <c r="AD14" s="570" t="s">
        <v>1643</v>
      </c>
      <c r="AE14" s="580" t="s">
        <v>1088</v>
      </c>
      <c r="AF14" s="402">
        <f>IF(CampList[[#This Row],[Type of Accomodation]]="camp",MAX(0,CampList[[#This Row],[HH]]-SUMIF(Table_Shelter[Pcode],CampList[[#This Row],[CP_Pcode]],Table_Shelter[HH Covered2])),0)</f>
        <v>7</v>
      </c>
      <c r="AG14" s="553"/>
      <c r="AH14" s="577">
        <f>MIN(CampList[[#This Row],[Shelter Gap]],CampList[[#This Row],[Land Status]])</f>
        <v>7</v>
      </c>
      <c r="AI14" s="553" t="str">
        <f ca="1">IFERROR(OFFSET(DistanceToCamp[Nearest Town],MATCH(CampList[[#This Row],[CP_Pcode]],DistanceToCamp[CP_Pcode],0)-1,0,1,1),"")</f>
        <v>Myitkyina Town</v>
      </c>
      <c r="AJ14" s="581">
        <f ca="1">IFERROR(OFFSET(DistanceToCamp[distance],MATCH(CampList[[#This Row],[CP_Pcode]],DistanceToCamp[CP_Pcode],0)-1,0,1,1),"")</f>
        <v>1.1985969617964649</v>
      </c>
      <c r="AK14" s="582">
        <f ca="1">IFERROR(INT(CampList[[#This Row],[Distance]]/5)+1,"")</f>
        <v>1</v>
      </c>
      <c r="AM14" s="913"/>
      <c r="AN14" s="913"/>
    </row>
    <row r="15" spans="1:55" s="374" customFormat="1" ht="15.75" customHeight="1" x14ac:dyDescent="0.25">
      <c r="A15" s="570" t="s">
        <v>499</v>
      </c>
      <c r="B15" s="551" t="s">
        <v>380</v>
      </c>
      <c r="C15" s="551" t="s">
        <v>524</v>
      </c>
      <c r="D15" s="551" t="s">
        <v>237</v>
      </c>
      <c r="E15" s="551" t="s">
        <v>530</v>
      </c>
      <c r="F15" s="551" t="s">
        <v>237</v>
      </c>
      <c r="G15" s="551" t="s">
        <v>534</v>
      </c>
      <c r="H15" s="579" t="s">
        <v>670</v>
      </c>
      <c r="I15" s="579" t="s">
        <v>671</v>
      </c>
      <c r="J15" s="579" t="s">
        <v>677</v>
      </c>
      <c r="K15" s="579" t="s">
        <v>678</v>
      </c>
      <c r="L15" s="551" t="s">
        <v>247</v>
      </c>
      <c r="M15" s="551" t="s">
        <v>246</v>
      </c>
      <c r="N15" s="571">
        <v>97.381325000000004</v>
      </c>
      <c r="O15" s="571">
        <v>25.396492500000001</v>
      </c>
      <c r="P15" s="572">
        <v>0</v>
      </c>
      <c r="Q15" s="777">
        <v>31</v>
      </c>
      <c r="R15" s="778">
        <v>118</v>
      </c>
      <c r="S15" s="574">
        <f>IF(CampList[[#This Row],[HH]]&gt;0,CampList[[#This Row],[Total]]/CampList[[#This Row],[HH]],"NA")</f>
        <v>3.806451612903226</v>
      </c>
      <c r="T15" s="553" t="s">
        <v>510</v>
      </c>
      <c r="U15" s="553" t="s">
        <v>1180</v>
      </c>
      <c r="V15" s="553" t="s">
        <v>553</v>
      </c>
      <c r="W15" s="553" t="s">
        <v>802</v>
      </c>
      <c r="X15" s="794">
        <v>40695</v>
      </c>
      <c r="Y15" s="576">
        <v>2</v>
      </c>
      <c r="Z15" s="575" t="s">
        <v>459</v>
      </c>
      <c r="AA15" s="598" t="s">
        <v>841</v>
      </c>
      <c r="AB15" s="577"/>
      <c r="AC15" s="578">
        <v>42919</v>
      </c>
      <c r="AD15" s="570" t="s">
        <v>1644</v>
      </c>
      <c r="AE15" s="580" t="s">
        <v>1088</v>
      </c>
      <c r="AF15" s="402">
        <f>IF(CampList[[#This Row],[Type of Accomodation]]="camp",MAX(0,CampList[[#This Row],[HH]]-SUMIF(Table_Shelter[Pcode],CampList[[#This Row],[CP_Pcode]],Table_Shelter[HH Covered2])),0)</f>
        <v>28</v>
      </c>
      <c r="AG15" s="553"/>
      <c r="AH15" s="577">
        <f>MIN(CampList[[#This Row],[Shelter Gap]],CampList[[#This Row],[Land Status]])</f>
        <v>28</v>
      </c>
      <c r="AI15" s="553" t="str">
        <f ca="1">IFERROR(OFFSET(DistanceToCamp[Nearest Town],MATCH(CampList[[#This Row],[CP_Pcode]],DistanceToCamp[CP_Pcode],0)-1,0,1,1),"")</f>
        <v>Myitkyina Town</v>
      </c>
      <c r="AJ15" s="581">
        <f ca="1">IFERROR(OFFSET(DistanceToCamp[distance],MATCH(CampList[[#This Row],[CP_Pcode]],DistanceToCamp[CP_Pcode],0)-1,0,1,1),"")</f>
        <v>1.3510454549069482</v>
      </c>
      <c r="AK15" s="582">
        <f ca="1">IFERROR(INT(CampList[[#This Row],[Distance]]/5)+1,"")</f>
        <v>1</v>
      </c>
      <c r="AM15" s="913"/>
      <c r="AN15" s="913"/>
    </row>
    <row r="16" spans="1:55" s="374" customFormat="1" ht="15.75" customHeight="1" x14ac:dyDescent="0.25">
      <c r="A16" s="570" t="s">
        <v>499</v>
      </c>
      <c r="B16" s="551" t="s">
        <v>380</v>
      </c>
      <c r="C16" s="551" t="s">
        <v>524</v>
      </c>
      <c r="D16" s="551" t="s">
        <v>237</v>
      </c>
      <c r="E16" s="551" t="s">
        <v>530</v>
      </c>
      <c r="F16" s="551" t="s">
        <v>237</v>
      </c>
      <c r="G16" s="551" t="s">
        <v>534</v>
      </c>
      <c r="H16" s="579" t="s">
        <v>670</v>
      </c>
      <c r="I16" s="579" t="s">
        <v>671</v>
      </c>
      <c r="J16" s="579" t="s">
        <v>677</v>
      </c>
      <c r="K16" s="579" t="s">
        <v>678</v>
      </c>
      <c r="L16" s="551" t="s">
        <v>243</v>
      </c>
      <c r="M16" s="551" t="s">
        <v>242</v>
      </c>
      <c r="N16" s="571">
        <v>97.384729629629604</v>
      </c>
      <c r="O16" s="571">
        <v>25.4002701851852</v>
      </c>
      <c r="P16" s="572">
        <v>0</v>
      </c>
      <c r="Q16" s="777">
        <v>6</v>
      </c>
      <c r="R16" s="778">
        <v>32</v>
      </c>
      <c r="S16" s="574">
        <f>IF(CampList[[#This Row],[HH]]&gt;0,CampList[[#This Row],[Total]]/CampList[[#This Row],[HH]],"NA")</f>
        <v>5.333333333333333</v>
      </c>
      <c r="T16" s="553" t="s">
        <v>510</v>
      </c>
      <c r="U16" s="553" t="s">
        <v>1180</v>
      </c>
      <c r="V16" s="553" t="s">
        <v>553</v>
      </c>
      <c r="W16" s="553" t="s">
        <v>802</v>
      </c>
      <c r="X16" s="794">
        <v>40695</v>
      </c>
      <c r="Y16" s="576"/>
      <c r="Z16" s="575" t="s">
        <v>459</v>
      </c>
      <c r="AA16" s="552" t="s">
        <v>841</v>
      </c>
      <c r="AB16" s="577"/>
      <c r="AC16" s="578">
        <v>42919</v>
      </c>
      <c r="AD16" s="570" t="s">
        <v>1643</v>
      </c>
      <c r="AE16" s="580" t="s">
        <v>1088</v>
      </c>
      <c r="AF16" s="402">
        <f>IF(CampList[[#This Row],[Type of Accomodation]]="camp",MAX(0,CampList[[#This Row],[HH]]-SUMIF(Table_Shelter[Pcode],CampList[[#This Row],[CP_Pcode]],Table_Shelter[HH Covered2])),0)</f>
        <v>3</v>
      </c>
      <c r="AG16" s="553"/>
      <c r="AH16" s="577">
        <f>MIN(CampList[[#This Row],[Shelter Gap]],CampList[[#This Row],[Land Status]])</f>
        <v>3</v>
      </c>
      <c r="AI16" s="553" t="str">
        <f ca="1">IFERROR(OFFSET(DistanceToCamp[Nearest Town],MATCH(CampList[[#This Row],[CP_Pcode]],DistanceToCamp[CP_Pcode],0)-1,0,1,1),"")</f>
        <v>Myitkyina Town</v>
      </c>
      <c r="AJ16" s="581">
        <f ca="1">IFERROR(OFFSET(DistanceToCamp[distance],MATCH(CampList[[#This Row],[CP_Pcode]],DistanceToCamp[CP_Pcode],0)-1,0,1,1),"")</f>
        <v>1.5295244799681529</v>
      </c>
      <c r="AK16" s="582">
        <f ca="1">IFERROR(INT(CampList[[#This Row],[Distance]]/5)+1,"")</f>
        <v>1</v>
      </c>
      <c r="AM16" s="913"/>
      <c r="AN16" s="913"/>
    </row>
    <row r="17" spans="1:40" s="374" customFormat="1" ht="15.75" customHeight="1" x14ac:dyDescent="0.25">
      <c r="A17" s="570" t="s">
        <v>499</v>
      </c>
      <c r="B17" s="551" t="s">
        <v>380</v>
      </c>
      <c r="C17" s="551" t="s">
        <v>524</v>
      </c>
      <c r="D17" s="551" t="s">
        <v>237</v>
      </c>
      <c r="E17" s="551" t="s">
        <v>530</v>
      </c>
      <c r="F17" s="551" t="s">
        <v>237</v>
      </c>
      <c r="G17" s="551" t="s">
        <v>534</v>
      </c>
      <c r="H17" s="579" t="s">
        <v>670</v>
      </c>
      <c r="I17" s="579" t="s">
        <v>671</v>
      </c>
      <c r="J17" s="579" t="s">
        <v>684</v>
      </c>
      <c r="K17" s="579" t="s">
        <v>685</v>
      </c>
      <c r="L17" s="551" t="s">
        <v>257</v>
      </c>
      <c r="M17" s="551" t="s">
        <v>256</v>
      </c>
      <c r="N17" s="571">
        <v>97.405202777777802</v>
      </c>
      <c r="O17" s="571">
        <v>25.3660036111111</v>
      </c>
      <c r="P17" s="572">
        <v>0</v>
      </c>
      <c r="Q17" s="776">
        <v>42</v>
      </c>
      <c r="R17" s="776">
        <v>186</v>
      </c>
      <c r="S17" s="574">
        <f>IF(CampList[[#This Row],[HH]]&gt;0,CampList[[#This Row],[Total]]/CampList[[#This Row],[HH]],"NA")</f>
        <v>4.4285714285714288</v>
      </c>
      <c r="T17" s="553" t="s">
        <v>510</v>
      </c>
      <c r="U17" s="553" t="s">
        <v>1180</v>
      </c>
      <c r="V17" s="553" t="s">
        <v>553</v>
      </c>
      <c r="W17" s="553" t="s">
        <v>802</v>
      </c>
      <c r="X17" s="794">
        <v>40909</v>
      </c>
      <c r="Y17" s="576">
        <v>1</v>
      </c>
      <c r="Z17" s="575" t="s">
        <v>459</v>
      </c>
      <c r="AA17" s="598" t="s">
        <v>841</v>
      </c>
      <c r="AB17" s="577"/>
      <c r="AC17" s="578">
        <v>42919</v>
      </c>
      <c r="AD17" s="570" t="s">
        <v>1645</v>
      </c>
      <c r="AE17" s="580" t="s">
        <v>1088</v>
      </c>
      <c r="AF17" s="402">
        <f>IF(CampList[[#This Row],[Type of Accomodation]]="camp",MAX(0,CampList[[#This Row],[HH]]-SUMIF(Table_Shelter[Pcode],CampList[[#This Row],[CP_Pcode]],Table_Shelter[HH Covered2])),0)</f>
        <v>37</v>
      </c>
      <c r="AG17" s="553"/>
      <c r="AH17" s="577">
        <f>MIN(CampList[[#This Row],[Shelter Gap]],CampList[[#This Row],[Land Status]])</f>
        <v>37</v>
      </c>
      <c r="AI17" s="553" t="str">
        <f ca="1">IFERROR(OFFSET(DistanceToCamp[Nearest Town],MATCH(CampList[[#This Row],[CP_Pcode]],DistanceToCamp[CP_Pcode],0)-1,0,1,1),"")</f>
        <v>Myitkyina Town</v>
      </c>
      <c r="AJ17" s="581">
        <f ca="1">IFERROR(OFFSET(DistanceToCamp[distance],MATCH(CampList[[#This Row],[CP_Pcode]],DistanceToCamp[CP_Pcode],0)-1,0,1,1),"")</f>
        <v>2.8164250706222882</v>
      </c>
      <c r="AK17" s="582">
        <f ca="1">IFERROR(INT(CampList[[#This Row],[Distance]]/5)+1,"")</f>
        <v>1</v>
      </c>
      <c r="AM17" s="913"/>
      <c r="AN17" s="913"/>
    </row>
    <row r="18" spans="1:40" s="374" customFormat="1" ht="15.75" customHeight="1" x14ac:dyDescent="0.25">
      <c r="A18" s="570" t="s">
        <v>499</v>
      </c>
      <c r="B18" s="551" t="s">
        <v>380</v>
      </c>
      <c r="C18" s="551" t="s">
        <v>524</v>
      </c>
      <c r="D18" s="551" t="s">
        <v>237</v>
      </c>
      <c r="E18" s="551" t="s">
        <v>530</v>
      </c>
      <c r="F18" s="551" t="s">
        <v>237</v>
      </c>
      <c r="G18" s="551" t="s">
        <v>534</v>
      </c>
      <c r="H18" s="579" t="s">
        <v>670</v>
      </c>
      <c r="I18" s="579" t="s">
        <v>671</v>
      </c>
      <c r="J18" s="579" t="s">
        <v>686</v>
      </c>
      <c r="K18" s="579" t="s">
        <v>687</v>
      </c>
      <c r="L18" s="551" t="s">
        <v>285</v>
      </c>
      <c r="M18" s="551" t="s">
        <v>284</v>
      </c>
      <c r="N18" s="571">
        <v>97.403402307692303</v>
      </c>
      <c r="O18" s="571">
        <v>25.3510167948718</v>
      </c>
      <c r="P18" s="572">
        <v>0</v>
      </c>
      <c r="Q18" s="776">
        <v>139</v>
      </c>
      <c r="R18" s="776">
        <v>705</v>
      </c>
      <c r="S18" s="574">
        <f>IF(CampList[[#This Row],[HH]]&gt;0,CampList[[#This Row],[Total]]/CampList[[#This Row],[HH]],"NA")</f>
        <v>5.0719424460431659</v>
      </c>
      <c r="T18" s="553" t="s">
        <v>510</v>
      </c>
      <c r="U18" s="553" t="s">
        <v>1180</v>
      </c>
      <c r="V18" s="553" t="s">
        <v>553</v>
      </c>
      <c r="W18" s="553" t="s">
        <v>802</v>
      </c>
      <c r="X18" s="794">
        <v>40695</v>
      </c>
      <c r="Y18" s="576">
        <v>2</v>
      </c>
      <c r="Z18" s="575" t="s">
        <v>459</v>
      </c>
      <c r="AA18" s="598" t="s">
        <v>841</v>
      </c>
      <c r="AB18" s="577"/>
      <c r="AC18" s="578">
        <v>42919</v>
      </c>
      <c r="AD18" s="570" t="s">
        <v>1646</v>
      </c>
      <c r="AE18" s="580" t="s">
        <v>1088</v>
      </c>
      <c r="AF18" s="402">
        <f>IF(CampList[[#This Row],[Type of Accomodation]]="camp",MAX(0,CampList[[#This Row],[HH]]-SUMIF(Table_Shelter[Pcode],CampList[[#This Row],[CP_Pcode]],Table_Shelter[HH Covered2])),0)</f>
        <v>14</v>
      </c>
      <c r="AG18" s="553"/>
      <c r="AH18" s="577">
        <f>MIN(CampList[[#This Row],[Shelter Gap]],CampList[[#This Row],[Land Status]])</f>
        <v>14</v>
      </c>
      <c r="AI18" s="553" t="str">
        <f ca="1">IFERROR(OFFSET(DistanceToCamp[Nearest Town],MATCH(CampList[[#This Row],[CP_Pcode]],DistanceToCamp[CP_Pcode],0)-1,0,1,1),"")</f>
        <v>Myitkyina Town</v>
      </c>
      <c r="AJ18" s="581">
        <f ca="1">IFERROR(OFFSET(DistanceToCamp[distance],MATCH(CampList[[#This Row],[CP_Pcode]],DistanceToCamp[CP_Pcode],0)-1,0,1,1),"")</f>
        <v>4.262018365878137</v>
      </c>
      <c r="AK18" s="582">
        <f ca="1">IFERROR(INT(CampList[[#This Row],[Distance]]/5)+1,"")</f>
        <v>1</v>
      </c>
      <c r="AM18" s="913"/>
      <c r="AN18" s="913"/>
    </row>
    <row r="19" spans="1:40" s="374" customFormat="1" ht="15.75" customHeight="1" x14ac:dyDescent="0.25">
      <c r="A19" s="570" t="s">
        <v>499</v>
      </c>
      <c r="B19" s="551" t="s">
        <v>380</v>
      </c>
      <c r="C19" s="551" t="s">
        <v>524</v>
      </c>
      <c r="D19" s="551" t="s">
        <v>237</v>
      </c>
      <c r="E19" s="551" t="s">
        <v>530</v>
      </c>
      <c r="F19" s="551" t="s">
        <v>237</v>
      </c>
      <c r="G19" s="551" t="s">
        <v>534</v>
      </c>
      <c r="H19" s="579" t="s">
        <v>670</v>
      </c>
      <c r="I19" s="579" t="s">
        <v>671</v>
      </c>
      <c r="J19" s="579" t="s">
        <v>686</v>
      </c>
      <c r="K19" s="579" t="s">
        <v>687</v>
      </c>
      <c r="L19" s="551" t="s">
        <v>240</v>
      </c>
      <c r="M19" s="551" t="s">
        <v>239</v>
      </c>
      <c r="N19" s="571">
        <v>97.409035000000003</v>
      </c>
      <c r="O19" s="571">
        <v>25.362420757575801</v>
      </c>
      <c r="P19" s="572">
        <v>0</v>
      </c>
      <c r="Q19" s="776">
        <v>105</v>
      </c>
      <c r="R19" s="776">
        <v>580</v>
      </c>
      <c r="S19" s="574">
        <f>IF(CampList[[#This Row],[HH]]&gt;0,CampList[[#This Row],[Total]]/CampList[[#This Row],[HH]],"NA")</f>
        <v>5.5238095238095237</v>
      </c>
      <c r="T19" s="553" t="s">
        <v>510</v>
      </c>
      <c r="U19" s="553" t="s">
        <v>1180</v>
      </c>
      <c r="V19" s="553" t="s">
        <v>553</v>
      </c>
      <c r="W19" s="553" t="s">
        <v>802</v>
      </c>
      <c r="X19" s="794">
        <v>40603</v>
      </c>
      <c r="Y19" s="576">
        <v>2</v>
      </c>
      <c r="Z19" s="575" t="s">
        <v>459</v>
      </c>
      <c r="AA19" s="598" t="s">
        <v>841</v>
      </c>
      <c r="AB19" s="577"/>
      <c r="AC19" s="578">
        <v>42919</v>
      </c>
      <c r="AD19" s="570" t="s">
        <v>1647</v>
      </c>
      <c r="AE19" s="580" t="s">
        <v>1088</v>
      </c>
      <c r="AF19" s="402">
        <f>IF(CampList[[#This Row],[Type of Accomodation]]="camp",MAX(0,CampList[[#This Row],[HH]]-SUMIF(Table_Shelter[Pcode],CampList[[#This Row],[CP_Pcode]],Table_Shelter[HH Covered2])),0)</f>
        <v>81</v>
      </c>
      <c r="AG19" s="553"/>
      <c r="AH19" s="577">
        <f>MIN(CampList[[#This Row],[Shelter Gap]],CampList[[#This Row],[Land Status]])</f>
        <v>81</v>
      </c>
      <c r="AI19" s="553" t="str">
        <f ca="1">IFERROR(OFFSET(DistanceToCamp[Nearest Town],MATCH(CampList[[#This Row],[CP_Pcode]],DistanceToCamp[CP_Pcode],0)-1,0,1,1),"")</f>
        <v>Myitkyina Town</v>
      </c>
      <c r="AJ19" s="581">
        <f ca="1">IFERROR(OFFSET(DistanceToCamp[distance],MATCH(CampList[[#This Row],[CP_Pcode]],DistanceToCamp[CP_Pcode],0)-1,0,1,1),"")</f>
        <v>3.3602711423118103</v>
      </c>
      <c r="AK19" s="582">
        <f ca="1">IFERROR(INT(CampList[[#This Row],[Distance]]/5)+1,"")</f>
        <v>1</v>
      </c>
      <c r="AM19" s="913"/>
      <c r="AN19" s="913"/>
    </row>
    <row r="20" spans="1:40" s="374" customFormat="1" ht="15.75" customHeight="1" x14ac:dyDescent="0.25">
      <c r="A20" s="570" t="s">
        <v>499</v>
      </c>
      <c r="B20" s="551" t="s">
        <v>380</v>
      </c>
      <c r="C20" s="551" t="s">
        <v>524</v>
      </c>
      <c r="D20" s="551" t="s">
        <v>237</v>
      </c>
      <c r="E20" s="551" t="s">
        <v>530</v>
      </c>
      <c r="F20" s="551" t="s">
        <v>237</v>
      </c>
      <c r="G20" s="551" t="s">
        <v>534</v>
      </c>
      <c r="H20" s="579" t="s">
        <v>670</v>
      </c>
      <c r="I20" s="579" t="s">
        <v>671</v>
      </c>
      <c r="J20" s="588" t="s">
        <v>1358</v>
      </c>
      <c r="K20" s="588"/>
      <c r="L20" s="551" t="s">
        <v>259</v>
      </c>
      <c r="M20" s="551" t="s">
        <v>258</v>
      </c>
      <c r="N20" s="571">
        <v>97.4113064583333</v>
      </c>
      <c r="O20" s="571">
        <v>25.360463124999999</v>
      </c>
      <c r="P20" s="572">
        <v>0</v>
      </c>
      <c r="Q20" s="776">
        <v>62</v>
      </c>
      <c r="R20" s="776">
        <v>309</v>
      </c>
      <c r="S20" s="574">
        <f>IF(CampList[[#This Row],[HH]]&gt;0,CampList[[#This Row],[Total]]/CampList[[#This Row],[HH]],"NA")</f>
        <v>4.9838709677419351</v>
      </c>
      <c r="T20" s="553" t="s">
        <v>510</v>
      </c>
      <c r="U20" s="553" t="s">
        <v>1180</v>
      </c>
      <c r="V20" s="553" t="s">
        <v>553</v>
      </c>
      <c r="W20" s="553" t="s">
        <v>802</v>
      </c>
      <c r="X20" s="794">
        <v>40756</v>
      </c>
      <c r="Y20" s="576">
        <v>2</v>
      </c>
      <c r="Z20" s="575" t="s">
        <v>459</v>
      </c>
      <c r="AA20" s="598" t="s">
        <v>841</v>
      </c>
      <c r="AB20" s="577"/>
      <c r="AC20" s="578">
        <v>42919</v>
      </c>
      <c r="AD20" s="570" t="s">
        <v>1648</v>
      </c>
      <c r="AE20" s="580" t="s">
        <v>1088</v>
      </c>
      <c r="AF20" s="402">
        <f>IF(CampList[[#This Row],[Type of Accomodation]]="camp",MAX(0,CampList[[#This Row],[HH]]-SUMIF(Table_Shelter[Pcode],CampList[[#This Row],[CP_Pcode]],Table_Shelter[HH Covered2])),0)</f>
        <v>42</v>
      </c>
      <c r="AG20" s="553"/>
      <c r="AH20" s="577">
        <f>MIN(CampList[[#This Row],[Shelter Gap]],CampList[[#This Row],[Land Status]])</f>
        <v>42</v>
      </c>
      <c r="AI20" s="553" t="str">
        <f ca="1">IFERROR(OFFSET(DistanceToCamp[Nearest Town],MATCH(CampList[[#This Row],[CP_Pcode]],DistanceToCamp[CP_Pcode],0)-1,0,1,1),"")</f>
        <v>Waingmaw Town</v>
      </c>
      <c r="AJ20" s="581">
        <f ca="1">IFERROR(OFFSET(DistanceToCamp[distance],MATCH(CampList[[#This Row],[CP_Pcode]],DistanceToCamp[CP_Pcode],0)-1,0,1,1),"")</f>
        <v>3.3362307375127798</v>
      </c>
      <c r="AK20" s="582">
        <f ca="1">IFERROR(INT(CampList[[#This Row],[Distance]]/5)+1,"")</f>
        <v>1</v>
      </c>
      <c r="AM20" s="913"/>
      <c r="AN20" s="913"/>
    </row>
    <row r="21" spans="1:40" s="374" customFormat="1" ht="15.75" hidden="1" customHeight="1" x14ac:dyDescent="0.25">
      <c r="A21" s="570" t="s">
        <v>842</v>
      </c>
      <c r="B21" s="551" t="s">
        <v>380</v>
      </c>
      <c r="C21" s="551" t="s">
        <v>524</v>
      </c>
      <c r="D21" s="551" t="s">
        <v>180</v>
      </c>
      <c r="E21" s="551" t="s">
        <v>525</v>
      </c>
      <c r="F21" s="551" t="s">
        <v>526</v>
      </c>
      <c r="G21" s="551" t="s">
        <v>527</v>
      </c>
      <c r="H21" s="579" t="s">
        <v>611</v>
      </c>
      <c r="I21" s="579" t="s">
        <v>612</v>
      </c>
      <c r="J21" s="579" t="s">
        <v>611</v>
      </c>
      <c r="K21" s="579">
        <v>166773</v>
      </c>
      <c r="L21" s="551" t="s">
        <v>128</v>
      </c>
      <c r="M21" s="551" t="s">
        <v>127</v>
      </c>
      <c r="N21" s="571">
        <v>96.359549999999999</v>
      </c>
      <c r="O21" s="571">
        <v>25.658650000000002</v>
      </c>
      <c r="P21" s="591"/>
      <c r="Q21" s="705">
        <v>0</v>
      </c>
      <c r="R21" s="706">
        <v>0</v>
      </c>
      <c r="S21" s="574" t="str">
        <f>IF(CampList[[#This Row],[HH]]&gt;0,CampList[[#This Row],[Total]]/CampList[[#This Row],[HH]],"NA")</f>
        <v>NA</v>
      </c>
      <c r="T21" s="553" t="s">
        <v>510</v>
      </c>
      <c r="U21" s="583" t="s">
        <v>1180</v>
      </c>
      <c r="V21" s="553" t="s">
        <v>553</v>
      </c>
      <c r="W21" s="583"/>
      <c r="X21" s="600"/>
      <c r="Y21" s="591"/>
      <c r="Z21" s="601"/>
      <c r="AA21" s="598"/>
      <c r="AB21" s="577"/>
      <c r="AC21" s="604"/>
      <c r="AD21" s="570" t="s">
        <v>600</v>
      </c>
      <c r="AE21" s="609" t="s">
        <v>1006</v>
      </c>
      <c r="AF21" s="402">
        <f>IF(CampList[[#This Row],[Type of Accomodation]]="camp",MAX(0,CampList[[#This Row],[HH]]-SUMIF(Table_Shelter[Pcode],CampList[[#This Row],[CP_Pcode]],Table_Shelter[HH Covered2])),0)</f>
        <v>0</v>
      </c>
      <c r="AG21" s="553"/>
      <c r="AH21" s="577">
        <f>MIN(CampList[[#This Row],[Shelter Gap]],CampList[[#This Row],[Land Status]])</f>
        <v>0</v>
      </c>
      <c r="AI21" s="553" t="str">
        <f ca="1">IFERROR(OFFSET(DistanceToCamp[Nearest Town],MATCH(CampList[[#This Row],[CP_Pcode]],DistanceToCamp[CP_Pcode],0)-1,0,1,1),"")</f>
        <v/>
      </c>
      <c r="AJ21" s="581" t="str">
        <f ca="1">IFERROR(OFFSET(DistanceToCamp[distance],MATCH(CampList[[#This Row],[CP_Pcode]],DistanceToCamp[CP_Pcode],0)-1,0,1,1),"")</f>
        <v/>
      </c>
      <c r="AK21" s="582" t="str">
        <f ca="1">IFERROR(INT(CampList[[#This Row],[Distance]]/5)+1,"")</f>
        <v/>
      </c>
      <c r="AM21" s="913"/>
      <c r="AN21" s="913"/>
    </row>
    <row r="22" spans="1:40" s="374" customFormat="1" ht="15.75" customHeight="1" x14ac:dyDescent="0.25">
      <c r="A22" s="570" t="s">
        <v>499</v>
      </c>
      <c r="B22" s="551" t="s">
        <v>380</v>
      </c>
      <c r="C22" s="551" t="s">
        <v>524</v>
      </c>
      <c r="D22" s="551" t="s">
        <v>237</v>
      </c>
      <c r="E22" s="551" t="s">
        <v>530</v>
      </c>
      <c r="F22" s="551" t="s">
        <v>237</v>
      </c>
      <c r="G22" s="551" t="s">
        <v>534</v>
      </c>
      <c r="H22" s="579" t="s">
        <v>670</v>
      </c>
      <c r="I22" s="579" t="s">
        <v>671</v>
      </c>
      <c r="J22" s="551" t="s">
        <v>672</v>
      </c>
      <c r="K22" s="551"/>
      <c r="L22" s="551" t="s">
        <v>253</v>
      </c>
      <c r="M22" s="551" t="s">
        <v>252</v>
      </c>
      <c r="N22" s="611">
        <v>97.373361000000003</v>
      </c>
      <c r="O22" s="611">
        <v>25.403476999999999</v>
      </c>
      <c r="P22" s="572">
        <v>0</v>
      </c>
      <c r="Q22" s="776">
        <v>200</v>
      </c>
      <c r="R22" s="776">
        <v>1112</v>
      </c>
      <c r="S22" s="574">
        <f>IF(CampList[[#This Row],[HH]]&gt;0,CampList[[#This Row],[Total]]/CampList[[#This Row],[HH]],"NA")</f>
        <v>5.56</v>
      </c>
      <c r="T22" s="553" t="s">
        <v>510</v>
      </c>
      <c r="U22" s="553" t="s">
        <v>1180</v>
      </c>
      <c r="V22" s="553" t="s">
        <v>553</v>
      </c>
      <c r="W22" s="553" t="s">
        <v>802</v>
      </c>
      <c r="X22" s="794">
        <v>40725</v>
      </c>
      <c r="Y22" s="576">
        <v>2</v>
      </c>
      <c r="Z22" s="575" t="s">
        <v>459</v>
      </c>
      <c r="AA22" s="598" t="s">
        <v>841</v>
      </c>
      <c r="AB22" s="577"/>
      <c r="AC22" s="578">
        <v>42919</v>
      </c>
      <c r="AD22" s="570" t="s">
        <v>1649</v>
      </c>
      <c r="AE22" s="580" t="s">
        <v>1088</v>
      </c>
      <c r="AF22" s="402">
        <f>IF(CampList[[#This Row],[Type of Accomodation]]="camp",MAX(0,CampList[[#This Row],[HH]]-SUMIF(Table_Shelter[Pcode],CampList[[#This Row],[CP_Pcode]],Table_Shelter[HH Covered2])),0)</f>
        <v>40</v>
      </c>
      <c r="AG22" s="553"/>
      <c r="AH22" s="577">
        <f>MIN(CampList[[#This Row],[Shelter Gap]],CampList[[#This Row],[Land Status]])</f>
        <v>40</v>
      </c>
      <c r="AI22" s="553" t="str">
        <f ca="1">IFERROR(OFFSET(DistanceToCamp[Nearest Town],MATCH(CampList[[#This Row],[CP_Pcode]],DistanceToCamp[CP_Pcode],0)-1,0,1,1),"")</f>
        <v>Myitkyina Town</v>
      </c>
      <c r="AJ22" s="581">
        <f ca="1">IFERROR(OFFSET(DistanceToCamp[distance],MATCH(CampList[[#This Row],[CP_Pcode]],DistanceToCamp[CP_Pcode],0)-1,0,1,1),"")</f>
        <v>2.4647367211404561</v>
      </c>
      <c r="AK22" s="582">
        <f ca="1">IFERROR(INT(CampList[[#This Row],[Distance]]/5)+1,"")</f>
        <v>1</v>
      </c>
      <c r="AM22" s="913"/>
      <c r="AN22" s="913"/>
    </row>
    <row r="23" spans="1:40" s="374" customFormat="1" ht="15.75" customHeight="1" x14ac:dyDescent="0.25">
      <c r="A23" s="589" t="s">
        <v>499</v>
      </c>
      <c r="B23" s="552" t="s">
        <v>380</v>
      </c>
      <c r="C23" s="552" t="s">
        <v>524</v>
      </c>
      <c r="D23" s="552" t="s">
        <v>237</v>
      </c>
      <c r="E23" s="552" t="s">
        <v>530</v>
      </c>
      <c r="F23" s="552" t="s">
        <v>237</v>
      </c>
      <c r="G23" s="552" t="s">
        <v>534</v>
      </c>
      <c r="H23" s="552" t="s">
        <v>670</v>
      </c>
      <c r="I23" s="590" t="s">
        <v>671</v>
      </c>
      <c r="J23" s="552" t="s">
        <v>672</v>
      </c>
      <c r="K23" s="552"/>
      <c r="L23" s="552" t="s">
        <v>255</v>
      </c>
      <c r="M23" s="552" t="s">
        <v>254</v>
      </c>
      <c r="N23" s="573">
        <v>97.379594999999995</v>
      </c>
      <c r="O23" s="573">
        <v>25.401061110000001</v>
      </c>
      <c r="P23" s="592"/>
      <c r="Q23" s="776">
        <v>122</v>
      </c>
      <c r="R23" s="776">
        <v>595</v>
      </c>
      <c r="S23" s="574">
        <f>IF(CampList[[#This Row],[HH]]&gt;0,CampList[[#This Row],[Total]]/CampList[[#This Row],[HH]],"NA")</f>
        <v>4.8770491803278686</v>
      </c>
      <c r="T23" s="402" t="s">
        <v>510</v>
      </c>
      <c r="U23" s="553" t="s">
        <v>1180</v>
      </c>
      <c r="V23" s="402" t="s">
        <v>553</v>
      </c>
      <c r="W23" s="402" t="s">
        <v>802</v>
      </c>
      <c r="X23" s="795">
        <v>40725</v>
      </c>
      <c r="Y23" s="592">
        <v>3</v>
      </c>
      <c r="Z23" s="592" t="s">
        <v>1085</v>
      </c>
      <c r="AA23" s="552" t="s">
        <v>841</v>
      </c>
      <c r="AB23" s="573"/>
      <c r="AC23" s="578">
        <v>42915</v>
      </c>
      <c r="AD23" s="594" t="s">
        <v>1582</v>
      </c>
      <c r="AE23" s="580" t="s">
        <v>1088</v>
      </c>
      <c r="AF23" s="595">
        <f>IF(CampList[[#This Row],[Type of Accomodation]]="camp",MAX(0,CampList[[#This Row],[HH]]-SUMIF(Table_Shelter[Pcode],CampList[[#This Row],[CP_Pcode]],Table_Shelter[HH Covered2])),0)</f>
        <v>42</v>
      </c>
      <c r="AG23" s="402"/>
      <c r="AH23" s="572">
        <f>MIN(CampList[[#This Row],[Shelter Gap]],CampList[[#This Row],[Land Status]])</f>
        <v>42</v>
      </c>
      <c r="AI23" s="595" t="str">
        <f ca="1">IFERROR(OFFSET(DistanceToCamp[Nearest Town],MATCH(CampList[[#This Row],[CP_Pcode]],DistanceToCamp[CP_Pcode],0)-1,0,1,1),"")</f>
        <v>Myitkyina Town</v>
      </c>
      <c r="AJ23" s="581">
        <f ca="1">IFERROR(OFFSET(DistanceToCamp[distance],MATCH(CampList[[#This Row],[CP_Pcode]],DistanceToCamp[CP_Pcode],0)-1,0,1,1),"")</f>
        <v>1.8563710010113432</v>
      </c>
      <c r="AK23" s="596">
        <f ca="1">IFERROR(INT(CampList[[#This Row],[Distance]]/5)+1,"")</f>
        <v>1</v>
      </c>
      <c r="AM23" s="913"/>
      <c r="AN23" s="913"/>
    </row>
    <row r="24" spans="1:40" s="374" customFormat="1" ht="15.75" customHeight="1" x14ac:dyDescent="0.25">
      <c r="A24" s="570" t="s">
        <v>499</v>
      </c>
      <c r="B24" s="551" t="s">
        <v>380</v>
      </c>
      <c r="C24" s="551" t="s">
        <v>524</v>
      </c>
      <c r="D24" s="551" t="s">
        <v>237</v>
      </c>
      <c r="E24" s="551" t="s">
        <v>530</v>
      </c>
      <c r="F24" s="551" t="s">
        <v>237</v>
      </c>
      <c r="G24" s="551" t="s">
        <v>534</v>
      </c>
      <c r="H24" s="579" t="s">
        <v>647</v>
      </c>
      <c r="I24" s="579" t="s">
        <v>648</v>
      </c>
      <c r="J24" s="579" t="s">
        <v>647</v>
      </c>
      <c r="K24" s="579">
        <v>165698</v>
      </c>
      <c r="L24" s="551" t="s">
        <v>263</v>
      </c>
      <c r="M24" s="551" t="s">
        <v>262</v>
      </c>
      <c r="N24" s="571">
        <v>97.2843958974359</v>
      </c>
      <c r="O24" s="571">
        <v>25.374343974359</v>
      </c>
      <c r="P24" s="572">
        <v>0</v>
      </c>
      <c r="Q24" s="776">
        <v>23</v>
      </c>
      <c r="R24" s="776">
        <v>93</v>
      </c>
      <c r="S24" s="574">
        <f>IF(CampList[[#This Row],[HH]]&gt;0,CampList[[#This Row],[Total]]/CampList[[#This Row],[HH]],"NA")</f>
        <v>4.0434782608695654</v>
      </c>
      <c r="T24" s="553" t="s">
        <v>510</v>
      </c>
      <c r="U24" s="553" t="s">
        <v>1180</v>
      </c>
      <c r="V24" s="553" t="s">
        <v>553</v>
      </c>
      <c r="W24" s="553" t="s">
        <v>855</v>
      </c>
      <c r="X24" s="794">
        <v>40817</v>
      </c>
      <c r="Y24" s="576">
        <v>1</v>
      </c>
      <c r="Z24" s="575" t="s">
        <v>504</v>
      </c>
      <c r="AA24" s="598" t="s">
        <v>841</v>
      </c>
      <c r="AB24" s="577"/>
      <c r="AC24" s="578">
        <v>42915</v>
      </c>
      <c r="AD24" s="570" t="s">
        <v>1607</v>
      </c>
      <c r="AE24" s="580" t="s">
        <v>1088</v>
      </c>
      <c r="AF24" s="402">
        <f>IF(CampList[[#This Row],[Type of Accomodation]]="camp",MAX(0,CampList[[#This Row],[HH]]-SUMIF(Table_Shelter[Pcode],CampList[[#This Row],[CP_Pcode]],Table_Shelter[HH Covered2])),0)</f>
        <v>0</v>
      </c>
      <c r="AG24" s="553"/>
      <c r="AH24" s="577">
        <f>MIN(CampList[[#This Row],[Shelter Gap]],CampList[[#This Row],[Land Status]])</f>
        <v>0</v>
      </c>
      <c r="AI24" s="553" t="str">
        <f ca="1">IFERROR(OFFSET(DistanceToCamp[Nearest Town],MATCH(CampList[[#This Row],[CP_Pcode]],DistanceToCamp[CP_Pcode],0)-1,0,1,1),"")</f>
        <v>Myitkyina Town</v>
      </c>
      <c r="AJ24" s="581">
        <f ca="1">IFERROR(OFFSET(DistanceToCamp[distance],MATCH(CampList[[#This Row],[CP_Pcode]],DistanceToCamp[CP_Pcode],0)-1,0,1,1),"")</f>
        <v>10.744749696609457</v>
      </c>
      <c r="AK24" s="582">
        <f ca="1">IFERROR(INT(CampList[[#This Row],[Distance]]/5)+1,"")</f>
        <v>3</v>
      </c>
      <c r="AM24" s="913"/>
      <c r="AN24" s="913"/>
    </row>
    <row r="25" spans="1:40" s="374" customFormat="1" ht="15.75" customHeight="1" x14ac:dyDescent="0.25">
      <c r="A25" s="570" t="s">
        <v>499</v>
      </c>
      <c r="B25" s="551" t="s">
        <v>380</v>
      </c>
      <c r="C25" s="551" t="s">
        <v>524</v>
      </c>
      <c r="D25" s="551" t="s">
        <v>237</v>
      </c>
      <c r="E25" s="551" t="s">
        <v>530</v>
      </c>
      <c r="F25" s="551" t="s">
        <v>237</v>
      </c>
      <c r="G25" s="551" t="s">
        <v>534</v>
      </c>
      <c r="H25" s="579" t="s">
        <v>647</v>
      </c>
      <c r="I25" s="579" t="s">
        <v>648</v>
      </c>
      <c r="J25" s="579" t="s">
        <v>647</v>
      </c>
      <c r="K25" s="579">
        <v>165698</v>
      </c>
      <c r="L25" s="551" t="s">
        <v>265</v>
      </c>
      <c r="M25" s="551" t="s">
        <v>264</v>
      </c>
      <c r="N25" s="571">
        <v>97.290952037037002</v>
      </c>
      <c r="O25" s="571">
        <v>25.371049444444399</v>
      </c>
      <c r="P25" s="572">
        <v>476</v>
      </c>
      <c r="Q25" s="776">
        <v>15</v>
      </c>
      <c r="R25" s="776">
        <v>78</v>
      </c>
      <c r="S25" s="574">
        <f>IF(CampList[[#This Row],[HH]]&gt;0,CampList[[#This Row],[Total]]/CampList[[#This Row],[HH]],"NA")</f>
        <v>5.2</v>
      </c>
      <c r="T25" s="553" t="s">
        <v>510</v>
      </c>
      <c r="U25" s="553" t="s">
        <v>1180</v>
      </c>
      <c r="V25" s="553" t="s">
        <v>553</v>
      </c>
      <c r="W25" s="553" t="s">
        <v>855</v>
      </c>
      <c r="X25" s="794">
        <v>40817</v>
      </c>
      <c r="Y25" s="576">
        <v>1</v>
      </c>
      <c r="Z25" s="575" t="s">
        <v>504</v>
      </c>
      <c r="AA25" s="598" t="s">
        <v>841</v>
      </c>
      <c r="AB25" s="577"/>
      <c r="AC25" s="578">
        <v>42915</v>
      </c>
      <c r="AD25" s="570" t="s">
        <v>1608</v>
      </c>
      <c r="AE25" s="580" t="s">
        <v>1088</v>
      </c>
      <c r="AF25" s="402">
        <f>IF(CampList[[#This Row],[Type of Accomodation]]="camp",MAX(0,CampList[[#This Row],[HH]]-SUMIF(Table_Shelter[Pcode],CampList[[#This Row],[CP_Pcode]],Table_Shelter[HH Covered2])),0)</f>
        <v>0</v>
      </c>
      <c r="AG25" s="553"/>
      <c r="AH25" s="577">
        <f>MIN(CampList[[#This Row],[Shelter Gap]],CampList[[#This Row],[Land Status]])</f>
        <v>0</v>
      </c>
      <c r="AI25" s="553" t="str">
        <f ca="1">IFERROR(OFFSET(DistanceToCamp[Nearest Town],MATCH(CampList[[#This Row],[CP_Pcode]],DistanceToCamp[CP_Pcode],0)-1,0,1,1),"")</f>
        <v>Myitkyina Town</v>
      </c>
      <c r="AJ25" s="581">
        <f ca="1">IFERROR(OFFSET(DistanceToCamp[distance],MATCH(CampList[[#This Row],[CP_Pcode]],DistanceToCamp[CP_Pcode],0)-1,0,1,1),"")</f>
        <v>10.15228229456989</v>
      </c>
      <c r="AK25" s="582">
        <f ca="1">IFERROR(INT(CampList[[#This Row],[Distance]]/5)+1,"")</f>
        <v>3</v>
      </c>
      <c r="AM25" s="913"/>
      <c r="AN25" s="913"/>
    </row>
    <row r="26" spans="1:40" s="374" customFormat="1" ht="15.75" customHeight="1" x14ac:dyDescent="0.25">
      <c r="A26" s="570" t="s">
        <v>499</v>
      </c>
      <c r="B26" s="551" t="s">
        <v>380</v>
      </c>
      <c r="C26" s="551" t="s">
        <v>524</v>
      </c>
      <c r="D26" s="551" t="s">
        <v>237</v>
      </c>
      <c r="E26" s="551" t="s">
        <v>530</v>
      </c>
      <c r="F26" s="551" t="s">
        <v>237</v>
      </c>
      <c r="G26" s="551" t="s">
        <v>534</v>
      </c>
      <c r="H26" s="551" t="s">
        <v>670</v>
      </c>
      <c r="I26" s="551" t="s">
        <v>671</v>
      </c>
      <c r="J26" s="551" t="s">
        <v>682</v>
      </c>
      <c r="K26" s="551" t="s">
        <v>683</v>
      </c>
      <c r="L26" s="551" t="s">
        <v>283</v>
      </c>
      <c r="M26" s="551" t="s">
        <v>282</v>
      </c>
      <c r="N26" s="571">
        <v>97.403878500000005</v>
      </c>
      <c r="O26" s="571">
        <v>25.377038166666701</v>
      </c>
      <c r="P26" s="572">
        <v>0</v>
      </c>
      <c r="Q26" s="776">
        <v>7</v>
      </c>
      <c r="R26" s="776">
        <v>37</v>
      </c>
      <c r="S26" s="574">
        <f>IF(CampList[[#This Row],[HH]]&gt;0,CampList[[#This Row],[Total]]/CampList[[#This Row],[HH]],"NA")</f>
        <v>5.2857142857142856</v>
      </c>
      <c r="T26" s="553" t="s">
        <v>510</v>
      </c>
      <c r="U26" s="553" t="s">
        <v>1180</v>
      </c>
      <c r="V26" s="553" t="s">
        <v>553</v>
      </c>
      <c r="W26" s="553" t="s">
        <v>802</v>
      </c>
      <c r="X26" s="794">
        <v>41000</v>
      </c>
      <c r="Y26" s="576">
        <v>1</v>
      </c>
      <c r="Z26" s="575" t="s">
        <v>504</v>
      </c>
      <c r="AA26" s="551" t="s">
        <v>841</v>
      </c>
      <c r="AB26" s="577"/>
      <c r="AC26" s="578">
        <v>42915</v>
      </c>
      <c r="AD26" s="579" t="s">
        <v>1609</v>
      </c>
      <c r="AE26" s="580" t="s">
        <v>1088</v>
      </c>
      <c r="AF26" s="402">
        <f>IF(CampList[[#This Row],[Type of Accomodation]]="camp",MAX(0,CampList[[#This Row],[HH]]-SUMIF(Table_Shelter[Pcode],CampList[[#This Row],[CP_Pcode]],Table_Shelter[HH Covered2])),0)</f>
        <v>0</v>
      </c>
      <c r="AG26" s="553"/>
      <c r="AH26" s="577">
        <f>MIN(CampList[[#This Row],[Shelter Gap]],CampList[[#This Row],[Land Status]])</f>
        <v>0</v>
      </c>
      <c r="AI26" s="553" t="str">
        <f ca="1">IFERROR(OFFSET(DistanceToCamp[Nearest Town],MATCH(CampList[[#This Row],[CP_Pcode]],DistanceToCamp[CP_Pcode],0)-1,0,1,1),"")</f>
        <v>Myitkyina Town</v>
      </c>
      <c r="AJ26" s="581">
        <f ca="1">IFERROR(OFFSET(DistanceToCamp[distance],MATCH(CampList[[#This Row],[CP_Pcode]],DistanceToCamp[CP_Pcode],0)-1,0,1,1),"")</f>
        <v>1.7877148351104664</v>
      </c>
      <c r="AK26" s="582">
        <f ca="1">IFERROR(INT(CampList[[#This Row],[Distance]]/5)+1,"")</f>
        <v>1</v>
      </c>
      <c r="AM26" s="913"/>
      <c r="AN26" s="913"/>
    </row>
    <row r="27" spans="1:40" s="374" customFormat="1" ht="15.75" customHeight="1" x14ac:dyDescent="0.25">
      <c r="A27" s="570" t="s">
        <v>499</v>
      </c>
      <c r="B27" s="551" t="s">
        <v>380</v>
      </c>
      <c r="C27" s="551" t="s">
        <v>524</v>
      </c>
      <c r="D27" s="551" t="s">
        <v>237</v>
      </c>
      <c r="E27" s="551" t="s">
        <v>530</v>
      </c>
      <c r="F27" s="551" t="s">
        <v>237</v>
      </c>
      <c r="G27" s="551" t="s">
        <v>534</v>
      </c>
      <c r="H27" s="551" t="s">
        <v>670</v>
      </c>
      <c r="I27" s="551" t="s">
        <v>671</v>
      </c>
      <c r="J27" s="551" t="s">
        <v>675</v>
      </c>
      <c r="K27" s="551" t="s">
        <v>676</v>
      </c>
      <c r="L27" s="551" t="s">
        <v>1232</v>
      </c>
      <c r="M27" s="551" t="s">
        <v>241</v>
      </c>
      <c r="N27" s="571">
        <v>97.379987</v>
      </c>
      <c r="O27" s="571">
        <v>25.423209</v>
      </c>
      <c r="P27" s="572">
        <v>0</v>
      </c>
      <c r="Q27" s="776">
        <v>54</v>
      </c>
      <c r="R27" s="776">
        <v>262</v>
      </c>
      <c r="S27" s="574">
        <f>IF(CampList[[#This Row],[HH]]&gt;0,CampList[[#This Row],[Total]]/CampList[[#This Row],[HH]],"NA")</f>
        <v>4.8518518518518521</v>
      </c>
      <c r="T27" s="553" t="s">
        <v>510</v>
      </c>
      <c r="U27" s="553" t="s">
        <v>1180</v>
      </c>
      <c r="V27" s="553" t="s">
        <v>553</v>
      </c>
      <c r="W27" s="553" t="s">
        <v>802</v>
      </c>
      <c r="X27" s="794">
        <v>41000</v>
      </c>
      <c r="Y27" s="576">
        <v>1</v>
      </c>
      <c r="Z27" s="575" t="s">
        <v>504</v>
      </c>
      <c r="AA27" s="551" t="s">
        <v>841</v>
      </c>
      <c r="AB27" s="577"/>
      <c r="AC27" s="578">
        <v>42915</v>
      </c>
      <c r="AD27" s="579" t="s">
        <v>1605</v>
      </c>
      <c r="AE27" s="580" t="s">
        <v>1088</v>
      </c>
      <c r="AF27" s="402">
        <f>IF(CampList[[#This Row],[Type of Accomodation]]="camp",MAX(0,CampList[[#This Row],[HH]]-SUMIF(Table_Shelter[Pcode],CampList[[#This Row],[CP_Pcode]],Table_Shelter[HH Covered2])),0)</f>
        <v>0</v>
      </c>
      <c r="AG27" s="553"/>
      <c r="AH27" s="577">
        <f>MIN(CampList[[#This Row],[Shelter Gap]],CampList[[#This Row],[Land Status]])</f>
        <v>0</v>
      </c>
      <c r="AI27" s="553" t="str">
        <f ca="1">IFERROR(OFFSET(DistanceToCamp[Nearest Town],MATCH(CampList[[#This Row],[CP_Pcode]],DistanceToCamp[CP_Pcode],0)-1,0,1,1),"")</f>
        <v>Myitkyina Town</v>
      </c>
      <c r="AJ27" s="581">
        <f ca="1">IFERROR(OFFSET(DistanceToCamp[distance],MATCH(CampList[[#This Row],[CP_Pcode]],DistanceToCamp[CP_Pcode],0)-1,0,1,1),"")</f>
        <v>2.6190942927115026</v>
      </c>
      <c r="AK27" s="582">
        <f ca="1">IFERROR(INT(CampList[[#This Row],[Distance]]/5)+1,"")</f>
        <v>1</v>
      </c>
      <c r="AM27" s="913"/>
      <c r="AN27" s="913"/>
    </row>
    <row r="28" spans="1:40" s="374" customFormat="1" ht="15.75" customHeight="1" x14ac:dyDescent="0.25">
      <c r="A28" s="589" t="s">
        <v>499</v>
      </c>
      <c r="B28" s="552" t="s">
        <v>380</v>
      </c>
      <c r="C28" s="552" t="s">
        <v>524</v>
      </c>
      <c r="D28" s="552" t="s">
        <v>237</v>
      </c>
      <c r="E28" s="552" t="s">
        <v>530</v>
      </c>
      <c r="F28" s="552" t="s">
        <v>237</v>
      </c>
      <c r="G28" s="552" t="s">
        <v>534</v>
      </c>
      <c r="H28" s="552" t="s">
        <v>668</v>
      </c>
      <c r="I28" s="590" t="s">
        <v>669</v>
      </c>
      <c r="J28" s="552" t="s">
        <v>668</v>
      </c>
      <c r="K28" s="552">
        <v>165695</v>
      </c>
      <c r="L28" s="552" t="s">
        <v>271</v>
      </c>
      <c r="M28" s="552" t="s">
        <v>270</v>
      </c>
      <c r="N28" s="573">
        <v>97.359320179999997</v>
      </c>
      <c r="O28" s="573">
        <v>25.410569299999999</v>
      </c>
      <c r="P28" s="592"/>
      <c r="Q28" s="776">
        <v>63</v>
      </c>
      <c r="R28" s="776">
        <v>322</v>
      </c>
      <c r="S28" s="574">
        <f>IF(CampList[[#This Row],[HH]]&gt;0,CampList[[#This Row],[Total]]/CampList[[#This Row],[HH]],"NA")</f>
        <v>5.1111111111111107</v>
      </c>
      <c r="T28" s="402" t="s">
        <v>510</v>
      </c>
      <c r="U28" s="553" t="s">
        <v>1180</v>
      </c>
      <c r="V28" s="402" t="s">
        <v>553</v>
      </c>
      <c r="W28" s="402" t="s">
        <v>802</v>
      </c>
      <c r="X28" s="795">
        <v>40909</v>
      </c>
      <c r="Y28" s="592"/>
      <c r="Z28" s="592" t="s">
        <v>1085</v>
      </c>
      <c r="AA28" s="552" t="s">
        <v>841</v>
      </c>
      <c r="AB28" s="573"/>
      <c r="AC28" s="578">
        <v>42915</v>
      </c>
      <c r="AD28" s="594" t="s">
        <v>1583</v>
      </c>
      <c r="AE28" s="580" t="s">
        <v>1088</v>
      </c>
      <c r="AF28" s="595">
        <f>IF(CampList[[#This Row],[Type of Accomodation]]="camp",MAX(0,CampList[[#This Row],[HH]]-SUMIF(Table_Shelter[Pcode],CampList[[#This Row],[CP_Pcode]],Table_Shelter[HH Covered2])),0)</f>
        <v>0</v>
      </c>
      <c r="AG28" s="402"/>
      <c r="AH28" s="572">
        <f>MIN(CampList[[#This Row],[Shelter Gap]],CampList[[#This Row],[Land Status]])</f>
        <v>0</v>
      </c>
      <c r="AI28" s="595" t="str">
        <f ca="1">IFERROR(OFFSET(DistanceToCamp[Nearest Town],MATCH(CampList[[#This Row],[CP_Pcode]],DistanceToCamp[CP_Pcode],0)-1,0,1,1),"")</f>
        <v>Myitkyina Town</v>
      </c>
      <c r="AJ28" s="581">
        <f ca="1">IFERROR(OFFSET(DistanceToCamp[distance],MATCH(CampList[[#This Row],[CP_Pcode]],DistanceToCamp[CP_Pcode],0)-1,0,1,1),"")</f>
        <v>4.037940696665812</v>
      </c>
      <c r="AK28" s="596">
        <f ca="1">IFERROR(INT(CampList[[#This Row],[Distance]]/5)+1,"")</f>
        <v>1</v>
      </c>
      <c r="AM28" s="913">
        <v>32</v>
      </c>
      <c r="AN28" s="913">
        <v>83</v>
      </c>
    </row>
    <row r="29" spans="1:40" s="374" customFormat="1" ht="15.75" customHeight="1" x14ac:dyDescent="0.25">
      <c r="A29" s="598" t="s">
        <v>499</v>
      </c>
      <c r="B29" s="551" t="s">
        <v>380</v>
      </c>
      <c r="C29" s="551" t="s">
        <v>524</v>
      </c>
      <c r="D29" s="551" t="s">
        <v>237</v>
      </c>
      <c r="E29" s="551" t="s">
        <v>530</v>
      </c>
      <c r="F29" s="551" t="s">
        <v>310</v>
      </c>
      <c r="G29" s="551" t="s">
        <v>531</v>
      </c>
      <c r="H29" s="551" t="s">
        <v>694</v>
      </c>
      <c r="I29" s="551" t="s">
        <v>695</v>
      </c>
      <c r="J29" s="551" t="s">
        <v>715</v>
      </c>
      <c r="K29" s="551" t="s">
        <v>716</v>
      </c>
      <c r="L29" s="551" t="s">
        <v>342</v>
      </c>
      <c r="M29" s="551" t="s">
        <v>341</v>
      </c>
      <c r="N29" s="571">
        <v>97.438432380952406</v>
      </c>
      <c r="O29" s="571">
        <v>25.351724999999998</v>
      </c>
      <c r="P29" s="572">
        <v>0</v>
      </c>
      <c r="Q29" s="776">
        <v>65</v>
      </c>
      <c r="R29" s="776">
        <v>323</v>
      </c>
      <c r="S29" s="574">
        <f>IF(CampList[[#This Row],[HH]]&gt;0,CampList[[#This Row],[Total]]/CampList[[#This Row],[HH]],"NA")</f>
        <v>4.9692307692307693</v>
      </c>
      <c r="T29" s="553" t="s">
        <v>510</v>
      </c>
      <c r="U29" s="553" t="s">
        <v>1180</v>
      </c>
      <c r="V29" s="553" t="s">
        <v>553</v>
      </c>
      <c r="W29" s="553" t="s">
        <v>802</v>
      </c>
      <c r="X29" s="794">
        <v>40695</v>
      </c>
      <c r="Y29" s="576">
        <v>2</v>
      </c>
      <c r="Z29" s="575" t="s">
        <v>459</v>
      </c>
      <c r="AA29" s="551" t="s">
        <v>841</v>
      </c>
      <c r="AB29" s="577"/>
      <c r="AC29" s="578">
        <v>42919</v>
      </c>
      <c r="AD29" s="579" t="s">
        <v>1650</v>
      </c>
      <c r="AE29" s="580" t="s">
        <v>1088</v>
      </c>
      <c r="AF29" s="402">
        <f>IF(CampList[[#This Row],[Type of Accomodation]]="camp",MAX(0,CampList[[#This Row],[HH]]-SUMIF(Table_Shelter[Pcode],CampList[[#This Row],[CP_Pcode]],Table_Shelter[HH Covered2])),0)</f>
        <v>27</v>
      </c>
      <c r="AG29" s="402"/>
      <c r="AH29" s="577">
        <f>MIN(CampList[[#This Row],[Shelter Gap]],CampList[[#This Row],[Land Status]])</f>
        <v>27</v>
      </c>
      <c r="AI29" s="553" t="str">
        <f ca="1">IFERROR(OFFSET(DistanceToCamp[Nearest Town],MATCH(CampList[[#This Row],[CP_Pcode]],DistanceToCamp[CP_Pcode],0)-1,0,1,1),"")</f>
        <v>Waingmaw Town</v>
      </c>
      <c r="AJ29" s="581">
        <f ca="1">IFERROR(OFFSET(DistanceToCamp[distance],MATCH(CampList[[#This Row],[CP_Pcode]],DistanceToCamp[CP_Pcode],0)-1,0,1,1),"")</f>
        <v>0.4474205416025816</v>
      </c>
      <c r="AK29" s="582">
        <f ca="1">IFERROR(INT(CampList[[#This Row],[Distance]]/5)+1,"")</f>
        <v>1</v>
      </c>
      <c r="AM29" s="913"/>
      <c r="AN29" s="913"/>
    </row>
    <row r="30" spans="1:40" s="374" customFormat="1" ht="15.75" customHeight="1" x14ac:dyDescent="0.25">
      <c r="A30" s="598" t="s">
        <v>499</v>
      </c>
      <c r="B30" s="551" t="s">
        <v>380</v>
      </c>
      <c r="C30" s="551" t="s">
        <v>524</v>
      </c>
      <c r="D30" s="551" t="s">
        <v>237</v>
      </c>
      <c r="E30" s="551" t="s">
        <v>530</v>
      </c>
      <c r="F30" s="551" t="s">
        <v>310</v>
      </c>
      <c r="G30" s="551" t="s">
        <v>531</v>
      </c>
      <c r="H30" s="551" t="s">
        <v>694</v>
      </c>
      <c r="I30" s="551" t="s">
        <v>695</v>
      </c>
      <c r="J30" s="551" t="s">
        <v>696</v>
      </c>
      <c r="K30" s="551" t="s">
        <v>697</v>
      </c>
      <c r="L30" s="551" t="s">
        <v>351</v>
      </c>
      <c r="M30" s="551" t="s">
        <v>350</v>
      </c>
      <c r="N30" s="571">
        <v>97.432495000000003</v>
      </c>
      <c r="O30" s="571">
        <v>25.350809000000002</v>
      </c>
      <c r="P30" s="572">
        <v>0</v>
      </c>
      <c r="Q30" s="776">
        <v>92</v>
      </c>
      <c r="R30" s="776">
        <v>493</v>
      </c>
      <c r="S30" s="574">
        <f>IF(CampList[[#This Row],[HH]]&gt;0,CampList[[#This Row],[Total]]/CampList[[#This Row],[HH]],"NA")</f>
        <v>5.3586956521739131</v>
      </c>
      <c r="T30" s="553" t="s">
        <v>510</v>
      </c>
      <c r="U30" s="553" t="s">
        <v>1180</v>
      </c>
      <c r="V30" s="553" t="s">
        <v>553</v>
      </c>
      <c r="W30" s="553" t="s">
        <v>802</v>
      </c>
      <c r="X30" s="794">
        <v>40940</v>
      </c>
      <c r="Y30" s="576">
        <v>1</v>
      </c>
      <c r="Z30" s="575" t="s">
        <v>504</v>
      </c>
      <c r="AA30" s="551" t="s">
        <v>841</v>
      </c>
      <c r="AB30" s="577"/>
      <c r="AC30" s="578">
        <v>42915</v>
      </c>
      <c r="AD30" s="579" t="s">
        <v>1610</v>
      </c>
      <c r="AE30" s="580" t="s">
        <v>1088</v>
      </c>
      <c r="AF30" s="402">
        <f>IF(CampList[[#This Row],[Type of Accomodation]]="camp",MAX(0,CampList[[#This Row],[HH]]-SUMIF(Table_Shelter[Pcode],CampList[[#This Row],[CP_Pcode]],Table_Shelter[HH Covered2])),0)</f>
        <v>0</v>
      </c>
      <c r="AG30" s="402"/>
      <c r="AH30" s="577">
        <f>MIN(CampList[[#This Row],[Shelter Gap]],CampList[[#This Row],[Land Status]])</f>
        <v>0</v>
      </c>
      <c r="AI30" s="553" t="str">
        <f ca="1">IFERROR(OFFSET(DistanceToCamp[Nearest Town],MATCH(CampList[[#This Row],[CP_Pcode]],DistanceToCamp[CP_Pcode],0)-1,0,1,1),"")</f>
        <v>Waingmaw Town</v>
      </c>
      <c r="AJ30" s="581">
        <f ca="1">IFERROR(OFFSET(DistanceToCamp[distance],MATCH(CampList[[#This Row],[CP_Pcode]],DistanceToCamp[CP_Pcode],0)-1,0,1,1),"")</f>
        <v>1.0367202051285227</v>
      </c>
      <c r="AK30" s="582">
        <f ca="1">IFERROR(INT(CampList[[#This Row],[Distance]]/5)+1,"")</f>
        <v>1</v>
      </c>
      <c r="AM30" s="913"/>
      <c r="AN30" s="913"/>
    </row>
    <row r="31" spans="1:40" s="374" customFormat="1" ht="15.75" customHeight="1" x14ac:dyDescent="0.25">
      <c r="A31" s="598" t="s">
        <v>499</v>
      </c>
      <c r="B31" s="551" t="s">
        <v>380</v>
      </c>
      <c r="C31" s="551" t="s">
        <v>524</v>
      </c>
      <c r="D31" s="551" t="s">
        <v>237</v>
      </c>
      <c r="E31" s="551" t="s">
        <v>530</v>
      </c>
      <c r="F31" s="551" t="s">
        <v>310</v>
      </c>
      <c r="G31" s="551" t="s">
        <v>531</v>
      </c>
      <c r="H31" s="551" t="s">
        <v>718</v>
      </c>
      <c r="I31" s="551" t="s">
        <v>719</v>
      </c>
      <c r="J31" s="551" t="s">
        <v>720</v>
      </c>
      <c r="K31" s="551">
        <v>165730</v>
      </c>
      <c r="L31" s="551" t="s">
        <v>320</v>
      </c>
      <c r="M31" s="551" t="s">
        <v>319</v>
      </c>
      <c r="N31" s="571">
        <v>97.451965000000001</v>
      </c>
      <c r="O31" s="571">
        <v>25.356632000000001</v>
      </c>
      <c r="P31" s="572">
        <v>0</v>
      </c>
      <c r="Q31" s="776">
        <v>30</v>
      </c>
      <c r="R31" s="776">
        <v>261</v>
      </c>
      <c r="S31" s="574">
        <f>IF(CampList[[#This Row],[HH]]&gt;0,CampList[[#This Row],[Total]]/CampList[[#This Row],[HH]],"NA")</f>
        <v>8.6999999999999993</v>
      </c>
      <c r="T31" s="553" t="s">
        <v>510</v>
      </c>
      <c r="U31" s="553" t="s">
        <v>1180</v>
      </c>
      <c r="V31" s="553" t="s">
        <v>553</v>
      </c>
      <c r="W31" s="553" t="s">
        <v>802</v>
      </c>
      <c r="X31" s="794">
        <v>41030</v>
      </c>
      <c r="Y31" s="576">
        <v>1</v>
      </c>
      <c r="Z31" s="575" t="s">
        <v>459</v>
      </c>
      <c r="AA31" s="598" t="s">
        <v>841</v>
      </c>
      <c r="AB31" s="577"/>
      <c r="AC31" s="578">
        <v>42919</v>
      </c>
      <c r="AD31" s="570" t="s">
        <v>1651</v>
      </c>
      <c r="AE31" s="580" t="s">
        <v>1088</v>
      </c>
      <c r="AF31" s="402">
        <f>IF(CampList[[#This Row],[Type of Accomodation]]="camp",MAX(0,CampList[[#This Row],[HH]]-SUMIF(Table_Shelter[Pcode],CampList[[#This Row],[CP_Pcode]],Table_Shelter[HH Covered2])),0)</f>
        <v>1</v>
      </c>
      <c r="AG31" s="553"/>
      <c r="AH31" s="577">
        <f>MIN(CampList[[#This Row],[Shelter Gap]],CampList[[#This Row],[Land Status]])</f>
        <v>1</v>
      </c>
      <c r="AI31" s="553" t="str">
        <f ca="1">IFERROR(OFFSET(DistanceToCamp[Nearest Town],MATCH(CampList[[#This Row],[CP_Pcode]],DistanceToCamp[CP_Pcode],0)-1,0,1,1),"")</f>
        <v>Waingmaw Town</v>
      </c>
      <c r="AJ31" s="581">
        <f ca="1">IFERROR(OFFSET(DistanceToCamp[distance],MATCH(CampList[[#This Row],[CP_Pcode]],DistanceToCamp[CP_Pcode],0)-1,0,1,1),"")</f>
        <v>1.1134935940025397</v>
      </c>
      <c r="AK31" s="582">
        <f ca="1">IFERROR(INT(CampList[[#This Row],[Distance]]/5)+1,"")</f>
        <v>1</v>
      </c>
      <c r="AM31" s="913"/>
      <c r="AN31" s="913"/>
    </row>
    <row r="32" spans="1:40" s="374" customFormat="1" ht="15.75" customHeight="1" x14ac:dyDescent="0.25">
      <c r="A32" s="598" t="s">
        <v>499</v>
      </c>
      <c r="B32" s="551" t="s">
        <v>380</v>
      </c>
      <c r="C32" s="551" t="s">
        <v>524</v>
      </c>
      <c r="D32" s="551" t="s">
        <v>237</v>
      </c>
      <c r="E32" s="551" t="s">
        <v>530</v>
      </c>
      <c r="F32" s="551" t="s">
        <v>310</v>
      </c>
      <c r="G32" s="551" t="s">
        <v>531</v>
      </c>
      <c r="H32" s="551" t="s">
        <v>623</v>
      </c>
      <c r="I32" s="551" t="s">
        <v>624</v>
      </c>
      <c r="J32" s="551" t="s">
        <v>623</v>
      </c>
      <c r="K32" s="551">
        <v>165735</v>
      </c>
      <c r="L32" s="551" t="s">
        <v>313</v>
      </c>
      <c r="M32" s="551" t="s">
        <v>312</v>
      </c>
      <c r="N32" s="571">
        <v>97.404195925926004</v>
      </c>
      <c r="O32" s="571">
        <v>25.321710740740698</v>
      </c>
      <c r="P32" s="572">
        <v>0</v>
      </c>
      <c r="Q32" s="776">
        <v>102</v>
      </c>
      <c r="R32" s="776">
        <v>502</v>
      </c>
      <c r="S32" s="574">
        <f>IF(CampList[[#This Row],[HH]]&gt;0,CampList[[#This Row],[Total]]/CampList[[#This Row],[HH]],"NA")</f>
        <v>4.9215686274509807</v>
      </c>
      <c r="T32" s="553" t="s">
        <v>510</v>
      </c>
      <c r="U32" s="553" t="s">
        <v>1180</v>
      </c>
      <c r="V32" s="553" t="s">
        <v>553</v>
      </c>
      <c r="W32" s="553" t="s">
        <v>855</v>
      </c>
      <c r="X32" s="794">
        <v>40695</v>
      </c>
      <c r="Y32" s="576">
        <v>2</v>
      </c>
      <c r="Z32" s="575" t="s">
        <v>504</v>
      </c>
      <c r="AA32" s="598" t="s">
        <v>841</v>
      </c>
      <c r="AB32" s="577"/>
      <c r="AC32" s="578">
        <v>42915</v>
      </c>
      <c r="AD32" s="570" t="s">
        <v>1611</v>
      </c>
      <c r="AE32" s="580" t="s">
        <v>1088</v>
      </c>
      <c r="AF32" s="402">
        <f>IF(CampList[[#This Row],[Type of Accomodation]]="camp",MAX(0,CampList[[#This Row],[HH]]-SUMIF(Table_Shelter[Pcode],CampList[[#This Row],[CP_Pcode]],Table_Shelter[HH Covered2])),0)</f>
        <v>0</v>
      </c>
      <c r="AG32" s="553"/>
      <c r="AH32" s="577">
        <f>MIN(CampList[[#This Row],[Shelter Gap]],CampList[[#This Row],[Land Status]])</f>
        <v>0</v>
      </c>
      <c r="AI32" s="553" t="str">
        <f ca="1">IFERROR(OFFSET(DistanceToCamp[Nearest Town],MATCH(CampList[[#This Row],[CP_Pcode]],DistanceToCamp[CP_Pcode],0)-1,0,1,1),"")</f>
        <v>Waingmaw Town</v>
      </c>
      <c r="AJ32" s="581">
        <f ca="1">IFERROR(OFFSET(DistanceToCamp[distance],MATCH(CampList[[#This Row],[CP_Pcode]],DistanceToCamp[CP_Pcode],0)-1,0,1,1),"")</f>
        <v>5.0655036329811631</v>
      </c>
      <c r="AK32" s="582">
        <f ca="1">IFERROR(INT(CampList[[#This Row],[Distance]]/5)+1,"")</f>
        <v>2</v>
      </c>
      <c r="AM32" s="913"/>
      <c r="AN32" s="913"/>
    </row>
    <row r="33" spans="1:40" s="374" customFormat="1" ht="15.75" customHeight="1" x14ac:dyDescent="0.25">
      <c r="A33" s="603" t="s">
        <v>499</v>
      </c>
      <c r="B33" s="552" t="s">
        <v>380</v>
      </c>
      <c r="C33" s="552" t="s">
        <v>524</v>
      </c>
      <c r="D33" s="552" t="s">
        <v>237</v>
      </c>
      <c r="E33" s="552" t="s">
        <v>530</v>
      </c>
      <c r="F33" s="552" t="s">
        <v>310</v>
      </c>
      <c r="G33" s="552" t="s">
        <v>531</v>
      </c>
      <c r="H33" s="552" t="s">
        <v>692</v>
      </c>
      <c r="I33" s="590" t="s">
        <v>693</v>
      </c>
      <c r="J33" s="552" t="s">
        <v>692</v>
      </c>
      <c r="K33" s="552">
        <v>165740</v>
      </c>
      <c r="L33" s="552" t="s">
        <v>330</v>
      </c>
      <c r="M33" s="552" t="s">
        <v>329</v>
      </c>
      <c r="N33" s="573">
        <v>97.437782499999997</v>
      </c>
      <c r="O33" s="573">
        <v>25.415667500000001</v>
      </c>
      <c r="P33" s="592"/>
      <c r="Q33" s="776">
        <v>282</v>
      </c>
      <c r="R33" s="776">
        <v>1466</v>
      </c>
      <c r="S33" s="574">
        <f>IF(CampList[[#This Row],[HH]]&gt;0,CampList[[#This Row],[Total]]/CampList[[#This Row],[HH]],"NA")</f>
        <v>5.1985815602836878</v>
      </c>
      <c r="T33" s="402" t="s">
        <v>510</v>
      </c>
      <c r="U33" s="553" t="s">
        <v>1180</v>
      </c>
      <c r="V33" s="402" t="s">
        <v>553</v>
      </c>
      <c r="W33" s="402" t="s">
        <v>802</v>
      </c>
      <c r="X33" s="795">
        <v>41426</v>
      </c>
      <c r="Y33" s="592">
        <v>4</v>
      </c>
      <c r="Z33" s="592" t="s">
        <v>1085</v>
      </c>
      <c r="AA33" s="552" t="s">
        <v>841</v>
      </c>
      <c r="AB33" s="573"/>
      <c r="AC33" s="578">
        <v>42915</v>
      </c>
      <c r="AD33" s="594" t="s">
        <v>1584</v>
      </c>
      <c r="AE33" s="580" t="s">
        <v>1088</v>
      </c>
      <c r="AF33" s="595">
        <f>IF(CampList[[#This Row],[Type of Accomodation]]="camp",MAX(0,CampList[[#This Row],[HH]]-SUMIF(Table_Shelter[Pcode],CampList[[#This Row],[CP_Pcode]],Table_Shelter[HH Covered2])),0)</f>
        <v>27</v>
      </c>
      <c r="AG33" s="402"/>
      <c r="AH33" s="572">
        <f>MIN(CampList[[#This Row],[Shelter Gap]],CampList[[#This Row],[Land Status]])</f>
        <v>27</v>
      </c>
      <c r="AI33" s="595" t="str">
        <f ca="1">IFERROR(OFFSET(DistanceToCamp[Nearest Town],MATCH(CampList[[#This Row],[CP_Pcode]],DistanceToCamp[CP_Pcode],0)-1,0,1,1),"")</f>
        <v>Myitkyina Town</v>
      </c>
      <c r="AJ33" s="581">
        <f ca="1">IFERROR(OFFSET(DistanceToCamp[distance],MATCH(CampList[[#This Row],[CP_Pcode]],DistanceToCamp[CP_Pcode],0)-1,0,1,1),"")</f>
        <v>5.7019834469756479</v>
      </c>
      <c r="AK33" s="596">
        <f ca="1">IFERROR(INT(CampList[[#This Row],[Distance]]/5)+1,"")</f>
        <v>2</v>
      </c>
      <c r="AM33" s="913"/>
      <c r="AN33" s="913"/>
    </row>
    <row r="34" spans="1:40" s="374" customFormat="1" ht="15.75" customHeight="1" x14ac:dyDescent="0.25">
      <c r="A34" s="598" t="s">
        <v>499</v>
      </c>
      <c r="B34" s="551" t="s">
        <v>380</v>
      </c>
      <c r="C34" s="551" t="s">
        <v>524</v>
      </c>
      <c r="D34" s="551" t="s">
        <v>237</v>
      </c>
      <c r="E34" s="551" t="s">
        <v>530</v>
      </c>
      <c r="F34" s="551" t="s">
        <v>310</v>
      </c>
      <c r="G34" s="551" t="s">
        <v>531</v>
      </c>
      <c r="H34" s="551" t="s">
        <v>694</v>
      </c>
      <c r="I34" s="551" t="s">
        <v>695</v>
      </c>
      <c r="J34" s="551" t="s">
        <v>713</v>
      </c>
      <c r="K34" s="551" t="s">
        <v>714</v>
      </c>
      <c r="L34" s="551" t="s">
        <v>338</v>
      </c>
      <c r="M34" s="551" t="s">
        <v>337</v>
      </c>
      <c r="N34" s="571">
        <v>97.437472666666693</v>
      </c>
      <c r="O34" s="571">
        <v>25.345918166666699</v>
      </c>
      <c r="P34" s="572"/>
      <c r="Q34" s="776">
        <v>31</v>
      </c>
      <c r="R34" s="776">
        <v>171</v>
      </c>
      <c r="S34" s="574">
        <f>IF(CampList[[#This Row],[HH]]&gt;0,CampList[[#This Row],[Total]]/CampList[[#This Row],[HH]],"NA")</f>
        <v>5.5161290322580649</v>
      </c>
      <c r="T34" s="553" t="s">
        <v>510</v>
      </c>
      <c r="U34" s="553" t="s">
        <v>1180</v>
      </c>
      <c r="V34" s="553" t="s">
        <v>553</v>
      </c>
      <c r="W34" s="553" t="s">
        <v>802</v>
      </c>
      <c r="X34" s="794">
        <v>40695</v>
      </c>
      <c r="Y34" s="576">
        <v>1</v>
      </c>
      <c r="Z34" s="575" t="s">
        <v>504</v>
      </c>
      <c r="AA34" s="551" t="s">
        <v>841</v>
      </c>
      <c r="AB34" s="577"/>
      <c r="AC34" s="578">
        <v>42915</v>
      </c>
      <c r="AD34" s="579" t="s">
        <v>1608</v>
      </c>
      <c r="AE34" s="580" t="s">
        <v>1088</v>
      </c>
      <c r="AF34" s="402">
        <f>IF(CampList[[#This Row],[Type of Accomodation]]="camp",MAX(0,CampList[[#This Row],[HH]]-SUMIF(Table_Shelter[Pcode],CampList[[#This Row],[CP_Pcode]],Table_Shelter[HH Covered2])),0)</f>
        <v>0</v>
      </c>
      <c r="AG34" s="402"/>
      <c r="AH34" s="577">
        <f>MIN(CampList[[#This Row],[Shelter Gap]],CampList[[#This Row],[Land Status]])</f>
        <v>0</v>
      </c>
      <c r="AI34" s="553" t="str">
        <f ca="1">IFERROR(OFFSET(DistanceToCamp[Nearest Town],MATCH(CampList[[#This Row],[CP_Pcode]],DistanceToCamp[CP_Pcode],0)-1,0,1,1),"")</f>
        <v>Waingmaw Town</v>
      </c>
      <c r="AJ34" s="581">
        <f ca="1">IFERROR(OFFSET(DistanceToCamp[distance],MATCH(CampList[[#This Row],[CP_Pcode]],DistanceToCamp[CP_Pcode],0)-1,0,1,1),"")</f>
        <v>0.77827912736780092</v>
      </c>
      <c r="AK34" s="582">
        <f ca="1">IFERROR(INT(CampList[[#This Row],[Distance]]/5)+1,"")</f>
        <v>1</v>
      </c>
      <c r="AM34" s="913"/>
      <c r="AN34" s="913"/>
    </row>
    <row r="35" spans="1:40" s="374" customFormat="1" ht="15.75" customHeight="1" x14ac:dyDescent="0.25">
      <c r="A35" s="598" t="s">
        <v>499</v>
      </c>
      <c r="B35" s="551" t="s">
        <v>380</v>
      </c>
      <c r="C35" s="551" t="s">
        <v>524</v>
      </c>
      <c r="D35" s="551" t="s">
        <v>237</v>
      </c>
      <c r="E35" s="551" t="s">
        <v>530</v>
      </c>
      <c r="F35" s="551" t="s">
        <v>310</v>
      </c>
      <c r="G35" s="551" t="s">
        <v>531</v>
      </c>
      <c r="H35" s="551" t="s">
        <v>692</v>
      </c>
      <c r="I35" s="551" t="s">
        <v>693</v>
      </c>
      <c r="J35" s="551" t="s">
        <v>692</v>
      </c>
      <c r="K35" s="551">
        <v>165740</v>
      </c>
      <c r="L35" s="551" t="s">
        <v>328</v>
      </c>
      <c r="M35" s="551" t="s">
        <v>327</v>
      </c>
      <c r="N35" s="571">
        <v>97.433419259259296</v>
      </c>
      <c r="O35" s="571">
        <v>25.424529444444399</v>
      </c>
      <c r="P35" s="572">
        <v>0</v>
      </c>
      <c r="Q35" s="776">
        <v>289</v>
      </c>
      <c r="R35" s="776">
        <v>1584</v>
      </c>
      <c r="S35" s="574">
        <f>IF(CampList[[#This Row],[HH]]&gt;0,CampList[[#This Row],[Total]]/CampList[[#This Row],[HH]],"NA")</f>
        <v>5.4809688581314875</v>
      </c>
      <c r="T35" s="553" t="s">
        <v>510</v>
      </c>
      <c r="U35" s="553" t="s">
        <v>1180</v>
      </c>
      <c r="V35" s="553" t="s">
        <v>553</v>
      </c>
      <c r="W35" s="553" t="s">
        <v>855</v>
      </c>
      <c r="X35" s="794">
        <v>41456</v>
      </c>
      <c r="Y35" s="576">
        <v>1</v>
      </c>
      <c r="Z35" s="575" t="s">
        <v>504</v>
      </c>
      <c r="AA35" s="598" t="s">
        <v>841</v>
      </c>
      <c r="AB35" s="577"/>
      <c r="AC35" s="578">
        <v>42915</v>
      </c>
      <c r="AD35" s="570" t="s">
        <v>1612</v>
      </c>
      <c r="AE35" s="580" t="s">
        <v>1088</v>
      </c>
      <c r="AF35" s="402">
        <f>IF(CampList[[#This Row],[Type of Accomodation]]="camp",MAX(0,CampList[[#This Row],[HH]]-SUMIF(Table_Shelter[Pcode],CampList[[#This Row],[CP_Pcode]],Table_Shelter[HH Covered2])),0)</f>
        <v>182</v>
      </c>
      <c r="AG35" s="402"/>
      <c r="AH35" s="577">
        <f>MIN(CampList[[#This Row],[Shelter Gap]],CampList[[#This Row],[Land Status]])</f>
        <v>182</v>
      </c>
      <c r="AI35" s="553" t="str">
        <f ca="1">IFERROR(OFFSET(DistanceToCamp[Nearest Town],MATCH(CampList[[#This Row],[CP_Pcode]],DistanceToCamp[CP_Pcode],0)-1,0,1,1),"")</f>
        <v>Myitkyina Town</v>
      </c>
      <c r="AJ35" s="581">
        <f ca="1">IFERROR(OFFSET(DistanceToCamp[distance],MATCH(CampList[[#This Row],[CP_Pcode]],DistanceToCamp[CP_Pcode],0)-1,0,1,1),"")</f>
        <v>5.9727739497559158</v>
      </c>
      <c r="AK35" s="582">
        <f ca="1">IFERROR(INT(CampList[[#This Row],[Distance]]/5)+1,"")</f>
        <v>2</v>
      </c>
      <c r="AM35" s="913"/>
      <c r="AN35" s="913"/>
    </row>
    <row r="36" spans="1:40" s="374" customFormat="1" ht="15.75" customHeight="1" x14ac:dyDescent="0.25">
      <c r="A36" s="598" t="s">
        <v>499</v>
      </c>
      <c r="B36" s="551" t="s">
        <v>380</v>
      </c>
      <c r="C36" s="551" t="s">
        <v>524</v>
      </c>
      <c r="D36" s="551" t="s">
        <v>237</v>
      </c>
      <c r="E36" s="551" t="s">
        <v>530</v>
      </c>
      <c r="F36" s="551" t="s">
        <v>310</v>
      </c>
      <c r="G36" s="551" t="s">
        <v>531</v>
      </c>
      <c r="H36" s="551" t="s">
        <v>694</v>
      </c>
      <c r="I36" s="551" t="s">
        <v>695</v>
      </c>
      <c r="J36" s="551" t="s">
        <v>715</v>
      </c>
      <c r="K36" s="551" t="s">
        <v>716</v>
      </c>
      <c r="L36" s="551" t="s">
        <v>318</v>
      </c>
      <c r="M36" s="551" t="s">
        <v>317</v>
      </c>
      <c r="N36" s="571">
        <v>97.441166388888902</v>
      </c>
      <c r="O36" s="571">
        <v>25.3540362037037</v>
      </c>
      <c r="P36" s="572">
        <v>0</v>
      </c>
      <c r="Q36" s="776">
        <v>111</v>
      </c>
      <c r="R36" s="776">
        <v>445</v>
      </c>
      <c r="S36" s="574">
        <f>IF(CampList[[#This Row],[HH]]&gt;0,CampList[[#This Row],[Total]]/CampList[[#This Row],[HH]],"NA")</f>
        <v>4.0090090090090094</v>
      </c>
      <c r="T36" s="553" t="s">
        <v>510</v>
      </c>
      <c r="U36" s="553" t="s">
        <v>1180</v>
      </c>
      <c r="V36" s="553" t="s">
        <v>553</v>
      </c>
      <c r="W36" s="553" t="s">
        <v>802</v>
      </c>
      <c r="X36" s="794">
        <v>40725</v>
      </c>
      <c r="Y36" s="576">
        <v>2</v>
      </c>
      <c r="Z36" s="575" t="s">
        <v>504</v>
      </c>
      <c r="AA36" s="551" t="s">
        <v>841</v>
      </c>
      <c r="AB36" s="577"/>
      <c r="AC36" s="578">
        <v>42915</v>
      </c>
      <c r="AD36" s="579" t="s">
        <v>1613</v>
      </c>
      <c r="AE36" s="580" t="s">
        <v>1088</v>
      </c>
      <c r="AF36" s="402">
        <f>IF(CampList[[#This Row],[Type of Accomodation]]="camp",MAX(0,CampList[[#This Row],[HH]]-SUMIF(Table_Shelter[Pcode],CampList[[#This Row],[CP_Pcode]],Table_Shelter[HH Covered2])),0)</f>
        <v>0</v>
      </c>
      <c r="AG36" s="402"/>
      <c r="AH36" s="577">
        <f>MIN(CampList[[#This Row],[Shelter Gap]],CampList[[#This Row],[Land Status]])</f>
        <v>0</v>
      </c>
      <c r="AI36" s="553" t="str">
        <f ca="1">IFERROR(OFFSET(DistanceToCamp[Nearest Town],MATCH(CampList[[#This Row],[CP_Pcode]],DistanceToCamp[CP_Pcode],0)-1,0,1,1),"")</f>
        <v>Waingmaw Town</v>
      </c>
      <c r="AJ36" s="581">
        <f ca="1">IFERROR(OFFSET(DistanceToCamp[distance],MATCH(CampList[[#This Row],[CP_Pcode]],DistanceToCamp[CP_Pcode],0)-1,0,1,1),"")</f>
        <v>0.37684287609457234</v>
      </c>
      <c r="AK36" s="582">
        <f ca="1">IFERROR(INT(CampList[[#This Row],[Distance]]/5)+1,"")</f>
        <v>1</v>
      </c>
      <c r="AM36" s="913"/>
      <c r="AN36" s="913"/>
    </row>
    <row r="37" spans="1:40" s="374" customFormat="1" ht="15.75" customHeight="1" x14ac:dyDescent="0.25">
      <c r="A37" s="598" t="s">
        <v>499</v>
      </c>
      <c r="B37" s="551" t="s">
        <v>380</v>
      </c>
      <c r="C37" s="551" t="s">
        <v>524</v>
      </c>
      <c r="D37" s="551" t="s">
        <v>237</v>
      </c>
      <c r="E37" s="551" t="s">
        <v>530</v>
      </c>
      <c r="F37" s="551" t="s">
        <v>310</v>
      </c>
      <c r="G37" s="551" t="s">
        <v>531</v>
      </c>
      <c r="H37" s="551" t="s">
        <v>1125</v>
      </c>
      <c r="I37" s="551" t="s">
        <v>1239</v>
      </c>
      <c r="J37" s="551" t="s">
        <v>665</v>
      </c>
      <c r="K37" s="551">
        <v>165745</v>
      </c>
      <c r="L37" s="551" t="s">
        <v>344</v>
      </c>
      <c r="M37" s="551" t="s">
        <v>343</v>
      </c>
      <c r="N37" s="571">
        <v>97.345039</v>
      </c>
      <c r="O37" s="571">
        <v>25.351965</v>
      </c>
      <c r="P37" s="572"/>
      <c r="Q37" s="776">
        <v>20</v>
      </c>
      <c r="R37" s="776">
        <v>86</v>
      </c>
      <c r="S37" s="574">
        <f>IF(CampList[[#This Row],[HH]]&gt;0,CampList[[#This Row],[Total]]/CampList[[#This Row],[HH]],"NA")</f>
        <v>4.3</v>
      </c>
      <c r="T37" s="553" t="s">
        <v>510</v>
      </c>
      <c r="U37" s="553" t="s">
        <v>1180</v>
      </c>
      <c r="V37" s="553" t="s">
        <v>553</v>
      </c>
      <c r="W37" s="553" t="s">
        <v>855</v>
      </c>
      <c r="X37" s="794">
        <v>41030</v>
      </c>
      <c r="Y37" s="576">
        <v>1</v>
      </c>
      <c r="Z37" s="575" t="s">
        <v>504</v>
      </c>
      <c r="AA37" s="551" t="s">
        <v>841</v>
      </c>
      <c r="AB37" s="577"/>
      <c r="AC37" s="578">
        <v>42915</v>
      </c>
      <c r="AD37" s="579" t="s">
        <v>1614</v>
      </c>
      <c r="AE37" s="580" t="s">
        <v>1088</v>
      </c>
      <c r="AF37" s="402">
        <f>IF(CampList[[#This Row],[Type of Accomodation]]="camp",MAX(0,CampList[[#This Row],[HH]]-SUMIF(Table_Shelter[Pcode],CampList[[#This Row],[CP_Pcode]],Table_Shelter[HH Covered2])),0)</f>
        <v>1</v>
      </c>
      <c r="AG37" s="553"/>
      <c r="AH37" s="577">
        <f>MIN(CampList[[#This Row],[Shelter Gap]],CampList[[#This Row],[Land Status]])</f>
        <v>1</v>
      </c>
      <c r="AI37" s="553" t="str">
        <f ca="1">IFERROR(OFFSET(DistanceToCamp[Nearest Town],MATCH(CampList[[#This Row],[CP_Pcode]],DistanceToCamp[CP_Pcode],0)-1,0,1,1),"")</f>
        <v>Myitkyina Town</v>
      </c>
      <c r="AJ37" s="581">
        <f ca="1">IFERROR(OFFSET(DistanceToCamp[distance],MATCH(CampList[[#This Row],[CP_Pcode]],DistanceToCamp[CP_Pcode],0)-1,0,1,1),"")</f>
        <v>6.0275881703713861</v>
      </c>
      <c r="AK37" s="582">
        <f ca="1">IFERROR(INT(CampList[[#This Row],[Distance]]/5)+1,"")</f>
        <v>2</v>
      </c>
      <c r="AM37" s="913"/>
      <c r="AN37" s="913"/>
    </row>
    <row r="38" spans="1:40" s="374" customFormat="1" ht="15.75" hidden="1" customHeight="1" x14ac:dyDescent="0.25">
      <c r="A38" s="570" t="s">
        <v>842</v>
      </c>
      <c r="B38" s="551" t="s">
        <v>380</v>
      </c>
      <c r="C38" s="551" t="s">
        <v>524</v>
      </c>
      <c r="D38" s="551" t="s">
        <v>180</v>
      </c>
      <c r="E38" s="551" t="s">
        <v>525</v>
      </c>
      <c r="F38" s="551" t="s">
        <v>526</v>
      </c>
      <c r="G38" s="551" t="s">
        <v>527</v>
      </c>
      <c r="H38" s="552" t="s">
        <v>1425</v>
      </c>
      <c r="I38" s="590" t="s">
        <v>1426</v>
      </c>
      <c r="J38" s="552" t="s">
        <v>1433</v>
      </c>
      <c r="K38" s="552">
        <v>166819</v>
      </c>
      <c r="L38" s="52" t="s">
        <v>1428</v>
      </c>
      <c r="M38" s="552" t="s">
        <v>1434</v>
      </c>
      <c r="N38" s="621">
        <v>96.662092000000001</v>
      </c>
      <c r="O38" s="621">
        <v>25.920006000000001</v>
      </c>
      <c r="P38" s="592"/>
      <c r="Q38" s="402"/>
      <c r="R38" s="602"/>
      <c r="S38" s="574" t="str">
        <f>IF(CampList[[#This Row],[HH]]&gt;0,CampList[[#This Row],[Total]]/CampList[[#This Row],[HH]],"NA")</f>
        <v>NA</v>
      </c>
      <c r="T38" s="402" t="s">
        <v>510</v>
      </c>
      <c r="U38" s="553" t="s">
        <v>1180</v>
      </c>
      <c r="V38" s="402" t="s">
        <v>553</v>
      </c>
      <c r="W38" s="402" t="s">
        <v>855</v>
      </c>
      <c r="X38" s="593">
        <v>42584</v>
      </c>
      <c r="Y38" s="592"/>
      <c r="Z38" s="592"/>
      <c r="AA38" s="552" t="s">
        <v>841</v>
      </c>
      <c r="AB38" s="573"/>
      <c r="AC38" s="578">
        <v>42849</v>
      </c>
      <c r="AD38" s="594" t="s">
        <v>1524</v>
      </c>
      <c r="AE38" s="580"/>
      <c r="AF38" s="595">
        <f>IF(CampList[[#This Row],[Type of Accomodation]]="camp",MAX(0,CampList[[#This Row],[HH]]-SUMIF(Table_Shelter[Pcode],CampList[[#This Row],[CP_Pcode]],Table_Shelter[HH Covered2])),0)</f>
        <v>0</v>
      </c>
      <c r="AG38" s="402"/>
      <c r="AH38" s="572">
        <f>MIN(CampList[[#This Row],[Shelter Gap]],CampList[[#This Row],[Land Status]])</f>
        <v>0</v>
      </c>
      <c r="AI38" s="595" t="str">
        <f ca="1">IFERROR(OFFSET(DistanceToCamp[Nearest Town],MATCH(CampList[[#This Row],[CP_Pcode]],DistanceToCamp[CP_Pcode],0)-1,0,1,1),"")</f>
        <v>Hpakant Town</v>
      </c>
      <c r="AJ38" s="581">
        <f ca="1">IFERROR(OFFSET(DistanceToCamp[distance],MATCH(CampList[[#This Row],[CP_Pcode]],DistanceToCamp[CP_Pcode],0)-1,0,1,1),"")</f>
        <v>0</v>
      </c>
      <c r="AK38" s="596">
        <f ca="1">IFERROR(INT(CampList[[#This Row],[Distance]]/5)+1,"")</f>
        <v>1</v>
      </c>
      <c r="AM38" s="913"/>
      <c r="AN38" s="913"/>
    </row>
    <row r="39" spans="1:40" s="374" customFormat="1" ht="15.75" hidden="1" customHeight="1" x14ac:dyDescent="0.25">
      <c r="A39" s="570" t="s">
        <v>842</v>
      </c>
      <c r="B39" s="551" t="s">
        <v>380</v>
      </c>
      <c r="C39" s="551" t="s">
        <v>524</v>
      </c>
      <c r="D39" s="551" t="s">
        <v>180</v>
      </c>
      <c r="E39" s="551" t="s">
        <v>525</v>
      </c>
      <c r="F39" s="551" t="s">
        <v>526</v>
      </c>
      <c r="G39" s="551" t="s">
        <v>527</v>
      </c>
      <c r="H39" s="579" t="s">
        <v>611</v>
      </c>
      <c r="I39" s="579" t="s">
        <v>612</v>
      </c>
      <c r="J39" s="579" t="s">
        <v>613</v>
      </c>
      <c r="K39" s="579">
        <v>166775</v>
      </c>
      <c r="L39" s="551" t="s">
        <v>39</v>
      </c>
      <c r="M39" s="551" t="s">
        <v>38</v>
      </c>
      <c r="N39" s="571"/>
      <c r="O39" s="571"/>
      <c r="P39" s="591"/>
      <c r="Q39" s="705"/>
      <c r="R39" s="706"/>
      <c r="S39" s="574" t="str">
        <f>IF(CampList[[#This Row],[HH]]&gt;0,CampList[[#This Row],[Total]]/CampList[[#This Row],[HH]],"NA")</f>
        <v>NA</v>
      </c>
      <c r="T39" s="553" t="s">
        <v>510</v>
      </c>
      <c r="U39" s="583" t="s">
        <v>1180</v>
      </c>
      <c r="V39" s="553" t="s">
        <v>553</v>
      </c>
      <c r="W39" s="583"/>
      <c r="X39" s="600"/>
      <c r="Y39" s="591"/>
      <c r="Z39" s="601"/>
      <c r="AA39" s="598"/>
      <c r="AB39" s="577"/>
      <c r="AC39" s="604"/>
      <c r="AD39" s="570" t="s">
        <v>600</v>
      </c>
      <c r="AE39" s="602" t="s">
        <v>1006</v>
      </c>
      <c r="AF39" s="402">
        <f>IF(CampList[[#This Row],[Type of Accomodation]]="camp",MAX(0,CampList[[#This Row],[HH]]-SUMIF(Table_Shelter[Pcode],CampList[[#This Row],[CP_Pcode]],Table_Shelter[HH Covered2])),0)</f>
        <v>0</v>
      </c>
      <c r="AG39" s="553"/>
      <c r="AH39" s="577">
        <f>MIN(CampList[[#This Row],[Shelter Gap]],CampList[[#This Row],[Land Status]])</f>
        <v>0</v>
      </c>
      <c r="AI39" s="553" t="str">
        <f ca="1">IFERROR(OFFSET(DistanceToCamp[Nearest Town],MATCH(CampList[[#This Row],[CP_Pcode]],DistanceToCamp[CP_Pcode],0)-1,0,1,1),"")</f>
        <v/>
      </c>
      <c r="AJ39" s="581" t="str">
        <f ca="1">IFERROR(OFFSET(DistanceToCamp[distance],MATCH(CampList[[#This Row],[CP_Pcode]],DistanceToCamp[CP_Pcode],0)-1,0,1,1),"")</f>
        <v/>
      </c>
      <c r="AK39" s="582" t="str">
        <f ca="1">IFERROR(INT(CampList[[#This Row],[Distance]]/5)+1,"")</f>
        <v/>
      </c>
      <c r="AM39" s="913"/>
      <c r="AN39" s="913"/>
    </row>
    <row r="40" spans="1:40" s="374" customFormat="1" ht="15.75" customHeight="1" x14ac:dyDescent="0.25">
      <c r="A40" s="570" t="s">
        <v>499</v>
      </c>
      <c r="B40" s="551" t="s">
        <v>552</v>
      </c>
      <c r="C40" s="551" t="s">
        <v>535</v>
      </c>
      <c r="D40" s="551" t="s">
        <v>230</v>
      </c>
      <c r="E40" s="551" t="s">
        <v>536</v>
      </c>
      <c r="F40" s="551" t="s">
        <v>289</v>
      </c>
      <c r="G40" s="551" t="s">
        <v>548</v>
      </c>
      <c r="H40" s="551" t="s">
        <v>750</v>
      </c>
      <c r="I40" s="551" t="s">
        <v>751</v>
      </c>
      <c r="J40" s="551" t="s">
        <v>750</v>
      </c>
      <c r="K40" s="551">
        <v>208353</v>
      </c>
      <c r="L40" s="551" t="s">
        <v>290</v>
      </c>
      <c r="M40" s="551" t="s">
        <v>288</v>
      </c>
      <c r="N40" s="571">
        <v>97.669557999999995</v>
      </c>
      <c r="O40" s="571">
        <v>23.828520000000001</v>
      </c>
      <c r="P40" s="572">
        <v>740</v>
      </c>
      <c r="Q40" s="776">
        <v>67</v>
      </c>
      <c r="R40" s="776">
        <v>357</v>
      </c>
      <c r="S40" s="574">
        <f>IF(CampList[[#This Row],[HH]]&gt;0,CampList[[#This Row],[Total]]/CampList[[#This Row],[HH]],"NA")</f>
        <v>5.3283582089552235</v>
      </c>
      <c r="T40" s="553" t="s">
        <v>510</v>
      </c>
      <c r="U40" s="553" t="s">
        <v>1180</v>
      </c>
      <c r="V40" s="553" t="s">
        <v>553</v>
      </c>
      <c r="W40" s="553" t="s">
        <v>802</v>
      </c>
      <c r="X40" s="575">
        <v>40878</v>
      </c>
      <c r="Y40" s="576">
        <v>2</v>
      </c>
      <c r="Z40" s="575" t="s">
        <v>459</v>
      </c>
      <c r="AA40" s="598" t="s">
        <v>841</v>
      </c>
      <c r="AB40" s="577"/>
      <c r="AC40" s="578">
        <v>42919</v>
      </c>
      <c r="AD40" s="579" t="s">
        <v>1677</v>
      </c>
      <c r="AE40" s="580" t="s">
        <v>1074</v>
      </c>
      <c r="AF40" s="402">
        <f>IF(CampList[[#This Row],[Type of Accomodation]]="camp",MAX(0,CampList[[#This Row],[HH]]-SUMIF(Table_Shelter[Pcode],CampList[[#This Row],[CP_Pcode]],Table_Shelter[HH Covered2])),0)</f>
        <v>37</v>
      </c>
      <c r="AG40" s="553"/>
      <c r="AH40" s="577">
        <f>MIN(CampList[[#This Row],[Shelter Gap]],CampList[[#This Row],[Land Status]])</f>
        <v>37</v>
      </c>
      <c r="AI40" s="553" t="str">
        <f ca="1">IFERROR(OFFSET(DistanceToCamp[Nearest Town],MATCH(CampList[[#This Row],[CP_Pcode]],DistanceToCamp[CP_Pcode],0)-1,0,1,1),"")</f>
        <v>Namhkan Town</v>
      </c>
      <c r="AJ40" s="581">
        <f ca="1">IFERROR(OFFSET(DistanceToCamp[distance],MATCH(CampList[[#This Row],[CP_Pcode]],DistanceToCamp[CP_Pcode],0)-1,0,1,1),"")</f>
        <v>1.5619149693996526</v>
      </c>
      <c r="AK40" s="582">
        <f ca="1">IFERROR(INT(CampList[[#This Row],[Distance]]/5)+1,"")</f>
        <v>1</v>
      </c>
      <c r="AM40" s="913"/>
      <c r="AN40" s="913"/>
    </row>
    <row r="41" spans="1:40" s="374" customFormat="1" ht="15.75" customHeight="1" x14ac:dyDescent="0.25">
      <c r="A41" s="598" t="s">
        <v>499</v>
      </c>
      <c r="B41" s="551" t="s">
        <v>380</v>
      </c>
      <c r="C41" s="551" t="s">
        <v>524</v>
      </c>
      <c r="D41" s="551" t="s">
        <v>237</v>
      </c>
      <c r="E41" s="551" t="s">
        <v>530</v>
      </c>
      <c r="F41" s="551" t="s">
        <v>310</v>
      </c>
      <c r="G41" s="551" t="s">
        <v>531</v>
      </c>
      <c r="H41" s="551" t="s">
        <v>694</v>
      </c>
      <c r="I41" s="551" t="s">
        <v>695</v>
      </c>
      <c r="J41" s="551" t="s">
        <v>696</v>
      </c>
      <c r="K41" s="551" t="s">
        <v>697</v>
      </c>
      <c r="L41" s="551" t="s">
        <v>349</v>
      </c>
      <c r="M41" s="551" t="s">
        <v>348</v>
      </c>
      <c r="N41" s="571">
        <v>97.428251153846105</v>
      </c>
      <c r="O41" s="571">
        <v>25.333683333333301</v>
      </c>
      <c r="P41" s="572"/>
      <c r="Q41" s="776">
        <v>46</v>
      </c>
      <c r="R41" s="776">
        <v>190</v>
      </c>
      <c r="S41" s="574">
        <f>IF(CampList[[#This Row],[HH]]&gt;0,CampList[[#This Row],[Total]]/CampList[[#This Row],[HH]],"NA")</f>
        <v>4.1304347826086953</v>
      </c>
      <c r="T41" s="553" t="s">
        <v>510</v>
      </c>
      <c r="U41" s="553" t="s">
        <v>1180</v>
      </c>
      <c r="V41" s="553" t="s">
        <v>553</v>
      </c>
      <c r="W41" s="553" t="s">
        <v>802</v>
      </c>
      <c r="X41" s="794">
        <v>40848</v>
      </c>
      <c r="Y41" s="576">
        <v>1</v>
      </c>
      <c r="Z41" s="575" t="s">
        <v>504</v>
      </c>
      <c r="AA41" s="551" t="s">
        <v>841</v>
      </c>
      <c r="AB41" s="577"/>
      <c r="AC41" s="578">
        <v>42915</v>
      </c>
      <c r="AD41" s="579" t="s">
        <v>1610</v>
      </c>
      <c r="AE41" s="580" t="s">
        <v>1088</v>
      </c>
      <c r="AF41" s="402">
        <f>IF(CampList[[#This Row],[Type of Accomodation]]="camp",MAX(0,CampList[[#This Row],[HH]]-SUMIF(Table_Shelter[Pcode],CampList[[#This Row],[CP_Pcode]],Table_Shelter[HH Covered2])),0)</f>
        <v>0</v>
      </c>
      <c r="AG41" s="553"/>
      <c r="AH41" s="577">
        <f>MIN(CampList[[#This Row],[Shelter Gap]],CampList[[#This Row],[Land Status]])</f>
        <v>0</v>
      </c>
      <c r="AI41" s="553" t="str">
        <f ca="1">IFERROR(OFFSET(DistanceToCamp[Nearest Town],MATCH(CampList[[#This Row],[CP_Pcode]],DistanceToCamp[CP_Pcode],0)-1,0,1,1),"")</f>
        <v>Waingmaw Town</v>
      </c>
      <c r="AJ41" s="581">
        <f ca="1">IFERROR(OFFSET(DistanceToCamp[distance],MATCH(CampList[[#This Row],[CP_Pcode]],DistanceToCamp[CP_Pcode],0)-1,0,1,1),"")</f>
        <v>2.4174307716662291</v>
      </c>
      <c r="AK41" s="582">
        <f ca="1">IFERROR(INT(CampList[[#This Row],[Distance]]/5)+1,"")</f>
        <v>1</v>
      </c>
      <c r="AM41" s="913"/>
      <c r="AN41" s="913"/>
    </row>
    <row r="42" spans="1:40" s="374" customFormat="1" ht="15.75" customHeight="1" x14ac:dyDescent="0.25">
      <c r="A42" s="598" t="s">
        <v>499</v>
      </c>
      <c r="B42" s="551" t="s">
        <v>380</v>
      </c>
      <c r="C42" s="551" t="s">
        <v>524</v>
      </c>
      <c r="D42" s="551" t="s">
        <v>237</v>
      </c>
      <c r="E42" s="551" t="s">
        <v>530</v>
      </c>
      <c r="F42" s="551" t="s">
        <v>310</v>
      </c>
      <c r="G42" s="551" t="s">
        <v>531</v>
      </c>
      <c r="H42" s="551" t="s">
        <v>694</v>
      </c>
      <c r="I42" s="551" t="s">
        <v>695</v>
      </c>
      <c r="J42" s="551" t="s">
        <v>713</v>
      </c>
      <c r="K42" s="551" t="s">
        <v>714</v>
      </c>
      <c r="L42" s="551" t="s">
        <v>316</v>
      </c>
      <c r="M42" s="551" t="s">
        <v>315</v>
      </c>
      <c r="N42" s="571">
        <v>97.444283730158702</v>
      </c>
      <c r="O42" s="571">
        <v>25.351250396825399</v>
      </c>
      <c r="P42" s="572">
        <v>476</v>
      </c>
      <c r="Q42" s="776">
        <v>65</v>
      </c>
      <c r="R42" s="776">
        <v>275</v>
      </c>
      <c r="S42" s="574">
        <f>IF(CampList[[#This Row],[HH]]&gt;0,CampList[[#This Row],[Total]]/CampList[[#This Row],[HH]],"NA")</f>
        <v>4.2307692307692308</v>
      </c>
      <c r="T42" s="553" t="s">
        <v>510</v>
      </c>
      <c r="U42" s="553" t="s">
        <v>1180</v>
      </c>
      <c r="V42" s="553" t="s">
        <v>553</v>
      </c>
      <c r="W42" s="553" t="s">
        <v>802</v>
      </c>
      <c r="X42" s="794">
        <v>40848</v>
      </c>
      <c r="Y42" s="576">
        <v>1</v>
      </c>
      <c r="Z42" s="575" t="s">
        <v>504</v>
      </c>
      <c r="AA42" s="551" t="s">
        <v>841</v>
      </c>
      <c r="AB42" s="577"/>
      <c r="AC42" s="578">
        <v>42915</v>
      </c>
      <c r="AD42" s="579" t="s">
        <v>1610</v>
      </c>
      <c r="AE42" s="580" t="s">
        <v>1088</v>
      </c>
      <c r="AF42" s="402">
        <f>IF(CampList[[#This Row],[Type of Accomodation]]="camp",MAX(0,CampList[[#This Row],[HH]]-SUMIF(Table_Shelter[Pcode],CampList[[#This Row],[CP_Pcode]],Table_Shelter[HH Covered2])),0)</f>
        <v>10</v>
      </c>
      <c r="AG42" s="553"/>
      <c r="AH42" s="577">
        <f>MIN(CampList[[#This Row],[Shelter Gap]],CampList[[#This Row],[Land Status]])</f>
        <v>10</v>
      </c>
      <c r="AI42" s="553" t="str">
        <f ca="1">IFERROR(OFFSET(DistanceToCamp[Nearest Town],MATCH(CampList[[#This Row],[CP_Pcode]],DistanceToCamp[CP_Pcode],0)-1,0,1,1),"")</f>
        <v>Waingmaw Town</v>
      </c>
      <c r="AJ42" s="581">
        <f ca="1">IFERROR(OFFSET(DistanceToCamp[distance],MATCH(CampList[[#This Row],[CP_Pcode]],DistanceToCamp[CP_Pcode],0)-1,0,1,1),"")</f>
        <v>0.15089472113650237</v>
      </c>
      <c r="AK42" s="582">
        <f ca="1">IFERROR(INT(CampList[[#This Row],[Distance]]/5)+1,"")</f>
        <v>1</v>
      </c>
      <c r="AM42" s="913"/>
      <c r="AN42" s="913"/>
    </row>
    <row r="43" spans="1:40" s="374" customFormat="1" ht="15.75" customHeight="1" x14ac:dyDescent="0.25">
      <c r="A43" s="598" t="s">
        <v>499</v>
      </c>
      <c r="B43" s="551" t="s">
        <v>380</v>
      </c>
      <c r="C43" s="551" t="s">
        <v>524</v>
      </c>
      <c r="D43" s="551" t="s">
        <v>237</v>
      </c>
      <c r="E43" s="551" t="s">
        <v>530</v>
      </c>
      <c r="F43" s="551" t="s">
        <v>310</v>
      </c>
      <c r="G43" s="551" t="s">
        <v>531</v>
      </c>
      <c r="H43" s="551" t="s">
        <v>692</v>
      </c>
      <c r="I43" s="551" t="s">
        <v>693</v>
      </c>
      <c r="J43" s="551" t="s">
        <v>692</v>
      </c>
      <c r="K43" s="551">
        <v>165740</v>
      </c>
      <c r="L43" s="551" t="s">
        <v>326</v>
      </c>
      <c r="M43" s="551" t="s">
        <v>325</v>
      </c>
      <c r="N43" s="571">
        <v>97.426536944444507</v>
      </c>
      <c r="O43" s="571">
        <v>25.409612685185198</v>
      </c>
      <c r="P43" s="572">
        <v>0</v>
      </c>
      <c r="Q43" s="776">
        <v>45</v>
      </c>
      <c r="R43" s="776">
        <v>190</v>
      </c>
      <c r="S43" s="574">
        <f>IF(CampList[[#This Row],[HH]]&gt;0,CampList[[#This Row],[Total]]/CampList[[#This Row],[HH]],"NA")</f>
        <v>4.2222222222222223</v>
      </c>
      <c r="T43" s="553" t="s">
        <v>510</v>
      </c>
      <c r="U43" s="553" t="s">
        <v>1180</v>
      </c>
      <c r="V43" s="553" t="s">
        <v>553</v>
      </c>
      <c r="W43" s="553" t="s">
        <v>802</v>
      </c>
      <c r="X43" s="794">
        <v>40878</v>
      </c>
      <c r="Y43" s="576">
        <v>1</v>
      </c>
      <c r="Z43" s="575" t="s">
        <v>459</v>
      </c>
      <c r="AA43" s="598" t="s">
        <v>841</v>
      </c>
      <c r="AB43" s="577"/>
      <c r="AC43" s="578">
        <v>42919</v>
      </c>
      <c r="AD43" s="570" t="s">
        <v>1652</v>
      </c>
      <c r="AE43" s="580" t="s">
        <v>1088</v>
      </c>
      <c r="AF43" s="402">
        <f>IF(CampList[[#This Row],[Type of Accomodation]]="camp",MAX(0,CampList[[#This Row],[HH]]-SUMIF(Table_Shelter[Pcode],CampList[[#This Row],[CP_Pcode]],Table_Shelter[HH Covered2])),0)</f>
        <v>5</v>
      </c>
      <c r="AG43" s="553"/>
      <c r="AH43" s="577">
        <f>MIN(CampList[[#This Row],[Shelter Gap]],CampList[[#This Row],[Land Status]])</f>
        <v>5</v>
      </c>
      <c r="AI43" s="553" t="str">
        <f ca="1">IFERROR(OFFSET(DistanceToCamp[Nearest Town],MATCH(CampList[[#This Row],[CP_Pcode]],DistanceToCamp[CP_Pcode],0)-1,0,1,1),"")</f>
        <v>Myitkyina Town</v>
      </c>
      <c r="AJ43" s="581">
        <f ca="1">IFERROR(OFFSET(DistanceToCamp[distance],MATCH(CampList[[#This Row],[CP_Pcode]],DistanceToCamp[CP_Pcode],0)-1,0,1,1),"")</f>
        <v>4.3887485673235673</v>
      </c>
      <c r="AK43" s="582">
        <f ca="1">IFERROR(INT(CampList[[#This Row],[Distance]]/5)+1,"")</f>
        <v>1</v>
      </c>
      <c r="AM43" s="913"/>
      <c r="AN43" s="913"/>
    </row>
    <row r="44" spans="1:40" s="374" customFormat="1" ht="15.75" customHeight="1" x14ac:dyDescent="0.25">
      <c r="A44" s="598" t="s">
        <v>499</v>
      </c>
      <c r="B44" s="551" t="s">
        <v>380</v>
      </c>
      <c r="C44" s="551" t="s">
        <v>524</v>
      </c>
      <c r="D44" s="551" t="s">
        <v>237</v>
      </c>
      <c r="E44" s="551" t="s">
        <v>530</v>
      </c>
      <c r="F44" s="551" t="s">
        <v>310</v>
      </c>
      <c r="G44" s="551" t="s">
        <v>531</v>
      </c>
      <c r="H44" s="551" t="s">
        <v>692</v>
      </c>
      <c r="I44" s="551" t="s">
        <v>693</v>
      </c>
      <c r="J44" s="551" t="s">
        <v>692</v>
      </c>
      <c r="K44" s="551">
        <v>165740</v>
      </c>
      <c r="L44" s="551" t="s">
        <v>324</v>
      </c>
      <c r="M44" s="551" t="s">
        <v>323</v>
      </c>
      <c r="N44" s="571">
        <v>97.434855869565197</v>
      </c>
      <c r="O44" s="571">
        <v>25.4118005797101</v>
      </c>
      <c r="P44" s="572">
        <v>0</v>
      </c>
      <c r="Q44" s="776">
        <v>498</v>
      </c>
      <c r="R44" s="776">
        <v>2531</v>
      </c>
      <c r="S44" s="574">
        <f>IF(CampList[[#This Row],[HH]]&gt;0,CampList[[#This Row],[Total]]/CampList[[#This Row],[HH]],"NA")</f>
        <v>5.0823293172690764</v>
      </c>
      <c r="T44" s="553" t="s">
        <v>510</v>
      </c>
      <c r="U44" s="553" t="s">
        <v>1180</v>
      </c>
      <c r="V44" s="553" t="s">
        <v>553</v>
      </c>
      <c r="W44" s="553" t="s">
        <v>855</v>
      </c>
      <c r="X44" s="794">
        <v>41061</v>
      </c>
      <c r="Y44" s="576">
        <v>3</v>
      </c>
      <c r="Z44" s="575" t="s">
        <v>459</v>
      </c>
      <c r="AA44" s="598" t="s">
        <v>841</v>
      </c>
      <c r="AB44" s="577"/>
      <c r="AC44" s="578">
        <v>42919</v>
      </c>
      <c r="AD44" s="570" t="s">
        <v>1653</v>
      </c>
      <c r="AE44" s="580" t="s">
        <v>1088</v>
      </c>
      <c r="AF44" s="402">
        <f>IF(CampList[[#This Row],[Type of Accomodation]]="camp",MAX(0,CampList[[#This Row],[HH]]-SUMIF(Table_Shelter[Pcode],CampList[[#This Row],[CP_Pcode]],Table_Shelter[HH Covered2])),0)</f>
        <v>0</v>
      </c>
      <c r="AG44" s="553"/>
      <c r="AH44" s="577">
        <f>MIN(CampList[[#This Row],[Shelter Gap]],CampList[[#This Row],[Land Status]])</f>
        <v>0</v>
      </c>
      <c r="AI44" s="553" t="str">
        <f ca="1">IFERROR(OFFSET(DistanceToCamp[Nearest Town],MATCH(CampList[[#This Row],[CP_Pcode]],DistanceToCamp[CP_Pcode],0)-1,0,1,1),"")</f>
        <v>Myitkyina Town</v>
      </c>
      <c r="AJ44" s="581">
        <f ca="1">IFERROR(OFFSET(DistanceToCamp[distance],MATCH(CampList[[#This Row],[CP_Pcode]],DistanceToCamp[CP_Pcode],0)-1,0,1,1),"")</f>
        <v>5.2238983299151851</v>
      </c>
      <c r="AK44" s="582">
        <f ca="1">IFERROR(INT(CampList[[#This Row],[Distance]]/5)+1,"")</f>
        <v>2</v>
      </c>
      <c r="AM44" s="913"/>
      <c r="AN44" s="913"/>
    </row>
    <row r="45" spans="1:40" s="374" customFormat="1" ht="15.75" customHeight="1" x14ac:dyDescent="0.25">
      <c r="A45" s="598" t="s">
        <v>499</v>
      </c>
      <c r="B45" s="551" t="s">
        <v>380</v>
      </c>
      <c r="C45" s="551" t="s">
        <v>524</v>
      </c>
      <c r="D45" s="551" t="s">
        <v>237</v>
      </c>
      <c r="E45" s="551" t="s">
        <v>530</v>
      </c>
      <c r="F45" s="551" t="s">
        <v>310</v>
      </c>
      <c r="G45" s="551" t="s">
        <v>531</v>
      </c>
      <c r="H45" s="551" t="s">
        <v>770</v>
      </c>
      <c r="I45" s="551" t="s">
        <v>771</v>
      </c>
      <c r="J45" s="551" t="s">
        <v>772</v>
      </c>
      <c r="K45" s="551">
        <v>165845</v>
      </c>
      <c r="L45" s="551" t="s">
        <v>347</v>
      </c>
      <c r="M45" s="551" t="s">
        <v>346</v>
      </c>
      <c r="N45" s="571">
        <v>98.025662999999994</v>
      </c>
      <c r="O45" s="571">
        <v>25.418084</v>
      </c>
      <c r="P45" s="572"/>
      <c r="Q45" s="776">
        <v>184</v>
      </c>
      <c r="R45" s="776">
        <v>966</v>
      </c>
      <c r="S45" s="574">
        <f>IF(CampList[[#This Row],[HH]]&gt;0,CampList[[#This Row],[Total]]/CampList[[#This Row],[HH]],"NA")</f>
        <v>5.25</v>
      </c>
      <c r="T45" s="553" t="s">
        <v>510</v>
      </c>
      <c r="U45" s="553" t="s">
        <v>1180</v>
      </c>
      <c r="V45" s="553" t="s">
        <v>553</v>
      </c>
      <c r="W45" s="553" t="s">
        <v>855</v>
      </c>
      <c r="X45" s="794">
        <v>40848</v>
      </c>
      <c r="Y45" s="576">
        <v>2</v>
      </c>
      <c r="Z45" s="575" t="s">
        <v>459</v>
      </c>
      <c r="AA45" s="551" t="s">
        <v>841</v>
      </c>
      <c r="AB45" s="577"/>
      <c r="AC45" s="578">
        <v>42919</v>
      </c>
      <c r="AD45" s="579" t="s">
        <v>1655</v>
      </c>
      <c r="AE45" s="580" t="s">
        <v>1072</v>
      </c>
      <c r="AF45" s="402">
        <f>IF(CampList[[#This Row],[Type of Accomodation]]="camp",MAX(0,CampList[[#This Row],[HH]]-SUMIF(Table_Shelter[Pcode],CampList[[#This Row],[CP_Pcode]],Table_Shelter[HH Covered2])),0)</f>
        <v>0</v>
      </c>
      <c r="AG45" s="553"/>
      <c r="AH45" s="577">
        <f>MIN(CampList[[#This Row],[Shelter Gap]],CampList[[#This Row],[Land Status]])</f>
        <v>0</v>
      </c>
      <c r="AI45" s="553" t="str">
        <f ca="1">IFERROR(OFFSET(DistanceToCamp[Nearest Town],MATCH(CampList[[#This Row],[CP_Pcode]],DistanceToCamp[CP_Pcode],0)-1,0,1,1),"")</f>
        <v>Kan Paik Ti Town</v>
      </c>
      <c r="AJ45" s="581">
        <f ca="1">IFERROR(OFFSET(DistanceToCamp[distance],MATCH(CampList[[#This Row],[CP_Pcode]],DistanceToCamp[CP_Pcode],0)-1,0,1,1),"")</f>
        <v>9.3609732231189877</v>
      </c>
      <c r="AK45" s="582">
        <f ca="1">IFERROR(INT(CampList[[#This Row],[Distance]]/5)+1,"")</f>
        <v>2</v>
      </c>
      <c r="AM45" s="913"/>
      <c r="AN45" s="913"/>
    </row>
    <row r="46" spans="1:40" s="374" customFormat="1" ht="15.75" customHeight="1" x14ac:dyDescent="0.25">
      <c r="A46" s="570" t="s">
        <v>499</v>
      </c>
      <c r="B46" s="551" t="s">
        <v>380</v>
      </c>
      <c r="C46" s="551" t="s">
        <v>524</v>
      </c>
      <c r="D46" s="551" t="s">
        <v>237</v>
      </c>
      <c r="E46" s="551" t="s">
        <v>530</v>
      </c>
      <c r="F46" s="551" t="s">
        <v>27</v>
      </c>
      <c r="G46" s="551" t="s">
        <v>533</v>
      </c>
      <c r="H46" s="551" t="s">
        <v>790</v>
      </c>
      <c r="I46" s="551" t="s">
        <v>791</v>
      </c>
      <c r="J46" s="551" t="s">
        <v>1350</v>
      </c>
      <c r="K46" s="588" t="s">
        <v>1349</v>
      </c>
      <c r="L46" s="551" t="s">
        <v>28</v>
      </c>
      <c r="M46" s="551" t="s">
        <v>30</v>
      </c>
      <c r="N46" s="571">
        <v>98.131550000000004</v>
      </c>
      <c r="O46" s="571">
        <v>25.889410000000002</v>
      </c>
      <c r="P46" s="572">
        <v>304</v>
      </c>
      <c r="Q46" s="776">
        <v>108</v>
      </c>
      <c r="R46" s="776">
        <v>529</v>
      </c>
      <c r="S46" s="574">
        <f>IF(CampList[[#This Row],[HH]]&gt;0,CampList[[#This Row],[Total]]/CampList[[#This Row],[HH]],"NA")</f>
        <v>4.8981481481481479</v>
      </c>
      <c r="T46" s="553" t="s">
        <v>510</v>
      </c>
      <c r="U46" s="553" t="s">
        <v>1180</v>
      </c>
      <c r="V46" s="553" t="s">
        <v>553</v>
      </c>
      <c r="W46" s="553" t="s">
        <v>802</v>
      </c>
      <c r="X46" s="794">
        <v>41244</v>
      </c>
      <c r="Y46" s="576">
        <v>1</v>
      </c>
      <c r="Z46" s="575" t="s">
        <v>504</v>
      </c>
      <c r="AA46" s="598" t="s">
        <v>841</v>
      </c>
      <c r="AB46" s="577"/>
      <c r="AC46" s="578">
        <v>42915</v>
      </c>
      <c r="AD46" s="570" t="s">
        <v>1615</v>
      </c>
      <c r="AE46" s="580" t="s">
        <v>1072</v>
      </c>
      <c r="AF46" s="402">
        <f>IF(CampList[[#This Row],[Type of Accomodation]]="camp",MAX(0,CampList[[#This Row],[HH]]-SUMIF(Table_Shelter[Pcode],CampList[[#This Row],[CP_Pcode]],Table_Shelter[HH Covered2])),0)</f>
        <v>1</v>
      </c>
      <c r="AG46" s="553"/>
      <c r="AH46" s="577">
        <f>MIN(CampList[[#This Row],[Shelter Gap]],CampList[[#This Row],[Land Status]])</f>
        <v>1</v>
      </c>
      <c r="AI46" s="553" t="str">
        <f ca="1">IFERROR(OFFSET(DistanceToCamp[Nearest Town],MATCH(CampList[[#This Row],[CP_Pcode]],DistanceToCamp[CP_Pcode],0)-1,0,1,1),"")</f>
        <v>Chipwi Town</v>
      </c>
      <c r="AJ46" s="581">
        <f ca="1">IFERROR(OFFSET(DistanceToCamp[distance],MATCH(CampList[[#This Row],[CP_Pcode]],DistanceToCamp[CP_Pcode],0)-1,0,1,1),"")</f>
        <v>0.15809623370782155</v>
      </c>
      <c r="AK46" s="582">
        <f ca="1">IFERROR(INT(CampList[[#This Row],[Distance]]/5)+1,"")</f>
        <v>1</v>
      </c>
      <c r="AM46" s="913"/>
      <c r="AN46" s="913"/>
    </row>
    <row r="47" spans="1:40" s="374" customFormat="1" ht="15.75" customHeight="1" x14ac:dyDescent="0.25">
      <c r="A47" s="570" t="s">
        <v>499</v>
      </c>
      <c r="B47" s="551" t="s">
        <v>380</v>
      </c>
      <c r="C47" s="551" t="s">
        <v>524</v>
      </c>
      <c r="D47" s="551" t="s">
        <v>237</v>
      </c>
      <c r="E47" s="551" t="s">
        <v>530</v>
      </c>
      <c r="F47" s="551" t="s">
        <v>27</v>
      </c>
      <c r="G47" s="551" t="s">
        <v>533</v>
      </c>
      <c r="H47" s="579" t="s">
        <v>792</v>
      </c>
      <c r="I47" s="579" t="s">
        <v>793</v>
      </c>
      <c r="J47" s="579" t="s">
        <v>794</v>
      </c>
      <c r="K47" s="579">
        <v>166355</v>
      </c>
      <c r="L47" s="551" t="s">
        <v>364</v>
      </c>
      <c r="M47" s="551" t="s">
        <v>29</v>
      </c>
      <c r="N47" s="571">
        <v>98.475719999999995</v>
      </c>
      <c r="O47" s="571">
        <v>25.754110000000001</v>
      </c>
      <c r="P47" s="572">
        <v>2785</v>
      </c>
      <c r="Q47" s="776">
        <v>158</v>
      </c>
      <c r="R47" s="776">
        <v>945</v>
      </c>
      <c r="S47" s="574">
        <f>IF(CampList[[#This Row],[HH]]&gt;0,CampList[[#This Row],[Total]]/CampList[[#This Row],[HH]],"NA")</f>
        <v>5.981012658227848</v>
      </c>
      <c r="T47" s="553" t="s">
        <v>512</v>
      </c>
      <c r="U47" s="553" t="s">
        <v>1180</v>
      </c>
      <c r="V47" s="553" t="s">
        <v>553</v>
      </c>
      <c r="W47" s="553" t="s">
        <v>856</v>
      </c>
      <c r="X47" s="794">
        <v>41030</v>
      </c>
      <c r="Y47" s="576">
        <v>2</v>
      </c>
      <c r="Z47" s="575" t="s">
        <v>459</v>
      </c>
      <c r="AA47" s="598" t="s">
        <v>841</v>
      </c>
      <c r="AB47" s="577"/>
      <c r="AC47" s="578">
        <v>42919</v>
      </c>
      <c r="AD47" s="570" t="s">
        <v>1654</v>
      </c>
      <c r="AE47" s="580" t="s">
        <v>1072</v>
      </c>
      <c r="AF47" s="402">
        <f>IF(CampList[[#This Row],[Type of Accomodation]]="camp",MAX(0,CampList[[#This Row],[HH]]-SUMIF(Table_Shelter[Pcode],CampList[[#This Row],[CP_Pcode]],Table_Shelter[HH Covered2])),0)</f>
        <v>158</v>
      </c>
      <c r="AG47" s="553"/>
      <c r="AH47" s="577">
        <f>MIN(CampList[[#This Row],[Shelter Gap]],CampList[[#This Row],[Land Status]])</f>
        <v>158</v>
      </c>
      <c r="AI47" s="553" t="str">
        <f ca="1">IFERROR(OFFSET(DistanceToCamp[Nearest Town],MATCH(CampList[[#This Row],[CP_Pcode]],DistanceToCamp[CP_Pcode],0)-1,0,1,1),"")</f>
        <v>Pang War Town</v>
      </c>
      <c r="AJ47" s="581">
        <f ca="1">IFERROR(OFFSET(DistanceToCamp[distance],MATCH(CampList[[#This Row],[CP_Pcode]],DistanceToCamp[CP_Pcode],0)-1,0,1,1),"")</f>
        <v>19.834999342466848</v>
      </c>
      <c r="AK47" s="582">
        <f ca="1">IFERROR(INT(CampList[[#This Row],[Distance]]/5)+1,"")</f>
        <v>4</v>
      </c>
      <c r="AM47" s="913"/>
      <c r="AN47" s="913"/>
    </row>
    <row r="48" spans="1:40" s="374" customFormat="1" ht="15.75" hidden="1" customHeight="1" x14ac:dyDescent="0.25">
      <c r="A48" s="570" t="s">
        <v>842</v>
      </c>
      <c r="B48" s="551" t="s">
        <v>380</v>
      </c>
      <c r="C48" s="551" t="s">
        <v>524</v>
      </c>
      <c r="D48" s="551" t="s">
        <v>180</v>
      </c>
      <c r="E48" s="551" t="s">
        <v>525</v>
      </c>
      <c r="F48" s="551" t="s">
        <v>526</v>
      </c>
      <c r="G48" s="551" t="s">
        <v>527</v>
      </c>
      <c r="H48" s="579" t="s">
        <v>611</v>
      </c>
      <c r="I48" s="579" t="s">
        <v>612</v>
      </c>
      <c r="J48" s="579" t="s">
        <v>759</v>
      </c>
      <c r="K48" s="579">
        <v>216877</v>
      </c>
      <c r="L48" s="551" t="s">
        <v>48</v>
      </c>
      <c r="M48" s="551" t="s">
        <v>47</v>
      </c>
      <c r="N48" s="571">
        <v>96.339870000000005</v>
      </c>
      <c r="O48" s="571">
        <v>25.655989999999999</v>
      </c>
      <c r="P48" s="591"/>
      <c r="Q48" s="705"/>
      <c r="R48" s="706"/>
      <c r="S48" s="574" t="str">
        <f>IF(CampList[[#This Row],[HH]]&gt;0,CampList[[#This Row],[Total]]/CampList[[#This Row],[HH]],"NA")</f>
        <v>NA</v>
      </c>
      <c r="T48" s="553" t="s">
        <v>510</v>
      </c>
      <c r="U48" s="583" t="s">
        <v>1180</v>
      </c>
      <c r="V48" s="553" t="s">
        <v>553</v>
      </c>
      <c r="W48" s="583"/>
      <c r="X48" s="600"/>
      <c r="Y48" s="591"/>
      <c r="Z48" s="601"/>
      <c r="AA48" s="598"/>
      <c r="AB48" s="577"/>
      <c r="AC48" s="604"/>
      <c r="AD48" s="570" t="s">
        <v>600</v>
      </c>
      <c r="AE48" s="602" t="s">
        <v>1006</v>
      </c>
      <c r="AF48" s="402">
        <f>IF(CampList[[#This Row],[Type of Accomodation]]="camp",MAX(0,CampList[[#This Row],[HH]]-SUMIF(Table_Shelter[Pcode],CampList[[#This Row],[CP_Pcode]],Table_Shelter[HH Covered2])),0)</f>
        <v>0</v>
      </c>
      <c r="AG48" s="553"/>
      <c r="AH48" s="577">
        <f>MIN(CampList[[#This Row],[Shelter Gap]],CampList[[#This Row],[Land Status]])</f>
        <v>0</v>
      </c>
      <c r="AI48" s="553" t="str">
        <f ca="1">IFERROR(OFFSET(DistanceToCamp[Nearest Town],MATCH(CampList[[#This Row],[CP_Pcode]],DistanceToCamp[CP_Pcode],0)-1,0,1,1),"")</f>
        <v/>
      </c>
      <c r="AJ48" s="581" t="str">
        <f ca="1">IFERROR(OFFSET(DistanceToCamp[distance],MATCH(CampList[[#This Row],[CP_Pcode]],DistanceToCamp[CP_Pcode],0)-1,0,1,1),"")</f>
        <v/>
      </c>
      <c r="AK48" s="582" t="str">
        <f ca="1">IFERROR(INT(CampList[[#This Row],[Distance]]/5)+1,"")</f>
        <v/>
      </c>
      <c r="AM48" s="913"/>
      <c r="AN48" s="913"/>
    </row>
    <row r="49" spans="1:40" s="374" customFormat="1" ht="15.75" hidden="1" customHeight="1" x14ac:dyDescent="0.25">
      <c r="A49" s="570" t="s">
        <v>842</v>
      </c>
      <c r="B49" s="551" t="s">
        <v>380</v>
      </c>
      <c r="C49" s="551" t="s">
        <v>524</v>
      </c>
      <c r="D49" s="551" t="s">
        <v>237</v>
      </c>
      <c r="E49" s="551" t="s">
        <v>530</v>
      </c>
      <c r="F49" s="551" t="s">
        <v>27</v>
      </c>
      <c r="G49" s="551" t="s">
        <v>533</v>
      </c>
      <c r="H49" s="579" t="s">
        <v>787</v>
      </c>
      <c r="I49" s="579" t="s">
        <v>788</v>
      </c>
      <c r="J49" s="579" t="s">
        <v>789</v>
      </c>
      <c r="K49" s="579">
        <v>166337</v>
      </c>
      <c r="L49" s="551" t="s">
        <v>34</v>
      </c>
      <c r="M49" s="551" t="s">
        <v>33</v>
      </c>
      <c r="N49" s="571">
        <v>98.354146999999998</v>
      </c>
      <c r="O49" s="571">
        <v>25.708763000000001</v>
      </c>
      <c r="P49" s="592"/>
      <c r="Q49" s="777"/>
      <c r="R49" s="778"/>
      <c r="S49" s="574" t="str">
        <f>IF(CampList[[#This Row],[HH]]&gt;0,CampList[[#This Row],[Total]]/CampList[[#This Row],[HH]],"NA")</f>
        <v>NA</v>
      </c>
      <c r="T49" s="553" t="s">
        <v>510</v>
      </c>
      <c r="U49" s="553" t="s">
        <v>1180</v>
      </c>
      <c r="V49" s="605" t="s">
        <v>12</v>
      </c>
      <c r="W49" s="553" t="s">
        <v>855</v>
      </c>
      <c r="X49" s="795"/>
      <c r="Y49" s="592"/>
      <c r="Z49" s="577"/>
      <c r="AA49" s="751" t="s">
        <v>841</v>
      </c>
      <c r="AB49" s="577"/>
      <c r="AC49" s="912">
        <v>42927</v>
      </c>
      <c r="AD49" s="570" t="s">
        <v>1712</v>
      </c>
      <c r="AE49" s="602" t="s">
        <v>1072</v>
      </c>
      <c r="AF49" s="402">
        <f>IF(CampList[[#This Row],[Type of Accomodation]]="camp",MAX(0,CampList[[#This Row],[HH]]-SUMIF(Table_Shelter[Pcode],CampList[[#This Row],[CP_Pcode]],Table_Shelter[HH Covered2])),0)</f>
        <v>0</v>
      </c>
      <c r="AG49" s="553"/>
      <c r="AH49" s="577">
        <f>MIN(CampList[[#This Row],[Shelter Gap]],CampList[[#This Row],[Land Status]])</f>
        <v>0</v>
      </c>
      <c r="AI49" s="553" t="str">
        <f ca="1">IFERROR(OFFSET(DistanceToCamp[Nearest Town],MATCH(CampList[[#This Row],[CP_Pcode]],DistanceToCamp[CP_Pcode],0)-1,0,1,1),"")</f>
        <v>Pang War Town</v>
      </c>
      <c r="AJ49" s="581">
        <f ca="1">IFERROR(OFFSET(DistanceToCamp[distance],MATCH(CampList[[#This Row],[CP_Pcode]],DistanceToCamp[CP_Pcode],0)-1,0,1,1),"")</f>
        <v>12.486065224161463</v>
      </c>
      <c r="AK49" s="582">
        <f ca="1">IFERROR(INT(CampList[[#This Row],[Distance]]/5)+1,"")</f>
        <v>3</v>
      </c>
      <c r="AM49" s="913"/>
      <c r="AN49" s="913"/>
    </row>
    <row r="50" spans="1:40" s="374" customFormat="1" ht="15.75" hidden="1" customHeight="1" x14ac:dyDescent="0.25">
      <c r="A50" s="570" t="s">
        <v>842</v>
      </c>
      <c r="B50" s="551" t="s">
        <v>380</v>
      </c>
      <c r="C50" s="551" t="s">
        <v>524</v>
      </c>
      <c r="D50" s="551" t="s">
        <v>180</v>
      </c>
      <c r="E50" s="551" t="s">
        <v>525</v>
      </c>
      <c r="F50" s="551" t="s">
        <v>526</v>
      </c>
      <c r="G50" s="551" t="s">
        <v>527</v>
      </c>
      <c r="H50" s="579" t="s">
        <v>602</v>
      </c>
      <c r="I50" s="579" t="s">
        <v>603</v>
      </c>
      <c r="J50" s="579" t="s">
        <v>698</v>
      </c>
      <c r="K50" s="579" t="s">
        <v>699</v>
      </c>
      <c r="L50" s="551" t="s">
        <v>50</v>
      </c>
      <c r="M50" s="551" t="s">
        <v>49</v>
      </c>
      <c r="N50" s="571"/>
      <c r="O50" s="571"/>
      <c r="P50" s="591"/>
      <c r="Q50" s="705"/>
      <c r="R50" s="706"/>
      <c r="S50" s="574" t="str">
        <f>IF(CampList[[#This Row],[HH]]&gt;0,CampList[[#This Row],[Total]]/CampList[[#This Row],[HH]],"NA")</f>
        <v>NA</v>
      </c>
      <c r="T50" s="553" t="s">
        <v>510</v>
      </c>
      <c r="U50" s="583" t="s">
        <v>1180</v>
      </c>
      <c r="V50" s="553" t="s">
        <v>553</v>
      </c>
      <c r="W50" s="583"/>
      <c r="X50" s="600"/>
      <c r="Y50" s="591"/>
      <c r="Z50" s="601"/>
      <c r="AA50" s="598"/>
      <c r="AB50" s="577"/>
      <c r="AC50" s="604"/>
      <c r="AD50" s="570" t="s">
        <v>600</v>
      </c>
      <c r="AE50" s="602" t="s">
        <v>1006</v>
      </c>
      <c r="AF50" s="402">
        <f>IF(CampList[[#This Row],[Type of Accomodation]]="camp",MAX(0,CampList[[#This Row],[HH]]-SUMIF(Table_Shelter[Pcode],CampList[[#This Row],[CP_Pcode]],Table_Shelter[HH Covered2])),0)</f>
        <v>0</v>
      </c>
      <c r="AG50" s="553"/>
      <c r="AH50" s="577">
        <f>MIN(CampList[[#This Row],[Shelter Gap]],CampList[[#This Row],[Land Status]])</f>
        <v>0</v>
      </c>
      <c r="AI50" s="553" t="str">
        <f ca="1">IFERROR(OFFSET(DistanceToCamp[Nearest Town],MATCH(CampList[[#This Row],[CP_Pcode]],DistanceToCamp[CP_Pcode],0)-1,0,1,1),"")</f>
        <v/>
      </c>
      <c r="AJ50" s="581" t="str">
        <f ca="1">IFERROR(OFFSET(DistanceToCamp[distance],MATCH(CampList[[#This Row],[CP_Pcode]],DistanceToCamp[CP_Pcode],0)-1,0,1,1),"")</f>
        <v/>
      </c>
      <c r="AK50" s="582" t="str">
        <f ca="1">IFERROR(INT(CampList[[#This Row],[Distance]]/5)+1,"")</f>
        <v/>
      </c>
      <c r="AM50" s="913"/>
      <c r="AN50" s="913"/>
    </row>
    <row r="51" spans="1:40" s="374" customFormat="1" ht="15.75" customHeight="1" x14ac:dyDescent="0.25">
      <c r="A51" s="570" t="s">
        <v>499</v>
      </c>
      <c r="B51" s="551" t="s">
        <v>380</v>
      </c>
      <c r="C51" s="551" t="s">
        <v>524</v>
      </c>
      <c r="D51" s="551" t="s">
        <v>5</v>
      </c>
      <c r="E51" s="551" t="s">
        <v>528</v>
      </c>
      <c r="F51" s="551" t="s">
        <v>5</v>
      </c>
      <c r="G51" s="551" t="s">
        <v>529</v>
      </c>
      <c r="H51" s="551" t="s">
        <v>636</v>
      </c>
      <c r="I51" s="551" t="s">
        <v>637</v>
      </c>
      <c r="J51" s="551" t="s">
        <v>640</v>
      </c>
      <c r="K51" s="551" t="s">
        <v>641</v>
      </c>
      <c r="L51" s="551" t="s">
        <v>22</v>
      </c>
      <c r="M51" s="551" t="s">
        <v>21</v>
      </c>
      <c r="N51" s="571">
        <v>97.229116811594196</v>
      </c>
      <c r="O51" s="571">
        <v>24.268292826086999</v>
      </c>
      <c r="P51" s="572"/>
      <c r="Q51" s="776">
        <v>638</v>
      </c>
      <c r="R51" s="776">
        <v>4050</v>
      </c>
      <c r="S51" s="574">
        <f>IF(CampList[[#This Row],[HH]]&gt;0,CampList[[#This Row],[Total]]/CampList[[#This Row],[HH]],"NA")</f>
        <v>6.3479623824451412</v>
      </c>
      <c r="T51" s="553" t="s">
        <v>510</v>
      </c>
      <c r="U51" s="553" t="s">
        <v>1180</v>
      </c>
      <c r="V51" s="553" t="s">
        <v>553</v>
      </c>
      <c r="W51" s="553" t="s">
        <v>802</v>
      </c>
      <c r="X51" s="794">
        <v>40725</v>
      </c>
      <c r="Y51" s="576">
        <v>3</v>
      </c>
      <c r="Z51" s="575" t="s">
        <v>459</v>
      </c>
      <c r="AA51" s="551" t="s">
        <v>841</v>
      </c>
      <c r="AB51" s="577"/>
      <c r="AC51" s="578">
        <v>42919</v>
      </c>
      <c r="AD51" s="579" t="s">
        <v>1657</v>
      </c>
      <c r="AE51" s="580" t="s">
        <v>1088</v>
      </c>
      <c r="AF51" s="402">
        <f>IF(CampList[[#This Row],[Type of Accomodation]]="camp",MAX(0,CampList[[#This Row],[HH]]-SUMIF(Table_Shelter[Pcode],CampList[[#This Row],[CP_Pcode]],Table_Shelter[HH Covered2])),0)</f>
        <v>213</v>
      </c>
      <c r="AG51" s="402"/>
      <c r="AH51" s="577">
        <f>MIN(CampList[[#This Row],[Shelter Gap]],CampList[[#This Row],[Land Status]])</f>
        <v>213</v>
      </c>
      <c r="AI51" s="553" t="str">
        <f ca="1">IFERROR(OFFSET(DistanceToCamp[Nearest Town],MATCH(CampList[[#This Row],[CP_Pcode]],DistanceToCamp[CP_Pcode],0)-1,0,1,1),"")</f>
        <v>Bhamo Town</v>
      </c>
      <c r="AJ51" s="581">
        <f ca="1">IFERROR(OFFSET(DistanceToCamp[distance],MATCH(CampList[[#This Row],[CP_Pcode]],DistanceToCamp[CP_Pcode],0)-1,0,1,1),"")</f>
        <v>1.5797992800898704</v>
      </c>
      <c r="AK51" s="582">
        <f ca="1">IFERROR(INT(CampList[[#This Row],[Distance]]/5)+1,"")</f>
        <v>1</v>
      </c>
      <c r="AM51" s="913">
        <v>88</v>
      </c>
      <c r="AN51" s="913">
        <v>505</v>
      </c>
    </row>
    <row r="52" spans="1:40" s="374" customFormat="1" ht="15.75" customHeight="1" x14ac:dyDescent="0.25">
      <c r="A52" s="570" t="s">
        <v>499</v>
      </c>
      <c r="B52" s="551" t="s">
        <v>380</v>
      </c>
      <c r="C52" s="551" t="s">
        <v>524</v>
      </c>
      <c r="D52" s="551" t="s">
        <v>5</v>
      </c>
      <c r="E52" s="551" t="s">
        <v>528</v>
      </c>
      <c r="F52" s="551" t="s">
        <v>5</v>
      </c>
      <c r="G52" s="551" t="s">
        <v>529</v>
      </c>
      <c r="H52" s="579" t="s">
        <v>1345</v>
      </c>
      <c r="I52" s="579" t="s">
        <v>1346</v>
      </c>
      <c r="J52" s="579" t="s">
        <v>1345</v>
      </c>
      <c r="K52" s="597">
        <v>166836</v>
      </c>
      <c r="L52" s="551" t="s">
        <v>18</v>
      </c>
      <c r="M52" s="551" t="s">
        <v>17</v>
      </c>
      <c r="N52" s="571">
        <v>97.240183461538507</v>
      </c>
      <c r="O52" s="571">
        <v>24.2631743589744</v>
      </c>
      <c r="P52" s="572">
        <v>0</v>
      </c>
      <c r="Q52" s="776">
        <v>130</v>
      </c>
      <c r="R52" s="776">
        <v>747</v>
      </c>
      <c r="S52" s="574">
        <f>IF(CampList[[#This Row],[HH]]&gt;0,CampList[[#This Row],[Total]]/CampList[[#This Row],[HH]],"NA")</f>
        <v>5.7461538461538462</v>
      </c>
      <c r="T52" s="553" t="s">
        <v>510</v>
      </c>
      <c r="U52" s="553" t="s">
        <v>1180</v>
      </c>
      <c r="V52" s="553" t="s">
        <v>553</v>
      </c>
      <c r="W52" s="553" t="s">
        <v>802</v>
      </c>
      <c r="X52" s="794">
        <v>40695</v>
      </c>
      <c r="Y52" s="576">
        <v>2</v>
      </c>
      <c r="Z52" s="575" t="s">
        <v>504</v>
      </c>
      <c r="AA52" s="598" t="s">
        <v>841</v>
      </c>
      <c r="AB52" s="577"/>
      <c r="AC52" s="578">
        <v>42915</v>
      </c>
      <c r="AD52" s="570" t="s">
        <v>1616</v>
      </c>
      <c r="AE52" s="580" t="s">
        <v>1088</v>
      </c>
      <c r="AF52" s="402">
        <f>IF(CampList[[#This Row],[Type of Accomodation]]="camp",MAX(0,CampList[[#This Row],[HH]]-SUMIF(Table_Shelter[Pcode],CampList[[#This Row],[CP_Pcode]],Table_Shelter[HH Covered2])),0)</f>
        <v>28</v>
      </c>
      <c r="AG52" s="553"/>
      <c r="AH52" s="577">
        <f>MIN(CampList[[#This Row],[Shelter Gap]],CampList[[#This Row],[Land Status]])</f>
        <v>28</v>
      </c>
      <c r="AI52" s="553" t="str">
        <f ca="1">IFERROR(OFFSET(DistanceToCamp[Nearest Town],MATCH(CampList[[#This Row],[CP_Pcode]],DistanceToCamp[CP_Pcode],0)-1,0,1,1),"")</f>
        <v>Bhamo Town</v>
      </c>
      <c r="AJ52" s="581">
        <f ca="1">IFERROR(OFFSET(DistanceToCamp[distance],MATCH(CampList[[#This Row],[CP_Pcode]],DistanceToCamp[CP_Pcode],0)-1,0,1,1),"")</f>
        <v>1.0876401420946245</v>
      </c>
      <c r="AK52" s="582">
        <f ca="1">IFERROR(INT(CampList[[#This Row],[Distance]]/5)+1,"")</f>
        <v>1</v>
      </c>
      <c r="AM52" s="913"/>
      <c r="AN52" s="913"/>
    </row>
    <row r="53" spans="1:40" s="374" customFormat="1" ht="15.75" customHeight="1" x14ac:dyDescent="0.25">
      <c r="A53" s="589" t="s">
        <v>499</v>
      </c>
      <c r="B53" s="552" t="s">
        <v>380</v>
      </c>
      <c r="C53" s="552" t="s">
        <v>524</v>
      </c>
      <c r="D53" s="552" t="s">
        <v>5</v>
      </c>
      <c r="E53" s="552" t="s">
        <v>528</v>
      </c>
      <c r="F53" s="552" t="s">
        <v>5</v>
      </c>
      <c r="G53" s="552" t="s">
        <v>529</v>
      </c>
      <c r="H53" s="552" t="s">
        <v>1345</v>
      </c>
      <c r="I53" s="590" t="s">
        <v>1346</v>
      </c>
      <c r="J53" s="552" t="s">
        <v>1345</v>
      </c>
      <c r="K53" s="552">
        <v>166836</v>
      </c>
      <c r="L53" s="552" t="s">
        <v>6</v>
      </c>
      <c r="M53" s="552" t="s">
        <v>4</v>
      </c>
      <c r="N53" s="573">
        <v>97.238829999999993</v>
      </c>
      <c r="O53" s="573">
        <v>24.260719999999999</v>
      </c>
      <c r="P53" s="592"/>
      <c r="Q53" s="779">
        <v>257</v>
      </c>
      <c r="R53" s="779">
        <v>1266</v>
      </c>
      <c r="S53" s="574">
        <f>IF(CampList[[#This Row],[HH]]&gt;0,CampList[[#This Row],[Total]]/CampList[[#This Row],[HH]],"NA")</f>
        <v>4.9260700389105061</v>
      </c>
      <c r="T53" s="402" t="s">
        <v>510</v>
      </c>
      <c r="U53" s="553" t="s">
        <v>1180</v>
      </c>
      <c r="V53" s="402" t="s">
        <v>553</v>
      </c>
      <c r="W53" s="402" t="s">
        <v>802</v>
      </c>
      <c r="X53" s="795">
        <v>40848</v>
      </c>
      <c r="Y53" s="592">
        <v>2</v>
      </c>
      <c r="Z53" s="592" t="s">
        <v>1084</v>
      </c>
      <c r="AA53" s="552" t="s">
        <v>841</v>
      </c>
      <c r="AB53" s="573"/>
      <c r="AC53" s="578">
        <v>42915</v>
      </c>
      <c r="AD53" s="594" t="s">
        <v>1577</v>
      </c>
      <c r="AE53" s="580" t="s">
        <v>1088</v>
      </c>
      <c r="AF53" s="595">
        <f>IF(CampList[[#This Row],[Type of Accomodation]]="camp",MAX(0,CampList[[#This Row],[HH]]-SUMIF(Table_Shelter[Pcode],CampList[[#This Row],[CP_Pcode]],Table_Shelter[HH Covered2])),0)</f>
        <v>87</v>
      </c>
      <c r="AG53" s="402">
        <v>20</v>
      </c>
      <c r="AH53" s="572">
        <f>MIN(CampList[[#This Row],[Shelter Gap]],CampList[[#This Row],[Land Status]])</f>
        <v>20</v>
      </c>
      <c r="AI53" s="595" t="str">
        <f ca="1">IFERROR(OFFSET(DistanceToCamp[Nearest Town],MATCH(CampList[[#This Row],[CP_Pcode]],DistanceToCamp[CP_Pcode],0)-1,0,1,1),"")</f>
        <v>Bhamo Town</v>
      </c>
      <c r="AJ53" s="581">
        <f ca="1">IFERROR(OFFSET(DistanceToCamp[distance],MATCH(CampList[[#This Row],[CP_Pcode]],DistanceToCamp[CP_Pcode],0)-1,0,1,1),"")</f>
        <v>0.78440046838596356</v>
      </c>
      <c r="AK53" s="596">
        <f ca="1">IFERROR(INT(CampList[[#This Row],[Distance]]/5)+1,"")</f>
        <v>1</v>
      </c>
      <c r="AM53" s="913"/>
      <c r="AN53" s="913"/>
    </row>
    <row r="54" spans="1:40" s="374" customFormat="1" ht="15.75" customHeight="1" x14ac:dyDescent="0.25">
      <c r="A54" s="570" t="s">
        <v>499</v>
      </c>
      <c r="B54" s="551" t="s">
        <v>380</v>
      </c>
      <c r="C54" s="551" t="s">
        <v>524</v>
      </c>
      <c r="D54" s="551" t="s">
        <v>5</v>
      </c>
      <c r="E54" s="551" t="s">
        <v>528</v>
      </c>
      <c r="F54" s="551" t="s">
        <v>5</v>
      </c>
      <c r="G54" s="551" t="s">
        <v>529</v>
      </c>
      <c r="H54" s="579" t="s">
        <v>636</v>
      </c>
      <c r="I54" s="579" t="s">
        <v>637</v>
      </c>
      <c r="J54" s="579" t="s">
        <v>642</v>
      </c>
      <c r="K54" s="579" t="s">
        <v>643</v>
      </c>
      <c r="L54" s="551" t="s">
        <v>8</v>
      </c>
      <c r="M54" s="551" t="s">
        <v>7</v>
      </c>
      <c r="N54" s="571">
        <v>97.234200000000001</v>
      </c>
      <c r="O54" s="571">
        <v>24.253067000000001</v>
      </c>
      <c r="P54" s="572">
        <v>0</v>
      </c>
      <c r="Q54" s="776">
        <v>13</v>
      </c>
      <c r="R54" s="776">
        <v>56</v>
      </c>
      <c r="S54" s="574">
        <f>IF(CampList[[#This Row],[HH]]&gt;0,CampList[[#This Row],[Total]]/CampList[[#This Row],[HH]],"NA")</f>
        <v>4.3076923076923075</v>
      </c>
      <c r="T54" s="553" t="s">
        <v>510</v>
      </c>
      <c r="U54" s="553" t="s">
        <v>1180</v>
      </c>
      <c r="V54" s="553" t="s">
        <v>553</v>
      </c>
      <c r="W54" s="553" t="s">
        <v>802</v>
      </c>
      <c r="X54" s="794">
        <v>41183</v>
      </c>
      <c r="Y54" s="576">
        <v>1</v>
      </c>
      <c r="Z54" s="575" t="s">
        <v>504</v>
      </c>
      <c r="AA54" s="598" t="s">
        <v>841</v>
      </c>
      <c r="AB54" s="577"/>
      <c r="AC54" s="578">
        <v>42915</v>
      </c>
      <c r="AD54" s="570" t="s">
        <v>1617</v>
      </c>
      <c r="AE54" s="580" t="s">
        <v>1088</v>
      </c>
      <c r="AF54" s="402">
        <f>IF(CampList[[#This Row],[Type of Accomodation]]="camp",MAX(0,CampList[[#This Row],[HH]]-SUMIF(Table_Shelter[Pcode],CampList[[#This Row],[CP_Pcode]],Table_Shelter[HH Covered2])),0)</f>
        <v>0</v>
      </c>
      <c r="AG54" s="553"/>
      <c r="AH54" s="577">
        <f>MIN(CampList[[#This Row],[Shelter Gap]],CampList[[#This Row],[Land Status]])</f>
        <v>0</v>
      </c>
      <c r="AI54" s="553" t="str">
        <f ca="1">IFERROR(OFFSET(DistanceToCamp[Nearest Town],MATCH(CampList[[#This Row],[CP_Pcode]],DistanceToCamp[CP_Pcode],0)-1,0,1,1),"")</f>
        <v>Bhamo Town</v>
      </c>
      <c r="AJ54" s="581">
        <f ca="1">IFERROR(OFFSET(DistanceToCamp[distance],MATCH(CampList[[#This Row],[CP_Pcode]],DistanceToCamp[CP_Pcode],0)-1,0,1,1),"")</f>
        <v>0.20824727902294948</v>
      </c>
      <c r="AK54" s="582">
        <f ca="1">IFERROR(INT(CampList[[#This Row],[Distance]]/5)+1,"")</f>
        <v>1</v>
      </c>
      <c r="AM54" s="913"/>
      <c r="AN54" s="913"/>
    </row>
    <row r="55" spans="1:40" s="374" customFormat="1" ht="15.75" customHeight="1" x14ac:dyDescent="0.25">
      <c r="A55" s="570" t="s">
        <v>499</v>
      </c>
      <c r="B55" s="551" t="s">
        <v>380</v>
      </c>
      <c r="C55" s="551" t="s">
        <v>524</v>
      </c>
      <c r="D55" s="551" t="s">
        <v>5</v>
      </c>
      <c r="E55" s="551" t="s">
        <v>528</v>
      </c>
      <c r="F55" s="551" t="s">
        <v>5</v>
      </c>
      <c r="G55" s="551" t="s">
        <v>529</v>
      </c>
      <c r="H55" s="579" t="s">
        <v>636</v>
      </c>
      <c r="I55" s="579" t="s">
        <v>637</v>
      </c>
      <c r="J55" s="579" t="s">
        <v>642</v>
      </c>
      <c r="K55" s="579" t="s">
        <v>643</v>
      </c>
      <c r="L55" s="551" t="s">
        <v>14</v>
      </c>
      <c r="M55" s="551" t="s">
        <v>13</v>
      </c>
      <c r="N55" s="571">
        <v>97.236919999999998</v>
      </c>
      <c r="O55" s="571">
        <v>24.24766</v>
      </c>
      <c r="P55" s="572">
        <v>0</v>
      </c>
      <c r="Q55" s="776">
        <v>38</v>
      </c>
      <c r="R55" s="776">
        <v>214</v>
      </c>
      <c r="S55" s="574">
        <f>IF(CampList[[#This Row],[HH]]&gt;0,CampList[[#This Row],[Total]]/CampList[[#This Row],[HH]],"NA")</f>
        <v>5.6315789473684212</v>
      </c>
      <c r="T55" s="553" t="s">
        <v>510</v>
      </c>
      <c r="U55" s="553" t="s">
        <v>1180</v>
      </c>
      <c r="V55" s="553" t="s">
        <v>553</v>
      </c>
      <c r="W55" s="553" t="s">
        <v>802</v>
      </c>
      <c r="X55" s="794">
        <v>40878</v>
      </c>
      <c r="Y55" s="576">
        <v>1</v>
      </c>
      <c r="Z55" s="575" t="s">
        <v>459</v>
      </c>
      <c r="AA55" s="598" t="s">
        <v>841</v>
      </c>
      <c r="AB55" s="577"/>
      <c r="AC55" s="578">
        <v>42919</v>
      </c>
      <c r="AD55" s="570" t="s">
        <v>1658</v>
      </c>
      <c r="AE55" s="580" t="s">
        <v>1088</v>
      </c>
      <c r="AF55" s="402">
        <f>IF(CampList[[#This Row],[Type of Accomodation]]="camp",MAX(0,CampList[[#This Row],[HH]]-SUMIF(Table_Shelter[Pcode],CampList[[#This Row],[CP_Pcode]],Table_Shelter[HH Covered2])),0)</f>
        <v>0</v>
      </c>
      <c r="AG55" s="553"/>
      <c r="AH55" s="577">
        <f>MIN(CampList[[#This Row],[Shelter Gap]],CampList[[#This Row],[Land Status]])</f>
        <v>0</v>
      </c>
      <c r="AI55" s="553" t="str">
        <f ca="1">IFERROR(OFFSET(DistanceToCamp[Nearest Town],MATCH(CampList[[#This Row],[CP_Pcode]],DistanceToCamp[CP_Pcode],0)-1,0,1,1),"")</f>
        <v>Bhamo Town</v>
      </c>
      <c r="AJ55" s="581">
        <f ca="1">IFERROR(OFFSET(DistanceToCamp[distance],MATCH(CampList[[#This Row],[CP_Pcode]],DistanceToCamp[CP_Pcode],0)-1,0,1,1),"")</f>
        <v>0.84749304721635399</v>
      </c>
      <c r="AK55" s="582">
        <f ca="1">IFERROR(INT(CampList[[#This Row],[Distance]]/5)+1,"")</f>
        <v>1</v>
      </c>
      <c r="AM55" s="913"/>
      <c r="AN55" s="913"/>
    </row>
    <row r="56" spans="1:40" s="374" customFormat="1" ht="15.75" customHeight="1" x14ac:dyDescent="0.25">
      <c r="A56" s="570" t="s">
        <v>499</v>
      </c>
      <c r="B56" s="551" t="s">
        <v>380</v>
      </c>
      <c r="C56" s="551" t="s">
        <v>524</v>
      </c>
      <c r="D56" s="551" t="s">
        <v>5</v>
      </c>
      <c r="E56" s="551" t="s">
        <v>528</v>
      </c>
      <c r="F56" s="551" t="s">
        <v>5</v>
      </c>
      <c r="G56" s="551" t="s">
        <v>529</v>
      </c>
      <c r="H56" s="579" t="s">
        <v>644</v>
      </c>
      <c r="I56" s="579" t="s">
        <v>645</v>
      </c>
      <c r="J56" s="551" t="s">
        <v>644</v>
      </c>
      <c r="K56" s="590">
        <v>166851</v>
      </c>
      <c r="L56" s="551" t="s">
        <v>26</v>
      </c>
      <c r="M56" s="551" t="s">
        <v>25</v>
      </c>
      <c r="N56" s="571">
        <v>97.240639999999999</v>
      </c>
      <c r="O56" s="571">
        <v>24.24953</v>
      </c>
      <c r="P56" s="572">
        <v>0</v>
      </c>
      <c r="Q56" s="776">
        <v>15</v>
      </c>
      <c r="R56" s="776">
        <v>79</v>
      </c>
      <c r="S56" s="574">
        <f>IF(CampList[[#This Row],[HH]]&gt;0,CampList[[#This Row],[Total]]/CampList[[#This Row],[HH]],"NA")</f>
        <v>5.2666666666666666</v>
      </c>
      <c r="T56" s="553" t="s">
        <v>510</v>
      </c>
      <c r="U56" s="553" t="s">
        <v>1180</v>
      </c>
      <c r="V56" s="553" t="s">
        <v>553</v>
      </c>
      <c r="W56" s="553" t="s">
        <v>802</v>
      </c>
      <c r="X56" s="794">
        <v>41122</v>
      </c>
      <c r="Y56" s="576">
        <v>1</v>
      </c>
      <c r="Z56" s="575" t="s">
        <v>504</v>
      </c>
      <c r="AA56" s="551" t="s">
        <v>841</v>
      </c>
      <c r="AB56" s="577"/>
      <c r="AC56" s="578">
        <v>42915</v>
      </c>
      <c r="AD56" s="579" t="s">
        <v>1618</v>
      </c>
      <c r="AE56" s="580" t="s">
        <v>1088</v>
      </c>
      <c r="AF56" s="402">
        <f>IF(CampList[[#This Row],[Type of Accomodation]]="camp",MAX(0,CampList[[#This Row],[HH]]-SUMIF(Table_Shelter[Pcode],CampList[[#This Row],[CP_Pcode]],Table_Shelter[HH Covered2])),0)</f>
        <v>0</v>
      </c>
      <c r="AG56" s="553">
        <v>0</v>
      </c>
      <c r="AH56" s="577">
        <f>MIN(CampList[[#This Row],[Shelter Gap]],CampList[[#This Row],[Land Status]])</f>
        <v>0</v>
      </c>
      <c r="AI56" s="553" t="str">
        <f ca="1">IFERROR(OFFSET(DistanceToCamp[Nearest Town],MATCH(CampList[[#This Row],[CP_Pcode]],DistanceToCamp[CP_Pcode],0)-1,0,1,1),"")</f>
        <v>Bhamo Town</v>
      </c>
      <c r="AJ56" s="581">
        <f ca="1">IFERROR(OFFSET(DistanceToCamp[distance],MATCH(CampList[[#This Row],[CP_Pcode]],DistanceToCamp[CP_Pcode],0)-1,0,1,1),"")</f>
        <v>0.87147615879849294</v>
      </c>
      <c r="AK56" s="582">
        <f ca="1">IFERROR(INT(CampList[[#This Row],[Distance]]/5)+1,"")</f>
        <v>1</v>
      </c>
      <c r="AM56" s="913"/>
      <c r="AN56" s="913"/>
    </row>
    <row r="57" spans="1:40" s="374" customFormat="1" ht="15.75" customHeight="1" x14ac:dyDescent="0.25">
      <c r="A57" s="589" t="s">
        <v>499</v>
      </c>
      <c r="B57" s="552" t="s">
        <v>380</v>
      </c>
      <c r="C57" s="552" t="s">
        <v>524</v>
      </c>
      <c r="D57" s="552" t="s">
        <v>5</v>
      </c>
      <c r="E57" s="552" t="s">
        <v>528</v>
      </c>
      <c r="F57" s="552" t="s">
        <v>5</v>
      </c>
      <c r="G57" s="552" t="s">
        <v>529</v>
      </c>
      <c r="H57" s="552" t="s">
        <v>653</v>
      </c>
      <c r="I57" s="590" t="s">
        <v>654</v>
      </c>
      <c r="J57" s="552" t="s">
        <v>653</v>
      </c>
      <c r="K57" s="552">
        <v>166844</v>
      </c>
      <c r="L57" s="552" t="s">
        <v>20</v>
      </c>
      <c r="M57" s="552" t="s">
        <v>19</v>
      </c>
      <c r="N57" s="573">
        <v>97.315860000000001</v>
      </c>
      <c r="O57" s="573">
        <v>24.32638</v>
      </c>
      <c r="P57" s="592"/>
      <c r="Q57" s="779">
        <v>21</v>
      </c>
      <c r="R57" s="779">
        <v>111</v>
      </c>
      <c r="S57" s="574">
        <f>IF(CampList[[#This Row],[HH]]&gt;0,CampList[[#This Row],[Total]]/CampList[[#This Row],[HH]],"NA")</f>
        <v>5.2857142857142856</v>
      </c>
      <c r="T57" s="402" t="s">
        <v>510</v>
      </c>
      <c r="U57" s="553" t="s">
        <v>1180</v>
      </c>
      <c r="V57" s="402" t="s">
        <v>553</v>
      </c>
      <c r="W57" s="402" t="s">
        <v>802</v>
      </c>
      <c r="X57" s="795">
        <v>40848</v>
      </c>
      <c r="Y57" s="592">
        <v>2</v>
      </c>
      <c r="Z57" s="592" t="s">
        <v>1084</v>
      </c>
      <c r="AA57" s="552" t="s">
        <v>841</v>
      </c>
      <c r="AB57" s="573"/>
      <c r="AC57" s="578">
        <v>42915</v>
      </c>
      <c r="AD57" s="594" t="s">
        <v>1578</v>
      </c>
      <c r="AE57" s="580" t="s">
        <v>1088</v>
      </c>
      <c r="AF57" s="595">
        <f>IF(CampList[[#This Row],[Type of Accomodation]]="camp",MAX(0,CampList[[#This Row],[HH]]-SUMIF(Table_Shelter[Pcode],CampList[[#This Row],[CP_Pcode]],Table_Shelter[HH Covered2])),0)</f>
        <v>11</v>
      </c>
      <c r="AG57" s="402"/>
      <c r="AH57" s="572">
        <f>MIN(CampList[[#This Row],[Shelter Gap]],CampList[[#This Row],[Land Status]])</f>
        <v>11</v>
      </c>
      <c r="AI57" s="595" t="str">
        <f ca="1">IFERROR(OFFSET(DistanceToCamp[Nearest Town],MATCH(CampList[[#This Row],[CP_Pcode]],DistanceToCamp[CP_Pcode],0)-1,0,1,1),"")</f>
        <v>Momauk Town</v>
      </c>
      <c r="AJ57" s="581">
        <f ca="1">IFERROR(OFFSET(DistanceToCamp[distance],MATCH(CampList[[#This Row],[CP_Pcode]],DistanceToCamp[CP_Pcode],0)-1,0,1,1),"")</f>
        <v>8.3788619521763046</v>
      </c>
      <c r="AK57" s="596">
        <f ca="1">IFERROR(INT(CampList[[#This Row],[Distance]]/5)+1,"")</f>
        <v>2</v>
      </c>
      <c r="AM57" s="913"/>
      <c r="AN57" s="913"/>
    </row>
    <row r="58" spans="1:40" s="374" customFormat="1" ht="15.75" customHeight="1" x14ac:dyDescent="0.25">
      <c r="A58" s="570" t="s">
        <v>499</v>
      </c>
      <c r="B58" s="551" t="s">
        <v>380</v>
      </c>
      <c r="C58" s="551" t="s">
        <v>524</v>
      </c>
      <c r="D58" s="551" t="s">
        <v>5</v>
      </c>
      <c r="E58" s="551" t="s">
        <v>528</v>
      </c>
      <c r="F58" s="551" t="s">
        <v>5</v>
      </c>
      <c r="G58" s="551" t="s">
        <v>529</v>
      </c>
      <c r="H58" s="551" t="s">
        <v>636</v>
      </c>
      <c r="I58" s="551" t="s">
        <v>637</v>
      </c>
      <c r="J58" s="551" t="s">
        <v>638</v>
      </c>
      <c r="K58" s="551" t="s">
        <v>639</v>
      </c>
      <c r="L58" s="551" t="s">
        <v>24</v>
      </c>
      <c r="M58" s="551" t="s">
        <v>23</v>
      </c>
      <c r="N58" s="571">
        <v>97.227789999999999</v>
      </c>
      <c r="O58" s="571">
        <v>24.29138</v>
      </c>
      <c r="P58" s="572">
        <v>0</v>
      </c>
      <c r="Q58" s="776">
        <v>20</v>
      </c>
      <c r="R58" s="776">
        <v>95</v>
      </c>
      <c r="S58" s="574">
        <f>IF(CampList[[#This Row],[HH]]&gt;0,CampList[[#This Row],[Total]]/CampList[[#This Row],[HH]],"NA")</f>
        <v>4.75</v>
      </c>
      <c r="T58" s="553" t="s">
        <v>510</v>
      </c>
      <c r="U58" s="553" t="s">
        <v>1180</v>
      </c>
      <c r="V58" s="553" t="s">
        <v>553</v>
      </c>
      <c r="W58" s="553" t="s">
        <v>802</v>
      </c>
      <c r="X58" s="794">
        <v>41030</v>
      </c>
      <c r="Y58" s="576">
        <v>2</v>
      </c>
      <c r="Z58" s="575" t="s">
        <v>504</v>
      </c>
      <c r="AA58" s="551" t="s">
        <v>841</v>
      </c>
      <c r="AB58" s="577"/>
      <c r="AC58" s="578">
        <v>42915</v>
      </c>
      <c r="AD58" s="579" t="s">
        <v>1619</v>
      </c>
      <c r="AE58" s="580" t="s">
        <v>1088</v>
      </c>
      <c r="AF58" s="402">
        <f>IF(CampList[[#This Row],[Type of Accomodation]]="camp",MAX(0,CampList[[#This Row],[HH]]-SUMIF(Table_Shelter[Pcode],CampList[[#This Row],[CP_Pcode]],Table_Shelter[HH Covered2])),0)</f>
        <v>0</v>
      </c>
      <c r="AG58" s="553">
        <v>0</v>
      </c>
      <c r="AH58" s="577">
        <f>MIN(CampList[[#This Row],[Shelter Gap]],CampList[[#This Row],[Land Status]])</f>
        <v>0</v>
      </c>
      <c r="AI58" s="553" t="str">
        <f ca="1">IFERROR(OFFSET(DistanceToCamp[Nearest Town],MATCH(CampList[[#This Row],[CP_Pcode]],DistanceToCamp[CP_Pcode],0)-1,0,1,1),"")</f>
        <v>Bhamo Town</v>
      </c>
      <c r="AJ58" s="581">
        <f ca="1">IFERROR(OFFSET(DistanceToCamp[distance],MATCH(CampList[[#This Row],[CP_Pcode]],DistanceToCamp[CP_Pcode],0)-1,0,1,1),"")</f>
        <v>4.108228790802368</v>
      </c>
      <c r="AK58" s="582">
        <f ca="1">IFERROR(INT(CampList[[#This Row],[Distance]]/5)+1,"")</f>
        <v>1</v>
      </c>
      <c r="AM58" s="913"/>
      <c r="AN58" s="913"/>
    </row>
    <row r="59" spans="1:40" s="374" customFormat="1" ht="15.75" hidden="1" customHeight="1" x14ac:dyDescent="0.25">
      <c r="A59" s="570" t="s">
        <v>842</v>
      </c>
      <c r="B59" s="551" t="s">
        <v>552</v>
      </c>
      <c r="C59" s="551" t="s">
        <v>535</v>
      </c>
      <c r="D59" s="551" t="s">
        <v>230</v>
      </c>
      <c r="E59" s="551" t="s">
        <v>536</v>
      </c>
      <c r="F59" s="551" t="s">
        <v>289</v>
      </c>
      <c r="G59" s="551" t="s">
        <v>548</v>
      </c>
      <c r="H59" s="551" t="s">
        <v>750</v>
      </c>
      <c r="I59" s="551" t="s">
        <v>751</v>
      </c>
      <c r="J59" s="551" t="s">
        <v>750</v>
      </c>
      <c r="K59" s="551">
        <v>208353</v>
      </c>
      <c r="L59" s="551" t="s">
        <v>294</v>
      </c>
      <c r="M59" s="551" t="s">
        <v>293</v>
      </c>
      <c r="N59" s="571"/>
      <c r="O59" s="571"/>
      <c r="P59" s="592"/>
      <c r="Q59" s="705"/>
      <c r="R59" s="706"/>
      <c r="S59" s="574" t="str">
        <f>IF(CampList[[#This Row],[HH]]&gt;0,CampList[[#This Row],[Total]]/CampList[[#This Row],[HH]],"NA")</f>
        <v>NA</v>
      </c>
      <c r="T59" s="553" t="s">
        <v>512</v>
      </c>
      <c r="U59" s="583" t="s">
        <v>1180</v>
      </c>
      <c r="V59" s="553" t="s">
        <v>553</v>
      </c>
      <c r="W59" s="583"/>
      <c r="X59" s="600"/>
      <c r="Y59" s="591"/>
      <c r="Z59" s="601"/>
      <c r="AA59" s="598" t="s">
        <v>841</v>
      </c>
      <c r="AB59" s="577"/>
      <c r="AC59" s="578">
        <v>41701</v>
      </c>
      <c r="AD59" s="570" t="s">
        <v>1012</v>
      </c>
      <c r="AE59" s="602" t="s">
        <v>1006</v>
      </c>
      <c r="AF59" s="402">
        <f>IF(CampList[[#This Row],[Type of Accomodation]]="camp",MAX(0,CampList[[#This Row],[HH]]-SUMIF(Table_Shelter[Pcode],CampList[[#This Row],[CP_Pcode]],Table_Shelter[HH Covered2])),0)</f>
        <v>0</v>
      </c>
      <c r="AG59" s="553"/>
      <c r="AH59" s="577">
        <f>MIN(CampList[[#This Row],[Shelter Gap]],CampList[[#This Row],[Land Status]])</f>
        <v>0</v>
      </c>
      <c r="AI59" s="553" t="str">
        <f ca="1">IFERROR(OFFSET(DistanceToCamp[Nearest Town],MATCH(CampList[[#This Row],[CP_Pcode]],DistanceToCamp[CP_Pcode],0)-1,0,1,1),"")</f>
        <v/>
      </c>
      <c r="AJ59" s="581" t="str">
        <f ca="1">IFERROR(OFFSET(DistanceToCamp[distance],MATCH(CampList[[#This Row],[CP_Pcode]],DistanceToCamp[CP_Pcode],0)-1,0,1,1),"")</f>
        <v/>
      </c>
      <c r="AK59" s="582" t="str">
        <f ca="1">IFERROR(INT(CampList[[#This Row],[Distance]]/5)+1,"")</f>
        <v/>
      </c>
      <c r="AM59" s="913"/>
      <c r="AN59" s="913"/>
    </row>
    <row r="60" spans="1:40" s="374" customFormat="1" ht="15.75" customHeight="1" x14ac:dyDescent="0.25">
      <c r="A60" s="570" t="s">
        <v>499</v>
      </c>
      <c r="B60" s="551" t="s">
        <v>380</v>
      </c>
      <c r="C60" s="551" t="s">
        <v>524</v>
      </c>
      <c r="D60" s="551" t="s">
        <v>5</v>
      </c>
      <c r="E60" s="551" t="s">
        <v>528</v>
      </c>
      <c r="F60" s="551" t="s">
        <v>185</v>
      </c>
      <c r="G60" s="551" t="s">
        <v>532</v>
      </c>
      <c r="H60" s="579" t="s">
        <v>661</v>
      </c>
      <c r="I60" s="579" t="s">
        <v>662</v>
      </c>
      <c r="J60" s="579" t="s">
        <v>663</v>
      </c>
      <c r="K60" s="579" t="s">
        <v>664</v>
      </c>
      <c r="L60" s="551" t="s">
        <v>209</v>
      </c>
      <c r="M60" s="551" t="s">
        <v>208</v>
      </c>
      <c r="N60" s="571">
        <v>97.344359999999995</v>
      </c>
      <c r="O60" s="571">
        <v>24.250689999999999</v>
      </c>
      <c r="P60" s="572">
        <v>0</v>
      </c>
      <c r="Q60" s="776">
        <v>387</v>
      </c>
      <c r="R60" s="776">
        <v>1874</v>
      </c>
      <c r="S60" s="574">
        <f>IF(CampList[[#This Row],[HH]]&gt;0,CampList[[#This Row],[Total]]/CampList[[#This Row],[HH]],"NA")</f>
        <v>4.8423772609819125</v>
      </c>
      <c r="T60" s="553" t="s">
        <v>510</v>
      </c>
      <c r="U60" s="553" t="s">
        <v>1180</v>
      </c>
      <c r="V60" s="553" t="s">
        <v>553</v>
      </c>
      <c r="W60" s="553" t="s">
        <v>802</v>
      </c>
      <c r="X60" s="794">
        <v>40695</v>
      </c>
      <c r="Y60" s="576">
        <v>3</v>
      </c>
      <c r="Z60" s="575" t="s">
        <v>459</v>
      </c>
      <c r="AA60" s="598" t="s">
        <v>841</v>
      </c>
      <c r="AB60" s="577"/>
      <c r="AC60" s="578">
        <v>42919</v>
      </c>
      <c r="AD60" s="570" t="s">
        <v>1660</v>
      </c>
      <c r="AE60" s="580" t="s">
        <v>1088</v>
      </c>
      <c r="AF60" s="402">
        <f>IF(CampList[[#This Row],[Type of Accomodation]]="camp",MAX(0,CampList[[#This Row],[HH]]-SUMIF(Table_Shelter[Pcode],CampList[[#This Row],[CP_Pcode]],Table_Shelter[HH Covered2])),0)</f>
        <v>111</v>
      </c>
      <c r="AG60" s="553"/>
      <c r="AH60" s="577">
        <f>MIN(CampList[[#This Row],[Shelter Gap]],CampList[[#This Row],[Land Status]])</f>
        <v>111</v>
      </c>
      <c r="AI60" s="553" t="str">
        <f ca="1">IFERROR(OFFSET(DistanceToCamp[Nearest Town],MATCH(CampList[[#This Row],[CP_Pcode]],DistanceToCamp[CP_Pcode],0)-1,0,1,1),"")</f>
        <v>Momauk Town</v>
      </c>
      <c r="AJ60" s="581">
        <f ca="1">IFERROR(OFFSET(DistanceToCamp[distance],MATCH(CampList[[#This Row],[CP_Pcode]],DistanceToCamp[CP_Pcode],0)-1,0,1,1),"")</f>
        <v>0.62513510418653162</v>
      </c>
      <c r="AK60" s="582">
        <f ca="1">IFERROR(INT(CampList[[#This Row],[Distance]]/5)+1,"")</f>
        <v>1</v>
      </c>
      <c r="AM60" s="913"/>
      <c r="AN60" s="913"/>
    </row>
    <row r="61" spans="1:40" s="374" customFormat="1" ht="15.75" customHeight="1" x14ac:dyDescent="0.25">
      <c r="A61" s="589" t="s">
        <v>499</v>
      </c>
      <c r="B61" s="552" t="s">
        <v>552</v>
      </c>
      <c r="C61" s="552" t="s">
        <v>535</v>
      </c>
      <c r="D61" s="552" t="s">
        <v>230</v>
      </c>
      <c r="E61" s="552" t="s">
        <v>536</v>
      </c>
      <c r="F61" s="552" t="s">
        <v>289</v>
      </c>
      <c r="G61" s="552" t="s">
        <v>548</v>
      </c>
      <c r="H61" s="552" t="s">
        <v>750</v>
      </c>
      <c r="I61" s="590" t="s">
        <v>751</v>
      </c>
      <c r="J61" s="552" t="s">
        <v>750</v>
      </c>
      <c r="K61" s="552">
        <v>208353</v>
      </c>
      <c r="L61" s="552" t="s">
        <v>374</v>
      </c>
      <c r="M61" s="552" t="s">
        <v>295</v>
      </c>
      <c r="N61" s="573">
        <v>97.670360000000002</v>
      </c>
      <c r="O61" s="573">
        <v>23.828150000000001</v>
      </c>
      <c r="P61" s="592">
        <v>751.8</v>
      </c>
      <c r="Q61" s="573">
        <v>44</v>
      </c>
      <c r="R61" s="592">
        <v>214</v>
      </c>
      <c r="S61" s="574">
        <f>IF(CampList[[#This Row],[HH]]&gt;0,CampList[[#This Row],[Total]]/CampList[[#This Row],[HH]],"NA")</f>
        <v>4.8636363636363633</v>
      </c>
      <c r="T61" s="402" t="s">
        <v>510</v>
      </c>
      <c r="U61" s="553" t="s">
        <v>1180</v>
      </c>
      <c r="V61" s="402" t="s">
        <v>553</v>
      </c>
      <c r="W61" s="402" t="s">
        <v>802</v>
      </c>
      <c r="X61" s="593">
        <v>40878</v>
      </c>
      <c r="Y61" s="592"/>
      <c r="Z61" s="592" t="s">
        <v>1250</v>
      </c>
      <c r="AA61" s="552" t="s">
        <v>841</v>
      </c>
      <c r="AB61" s="573"/>
      <c r="AC61" s="578">
        <v>42915</v>
      </c>
      <c r="AD61" s="594" t="s">
        <v>1600</v>
      </c>
      <c r="AE61" s="580" t="s">
        <v>1074</v>
      </c>
      <c r="AF61" s="595">
        <f>IF(CampList[[#This Row],[Type of Accomodation]]="camp",MAX(0,CampList[[#This Row],[HH]]-SUMIF(Table_Shelter[Pcode],CampList[[#This Row],[CP_Pcode]],Table_Shelter[HH Covered2])),0)</f>
        <v>44</v>
      </c>
      <c r="AG61" s="402"/>
      <c r="AH61" s="572">
        <f>MIN(CampList[[#This Row],[Shelter Gap]],CampList[[#This Row],[Land Status]])</f>
        <v>44</v>
      </c>
      <c r="AI61" s="595" t="str">
        <f ca="1">IFERROR(OFFSET(DistanceToCamp[Nearest Town],MATCH(CampList[[#This Row],[CP_Pcode]],DistanceToCamp[CP_Pcode],0)-1,0,1,1),"")</f>
        <v>Namhkan Town</v>
      </c>
      <c r="AJ61" s="581">
        <f ca="1">IFERROR(OFFSET(DistanceToCamp[distance],MATCH(CampList[[#This Row],[CP_Pcode]],DistanceToCamp[CP_Pcode],0)-1,0,1,1),"")</f>
        <v>1.5239325151406049</v>
      </c>
      <c r="AK61" s="596">
        <f ca="1">IFERROR(INT(CampList[[#This Row],[Distance]]/5)+1,"")</f>
        <v>1</v>
      </c>
      <c r="AM61" s="913"/>
      <c r="AN61" s="913"/>
    </row>
    <row r="62" spans="1:40" s="374" customFormat="1" ht="15.75" hidden="1" customHeight="1" x14ac:dyDescent="0.25">
      <c r="A62" s="570" t="s">
        <v>842</v>
      </c>
      <c r="B62" s="551" t="s">
        <v>380</v>
      </c>
      <c r="C62" s="551" t="s">
        <v>524</v>
      </c>
      <c r="D62" s="551" t="s">
        <v>5</v>
      </c>
      <c r="E62" s="551" t="s">
        <v>528</v>
      </c>
      <c r="F62" s="551" t="s">
        <v>151</v>
      </c>
      <c r="G62" s="551" t="s">
        <v>538</v>
      </c>
      <c r="H62" s="579"/>
      <c r="I62" s="579"/>
      <c r="J62" s="579"/>
      <c r="K62" s="579"/>
      <c r="L62" s="551" t="s">
        <v>881</v>
      </c>
      <c r="M62" s="551" t="s">
        <v>879</v>
      </c>
      <c r="N62" s="571"/>
      <c r="O62" s="571"/>
      <c r="P62" s="591"/>
      <c r="Q62" s="705">
        <v>0</v>
      </c>
      <c r="R62" s="706">
        <v>0</v>
      </c>
      <c r="S62" s="574" t="str">
        <f>IF(CampList[[#This Row],[HH]]&gt;0,CampList[[#This Row],[Total]]/CampList[[#This Row],[HH]],"NA")</f>
        <v>NA</v>
      </c>
      <c r="T62" s="553" t="s">
        <v>510</v>
      </c>
      <c r="U62" s="583" t="s">
        <v>1180</v>
      </c>
      <c r="V62" s="553" t="s">
        <v>553</v>
      </c>
      <c r="W62" s="583"/>
      <c r="X62" s="600"/>
      <c r="Y62" s="591"/>
      <c r="Z62" s="601"/>
      <c r="AA62" s="598" t="s">
        <v>841</v>
      </c>
      <c r="AB62" s="577"/>
      <c r="AC62" s="578">
        <v>41701</v>
      </c>
      <c r="AD62" s="570" t="s">
        <v>1009</v>
      </c>
      <c r="AE62" s="602" t="s">
        <v>1006</v>
      </c>
      <c r="AF62" s="402">
        <f>IF(CampList[[#This Row],[Type of Accomodation]]="camp",MAX(0,CampList[[#This Row],[HH]]-SUMIF(Table_Shelter[Pcode],CampList[[#This Row],[CP_Pcode]],Table_Shelter[HH Covered2])),0)</f>
        <v>0</v>
      </c>
      <c r="AG62" s="553"/>
      <c r="AH62" s="577">
        <f>MIN(CampList[[#This Row],[Shelter Gap]],CampList[[#This Row],[Land Status]])</f>
        <v>0</v>
      </c>
      <c r="AI62" s="553" t="str">
        <f ca="1">IFERROR(OFFSET(DistanceToCamp[Nearest Town],MATCH(CampList[[#This Row],[CP_Pcode]],DistanceToCamp[CP_Pcode],0)-1,0,1,1),"")</f>
        <v/>
      </c>
      <c r="AJ62" s="581" t="str">
        <f ca="1">IFERROR(OFFSET(DistanceToCamp[distance],MATCH(CampList[[#This Row],[CP_Pcode]],DistanceToCamp[CP_Pcode],0)-1,0,1,1),"")</f>
        <v/>
      </c>
      <c r="AK62" s="582" t="str">
        <f ca="1">IFERROR(INT(CampList[[#This Row],[Distance]]/5)+1,"")</f>
        <v/>
      </c>
      <c r="AM62" s="913"/>
      <c r="AN62" s="913"/>
    </row>
    <row r="63" spans="1:40" s="374" customFormat="1" ht="15.75" hidden="1" customHeight="1" x14ac:dyDescent="0.25">
      <c r="A63" s="570" t="s">
        <v>842</v>
      </c>
      <c r="B63" s="551" t="s">
        <v>380</v>
      </c>
      <c r="C63" s="551" t="s">
        <v>524</v>
      </c>
      <c r="D63" s="551" t="s">
        <v>5</v>
      </c>
      <c r="E63" s="551" t="s">
        <v>528</v>
      </c>
      <c r="F63" s="551" t="s">
        <v>151</v>
      </c>
      <c r="G63" s="551" t="s">
        <v>538</v>
      </c>
      <c r="H63" s="579"/>
      <c r="I63" s="579"/>
      <c r="J63" s="579"/>
      <c r="K63" s="579"/>
      <c r="L63" s="551" t="s">
        <v>876</v>
      </c>
      <c r="M63" s="551" t="s">
        <v>880</v>
      </c>
      <c r="N63" s="571"/>
      <c r="O63" s="571"/>
      <c r="P63" s="591"/>
      <c r="Q63" s="705">
        <v>0</v>
      </c>
      <c r="R63" s="706">
        <v>0</v>
      </c>
      <c r="S63" s="574" t="str">
        <f>IF(CampList[[#This Row],[HH]]&gt;0,CampList[[#This Row],[Total]]/CampList[[#This Row],[HH]],"NA")</f>
        <v>NA</v>
      </c>
      <c r="T63" s="553" t="s">
        <v>510</v>
      </c>
      <c r="U63" s="583" t="s">
        <v>1180</v>
      </c>
      <c r="V63" s="553" t="s">
        <v>12</v>
      </c>
      <c r="W63" s="583" t="s">
        <v>855</v>
      </c>
      <c r="X63" s="600"/>
      <c r="Y63" s="591"/>
      <c r="Z63" s="601"/>
      <c r="AA63" s="598" t="s">
        <v>841</v>
      </c>
      <c r="AB63" s="577"/>
      <c r="AC63" s="578">
        <v>42090</v>
      </c>
      <c r="AD63" s="570" t="s">
        <v>1226</v>
      </c>
      <c r="AE63" s="602" t="s">
        <v>1088</v>
      </c>
      <c r="AF63" s="402">
        <f>IF(CampList[[#This Row],[Type of Accomodation]]="camp",MAX(0,CampList[[#This Row],[HH]]-SUMIF(Table_Shelter[Pcode],CampList[[#This Row],[CP_Pcode]],Table_Shelter[HH Covered2])),0)</f>
        <v>0</v>
      </c>
      <c r="AG63" s="553"/>
      <c r="AH63" s="577">
        <f>MIN(CampList[[#This Row],[Shelter Gap]],CampList[[#This Row],[Land Status]])</f>
        <v>0</v>
      </c>
      <c r="AI63" s="553" t="str">
        <f ca="1">IFERROR(OFFSET(DistanceToCamp[Nearest Town],MATCH(CampList[[#This Row],[CP_Pcode]],DistanceToCamp[CP_Pcode],0)-1,0,1,1),"")</f>
        <v/>
      </c>
      <c r="AJ63" s="581" t="str">
        <f ca="1">IFERROR(OFFSET(DistanceToCamp[distance],MATCH(CampList[[#This Row],[CP_Pcode]],DistanceToCamp[CP_Pcode],0)-1,0,1,1),"")</f>
        <v/>
      </c>
      <c r="AK63" s="582" t="str">
        <f ca="1">IFERROR(INT(CampList[[#This Row],[Distance]]/5)+1,"")</f>
        <v/>
      </c>
      <c r="AM63" s="913"/>
      <c r="AN63" s="913"/>
    </row>
    <row r="64" spans="1:40" s="374" customFormat="1" ht="15.75" hidden="1" customHeight="1" x14ac:dyDescent="0.25">
      <c r="A64" s="570" t="s">
        <v>842</v>
      </c>
      <c r="B64" s="551" t="s">
        <v>380</v>
      </c>
      <c r="C64" s="551" t="s">
        <v>524</v>
      </c>
      <c r="D64" s="551" t="s">
        <v>5</v>
      </c>
      <c r="E64" s="551" t="s">
        <v>528</v>
      </c>
      <c r="F64" s="551" t="s">
        <v>185</v>
      </c>
      <c r="G64" s="551" t="s">
        <v>532</v>
      </c>
      <c r="H64" s="551" t="s">
        <v>795</v>
      </c>
      <c r="I64" s="551" t="s">
        <v>796</v>
      </c>
      <c r="J64" s="551" t="s">
        <v>795</v>
      </c>
      <c r="K64" s="551">
        <v>167086</v>
      </c>
      <c r="L64" s="551" t="s">
        <v>227</v>
      </c>
      <c r="M64" s="551" t="s">
        <v>226</v>
      </c>
      <c r="N64" s="571">
        <v>97.416826999999998</v>
      </c>
      <c r="O64" s="571">
        <v>24.492493</v>
      </c>
      <c r="P64" s="572"/>
      <c r="Q64" s="572"/>
      <c r="R64" s="592"/>
      <c r="S64" s="574" t="str">
        <f>IF(CampList[[#This Row],[HH]]&gt;0,CampList[[#This Row],[Total]]/CampList[[#This Row],[HH]],"NA")</f>
        <v>NA</v>
      </c>
      <c r="T64" s="553" t="s">
        <v>510</v>
      </c>
      <c r="U64" s="553" t="s">
        <v>1180</v>
      </c>
      <c r="V64" s="553" t="s">
        <v>12</v>
      </c>
      <c r="W64" s="553" t="s">
        <v>855</v>
      </c>
      <c r="X64" s="794"/>
      <c r="Y64" s="576"/>
      <c r="Z64" s="575"/>
      <c r="AA64" s="598" t="s">
        <v>840</v>
      </c>
      <c r="AB64" s="577"/>
      <c r="AC64" s="578">
        <v>42927</v>
      </c>
      <c r="AD64" s="579" t="s">
        <v>1713</v>
      </c>
      <c r="AE64" s="580" t="s">
        <v>1088</v>
      </c>
      <c r="AF64" s="402">
        <f>IF(CampList[[#This Row],[Type of Accomodation]]="camp",MAX(0,CampList[[#This Row],[HH]]-SUMIF(Table_Shelter[Pcode],CampList[[#This Row],[CP_Pcode]],Table_Shelter[HH Covered2])),0)</f>
        <v>0</v>
      </c>
      <c r="AG64" s="553"/>
      <c r="AH64" s="577">
        <f>MIN(CampList[[#This Row],[Shelter Gap]],CampList[[#This Row],[Land Status]])</f>
        <v>0</v>
      </c>
      <c r="AI64" s="553" t="str">
        <f ca="1">IFERROR(OFFSET(DistanceToCamp[Nearest Town],MATCH(CampList[[#This Row],[CP_Pcode]],DistanceToCamp[CP_Pcode],0)-1,0,1,1),"")</f>
        <v>Dawthponeyan  Town</v>
      </c>
      <c r="AJ64" s="581">
        <f ca="1">IFERROR(OFFSET(DistanceToCamp[distance],MATCH(CampList[[#This Row],[CP_Pcode]],DistanceToCamp[CP_Pcode],0)-1,0,1,1),"")</f>
        <v>14.236592976936194</v>
      </c>
      <c r="AK64" s="582">
        <f ca="1">IFERROR(INT(CampList[[#This Row],[Distance]]/5)+1,"")</f>
        <v>3</v>
      </c>
      <c r="AM64" s="913">
        <v>10</v>
      </c>
      <c r="AN64" s="913">
        <v>38</v>
      </c>
    </row>
    <row r="65" spans="1:40" s="374" customFormat="1" ht="15.75" customHeight="1" x14ac:dyDescent="0.25">
      <c r="A65" s="570" t="s">
        <v>499</v>
      </c>
      <c r="B65" s="551" t="s">
        <v>380</v>
      </c>
      <c r="C65" s="551" t="s">
        <v>524</v>
      </c>
      <c r="D65" s="551" t="s">
        <v>5</v>
      </c>
      <c r="E65" s="551" t="s">
        <v>528</v>
      </c>
      <c r="F65" s="551" t="s">
        <v>185</v>
      </c>
      <c r="G65" s="551" t="s">
        <v>532</v>
      </c>
      <c r="H65" s="579" t="s">
        <v>797</v>
      </c>
      <c r="I65" s="579" t="s">
        <v>798</v>
      </c>
      <c r="J65" s="579" t="s">
        <v>797</v>
      </c>
      <c r="K65" s="579">
        <v>167048</v>
      </c>
      <c r="L65" s="551" t="s">
        <v>213</v>
      </c>
      <c r="M65" s="551" t="s">
        <v>212</v>
      </c>
      <c r="N65" s="571">
        <v>97.407787999999996</v>
      </c>
      <c r="O65" s="571">
        <v>24.404876999999999</v>
      </c>
      <c r="P65" s="592"/>
      <c r="Q65" s="777">
        <v>44</v>
      </c>
      <c r="R65" s="778">
        <v>143</v>
      </c>
      <c r="S65" s="574">
        <f>IF(CampList[[#This Row],[HH]]&gt;0,CampList[[#This Row],[Total]]/CampList[[#This Row],[HH]],"NA")</f>
        <v>3.25</v>
      </c>
      <c r="T65" s="553" t="s">
        <v>510</v>
      </c>
      <c r="U65" s="553" t="s">
        <v>1180</v>
      </c>
      <c r="V65" s="605" t="s">
        <v>12</v>
      </c>
      <c r="W65" s="553" t="s">
        <v>855</v>
      </c>
      <c r="X65" s="795"/>
      <c r="Y65" s="592"/>
      <c r="Z65" s="577"/>
      <c r="AA65" s="598" t="s">
        <v>840</v>
      </c>
      <c r="AB65" s="577"/>
      <c r="AC65" s="608">
        <v>42832</v>
      </c>
      <c r="AD65" s="570" t="s">
        <v>1523</v>
      </c>
      <c r="AE65" s="602" t="s">
        <v>1088</v>
      </c>
      <c r="AF65" s="402">
        <f>IF(CampList[[#This Row],[Type of Accomodation]]="camp",MAX(0,CampList[[#This Row],[HH]]-SUMIF(Table_Shelter[Pcode],CampList[[#This Row],[CP_Pcode]],Table_Shelter[HH Covered2])),0)</f>
        <v>0</v>
      </c>
      <c r="AG65" s="553"/>
      <c r="AH65" s="577">
        <f>MIN(CampList[[#This Row],[Shelter Gap]],CampList[[#This Row],[Land Status]])</f>
        <v>0</v>
      </c>
      <c r="AI65" s="553" t="str">
        <f ca="1">IFERROR(OFFSET(DistanceToCamp[Nearest Town],MATCH(CampList[[#This Row],[CP_Pcode]],DistanceToCamp[CP_Pcode],0)-1,0,1,1),"")</f>
        <v>Momauk Town</v>
      </c>
      <c r="AJ65" s="581">
        <f ca="1">IFERROR(OFFSET(DistanceToCamp[distance],MATCH(CampList[[#This Row],[CP_Pcode]],DistanceToCamp[CP_Pcode],0)-1,0,1,1),"")</f>
        <v>17.689123339899055</v>
      </c>
      <c r="AK65" s="582">
        <f ca="1">IFERROR(INT(CampList[[#This Row],[Distance]]/5)+1,"")</f>
        <v>4</v>
      </c>
      <c r="AM65" s="913"/>
      <c r="AN65" s="913"/>
    </row>
    <row r="66" spans="1:40" s="374" customFormat="1" ht="15.75" customHeight="1" x14ac:dyDescent="0.25">
      <c r="A66" s="589" t="s">
        <v>499</v>
      </c>
      <c r="B66" s="552" t="s">
        <v>380</v>
      </c>
      <c r="C66" s="552" t="s">
        <v>524</v>
      </c>
      <c r="D66" s="552" t="s">
        <v>5</v>
      </c>
      <c r="E66" s="552" t="s">
        <v>528</v>
      </c>
      <c r="F66" s="552" t="s">
        <v>185</v>
      </c>
      <c r="G66" s="552" t="s">
        <v>532</v>
      </c>
      <c r="H66" s="552" t="s">
        <v>657</v>
      </c>
      <c r="I66" s="590" t="s">
        <v>658</v>
      </c>
      <c r="J66" s="552" t="s">
        <v>657</v>
      </c>
      <c r="K66" s="552">
        <v>167009</v>
      </c>
      <c r="L66" s="552" t="s">
        <v>202</v>
      </c>
      <c r="M66" s="552" t="s">
        <v>201</v>
      </c>
      <c r="N66" s="573">
        <v>97.325019999999995</v>
      </c>
      <c r="O66" s="573">
        <v>24.245100000000001</v>
      </c>
      <c r="P66" s="592"/>
      <c r="Q66" s="779">
        <v>265</v>
      </c>
      <c r="R66" s="779">
        <v>1183</v>
      </c>
      <c r="S66" s="574">
        <f>IF(CampList[[#This Row],[HH]]&gt;0,CampList[[#This Row],[Total]]/CampList[[#This Row],[HH]],"NA")</f>
        <v>4.4641509433962261</v>
      </c>
      <c r="T66" s="402" t="s">
        <v>510</v>
      </c>
      <c r="U66" s="553" t="s">
        <v>1180</v>
      </c>
      <c r="V66" s="402" t="s">
        <v>553</v>
      </c>
      <c r="W66" s="402" t="s">
        <v>802</v>
      </c>
      <c r="X66" s="795">
        <v>41030</v>
      </c>
      <c r="Y66" s="592">
        <v>2</v>
      </c>
      <c r="Z66" s="592" t="s">
        <v>1084</v>
      </c>
      <c r="AA66" s="552" t="s">
        <v>841</v>
      </c>
      <c r="AB66" s="573"/>
      <c r="AC66" s="578">
        <v>42915</v>
      </c>
      <c r="AD66" s="594" t="s">
        <v>1570</v>
      </c>
      <c r="AE66" s="580" t="s">
        <v>1088</v>
      </c>
      <c r="AF66" s="595">
        <f>IF(CampList[[#This Row],[Type of Accomodation]]="camp",MAX(0,CampList[[#This Row],[HH]]-SUMIF(Table_Shelter[Pcode],CampList[[#This Row],[CP_Pcode]],Table_Shelter[HH Covered2])),0)</f>
        <v>112</v>
      </c>
      <c r="AG66" s="402"/>
      <c r="AH66" s="572">
        <f>MIN(CampList[[#This Row],[Shelter Gap]],CampList[[#This Row],[Land Status]])</f>
        <v>112</v>
      </c>
      <c r="AI66" s="595" t="str">
        <f ca="1">IFERROR(OFFSET(DistanceToCamp[Nearest Town],MATCH(CampList[[#This Row],[CP_Pcode]],DistanceToCamp[CP_Pcode],0)-1,0,1,1),"")</f>
        <v>Momauk Town</v>
      </c>
      <c r="AJ66" s="581">
        <f ca="1">IFERROR(OFFSET(DistanceToCamp[distance],MATCH(CampList[[#This Row],[CP_Pcode]],DistanceToCamp[CP_Pcode],0)-1,0,1,1),"")</f>
        <v>2.4411071835305544</v>
      </c>
      <c r="AK66" s="596">
        <f ca="1">IFERROR(INT(CampList[[#This Row],[Distance]]/5)+1,"")</f>
        <v>1</v>
      </c>
      <c r="AM66" s="913"/>
      <c r="AN66" s="913"/>
    </row>
    <row r="67" spans="1:40" s="374" customFormat="1" ht="15.75" hidden="1" customHeight="1" x14ac:dyDescent="0.25">
      <c r="A67" s="570" t="s">
        <v>842</v>
      </c>
      <c r="B67" s="551" t="s">
        <v>380</v>
      </c>
      <c r="C67" s="551" t="s">
        <v>524</v>
      </c>
      <c r="D67" s="551" t="s">
        <v>5</v>
      </c>
      <c r="E67" s="551" t="s">
        <v>528</v>
      </c>
      <c r="F67" s="551" t="s">
        <v>185</v>
      </c>
      <c r="G67" s="551" t="s">
        <v>532</v>
      </c>
      <c r="H67" s="579" t="s">
        <v>655</v>
      </c>
      <c r="I67" s="579" t="s">
        <v>656</v>
      </c>
      <c r="J67" s="579" t="s">
        <v>655</v>
      </c>
      <c r="K67" s="579">
        <v>167063</v>
      </c>
      <c r="L67" s="551" t="s">
        <v>204</v>
      </c>
      <c r="M67" s="551" t="s">
        <v>203</v>
      </c>
      <c r="N67" s="571">
        <v>97.321659999999994</v>
      </c>
      <c r="O67" s="571">
        <v>24.410008999999999</v>
      </c>
      <c r="P67" s="592"/>
      <c r="Q67" s="777"/>
      <c r="R67" s="778"/>
      <c r="S67" s="574" t="str">
        <f>IF(CampList[[#This Row],[HH]]&gt;0,CampList[[#This Row],[Total]]/CampList[[#This Row],[HH]],"NA")</f>
        <v>NA</v>
      </c>
      <c r="T67" s="553" t="s">
        <v>510</v>
      </c>
      <c r="U67" s="553" t="s">
        <v>1180</v>
      </c>
      <c r="V67" s="605" t="s">
        <v>12</v>
      </c>
      <c r="W67" s="553" t="s">
        <v>855</v>
      </c>
      <c r="X67" s="795"/>
      <c r="Y67" s="592"/>
      <c r="Z67" s="577"/>
      <c r="AA67" s="598" t="s">
        <v>840</v>
      </c>
      <c r="AB67" s="577"/>
      <c r="AC67" s="578">
        <v>42927</v>
      </c>
      <c r="AD67" s="570" t="s">
        <v>1714</v>
      </c>
      <c r="AE67" s="602" t="s">
        <v>1088</v>
      </c>
      <c r="AF67" s="402">
        <f>IF(CampList[[#This Row],[Type of Accomodation]]="camp",MAX(0,CampList[[#This Row],[HH]]-SUMIF(Table_Shelter[Pcode],CampList[[#This Row],[CP_Pcode]],Table_Shelter[HH Covered2])),0)</f>
        <v>0</v>
      </c>
      <c r="AG67" s="553"/>
      <c r="AH67" s="577">
        <f>MIN(CampList[[#This Row],[Shelter Gap]],CampList[[#This Row],[Land Status]])</f>
        <v>0</v>
      </c>
      <c r="AI67" s="553" t="str">
        <f ca="1">IFERROR(OFFSET(DistanceToCamp[Nearest Town],MATCH(CampList[[#This Row],[CP_Pcode]],DistanceToCamp[CP_Pcode],0)-1,0,1,1),"")</f>
        <v>Momauk Town</v>
      </c>
      <c r="AJ67" s="581">
        <f ca="1">IFERROR(OFFSET(DistanceToCamp[distance],MATCH(CampList[[#This Row],[CP_Pcode]],DistanceToCamp[CP_Pcode],0)-1,0,1,1),"")</f>
        <v>17.282528446236295</v>
      </c>
      <c r="AK67" s="582">
        <f ca="1">IFERROR(INT(CampList[[#This Row],[Distance]]/5)+1,"")</f>
        <v>4</v>
      </c>
      <c r="AM67" s="913">
        <v>28</v>
      </c>
      <c r="AN67" s="913">
        <v>136</v>
      </c>
    </row>
    <row r="68" spans="1:40" s="374" customFormat="1" ht="15.75" hidden="1" customHeight="1" x14ac:dyDescent="0.25">
      <c r="A68" s="570" t="s">
        <v>842</v>
      </c>
      <c r="B68" s="551" t="s">
        <v>380</v>
      </c>
      <c r="C68" s="551" t="s">
        <v>524</v>
      </c>
      <c r="D68" s="551" t="s">
        <v>5</v>
      </c>
      <c r="E68" s="551" t="s">
        <v>528</v>
      </c>
      <c r="F68" s="551" t="s">
        <v>185</v>
      </c>
      <c r="G68" s="551" t="s">
        <v>532</v>
      </c>
      <c r="H68" s="579" t="s">
        <v>1369</v>
      </c>
      <c r="I68" s="579" t="s">
        <v>1370</v>
      </c>
      <c r="J68" s="579" t="s">
        <v>1369</v>
      </c>
      <c r="K68" s="597">
        <v>167078</v>
      </c>
      <c r="L68" s="551" t="s">
        <v>200</v>
      </c>
      <c r="M68" s="551" t="s">
        <v>199</v>
      </c>
      <c r="N68" s="571">
        <v>97.409474000000003</v>
      </c>
      <c r="O68" s="571">
        <v>24.441697000000001</v>
      </c>
      <c r="P68" s="592"/>
      <c r="Q68" s="776"/>
      <c r="R68" s="776"/>
      <c r="S68" s="574" t="str">
        <f>IF(CampList[[#This Row],[HH]]&gt;0,CampList[[#This Row],[Total]]/CampList[[#This Row],[HH]],"NA")</f>
        <v>NA</v>
      </c>
      <c r="T68" s="553" t="s">
        <v>510</v>
      </c>
      <c r="U68" s="553" t="s">
        <v>1180</v>
      </c>
      <c r="V68" s="605" t="s">
        <v>12</v>
      </c>
      <c r="W68" s="553" t="s">
        <v>855</v>
      </c>
      <c r="X68" s="795"/>
      <c r="Y68" s="592"/>
      <c r="Z68" s="577"/>
      <c r="AA68" s="598" t="s">
        <v>840</v>
      </c>
      <c r="AB68" s="577"/>
      <c r="AC68" s="578">
        <v>42927</v>
      </c>
      <c r="AD68" s="570" t="s">
        <v>1715</v>
      </c>
      <c r="AE68" s="602" t="s">
        <v>1088</v>
      </c>
      <c r="AF68" s="402">
        <f>IF(CampList[[#This Row],[Type of Accomodation]]="camp",MAX(0,CampList[[#This Row],[HH]]-SUMIF(Table_Shelter[Pcode],CampList[[#This Row],[CP_Pcode]],Table_Shelter[HH Covered2])),0)</f>
        <v>0</v>
      </c>
      <c r="AG68" s="402"/>
      <c r="AH68" s="577">
        <f>MIN(CampList[[#This Row],[Shelter Gap]],CampList[[#This Row],[Land Status]])</f>
        <v>0</v>
      </c>
      <c r="AI68" s="553" t="str">
        <f ca="1">IFERROR(OFFSET(DistanceToCamp[Nearest Town],MATCH(CampList[[#This Row],[CP_Pcode]],DistanceToCamp[CP_Pcode],0)-1,0,1,1),"")</f>
        <v>Dawthponeyan  Town</v>
      </c>
      <c r="AJ68" s="581">
        <f ca="1">IFERROR(OFFSET(DistanceToCamp[distance],MATCH(CampList[[#This Row],[CP_Pcode]],DistanceToCamp[CP_Pcode],0)-1,0,1,1),"")</f>
        <v>19.860265975801305</v>
      </c>
      <c r="AK68" s="582">
        <f ca="1">IFERROR(INT(CampList[[#This Row],[Distance]]/5)+1,"")</f>
        <v>4</v>
      </c>
      <c r="AM68" s="913">
        <v>49</v>
      </c>
      <c r="AN68" s="913">
        <v>300</v>
      </c>
    </row>
    <row r="69" spans="1:40" s="374" customFormat="1" ht="15.75" hidden="1" customHeight="1" x14ac:dyDescent="0.25">
      <c r="A69" s="570" t="s">
        <v>842</v>
      </c>
      <c r="B69" s="551" t="s">
        <v>380</v>
      </c>
      <c r="C69" s="551" t="s">
        <v>524</v>
      </c>
      <c r="D69" s="551" t="s">
        <v>5</v>
      </c>
      <c r="E69" s="551" t="s">
        <v>528</v>
      </c>
      <c r="F69" s="551" t="s">
        <v>185</v>
      </c>
      <c r="G69" s="551" t="s">
        <v>532</v>
      </c>
      <c r="H69" s="551" t="s">
        <v>704</v>
      </c>
      <c r="I69" s="551" t="s">
        <v>705</v>
      </c>
      <c r="J69" s="551" t="s">
        <v>706</v>
      </c>
      <c r="K69" s="551">
        <v>167242</v>
      </c>
      <c r="L69" s="551" t="s">
        <v>221</v>
      </c>
      <c r="M69" s="551" t="s">
        <v>220</v>
      </c>
      <c r="N69" s="571">
        <v>97.429860000000005</v>
      </c>
      <c r="O69" s="571">
        <v>24.630859999999998</v>
      </c>
      <c r="P69" s="572"/>
      <c r="Q69" s="572"/>
      <c r="R69" s="592"/>
      <c r="S69" s="574" t="str">
        <f>IF(CampList[[#This Row],[HH]]&gt;0,CampList[[#This Row],[Total]]/CampList[[#This Row],[HH]],"NA")</f>
        <v>NA</v>
      </c>
      <c r="T69" s="553" t="s">
        <v>510</v>
      </c>
      <c r="U69" s="553" t="s">
        <v>1180</v>
      </c>
      <c r="V69" s="553" t="s">
        <v>12</v>
      </c>
      <c r="W69" s="553" t="s">
        <v>855</v>
      </c>
      <c r="X69" s="794"/>
      <c r="Y69" s="576"/>
      <c r="Z69" s="575"/>
      <c r="AA69" s="598" t="s">
        <v>840</v>
      </c>
      <c r="AB69" s="577"/>
      <c r="AC69" s="578">
        <v>42927</v>
      </c>
      <c r="AD69" s="579" t="s">
        <v>1716</v>
      </c>
      <c r="AE69" s="580" t="s">
        <v>1088</v>
      </c>
      <c r="AF69" s="402">
        <f>IF(CampList[[#This Row],[Type of Accomodation]]="camp",MAX(0,CampList[[#This Row],[HH]]-SUMIF(Table_Shelter[Pcode],CampList[[#This Row],[CP_Pcode]],Table_Shelter[HH Covered2])),0)</f>
        <v>0</v>
      </c>
      <c r="AG69" s="402"/>
      <c r="AH69" s="577">
        <f>MIN(CampList[[#This Row],[Shelter Gap]],CampList[[#This Row],[Land Status]])</f>
        <v>0</v>
      </c>
      <c r="AI69" s="553" t="str">
        <f ca="1">IFERROR(OFFSET(DistanceToCamp[Nearest Town],MATCH(CampList[[#This Row],[CP_Pcode]],DistanceToCamp[CP_Pcode],0)-1,0,1,1),"")</f>
        <v>Dawthponeyan  Town</v>
      </c>
      <c r="AJ69" s="581">
        <f ca="1">IFERROR(OFFSET(DistanceToCamp[distance],MATCH(CampList[[#This Row],[CP_Pcode]],DistanceToCamp[CP_Pcode],0)-1,0,1,1),"")</f>
        <v>3.6887624513681017</v>
      </c>
      <c r="AK69" s="582">
        <f ca="1">IFERROR(INT(CampList[[#This Row],[Distance]]/5)+1,"")</f>
        <v>1</v>
      </c>
      <c r="AM69" s="913">
        <v>39</v>
      </c>
      <c r="AN69" s="913">
        <v>176</v>
      </c>
    </row>
    <row r="70" spans="1:40" s="374" customFormat="1" ht="15.75" customHeight="1" x14ac:dyDescent="0.25">
      <c r="A70" s="570" t="s">
        <v>499</v>
      </c>
      <c r="B70" s="551" t="s">
        <v>380</v>
      </c>
      <c r="C70" s="551" t="s">
        <v>524</v>
      </c>
      <c r="D70" s="551" t="s">
        <v>5</v>
      </c>
      <c r="E70" s="551" t="s">
        <v>528</v>
      </c>
      <c r="F70" s="551" t="s">
        <v>151</v>
      </c>
      <c r="G70" s="551" t="s">
        <v>538</v>
      </c>
      <c r="H70" s="579" t="s">
        <v>649</v>
      </c>
      <c r="I70" s="579" t="s">
        <v>650</v>
      </c>
      <c r="J70" s="579" t="s">
        <v>651</v>
      </c>
      <c r="K70" s="579" t="s">
        <v>652</v>
      </c>
      <c r="L70" s="551" t="s">
        <v>152</v>
      </c>
      <c r="M70" s="551" t="s">
        <v>150</v>
      </c>
      <c r="N70" s="571">
        <v>97.291820000000001</v>
      </c>
      <c r="O70" s="571">
        <v>24.129059999999999</v>
      </c>
      <c r="P70" s="572">
        <v>0</v>
      </c>
      <c r="Q70" s="776">
        <v>194</v>
      </c>
      <c r="R70" s="776">
        <v>874</v>
      </c>
      <c r="S70" s="574">
        <f>IF(CampList[[#This Row],[HH]]&gt;0,CampList[[#This Row],[Total]]/CampList[[#This Row],[HH]],"NA")</f>
        <v>4.5051546391752577</v>
      </c>
      <c r="T70" s="553" t="s">
        <v>510</v>
      </c>
      <c r="U70" s="553" t="s">
        <v>1180</v>
      </c>
      <c r="V70" s="553" t="s">
        <v>553</v>
      </c>
      <c r="W70" s="553" t="s">
        <v>802</v>
      </c>
      <c r="X70" s="794">
        <v>41579</v>
      </c>
      <c r="Y70" s="576">
        <v>2</v>
      </c>
      <c r="Z70" s="575" t="s">
        <v>459</v>
      </c>
      <c r="AA70" s="598" t="s">
        <v>841</v>
      </c>
      <c r="AB70" s="577"/>
      <c r="AC70" s="578">
        <v>42919</v>
      </c>
      <c r="AD70" s="570" t="s">
        <v>1661</v>
      </c>
      <c r="AE70" s="580" t="s">
        <v>1088</v>
      </c>
      <c r="AF70" s="402">
        <f>IF(CampList[[#This Row],[Type of Accomodation]]="camp",MAX(0,CampList[[#This Row],[HH]]-SUMIF(Table_Shelter[Pcode],CampList[[#This Row],[CP_Pcode]],Table_Shelter[HH Covered2])),0)</f>
        <v>89</v>
      </c>
      <c r="AG70" s="553"/>
      <c r="AH70" s="577">
        <f>MIN(CampList[[#This Row],[Shelter Gap]],CampList[[#This Row],[Land Status]])</f>
        <v>89</v>
      </c>
      <c r="AI70" s="553" t="str">
        <f ca="1">IFERROR(OFFSET(DistanceToCamp[Nearest Town],MATCH(CampList[[#This Row],[CP_Pcode]],DistanceToCamp[CP_Pcode],0)-1,0,1,1),"")</f>
        <v>Mansi Town</v>
      </c>
      <c r="AJ70" s="581">
        <f ca="1">IFERROR(OFFSET(DistanceToCamp[distance],MATCH(CampList[[#This Row],[CP_Pcode]],DistanceToCamp[CP_Pcode],0)-1,0,1,1),"")</f>
        <v>1.0576516850656514</v>
      </c>
      <c r="AK70" s="582">
        <f ca="1">IFERROR(INT(CampList[[#This Row],[Distance]]/5)+1,"")</f>
        <v>1</v>
      </c>
      <c r="AM70" s="913"/>
      <c r="AN70" s="913"/>
    </row>
    <row r="71" spans="1:40" s="374" customFormat="1" ht="15.75" customHeight="1" x14ac:dyDescent="0.25">
      <c r="A71" s="598" t="s">
        <v>499</v>
      </c>
      <c r="B71" s="551" t="s">
        <v>380</v>
      </c>
      <c r="C71" s="551" t="s">
        <v>524</v>
      </c>
      <c r="D71" s="551" t="s">
        <v>5</v>
      </c>
      <c r="E71" s="551" t="s">
        <v>528</v>
      </c>
      <c r="F71" s="551" t="s">
        <v>302</v>
      </c>
      <c r="G71" s="551" t="s">
        <v>539</v>
      </c>
      <c r="H71" s="551" t="s">
        <v>620</v>
      </c>
      <c r="I71" s="551" t="s">
        <v>621</v>
      </c>
      <c r="J71" s="551" t="s">
        <v>620</v>
      </c>
      <c r="K71" s="551" t="s">
        <v>622</v>
      </c>
      <c r="L71" s="551" t="s">
        <v>306</v>
      </c>
      <c r="M71" s="551" t="s">
        <v>305</v>
      </c>
      <c r="N71" s="571">
        <v>96.807353000000006</v>
      </c>
      <c r="O71" s="571">
        <v>24.200361000000001</v>
      </c>
      <c r="P71" s="572">
        <v>0</v>
      </c>
      <c r="Q71" s="776">
        <v>86</v>
      </c>
      <c r="R71" s="776">
        <v>314</v>
      </c>
      <c r="S71" s="574">
        <f>IF(CampList[[#This Row],[HH]]&gt;0,CampList[[#This Row],[Total]]/CampList[[#This Row],[HH]],"NA")</f>
        <v>3.6511627906976742</v>
      </c>
      <c r="T71" s="553" t="s">
        <v>510</v>
      </c>
      <c r="U71" s="553" t="s">
        <v>1180</v>
      </c>
      <c r="V71" s="553" t="s">
        <v>553</v>
      </c>
      <c r="W71" s="553" t="s">
        <v>802</v>
      </c>
      <c r="X71" s="794">
        <v>40725</v>
      </c>
      <c r="Y71" s="576">
        <v>1</v>
      </c>
      <c r="Z71" s="575" t="s">
        <v>459</v>
      </c>
      <c r="AA71" s="551" t="s">
        <v>841</v>
      </c>
      <c r="AB71" s="577"/>
      <c r="AC71" s="578">
        <v>42919</v>
      </c>
      <c r="AD71" s="579" t="s">
        <v>1662</v>
      </c>
      <c r="AE71" s="580" t="s">
        <v>1088</v>
      </c>
      <c r="AF71" s="402">
        <f>IF(CampList[[#This Row],[Type of Accomodation]]="camp",MAX(0,CampList[[#This Row],[HH]]-SUMIF(Table_Shelter[Pcode],CampList[[#This Row],[CP_Pcode]],Table_Shelter[HH Covered2])),0)</f>
        <v>44</v>
      </c>
      <c r="AG71" s="553"/>
      <c r="AH71" s="577">
        <f>MIN(CampList[[#This Row],[Shelter Gap]],CampList[[#This Row],[Land Status]])</f>
        <v>44</v>
      </c>
      <c r="AI71" s="553" t="str">
        <f ca="1">IFERROR(OFFSET(DistanceToCamp[Nearest Town],MATCH(CampList[[#This Row],[CP_Pcode]],DistanceToCamp[CP_Pcode],0)-1,0,1,1),"")</f>
        <v>Shwegu Town</v>
      </c>
      <c r="AJ71" s="581">
        <f ca="1">IFERROR(OFFSET(DistanceToCamp[distance],MATCH(CampList[[#This Row],[CP_Pcode]],DistanceToCamp[CP_Pcode],0)-1,0,1,1),"")</f>
        <v>0.74396039478864395</v>
      </c>
      <c r="AK71" s="582">
        <f ca="1">IFERROR(INT(CampList[[#This Row],[Distance]]/5)+1,"")</f>
        <v>1</v>
      </c>
      <c r="AM71" s="913"/>
      <c r="AN71" s="913"/>
    </row>
    <row r="72" spans="1:40" s="374" customFormat="1" ht="15.75" customHeight="1" x14ac:dyDescent="0.25">
      <c r="A72" s="603" t="s">
        <v>499</v>
      </c>
      <c r="B72" s="552" t="s">
        <v>380</v>
      </c>
      <c r="C72" s="552" t="s">
        <v>524</v>
      </c>
      <c r="D72" s="552" t="s">
        <v>5</v>
      </c>
      <c r="E72" s="552" t="s">
        <v>528</v>
      </c>
      <c r="F72" s="552" t="s">
        <v>302</v>
      </c>
      <c r="G72" s="552" t="s">
        <v>539</v>
      </c>
      <c r="H72" s="552" t="s">
        <v>620</v>
      </c>
      <c r="I72" s="590" t="s">
        <v>621</v>
      </c>
      <c r="J72" s="552" t="s">
        <v>620</v>
      </c>
      <c r="K72" s="552" t="s">
        <v>622</v>
      </c>
      <c r="L72" s="552" t="s">
        <v>308</v>
      </c>
      <c r="M72" s="552" t="s">
        <v>307</v>
      </c>
      <c r="N72" s="573">
        <v>96.807353000000006</v>
      </c>
      <c r="O72" s="573">
        <v>24.200367</v>
      </c>
      <c r="P72" s="592"/>
      <c r="Q72" s="779">
        <v>43</v>
      </c>
      <c r="R72" s="779">
        <v>159</v>
      </c>
      <c r="S72" s="574">
        <f>IF(CampList[[#This Row],[HH]]&gt;0,CampList[[#This Row],[Total]]/CampList[[#This Row],[HH]],"NA")</f>
        <v>3.6976744186046511</v>
      </c>
      <c r="T72" s="402" t="s">
        <v>510</v>
      </c>
      <c r="U72" s="553" t="s">
        <v>1180</v>
      </c>
      <c r="V72" s="402" t="s">
        <v>553</v>
      </c>
      <c r="W72" s="402" t="s">
        <v>802</v>
      </c>
      <c r="X72" s="795">
        <v>40725</v>
      </c>
      <c r="Y72" s="592">
        <v>2</v>
      </c>
      <c r="Z72" s="592" t="s">
        <v>1084</v>
      </c>
      <c r="AA72" s="552" t="s">
        <v>841</v>
      </c>
      <c r="AB72" s="573"/>
      <c r="AC72" s="578">
        <v>42915</v>
      </c>
      <c r="AD72" s="594" t="s">
        <v>1571</v>
      </c>
      <c r="AE72" s="580" t="s">
        <v>1088</v>
      </c>
      <c r="AF72" s="595">
        <f>IF(CampList[[#This Row],[Type of Accomodation]]="camp",MAX(0,CampList[[#This Row],[HH]]-SUMIF(Table_Shelter[Pcode],CampList[[#This Row],[CP_Pcode]],Table_Shelter[HH Covered2])),0)</f>
        <v>0</v>
      </c>
      <c r="AG72" s="402"/>
      <c r="AH72" s="572">
        <f>MIN(CampList[[#This Row],[Shelter Gap]],CampList[[#This Row],[Land Status]])</f>
        <v>0</v>
      </c>
      <c r="AI72" s="595" t="str">
        <f ca="1">IFERROR(OFFSET(DistanceToCamp[Nearest Town],MATCH(CampList[[#This Row],[CP_Pcode]],DistanceToCamp[CP_Pcode],0)-1,0,1,1),"")</f>
        <v>Shwegu Town</v>
      </c>
      <c r="AJ72" s="581">
        <f ca="1">IFERROR(OFFSET(DistanceToCamp[distance],MATCH(CampList[[#This Row],[CP_Pcode]],DistanceToCamp[CP_Pcode],0)-1,0,1,1),"")</f>
        <v>0.74330366237812662</v>
      </c>
      <c r="AK72" s="596">
        <f ca="1">IFERROR(INT(CampList[[#This Row],[Distance]]/5)+1,"")</f>
        <v>1</v>
      </c>
      <c r="AM72" s="913"/>
      <c r="AN72" s="913"/>
    </row>
    <row r="73" spans="1:40" s="374" customFormat="1" ht="15.75" customHeight="1" x14ac:dyDescent="0.25">
      <c r="A73" s="589" t="s">
        <v>499</v>
      </c>
      <c r="B73" s="552" t="s">
        <v>380</v>
      </c>
      <c r="C73" s="552" t="s">
        <v>524</v>
      </c>
      <c r="D73" s="552" t="s">
        <v>5</v>
      </c>
      <c r="E73" s="552" t="s">
        <v>528</v>
      </c>
      <c r="F73" s="552" t="s">
        <v>185</v>
      </c>
      <c r="G73" s="552" t="s">
        <v>532</v>
      </c>
      <c r="H73" s="552" t="s">
        <v>752</v>
      </c>
      <c r="I73" s="590" t="s">
        <v>753</v>
      </c>
      <c r="J73" s="606" t="s">
        <v>1356</v>
      </c>
      <c r="K73" s="606" t="s">
        <v>1357</v>
      </c>
      <c r="L73" s="552" t="s">
        <v>223</v>
      </c>
      <c r="M73" s="552" t="s">
        <v>222</v>
      </c>
      <c r="N73" s="573">
        <v>97.724566999999993</v>
      </c>
      <c r="O73" s="573">
        <v>24.205417000000001</v>
      </c>
      <c r="P73" s="592"/>
      <c r="Q73" s="779">
        <v>103</v>
      </c>
      <c r="R73" s="779">
        <v>495</v>
      </c>
      <c r="S73" s="574">
        <f>IF(CampList[[#This Row],[HH]]&gt;0,CampList[[#This Row],[Total]]/CampList[[#This Row],[HH]],"NA")</f>
        <v>4.8058252427184467</v>
      </c>
      <c r="T73" s="402" t="s">
        <v>510</v>
      </c>
      <c r="U73" s="553" t="s">
        <v>1180</v>
      </c>
      <c r="V73" s="402" t="s">
        <v>553</v>
      </c>
      <c r="W73" s="402" t="s">
        <v>802</v>
      </c>
      <c r="X73" s="795">
        <v>40848</v>
      </c>
      <c r="Y73" s="592">
        <v>2</v>
      </c>
      <c r="Z73" s="592" t="s">
        <v>1084</v>
      </c>
      <c r="AA73" s="552" t="s">
        <v>841</v>
      </c>
      <c r="AB73" s="573"/>
      <c r="AC73" s="578">
        <v>42915</v>
      </c>
      <c r="AD73" s="594" t="s">
        <v>1572</v>
      </c>
      <c r="AE73" s="580" t="s">
        <v>1074</v>
      </c>
      <c r="AF73" s="595">
        <f>IF(CampList[[#This Row],[Type of Accomodation]]="camp",MAX(0,CampList[[#This Row],[HH]]-SUMIF(Table_Shelter[Pcode],CampList[[#This Row],[CP_Pcode]],Table_Shelter[HH Covered2])),0)</f>
        <v>36</v>
      </c>
      <c r="AG73" s="402"/>
      <c r="AH73" s="572">
        <f>MIN(CampList[[#This Row],[Shelter Gap]],CampList[[#This Row],[Land Status]])</f>
        <v>36</v>
      </c>
      <c r="AI73" s="595" t="str">
        <f ca="1">IFERROR(OFFSET(DistanceToCamp[Nearest Town],MATCH(CampList[[#This Row],[CP_Pcode]],DistanceToCamp[CP_Pcode],0)-1,0,1,1),"")</f>
        <v>Lwegel Town</v>
      </c>
      <c r="AJ73" s="581">
        <f ca="1">IFERROR(OFFSET(DistanceToCamp[distance],MATCH(CampList[[#This Row],[CP_Pcode]],DistanceToCamp[CP_Pcode],0)-1,0,1,1),"")</f>
        <v>0.77978735578277303</v>
      </c>
      <c r="AK73" s="596">
        <f ca="1">IFERROR(INT(CampList[[#This Row],[Distance]]/5)+1,"")</f>
        <v>1</v>
      </c>
      <c r="AM73" s="913"/>
      <c r="AN73" s="913"/>
    </row>
    <row r="74" spans="1:40" s="374" customFormat="1" ht="15.75" customHeight="1" x14ac:dyDescent="0.25">
      <c r="A74" s="570" t="s">
        <v>499</v>
      </c>
      <c r="B74" s="551" t="s">
        <v>380</v>
      </c>
      <c r="C74" s="551" t="s">
        <v>524</v>
      </c>
      <c r="D74" s="551" t="s">
        <v>5</v>
      </c>
      <c r="E74" s="551" t="s">
        <v>528</v>
      </c>
      <c r="F74" s="551" t="s">
        <v>185</v>
      </c>
      <c r="G74" s="551" t="s">
        <v>532</v>
      </c>
      <c r="H74" s="579" t="s">
        <v>752</v>
      </c>
      <c r="I74" s="579" t="s">
        <v>753</v>
      </c>
      <c r="J74" s="579" t="s">
        <v>757</v>
      </c>
      <c r="K74" s="579" t="s">
        <v>758</v>
      </c>
      <c r="L74" s="551" t="s">
        <v>190</v>
      </c>
      <c r="M74" s="551" t="s">
        <v>189</v>
      </c>
      <c r="N74" s="571">
        <v>97.717133000000004</v>
      </c>
      <c r="O74" s="571">
        <v>24.200433</v>
      </c>
      <c r="P74" s="572">
        <v>0</v>
      </c>
      <c r="Q74" s="776">
        <v>194</v>
      </c>
      <c r="R74" s="776">
        <v>1071</v>
      </c>
      <c r="S74" s="574">
        <f>IF(CampList[[#This Row],[HH]]&gt;0,CampList[[#This Row],[Total]]/CampList[[#This Row],[HH]],"NA")</f>
        <v>5.5206185567010309</v>
      </c>
      <c r="T74" s="553" t="s">
        <v>510</v>
      </c>
      <c r="U74" s="553" t="s">
        <v>1180</v>
      </c>
      <c r="V74" s="553" t="s">
        <v>553</v>
      </c>
      <c r="W74" s="553" t="s">
        <v>802</v>
      </c>
      <c r="X74" s="794">
        <v>41000</v>
      </c>
      <c r="Y74" s="576">
        <v>2</v>
      </c>
      <c r="Z74" s="575" t="s">
        <v>459</v>
      </c>
      <c r="AA74" s="598" t="s">
        <v>841</v>
      </c>
      <c r="AB74" s="577"/>
      <c r="AC74" s="578">
        <v>42919</v>
      </c>
      <c r="AD74" s="570" t="s">
        <v>1663</v>
      </c>
      <c r="AE74" s="580" t="s">
        <v>1074</v>
      </c>
      <c r="AF74" s="402">
        <f>IF(CampList[[#This Row],[Type of Accomodation]]="camp",MAX(0,CampList[[#This Row],[HH]]-SUMIF(Table_Shelter[Pcode],CampList[[#This Row],[CP_Pcode]],Table_Shelter[HH Covered2])),0)</f>
        <v>112</v>
      </c>
      <c r="AG74" s="553"/>
      <c r="AH74" s="577">
        <f>MIN(CampList[[#This Row],[Shelter Gap]],CampList[[#This Row],[Land Status]])</f>
        <v>112</v>
      </c>
      <c r="AI74" s="553" t="str">
        <f ca="1">IFERROR(OFFSET(DistanceToCamp[Nearest Town],MATCH(CampList[[#This Row],[CP_Pcode]],DistanceToCamp[CP_Pcode],0)-1,0,1,1),"")</f>
        <v>Lwegel Town</v>
      </c>
      <c r="AJ74" s="581">
        <f ca="1">IFERROR(OFFSET(DistanceToCamp[distance],MATCH(CampList[[#This Row],[CP_Pcode]],DistanceToCamp[CP_Pcode],0)-1,0,1,1),"")</f>
        <v>0.38934692601696641</v>
      </c>
      <c r="AK74" s="582">
        <f ca="1">IFERROR(INT(CampList[[#This Row],[Distance]]/5)+1,"")</f>
        <v>1</v>
      </c>
      <c r="AM74" s="913"/>
      <c r="AN74" s="913"/>
    </row>
    <row r="75" spans="1:40" s="374" customFormat="1" ht="15.75" customHeight="1" x14ac:dyDescent="0.25">
      <c r="A75" s="570" t="s">
        <v>499</v>
      </c>
      <c r="B75" s="551" t="s">
        <v>380</v>
      </c>
      <c r="C75" s="551" t="s">
        <v>524</v>
      </c>
      <c r="D75" s="551" t="s">
        <v>5</v>
      </c>
      <c r="E75" s="551" t="s">
        <v>528</v>
      </c>
      <c r="F75" s="551" t="s">
        <v>185</v>
      </c>
      <c r="G75" s="551" t="s">
        <v>532</v>
      </c>
      <c r="H75" s="579" t="s">
        <v>752</v>
      </c>
      <c r="I75" s="579" t="s">
        <v>753</v>
      </c>
      <c r="J75" s="606" t="s">
        <v>1356</v>
      </c>
      <c r="K75" s="606" t="s">
        <v>1357</v>
      </c>
      <c r="L75" s="551" t="s">
        <v>186</v>
      </c>
      <c r="M75" s="551" t="s">
        <v>184</v>
      </c>
      <c r="N75" s="571">
        <v>97.718582999999995</v>
      </c>
      <c r="O75" s="571">
        <v>24.200972</v>
      </c>
      <c r="P75" s="592"/>
      <c r="Q75" s="776">
        <v>39</v>
      </c>
      <c r="R75" s="776">
        <v>234</v>
      </c>
      <c r="S75" s="574">
        <f>IF(CampList[[#This Row],[HH]]&gt;0,CampList[[#This Row],[Total]]/CampList[[#This Row],[HH]],"NA")</f>
        <v>6</v>
      </c>
      <c r="T75" s="553" t="s">
        <v>510</v>
      </c>
      <c r="U75" s="553" t="s">
        <v>1180</v>
      </c>
      <c r="V75" s="553" t="s">
        <v>553</v>
      </c>
      <c r="W75" s="553" t="s">
        <v>802</v>
      </c>
      <c r="X75" s="795">
        <v>41030</v>
      </c>
      <c r="Y75" s="576">
        <v>1</v>
      </c>
      <c r="Z75" s="575" t="s">
        <v>459</v>
      </c>
      <c r="AA75" s="598" t="s">
        <v>841</v>
      </c>
      <c r="AB75" s="577"/>
      <c r="AC75" s="578">
        <v>42919</v>
      </c>
      <c r="AD75" s="570" t="s">
        <v>1658</v>
      </c>
      <c r="AE75" s="580" t="s">
        <v>1074</v>
      </c>
      <c r="AF75" s="402">
        <f>IF(CampList[[#This Row],[Type of Accomodation]]="camp",MAX(0,CampList[[#This Row],[HH]]-SUMIF(Table_Shelter[Pcode],CampList[[#This Row],[CP_Pcode]],Table_Shelter[HH Covered2])),0)</f>
        <v>0</v>
      </c>
      <c r="AG75" s="553"/>
      <c r="AH75" s="577">
        <f>MIN(CampList[[#This Row],[Shelter Gap]],CampList[[#This Row],[Land Status]])</f>
        <v>0</v>
      </c>
      <c r="AI75" s="553" t="str">
        <f ca="1">IFERROR(OFFSET(DistanceToCamp[Nearest Town],MATCH(CampList[[#This Row],[CP_Pcode]],DistanceToCamp[CP_Pcode],0)-1,0,1,1),"")</f>
        <v>Lwegel Town</v>
      </c>
      <c r="AJ75" s="581">
        <f ca="1">IFERROR(OFFSET(DistanceToCamp[distance],MATCH(CampList[[#This Row],[CP_Pcode]],DistanceToCamp[CP_Pcode],0)-1,0,1,1),"")</f>
        <v>0.28829825866869707</v>
      </c>
      <c r="AK75" s="582">
        <f ca="1">IFERROR(INT(CampList[[#This Row],[Distance]]/5)+1,"")</f>
        <v>1</v>
      </c>
      <c r="AM75" s="913"/>
      <c r="AN75" s="913"/>
    </row>
    <row r="76" spans="1:40" s="374" customFormat="1" ht="15.75" customHeight="1" x14ac:dyDescent="0.25">
      <c r="A76" s="570" t="s">
        <v>499</v>
      </c>
      <c r="B76" s="551" t="s">
        <v>380</v>
      </c>
      <c r="C76" s="551" t="s">
        <v>524</v>
      </c>
      <c r="D76" s="551" t="s">
        <v>5</v>
      </c>
      <c r="E76" s="551" t="s">
        <v>528</v>
      </c>
      <c r="F76" s="551" t="s">
        <v>185</v>
      </c>
      <c r="G76" s="551" t="s">
        <v>532</v>
      </c>
      <c r="H76" s="551" t="s">
        <v>752</v>
      </c>
      <c r="I76" s="551" t="s">
        <v>1245</v>
      </c>
      <c r="J76" s="606" t="s">
        <v>757</v>
      </c>
      <c r="K76" s="606" t="s">
        <v>758</v>
      </c>
      <c r="L76" s="551" t="s">
        <v>229</v>
      </c>
      <c r="M76" s="551" t="s">
        <v>228</v>
      </c>
      <c r="N76" s="571">
        <v>97.724483000000006</v>
      </c>
      <c r="O76" s="571">
        <v>24.205417000000001</v>
      </c>
      <c r="P76" s="572">
        <v>0</v>
      </c>
      <c r="Q76" s="776">
        <v>49</v>
      </c>
      <c r="R76" s="776">
        <v>300</v>
      </c>
      <c r="S76" s="574">
        <f>IF(CampList[[#This Row],[HH]]&gt;0,CampList[[#This Row],[Total]]/CampList[[#This Row],[HH]],"NA")</f>
        <v>6.1224489795918364</v>
      </c>
      <c r="T76" s="553" t="s">
        <v>510</v>
      </c>
      <c r="U76" s="553" t="s">
        <v>1180</v>
      </c>
      <c r="V76" s="553" t="s">
        <v>553</v>
      </c>
      <c r="W76" s="553" t="s">
        <v>802</v>
      </c>
      <c r="X76" s="794">
        <v>41122</v>
      </c>
      <c r="Y76" s="576">
        <v>1</v>
      </c>
      <c r="Z76" s="575" t="s">
        <v>459</v>
      </c>
      <c r="AA76" s="551" t="s">
        <v>841</v>
      </c>
      <c r="AB76" s="577"/>
      <c r="AC76" s="578">
        <v>42919</v>
      </c>
      <c r="AD76" s="579" t="s">
        <v>1660</v>
      </c>
      <c r="AE76" s="580" t="s">
        <v>1074</v>
      </c>
      <c r="AF76" s="402">
        <f>IF(CampList[[#This Row],[Type of Accomodation]]="camp",MAX(0,CampList[[#This Row],[HH]]-SUMIF(Table_Shelter[Pcode],CampList[[#This Row],[CP_Pcode]],Table_Shelter[HH Covered2])),0)</f>
        <v>4</v>
      </c>
      <c r="AG76" s="402"/>
      <c r="AH76" s="577">
        <f>MIN(CampList[[#This Row],[Shelter Gap]],CampList[[#This Row],[Land Status]])</f>
        <v>4</v>
      </c>
      <c r="AI76" s="553" t="str">
        <f ca="1">IFERROR(OFFSET(DistanceToCamp[Nearest Town],MATCH(CampList[[#This Row],[CP_Pcode]],DistanceToCamp[CP_Pcode],0)-1,0,1,1),"")</f>
        <v>Lwegel Town</v>
      </c>
      <c r="AJ76" s="581">
        <f ca="1">IFERROR(OFFSET(DistanceToCamp[distance],MATCH(CampList[[#This Row],[CP_Pcode]],DistanceToCamp[CP_Pcode],0)-1,0,1,1),"")</f>
        <v>0.77561767807574999</v>
      </c>
      <c r="AK76" s="582">
        <f ca="1">IFERROR(INT(CampList[[#This Row],[Distance]]/5)+1,"")</f>
        <v>1</v>
      </c>
      <c r="AM76" s="913"/>
      <c r="AN76" s="913"/>
    </row>
    <row r="77" spans="1:40" s="374" customFormat="1" ht="15.75" customHeight="1" x14ac:dyDescent="0.25">
      <c r="A77" s="570" t="s">
        <v>499</v>
      </c>
      <c r="B77" s="551" t="s">
        <v>380</v>
      </c>
      <c r="C77" s="551" t="s">
        <v>524</v>
      </c>
      <c r="D77" s="551" t="s">
        <v>5</v>
      </c>
      <c r="E77" s="551" t="s">
        <v>528</v>
      </c>
      <c r="F77" s="551" t="s">
        <v>185</v>
      </c>
      <c r="G77" s="551" t="s">
        <v>532</v>
      </c>
      <c r="H77" s="551" t="s">
        <v>752</v>
      </c>
      <c r="I77" s="551" t="s">
        <v>753</v>
      </c>
      <c r="J77" s="551" t="s">
        <v>1362</v>
      </c>
      <c r="K77" s="551" t="s">
        <v>1363</v>
      </c>
      <c r="L77" s="551" t="s">
        <v>225</v>
      </c>
      <c r="M77" s="551" t="s">
        <v>224</v>
      </c>
      <c r="N77" s="571">
        <v>97.710864000000001</v>
      </c>
      <c r="O77" s="571">
        <v>24.207332999999998</v>
      </c>
      <c r="P77" s="572">
        <v>0</v>
      </c>
      <c r="Q77" s="776">
        <v>41</v>
      </c>
      <c r="R77" s="776">
        <v>245</v>
      </c>
      <c r="S77" s="574">
        <f>IF(CampList[[#This Row],[HH]]&gt;0,CampList[[#This Row],[Total]]/CampList[[#This Row],[HH]],"NA")</f>
        <v>5.975609756097561</v>
      </c>
      <c r="T77" s="553" t="s">
        <v>510</v>
      </c>
      <c r="U77" s="553" t="s">
        <v>1180</v>
      </c>
      <c r="V77" s="553" t="s">
        <v>553</v>
      </c>
      <c r="W77" s="553" t="s">
        <v>802</v>
      </c>
      <c r="X77" s="794">
        <v>41122</v>
      </c>
      <c r="Y77" s="576">
        <v>1</v>
      </c>
      <c r="Z77" s="575" t="s">
        <v>459</v>
      </c>
      <c r="AA77" s="551" t="s">
        <v>841</v>
      </c>
      <c r="AB77" s="577"/>
      <c r="AC77" s="578">
        <v>42919</v>
      </c>
      <c r="AD77" s="579" t="s">
        <v>1660</v>
      </c>
      <c r="AE77" s="580" t="s">
        <v>1074</v>
      </c>
      <c r="AF77" s="402">
        <f>IF(CampList[[#This Row],[Type of Accomodation]]="camp",MAX(0,CampList[[#This Row],[HH]]-SUMIF(Table_Shelter[Pcode],CampList[[#This Row],[CP_Pcode]],Table_Shelter[HH Covered2])),0)</f>
        <v>1</v>
      </c>
      <c r="AG77" s="553"/>
      <c r="AH77" s="577">
        <f>MIN(CampList[[#This Row],[Shelter Gap]],CampList[[#This Row],[Land Status]])</f>
        <v>1</v>
      </c>
      <c r="AI77" s="553" t="str">
        <f ca="1">IFERROR(OFFSET(DistanceToCamp[Nearest Town],MATCH(CampList[[#This Row],[CP_Pcode]],DistanceToCamp[CP_Pcode],0)-1,0,1,1),"")</f>
        <v>Lwegel Town</v>
      </c>
      <c r="AJ77" s="581">
        <f ca="1">IFERROR(OFFSET(DistanceToCamp[distance],MATCH(CampList[[#This Row],[CP_Pcode]],DistanceToCamp[CP_Pcode],0)-1,0,1,1),"")</f>
        <v>1.343152344964242</v>
      </c>
      <c r="AK77" s="582">
        <f ca="1">IFERROR(INT(CampList[[#This Row],[Distance]]/5)+1,"")</f>
        <v>1</v>
      </c>
      <c r="AM77" s="913"/>
      <c r="AN77" s="913"/>
    </row>
    <row r="78" spans="1:40" s="374" customFormat="1" ht="15.75" hidden="1" customHeight="1" x14ac:dyDescent="0.25">
      <c r="A78" s="570" t="s">
        <v>842</v>
      </c>
      <c r="B78" s="551" t="s">
        <v>380</v>
      </c>
      <c r="C78" s="551" t="s">
        <v>524</v>
      </c>
      <c r="D78" s="551" t="s">
        <v>5</v>
      </c>
      <c r="E78" s="551" t="s">
        <v>528</v>
      </c>
      <c r="F78" s="551" t="s">
        <v>151</v>
      </c>
      <c r="G78" s="551" t="s">
        <v>538</v>
      </c>
      <c r="H78" s="579"/>
      <c r="I78" s="579"/>
      <c r="J78" s="579"/>
      <c r="K78" s="579"/>
      <c r="L78" s="551" t="s">
        <v>877</v>
      </c>
      <c r="M78" s="551" t="s">
        <v>878</v>
      </c>
      <c r="N78" s="571"/>
      <c r="O78" s="571"/>
      <c r="P78" s="591"/>
      <c r="Q78" s="705">
        <v>0</v>
      </c>
      <c r="R78" s="706">
        <v>0</v>
      </c>
      <c r="S78" s="574" t="str">
        <f>IF(CampList[[#This Row],[HH]]&gt;0,CampList[[#This Row],[Total]]/CampList[[#This Row],[HH]],"NA")</f>
        <v>NA</v>
      </c>
      <c r="T78" s="553" t="s">
        <v>510</v>
      </c>
      <c r="U78" s="583" t="s">
        <v>1180</v>
      </c>
      <c r="V78" s="553" t="s">
        <v>553</v>
      </c>
      <c r="W78" s="583"/>
      <c r="X78" s="600"/>
      <c r="Y78" s="591"/>
      <c r="Z78" s="601"/>
      <c r="AA78" s="598" t="s">
        <v>841</v>
      </c>
      <c r="AB78" s="577"/>
      <c r="AC78" s="578">
        <v>41701</v>
      </c>
      <c r="AD78" s="570" t="s">
        <v>1009</v>
      </c>
      <c r="AE78" s="602" t="s">
        <v>1006</v>
      </c>
      <c r="AF78" s="402">
        <f>IF(CampList[[#This Row],[Type of Accomodation]]="camp",MAX(0,CampList[[#This Row],[HH]]-SUMIF(Table_Shelter[Pcode],CampList[[#This Row],[CP_Pcode]],Table_Shelter[HH Covered2])),0)</f>
        <v>0</v>
      </c>
      <c r="AG78" s="553"/>
      <c r="AH78" s="577">
        <f>MIN(CampList[[#This Row],[Shelter Gap]],CampList[[#This Row],[Land Status]])</f>
        <v>0</v>
      </c>
      <c r="AI78" s="553" t="str">
        <f ca="1">IFERROR(OFFSET(DistanceToCamp[Nearest Town],MATCH(CampList[[#This Row],[CP_Pcode]],DistanceToCamp[CP_Pcode],0)-1,0,1,1),"")</f>
        <v/>
      </c>
      <c r="AJ78" s="581" t="str">
        <f ca="1">IFERROR(OFFSET(DistanceToCamp[distance],MATCH(CampList[[#This Row],[CP_Pcode]],DistanceToCamp[CP_Pcode],0)-1,0,1,1),"")</f>
        <v/>
      </c>
      <c r="AK78" s="582" t="str">
        <f ca="1">IFERROR(INT(CampList[[#This Row],[Distance]]/5)+1,"")</f>
        <v/>
      </c>
      <c r="AM78" s="913"/>
      <c r="AN78" s="913"/>
    </row>
    <row r="79" spans="1:40" s="374" customFormat="1" ht="15.75" customHeight="1" x14ac:dyDescent="0.25">
      <c r="A79" s="598" t="s">
        <v>499</v>
      </c>
      <c r="B79" s="551" t="s">
        <v>380</v>
      </c>
      <c r="C79" s="551" t="s">
        <v>524</v>
      </c>
      <c r="D79" s="551" t="s">
        <v>300</v>
      </c>
      <c r="E79" s="551" t="s">
        <v>545</v>
      </c>
      <c r="F79" s="551" t="s">
        <v>300</v>
      </c>
      <c r="G79" s="551" t="s">
        <v>551</v>
      </c>
      <c r="H79" s="551" t="s">
        <v>799</v>
      </c>
      <c r="I79" s="551" t="s">
        <v>800</v>
      </c>
      <c r="J79" s="551" t="s">
        <v>1030</v>
      </c>
      <c r="K79" s="551" t="s">
        <v>1031</v>
      </c>
      <c r="L79" s="551" t="s">
        <v>301</v>
      </c>
      <c r="M79" s="551" t="s">
        <v>299</v>
      </c>
      <c r="N79" s="571">
        <v>97.415289999999999</v>
      </c>
      <c r="O79" s="571">
        <v>27.311699999999998</v>
      </c>
      <c r="P79" s="572">
        <v>476.7</v>
      </c>
      <c r="Q79" s="572">
        <v>14</v>
      </c>
      <c r="R79" s="592">
        <v>75</v>
      </c>
      <c r="S79" s="574">
        <f>IF(CampList[[#This Row],[HH]]&gt;0,CampList[[#This Row],[Total]]/CampList[[#This Row],[HH]],"NA")</f>
        <v>5.3571428571428568</v>
      </c>
      <c r="T79" s="553" t="s">
        <v>510</v>
      </c>
      <c r="U79" s="553" t="s">
        <v>1180</v>
      </c>
      <c r="V79" s="553" t="s">
        <v>12</v>
      </c>
      <c r="W79" s="553" t="s">
        <v>855</v>
      </c>
      <c r="X79" s="794"/>
      <c r="Y79" s="576"/>
      <c r="Z79" s="575"/>
      <c r="AA79" s="551" t="s">
        <v>841</v>
      </c>
      <c r="AB79" s="577"/>
      <c r="AC79" s="578">
        <v>42874</v>
      </c>
      <c r="AD79" s="579" t="s">
        <v>1569</v>
      </c>
      <c r="AE79" s="580" t="s">
        <v>1074</v>
      </c>
      <c r="AF79" s="402">
        <f>IF(CampList[[#This Row],[Type of Accomodation]]="camp",MAX(0,CampList[[#This Row],[HH]]-SUMIF(Table_Shelter[Pcode],CampList[[#This Row],[CP_Pcode]],Table_Shelter[HH Covered2])),0)</f>
        <v>0</v>
      </c>
      <c r="AG79" s="553"/>
      <c r="AH79" s="577">
        <f>MIN(CampList[[#This Row],[Shelter Gap]],CampList[[#This Row],[Land Status]])</f>
        <v>0</v>
      </c>
      <c r="AI79" s="553" t="str">
        <f ca="1">IFERROR(OFFSET(DistanceToCamp[Nearest Town],MATCH(CampList[[#This Row],[CP_Pcode]],DistanceToCamp[CP_Pcode],0)-1,0,1,1),"")</f>
        <v>Puta-O Town</v>
      </c>
      <c r="AJ79" s="581">
        <f ca="1">IFERROR(OFFSET(DistanceToCamp[distance],MATCH(CampList[[#This Row],[CP_Pcode]],DistanceToCamp[CP_Pcode],0)-1,0,1,1),"")</f>
        <v>1.3759254000531889</v>
      </c>
      <c r="AK79" s="582">
        <f ca="1">IFERROR(INT(CampList[[#This Row],[Distance]]/5)+1,"")</f>
        <v>1</v>
      </c>
      <c r="AM79" s="913"/>
      <c r="AN79" s="913"/>
    </row>
    <row r="80" spans="1:40" s="374" customFormat="1" ht="15.75" customHeight="1" x14ac:dyDescent="0.25">
      <c r="A80" s="570" t="s">
        <v>499</v>
      </c>
      <c r="B80" s="551" t="s">
        <v>380</v>
      </c>
      <c r="C80" s="551" t="s">
        <v>524</v>
      </c>
      <c r="D80" s="551" t="s">
        <v>180</v>
      </c>
      <c r="E80" s="551" t="s">
        <v>525</v>
      </c>
      <c r="F80" s="551" t="s">
        <v>173</v>
      </c>
      <c r="G80" s="551" t="s">
        <v>544</v>
      </c>
      <c r="H80" s="579" t="s">
        <v>631</v>
      </c>
      <c r="I80" s="579" t="s">
        <v>632</v>
      </c>
      <c r="J80" s="579" t="s">
        <v>633</v>
      </c>
      <c r="K80" s="579">
        <v>166676</v>
      </c>
      <c r="L80" s="551" t="s">
        <v>176</v>
      </c>
      <c r="M80" s="551" t="s">
        <v>175</v>
      </c>
      <c r="N80" s="571">
        <v>96.942279999999997</v>
      </c>
      <c r="O80" s="571">
        <v>25.296579999999999</v>
      </c>
      <c r="P80" s="572">
        <v>0</v>
      </c>
      <c r="Q80" s="776">
        <v>15</v>
      </c>
      <c r="R80" s="776">
        <v>72</v>
      </c>
      <c r="S80" s="574">
        <f>IF(CampList[[#This Row],[HH]]&gt;0,CampList[[#This Row],[Total]]/CampList[[#This Row],[HH]],"NA")</f>
        <v>4.8</v>
      </c>
      <c r="T80" s="553" t="s">
        <v>510</v>
      </c>
      <c r="U80" s="553" t="s">
        <v>1180</v>
      </c>
      <c r="V80" s="553" t="s">
        <v>553</v>
      </c>
      <c r="W80" s="553" t="s">
        <v>802</v>
      </c>
      <c r="X80" s="794">
        <v>41030</v>
      </c>
      <c r="Y80" s="576">
        <v>1</v>
      </c>
      <c r="Z80" s="575" t="s">
        <v>459</v>
      </c>
      <c r="AA80" s="598" t="s">
        <v>841</v>
      </c>
      <c r="AB80" s="577"/>
      <c r="AC80" s="578">
        <v>42919</v>
      </c>
      <c r="AD80" s="570" t="s">
        <v>1664</v>
      </c>
      <c r="AE80" s="580" t="s">
        <v>1088</v>
      </c>
      <c r="AF80" s="402">
        <f>IF(CampList[[#This Row],[Type of Accomodation]]="camp",MAX(0,CampList[[#This Row],[HH]]-SUMIF(Table_Shelter[Pcode],CampList[[#This Row],[CP_Pcode]],Table_Shelter[HH Covered2])),0)</f>
        <v>5</v>
      </c>
      <c r="AG80" s="553"/>
      <c r="AH80" s="577">
        <f>MIN(CampList[[#This Row],[Shelter Gap]],CampList[[#This Row],[Land Status]])</f>
        <v>5</v>
      </c>
      <c r="AI80" s="553" t="str">
        <f ca="1">IFERROR(OFFSET(DistanceToCamp[Nearest Town],MATCH(CampList[[#This Row],[CP_Pcode]],DistanceToCamp[CP_Pcode],0)-1,0,1,1),"")</f>
        <v>Mogaung Town</v>
      </c>
      <c r="AJ80" s="581">
        <f ca="1">IFERROR(OFFSET(DistanceToCamp[distance],MATCH(CampList[[#This Row],[CP_Pcode]],DistanceToCamp[CP_Pcode],0)-1,0,1,1),"")</f>
        <v>0.71141459237180937</v>
      </c>
      <c r="AK80" s="582">
        <f ca="1">IFERROR(INT(CampList[[#This Row],[Distance]]/5)+1,"")</f>
        <v>1</v>
      </c>
      <c r="AM80" s="913"/>
      <c r="AN80" s="913"/>
    </row>
    <row r="81" spans="1:40" s="374" customFormat="1" ht="15.75" customHeight="1" x14ac:dyDescent="0.25">
      <c r="A81" s="570" t="s">
        <v>499</v>
      </c>
      <c r="B81" s="551" t="s">
        <v>380</v>
      </c>
      <c r="C81" s="551" t="s">
        <v>524</v>
      </c>
      <c r="D81" s="551" t="s">
        <v>180</v>
      </c>
      <c r="E81" s="551" t="s">
        <v>525</v>
      </c>
      <c r="F81" s="551" t="s">
        <v>173</v>
      </c>
      <c r="G81" s="551" t="s">
        <v>544</v>
      </c>
      <c r="H81" s="579" t="s">
        <v>629</v>
      </c>
      <c r="I81" s="579" t="s">
        <v>630</v>
      </c>
      <c r="J81" s="606" t="s">
        <v>1354</v>
      </c>
      <c r="K81" s="606" t="s">
        <v>1355</v>
      </c>
      <c r="L81" s="551" t="s">
        <v>174</v>
      </c>
      <c r="M81" s="551" t="s">
        <v>172</v>
      </c>
      <c r="N81" s="571">
        <v>96.922619999999995</v>
      </c>
      <c r="O81" s="571">
        <v>25.305669999999999</v>
      </c>
      <c r="P81" s="572">
        <v>470</v>
      </c>
      <c r="Q81" s="776">
        <v>13</v>
      </c>
      <c r="R81" s="776">
        <v>66</v>
      </c>
      <c r="S81" s="574">
        <f>IF(CampList[[#This Row],[HH]]&gt;0,CampList[[#This Row],[Total]]/CampList[[#This Row],[HH]],"NA")</f>
        <v>5.0769230769230766</v>
      </c>
      <c r="T81" s="553" t="s">
        <v>510</v>
      </c>
      <c r="U81" s="553" t="s">
        <v>1180</v>
      </c>
      <c r="V81" s="553" t="s">
        <v>553</v>
      </c>
      <c r="W81" s="553" t="s">
        <v>802</v>
      </c>
      <c r="X81" s="794">
        <v>41030</v>
      </c>
      <c r="Y81" s="576">
        <v>1</v>
      </c>
      <c r="Z81" s="575" t="s">
        <v>459</v>
      </c>
      <c r="AA81" s="598" t="s">
        <v>841</v>
      </c>
      <c r="AB81" s="577"/>
      <c r="AC81" s="578">
        <v>42919</v>
      </c>
      <c r="AD81" s="570" t="s">
        <v>1664</v>
      </c>
      <c r="AE81" s="580" t="s">
        <v>1088</v>
      </c>
      <c r="AF81" s="402">
        <f>IF(CampList[[#This Row],[Type of Accomodation]]="camp",MAX(0,CampList[[#This Row],[HH]]-SUMIF(Table_Shelter[Pcode],CampList[[#This Row],[CP_Pcode]],Table_Shelter[HH Covered2])),0)</f>
        <v>0</v>
      </c>
      <c r="AG81" s="553"/>
      <c r="AH81" s="577">
        <f>MIN(CampList[[#This Row],[Shelter Gap]],CampList[[#This Row],[Land Status]])</f>
        <v>0</v>
      </c>
      <c r="AI81" s="553" t="str">
        <f ca="1">IFERROR(OFFSET(DistanceToCamp[Nearest Town],MATCH(CampList[[#This Row],[CP_Pcode]],DistanceToCamp[CP_Pcode],0)-1,0,1,1),"")</f>
        <v>Mogaung Town</v>
      </c>
      <c r="AJ81" s="581">
        <f ca="1">IFERROR(OFFSET(DistanceToCamp[distance],MATCH(CampList[[#This Row],[CP_Pcode]],DistanceToCamp[CP_Pcode],0)-1,0,1,1),"")</f>
        <v>1.815139598767344</v>
      </c>
      <c r="AK81" s="582">
        <f ca="1">IFERROR(INT(CampList[[#This Row],[Distance]]/5)+1,"")</f>
        <v>1</v>
      </c>
      <c r="AM81" s="913"/>
      <c r="AN81" s="913"/>
    </row>
    <row r="82" spans="1:40" s="374" customFormat="1" ht="15.75" customHeight="1" x14ac:dyDescent="0.25">
      <c r="A82" s="570" t="s">
        <v>499</v>
      </c>
      <c r="B82" s="551" t="s">
        <v>380</v>
      </c>
      <c r="C82" s="551" t="s">
        <v>524</v>
      </c>
      <c r="D82" s="551" t="s">
        <v>180</v>
      </c>
      <c r="E82" s="551" t="s">
        <v>525</v>
      </c>
      <c r="F82" s="551" t="s">
        <v>173</v>
      </c>
      <c r="G82" s="551" t="s">
        <v>544</v>
      </c>
      <c r="H82" s="551" t="s">
        <v>629</v>
      </c>
      <c r="I82" s="551" t="s">
        <v>630</v>
      </c>
      <c r="J82" s="551" t="s">
        <v>634</v>
      </c>
      <c r="K82" s="551" t="s">
        <v>635</v>
      </c>
      <c r="L82" s="551" t="s">
        <v>178</v>
      </c>
      <c r="M82" s="551" t="s">
        <v>177</v>
      </c>
      <c r="N82" s="571">
        <v>96.948740000000001</v>
      </c>
      <c r="O82" s="571">
        <v>25.30442</v>
      </c>
      <c r="P82" s="572">
        <v>100</v>
      </c>
      <c r="Q82" s="776">
        <v>12</v>
      </c>
      <c r="R82" s="776">
        <v>47</v>
      </c>
      <c r="S82" s="574">
        <f>IF(CampList[[#This Row],[HH]]&gt;0,CampList[[#This Row],[Total]]/CampList[[#This Row],[HH]],"NA")</f>
        <v>3.9166666666666665</v>
      </c>
      <c r="T82" s="553" t="s">
        <v>510</v>
      </c>
      <c r="U82" s="553" t="s">
        <v>1180</v>
      </c>
      <c r="V82" s="553" t="s">
        <v>553</v>
      </c>
      <c r="W82" s="553" t="s">
        <v>802</v>
      </c>
      <c r="X82" s="794">
        <v>40969</v>
      </c>
      <c r="Y82" s="576">
        <v>1</v>
      </c>
      <c r="Z82" s="575" t="s">
        <v>459</v>
      </c>
      <c r="AA82" s="551" t="s">
        <v>841</v>
      </c>
      <c r="AB82" s="577"/>
      <c r="AC82" s="578">
        <v>42919</v>
      </c>
      <c r="AD82" s="579" t="s">
        <v>1665</v>
      </c>
      <c r="AE82" s="580" t="s">
        <v>1088</v>
      </c>
      <c r="AF82" s="402">
        <f>IF(CampList[[#This Row],[Type of Accomodation]]="camp",MAX(0,CampList[[#This Row],[HH]]-SUMIF(Table_Shelter[Pcode],CampList[[#This Row],[CP_Pcode]],Table_Shelter[HH Covered2])),0)</f>
        <v>0</v>
      </c>
      <c r="AG82" s="553"/>
      <c r="AH82" s="577">
        <f>MIN(CampList[[#This Row],[Shelter Gap]],CampList[[#This Row],[Land Status]])</f>
        <v>0</v>
      </c>
      <c r="AI82" s="553" t="str">
        <f ca="1">IFERROR(OFFSET(DistanceToCamp[Nearest Town],MATCH(CampList[[#This Row],[CP_Pcode]],DistanceToCamp[CP_Pcode],0)-1,0,1,1),"")</f>
        <v>Mogaung Town</v>
      </c>
      <c r="AJ82" s="581">
        <f ca="1">IFERROR(OFFSET(DistanceToCamp[distance],MATCH(CampList[[#This Row],[CP_Pcode]],DistanceToCamp[CP_Pcode],0)-1,0,1,1),"")</f>
        <v>0.86042374061342075</v>
      </c>
      <c r="AK82" s="582">
        <f ca="1">IFERROR(INT(CampList[[#This Row],[Distance]]/5)+1,"")</f>
        <v>1</v>
      </c>
      <c r="AM82" s="913"/>
      <c r="AN82" s="913"/>
    </row>
    <row r="83" spans="1:40" s="374" customFormat="1" ht="15.75" customHeight="1" x14ac:dyDescent="0.25">
      <c r="A83" s="589" t="s">
        <v>499</v>
      </c>
      <c r="B83" s="552" t="s">
        <v>380</v>
      </c>
      <c r="C83" s="552" t="s">
        <v>524</v>
      </c>
      <c r="D83" s="552" t="s">
        <v>180</v>
      </c>
      <c r="E83" s="552" t="s">
        <v>525</v>
      </c>
      <c r="F83" s="552" t="s">
        <v>180</v>
      </c>
      <c r="G83" s="552" t="s">
        <v>550</v>
      </c>
      <c r="H83" s="552" t="s">
        <v>1124</v>
      </c>
      <c r="I83" s="590" t="s">
        <v>1240</v>
      </c>
      <c r="J83" s="606" t="s">
        <v>1374</v>
      </c>
      <c r="K83" s="606" t="s">
        <v>1375</v>
      </c>
      <c r="L83" s="552" t="s">
        <v>181</v>
      </c>
      <c r="M83" s="552" t="s">
        <v>179</v>
      </c>
      <c r="N83" s="573">
        <v>96.367059999999995</v>
      </c>
      <c r="O83" s="573">
        <v>24.764800000000001</v>
      </c>
      <c r="P83" s="592"/>
      <c r="Q83" s="776">
        <v>11</v>
      </c>
      <c r="R83" s="776">
        <v>57</v>
      </c>
      <c r="S83" s="574">
        <f>IF(CampList[[#This Row],[HH]]&gt;0,CampList[[#This Row],[Total]]/CampList[[#This Row],[HH]],"NA")</f>
        <v>5.1818181818181817</v>
      </c>
      <c r="T83" s="402" t="s">
        <v>510</v>
      </c>
      <c r="U83" s="553" t="s">
        <v>1180</v>
      </c>
      <c r="V83" s="402" t="s">
        <v>553</v>
      </c>
      <c r="W83" s="402" t="s">
        <v>802</v>
      </c>
      <c r="X83" s="795">
        <v>41061</v>
      </c>
      <c r="Y83" s="592"/>
      <c r="Z83" s="592" t="s">
        <v>1085</v>
      </c>
      <c r="AA83" s="552" t="s">
        <v>841</v>
      </c>
      <c r="AB83" s="573"/>
      <c r="AC83" s="578">
        <v>42915</v>
      </c>
      <c r="AD83" s="594" t="s">
        <v>1585</v>
      </c>
      <c r="AE83" s="580" t="s">
        <v>1088</v>
      </c>
      <c r="AF83" s="595">
        <f>IF(CampList[[#This Row],[Type of Accomodation]]="camp",MAX(0,CampList[[#This Row],[HH]]-SUMIF(Table_Shelter[Pcode],CampList[[#This Row],[CP_Pcode]],Table_Shelter[HH Covered2])),0)</f>
        <v>0</v>
      </c>
      <c r="AG83" s="402"/>
      <c r="AH83" s="572">
        <f>MIN(CampList[[#This Row],[Shelter Gap]],CampList[[#This Row],[Land Status]])</f>
        <v>0</v>
      </c>
      <c r="AI83" s="595" t="str">
        <f ca="1">IFERROR(OFFSET(DistanceToCamp[Nearest Town],MATCH(CampList[[#This Row],[CP_Pcode]],DistanceToCamp[CP_Pcode],0)-1,0,1,1),"")</f>
        <v>Mohnyin Town</v>
      </c>
      <c r="AJ83" s="581">
        <f ca="1">IFERROR(OFFSET(DistanceToCamp[distance],MATCH(CampList[[#This Row],[CP_Pcode]],DistanceToCamp[CP_Pcode],0)-1,0,1,1),"")</f>
        <v>1.7021273757523427</v>
      </c>
      <c r="AK83" s="596">
        <f ca="1">IFERROR(INT(CampList[[#This Row],[Distance]]/5)+1,"")</f>
        <v>1</v>
      </c>
      <c r="AM83" s="913"/>
      <c r="AN83" s="913"/>
    </row>
    <row r="84" spans="1:40" s="374" customFormat="1" ht="15.75" hidden="1" customHeight="1" x14ac:dyDescent="0.25">
      <c r="A84" s="570" t="s">
        <v>842</v>
      </c>
      <c r="B84" s="551" t="s">
        <v>380</v>
      </c>
      <c r="C84" s="551" t="s">
        <v>524</v>
      </c>
      <c r="D84" s="551" t="s">
        <v>180</v>
      </c>
      <c r="E84" s="551" t="s">
        <v>525</v>
      </c>
      <c r="F84" s="551" t="s">
        <v>526</v>
      </c>
      <c r="G84" s="551" t="s">
        <v>527</v>
      </c>
      <c r="H84" s="579" t="s">
        <v>617</v>
      </c>
      <c r="I84" s="579" t="s">
        <v>618</v>
      </c>
      <c r="J84" s="579" t="s">
        <v>619</v>
      </c>
      <c r="K84" s="579">
        <v>166817</v>
      </c>
      <c r="L84" s="551" t="s">
        <v>58</v>
      </c>
      <c r="M84" s="551" t="s">
        <v>57</v>
      </c>
      <c r="N84" s="571">
        <v>96.673805000000002</v>
      </c>
      <c r="O84" s="571">
        <v>25.728653000000001</v>
      </c>
      <c r="P84" s="591"/>
      <c r="Q84" s="705"/>
      <c r="R84" s="706"/>
      <c r="S84" s="574" t="str">
        <f>IF(CampList[[#This Row],[HH]]&gt;0,CampList[[#This Row],[Total]]/CampList[[#This Row],[HH]],"NA")</f>
        <v>NA</v>
      </c>
      <c r="T84" s="553" t="s">
        <v>510</v>
      </c>
      <c r="U84" s="583" t="s">
        <v>1180</v>
      </c>
      <c r="V84" s="553" t="s">
        <v>553</v>
      </c>
      <c r="W84" s="583" t="s">
        <v>855</v>
      </c>
      <c r="X84" s="600"/>
      <c r="Y84" s="591">
        <v>1</v>
      </c>
      <c r="Z84" s="584" t="s">
        <v>504</v>
      </c>
      <c r="AA84" s="598" t="s">
        <v>841</v>
      </c>
      <c r="AB84" s="577"/>
      <c r="AC84" s="578">
        <v>42096</v>
      </c>
      <c r="AD84" s="570" t="s">
        <v>1284</v>
      </c>
      <c r="AE84" s="602" t="s">
        <v>1088</v>
      </c>
      <c r="AF84" s="402">
        <f>IF(CampList[[#This Row],[Type of Accomodation]]="camp",MAX(0,CampList[[#This Row],[HH]]-SUMIF(Table_Shelter[Pcode],CampList[[#This Row],[CP_Pcode]],Table_Shelter[HH Covered2])),0)</f>
        <v>0</v>
      </c>
      <c r="AG84" s="553"/>
      <c r="AH84" s="577">
        <f>MIN(CampList[[#This Row],[Shelter Gap]],CampList[[#This Row],[Land Status]])</f>
        <v>0</v>
      </c>
      <c r="AI84" s="553" t="str">
        <f ca="1">IFERROR(OFFSET(DistanceToCamp[Nearest Town],MATCH(CampList[[#This Row],[CP_Pcode]],DistanceToCamp[CP_Pcode],0)-1,0,1,1),"")</f>
        <v>Kamaing Town</v>
      </c>
      <c r="AJ84" s="581">
        <f ca="1">IFERROR(OFFSET(DistanceToCamp[distance],MATCH(CampList[[#This Row],[CP_Pcode]],DistanceToCamp[CP_Pcode],0)-1,0,1,1),"")</f>
        <v>23.222739740353646</v>
      </c>
      <c r="AK84" s="582">
        <f ca="1">IFERROR(INT(CampList[[#This Row],[Distance]]/5)+1,"")</f>
        <v>5</v>
      </c>
      <c r="AM84" s="913"/>
      <c r="AN84" s="913"/>
    </row>
    <row r="85" spans="1:40" s="374" customFormat="1" ht="15.75" hidden="1" customHeight="1" x14ac:dyDescent="0.25">
      <c r="A85" s="570" t="s">
        <v>842</v>
      </c>
      <c r="B85" s="551" t="s">
        <v>380</v>
      </c>
      <c r="C85" s="551" t="s">
        <v>524</v>
      </c>
      <c r="D85" s="551" t="s">
        <v>180</v>
      </c>
      <c r="E85" s="551" t="s">
        <v>525</v>
      </c>
      <c r="F85" s="551" t="s">
        <v>526</v>
      </c>
      <c r="G85" s="551" t="s">
        <v>527</v>
      </c>
      <c r="H85" s="579" t="s">
        <v>611</v>
      </c>
      <c r="I85" s="579" t="s">
        <v>612</v>
      </c>
      <c r="J85" s="579" t="s">
        <v>614</v>
      </c>
      <c r="K85" s="579">
        <v>216880</v>
      </c>
      <c r="L85" s="551" t="s">
        <v>60</v>
      </c>
      <c r="M85" s="551" t="s">
        <v>59</v>
      </c>
      <c r="N85" s="571">
        <v>96.353070000000002</v>
      </c>
      <c r="O85" s="571">
        <v>25.668469999999999</v>
      </c>
      <c r="P85" s="587">
        <v>256</v>
      </c>
      <c r="Q85" s="705"/>
      <c r="R85" s="706"/>
      <c r="S85" s="574" t="str">
        <f>IF(CampList[[#This Row],[HH]]&gt;0,CampList[[#This Row],[Total]]/CampList[[#This Row],[HH]],"NA")</f>
        <v>NA</v>
      </c>
      <c r="T85" s="553" t="s">
        <v>510</v>
      </c>
      <c r="U85" s="583" t="s">
        <v>1180</v>
      </c>
      <c r="V85" s="553" t="s">
        <v>553</v>
      </c>
      <c r="W85" s="583" t="s">
        <v>855</v>
      </c>
      <c r="X85" s="584">
        <v>41275</v>
      </c>
      <c r="Y85" s="585"/>
      <c r="Z85" s="584"/>
      <c r="AA85" s="598" t="s">
        <v>840</v>
      </c>
      <c r="AB85" s="577"/>
      <c r="AC85" s="578">
        <v>41774</v>
      </c>
      <c r="AD85" s="570" t="s">
        <v>1042</v>
      </c>
      <c r="AE85" s="580" t="s">
        <v>1006</v>
      </c>
      <c r="AF85" s="402">
        <f>IF(CampList[[#This Row],[Type of Accomodation]]="camp",MAX(0,CampList[[#This Row],[HH]]-SUMIF(Table_Shelter[Pcode],CampList[[#This Row],[CP_Pcode]],Table_Shelter[HH Covered2])),0)</f>
        <v>0</v>
      </c>
      <c r="AG85" s="553"/>
      <c r="AH85" s="577">
        <f>MIN(CampList[[#This Row],[Shelter Gap]],CampList[[#This Row],[Land Status]])</f>
        <v>0</v>
      </c>
      <c r="AI85" s="553" t="str">
        <f ca="1">IFERROR(OFFSET(DistanceToCamp[Nearest Town],MATCH(CampList[[#This Row],[CP_Pcode]],DistanceToCamp[CP_Pcode],0)-1,0,1,1),"")</f>
        <v/>
      </c>
      <c r="AJ85" s="581" t="str">
        <f ca="1">IFERROR(OFFSET(DistanceToCamp[distance],MATCH(CampList[[#This Row],[CP_Pcode]],DistanceToCamp[CP_Pcode],0)-1,0,1,1),"")</f>
        <v/>
      </c>
      <c r="AK85" s="582" t="str">
        <f ca="1">IFERROR(INT(CampList[[#This Row],[Distance]]/5)+1,"")</f>
        <v/>
      </c>
      <c r="AM85" s="913"/>
      <c r="AN85" s="913"/>
    </row>
    <row r="86" spans="1:40" s="374" customFormat="1" ht="15.75" hidden="1" customHeight="1" x14ac:dyDescent="0.25">
      <c r="A86" s="570" t="s">
        <v>842</v>
      </c>
      <c r="B86" s="551" t="s">
        <v>380</v>
      </c>
      <c r="C86" s="551" t="s">
        <v>524</v>
      </c>
      <c r="D86" s="551" t="s">
        <v>237</v>
      </c>
      <c r="E86" s="551" t="s">
        <v>530</v>
      </c>
      <c r="F86" s="551" t="s">
        <v>310</v>
      </c>
      <c r="G86" s="551" t="s">
        <v>531</v>
      </c>
      <c r="H86" s="579" t="s">
        <v>717</v>
      </c>
      <c r="I86" s="551"/>
      <c r="J86" s="551"/>
      <c r="K86" s="551"/>
      <c r="L86" s="551" t="s">
        <v>358</v>
      </c>
      <c r="M86" s="551" t="s">
        <v>357</v>
      </c>
      <c r="N86" s="571">
        <v>97.837778</v>
      </c>
      <c r="O86" s="571">
        <v>25.273333000000001</v>
      </c>
      <c r="P86" s="591"/>
      <c r="Q86" s="705">
        <v>0</v>
      </c>
      <c r="R86" s="706">
        <v>0</v>
      </c>
      <c r="S86" s="574" t="str">
        <f>IF(CampList[[#This Row],[HH]]&gt;0,CampList[[#This Row],[Total]]/CampList[[#This Row],[HH]],"NA")</f>
        <v>NA</v>
      </c>
      <c r="T86" s="553" t="s">
        <v>512</v>
      </c>
      <c r="U86" s="583" t="s">
        <v>1180</v>
      </c>
      <c r="V86" s="553" t="s">
        <v>553</v>
      </c>
      <c r="W86" s="583"/>
      <c r="X86" s="600"/>
      <c r="Y86" s="591"/>
      <c r="Z86" s="601"/>
      <c r="AA86" s="598"/>
      <c r="AB86" s="577"/>
      <c r="AC86" s="604"/>
      <c r="AD86" s="570"/>
      <c r="AE86" s="602" t="s">
        <v>1006</v>
      </c>
      <c r="AF86" s="402">
        <f>IF(CampList[[#This Row],[Type of Accomodation]]="camp",MAX(0,CampList[[#This Row],[HH]]-SUMIF(Table_Shelter[Pcode],CampList[[#This Row],[CP_Pcode]],Table_Shelter[HH Covered2])),0)</f>
        <v>0</v>
      </c>
      <c r="AG86" s="553"/>
      <c r="AH86" s="577">
        <f>MIN(CampList[[#This Row],[Shelter Gap]],CampList[[#This Row],[Land Status]])</f>
        <v>0</v>
      </c>
      <c r="AI86" s="553" t="str">
        <f ca="1">IFERROR(OFFSET(DistanceToCamp[Nearest Town],MATCH(CampList[[#This Row],[CP_Pcode]],DistanceToCamp[CP_Pcode],0)-1,0,1,1),"")</f>
        <v/>
      </c>
      <c r="AJ86" s="581" t="str">
        <f ca="1">IFERROR(OFFSET(DistanceToCamp[distance],MATCH(CampList[[#This Row],[CP_Pcode]],DistanceToCamp[CP_Pcode],0)-1,0,1,1),"")</f>
        <v/>
      </c>
      <c r="AK86" s="582" t="str">
        <f ca="1">IFERROR(INT(CampList[[#This Row],[Distance]]/5)+1,"")</f>
        <v/>
      </c>
      <c r="AM86" s="913"/>
      <c r="AN86" s="913"/>
    </row>
    <row r="87" spans="1:40" s="374" customFormat="1" ht="15.75" hidden="1" customHeight="1" x14ac:dyDescent="0.25">
      <c r="A87" s="570" t="s">
        <v>842</v>
      </c>
      <c r="B87" s="551" t="s">
        <v>380</v>
      </c>
      <c r="C87" s="551" t="s">
        <v>524</v>
      </c>
      <c r="D87" s="551" t="s">
        <v>5</v>
      </c>
      <c r="E87" s="551" t="s">
        <v>528</v>
      </c>
      <c r="F87" s="551" t="s">
        <v>151</v>
      </c>
      <c r="G87" s="551" t="s">
        <v>538</v>
      </c>
      <c r="H87" s="551" t="s">
        <v>738</v>
      </c>
      <c r="I87" s="551" t="s">
        <v>739</v>
      </c>
      <c r="J87" s="551" t="s">
        <v>738</v>
      </c>
      <c r="K87" s="590">
        <v>167343</v>
      </c>
      <c r="L87" s="551" t="s">
        <v>1032</v>
      </c>
      <c r="M87" s="551" t="s">
        <v>1033</v>
      </c>
      <c r="N87" s="571">
        <v>97.608249999999998</v>
      </c>
      <c r="O87" s="571">
        <v>24.000250000000001</v>
      </c>
      <c r="P87" s="592"/>
      <c r="Q87" s="402"/>
      <c r="R87" s="602"/>
      <c r="S87" s="574" t="str">
        <f>IF(CampList[[#This Row],[HH]]&gt;0,CampList[[#This Row],[Total]]/CampList[[#This Row],[HH]],"NA")</f>
        <v>NA</v>
      </c>
      <c r="T87" s="553" t="s">
        <v>512</v>
      </c>
      <c r="U87" s="553" t="s">
        <v>1180</v>
      </c>
      <c r="V87" s="553" t="s">
        <v>553</v>
      </c>
      <c r="W87" s="553" t="s">
        <v>855</v>
      </c>
      <c r="X87" s="593">
        <v>40817</v>
      </c>
      <c r="Y87" s="592"/>
      <c r="Z87" s="575" t="s">
        <v>1084</v>
      </c>
      <c r="AA87" s="551" t="s">
        <v>841</v>
      </c>
      <c r="AB87" s="577"/>
      <c r="AC87" s="578">
        <v>42629</v>
      </c>
      <c r="AD87" s="570" t="s">
        <v>1439</v>
      </c>
      <c r="AE87" s="602" t="s">
        <v>1073</v>
      </c>
      <c r="AF87" s="402">
        <f>IF(CampList[[#This Row],[Type of Accomodation]]="camp",MAX(0,CampList[[#This Row],[HH]]-SUMIF(Table_Shelter[Pcode],CampList[[#This Row],[CP_Pcode]],Table_Shelter[HH Covered2])),0)</f>
        <v>0</v>
      </c>
      <c r="AG87" s="553"/>
      <c r="AH87" s="577">
        <f>MIN(CampList[[#This Row],[Shelter Gap]],CampList[[#This Row],[Land Status]])</f>
        <v>0</v>
      </c>
      <c r="AI87" s="553" t="str">
        <f ca="1">IFERROR(OFFSET(DistanceToCamp[Nearest Town],MATCH(CampList[[#This Row],[CP_Pcode]],DistanceToCamp[CP_Pcode],0)-1,0,1,1),"")</f>
        <v>Namhkan Town</v>
      </c>
      <c r="AJ87" s="581">
        <f ca="1">IFERROR(OFFSET(DistanceToCamp[distance],MATCH(CampList[[#This Row],[CP_Pcode]],DistanceToCamp[CP_Pcode],0)-1,0,1,1),"")</f>
        <v>19.631786732140053</v>
      </c>
      <c r="AK87" s="582">
        <f ca="1">IFERROR(INT(CampList[[#This Row],[Distance]]/5)+1,"")</f>
        <v>4</v>
      </c>
      <c r="AM87" s="913"/>
      <c r="AN87" s="913"/>
    </row>
    <row r="88" spans="1:40" s="374" customFormat="1" ht="15.75" hidden="1" customHeight="1" x14ac:dyDescent="0.25">
      <c r="A88" s="570" t="s">
        <v>842</v>
      </c>
      <c r="B88" s="551" t="s">
        <v>380</v>
      </c>
      <c r="C88" s="551" t="s">
        <v>524</v>
      </c>
      <c r="D88" s="551" t="s">
        <v>180</v>
      </c>
      <c r="E88" s="551" t="s">
        <v>525</v>
      </c>
      <c r="F88" s="551" t="s">
        <v>526</v>
      </c>
      <c r="G88" s="551" t="s">
        <v>527</v>
      </c>
      <c r="H88" s="551"/>
      <c r="I88" s="551"/>
      <c r="J88" s="551"/>
      <c r="K88" s="551"/>
      <c r="L88" s="551" t="s">
        <v>70</v>
      </c>
      <c r="M88" s="551" t="s">
        <v>69</v>
      </c>
      <c r="N88" s="571"/>
      <c r="O88" s="571"/>
      <c r="P88" s="591"/>
      <c r="Q88" s="705"/>
      <c r="R88" s="706"/>
      <c r="S88" s="574" t="str">
        <f>IF(CampList[[#This Row],[HH]]&gt;0,CampList[[#This Row],[Total]]/CampList[[#This Row],[HH]],"NA")</f>
        <v>NA</v>
      </c>
      <c r="T88" s="553" t="s">
        <v>510</v>
      </c>
      <c r="U88" s="583" t="s">
        <v>1180</v>
      </c>
      <c r="V88" s="553" t="s">
        <v>553</v>
      </c>
      <c r="W88" s="583"/>
      <c r="X88" s="600"/>
      <c r="Y88" s="591"/>
      <c r="Z88" s="601"/>
      <c r="AA88" s="598"/>
      <c r="AB88" s="577"/>
      <c r="AC88" s="604"/>
      <c r="AD88" s="570" t="s">
        <v>600</v>
      </c>
      <c r="AE88" s="602" t="s">
        <v>1006</v>
      </c>
      <c r="AF88" s="402">
        <f>IF(CampList[[#This Row],[Type of Accomodation]]="camp",MAX(0,CampList[[#This Row],[HH]]-SUMIF(Table_Shelter[Pcode],CampList[[#This Row],[CP_Pcode]],Table_Shelter[HH Covered2])),0)</f>
        <v>0</v>
      </c>
      <c r="AG88" s="553"/>
      <c r="AH88" s="577">
        <f>MIN(CampList[[#This Row],[Shelter Gap]],CampList[[#This Row],[Land Status]])</f>
        <v>0</v>
      </c>
      <c r="AI88" s="553" t="str">
        <f ca="1">IFERROR(OFFSET(DistanceToCamp[Nearest Town],MATCH(CampList[[#This Row],[CP_Pcode]],DistanceToCamp[CP_Pcode],0)-1,0,1,1),"")</f>
        <v/>
      </c>
      <c r="AJ88" s="581" t="str">
        <f ca="1">IFERROR(OFFSET(DistanceToCamp[distance],MATCH(CampList[[#This Row],[CP_Pcode]],DistanceToCamp[CP_Pcode],0)-1,0,1,1),"")</f>
        <v/>
      </c>
      <c r="AK88" s="582" t="str">
        <f ca="1">IFERROR(INT(CampList[[#This Row],[Distance]]/5)+1,"")</f>
        <v/>
      </c>
      <c r="AM88" s="913"/>
      <c r="AN88" s="913"/>
    </row>
    <row r="89" spans="1:40" s="374" customFormat="1" ht="15.75" hidden="1" customHeight="1" x14ac:dyDescent="0.25">
      <c r="A89" s="570" t="s">
        <v>842</v>
      </c>
      <c r="B89" s="551" t="s">
        <v>380</v>
      </c>
      <c r="C89" s="551" t="s">
        <v>524</v>
      </c>
      <c r="D89" s="551" t="s">
        <v>5</v>
      </c>
      <c r="E89" s="551" t="s">
        <v>528</v>
      </c>
      <c r="F89" s="551" t="s">
        <v>5</v>
      </c>
      <c r="G89" s="551" t="s">
        <v>529</v>
      </c>
      <c r="H89" s="551"/>
      <c r="I89" s="551"/>
      <c r="J89" s="551"/>
      <c r="K89" s="551"/>
      <c r="L89" s="551" t="s">
        <v>10</v>
      </c>
      <c r="M89" s="551" t="s">
        <v>9</v>
      </c>
      <c r="N89" s="571"/>
      <c r="O89" s="571"/>
      <c r="P89" s="591"/>
      <c r="Q89" s="705">
        <v>0</v>
      </c>
      <c r="R89" s="706">
        <v>0</v>
      </c>
      <c r="S89" s="574" t="str">
        <f>IF(CampList[[#This Row],[HH]]&gt;0,CampList[[#This Row],[Total]]/CampList[[#This Row],[HH]],"NA")</f>
        <v>NA</v>
      </c>
      <c r="T89" s="553" t="s">
        <v>510</v>
      </c>
      <c r="U89" s="583" t="s">
        <v>1180</v>
      </c>
      <c r="V89" s="605" t="s">
        <v>12</v>
      </c>
      <c r="W89" s="583"/>
      <c r="X89" s="600"/>
      <c r="Y89" s="591"/>
      <c r="Z89" s="601"/>
      <c r="AA89" s="751"/>
      <c r="AB89" s="577" t="s">
        <v>1238</v>
      </c>
      <c r="AC89" s="608">
        <v>41666</v>
      </c>
      <c r="AD89" s="579" t="s">
        <v>938</v>
      </c>
      <c r="AE89" s="602" t="s">
        <v>1006</v>
      </c>
      <c r="AF89" s="402">
        <f>IF(CampList[[#This Row],[Type of Accomodation]]="camp",MAX(0,CampList[[#This Row],[HH]]-SUMIF(Table_Shelter[Pcode],CampList[[#This Row],[CP_Pcode]],Table_Shelter[HH Covered2])),0)</f>
        <v>0</v>
      </c>
      <c r="AG89" s="553"/>
      <c r="AH89" s="577">
        <f>MIN(CampList[[#This Row],[Shelter Gap]],CampList[[#This Row],[Land Status]])</f>
        <v>0</v>
      </c>
      <c r="AI89" s="553" t="str">
        <f ca="1">IFERROR(OFFSET(DistanceToCamp[Nearest Town],MATCH(CampList[[#This Row],[CP_Pcode]],DistanceToCamp[CP_Pcode],0)-1,0,1,1),"")</f>
        <v/>
      </c>
      <c r="AJ89" s="581" t="str">
        <f ca="1">IFERROR(OFFSET(DistanceToCamp[distance],MATCH(CampList[[#This Row],[CP_Pcode]],DistanceToCamp[CP_Pcode],0)-1,0,1,1),"")</f>
        <v/>
      </c>
      <c r="AK89" s="582" t="str">
        <f ca="1">IFERROR(INT(CampList[[#This Row],[Distance]]/5)+1,"")</f>
        <v/>
      </c>
      <c r="AM89" s="913"/>
      <c r="AN89" s="913"/>
    </row>
    <row r="90" spans="1:40" s="374" customFormat="1" ht="15.75" hidden="1" customHeight="1" x14ac:dyDescent="0.25">
      <c r="A90" s="570" t="s">
        <v>842</v>
      </c>
      <c r="B90" s="551" t="s">
        <v>380</v>
      </c>
      <c r="C90" s="551" t="s">
        <v>524</v>
      </c>
      <c r="D90" s="551" t="s">
        <v>180</v>
      </c>
      <c r="E90" s="551" t="s">
        <v>525</v>
      </c>
      <c r="F90" s="551" t="s">
        <v>526</v>
      </c>
      <c r="G90" s="551" t="s">
        <v>527</v>
      </c>
      <c r="H90" s="579" t="s">
        <v>597</v>
      </c>
      <c r="I90" s="579" t="s">
        <v>598</v>
      </c>
      <c r="J90" s="579" t="s">
        <v>597</v>
      </c>
      <c r="K90" s="579">
        <v>166783</v>
      </c>
      <c r="L90" s="551" t="s">
        <v>78</v>
      </c>
      <c r="M90" s="551" t="s">
        <v>77</v>
      </c>
      <c r="N90" s="571"/>
      <c r="O90" s="571"/>
      <c r="P90" s="591"/>
      <c r="Q90" s="705"/>
      <c r="R90" s="706"/>
      <c r="S90" s="574" t="str">
        <f>IF(CampList[[#This Row],[HH]]&gt;0,CampList[[#This Row],[Total]]/CampList[[#This Row],[HH]],"NA")</f>
        <v>NA</v>
      </c>
      <c r="T90" s="553" t="s">
        <v>510</v>
      </c>
      <c r="U90" s="583" t="s">
        <v>1180</v>
      </c>
      <c r="V90" s="553" t="s">
        <v>553</v>
      </c>
      <c r="W90" s="583" t="s">
        <v>855</v>
      </c>
      <c r="X90" s="600"/>
      <c r="Y90" s="591"/>
      <c r="Z90" s="601"/>
      <c r="AA90" s="598" t="s">
        <v>841</v>
      </c>
      <c r="AB90" s="577"/>
      <c r="AC90" s="578">
        <v>41774</v>
      </c>
      <c r="AD90" s="570" t="s">
        <v>1044</v>
      </c>
      <c r="AE90" s="602" t="s">
        <v>1006</v>
      </c>
      <c r="AF90" s="402">
        <f>IF(CampList[[#This Row],[Type of Accomodation]]="camp",MAX(0,CampList[[#This Row],[HH]]-SUMIF(Table_Shelter[Pcode],CampList[[#This Row],[CP_Pcode]],Table_Shelter[HH Covered2])),0)</f>
        <v>0</v>
      </c>
      <c r="AG90" s="553"/>
      <c r="AH90" s="577">
        <f>MIN(CampList[[#This Row],[Shelter Gap]],CampList[[#This Row],[Land Status]])</f>
        <v>0</v>
      </c>
      <c r="AI90" s="553" t="str">
        <f ca="1">IFERROR(OFFSET(DistanceToCamp[Nearest Town],MATCH(CampList[[#This Row],[CP_Pcode]],DistanceToCamp[CP_Pcode],0)-1,0,1,1),"")</f>
        <v/>
      </c>
      <c r="AJ90" s="581" t="str">
        <f ca="1">IFERROR(OFFSET(DistanceToCamp[distance],MATCH(CampList[[#This Row],[CP_Pcode]],DistanceToCamp[CP_Pcode],0)-1,0,1,1),"")</f>
        <v/>
      </c>
      <c r="AK90" s="582" t="str">
        <f ca="1">IFERROR(INT(CampList[[#This Row],[Distance]]/5)+1,"")</f>
        <v/>
      </c>
      <c r="AM90" s="913"/>
      <c r="AN90" s="913"/>
    </row>
    <row r="91" spans="1:40" s="374" customFormat="1" ht="15.75" hidden="1" customHeight="1" x14ac:dyDescent="0.25">
      <c r="A91" s="570" t="s">
        <v>842</v>
      </c>
      <c r="B91" s="551" t="s">
        <v>380</v>
      </c>
      <c r="C91" s="551" t="s">
        <v>524</v>
      </c>
      <c r="D91" s="551" t="s">
        <v>180</v>
      </c>
      <c r="E91" s="551" t="s">
        <v>525</v>
      </c>
      <c r="F91" s="551" t="s">
        <v>526</v>
      </c>
      <c r="G91" s="551" t="s">
        <v>527</v>
      </c>
      <c r="H91" s="579" t="s">
        <v>597</v>
      </c>
      <c r="I91" s="579" t="s">
        <v>598</v>
      </c>
      <c r="J91" s="579" t="s">
        <v>597</v>
      </c>
      <c r="K91" s="579">
        <v>166783</v>
      </c>
      <c r="L91" s="551" t="s">
        <v>82</v>
      </c>
      <c r="M91" s="551" t="s">
        <v>81</v>
      </c>
      <c r="N91" s="571"/>
      <c r="O91" s="571"/>
      <c r="P91" s="591"/>
      <c r="Q91" s="705"/>
      <c r="R91" s="706"/>
      <c r="S91" s="574" t="str">
        <f>IF(CampList[[#This Row],[HH]]&gt;0,CampList[[#This Row],[Total]]/CampList[[#This Row],[HH]],"NA")</f>
        <v>NA</v>
      </c>
      <c r="T91" s="553" t="s">
        <v>510</v>
      </c>
      <c r="U91" s="583" t="s">
        <v>1180</v>
      </c>
      <c r="V91" s="553" t="s">
        <v>553</v>
      </c>
      <c r="W91" s="583"/>
      <c r="X91" s="600"/>
      <c r="Y91" s="591"/>
      <c r="Z91" s="601"/>
      <c r="AA91" s="598" t="s">
        <v>840</v>
      </c>
      <c r="AB91" s="577"/>
      <c r="AC91" s="578">
        <v>41663</v>
      </c>
      <c r="AD91" s="570" t="s">
        <v>937</v>
      </c>
      <c r="AE91" s="602" t="s">
        <v>1006</v>
      </c>
      <c r="AF91" s="402">
        <f>IF(CampList[[#This Row],[Type of Accomodation]]="camp",MAX(0,CampList[[#This Row],[HH]]-SUMIF(Table_Shelter[Pcode],CampList[[#This Row],[CP_Pcode]],Table_Shelter[HH Covered2])),0)</f>
        <v>0</v>
      </c>
      <c r="AG91" s="553"/>
      <c r="AH91" s="577">
        <f>MIN(CampList[[#This Row],[Shelter Gap]],CampList[[#This Row],[Land Status]])</f>
        <v>0</v>
      </c>
      <c r="AI91" s="553" t="str">
        <f ca="1">IFERROR(OFFSET(DistanceToCamp[Nearest Town],MATCH(CampList[[#This Row],[CP_Pcode]],DistanceToCamp[CP_Pcode],0)-1,0,1,1),"")</f>
        <v/>
      </c>
      <c r="AJ91" s="581" t="str">
        <f ca="1">IFERROR(OFFSET(DistanceToCamp[distance],MATCH(CampList[[#This Row],[CP_Pcode]],DistanceToCamp[CP_Pcode],0)-1,0,1,1),"")</f>
        <v/>
      </c>
      <c r="AK91" s="582" t="str">
        <f ca="1">IFERROR(INT(CampList[[#This Row],[Distance]]/5)+1,"")</f>
        <v/>
      </c>
      <c r="AM91" s="913"/>
      <c r="AN91" s="913"/>
    </row>
    <row r="92" spans="1:40" s="374" customFormat="1" ht="15.75" customHeight="1" x14ac:dyDescent="0.25">
      <c r="A92" s="570" t="s">
        <v>499</v>
      </c>
      <c r="B92" s="551" t="s">
        <v>380</v>
      </c>
      <c r="C92" s="551" t="s">
        <v>524</v>
      </c>
      <c r="D92" s="551" t="s">
        <v>180</v>
      </c>
      <c r="E92" s="551" t="s">
        <v>525</v>
      </c>
      <c r="F92" s="551" t="s">
        <v>526</v>
      </c>
      <c r="G92" s="551" t="s">
        <v>527</v>
      </c>
      <c r="H92" s="579" t="s">
        <v>602</v>
      </c>
      <c r="I92" s="579" t="s">
        <v>603</v>
      </c>
      <c r="J92" s="579" t="s">
        <v>606</v>
      </c>
      <c r="K92" s="579" t="s">
        <v>607</v>
      </c>
      <c r="L92" s="551" t="s">
        <v>100</v>
      </c>
      <c r="M92" s="551" t="s">
        <v>99</v>
      </c>
      <c r="N92" s="571">
        <v>96.319829999999996</v>
      </c>
      <c r="O92" s="571">
        <v>25.6145</v>
      </c>
      <c r="P92" s="572">
        <v>65</v>
      </c>
      <c r="Q92" s="776">
        <v>4</v>
      </c>
      <c r="R92" s="776">
        <v>14</v>
      </c>
      <c r="S92" s="574">
        <f>IF(CampList[[#This Row],[HH]]&gt;0,CampList[[#This Row],[Total]]/CampList[[#This Row],[HH]],"NA")</f>
        <v>3.5</v>
      </c>
      <c r="T92" s="553" t="s">
        <v>510</v>
      </c>
      <c r="U92" s="553" t="s">
        <v>1180</v>
      </c>
      <c r="V92" s="553" t="s">
        <v>553</v>
      </c>
      <c r="W92" s="553" t="s">
        <v>802</v>
      </c>
      <c r="X92" s="794">
        <v>41122</v>
      </c>
      <c r="Y92" s="576">
        <v>1</v>
      </c>
      <c r="Z92" s="575" t="s">
        <v>504</v>
      </c>
      <c r="AA92" s="598" t="s">
        <v>841</v>
      </c>
      <c r="AB92" s="577"/>
      <c r="AC92" s="578">
        <v>42915</v>
      </c>
      <c r="AD92" s="570" t="s">
        <v>1620</v>
      </c>
      <c r="AE92" s="580" t="s">
        <v>1088</v>
      </c>
      <c r="AF92" s="402">
        <f>IF(CampList[[#This Row],[Type of Accomodation]]="camp",MAX(0,CampList[[#This Row],[HH]]-SUMIF(Table_Shelter[Pcode],CampList[[#This Row],[CP_Pcode]],Table_Shelter[HH Covered2])),0)</f>
        <v>0</v>
      </c>
      <c r="AG92" s="553"/>
      <c r="AH92" s="577">
        <f>MIN(CampList[[#This Row],[Shelter Gap]],CampList[[#This Row],[Land Status]])</f>
        <v>0</v>
      </c>
      <c r="AI92" s="553" t="str">
        <f ca="1">IFERROR(OFFSET(DistanceToCamp[Nearest Town],MATCH(CampList[[#This Row],[CP_Pcode]],DistanceToCamp[CP_Pcode],0)-1,0,1,1),"")</f>
        <v>Hpakant Town</v>
      </c>
      <c r="AJ92" s="581">
        <f ca="1">IFERROR(OFFSET(DistanceToCamp[distance],MATCH(CampList[[#This Row],[CP_Pcode]],DistanceToCamp[CP_Pcode],0)-1,0,1,1),"")</f>
        <v>0.79577754007276646</v>
      </c>
      <c r="AK92" s="582">
        <f ca="1">IFERROR(INT(CampList[[#This Row],[Distance]]/5)+1,"")</f>
        <v>1</v>
      </c>
      <c r="AM92" s="913"/>
      <c r="AN92" s="913"/>
    </row>
    <row r="93" spans="1:40" s="374" customFormat="1" ht="15.75" customHeight="1" x14ac:dyDescent="0.25">
      <c r="A93" s="570" t="s">
        <v>499</v>
      </c>
      <c r="B93" s="551" t="s">
        <v>552</v>
      </c>
      <c r="C93" s="551" t="s">
        <v>535</v>
      </c>
      <c r="D93" s="551" t="s">
        <v>230</v>
      </c>
      <c r="E93" s="551" t="s">
        <v>536</v>
      </c>
      <c r="F93" s="551" t="s">
        <v>289</v>
      </c>
      <c r="G93" s="551" t="s">
        <v>548</v>
      </c>
      <c r="H93" s="551" t="s">
        <v>750</v>
      </c>
      <c r="I93" s="551" t="s">
        <v>751</v>
      </c>
      <c r="J93" s="551" t="s">
        <v>750</v>
      </c>
      <c r="K93" s="551">
        <v>208353</v>
      </c>
      <c r="L93" s="551" t="s">
        <v>292</v>
      </c>
      <c r="M93" s="551" t="s">
        <v>291</v>
      </c>
      <c r="N93" s="571">
        <v>97.681970000000007</v>
      </c>
      <c r="O93" s="571">
        <v>23.821380000000001</v>
      </c>
      <c r="P93" s="572">
        <v>811.6</v>
      </c>
      <c r="Q93" s="776">
        <v>74</v>
      </c>
      <c r="R93" s="776">
        <v>387</v>
      </c>
      <c r="S93" s="574">
        <f>IF(CampList[[#This Row],[HH]]&gt;0,CampList[[#This Row],[Total]]/CampList[[#This Row],[HH]],"NA")</f>
        <v>5.2297297297297298</v>
      </c>
      <c r="T93" s="553" t="s">
        <v>510</v>
      </c>
      <c r="U93" s="553" t="s">
        <v>1180</v>
      </c>
      <c r="V93" s="553" t="s">
        <v>553</v>
      </c>
      <c r="W93" s="553" t="s">
        <v>802</v>
      </c>
      <c r="X93" s="575">
        <v>41609</v>
      </c>
      <c r="Y93" s="576">
        <v>2</v>
      </c>
      <c r="Z93" s="575" t="s">
        <v>459</v>
      </c>
      <c r="AA93" s="598" t="s">
        <v>841</v>
      </c>
      <c r="AB93" s="577"/>
      <c r="AC93" s="578">
        <v>42919</v>
      </c>
      <c r="AD93" s="579" t="s">
        <v>1677</v>
      </c>
      <c r="AE93" s="580" t="s">
        <v>1074</v>
      </c>
      <c r="AF93" s="402">
        <f>IF(CampList[[#This Row],[Type of Accomodation]]="camp",MAX(0,CampList[[#This Row],[HH]]-SUMIF(Table_Shelter[Pcode],CampList[[#This Row],[CP_Pcode]],Table_Shelter[HH Covered2])),0)</f>
        <v>0</v>
      </c>
      <c r="AG93" s="553"/>
      <c r="AH93" s="577">
        <f>MIN(CampList[[#This Row],[Shelter Gap]],CampList[[#This Row],[Land Status]])</f>
        <v>0</v>
      </c>
      <c r="AI93" s="553" t="str">
        <f ca="1">IFERROR(OFFSET(DistanceToCamp[Nearest Town],MATCH(CampList[[#This Row],[CP_Pcode]],DistanceToCamp[CP_Pcode],0)-1,0,1,1),"")</f>
        <v>Namhkan Town</v>
      </c>
      <c r="AJ93" s="581">
        <f ca="1">IFERROR(OFFSET(DistanceToCamp[distance],MATCH(CampList[[#This Row],[CP_Pcode]],DistanceToCamp[CP_Pcode],0)-1,0,1,1),"")</f>
        <v>1.7369508287203668</v>
      </c>
      <c r="AK93" s="582">
        <f ca="1">IFERROR(INT(CampList[[#This Row],[Distance]]/5)+1,"")</f>
        <v>1</v>
      </c>
      <c r="AM93" s="913"/>
      <c r="AN93" s="913"/>
    </row>
    <row r="94" spans="1:40" s="374" customFormat="1" ht="15.75" hidden="1" customHeight="1" x14ac:dyDescent="0.25">
      <c r="A94" s="570" t="s">
        <v>842</v>
      </c>
      <c r="B94" s="551" t="s">
        <v>552</v>
      </c>
      <c r="C94" s="551" t="s">
        <v>535</v>
      </c>
      <c r="D94" s="551" t="s">
        <v>230</v>
      </c>
      <c r="E94" s="551" t="s">
        <v>536</v>
      </c>
      <c r="F94" s="551" t="s">
        <v>230</v>
      </c>
      <c r="G94" s="551" t="s">
        <v>537</v>
      </c>
      <c r="H94" s="551" t="s">
        <v>235</v>
      </c>
      <c r="I94" s="551" t="s">
        <v>1126</v>
      </c>
      <c r="J94" s="551" t="s">
        <v>235</v>
      </c>
      <c r="K94" s="551"/>
      <c r="L94" s="551" t="s">
        <v>235</v>
      </c>
      <c r="M94" s="551" t="s">
        <v>234</v>
      </c>
      <c r="N94" s="571">
        <v>98.054946000000001</v>
      </c>
      <c r="O94" s="571">
        <v>24.008452999999999</v>
      </c>
      <c r="P94" s="592">
        <v>3396</v>
      </c>
      <c r="Q94" s="399"/>
      <c r="R94" s="720"/>
      <c r="S94" s="574" t="str">
        <f>IF(CampList[[#This Row],[HH]]&gt;0,CampList[[#This Row],[Total]]/CampList[[#This Row],[HH]],"NA")</f>
        <v>NA</v>
      </c>
      <c r="T94" s="553" t="s">
        <v>512</v>
      </c>
      <c r="U94" s="553" t="s">
        <v>1180</v>
      </c>
      <c r="V94" s="553" t="s">
        <v>12</v>
      </c>
      <c r="W94" s="553" t="s">
        <v>855</v>
      </c>
      <c r="X94" s="593"/>
      <c r="Y94" s="592"/>
      <c r="Z94" s="577"/>
      <c r="AA94" s="551" t="s">
        <v>571</v>
      </c>
      <c r="AB94" s="577"/>
      <c r="AC94" s="578">
        <v>42831</v>
      </c>
      <c r="AD94" s="570" t="s">
        <v>1514</v>
      </c>
      <c r="AE94" s="602" t="s">
        <v>1072</v>
      </c>
      <c r="AF94" s="402">
        <f>IF(CampList[[#This Row],[Type of Accomodation]]="camp",MAX(0,CampList[[#This Row],[HH]]-SUMIF(Table_Shelter[Pcode],CampList[[#This Row],[CP_Pcode]],Table_Shelter[HH Covered2])),0)</f>
        <v>0</v>
      </c>
      <c r="AG94" s="553"/>
      <c r="AH94" s="577">
        <f>MIN(CampList[[#This Row],[Shelter Gap]],CampList[[#This Row],[Land Status]])</f>
        <v>0</v>
      </c>
      <c r="AI94" s="553" t="str">
        <f ca="1">IFERROR(OFFSET(DistanceToCamp[Nearest Town],MATCH(CampList[[#This Row],[CP_Pcode]],DistanceToCamp[CP_Pcode],0)-1,0,1,1),"")</f>
        <v>Pang Hseng (Kyu Koke) Town</v>
      </c>
      <c r="AJ94" s="581">
        <f ca="1">IFERROR(OFFSET(DistanceToCamp[distance],MATCH(CampList[[#This Row],[CP_Pcode]],DistanceToCamp[CP_Pcode],0)-1,0,1,1),"")</f>
        <v>7.490291417449443</v>
      </c>
      <c r="AK94" s="582">
        <f ca="1">IFERROR(INT(CampList[[#This Row],[Distance]]/5)+1,"")</f>
        <v>2</v>
      </c>
      <c r="AM94" s="913"/>
      <c r="AN94" s="913"/>
    </row>
    <row r="95" spans="1:40" s="374" customFormat="1" ht="15.75" hidden="1" customHeight="1" x14ac:dyDescent="0.25">
      <c r="A95" s="570" t="s">
        <v>842</v>
      </c>
      <c r="B95" s="551" t="s">
        <v>380</v>
      </c>
      <c r="C95" s="551" t="s">
        <v>524</v>
      </c>
      <c r="D95" s="551" t="s">
        <v>237</v>
      </c>
      <c r="E95" s="551" t="s">
        <v>530</v>
      </c>
      <c r="F95" s="551" t="s">
        <v>27</v>
      </c>
      <c r="G95" s="551" t="s">
        <v>533</v>
      </c>
      <c r="H95" s="551"/>
      <c r="I95" s="551"/>
      <c r="J95" s="551"/>
      <c r="K95" s="551"/>
      <c r="L95" s="551" t="s">
        <v>32</v>
      </c>
      <c r="M95" s="551" t="s">
        <v>31</v>
      </c>
      <c r="N95" s="571"/>
      <c r="O95" s="571"/>
      <c r="P95" s="591"/>
      <c r="Q95" s="705"/>
      <c r="R95" s="706"/>
      <c r="S95" s="574" t="str">
        <f>IF(CampList[[#This Row],[HH]]&gt;0,CampList[[#This Row],[Total]]/CampList[[#This Row],[HH]],"NA")</f>
        <v>NA</v>
      </c>
      <c r="T95" s="553" t="s">
        <v>510</v>
      </c>
      <c r="U95" s="583" t="s">
        <v>1180</v>
      </c>
      <c r="V95" s="553" t="s">
        <v>553</v>
      </c>
      <c r="W95" s="583" t="s">
        <v>855</v>
      </c>
      <c r="X95" s="600"/>
      <c r="Y95" s="591"/>
      <c r="Z95" s="584" t="s">
        <v>1085</v>
      </c>
      <c r="AA95" s="598" t="s">
        <v>841</v>
      </c>
      <c r="AB95" s="577"/>
      <c r="AC95" s="578">
        <v>42096</v>
      </c>
      <c r="AD95" s="570" t="s">
        <v>1227</v>
      </c>
      <c r="AE95" s="602" t="s">
        <v>1072</v>
      </c>
      <c r="AF95" s="402">
        <f>IF(CampList[[#This Row],[Type of Accomodation]]="camp",MAX(0,CampList[[#This Row],[HH]]-SUMIF(Table_Shelter[Pcode],CampList[[#This Row],[CP_Pcode]],Table_Shelter[HH Covered2])),0)</f>
        <v>0</v>
      </c>
      <c r="AG95" s="553"/>
      <c r="AH95" s="577">
        <f>MIN(CampList[[#This Row],[Shelter Gap]],CampList[[#This Row],[Land Status]])</f>
        <v>0</v>
      </c>
      <c r="AI95" s="553" t="str">
        <f ca="1">IFERROR(OFFSET(DistanceToCamp[Nearest Town],MATCH(CampList[[#This Row],[CP_Pcode]],DistanceToCamp[CP_Pcode],0)-1,0,1,1),"")</f>
        <v/>
      </c>
      <c r="AJ95" s="581" t="str">
        <f ca="1">IFERROR(OFFSET(DistanceToCamp[distance],MATCH(CampList[[#This Row],[CP_Pcode]],DistanceToCamp[CP_Pcode],0)-1,0,1,1),"")</f>
        <v/>
      </c>
      <c r="AK95" s="582" t="str">
        <f ca="1">IFERROR(INT(CampList[[#This Row],[Distance]]/5)+1,"")</f>
        <v/>
      </c>
      <c r="AM95" s="913"/>
      <c r="AN95" s="913"/>
    </row>
    <row r="96" spans="1:40" s="374" customFormat="1" ht="15.75" customHeight="1" x14ac:dyDescent="0.25">
      <c r="A96" s="570" t="s">
        <v>499</v>
      </c>
      <c r="B96" s="551" t="s">
        <v>552</v>
      </c>
      <c r="C96" s="551" t="s">
        <v>535</v>
      </c>
      <c r="D96" s="551" t="s">
        <v>230</v>
      </c>
      <c r="E96" s="551" t="s">
        <v>536</v>
      </c>
      <c r="F96" s="551" t="s">
        <v>146</v>
      </c>
      <c r="G96" s="551" t="s">
        <v>543</v>
      </c>
      <c r="H96" s="551" t="s">
        <v>784</v>
      </c>
      <c r="I96" s="551" t="s">
        <v>785</v>
      </c>
      <c r="J96" s="588" t="s">
        <v>786</v>
      </c>
      <c r="K96" s="552">
        <v>219842</v>
      </c>
      <c r="L96" s="551" t="s">
        <v>371</v>
      </c>
      <c r="M96" s="551" t="s">
        <v>147</v>
      </c>
      <c r="N96" s="571">
        <v>98.220614999999995</v>
      </c>
      <c r="O96" s="571">
        <v>23.400155999999999</v>
      </c>
      <c r="P96" s="572">
        <v>3109</v>
      </c>
      <c r="Q96" s="776">
        <v>46</v>
      </c>
      <c r="R96" s="776">
        <v>252</v>
      </c>
      <c r="S96" s="574">
        <f>IF(CampList[[#This Row],[HH]]&gt;0,CampList[[#This Row],[Total]]/CampList[[#This Row],[HH]],"NA")</f>
        <v>5.4782608695652177</v>
      </c>
      <c r="T96" s="553" t="s">
        <v>510</v>
      </c>
      <c r="U96" s="553" t="s">
        <v>1180</v>
      </c>
      <c r="V96" s="553" t="s">
        <v>553</v>
      </c>
      <c r="W96" s="553" t="s">
        <v>855</v>
      </c>
      <c r="X96" s="575">
        <v>40787</v>
      </c>
      <c r="Y96" s="576">
        <v>1</v>
      </c>
      <c r="Z96" s="575" t="s">
        <v>459</v>
      </c>
      <c r="AA96" s="598" t="s">
        <v>841</v>
      </c>
      <c r="AB96" s="577"/>
      <c r="AC96" s="578">
        <v>42919</v>
      </c>
      <c r="AD96" s="570" t="s">
        <v>1684</v>
      </c>
      <c r="AE96" s="580" t="s">
        <v>1072</v>
      </c>
      <c r="AF96" s="402">
        <f>IF(CampList[[#This Row],[Type of Accomodation]]="camp",MAX(0,CampList[[#This Row],[HH]]-SUMIF(Table_Shelter[Pcode],CampList[[#This Row],[CP_Pcode]],Table_Shelter[HH Covered2])),0)</f>
        <v>41</v>
      </c>
      <c r="AG96" s="553"/>
      <c r="AH96" s="577">
        <f>MIN(CampList[[#This Row],[Shelter Gap]],CampList[[#This Row],[Land Status]])</f>
        <v>41</v>
      </c>
      <c r="AI96" s="553" t="str">
        <f ca="1">IFERROR(OFFSET(DistanceToCamp[Nearest Town],MATCH(CampList[[#This Row],[CP_Pcode]],DistanceToCamp[CP_Pcode],0)-1,0,1,1),"")</f>
        <v>Tarmoenye Town</v>
      </c>
      <c r="AJ96" s="581">
        <f ca="1">IFERROR(OFFSET(DistanceToCamp[distance],MATCH(CampList[[#This Row],[CP_Pcode]],DistanceToCamp[CP_Pcode],0)-1,0,1,1),"")</f>
        <v>23.172399462804503</v>
      </c>
      <c r="AK96" s="582">
        <f ca="1">IFERROR(INT(CampList[[#This Row],[Distance]]/5)+1,"")</f>
        <v>5</v>
      </c>
      <c r="AM96" s="913"/>
      <c r="AN96" s="913"/>
    </row>
    <row r="97" spans="1:40" s="374" customFormat="1" ht="15.75" hidden="1" customHeight="1" x14ac:dyDescent="0.25">
      <c r="A97" s="570" t="s">
        <v>842</v>
      </c>
      <c r="B97" s="551" t="s">
        <v>380</v>
      </c>
      <c r="C97" s="551" t="s">
        <v>524</v>
      </c>
      <c r="D97" s="551" t="s">
        <v>180</v>
      </c>
      <c r="E97" s="551" t="s">
        <v>525</v>
      </c>
      <c r="F97" s="551" t="s">
        <v>526</v>
      </c>
      <c r="G97" s="551" t="s">
        <v>527</v>
      </c>
      <c r="H97" s="579" t="s">
        <v>602</v>
      </c>
      <c r="I97" s="579" t="s">
        <v>603</v>
      </c>
      <c r="J97" s="579" t="s">
        <v>606</v>
      </c>
      <c r="K97" s="579" t="s">
        <v>607</v>
      </c>
      <c r="L97" s="551" t="s">
        <v>56</v>
      </c>
      <c r="M97" s="551" t="s">
        <v>55</v>
      </c>
      <c r="N97" s="571"/>
      <c r="O97" s="571"/>
      <c r="P97" s="591"/>
      <c r="Q97" s="705">
        <v>0</v>
      </c>
      <c r="R97" s="706">
        <v>0</v>
      </c>
      <c r="S97" s="574" t="str">
        <f>IF(CampList[[#This Row],[HH]]&gt;0,CampList[[#This Row],[Total]]/CampList[[#This Row],[HH]],"NA")</f>
        <v>NA</v>
      </c>
      <c r="T97" s="553" t="s">
        <v>510</v>
      </c>
      <c r="U97" s="583" t="s">
        <v>1180</v>
      </c>
      <c r="V97" s="553" t="s">
        <v>553</v>
      </c>
      <c r="W97" s="583"/>
      <c r="X97" s="600"/>
      <c r="Y97" s="591"/>
      <c r="Z97" s="601"/>
      <c r="AA97" s="598"/>
      <c r="AB97" s="577"/>
      <c r="AC97" s="604"/>
      <c r="AD97" s="570"/>
      <c r="AE97" s="602" t="s">
        <v>1006</v>
      </c>
      <c r="AF97" s="402">
        <f>IF(CampList[[#This Row],[Type of Accomodation]]="camp",MAX(0,CampList[[#This Row],[HH]]-SUMIF(Table_Shelter[Pcode],CampList[[#This Row],[CP_Pcode]],Table_Shelter[HH Covered2])),0)</f>
        <v>0</v>
      </c>
      <c r="AG97" s="553"/>
      <c r="AH97" s="577">
        <f>MIN(CampList[[#This Row],[Shelter Gap]],CampList[[#This Row],[Land Status]])</f>
        <v>0</v>
      </c>
      <c r="AI97" s="553" t="str">
        <f ca="1">IFERROR(OFFSET(DistanceToCamp[Nearest Town],MATCH(CampList[[#This Row],[CP_Pcode]],DistanceToCamp[CP_Pcode],0)-1,0,1,1),"")</f>
        <v/>
      </c>
      <c r="AJ97" s="581" t="str">
        <f ca="1">IFERROR(OFFSET(DistanceToCamp[distance],MATCH(CampList[[#This Row],[CP_Pcode]],DistanceToCamp[CP_Pcode],0)-1,0,1,1),"")</f>
        <v/>
      </c>
      <c r="AK97" s="582" t="str">
        <f ca="1">IFERROR(INT(CampList[[#This Row],[Distance]]/5)+1,"")</f>
        <v/>
      </c>
      <c r="AM97" s="913"/>
      <c r="AN97" s="913"/>
    </row>
    <row r="98" spans="1:40" s="374" customFormat="1" ht="15.75" customHeight="1" x14ac:dyDescent="0.25">
      <c r="A98" s="570" t="s">
        <v>499</v>
      </c>
      <c r="B98" s="551" t="s">
        <v>552</v>
      </c>
      <c r="C98" s="551" t="s">
        <v>535</v>
      </c>
      <c r="D98" s="551" t="s">
        <v>230</v>
      </c>
      <c r="E98" s="551" t="s">
        <v>536</v>
      </c>
      <c r="F98" s="551" t="s">
        <v>146</v>
      </c>
      <c r="G98" s="551" t="s">
        <v>543</v>
      </c>
      <c r="H98" s="599" t="s">
        <v>722</v>
      </c>
      <c r="I98" s="551" t="s">
        <v>1243</v>
      </c>
      <c r="J98" s="599" t="s">
        <v>723</v>
      </c>
      <c r="K98" s="615">
        <v>208696</v>
      </c>
      <c r="L98" s="551" t="s">
        <v>149</v>
      </c>
      <c r="M98" s="551" t="s">
        <v>148</v>
      </c>
      <c r="N98" s="571">
        <v>97.818979999999996</v>
      </c>
      <c r="O98" s="571">
        <v>23.694130000000001</v>
      </c>
      <c r="P98" s="572">
        <v>1135.7</v>
      </c>
      <c r="Q98" s="776">
        <v>63</v>
      </c>
      <c r="R98" s="776">
        <v>279</v>
      </c>
      <c r="S98" s="574">
        <f>IF(CampList[[#This Row],[HH]]&gt;0,CampList[[#This Row],[Total]]/CampList[[#This Row],[HH]],"NA")</f>
        <v>4.4285714285714288</v>
      </c>
      <c r="T98" s="553" t="s">
        <v>510</v>
      </c>
      <c r="U98" s="553" t="s">
        <v>1180</v>
      </c>
      <c r="V98" s="553" t="s">
        <v>553</v>
      </c>
      <c r="W98" s="553" t="s">
        <v>855</v>
      </c>
      <c r="X98" s="575">
        <v>40878</v>
      </c>
      <c r="Y98" s="576">
        <v>1</v>
      </c>
      <c r="Z98" s="575" t="s">
        <v>459</v>
      </c>
      <c r="AA98" s="598" t="s">
        <v>841</v>
      </c>
      <c r="AB98" s="577"/>
      <c r="AC98" s="578">
        <v>42919</v>
      </c>
      <c r="AD98" s="570" t="s">
        <v>1685</v>
      </c>
      <c r="AE98" s="580" t="s">
        <v>1074</v>
      </c>
      <c r="AF98" s="402">
        <f>IF(CampList[[#This Row],[Type of Accomodation]]="camp",MAX(0,CampList[[#This Row],[HH]]-SUMIF(Table_Shelter[Pcode],CampList[[#This Row],[CP_Pcode]],Table_Shelter[HH Covered2])),0)</f>
        <v>37</v>
      </c>
      <c r="AG98" s="553"/>
      <c r="AH98" s="577">
        <f>MIN(CampList[[#This Row],[Shelter Gap]],CampList[[#This Row],[Land Status]])</f>
        <v>37</v>
      </c>
      <c r="AI98" s="553" t="str">
        <f ca="1">IFERROR(OFFSET(DistanceToCamp[Nearest Town],MATCH(CampList[[#This Row],[CP_Pcode]],DistanceToCamp[CP_Pcode],0)-1,0,1,1),"")</f>
        <v>Namhkan Town</v>
      </c>
      <c r="AJ98" s="581">
        <f ca="1">IFERROR(OFFSET(DistanceToCamp[distance],MATCH(CampList[[#This Row],[CP_Pcode]],DistanceToCamp[CP_Pcode],0)-1,0,1,1),"")</f>
        <v>21.148671772283631</v>
      </c>
      <c r="AK98" s="582">
        <f ca="1">IFERROR(INT(CampList[[#This Row],[Distance]]/5)+1,"")</f>
        <v>5</v>
      </c>
      <c r="AM98" s="913"/>
      <c r="AN98" s="913"/>
    </row>
    <row r="99" spans="1:40" s="374" customFormat="1" ht="15.75" hidden="1" customHeight="1" x14ac:dyDescent="0.25">
      <c r="A99" s="570" t="s">
        <v>842</v>
      </c>
      <c r="B99" s="551" t="s">
        <v>380</v>
      </c>
      <c r="C99" s="551" t="s">
        <v>524</v>
      </c>
      <c r="D99" s="551" t="s">
        <v>5</v>
      </c>
      <c r="E99" s="551" t="s">
        <v>528</v>
      </c>
      <c r="F99" s="551" t="s">
        <v>151</v>
      </c>
      <c r="G99" s="551" t="s">
        <v>538</v>
      </c>
      <c r="H99" s="579"/>
      <c r="I99" s="579"/>
      <c r="J99" s="579"/>
      <c r="K99" s="579"/>
      <c r="L99" s="551" t="s">
        <v>883</v>
      </c>
      <c r="M99" s="551" t="s">
        <v>882</v>
      </c>
      <c r="N99" s="571"/>
      <c r="O99" s="611"/>
      <c r="P99" s="591"/>
      <c r="Q99" s="705">
        <v>0</v>
      </c>
      <c r="R99" s="706">
        <v>0</v>
      </c>
      <c r="S99" s="574" t="str">
        <f>IF(CampList[[#This Row],[HH]]&gt;0,CampList[[#This Row],[Total]]/CampList[[#This Row],[HH]],"NA")</f>
        <v>NA</v>
      </c>
      <c r="T99" s="553" t="s">
        <v>510</v>
      </c>
      <c r="U99" s="583" t="s">
        <v>1180</v>
      </c>
      <c r="V99" s="553" t="s">
        <v>855</v>
      </c>
      <c r="W99" s="583"/>
      <c r="X99" s="600"/>
      <c r="Y99" s="591"/>
      <c r="Z99" s="601"/>
      <c r="AA99" s="598" t="s">
        <v>841</v>
      </c>
      <c r="AB99" s="577"/>
      <c r="AC99" s="578">
        <v>41677</v>
      </c>
      <c r="AD99" s="570" t="s">
        <v>942</v>
      </c>
      <c r="AE99" s="602" t="s">
        <v>1006</v>
      </c>
      <c r="AF99" s="402">
        <f>IF(CampList[[#This Row],[Type of Accomodation]]="camp",MAX(0,CampList[[#This Row],[HH]]-SUMIF(Table_Shelter[Pcode],CampList[[#This Row],[CP_Pcode]],Table_Shelter[HH Covered2])),0)</f>
        <v>0</v>
      </c>
      <c r="AG99" s="553"/>
      <c r="AH99" s="577">
        <f>MIN(CampList[[#This Row],[Shelter Gap]],CampList[[#This Row],[Land Status]])</f>
        <v>0</v>
      </c>
      <c r="AI99" s="553" t="str">
        <f ca="1">IFERROR(OFFSET(DistanceToCamp[Nearest Town],MATCH(CampList[[#This Row],[CP_Pcode]],DistanceToCamp[CP_Pcode],0)-1,0,1,1),"")</f>
        <v/>
      </c>
      <c r="AJ99" s="581" t="str">
        <f ca="1">IFERROR(OFFSET(DistanceToCamp[distance],MATCH(CampList[[#This Row],[CP_Pcode]],DistanceToCamp[CP_Pcode],0)-1,0,1,1),"")</f>
        <v/>
      </c>
      <c r="AK99" s="582" t="str">
        <f ca="1">IFERROR(INT(CampList[[#This Row],[Distance]]/5)+1,"")</f>
        <v/>
      </c>
      <c r="AM99" s="913"/>
      <c r="AN99" s="913"/>
    </row>
    <row r="100" spans="1:40" s="374" customFormat="1" ht="15.75" customHeight="1" x14ac:dyDescent="0.25">
      <c r="A100" s="570" t="s">
        <v>499</v>
      </c>
      <c r="B100" s="551" t="s">
        <v>552</v>
      </c>
      <c r="C100" s="551" t="s">
        <v>535</v>
      </c>
      <c r="D100" s="551" t="s">
        <v>540</v>
      </c>
      <c r="E100" s="551" t="s">
        <v>541</v>
      </c>
      <c r="F100" s="551" t="s">
        <v>166</v>
      </c>
      <c r="G100" s="551" t="s">
        <v>542</v>
      </c>
      <c r="H100" s="599" t="s">
        <v>802</v>
      </c>
      <c r="I100" s="616" t="s">
        <v>1127</v>
      </c>
      <c r="J100" s="552" t="s">
        <v>715</v>
      </c>
      <c r="K100" s="552" t="s">
        <v>1359</v>
      </c>
      <c r="L100" s="551" t="s">
        <v>167</v>
      </c>
      <c r="M100" s="551" t="s">
        <v>165</v>
      </c>
      <c r="N100" s="571">
        <v>97.124403000000001</v>
      </c>
      <c r="O100" s="571">
        <v>23.250678000000001</v>
      </c>
      <c r="P100" s="572">
        <v>1250</v>
      </c>
      <c r="Q100" s="776">
        <v>35</v>
      </c>
      <c r="R100" s="776">
        <v>178</v>
      </c>
      <c r="S100" s="574">
        <f>IF(CampList[[#This Row],[HH]]&gt;0,CampList[[#This Row],[Total]]/CampList[[#This Row],[HH]],"NA")</f>
        <v>5.0857142857142854</v>
      </c>
      <c r="T100" s="553" t="s">
        <v>510</v>
      </c>
      <c r="U100" s="553" t="s">
        <v>1180</v>
      </c>
      <c r="V100" s="553" t="s">
        <v>553</v>
      </c>
      <c r="W100" s="553" t="s">
        <v>802</v>
      </c>
      <c r="X100" s="575">
        <v>41000</v>
      </c>
      <c r="Y100" s="576">
        <v>1</v>
      </c>
      <c r="Z100" s="575" t="s">
        <v>459</v>
      </c>
      <c r="AA100" s="598" t="s">
        <v>841</v>
      </c>
      <c r="AB100" s="577"/>
      <c r="AC100" s="578">
        <v>42919</v>
      </c>
      <c r="AD100" s="570" t="s">
        <v>1692</v>
      </c>
      <c r="AE100" s="580" t="s">
        <v>1073</v>
      </c>
      <c r="AF100" s="402">
        <f>IF(CampList[[#This Row],[Type of Accomodation]]="camp",MAX(0,CampList[[#This Row],[HH]]-SUMIF(Table_Shelter[Pcode],CampList[[#This Row],[CP_Pcode]],Table_Shelter[HH Covered2])),0)</f>
        <v>0</v>
      </c>
      <c r="AG100" s="553"/>
      <c r="AH100" s="577">
        <f>MIN(CampList[[#This Row],[Shelter Gap]],CampList[[#This Row],[Land Status]])</f>
        <v>0</v>
      </c>
      <c r="AI100" s="553" t="str">
        <f ca="1">IFERROR(OFFSET(DistanceToCamp[Nearest Town],MATCH(CampList[[#This Row],[CP_Pcode]],DistanceToCamp[CP_Pcode],0)-1,0,1,1),"")</f>
        <v>Manton Town</v>
      </c>
      <c r="AJ100" s="581">
        <f ca="1">IFERROR(OFFSET(DistanceToCamp[distance],MATCH(CampList[[#This Row],[CP_Pcode]],DistanceToCamp[CP_Pcode],0)-1,0,1,1),"")</f>
        <v>0.43878855438285824</v>
      </c>
      <c r="AK100" s="582">
        <f ca="1">IFERROR(INT(CampList[[#This Row],[Distance]]/5)+1,"")</f>
        <v>1</v>
      </c>
      <c r="AM100" s="913"/>
      <c r="AN100" s="913"/>
    </row>
    <row r="101" spans="1:40" s="374" customFormat="1" ht="15.75" hidden="1" customHeight="1" x14ac:dyDescent="0.25">
      <c r="A101" s="570" t="s">
        <v>842</v>
      </c>
      <c r="B101" s="551" t="s">
        <v>552</v>
      </c>
      <c r="C101" s="551" t="s">
        <v>535</v>
      </c>
      <c r="D101" s="551" t="s">
        <v>230</v>
      </c>
      <c r="E101" s="551" t="s">
        <v>541</v>
      </c>
      <c r="F101" s="551" t="s">
        <v>230</v>
      </c>
      <c r="G101" s="551" t="s">
        <v>542</v>
      </c>
      <c r="H101" s="551" t="s">
        <v>1067</v>
      </c>
      <c r="I101" s="551" t="s">
        <v>1068</v>
      </c>
      <c r="J101" s="551" t="s">
        <v>1069</v>
      </c>
      <c r="K101" s="551"/>
      <c r="L101" s="551" t="s">
        <v>169</v>
      </c>
      <c r="M101" s="551" t="s">
        <v>168</v>
      </c>
      <c r="N101" s="571">
        <v>98.116817999999995</v>
      </c>
      <c r="O101" s="571">
        <v>23.917631</v>
      </c>
      <c r="P101" s="592"/>
      <c r="Q101" s="705"/>
      <c r="R101" s="706"/>
      <c r="S101" s="574" t="str">
        <f>IF(CampList[[#This Row],[HH]]&gt;0,CampList[[#This Row],[Total]]/CampList[[#This Row],[HH]],"NA")</f>
        <v>NA</v>
      </c>
      <c r="T101" s="553" t="s">
        <v>510</v>
      </c>
      <c r="U101" s="553" t="s">
        <v>1180</v>
      </c>
      <c r="V101" s="553" t="s">
        <v>12</v>
      </c>
      <c r="W101" s="553" t="s">
        <v>855</v>
      </c>
      <c r="X101" s="593"/>
      <c r="Y101" s="592"/>
      <c r="Z101" s="577"/>
      <c r="AA101" s="598" t="s">
        <v>841</v>
      </c>
      <c r="AB101" s="577"/>
      <c r="AC101" s="578">
        <v>42831</v>
      </c>
      <c r="AD101" s="570" t="s">
        <v>1513</v>
      </c>
      <c r="AE101" s="602" t="s">
        <v>1074</v>
      </c>
      <c r="AF101" s="402">
        <f>IF(CampList[[#This Row],[Type of Accomodation]]="camp",MAX(0,CampList[[#This Row],[HH]]-SUMIF(Table_Shelter[Pcode],CampList[[#This Row],[CP_Pcode]],Table_Shelter[HH Covered2])),0)</f>
        <v>0</v>
      </c>
      <c r="AG101" s="553"/>
      <c r="AH101" s="577">
        <f>MIN(CampList[[#This Row],[Shelter Gap]],CampList[[#This Row],[Land Status]])</f>
        <v>0</v>
      </c>
      <c r="AI101" s="553" t="str">
        <f ca="1">IFERROR(OFFSET(DistanceToCamp[Nearest Town],MATCH(CampList[[#This Row],[CP_Pcode]],DistanceToCamp[CP_Pcode],0)-1,0,1,1),"")</f>
        <v>Pang Hseng (Kyu Koke) Town</v>
      </c>
      <c r="AJ101" s="581">
        <f ca="1">IFERROR(OFFSET(DistanceToCamp[distance],MATCH(CampList[[#This Row],[CP_Pcode]],DistanceToCamp[CP_Pcode],0)-1,0,1,1),"")</f>
        <v>18.405283544772924</v>
      </c>
      <c r="AK101" s="582">
        <f ca="1">IFERROR(INT(CampList[[#This Row],[Distance]]/5)+1,"")</f>
        <v>4</v>
      </c>
      <c r="AM101" s="913"/>
      <c r="AN101" s="913"/>
    </row>
    <row r="102" spans="1:40" s="374" customFormat="1" ht="15.75" hidden="1" customHeight="1" x14ac:dyDescent="0.25">
      <c r="A102" s="570" t="s">
        <v>842</v>
      </c>
      <c r="B102" s="551" t="s">
        <v>380</v>
      </c>
      <c r="C102" s="551" t="s">
        <v>524</v>
      </c>
      <c r="D102" s="551" t="s">
        <v>5</v>
      </c>
      <c r="E102" s="551" t="s">
        <v>528</v>
      </c>
      <c r="F102" s="551" t="s">
        <v>5</v>
      </c>
      <c r="G102" s="551" t="s">
        <v>529</v>
      </c>
      <c r="H102" s="551"/>
      <c r="I102" s="551"/>
      <c r="J102" s="551"/>
      <c r="K102" s="551"/>
      <c r="L102" s="551" t="s">
        <v>16</v>
      </c>
      <c r="M102" s="551" t="s">
        <v>15</v>
      </c>
      <c r="N102" s="571">
        <v>97.221556500999995</v>
      </c>
      <c r="O102" s="571">
        <v>24.262418020999998</v>
      </c>
      <c r="P102" s="591"/>
      <c r="Q102" s="705"/>
      <c r="R102" s="706"/>
      <c r="S102" s="574" t="str">
        <f>IF(CampList[[#This Row],[HH]]&gt;0,CampList[[#This Row],[Total]]/CampList[[#This Row],[HH]],"NA")</f>
        <v>NA</v>
      </c>
      <c r="T102" s="553" t="s">
        <v>510</v>
      </c>
      <c r="U102" s="583" t="s">
        <v>1180</v>
      </c>
      <c r="V102" s="553" t="s">
        <v>553</v>
      </c>
      <c r="W102" s="583"/>
      <c r="X102" s="600"/>
      <c r="Y102" s="591"/>
      <c r="Z102" s="601"/>
      <c r="AA102" s="598" t="s">
        <v>841</v>
      </c>
      <c r="AB102" s="577"/>
      <c r="AC102" s="578">
        <v>41661</v>
      </c>
      <c r="AD102" s="570" t="s">
        <v>936</v>
      </c>
      <c r="AE102" s="602" t="s">
        <v>1006</v>
      </c>
      <c r="AF102" s="402">
        <f>IF(CampList[[#This Row],[Type of Accomodation]]="camp",MAX(0,CampList[[#This Row],[HH]]-SUMIF(Table_Shelter[Pcode],CampList[[#This Row],[CP_Pcode]],Table_Shelter[HH Covered2])),0)</f>
        <v>0</v>
      </c>
      <c r="AG102" s="553"/>
      <c r="AH102" s="577">
        <f>MIN(CampList[[#This Row],[Shelter Gap]],CampList[[#This Row],[Land Status]])</f>
        <v>0</v>
      </c>
      <c r="AI102" s="553" t="str">
        <f ca="1">IFERROR(OFFSET(DistanceToCamp[Nearest Town],MATCH(CampList[[#This Row],[CP_Pcode]],DistanceToCamp[CP_Pcode],0)-1,0,1,1),"")</f>
        <v/>
      </c>
      <c r="AJ102" s="581" t="str">
        <f ca="1">IFERROR(OFFSET(DistanceToCamp[distance],MATCH(CampList[[#This Row],[CP_Pcode]],DistanceToCamp[CP_Pcode],0)-1,0,1,1),"")</f>
        <v/>
      </c>
      <c r="AK102" s="582" t="str">
        <f ca="1">IFERROR(INT(CampList[[#This Row],[Distance]]/5)+1,"")</f>
        <v/>
      </c>
      <c r="AM102" s="913"/>
      <c r="AN102" s="913"/>
    </row>
    <row r="103" spans="1:40" s="374" customFormat="1" ht="15.75" hidden="1" customHeight="1" x14ac:dyDescent="0.25">
      <c r="A103" s="570" t="s">
        <v>842</v>
      </c>
      <c r="B103" s="551" t="s">
        <v>552</v>
      </c>
      <c r="C103" s="551" t="s">
        <v>535</v>
      </c>
      <c r="D103" s="551" t="s">
        <v>230</v>
      </c>
      <c r="E103" s="551" t="s">
        <v>541</v>
      </c>
      <c r="F103" s="551" t="s">
        <v>230</v>
      </c>
      <c r="G103" s="551" t="s">
        <v>542</v>
      </c>
      <c r="H103" s="551" t="s">
        <v>1064</v>
      </c>
      <c r="I103" s="551" t="s">
        <v>1065</v>
      </c>
      <c r="J103" s="551" t="s">
        <v>1066</v>
      </c>
      <c r="K103" s="551">
        <v>208167</v>
      </c>
      <c r="L103" s="551" t="s">
        <v>171</v>
      </c>
      <c r="M103" s="551" t="s">
        <v>170</v>
      </c>
      <c r="N103" s="571">
        <v>98.129380999999995</v>
      </c>
      <c r="O103" s="571">
        <v>23.978088</v>
      </c>
      <c r="P103" s="592"/>
      <c r="Q103" s="705"/>
      <c r="R103" s="706"/>
      <c r="S103" s="574" t="str">
        <f>IF(CampList[[#This Row],[HH]]&gt;0,CampList[[#This Row],[Total]]/CampList[[#This Row],[HH]],"NA")</f>
        <v>NA</v>
      </c>
      <c r="T103" s="553" t="s">
        <v>510</v>
      </c>
      <c r="U103" s="553" t="s">
        <v>1180</v>
      </c>
      <c r="V103" s="553" t="s">
        <v>12</v>
      </c>
      <c r="W103" s="553" t="s">
        <v>855</v>
      </c>
      <c r="X103" s="593"/>
      <c r="Y103" s="592"/>
      <c r="Z103" s="577"/>
      <c r="AA103" s="598" t="s">
        <v>841</v>
      </c>
      <c r="AB103" s="577"/>
      <c r="AC103" s="578">
        <v>42831</v>
      </c>
      <c r="AD103" s="570" t="s">
        <v>1513</v>
      </c>
      <c r="AE103" s="602" t="s">
        <v>1074</v>
      </c>
      <c r="AF103" s="402">
        <f>IF(CampList[[#This Row],[Type of Accomodation]]="camp",MAX(0,CampList[[#This Row],[HH]]-SUMIF(Table_Shelter[Pcode],CampList[[#This Row],[CP_Pcode]],Table_Shelter[HH Covered2])),0)</f>
        <v>0</v>
      </c>
      <c r="AG103" s="553"/>
      <c r="AH103" s="577">
        <f>MIN(CampList[[#This Row],[Shelter Gap]],CampList[[#This Row],[Land Status]])</f>
        <v>0</v>
      </c>
      <c r="AI103" s="553" t="str">
        <f ca="1">IFERROR(OFFSET(DistanceToCamp[Nearest Town],MATCH(CampList[[#This Row],[CP_Pcode]],DistanceToCamp[CP_Pcode],0)-1,0,1,1),"")</f>
        <v>Pang Hseng (Kyu Koke) Town</v>
      </c>
      <c r="AJ103" s="581">
        <f ca="1">IFERROR(OFFSET(DistanceToCamp[distance],MATCH(CampList[[#This Row],[CP_Pcode]],DistanceToCamp[CP_Pcode],0)-1,0,1,1),"")</f>
        <v>12.794700705104317</v>
      </c>
      <c r="AK103" s="582">
        <f ca="1">IFERROR(INT(CampList[[#This Row],[Distance]]/5)+1,"")</f>
        <v>3</v>
      </c>
      <c r="AM103" s="913"/>
      <c r="AN103" s="913"/>
    </row>
    <row r="104" spans="1:40" s="374" customFormat="1" ht="15.75" customHeight="1" x14ac:dyDescent="0.25">
      <c r="A104" s="570" t="s">
        <v>499</v>
      </c>
      <c r="B104" s="551" t="s">
        <v>380</v>
      </c>
      <c r="C104" s="551" t="s">
        <v>524</v>
      </c>
      <c r="D104" s="551" t="s">
        <v>180</v>
      </c>
      <c r="E104" s="551" t="s">
        <v>525</v>
      </c>
      <c r="F104" s="551" t="s">
        <v>526</v>
      </c>
      <c r="G104" s="551" t="s">
        <v>527</v>
      </c>
      <c r="H104" s="579" t="s">
        <v>608</v>
      </c>
      <c r="I104" s="579" t="s">
        <v>609</v>
      </c>
      <c r="J104" s="579" t="s">
        <v>608</v>
      </c>
      <c r="K104" s="579">
        <v>166776</v>
      </c>
      <c r="L104" s="551" t="s">
        <v>108</v>
      </c>
      <c r="M104" s="551" t="s">
        <v>107</v>
      </c>
      <c r="N104" s="571">
        <v>96.341352999999998</v>
      </c>
      <c r="O104" s="571">
        <v>25.613894999999999</v>
      </c>
      <c r="P104" s="572">
        <v>251</v>
      </c>
      <c r="Q104" s="776">
        <v>50</v>
      </c>
      <c r="R104" s="776">
        <v>218</v>
      </c>
      <c r="S104" s="574">
        <f>IF(CampList[[#This Row],[HH]]&gt;0,CampList[[#This Row],[Total]]/CampList[[#This Row],[HH]],"NA")</f>
        <v>4.3600000000000003</v>
      </c>
      <c r="T104" s="553" t="s">
        <v>510</v>
      </c>
      <c r="U104" s="553" t="s">
        <v>1180</v>
      </c>
      <c r="V104" s="553" t="s">
        <v>553</v>
      </c>
      <c r="W104" s="553" t="s">
        <v>802</v>
      </c>
      <c r="X104" s="794">
        <v>41487</v>
      </c>
      <c r="Y104" s="576">
        <v>3</v>
      </c>
      <c r="Z104" s="575" t="s">
        <v>1085</v>
      </c>
      <c r="AA104" s="598" t="s">
        <v>841</v>
      </c>
      <c r="AB104" s="577"/>
      <c r="AC104" s="578">
        <v>42915</v>
      </c>
      <c r="AD104" s="570" t="s">
        <v>1586</v>
      </c>
      <c r="AE104" s="580" t="s">
        <v>1088</v>
      </c>
      <c r="AF104" s="402">
        <f>IF(CampList[[#This Row],[Type of Accomodation]]="camp",MAX(0,CampList[[#This Row],[HH]]-SUMIF(Table_Shelter[Pcode],CampList[[#This Row],[CP_Pcode]],Table_Shelter[HH Covered2])),0)</f>
        <v>0</v>
      </c>
      <c r="AG104" s="553"/>
      <c r="AH104" s="577">
        <f>MIN(CampList[[#This Row],[Shelter Gap]],CampList[[#This Row],[Land Status]])</f>
        <v>0</v>
      </c>
      <c r="AI104" s="553" t="str">
        <f ca="1">IFERROR(OFFSET(DistanceToCamp[Nearest Town],MATCH(CampList[[#This Row],[CP_Pcode]],DistanceToCamp[CP_Pcode],0)-1,0,1,1),"")</f>
        <v>Hpakant Town</v>
      </c>
      <c r="AJ104" s="581">
        <f ca="1">IFERROR(OFFSET(DistanceToCamp[distance],MATCH(CampList[[#This Row],[CP_Pcode]],DistanceToCamp[CP_Pcode],0)-1,0,1,1),"")</f>
        <v>2.9334852607184256</v>
      </c>
      <c r="AK104" s="582">
        <f ca="1">IFERROR(INT(CampList[[#This Row],[Distance]]/5)+1,"")</f>
        <v>1</v>
      </c>
      <c r="AM104" s="913"/>
      <c r="AN104" s="913"/>
    </row>
    <row r="105" spans="1:40" s="374" customFormat="1" ht="15.75" hidden="1" customHeight="1" x14ac:dyDescent="0.25">
      <c r="A105" s="570" t="s">
        <v>842</v>
      </c>
      <c r="B105" s="551" t="s">
        <v>552</v>
      </c>
      <c r="C105" s="551" t="s">
        <v>535</v>
      </c>
      <c r="D105" s="551" t="s">
        <v>230</v>
      </c>
      <c r="E105" s="551" t="s">
        <v>536</v>
      </c>
      <c r="F105" s="551" t="s">
        <v>230</v>
      </c>
      <c r="G105" s="551" t="s">
        <v>537</v>
      </c>
      <c r="H105" s="599" t="s">
        <v>814</v>
      </c>
      <c r="I105" s="551" t="s">
        <v>1244</v>
      </c>
      <c r="J105" s="599" t="s">
        <v>815</v>
      </c>
      <c r="K105" s="599"/>
      <c r="L105" s="551" t="s">
        <v>233</v>
      </c>
      <c r="M105" s="551" t="s">
        <v>232</v>
      </c>
      <c r="N105" s="571">
        <v>98.320651999999995</v>
      </c>
      <c r="O105" s="571">
        <v>24.101320999999999</v>
      </c>
      <c r="P105" s="587">
        <v>2979</v>
      </c>
      <c r="Q105" s="705"/>
      <c r="R105" s="706"/>
      <c r="S105" s="574" t="str">
        <f>IF(CampList[[#This Row],[HH]]&gt;0,CampList[[#This Row],[Total]]/CampList[[#This Row],[HH]],"NA")</f>
        <v>NA</v>
      </c>
      <c r="T105" s="553" t="s">
        <v>512</v>
      </c>
      <c r="U105" s="583" t="s">
        <v>1180</v>
      </c>
      <c r="V105" s="553" t="s">
        <v>553</v>
      </c>
      <c r="W105" s="583" t="s">
        <v>802</v>
      </c>
      <c r="X105" s="584">
        <v>41091</v>
      </c>
      <c r="Y105" s="585">
        <v>1</v>
      </c>
      <c r="Z105" s="584" t="s">
        <v>459</v>
      </c>
      <c r="AA105" s="598" t="s">
        <v>841</v>
      </c>
      <c r="AB105" s="577"/>
      <c r="AC105" s="578">
        <v>42536</v>
      </c>
      <c r="AD105" s="570" t="s">
        <v>1371</v>
      </c>
      <c r="AE105" s="580" t="s">
        <v>1072</v>
      </c>
      <c r="AF105" s="402">
        <f>IF(CampList[[#This Row],[Type of Accomodation]]="camp",MAX(0,CampList[[#This Row],[HH]]-SUMIF(Table_Shelter[Pcode],CampList[[#This Row],[CP_Pcode]],Table_Shelter[HH Covered2])),0)</f>
        <v>0</v>
      </c>
      <c r="AG105" s="553"/>
      <c r="AH105" s="577">
        <f>MIN(CampList[[#This Row],[Shelter Gap]],CampList[[#This Row],[Land Status]])</f>
        <v>0</v>
      </c>
      <c r="AI105" s="553" t="str">
        <f ca="1">IFERROR(OFFSET(DistanceToCamp[Nearest Town],MATCH(CampList[[#This Row],[CP_Pcode]],DistanceToCamp[CP_Pcode],0)-1,0,1,1),"")</f>
        <v>Monekoe Town</v>
      </c>
      <c r="AJ105" s="581">
        <f ca="1">IFERROR(OFFSET(DistanceToCamp[distance],MATCH(CampList[[#This Row],[CP_Pcode]],DistanceToCamp[CP_Pcode],0)-1,0,1,1),"")</f>
        <v>1.789574394782699</v>
      </c>
      <c r="AK105" s="582">
        <f ca="1">IFERROR(INT(CampList[[#This Row],[Distance]]/5)+1,"")</f>
        <v>1</v>
      </c>
      <c r="AM105" s="913"/>
      <c r="AN105" s="913"/>
    </row>
    <row r="106" spans="1:40" s="374" customFormat="1" ht="15.75" customHeight="1" x14ac:dyDescent="0.25">
      <c r="A106" s="570" t="s">
        <v>499</v>
      </c>
      <c r="B106" s="551" t="s">
        <v>380</v>
      </c>
      <c r="C106" s="551" t="s">
        <v>524</v>
      </c>
      <c r="D106" s="551" t="s">
        <v>180</v>
      </c>
      <c r="E106" s="551" t="s">
        <v>525</v>
      </c>
      <c r="F106" s="551" t="s">
        <v>526</v>
      </c>
      <c r="G106" s="551" t="s">
        <v>527</v>
      </c>
      <c r="H106" s="579" t="s">
        <v>608</v>
      </c>
      <c r="I106" s="579" t="s">
        <v>609</v>
      </c>
      <c r="J106" s="551" t="s">
        <v>608</v>
      </c>
      <c r="K106" s="590">
        <v>166776</v>
      </c>
      <c r="L106" s="551" t="s">
        <v>140</v>
      </c>
      <c r="M106" s="551" t="s">
        <v>139</v>
      </c>
      <c r="N106" s="571">
        <v>96.306910999999999</v>
      </c>
      <c r="O106" s="571">
        <v>25.599250000000001</v>
      </c>
      <c r="P106" s="572">
        <v>0</v>
      </c>
      <c r="Q106" s="776">
        <v>11</v>
      </c>
      <c r="R106" s="776">
        <v>48</v>
      </c>
      <c r="S106" s="574">
        <f>IF(CampList[[#This Row],[HH]]&gt;0,CampList[[#This Row],[Total]]/CampList[[#This Row],[HH]],"NA")</f>
        <v>4.3636363636363633</v>
      </c>
      <c r="T106" s="553" t="s">
        <v>510</v>
      </c>
      <c r="U106" s="553" t="s">
        <v>1180</v>
      </c>
      <c r="V106" s="553" t="s">
        <v>553</v>
      </c>
      <c r="W106" s="553" t="s">
        <v>802</v>
      </c>
      <c r="X106" s="794">
        <v>41122</v>
      </c>
      <c r="Y106" s="576">
        <v>1</v>
      </c>
      <c r="Z106" s="575" t="s">
        <v>459</v>
      </c>
      <c r="AA106" s="551" t="s">
        <v>841</v>
      </c>
      <c r="AB106" s="577"/>
      <c r="AC106" s="578">
        <v>42919</v>
      </c>
      <c r="AD106" s="579" t="s">
        <v>1666</v>
      </c>
      <c r="AE106" s="580" t="s">
        <v>1088</v>
      </c>
      <c r="AF106" s="402">
        <f>IF(CampList[[#This Row],[Type of Accomodation]]="camp",MAX(0,CampList[[#This Row],[HH]]-SUMIF(Table_Shelter[Pcode],CampList[[#This Row],[CP_Pcode]],Table_Shelter[HH Covered2])),0)</f>
        <v>1</v>
      </c>
      <c r="AG106" s="553"/>
      <c r="AH106" s="577">
        <f>MIN(CampList[[#This Row],[Shelter Gap]],CampList[[#This Row],[Land Status]])</f>
        <v>1</v>
      </c>
      <c r="AI106" s="553" t="str">
        <f ca="1">IFERROR(OFFSET(DistanceToCamp[Nearest Town],MATCH(CampList[[#This Row],[CP_Pcode]],DistanceToCamp[CP_Pcode],0)-1,0,1,1),"")</f>
        <v>Hpakant Town</v>
      </c>
      <c r="AJ106" s="581">
        <f ca="1">IFERROR(OFFSET(DistanceToCamp[distance],MATCH(CampList[[#This Row],[CP_Pcode]],DistanceToCamp[CP_Pcode],0)-1,0,1,1),"")</f>
        <v>1.5942018764815451</v>
      </c>
      <c r="AK106" s="582">
        <f ca="1">IFERROR(INT(CampList[[#This Row],[Distance]]/5)+1,"")</f>
        <v>1</v>
      </c>
      <c r="AM106" s="913"/>
      <c r="AN106" s="913"/>
    </row>
    <row r="107" spans="1:40" s="374" customFormat="1" ht="15.75" hidden="1" customHeight="1" x14ac:dyDescent="0.25">
      <c r="A107" s="570" t="s">
        <v>842</v>
      </c>
      <c r="B107" s="551" t="s">
        <v>380</v>
      </c>
      <c r="C107" s="551" t="s">
        <v>524</v>
      </c>
      <c r="D107" s="551" t="s">
        <v>300</v>
      </c>
      <c r="E107" s="551" t="s">
        <v>545</v>
      </c>
      <c r="F107" s="551" t="s">
        <v>144</v>
      </c>
      <c r="G107" s="551" t="s">
        <v>546</v>
      </c>
      <c r="H107" s="579" t="s">
        <v>782</v>
      </c>
      <c r="I107" s="579" t="s">
        <v>783</v>
      </c>
      <c r="J107" s="579" t="s">
        <v>145</v>
      </c>
      <c r="K107" s="579">
        <v>168236</v>
      </c>
      <c r="L107" s="551" t="s">
        <v>145</v>
      </c>
      <c r="M107" s="551" t="s">
        <v>143</v>
      </c>
      <c r="N107" s="571">
        <v>98.144502500000002</v>
      </c>
      <c r="O107" s="571">
        <v>26.890058</v>
      </c>
      <c r="P107" s="592">
        <v>1393</v>
      </c>
      <c r="Q107" s="705"/>
      <c r="R107" s="706"/>
      <c r="S107" s="574" t="str">
        <f>IF(CampList[[#This Row],[HH]]&gt;0,CampList[[#This Row],[Total]]/CampList[[#This Row],[HH]],"NA")</f>
        <v>NA</v>
      </c>
      <c r="T107" s="553" t="s">
        <v>510</v>
      </c>
      <c r="U107" s="553" t="s">
        <v>1180</v>
      </c>
      <c r="V107" s="553" t="s">
        <v>553</v>
      </c>
      <c r="W107" s="553" t="s">
        <v>855</v>
      </c>
      <c r="X107" s="593"/>
      <c r="Y107" s="592"/>
      <c r="Z107" s="577"/>
      <c r="AA107" s="598" t="s">
        <v>840</v>
      </c>
      <c r="AB107" s="577"/>
      <c r="AC107" s="578">
        <v>42768</v>
      </c>
      <c r="AD107" s="570" t="s">
        <v>1500</v>
      </c>
      <c r="AE107" s="602" t="s">
        <v>1088</v>
      </c>
      <c r="AF107" s="402">
        <f>IF(CampList[[#This Row],[Type of Accomodation]]="camp",MAX(0,CampList[[#This Row],[HH]]-SUMIF(Table_Shelter[Pcode],CampList[[#This Row],[CP_Pcode]],Table_Shelter[HH Covered2])),0)</f>
        <v>0</v>
      </c>
      <c r="AG107" s="553"/>
      <c r="AH107" s="577">
        <f>MIN(CampList[[#This Row],[Shelter Gap]],CampList[[#This Row],[Land Status]])</f>
        <v>0</v>
      </c>
      <c r="AI107" s="553" t="str">
        <f ca="1">IFERROR(OFFSET(DistanceToCamp[Nearest Town],MATCH(CampList[[#This Row],[CP_Pcode]],DistanceToCamp[CP_Pcode],0)-1,0,1,1),"")</f>
        <v>Khaunglanhpu Town</v>
      </c>
      <c r="AJ107" s="581">
        <f ca="1">IFERROR(OFFSET(DistanceToCamp[distance],MATCH(CampList[[#This Row],[CP_Pcode]],DistanceToCamp[CP_Pcode],0)-1,0,1,1),"")</f>
        <v>28.422357500443528</v>
      </c>
      <c r="AK107" s="582">
        <f ca="1">IFERROR(INT(CampList[[#This Row],[Distance]]/5)+1,"")</f>
        <v>6</v>
      </c>
      <c r="AM107" s="913"/>
      <c r="AN107" s="913"/>
    </row>
    <row r="108" spans="1:40" s="374" customFormat="1" ht="15.75" hidden="1" customHeight="1" x14ac:dyDescent="0.25">
      <c r="A108" s="570" t="s">
        <v>842</v>
      </c>
      <c r="B108" s="551" t="s">
        <v>380</v>
      </c>
      <c r="C108" s="551" t="s">
        <v>524</v>
      </c>
      <c r="D108" s="551" t="s">
        <v>5</v>
      </c>
      <c r="E108" s="551" t="s">
        <v>528</v>
      </c>
      <c r="F108" s="551" t="s">
        <v>151</v>
      </c>
      <c r="G108" s="551" t="s">
        <v>538</v>
      </c>
      <c r="H108" s="579" t="s">
        <v>740</v>
      </c>
      <c r="I108" s="579" t="s">
        <v>741</v>
      </c>
      <c r="J108" s="579"/>
      <c r="K108" s="579"/>
      <c r="L108" s="551" t="s">
        <v>515</v>
      </c>
      <c r="M108" s="551" t="s">
        <v>516</v>
      </c>
      <c r="N108" s="571">
        <v>97.601243999999994</v>
      </c>
      <c r="O108" s="571">
        <v>23.867713999999999</v>
      </c>
      <c r="P108" s="587">
        <v>755</v>
      </c>
      <c r="Q108" s="705">
        <v>0</v>
      </c>
      <c r="R108" s="706">
        <v>0</v>
      </c>
      <c r="S108" s="574" t="str">
        <f>IF(CampList[[#This Row],[HH]]&gt;0,CampList[[#This Row],[Total]]/CampList[[#This Row],[HH]],"NA")</f>
        <v>NA</v>
      </c>
      <c r="T108" s="553" t="s">
        <v>512</v>
      </c>
      <c r="U108" s="583" t="s">
        <v>1180</v>
      </c>
      <c r="V108" s="553" t="s">
        <v>553</v>
      </c>
      <c r="W108" s="583" t="s">
        <v>855</v>
      </c>
      <c r="X108" s="584">
        <v>41365</v>
      </c>
      <c r="Y108" s="585">
        <v>2</v>
      </c>
      <c r="Z108" s="584" t="s">
        <v>1084</v>
      </c>
      <c r="AA108" s="598" t="s">
        <v>841</v>
      </c>
      <c r="AB108" s="577"/>
      <c r="AC108" s="578">
        <v>41811</v>
      </c>
      <c r="AD108" s="570" t="s">
        <v>1095</v>
      </c>
      <c r="AE108" s="580" t="s">
        <v>1088</v>
      </c>
      <c r="AF108" s="402">
        <f>IF(CampList[[#This Row],[Type of Accomodation]]="camp",MAX(0,CampList[[#This Row],[HH]]-SUMIF(Table_Shelter[Pcode],CampList[[#This Row],[CP_Pcode]],Table_Shelter[HH Covered2])),0)</f>
        <v>0</v>
      </c>
      <c r="AG108" s="553"/>
      <c r="AH108" s="577">
        <f>MIN(CampList[[#This Row],[Shelter Gap]],CampList[[#This Row],[Land Status]])</f>
        <v>0</v>
      </c>
      <c r="AI108" s="553" t="str">
        <f ca="1">IFERROR(OFFSET(DistanceToCamp[Nearest Town],MATCH(CampList[[#This Row],[CP_Pcode]],DistanceToCamp[CP_Pcode],0)-1,0,1,1),"")</f>
        <v/>
      </c>
      <c r="AJ108" s="581" t="str">
        <f ca="1">IFERROR(OFFSET(DistanceToCamp[distance],MATCH(CampList[[#This Row],[CP_Pcode]],DistanceToCamp[CP_Pcode],0)-1,0,1,1),"")</f>
        <v/>
      </c>
      <c r="AK108" s="582" t="str">
        <f ca="1">IFERROR(INT(CampList[[#This Row],[Distance]]/5)+1,"")</f>
        <v/>
      </c>
      <c r="AM108" s="913"/>
      <c r="AN108" s="913"/>
    </row>
    <row r="109" spans="1:40" s="374" customFormat="1" ht="15.75" hidden="1" customHeight="1" x14ac:dyDescent="0.25">
      <c r="A109" s="570" t="s">
        <v>842</v>
      </c>
      <c r="B109" s="551" t="s">
        <v>380</v>
      </c>
      <c r="C109" s="551" t="s">
        <v>524</v>
      </c>
      <c r="D109" s="551" t="s">
        <v>237</v>
      </c>
      <c r="E109" s="551" t="s">
        <v>530</v>
      </c>
      <c r="F109" s="551" t="s">
        <v>310</v>
      </c>
      <c r="G109" s="551" t="s">
        <v>531</v>
      </c>
      <c r="H109" s="579" t="s">
        <v>726</v>
      </c>
      <c r="I109" s="579" t="s">
        <v>727</v>
      </c>
      <c r="J109" s="579" t="s">
        <v>726</v>
      </c>
      <c r="K109" s="579">
        <v>165772</v>
      </c>
      <c r="L109" s="551" t="s">
        <v>1236</v>
      </c>
      <c r="M109" s="551" t="s">
        <v>314</v>
      </c>
      <c r="N109" s="571">
        <v>97.551507000000001</v>
      </c>
      <c r="O109" s="571">
        <v>24.747212999999999</v>
      </c>
      <c r="P109" s="587">
        <v>221</v>
      </c>
      <c r="Q109" s="705">
        <v>0</v>
      </c>
      <c r="R109" s="706">
        <v>0</v>
      </c>
      <c r="S109" s="574" t="str">
        <f>IF(CampList[[#This Row],[HH]]&gt;0,CampList[[#This Row],[Total]]/CampList[[#This Row],[HH]],"NA")</f>
        <v>NA</v>
      </c>
      <c r="T109" s="553" t="s">
        <v>512</v>
      </c>
      <c r="U109" s="583" t="s">
        <v>1180</v>
      </c>
      <c r="V109" s="553" t="s">
        <v>553</v>
      </c>
      <c r="W109" s="583" t="s">
        <v>855</v>
      </c>
      <c r="X109" s="584">
        <v>40695</v>
      </c>
      <c r="Y109" s="585">
        <v>3</v>
      </c>
      <c r="Z109" s="584" t="s">
        <v>1085</v>
      </c>
      <c r="AA109" s="598" t="s">
        <v>841</v>
      </c>
      <c r="AB109" s="577"/>
      <c r="AC109" s="578">
        <v>42180</v>
      </c>
      <c r="AD109" s="570" t="s">
        <v>1251</v>
      </c>
      <c r="AE109" s="580" t="s">
        <v>1073</v>
      </c>
      <c r="AF109" s="402">
        <f>IF(CampList[[#This Row],[Type of Accomodation]]="camp",MAX(0,CampList[[#This Row],[HH]]-SUMIF(Table_Shelter[Pcode],CampList[[#This Row],[CP_Pcode]],Table_Shelter[HH Covered2])),0)</f>
        <v>0</v>
      </c>
      <c r="AG109" s="553">
        <v>0</v>
      </c>
      <c r="AH109" s="577">
        <f>MIN(CampList[[#This Row],[Shelter Gap]],CampList[[#This Row],[Land Status]])</f>
        <v>0</v>
      </c>
      <c r="AI109" s="553" t="str">
        <f ca="1">IFERROR(OFFSET(DistanceToCamp[Nearest Town],MATCH(CampList[[#This Row],[CP_Pcode]],DistanceToCamp[CP_Pcode],0)-1,0,1,1),"")</f>
        <v>Laiza town</v>
      </c>
      <c r="AJ109" s="581">
        <f ca="1">IFERROR(OFFSET(DistanceToCamp[distance],MATCH(CampList[[#This Row],[CP_Pcode]],DistanceToCamp[CP_Pcode],0)-1,0,1,1),"")</f>
        <v>1.857513522619473</v>
      </c>
      <c r="AK109" s="582">
        <f ca="1">IFERROR(INT(CampList[[#This Row],[Distance]]/5)+1,"")</f>
        <v>1</v>
      </c>
      <c r="AM109" s="913"/>
      <c r="AN109" s="913"/>
    </row>
    <row r="110" spans="1:40" s="374" customFormat="1" ht="15.75" customHeight="1" x14ac:dyDescent="0.25">
      <c r="A110" s="570" t="s">
        <v>499</v>
      </c>
      <c r="B110" s="551" t="s">
        <v>380</v>
      </c>
      <c r="C110" s="551" t="s">
        <v>524</v>
      </c>
      <c r="D110" s="551" t="s">
        <v>180</v>
      </c>
      <c r="E110" s="551" t="s">
        <v>525</v>
      </c>
      <c r="F110" s="551" t="s">
        <v>526</v>
      </c>
      <c r="G110" s="551" t="s">
        <v>527</v>
      </c>
      <c r="H110" s="579" t="s">
        <v>597</v>
      </c>
      <c r="I110" s="579" t="s">
        <v>598</v>
      </c>
      <c r="J110" s="579" t="s">
        <v>597</v>
      </c>
      <c r="K110" s="579">
        <v>166783</v>
      </c>
      <c r="L110" s="551" t="s">
        <v>72</v>
      </c>
      <c r="M110" s="551" t="s">
        <v>71</v>
      </c>
      <c r="N110" s="571">
        <v>96.283377000000002</v>
      </c>
      <c r="O110" s="571">
        <v>25.582065</v>
      </c>
      <c r="P110" s="572">
        <v>0</v>
      </c>
      <c r="Q110" s="776">
        <v>6</v>
      </c>
      <c r="R110" s="776">
        <v>30</v>
      </c>
      <c r="S110" s="574">
        <f>IF(CampList[[#This Row],[HH]]&gt;0,CampList[[#This Row],[Total]]/CampList[[#This Row],[HH]],"NA")</f>
        <v>5</v>
      </c>
      <c r="T110" s="553" t="s">
        <v>510</v>
      </c>
      <c r="U110" s="553" t="s">
        <v>1180</v>
      </c>
      <c r="V110" s="553" t="s">
        <v>553</v>
      </c>
      <c r="W110" s="402" t="s">
        <v>802</v>
      </c>
      <c r="X110" s="794">
        <v>41487</v>
      </c>
      <c r="Y110" s="576">
        <v>1</v>
      </c>
      <c r="Z110" s="575" t="s">
        <v>504</v>
      </c>
      <c r="AA110" s="598" t="s">
        <v>841</v>
      </c>
      <c r="AB110" s="577"/>
      <c r="AC110" s="578">
        <v>42915</v>
      </c>
      <c r="AD110" s="570" t="s">
        <v>1621</v>
      </c>
      <c r="AE110" s="580" t="s">
        <v>1088</v>
      </c>
      <c r="AF110" s="402">
        <f>IF(CampList[[#This Row],[Type of Accomodation]]="camp",MAX(0,CampList[[#This Row],[HH]]-SUMIF(Table_Shelter[Pcode],CampList[[#This Row],[CP_Pcode]],Table_Shelter[HH Covered2])),0)</f>
        <v>0</v>
      </c>
      <c r="AG110" s="553"/>
      <c r="AH110" s="577">
        <f>MIN(CampList[[#This Row],[Shelter Gap]],CampList[[#This Row],[Land Status]])</f>
        <v>0</v>
      </c>
      <c r="AI110" s="553" t="str">
        <f ca="1">IFERROR(OFFSET(DistanceToCamp[Nearest Town],MATCH(CampList[[#This Row],[CP_Pcode]],DistanceToCamp[CP_Pcode],0)-1,0,1,1),"")</f>
        <v>Hpakant Town</v>
      </c>
      <c r="AJ110" s="581">
        <f ca="1">IFERROR(OFFSET(DistanceToCamp[distance],MATCH(CampList[[#This Row],[CP_Pcode]],DistanceToCamp[CP_Pcode],0)-1,0,1,1),"")</f>
        <v>4.4704963044882238</v>
      </c>
      <c r="AK110" s="582">
        <f ca="1">IFERROR(INT(CampList[[#This Row],[Distance]]/5)+1,"")</f>
        <v>1</v>
      </c>
      <c r="AM110" s="913"/>
      <c r="AN110" s="913"/>
    </row>
    <row r="111" spans="1:40" s="374" customFormat="1" ht="15.75" hidden="1" customHeight="1" x14ac:dyDescent="0.25">
      <c r="A111" s="570" t="s">
        <v>842</v>
      </c>
      <c r="B111" s="551" t="s">
        <v>380</v>
      </c>
      <c r="C111" s="551" t="s">
        <v>524</v>
      </c>
      <c r="D111" s="551" t="s">
        <v>237</v>
      </c>
      <c r="E111" s="551" t="s">
        <v>530</v>
      </c>
      <c r="F111" s="551" t="s">
        <v>363</v>
      </c>
      <c r="G111" s="551" t="s">
        <v>547</v>
      </c>
      <c r="H111" s="551"/>
      <c r="I111" s="551"/>
      <c r="J111" s="551"/>
      <c r="K111" s="551"/>
      <c r="L111" s="551" t="s">
        <v>35</v>
      </c>
      <c r="M111" s="551" t="s">
        <v>362</v>
      </c>
      <c r="N111" s="571"/>
      <c r="O111" s="571"/>
      <c r="P111" s="591"/>
      <c r="Q111" s="705">
        <v>0</v>
      </c>
      <c r="R111" s="706">
        <v>0</v>
      </c>
      <c r="S111" s="574" t="str">
        <f>IF(CampList[[#This Row],[HH]]&gt;0,CampList[[#This Row],[Total]]/CampList[[#This Row],[HH]],"NA")</f>
        <v>NA</v>
      </c>
      <c r="T111" s="553" t="s">
        <v>510</v>
      </c>
      <c r="U111" s="583" t="s">
        <v>1180</v>
      </c>
      <c r="V111" s="553" t="s">
        <v>553</v>
      </c>
      <c r="W111" s="583"/>
      <c r="X111" s="600"/>
      <c r="Y111" s="591"/>
      <c r="Z111" s="601"/>
      <c r="AA111" s="598"/>
      <c r="AB111" s="577"/>
      <c r="AC111" s="578">
        <v>41712</v>
      </c>
      <c r="AD111" s="570" t="s">
        <v>1021</v>
      </c>
      <c r="AE111" s="602" t="s">
        <v>1006</v>
      </c>
      <c r="AF111" s="402">
        <f>IF(CampList[[#This Row],[Type of Accomodation]]="camp",MAX(0,CampList[[#This Row],[HH]]-SUMIF(Table_Shelter[Pcode],CampList[[#This Row],[CP_Pcode]],Table_Shelter[HH Covered2])),0)</f>
        <v>0</v>
      </c>
      <c r="AG111" s="553"/>
      <c r="AH111" s="577">
        <f>MIN(CampList[[#This Row],[Shelter Gap]],CampList[[#This Row],[Land Status]])</f>
        <v>0</v>
      </c>
      <c r="AI111" s="553" t="str">
        <f ca="1">IFERROR(OFFSET(DistanceToCamp[Nearest Town],MATCH(CampList[[#This Row],[CP_Pcode]],DistanceToCamp[CP_Pcode],0)-1,0,1,1),"")</f>
        <v/>
      </c>
      <c r="AJ111" s="581" t="str">
        <f ca="1">IFERROR(OFFSET(DistanceToCamp[distance],MATCH(CampList[[#This Row],[CP_Pcode]],DistanceToCamp[CP_Pcode],0)-1,0,1,1),"")</f>
        <v/>
      </c>
      <c r="AK111" s="582" t="str">
        <f ca="1">IFERROR(INT(CampList[[#This Row],[Distance]]/5)+1,"")</f>
        <v/>
      </c>
      <c r="AM111" s="913"/>
      <c r="AN111" s="913"/>
    </row>
    <row r="112" spans="1:40" s="374" customFormat="1" ht="15.75" hidden="1" customHeight="1" x14ac:dyDescent="0.25">
      <c r="A112" s="570" t="s">
        <v>842</v>
      </c>
      <c r="B112" s="551" t="s">
        <v>380</v>
      </c>
      <c r="C112" s="551" t="s">
        <v>524</v>
      </c>
      <c r="D112" s="551" t="s">
        <v>5</v>
      </c>
      <c r="E112" s="551" t="s">
        <v>528</v>
      </c>
      <c r="F112" s="551" t="s">
        <v>151</v>
      </c>
      <c r="G112" s="551" t="s">
        <v>538</v>
      </c>
      <c r="H112" s="579" t="s">
        <v>736</v>
      </c>
      <c r="I112" s="579" t="s">
        <v>737</v>
      </c>
      <c r="J112" s="579"/>
      <c r="K112" s="579"/>
      <c r="L112" s="551" t="s">
        <v>158</v>
      </c>
      <c r="M112" s="551" t="s">
        <v>157</v>
      </c>
      <c r="N112" s="571">
        <v>97.585667000000001</v>
      </c>
      <c r="O112" s="571">
        <v>23.9055</v>
      </c>
      <c r="P112" s="587">
        <v>745</v>
      </c>
      <c r="Q112" s="705">
        <v>0</v>
      </c>
      <c r="R112" s="706">
        <v>0</v>
      </c>
      <c r="S112" s="574" t="str">
        <f>IF(CampList[[#This Row],[HH]]&gt;0,CampList[[#This Row],[Total]]/CampList[[#This Row],[HH]],"NA")</f>
        <v>NA</v>
      </c>
      <c r="T112" s="553" t="s">
        <v>512</v>
      </c>
      <c r="U112" s="583" t="s">
        <v>1180</v>
      </c>
      <c r="V112" s="553" t="s">
        <v>553</v>
      </c>
      <c r="W112" s="583" t="s">
        <v>856</v>
      </c>
      <c r="X112" s="584">
        <v>41122</v>
      </c>
      <c r="Y112" s="585">
        <v>2</v>
      </c>
      <c r="Z112" s="584" t="s">
        <v>1084</v>
      </c>
      <c r="AA112" s="598" t="s">
        <v>841</v>
      </c>
      <c r="AB112" s="577"/>
      <c r="AC112" s="578">
        <v>42235</v>
      </c>
      <c r="AD112" s="570" t="s">
        <v>1278</v>
      </c>
      <c r="AE112" s="580" t="s">
        <v>1073</v>
      </c>
      <c r="AF112" s="402">
        <f>IF(CampList[[#This Row],[Type of Accomodation]]="camp",MAX(0,CampList[[#This Row],[HH]]-SUMIF(Table_Shelter[Pcode],CampList[[#This Row],[CP_Pcode]],Table_Shelter[HH Covered2])),0)</f>
        <v>0</v>
      </c>
      <c r="AG112" s="553"/>
      <c r="AH112" s="577">
        <f>MIN(CampList[[#This Row],[Shelter Gap]],CampList[[#This Row],[Land Status]])</f>
        <v>0</v>
      </c>
      <c r="AI112" s="553" t="str">
        <f ca="1">IFERROR(OFFSET(DistanceToCamp[Nearest Town],MATCH(CampList[[#This Row],[CP_Pcode]],DistanceToCamp[CP_Pcode],0)-1,0,1,1),"")</f>
        <v>Namhkan Town</v>
      </c>
      <c r="AJ112" s="581">
        <f ca="1">IFERROR(OFFSET(DistanceToCamp[distance],MATCH(CampList[[#This Row],[CP_Pcode]],DistanceToCamp[CP_Pcode],0)-1,0,1,1),"")</f>
        <v>12.392289083396149</v>
      </c>
      <c r="AK112" s="582">
        <f ca="1">IFERROR(INT(CampList[[#This Row],[Distance]]/5)+1,"")</f>
        <v>3</v>
      </c>
      <c r="AM112" s="913"/>
      <c r="AN112" s="913"/>
    </row>
    <row r="113" spans="1:40" s="374" customFormat="1" ht="15.75" customHeight="1" x14ac:dyDescent="0.25">
      <c r="A113" s="603" t="s">
        <v>499</v>
      </c>
      <c r="B113" s="552" t="s">
        <v>380</v>
      </c>
      <c r="C113" s="552" t="s">
        <v>524</v>
      </c>
      <c r="D113" s="552" t="s">
        <v>237</v>
      </c>
      <c r="E113" s="552" t="s">
        <v>530</v>
      </c>
      <c r="F113" s="552" t="s">
        <v>310</v>
      </c>
      <c r="G113" s="552" t="s">
        <v>531</v>
      </c>
      <c r="H113" s="552" t="s">
        <v>717</v>
      </c>
      <c r="I113" s="590" t="s">
        <v>768</v>
      </c>
      <c r="J113" s="552" t="s">
        <v>769</v>
      </c>
      <c r="K113" s="552">
        <v>165895</v>
      </c>
      <c r="L113" s="552" t="s">
        <v>334</v>
      </c>
      <c r="M113" s="552" t="s">
        <v>333</v>
      </c>
      <c r="N113" s="573">
        <v>97.915833000000006</v>
      </c>
      <c r="O113" s="573">
        <v>25.220278</v>
      </c>
      <c r="P113" s="592">
        <v>2404</v>
      </c>
      <c r="Q113" s="776">
        <v>152</v>
      </c>
      <c r="R113" s="776">
        <v>584</v>
      </c>
      <c r="S113" s="574">
        <f>IF(CampList[[#This Row],[HH]]&gt;0,CampList[[#This Row],[Total]]/CampList[[#This Row],[HH]],"NA")</f>
        <v>3.8421052631578947</v>
      </c>
      <c r="T113" s="402" t="s">
        <v>512</v>
      </c>
      <c r="U113" s="553" t="s">
        <v>1180</v>
      </c>
      <c r="V113" s="402" t="s">
        <v>553</v>
      </c>
      <c r="W113" s="402" t="s">
        <v>856</v>
      </c>
      <c r="X113" s="795">
        <v>40848</v>
      </c>
      <c r="Y113" s="592">
        <v>3</v>
      </c>
      <c r="Z113" s="592" t="s">
        <v>1085</v>
      </c>
      <c r="AA113" s="552" t="s">
        <v>841</v>
      </c>
      <c r="AB113" s="573"/>
      <c r="AC113" s="578">
        <v>42915</v>
      </c>
      <c r="AD113" s="594" t="s">
        <v>1587</v>
      </c>
      <c r="AE113" s="580" t="s">
        <v>1072</v>
      </c>
      <c r="AF113" s="595">
        <f>IF(CampList[[#This Row],[Type of Accomodation]]="camp",MAX(0,CampList[[#This Row],[HH]]-SUMIF(Table_Shelter[Pcode],CampList[[#This Row],[CP_Pcode]],Table_Shelter[HH Covered2])),0)</f>
        <v>0</v>
      </c>
      <c r="AG113" s="402"/>
      <c r="AH113" s="572">
        <f>MIN(CampList[[#This Row],[Shelter Gap]],CampList[[#This Row],[Land Status]])</f>
        <v>0</v>
      </c>
      <c r="AI113" s="595" t="str">
        <f ca="1">IFERROR(OFFSET(DistanceToCamp[Nearest Town],MATCH(CampList[[#This Row],[CP_Pcode]],DistanceToCamp[CP_Pcode],0)-1,0,1,1),"")</f>
        <v>Sadung Town</v>
      </c>
      <c r="AJ113" s="581">
        <f ca="1">IFERROR(OFFSET(DistanceToCamp[distance],MATCH(CampList[[#This Row],[CP_Pcode]],DistanceToCamp[CP_Pcode],0)-1,0,1,1),"")</f>
        <v>18.198335991626355</v>
      </c>
      <c r="AK113" s="596">
        <f ca="1">IFERROR(INT(CampList[[#This Row],[Distance]]/5)+1,"")</f>
        <v>4</v>
      </c>
      <c r="AM113" s="913"/>
      <c r="AN113" s="913"/>
    </row>
    <row r="114" spans="1:40" s="374" customFormat="1" ht="15.75" hidden="1" customHeight="1" x14ac:dyDescent="0.25">
      <c r="A114" s="570" t="s">
        <v>842</v>
      </c>
      <c r="B114" s="551" t="s">
        <v>380</v>
      </c>
      <c r="C114" s="551" t="s">
        <v>524</v>
      </c>
      <c r="D114" s="551" t="s">
        <v>180</v>
      </c>
      <c r="E114" s="551" t="s">
        <v>525</v>
      </c>
      <c r="F114" s="551" t="s">
        <v>526</v>
      </c>
      <c r="G114" s="551" t="s">
        <v>527</v>
      </c>
      <c r="H114" s="579" t="s">
        <v>597</v>
      </c>
      <c r="I114" s="579" t="s">
        <v>598</v>
      </c>
      <c r="J114" s="579" t="s">
        <v>707</v>
      </c>
      <c r="K114" s="579">
        <v>166790</v>
      </c>
      <c r="L114" s="551" t="s">
        <v>94</v>
      </c>
      <c r="M114" s="551" t="s">
        <v>93</v>
      </c>
      <c r="N114" s="571"/>
      <c r="O114" s="571"/>
      <c r="P114" s="591"/>
      <c r="Q114" s="705">
        <v>0</v>
      </c>
      <c r="R114" s="706">
        <v>0</v>
      </c>
      <c r="S114" s="574" t="str">
        <f>IF(CampList[[#This Row],[HH]]&gt;0,CampList[[#This Row],[Total]]/CampList[[#This Row],[HH]],"NA")</f>
        <v>NA</v>
      </c>
      <c r="T114" s="553" t="s">
        <v>510</v>
      </c>
      <c r="U114" s="583" t="s">
        <v>1180</v>
      </c>
      <c r="V114" s="553" t="s">
        <v>553</v>
      </c>
      <c r="W114" s="583"/>
      <c r="X114" s="600"/>
      <c r="Y114" s="591"/>
      <c r="Z114" s="601"/>
      <c r="AA114" s="751"/>
      <c r="AB114" s="577"/>
      <c r="AC114" s="604"/>
      <c r="AD114" s="570" t="s">
        <v>600</v>
      </c>
      <c r="AE114" s="602" t="s">
        <v>1006</v>
      </c>
      <c r="AF114" s="402">
        <f>IF(CampList[[#This Row],[Type of Accomodation]]="camp",MAX(0,CampList[[#This Row],[HH]]-SUMIF(Table_Shelter[Pcode],CampList[[#This Row],[CP_Pcode]],Table_Shelter[HH Covered2])),0)</f>
        <v>0</v>
      </c>
      <c r="AG114" s="553"/>
      <c r="AH114" s="577">
        <f>MIN(CampList[[#This Row],[Shelter Gap]],CampList[[#This Row],[Land Status]])</f>
        <v>0</v>
      </c>
      <c r="AI114" s="553" t="str">
        <f ca="1">IFERROR(OFFSET(DistanceToCamp[Nearest Town],MATCH(CampList[[#This Row],[CP_Pcode]],DistanceToCamp[CP_Pcode],0)-1,0,1,1),"")</f>
        <v/>
      </c>
      <c r="AJ114" s="581" t="str">
        <f ca="1">IFERROR(OFFSET(DistanceToCamp[distance],MATCH(CampList[[#This Row],[CP_Pcode]],DistanceToCamp[CP_Pcode],0)-1,0,1,1),"")</f>
        <v/>
      </c>
      <c r="AK114" s="582" t="str">
        <f ca="1">IFERROR(INT(CampList[[#This Row],[Distance]]/5)+1,"")</f>
        <v/>
      </c>
      <c r="AM114" s="913"/>
      <c r="AN114" s="913"/>
    </row>
    <row r="115" spans="1:40" s="374" customFormat="1" ht="15.75" customHeight="1" x14ac:dyDescent="0.25">
      <c r="A115" s="598" t="s">
        <v>499</v>
      </c>
      <c r="B115" s="551" t="s">
        <v>380</v>
      </c>
      <c r="C115" s="551" t="s">
        <v>524</v>
      </c>
      <c r="D115" s="551" t="s">
        <v>237</v>
      </c>
      <c r="E115" s="551" t="s">
        <v>530</v>
      </c>
      <c r="F115" s="551" t="s">
        <v>310</v>
      </c>
      <c r="G115" s="551" t="s">
        <v>531</v>
      </c>
      <c r="H115" s="551" t="s">
        <v>769</v>
      </c>
      <c r="I115" s="551" t="s">
        <v>768</v>
      </c>
      <c r="J115" s="588" t="s">
        <v>1352</v>
      </c>
      <c r="K115" s="588"/>
      <c r="L115" s="551" t="s">
        <v>336</v>
      </c>
      <c r="M115" s="551" t="s">
        <v>335</v>
      </c>
      <c r="N115" s="571">
        <v>97.807182999999995</v>
      </c>
      <c r="O115" s="571">
        <v>25.200333000000001</v>
      </c>
      <c r="P115" s="572">
        <v>1023</v>
      </c>
      <c r="Q115" s="776">
        <v>149</v>
      </c>
      <c r="R115" s="776">
        <v>830</v>
      </c>
      <c r="S115" s="574">
        <f>IF(CampList[[#This Row],[HH]]&gt;0,CampList[[#This Row],[Total]]/CampList[[#This Row],[HH]],"NA")</f>
        <v>5.5704697986577179</v>
      </c>
      <c r="T115" s="553" t="s">
        <v>512</v>
      </c>
      <c r="U115" s="553" t="s">
        <v>1180</v>
      </c>
      <c r="V115" s="553" t="s">
        <v>553</v>
      </c>
      <c r="W115" s="553" t="s">
        <v>855</v>
      </c>
      <c r="X115" s="794">
        <v>40878</v>
      </c>
      <c r="Y115" s="576">
        <v>3</v>
      </c>
      <c r="Z115" s="575" t="s">
        <v>459</v>
      </c>
      <c r="AA115" s="598" t="s">
        <v>841</v>
      </c>
      <c r="AB115" s="577"/>
      <c r="AC115" s="578">
        <v>42919</v>
      </c>
      <c r="AD115" s="570" t="s">
        <v>1667</v>
      </c>
      <c r="AE115" s="580" t="s">
        <v>1072</v>
      </c>
      <c r="AF115" s="402">
        <f>IF(CampList[[#This Row],[Type of Accomodation]]="camp",MAX(0,CampList[[#This Row],[HH]]-SUMIF(Table_Shelter[Pcode],CampList[[#This Row],[CP_Pcode]],Table_Shelter[HH Covered2])),0)</f>
        <v>49</v>
      </c>
      <c r="AG115" s="553"/>
      <c r="AH115" s="577">
        <f>MIN(CampList[[#This Row],[Shelter Gap]],CampList[[#This Row],[Land Status]])</f>
        <v>49</v>
      </c>
      <c r="AI115" s="553" t="str">
        <f ca="1">IFERROR(OFFSET(DistanceToCamp[Nearest Town],MATCH(CampList[[#This Row],[CP_Pcode]],DistanceToCamp[CP_Pcode],0)-1,0,1,1),"")</f>
        <v>Sadung Town</v>
      </c>
      <c r="AJ115" s="581">
        <f ca="1">IFERROR(OFFSET(DistanceToCamp[distance],MATCH(CampList[[#This Row],[CP_Pcode]],DistanceToCamp[CP_Pcode],0)-1,0,1,1),"")</f>
        <v>21.287604662770121</v>
      </c>
      <c r="AK115" s="582">
        <f ca="1">IFERROR(INT(CampList[[#This Row],[Distance]]/5)+1,"")</f>
        <v>5</v>
      </c>
      <c r="AM115" s="913"/>
      <c r="AN115" s="913"/>
    </row>
    <row r="116" spans="1:40" s="374" customFormat="1" ht="15.75" customHeight="1" x14ac:dyDescent="0.25">
      <c r="A116" s="603" t="s">
        <v>499</v>
      </c>
      <c r="B116" s="552" t="s">
        <v>380</v>
      </c>
      <c r="C116" s="552" t="s">
        <v>524</v>
      </c>
      <c r="D116" s="552" t="s">
        <v>237</v>
      </c>
      <c r="E116" s="552" t="s">
        <v>530</v>
      </c>
      <c r="F116" s="552" t="s">
        <v>310</v>
      </c>
      <c r="G116" s="552" t="s">
        <v>531</v>
      </c>
      <c r="H116" s="552" t="s">
        <v>726</v>
      </c>
      <c r="I116" s="590" t="s">
        <v>727</v>
      </c>
      <c r="J116" s="552" t="s">
        <v>726</v>
      </c>
      <c r="K116" s="552">
        <v>165772</v>
      </c>
      <c r="L116" s="552" t="s">
        <v>353</v>
      </c>
      <c r="M116" s="552" t="s">
        <v>352</v>
      </c>
      <c r="N116" s="573">
        <v>97.546893999999995</v>
      </c>
      <c r="O116" s="573">
        <v>24.755253</v>
      </c>
      <c r="P116" s="592">
        <v>316</v>
      </c>
      <c r="Q116" s="776">
        <v>1396</v>
      </c>
      <c r="R116" s="776">
        <v>6821</v>
      </c>
      <c r="S116" s="574">
        <f>IF(CampList[[#This Row],[HH]]&gt;0,CampList[[#This Row],[Total]]/CampList[[#This Row],[HH]],"NA")</f>
        <v>4.8861031518624642</v>
      </c>
      <c r="T116" s="402" t="s">
        <v>512</v>
      </c>
      <c r="U116" s="553" t="s">
        <v>1180</v>
      </c>
      <c r="V116" s="402" t="s">
        <v>553</v>
      </c>
      <c r="W116" s="402" t="s">
        <v>802</v>
      </c>
      <c r="X116" s="795">
        <v>40695</v>
      </c>
      <c r="Y116" s="592">
        <v>5</v>
      </c>
      <c r="Z116" s="592" t="s">
        <v>1085</v>
      </c>
      <c r="AA116" s="552" t="s">
        <v>841</v>
      </c>
      <c r="AB116" s="573"/>
      <c r="AC116" s="578">
        <v>42915</v>
      </c>
      <c r="AD116" s="594" t="s">
        <v>1588</v>
      </c>
      <c r="AE116" s="580" t="s">
        <v>1088</v>
      </c>
      <c r="AF116" s="595">
        <f>IF(CampList[[#This Row],[Type of Accomodation]]="camp",MAX(0,CampList[[#This Row],[HH]]-SUMIF(Table_Shelter[Pcode],CampList[[#This Row],[CP_Pcode]],Table_Shelter[HH Covered2])),0)</f>
        <v>1236</v>
      </c>
      <c r="AG116" s="402"/>
      <c r="AH116" s="572">
        <f>MIN(CampList[[#This Row],[Shelter Gap]],CampList[[#This Row],[Land Status]])</f>
        <v>1236</v>
      </c>
      <c r="AI116" s="595" t="str">
        <f ca="1">IFERROR(OFFSET(DistanceToCamp[Nearest Town],MATCH(CampList[[#This Row],[CP_Pcode]],DistanceToCamp[CP_Pcode],0)-1,0,1,1),"")</f>
        <v>Laiza town</v>
      </c>
      <c r="AJ116" s="581">
        <f ca="1">IFERROR(OFFSET(DistanceToCamp[distance],MATCH(CampList[[#This Row],[CP_Pcode]],DistanceToCamp[CP_Pcode],0)-1,0,1,1),"")</f>
        <v>1.7420415164460403</v>
      </c>
      <c r="AK116" s="596">
        <f ca="1">IFERROR(INT(CampList[[#This Row],[Distance]]/5)+1,"")</f>
        <v>1</v>
      </c>
      <c r="AM116" s="913"/>
      <c r="AN116" s="913"/>
    </row>
    <row r="117" spans="1:40" s="374" customFormat="1" ht="15.75" hidden="1" customHeight="1" x14ac:dyDescent="0.25">
      <c r="A117" s="570" t="s">
        <v>842</v>
      </c>
      <c r="B117" s="551" t="s">
        <v>380</v>
      </c>
      <c r="C117" s="551" t="s">
        <v>524</v>
      </c>
      <c r="D117" s="551" t="s">
        <v>300</v>
      </c>
      <c r="E117" s="551" t="s">
        <v>545</v>
      </c>
      <c r="F117" s="551" t="s">
        <v>891</v>
      </c>
      <c r="G117" s="551" t="s">
        <v>892</v>
      </c>
      <c r="H117" s="551"/>
      <c r="I117" s="551"/>
      <c r="J117" s="551"/>
      <c r="K117" s="551"/>
      <c r="L117" s="551" t="s">
        <v>893</v>
      </c>
      <c r="M117" s="551" t="s">
        <v>894</v>
      </c>
      <c r="N117" s="571">
        <v>97.586470000000006</v>
      </c>
      <c r="O117" s="571">
        <v>27.274059999999999</v>
      </c>
      <c r="P117" s="592">
        <v>403</v>
      </c>
      <c r="Q117" s="402"/>
      <c r="R117" s="602"/>
      <c r="S117" s="574" t="str">
        <f>IF(CampList[[#This Row],[HH]]&gt;0,CampList[[#This Row],[Total]]/CampList[[#This Row],[HH]],"NA")</f>
        <v>NA</v>
      </c>
      <c r="T117" s="553" t="s">
        <v>510</v>
      </c>
      <c r="U117" s="583" t="s">
        <v>1180</v>
      </c>
      <c r="V117" s="553" t="s">
        <v>553</v>
      </c>
      <c r="W117" s="553" t="s">
        <v>855</v>
      </c>
      <c r="X117" s="593">
        <v>41518</v>
      </c>
      <c r="Y117" s="592"/>
      <c r="Z117" s="612"/>
      <c r="AA117" s="551" t="s">
        <v>841</v>
      </c>
      <c r="AB117" s="577"/>
      <c r="AC117" s="578">
        <v>42180</v>
      </c>
      <c r="AD117" s="570" t="s">
        <v>1252</v>
      </c>
      <c r="AE117" s="602" t="s">
        <v>1074</v>
      </c>
      <c r="AF117" s="402">
        <f>IF(CampList[[#This Row],[Type of Accomodation]]="camp",MAX(0,CampList[[#This Row],[HH]]-SUMIF(Table_Shelter[Pcode],CampList[[#This Row],[CP_Pcode]],Table_Shelter[HH Covered2])),0)</f>
        <v>0</v>
      </c>
      <c r="AG117" s="553"/>
      <c r="AH117" s="577">
        <f>MIN(CampList[[#This Row],[Shelter Gap]],CampList[[#This Row],[Land Status]])</f>
        <v>0</v>
      </c>
      <c r="AI117" s="553" t="str">
        <f ca="1">IFERROR(OFFSET(DistanceToCamp[Nearest Town],MATCH(CampList[[#This Row],[CP_Pcode]],DistanceToCamp[CP_Pcode],0)-1,0,1,1),"")</f>
        <v>Machanbaw Town</v>
      </c>
      <c r="AJ117" s="581">
        <f ca="1">IFERROR(OFFSET(DistanceToCamp[distance],MATCH(CampList[[#This Row],[CP_Pcode]],DistanceToCamp[CP_Pcode],0)-1,0,1,1),"")</f>
        <v>1.136583238544624</v>
      </c>
      <c r="AK117" s="582">
        <f ca="1">IFERROR(INT(CampList[[#This Row],[Distance]]/5)+1,"")</f>
        <v>1</v>
      </c>
      <c r="AM117" s="913"/>
      <c r="AN117" s="913"/>
    </row>
    <row r="118" spans="1:40" s="374" customFormat="1" ht="15.75" hidden="1" customHeight="1" x14ac:dyDescent="0.25">
      <c r="A118" s="570" t="s">
        <v>842</v>
      </c>
      <c r="B118" s="551" t="s">
        <v>380</v>
      </c>
      <c r="C118" s="551" t="s">
        <v>524</v>
      </c>
      <c r="D118" s="551" t="s">
        <v>5</v>
      </c>
      <c r="E118" s="551" t="s">
        <v>528</v>
      </c>
      <c r="F118" s="551" t="s">
        <v>151</v>
      </c>
      <c r="G118" s="551" t="s">
        <v>538</v>
      </c>
      <c r="H118" s="579" t="s">
        <v>871</v>
      </c>
      <c r="I118" s="579" t="s">
        <v>872</v>
      </c>
      <c r="J118" s="579" t="s">
        <v>870</v>
      </c>
      <c r="K118" s="579">
        <v>167391</v>
      </c>
      <c r="L118" s="551" t="s">
        <v>875</v>
      </c>
      <c r="M118" s="551" t="s">
        <v>869</v>
      </c>
      <c r="N118" s="571">
        <v>97.710989999999995</v>
      </c>
      <c r="O118" s="611">
        <v>24.181640000000002</v>
      </c>
      <c r="P118" s="591"/>
      <c r="Q118" s="705">
        <v>0</v>
      </c>
      <c r="R118" s="706">
        <v>0</v>
      </c>
      <c r="S118" s="574" t="str">
        <f>IF(CampList[[#This Row],[HH]]&gt;0,CampList[[#This Row],[Total]]/CampList[[#This Row],[HH]],"NA")</f>
        <v>NA</v>
      </c>
      <c r="T118" s="553" t="s">
        <v>510</v>
      </c>
      <c r="U118" s="583" t="s">
        <v>1180</v>
      </c>
      <c r="V118" s="553" t="s">
        <v>553</v>
      </c>
      <c r="W118" s="583"/>
      <c r="X118" s="600"/>
      <c r="Y118" s="591"/>
      <c r="Z118" s="601"/>
      <c r="AA118" s="598" t="s">
        <v>841</v>
      </c>
      <c r="AB118" s="577"/>
      <c r="AC118" s="578">
        <v>41701</v>
      </c>
      <c r="AD118" s="570" t="s">
        <v>1010</v>
      </c>
      <c r="AE118" s="602" t="s">
        <v>1006</v>
      </c>
      <c r="AF118" s="402">
        <f>IF(CampList[[#This Row],[Type of Accomodation]]="camp",MAX(0,CampList[[#This Row],[HH]]-SUMIF(Table_Shelter[Pcode],CampList[[#This Row],[CP_Pcode]],Table_Shelter[HH Covered2])),0)</f>
        <v>0</v>
      </c>
      <c r="AG118" s="553"/>
      <c r="AH118" s="577">
        <f>MIN(CampList[[#This Row],[Shelter Gap]],CampList[[#This Row],[Land Status]])</f>
        <v>0</v>
      </c>
      <c r="AI118" s="553" t="str">
        <f ca="1">IFERROR(OFFSET(DistanceToCamp[Nearest Town],MATCH(CampList[[#This Row],[CP_Pcode]],DistanceToCamp[CP_Pcode],0)-1,0,1,1),"")</f>
        <v/>
      </c>
      <c r="AJ118" s="581" t="str">
        <f ca="1">IFERROR(OFFSET(DistanceToCamp[distance],MATCH(CampList[[#This Row],[CP_Pcode]],DistanceToCamp[CP_Pcode],0)-1,0,1,1),"")</f>
        <v/>
      </c>
      <c r="AK118" s="582" t="str">
        <f ca="1">IFERROR(INT(CampList[[#This Row],[Distance]]/5)+1,"")</f>
        <v/>
      </c>
      <c r="AM118" s="913"/>
      <c r="AN118" s="913"/>
    </row>
    <row r="119" spans="1:40" s="374" customFormat="1" ht="15.75" customHeight="1" x14ac:dyDescent="0.25">
      <c r="A119" s="603" t="s">
        <v>499</v>
      </c>
      <c r="B119" s="552" t="s">
        <v>380</v>
      </c>
      <c r="C119" s="552" t="s">
        <v>524</v>
      </c>
      <c r="D119" s="552" t="s">
        <v>237</v>
      </c>
      <c r="E119" s="552" t="s">
        <v>530</v>
      </c>
      <c r="F119" s="552" t="s">
        <v>310</v>
      </c>
      <c r="G119" s="552" t="s">
        <v>531</v>
      </c>
      <c r="H119" s="552" t="s">
        <v>754</v>
      </c>
      <c r="I119" s="590" t="s">
        <v>755</v>
      </c>
      <c r="J119" s="552" t="s">
        <v>756</v>
      </c>
      <c r="K119" s="552">
        <v>165790</v>
      </c>
      <c r="L119" s="552" t="s">
        <v>322</v>
      </c>
      <c r="M119" s="552" t="s">
        <v>321</v>
      </c>
      <c r="N119" s="573">
        <v>97.715230000000005</v>
      </c>
      <c r="O119" s="573">
        <v>24.980250000000002</v>
      </c>
      <c r="P119" s="592">
        <v>984</v>
      </c>
      <c r="Q119" s="776">
        <v>431</v>
      </c>
      <c r="R119" s="776">
        <v>1920</v>
      </c>
      <c r="S119" s="574">
        <f>IF(CampList[[#This Row],[HH]]&gt;0,CampList[[#This Row],[Total]]/CampList[[#This Row],[HH]],"NA")</f>
        <v>4.4547563805104406</v>
      </c>
      <c r="T119" s="402" t="s">
        <v>512</v>
      </c>
      <c r="U119" s="553" t="s">
        <v>1180</v>
      </c>
      <c r="V119" s="402" t="s">
        <v>553</v>
      </c>
      <c r="W119" s="402" t="s">
        <v>855</v>
      </c>
      <c r="X119" s="795">
        <v>40695</v>
      </c>
      <c r="Y119" s="592">
        <v>5</v>
      </c>
      <c r="Z119" s="592" t="s">
        <v>1085</v>
      </c>
      <c r="AA119" s="552" t="s">
        <v>841</v>
      </c>
      <c r="AB119" s="573"/>
      <c r="AC119" s="578">
        <v>42915</v>
      </c>
      <c r="AD119" s="594" t="s">
        <v>1589</v>
      </c>
      <c r="AE119" s="580" t="s">
        <v>1073</v>
      </c>
      <c r="AF119" s="595">
        <f>IF(CampList[[#This Row],[Type of Accomodation]]="camp",MAX(0,CampList[[#This Row],[HH]]-SUMIF(Table_Shelter[Pcode],CampList[[#This Row],[CP_Pcode]],Table_Shelter[HH Covered2])),0)</f>
        <v>0</v>
      </c>
      <c r="AG119" s="402"/>
      <c r="AH119" s="572">
        <f>MIN(CampList[[#This Row],[Shelter Gap]],CampList[[#This Row],[Land Status]])</f>
        <v>0</v>
      </c>
      <c r="AI119" s="595" t="str">
        <f ca="1">IFERROR(OFFSET(DistanceToCamp[Nearest Town],MATCH(CampList[[#This Row],[CP_Pcode]],DistanceToCamp[CP_Pcode],0)-1,0,1,1),"")</f>
        <v>Laiza town</v>
      </c>
      <c r="AJ119" s="581">
        <f ca="1">IFERROR(OFFSET(DistanceToCamp[distance],MATCH(CampList[[#This Row],[CP_Pcode]],DistanceToCamp[CP_Pcode],0)-1,0,1,1),"")</f>
        <v>28.888856599204185</v>
      </c>
      <c r="AK119" s="596">
        <f ca="1">IFERROR(INT(CampList[[#This Row],[Distance]]/5)+1,"")</f>
        <v>6</v>
      </c>
      <c r="AM119" s="913"/>
      <c r="AN119" s="913"/>
    </row>
    <row r="120" spans="1:40" s="374" customFormat="1" ht="15.75" customHeight="1" x14ac:dyDescent="0.25">
      <c r="A120" s="598" t="s">
        <v>499</v>
      </c>
      <c r="B120" s="551" t="s">
        <v>380</v>
      </c>
      <c r="C120" s="551" t="s">
        <v>524</v>
      </c>
      <c r="D120" s="551" t="s">
        <v>237</v>
      </c>
      <c r="E120" s="551" t="s">
        <v>530</v>
      </c>
      <c r="F120" s="551" t="s">
        <v>310</v>
      </c>
      <c r="G120" s="551" t="s">
        <v>531</v>
      </c>
      <c r="H120" s="551" t="s">
        <v>754</v>
      </c>
      <c r="I120" s="551" t="s">
        <v>755</v>
      </c>
      <c r="J120" s="586" t="s">
        <v>1377</v>
      </c>
      <c r="K120" s="586">
        <v>165792</v>
      </c>
      <c r="L120" s="551" t="s">
        <v>1231</v>
      </c>
      <c r="M120" s="551" t="s">
        <v>345</v>
      </c>
      <c r="N120" s="571">
        <v>97.751389000000003</v>
      </c>
      <c r="O120" s="571">
        <v>24.831944</v>
      </c>
      <c r="P120" s="572">
        <v>2330</v>
      </c>
      <c r="Q120" s="776">
        <v>186</v>
      </c>
      <c r="R120" s="776">
        <v>585</v>
      </c>
      <c r="S120" s="574">
        <f>IF(CampList[[#This Row],[HH]]&gt;0,CampList[[#This Row],[Total]]/CampList[[#This Row],[HH]],"NA")</f>
        <v>3.1451612903225805</v>
      </c>
      <c r="T120" s="553" t="s">
        <v>512</v>
      </c>
      <c r="U120" s="553" t="s">
        <v>1180</v>
      </c>
      <c r="V120" s="553" t="s">
        <v>553</v>
      </c>
      <c r="W120" s="553" t="s">
        <v>855</v>
      </c>
      <c r="X120" s="794">
        <v>40725</v>
      </c>
      <c r="Y120" s="576">
        <v>3</v>
      </c>
      <c r="Z120" s="575" t="s">
        <v>459</v>
      </c>
      <c r="AA120" s="551" t="s">
        <v>841</v>
      </c>
      <c r="AB120" s="577"/>
      <c r="AC120" s="578">
        <v>42919</v>
      </c>
      <c r="AD120" s="579" t="s">
        <v>1668</v>
      </c>
      <c r="AE120" s="580" t="s">
        <v>1072</v>
      </c>
      <c r="AF120" s="402">
        <f>IF(CampList[[#This Row],[Type of Accomodation]]="camp",MAX(0,CampList[[#This Row],[HH]]-SUMIF(Table_Shelter[Pcode],CampList[[#This Row],[CP_Pcode]],Table_Shelter[HH Covered2])),0)</f>
        <v>151</v>
      </c>
      <c r="AG120" s="402"/>
      <c r="AH120" s="577">
        <f>MIN(CampList[[#This Row],[Shelter Gap]],CampList[[#This Row],[Land Status]])</f>
        <v>151</v>
      </c>
      <c r="AI120" s="553" t="str">
        <f ca="1">IFERROR(OFFSET(DistanceToCamp[Nearest Town],MATCH(CampList[[#This Row],[CP_Pcode]],DistanceToCamp[CP_Pcode],0)-1,0,1,1),"")</f>
        <v>Laiza town</v>
      </c>
      <c r="AJ120" s="581">
        <f ca="1">IFERROR(OFFSET(DistanceToCamp[distance],MATCH(CampList[[#This Row],[CP_Pcode]],DistanceToCamp[CP_Pcode],0)-1,0,1,1),"")</f>
        <v>20.599512012485512</v>
      </c>
      <c r="AK120" s="582">
        <f ca="1">IFERROR(INT(CampList[[#This Row],[Distance]]/5)+1,"")</f>
        <v>5</v>
      </c>
      <c r="AM120" s="913"/>
      <c r="AN120" s="913"/>
    </row>
    <row r="121" spans="1:40" s="374" customFormat="1" ht="15.75" customHeight="1" x14ac:dyDescent="0.25">
      <c r="A121" s="589" t="s">
        <v>499</v>
      </c>
      <c r="B121" s="552" t="s">
        <v>380</v>
      </c>
      <c r="C121" s="552" t="s">
        <v>524</v>
      </c>
      <c r="D121" s="552" t="s">
        <v>5</v>
      </c>
      <c r="E121" s="552" t="s">
        <v>528</v>
      </c>
      <c r="F121" s="552" t="s">
        <v>185</v>
      </c>
      <c r="G121" s="552" t="s">
        <v>532</v>
      </c>
      <c r="H121" s="552" t="s">
        <v>733</v>
      </c>
      <c r="I121" s="590" t="s">
        <v>734</v>
      </c>
      <c r="J121" s="552" t="s">
        <v>735</v>
      </c>
      <c r="K121" s="552">
        <v>167223</v>
      </c>
      <c r="L121" s="552" t="s">
        <v>196</v>
      </c>
      <c r="M121" s="552" t="s">
        <v>195</v>
      </c>
      <c r="N121" s="573">
        <v>97.568331999999998</v>
      </c>
      <c r="O121" s="573">
        <v>24.688338999999999</v>
      </c>
      <c r="P121" s="592">
        <v>314</v>
      </c>
      <c r="Q121" s="776">
        <v>1546</v>
      </c>
      <c r="R121" s="776">
        <v>8610</v>
      </c>
      <c r="S121" s="574">
        <f>IF(CampList[[#This Row],[HH]]&gt;0,CampList[[#This Row],[Total]]/CampList[[#This Row],[HH]],"NA")</f>
        <v>5.5692108667529103</v>
      </c>
      <c r="T121" s="402" t="s">
        <v>512</v>
      </c>
      <c r="U121" s="553" t="s">
        <v>1180</v>
      </c>
      <c r="V121" s="402" t="s">
        <v>553</v>
      </c>
      <c r="W121" s="402" t="s">
        <v>855</v>
      </c>
      <c r="X121" s="795">
        <v>41061</v>
      </c>
      <c r="Y121" s="592">
        <v>7</v>
      </c>
      <c r="Z121" s="592" t="s">
        <v>1085</v>
      </c>
      <c r="AA121" s="552" t="s">
        <v>841</v>
      </c>
      <c r="AB121" s="573"/>
      <c r="AC121" s="578">
        <v>42915</v>
      </c>
      <c r="AD121" s="594" t="s">
        <v>1590</v>
      </c>
      <c r="AE121" s="580" t="s">
        <v>1073</v>
      </c>
      <c r="AF121" s="595">
        <f>IF(CampList[[#This Row],[Type of Accomodation]]="camp",MAX(0,CampList[[#This Row],[HH]]-SUMIF(Table_Shelter[Pcode],CampList[[#This Row],[CP_Pcode]],Table_Shelter[HH Covered2])),0)</f>
        <v>351</v>
      </c>
      <c r="AG121" s="402"/>
      <c r="AH121" s="572">
        <f>MIN(CampList[[#This Row],[Shelter Gap]],CampList[[#This Row],[Land Status]])</f>
        <v>351</v>
      </c>
      <c r="AI121" s="595" t="str">
        <f ca="1">IFERROR(OFFSET(DistanceToCamp[Nearest Town],MATCH(CampList[[#This Row],[CP_Pcode]],DistanceToCamp[CP_Pcode],0)-1,0,1,1),"")</f>
        <v>Laiza town</v>
      </c>
      <c r="AJ121" s="581">
        <f ca="1">IFERROR(OFFSET(DistanceToCamp[distance],MATCH(CampList[[#This Row],[CP_Pcode]],DistanceToCamp[CP_Pcode],0)-1,0,1,1),"")</f>
        <v>7.985347533011188</v>
      </c>
      <c r="AK121" s="596">
        <f ca="1">IFERROR(INT(CampList[[#This Row],[Distance]]/5)+1,"")</f>
        <v>2</v>
      </c>
      <c r="AM121" s="913"/>
      <c r="AN121" s="913"/>
    </row>
    <row r="122" spans="1:40" s="374" customFormat="1" ht="15.75" customHeight="1" x14ac:dyDescent="0.25">
      <c r="A122" s="589" t="s">
        <v>499</v>
      </c>
      <c r="B122" s="552" t="s">
        <v>380</v>
      </c>
      <c r="C122" s="552" t="s">
        <v>524</v>
      </c>
      <c r="D122" s="552" t="s">
        <v>5</v>
      </c>
      <c r="E122" s="552" t="s">
        <v>528</v>
      </c>
      <c r="F122" s="552" t="s">
        <v>185</v>
      </c>
      <c r="G122" s="552" t="s">
        <v>532</v>
      </c>
      <c r="H122" s="552" t="s">
        <v>733</v>
      </c>
      <c r="I122" s="590" t="s">
        <v>734</v>
      </c>
      <c r="J122" s="552" t="s">
        <v>735</v>
      </c>
      <c r="K122" s="552">
        <v>167223</v>
      </c>
      <c r="L122" s="552" t="s">
        <v>194</v>
      </c>
      <c r="M122" s="552" t="s">
        <v>193</v>
      </c>
      <c r="N122" s="573">
        <v>97.573126000000002</v>
      </c>
      <c r="O122" s="573">
        <v>24.661905999999998</v>
      </c>
      <c r="P122" s="592">
        <v>415</v>
      </c>
      <c r="Q122" s="776">
        <v>718</v>
      </c>
      <c r="R122" s="776">
        <v>3321</v>
      </c>
      <c r="S122" s="574">
        <f>IF(CampList[[#This Row],[HH]]&gt;0,CampList[[#This Row],[Total]]/CampList[[#This Row],[HH]],"NA")</f>
        <v>4.6253481894150417</v>
      </c>
      <c r="T122" s="402" t="s">
        <v>512</v>
      </c>
      <c r="U122" s="553" t="s">
        <v>1180</v>
      </c>
      <c r="V122" s="402" t="s">
        <v>553</v>
      </c>
      <c r="W122" s="402" t="s">
        <v>855</v>
      </c>
      <c r="X122" s="795">
        <v>40695</v>
      </c>
      <c r="Y122" s="592">
        <v>5</v>
      </c>
      <c r="Z122" s="592" t="s">
        <v>1085</v>
      </c>
      <c r="AA122" s="552" t="s">
        <v>841</v>
      </c>
      <c r="AB122" s="573"/>
      <c r="AC122" s="578">
        <v>42915</v>
      </c>
      <c r="AD122" s="594" t="s">
        <v>1591</v>
      </c>
      <c r="AE122" s="580" t="s">
        <v>1073</v>
      </c>
      <c r="AF122" s="595">
        <f>IF(CampList[[#This Row],[Type of Accomodation]]="camp",MAX(0,CampList[[#This Row],[HH]]-SUMIF(Table_Shelter[Pcode],CampList[[#This Row],[CP_Pcode]],Table_Shelter[HH Covered2])),0)</f>
        <v>100</v>
      </c>
      <c r="AG122" s="402"/>
      <c r="AH122" s="572">
        <f>MIN(CampList[[#This Row],[Shelter Gap]],CampList[[#This Row],[Land Status]])</f>
        <v>100</v>
      </c>
      <c r="AI122" s="595" t="str">
        <f ca="1">IFERROR(OFFSET(DistanceToCamp[Nearest Town],MATCH(CampList[[#This Row],[CP_Pcode]],DistanceToCamp[CP_Pcode],0)-1,0,1,1),"")</f>
        <v>Laiza town</v>
      </c>
      <c r="AJ122" s="581">
        <f ca="1">IFERROR(OFFSET(DistanceToCamp[distance],MATCH(CampList[[#This Row],[CP_Pcode]],DistanceToCamp[CP_Pcode],0)-1,0,1,1),"")</f>
        <v>10.953347686331073</v>
      </c>
      <c r="AK122" s="596">
        <f ca="1">IFERROR(INT(CampList[[#This Row],[Distance]]/5)+1,"")</f>
        <v>3</v>
      </c>
      <c r="AM122" s="913"/>
      <c r="AN122" s="913"/>
    </row>
    <row r="123" spans="1:40" s="374" customFormat="1" ht="15.75" customHeight="1" x14ac:dyDescent="0.25">
      <c r="A123" s="589" t="s">
        <v>499</v>
      </c>
      <c r="B123" s="552" t="s">
        <v>380</v>
      </c>
      <c r="C123" s="552" t="s">
        <v>524</v>
      </c>
      <c r="D123" s="552" t="s">
        <v>5</v>
      </c>
      <c r="E123" s="552" t="s">
        <v>528</v>
      </c>
      <c r="F123" s="552" t="s">
        <v>185</v>
      </c>
      <c r="G123" s="552" t="s">
        <v>532</v>
      </c>
      <c r="H123" s="552" t="s">
        <v>724</v>
      </c>
      <c r="I123" s="590" t="s">
        <v>725</v>
      </c>
      <c r="J123" s="552" t="s">
        <v>573</v>
      </c>
      <c r="K123" s="552">
        <v>167343</v>
      </c>
      <c r="L123" s="552" t="s">
        <v>192</v>
      </c>
      <c r="M123" s="552" t="s">
        <v>191</v>
      </c>
      <c r="N123" s="573">
        <v>97.537099999999995</v>
      </c>
      <c r="O123" s="573">
        <v>24.461033</v>
      </c>
      <c r="P123" s="592">
        <v>360</v>
      </c>
      <c r="Q123" s="776">
        <v>103</v>
      </c>
      <c r="R123" s="776">
        <v>461</v>
      </c>
      <c r="S123" s="574">
        <f>IF(CampList[[#This Row],[HH]]&gt;0,CampList[[#This Row],[Total]]/CampList[[#This Row],[HH]],"NA")</f>
        <v>4.4757281553398061</v>
      </c>
      <c r="T123" s="402" t="s">
        <v>512</v>
      </c>
      <c r="U123" s="553" t="s">
        <v>1180</v>
      </c>
      <c r="V123" s="402" t="s">
        <v>553</v>
      </c>
      <c r="W123" s="402" t="s">
        <v>856</v>
      </c>
      <c r="X123" s="795">
        <v>40756</v>
      </c>
      <c r="Y123" s="592">
        <v>4</v>
      </c>
      <c r="Z123" s="592" t="s">
        <v>1085</v>
      </c>
      <c r="AA123" s="552" t="s">
        <v>841</v>
      </c>
      <c r="AB123" s="573"/>
      <c r="AC123" s="578">
        <v>42915</v>
      </c>
      <c r="AD123" s="594" t="s">
        <v>1592</v>
      </c>
      <c r="AE123" s="580" t="s">
        <v>1073</v>
      </c>
      <c r="AF123" s="595">
        <f>IF(CampList[[#This Row],[Type of Accomodation]]="camp",MAX(0,CampList[[#This Row],[HH]]-SUMIF(Table_Shelter[Pcode],CampList[[#This Row],[CP_Pcode]],Table_Shelter[HH Covered2])),0)</f>
        <v>0</v>
      </c>
      <c r="AG123" s="402"/>
      <c r="AH123" s="572">
        <f>MIN(CampList[[#This Row],[Shelter Gap]],CampList[[#This Row],[Land Status]])</f>
        <v>0</v>
      </c>
      <c r="AI123" s="595" t="str">
        <f ca="1">IFERROR(OFFSET(DistanceToCamp[Nearest Town],MATCH(CampList[[#This Row],[CP_Pcode]],DistanceToCamp[CP_Pcode],0)-1,0,1,1),"")</f>
        <v>Dawthponeyan  Town</v>
      </c>
      <c r="AJ123" s="581">
        <f ca="1">IFERROR(OFFSET(DistanceToCamp[distance],MATCH(CampList[[#This Row],[CP_Pcode]],DistanceToCamp[CP_Pcode],0)-1,0,1,1),"")</f>
        <v>18.65617244319267</v>
      </c>
      <c r="AK123" s="596">
        <f ca="1">IFERROR(INT(CampList[[#This Row],[Distance]]/5)+1,"")</f>
        <v>4</v>
      </c>
      <c r="AM123" s="913"/>
      <c r="AN123" s="913"/>
    </row>
    <row r="124" spans="1:40" s="374" customFormat="1" ht="15.75" customHeight="1" x14ac:dyDescent="0.25">
      <c r="A124" s="589" t="s">
        <v>499</v>
      </c>
      <c r="B124" s="552" t="s">
        <v>380</v>
      </c>
      <c r="C124" s="552" t="s">
        <v>524</v>
      </c>
      <c r="D124" s="552" t="s">
        <v>5</v>
      </c>
      <c r="E124" s="552" t="s">
        <v>528</v>
      </c>
      <c r="F124" s="552" t="s">
        <v>185</v>
      </c>
      <c r="G124" s="552" t="s">
        <v>532</v>
      </c>
      <c r="H124" s="552" t="s">
        <v>760</v>
      </c>
      <c r="I124" s="590" t="s">
        <v>761</v>
      </c>
      <c r="J124" s="552" t="s">
        <v>762</v>
      </c>
      <c r="K124" s="552">
        <v>216913</v>
      </c>
      <c r="L124" s="552" t="s">
        <v>219</v>
      </c>
      <c r="M124" s="552" t="s">
        <v>218</v>
      </c>
      <c r="N124" s="573">
        <v>97.752667000000002</v>
      </c>
      <c r="O124" s="573">
        <v>24.2744</v>
      </c>
      <c r="P124" s="592">
        <v>978</v>
      </c>
      <c r="Q124" s="792">
        <v>597</v>
      </c>
      <c r="R124" s="779">
        <v>3643</v>
      </c>
      <c r="S124" s="574">
        <f>IF(CampList[[#This Row],[HH]]&gt;0,CampList[[#This Row],[Total]]/CampList[[#This Row],[HH]],"NA")</f>
        <v>6.1021775544388612</v>
      </c>
      <c r="T124" s="402" t="s">
        <v>512</v>
      </c>
      <c r="U124" s="553" t="s">
        <v>1180</v>
      </c>
      <c r="V124" s="402" t="s">
        <v>553</v>
      </c>
      <c r="W124" s="402" t="s">
        <v>855</v>
      </c>
      <c r="X124" s="795">
        <v>41000</v>
      </c>
      <c r="Y124" s="592">
        <v>2</v>
      </c>
      <c r="Z124" s="592" t="s">
        <v>1084</v>
      </c>
      <c r="AA124" s="552" t="s">
        <v>841</v>
      </c>
      <c r="AB124" s="573"/>
      <c r="AC124" s="578">
        <v>42915</v>
      </c>
      <c r="AD124" s="594" t="s">
        <v>1573</v>
      </c>
      <c r="AE124" s="580" t="s">
        <v>1073</v>
      </c>
      <c r="AF124" s="595">
        <f>IF(CampList[[#This Row],[Type of Accomodation]]="camp",MAX(0,CampList[[#This Row],[HH]]-SUMIF(Table_Shelter[Pcode],CampList[[#This Row],[CP_Pcode]],Table_Shelter[HH Covered2])),0)</f>
        <v>0</v>
      </c>
      <c r="AG124" s="402"/>
      <c r="AH124" s="572">
        <f>MIN(CampList[[#This Row],[Shelter Gap]],CampList[[#This Row],[Land Status]])</f>
        <v>0</v>
      </c>
      <c r="AI124" s="595" t="str">
        <f ca="1">IFERROR(OFFSET(DistanceToCamp[Nearest Town],MATCH(CampList[[#This Row],[CP_Pcode]],DistanceToCamp[CP_Pcode],0)-1,0,1,1),"")</f>
        <v>Lwegel Town</v>
      </c>
      <c r="AJ124" s="581">
        <f ca="1">IFERROR(OFFSET(DistanceToCamp[distance],MATCH(CampList[[#This Row],[CP_Pcode]],DistanceToCamp[CP_Pcode],0)-1,0,1,1),"")</f>
        <v>8.953204937938569</v>
      </c>
      <c r="AK124" s="596">
        <f ca="1">IFERROR(INT(CampList[[#This Row],[Distance]]/5)+1,"")</f>
        <v>2</v>
      </c>
      <c r="AM124" s="913"/>
      <c r="AN124" s="913"/>
    </row>
    <row r="125" spans="1:40" s="374" customFormat="1" ht="15.75" customHeight="1" x14ac:dyDescent="0.25">
      <c r="A125" s="589" t="s">
        <v>499</v>
      </c>
      <c r="B125" s="552" t="s">
        <v>380</v>
      </c>
      <c r="C125" s="552" t="s">
        <v>524</v>
      </c>
      <c r="D125" s="552" t="s">
        <v>5</v>
      </c>
      <c r="E125" s="552" t="s">
        <v>528</v>
      </c>
      <c r="F125" s="552" t="s">
        <v>151</v>
      </c>
      <c r="G125" s="552" t="s">
        <v>538</v>
      </c>
      <c r="H125" s="552" t="s">
        <v>742</v>
      </c>
      <c r="I125" s="590" t="s">
        <v>743</v>
      </c>
      <c r="J125" s="552" t="s">
        <v>744</v>
      </c>
      <c r="K125" s="552">
        <v>216948</v>
      </c>
      <c r="L125" s="552" t="s">
        <v>198</v>
      </c>
      <c r="M125" s="552" t="s">
        <v>197</v>
      </c>
      <c r="N125" s="573">
        <v>97.625617000000005</v>
      </c>
      <c r="O125" s="573">
        <v>24.056132999999999</v>
      </c>
      <c r="P125" s="592">
        <v>866</v>
      </c>
      <c r="Q125" s="779">
        <v>547</v>
      </c>
      <c r="R125" s="779">
        <v>2576</v>
      </c>
      <c r="S125" s="574">
        <f>IF(CampList[[#This Row],[HH]]&gt;0,CampList[[#This Row],[Total]]/CampList[[#This Row],[HH]],"NA")</f>
        <v>4.7093235831809874</v>
      </c>
      <c r="T125" s="402" t="s">
        <v>512</v>
      </c>
      <c r="U125" s="553" t="s">
        <v>1180</v>
      </c>
      <c r="V125" s="402" t="s">
        <v>553</v>
      </c>
      <c r="W125" s="402" t="s">
        <v>855</v>
      </c>
      <c r="X125" s="795">
        <v>40817</v>
      </c>
      <c r="Y125" s="592">
        <v>2</v>
      </c>
      <c r="Z125" s="592" t="s">
        <v>1084</v>
      </c>
      <c r="AA125" s="552" t="s">
        <v>841</v>
      </c>
      <c r="AB125" s="573"/>
      <c r="AC125" s="578">
        <v>42915</v>
      </c>
      <c r="AD125" s="594" t="s">
        <v>1574</v>
      </c>
      <c r="AE125" s="580" t="s">
        <v>1073</v>
      </c>
      <c r="AF125" s="595">
        <f>IF(CampList[[#This Row],[Type of Accomodation]]="camp",MAX(0,CampList[[#This Row],[HH]]-SUMIF(Table_Shelter[Pcode],CampList[[#This Row],[CP_Pcode]],Table_Shelter[HH Covered2])),0)</f>
        <v>13</v>
      </c>
      <c r="AG125" s="402"/>
      <c r="AH125" s="572">
        <f>MIN(CampList[[#This Row],[Shelter Gap]],CampList[[#This Row],[Land Status]])</f>
        <v>13</v>
      </c>
      <c r="AI125" s="595" t="str">
        <f ca="1">IFERROR(OFFSET(DistanceToCamp[Nearest Town],MATCH(CampList[[#This Row],[CP_Pcode]],DistanceToCamp[CP_Pcode],0)-1,0,1,1),"")</f>
        <v>Lwegel Town</v>
      </c>
      <c r="AJ125" s="581">
        <f ca="1">IFERROR(OFFSET(DistanceToCamp[distance],MATCH(CampList[[#This Row],[CP_Pcode]],DistanceToCamp[CP_Pcode],0)-1,0,1,1),"")</f>
        <v>18.620903555062636</v>
      </c>
      <c r="AK125" s="596">
        <f ca="1">IFERROR(INT(CampList[[#This Row],[Distance]]/5)+1,"")</f>
        <v>4</v>
      </c>
      <c r="AM125" s="913"/>
      <c r="AN125" s="913"/>
    </row>
    <row r="126" spans="1:40" s="374" customFormat="1" ht="15.75" customHeight="1" x14ac:dyDescent="0.25">
      <c r="A126" s="570" t="s">
        <v>499</v>
      </c>
      <c r="B126" s="551" t="s">
        <v>380</v>
      </c>
      <c r="C126" s="551" t="s">
        <v>524</v>
      </c>
      <c r="D126" s="551" t="s">
        <v>5</v>
      </c>
      <c r="E126" s="551" t="s">
        <v>528</v>
      </c>
      <c r="F126" s="579" t="s">
        <v>151</v>
      </c>
      <c r="G126" s="579" t="s">
        <v>538</v>
      </c>
      <c r="H126" s="579" t="s">
        <v>738</v>
      </c>
      <c r="I126" s="579" t="s">
        <v>739</v>
      </c>
      <c r="J126" s="579" t="s">
        <v>738</v>
      </c>
      <c r="K126" s="579" t="s">
        <v>738</v>
      </c>
      <c r="L126" s="551" t="s">
        <v>188</v>
      </c>
      <c r="M126" s="551" t="s">
        <v>187</v>
      </c>
      <c r="N126" s="571">
        <v>97.609832999999995</v>
      </c>
      <c r="O126" s="571">
        <v>24.002433</v>
      </c>
      <c r="P126" s="572">
        <v>854</v>
      </c>
      <c r="Q126" s="777">
        <v>386</v>
      </c>
      <c r="R126" s="778">
        <v>1902</v>
      </c>
      <c r="S126" s="574">
        <f>IF(CampList[[#This Row],[HH]]&gt;0,CampList[[#This Row],[Total]]/CampList[[#This Row],[HH]],"NA")</f>
        <v>4.9274611398963728</v>
      </c>
      <c r="T126" s="553" t="s">
        <v>512</v>
      </c>
      <c r="U126" s="553" t="s">
        <v>1180</v>
      </c>
      <c r="V126" s="553" t="s">
        <v>553</v>
      </c>
      <c r="W126" s="553" t="s">
        <v>855</v>
      </c>
      <c r="X126" s="794">
        <v>40817</v>
      </c>
      <c r="Y126" s="576">
        <v>2</v>
      </c>
      <c r="Z126" s="575" t="s">
        <v>1084</v>
      </c>
      <c r="AA126" s="598" t="s">
        <v>841</v>
      </c>
      <c r="AB126" s="577"/>
      <c r="AC126" s="578">
        <v>42915</v>
      </c>
      <c r="AD126" s="570" t="s">
        <v>1575</v>
      </c>
      <c r="AE126" s="580" t="s">
        <v>1073</v>
      </c>
      <c r="AF126" s="402">
        <f>IF(CampList[[#This Row],[Type of Accomodation]]="camp",MAX(0,CampList[[#This Row],[HH]]-SUMIF(Table_Shelter[Pcode],CampList[[#This Row],[CP_Pcode]],Table_Shelter[HH Covered2])),0)</f>
        <v>196</v>
      </c>
      <c r="AG126" s="553"/>
      <c r="AH126" s="577">
        <f>MIN(CampList[[#This Row],[Shelter Gap]],CampList[[#This Row],[Land Status]])</f>
        <v>196</v>
      </c>
      <c r="AI126" s="553" t="str">
        <f ca="1">IFERROR(OFFSET(DistanceToCamp[Nearest Town],MATCH(CampList[[#This Row],[CP_Pcode]],DistanceToCamp[CP_Pcode],0)-1,0,1,1),"")</f>
        <v>Namhkan Town</v>
      </c>
      <c r="AJ126" s="581">
        <f ca="1">IFERROR(OFFSET(DistanceToCamp[distance],MATCH(CampList[[#This Row],[CP_Pcode]],DistanceToCamp[CP_Pcode],0)-1,0,1,1),"")</f>
        <v>19.796407430638478</v>
      </c>
      <c r="AK126" s="582">
        <f ca="1">IFERROR(INT(CampList[[#This Row],[Distance]]/5)+1,"")</f>
        <v>4</v>
      </c>
      <c r="AM126" s="913"/>
      <c r="AN126" s="913"/>
    </row>
    <row r="127" spans="1:40" s="374" customFormat="1" ht="15.75" customHeight="1" x14ac:dyDescent="0.25">
      <c r="A127" s="589" t="s">
        <v>499</v>
      </c>
      <c r="B127" s="552" t="s">
        <v>380</v>
      </c>
      <c r="C127" s="552" t="s">
        <v>524</v>
      </c>
      <c r="D127" s="552" t="s">
        <v>5</v>
      </c>
      <c r="E127" s="552" t="s">
        <v>528</v>
      </c>
      <c r="F127" s="552" t="s">
        <v>185</v>
      </c>
      <c r="G127" s="552" t="s">
        <v>532</v>
      </c>
      <c r="H127" s="552" t="s">
        <v>745</v>
      </c>
      <c r="I127" s="590" t="s">
        <v>746</v>
      </c>
      <c r="J127" s="552" t="s">
        <v>747</v>
      </c>
      <c r="K127" s="552">
        <v>167138</v>
      </c>
      <c r="L127" s="552" t="s">
        <v>215</v>
      </c>
      <c r="M127" s="552" t="s">
        <v>214</v>
      </c>
      <c r="N127" s="573">
        <v>97.669366999999994</v>
      </c>
      <c r="O127" s="573">
        <v>24.378167000000001</v>
      </c>
      <c r="P127" s="592">
        <v>1149</v>
      </c>
      <c r="Q127" s="779">
        <v>358</v>
      </c>
      <c r="R127" s="779">
        <v>1655</v>
      </c>
      <c r="S127" s="574">
        <f>IF(CampList[[#This Row],[HH]]&gt;0,CampList[[#This Row],[Total]]/CampList[[#This Row],[HH]],"NA")</f>
        <v>4.6229050279329611</v>
      </c>
      <c r="T127" s="402" t="s">
        <v>512</v>
      </c>
      <c r="U127" s="553" t="s">
        <v>1180</v>
      </c>
      <c r="V127" s="402" t="s">
        <v>553</v>
      </c>
      <c r="W127" s="402" t="s">
        <v>855</v>
      </c>
      <c r="X127" s="795">
        <v>41000</v>
      </c>
      <c r="Y127" s="592">
        <v>2</v>
      </c>
      <c r="Z127" s="592" t="s">
        <v>1084</v>
      </c>
      <c r="AA127" s="552" t="s">
        <v>841</v>
      </c>
      <c r="AB127" s="573"/>
      <c r="AC127" s="578">
        <v>42915</v>
      </c>
      <c r="AD127" s="594" t="s">
        <v>1581</v>
      </c>
      <c r="AE127" s="580" t="s">
        <v>1072</v>
      </c>
      <c r="AF127" s="595">
        <f>IF(CampList[[#This Row],[Type of Accomodation]]="camp",MAX(0,CampList[[#This Row],[HH]]-SUMIF(Table_Shelter[Pcode],CampList[[#This Row],[CP_Pcode]],Table_Shelter[HH Covered2])),0)</f>
        <v>0</v>
      </c>
      <c r="AG127" s="402"/>
      <c r="AH127" s="572">
        <f>MIN(CampList[[#This Row],[Shelter Gap]],CampList[[#This Row],[Land Status]])</f>
        <v>0</v>
      </c>
      <c r="AI127" s="595" t="str">
        <f ca="1">IFERROR(OFFSET(DistanceToCamp[Nearest Town],MATCH(CampList[[#This Row],[CP_Pcode]],DistanceToCamp[CP_Pcode],0)-1,0,1,1),"")</f>
        <v>Lwegel Town</v>
      </c>
      <c r="AJ127" s="581">
        <f ca="1">IFERROR(OFFSET(DistanceToCamp[distance],MATCH(CampList[[#This Row],[CP_Pcode]],DistanceToCamp[CP_Pcode],0)-1,0,1,1),"")</f>
        <v>20.558236360788097</v>
      </c>
      <c r="AK127" s="596">
        <f ca="1">IFERROR(INT(CampList[[#This Row],[Distance]]/5)+1,"")</f>
        <v>5</v>
      </c>
      <c r="AM127" s="913"/>
      <c r="AN127" s="913"/>
    </row>
    <row r="128" spans="1:40" s="374" customFormat="1" ht="15.75" customHeight="1" x14ac:dyDescent="0.25">
      <c r="A128" s="589" t="s">
        <v>499</v>
      </c>
      <c r="B128" s="552" t="s">
        <v>380</v>
      </c>
      <c r="C128" s="552" t="s">
        <v>524</v>
      </c>
      <c r="D128" s="552" t="s">
        <v>5</v>
      </c>
      <c r="E128" s="552" t="s">
        <v>528</v>
      </c>
      <c r="F128" s="552" t="s">
        <v>151</v>
      </c>
      <c r="G128" s="552" t="s">
        <v>538</v>
      </c>
      <c r="H128" s="552" t="s">
        <v>659</v>
      </c>
      <c r="I128" s="590" t="s">
        <v>660</v>
      </c>
      <c r="J128" s="579" t="s">
        <v>659</v>
      </c>
      <c r="K128" s="597">
        <v>167405</v>
      </c>
      <c r="L128" s="552" t="s">
        <v>154</v>
      </c>
      <c r="M128" s="552" t="s">
        <v>153</v>
      </c>
      <c r="N128" s="573">
        <v>97.578490000000002</v>
      </c>
      <c r="O128" s="573">
        <v>23.835319999999999</v>
      </c>
      <c r="P128" s="592">
        <v>795</v>
      </c>
      <c r="Q128" s="779">
        <v>449</v>
      </c>
      <c r="R128" s="779">
        <v>2252</v>
      </c>
      <c r="S128" s="574">
        <f>IF(CampList[[#This Row],[HH]]&gt;0,CampList[[#This Row],[Total]]/CampList[[#This Row],[HH]],"NA")</f>
        <v>5.015590200445434</v>
      </c>
      <c r="T128" s="402" t="s">
        <v>510</v>
      </c>
      <c r="U128" s="553" t="s">
        <v>1180</v>
      </c>
      <c r="V128" s="402" t="s">
        <v>553</v>
      </c>
      <c r="W128" s="402" t="s">
        <v>855</v>
      </c>
      <c r="X128" s="795">
        <v>40848</v>
      </c>
      <c r="Y128" s="592">
        <v>2</v>
      </c>
      <c r="Z128" s="592" t="s">
        <v>1084</v>
      </c>
      <c r="AA128" s="552" t="s">
        <v>841</v>
      </c>
      <c r="AB128" s="573"/>
      <c r="AC128" s="578">
        <v>42915</v>
      </c>
      <c r="AD128" s="594" t="s">
        <v>1576</v>
      </c>
      <c r="AE128" s="580" t="s">
        <v>1088</v>
      </c>
      <c r="AF128" s="595">
        <f>IF(CampList[[#This Row],[Type of Accomodation]]="camp",MAX(0,CampList[[#This Row],[HH]]-SUMIF(Table_Shelter[Pcode],CampList[[#This Row],[CP_Pcode]],Table_Shelter[HH Covered2])),0)</f>
        <v>249</v>
      </c>
      <c r="AG128" s="553"/>
      <c r="AH128" s="577">
        <f>MIN(CampList[[#This Row],[Shelter Gap]],CampList[[#This Row],[Land Status]])</f>
        <v>249</v>
      </c>
      <c r="AI128" s="595" t="str">
        <f ca="1">IFERROR(OFFSET(DistanceToCamp[Nearest Town],MATCH(CampList[[#This Row],[CP_Pcode]],DistanceToCamp[CP_Pcode],0)-1,0,1,1),"")</f>
        <v>Namhkan Town</v>
      </c>
      <c r="AJ128" s="581">
        <f ca="1">IFERROR(OFFSET(DistanceToCamp[distance],MATCH(CampList[[#This Row],[CP_Pcode]],DistanceToCamp[CP_Pcode],0)-1,0,1,1),"")</f>
        <v>10.509375400480517</v>
      </c>
      <c r="AK128" s="596">
        <f ca="1">IFERROR(INT(CampList[[#This Row],[Distance]]/5)+1,"")</f>
        <v>3</v>
      </c>
      <c r="AM128" s="913"/>
      <c r="AN128" s="913"/>
    </row>
    <row r="129" spans="1:40" s="374" customFormat="1" ht="15.75" customHeight="1" x14ac:dyDescent="0.25">
      <c r="A129" s="570" t="s">
        <v>499</v>
      </c>
      <c r="B129" s="551" t="s">
        <v>380</v>
      </c>
      <c r="C129" s="551" t="s">
        <v>524</v>
      </c>
      <c r="D129" s="551" t="s">
        <v>5</v>
      </c>
      <c r="E129" s="551" t="s">
        <v>528</v>
      </c>
      <c r="F129" s="551" t="s">
        <v>151</v>
      </c>
      <c r="G129" s="551" t="s">
        <v>538</v>
      </c>
      <c r="H129" s="579" t="s">
        <v>659</v>
      </c>
      <c r="I129" s="579" t="s">
        <v>660</v>
      </c>
      <c r="J129" s="579" t="s">
        <v>659</v>
      </c>
      <c r="K129" s="597">
        <v>167405</v>
      </c>
      <c r="L129" s="551" t="s">
        <v>160</v>
      </c>
      <c r="M129" s="551" t="s">
        <v>159</v>
      </c>
      <c r="N129" s="571">
        <v>97.589979999999997</v>
      </c>
      <c r="O129" s="571">
        <v>23.83013</v>
      </c>
      <c r="P129" s="572">
        <v>741</v>
      </c>
      <c r="Q129" s="776">
        <v>98</v>
      </c>
      <c r="R129" s="776">
        <v>524</v>
      </c>
      <c r="S129" s="574">
        <f>IF(CampList[[#This Row],[HH]]&gt;0,CampList[[#This Row],[Total]]/CampList[[#This Row],[HH]],"NA")</f>
        <v>5.3469387755102042</v>
      </c>
      <c r="T129" s="553" t="s">
        <v>510</v>
      </c>
      <c r="U129" s="553" t="s">
        <v>1180</v>
      </c>
      <c r="V129" s="553" t="s">
        <v>553</v>
      </c>
      <c r="W129" s="553" t="s">
        <v>855</v>
      </c>
      <c r="X129" s="794">
        <v>40940</v>
      </c>
      <c r="Y129" s="576">
        <v>2</v>
      </c>
      <c r="Z129" s="575" t="s">
        <v>459</v>
      </c>
      <c r="AA129" s="598" t="s">
        <v>841</v>
      </c>
      <c r="AB129" s="577"/>
      <c r="AC129" s="578">
        <v>42919</v>
      </c>
      <c r="AD129" s="579" t="s">
        <v>1669</v>
      </c>
      <c r="AE129" s="580" t="s">
        <v>1088</v>
      </c>
      <c r="AF129" s="402">
        <f>IF(CampList[[#This Row],[Type of Accomodation]]="camp",MAX(0,CampList[[#This Row],[HH]]-SUMIF(Table_Shelter[Pcode],CampList[[#This Row],[CP_Pcode]],Table_Shelter[HH Covered2])),0)</f>
        <v>24</v>
      </c>
      <c r="AG129" s="553"/>
      <c r="AH129" s="577">
        <f>MIN(CampList[[#This Row],[Shelter Gap]],CampList[[#This Row],[Land Status]])</f>
        <v>24</v>
      </c>
      <c r="AI129" s="553" t="str">
        <f ca="1">IFERROR(OFFSET(DistanceToCamp[Nearest Town],MATCH(CampList[[#This Row],[CP_Pcode]],DistanceToCamp[CP_Pcode],0)-1,0,1,1),"")</f>
        <v>Namhkan Town</v>
      </c>
      <c r="AJ129" s="581">
        <f ca="1">IFERROR(OFFSET(DistanceToCamp[distance],MATCH(CampList[[#This Row],[CP_Pcode]],DistanceToCamp[CP_Pcode],0)-1,0,1,1),"")</f>
        <v>9.3704379947870464</v>
      </c>
      <c r="AK129" s="582">
        <f ca="1">IFERROR(INT(CampList[[#This Row],[Distance]]/5)+1,"")</f>
        <v>2</v>
      </c>
      <c r="AM129" s="913"/>
      <c r="AN129" s="913"/>
    </row>
    <row r="130" spans="1:40" s="374" customFormat="1" ht="15.75" customHeight="1" x14ac:dyDescent="0.25">
      <c r="A130" s="570" t="s">
        <v>499</v>
      </c>
      <c r="B130" s="551" t="s">
        <v>380</v>
      </c>
      <c r="C130" s="551" t="s">
        <v>524</v>
      </c>
      <c r="D130" s="551" t="s">
        <v>5</v>
      </c>
      <c r="E130" s="551" t="s">
        <v>528</v>
      </c>
      <c r="F130" s="551" t="s">
        <v>151</v>
      </c>
      <c r="G130" s="551" t="s">
        <v>538</v>
      </c>
      <c r="H130" s="579" t="s">
        <v>659</v>
      </c>
      <c r="I130" s="579" t="s">
        <v>660</v>
      </c>
      <c r="J130" s="579" t="s">
        <v>659</v>
      </c>
      <c r="K130" s="579">
        <v>167405</v>
      </c>
      <c r="L130" s="551" t="s">
        <v>156</v>
      </c>
      <c r="M130" s="551" t="s">
        <v>155</v>
      </c>
      <c r="N130" s="571">
        <v>97.588291999999996</v>
      </c>
      <c r="O130" s="571">
        <v>23.827870999999998</v>
      </c>
      <c r="P130" s="592"/>
      <c r="Q130" s="777">
        <v>175</v>
      </c>
      <c r="R130" s="778">
        <v>834</v>
      </c>
      <c r="S130" s="574">
        <f>IF(CampList[[#This Row],[HH]]&gt;0,CampList[[#This Row],[Total]]/CampList[[#This Row],[HH]],"NA")</f>
        <v>4.765714285714286</v>
      </c>
      <c r="T130" s="553" t="s">
        <v>510</v>
      </c>
      <c r="U130" s="553" t="s">
        <v>1180</v>
      </c>
      <c r="V130" s="605" t="s">
        <v>12</v>
      </c>
      <c r="W130" s="553" t="s">
        <v>855</v>
      </c>
      <c r="X130" s="795"/>
      <c r="Y130" s="592"/>
      <c r="Z130" s="577"/>
      <c r="AA130" s="598" t="s">
        <v>841</v>
      </c>
      <c r="AB130" s="577"/>
      <c r="AC130" s="578">
        <v>42397</v>
      </c>
      <c r="AD130" s="579" t="s">
        <v>1307</v>
      </c>
      <c r="AE130" s="602" t="s">
        <v>1088</v>
      </c>
      <c r="AF130" s="402">
        <f>IF(CampList[[#This Row],[Type of Accomodation]]="camp",MAX(0,CampList[[#This Row],[HH]]-SUMIF(Table_Shelter[Pcode],CampList[[#This Row],[CP_Pcode]],Table_Shelter[HH Covered2])),0)</f>
        <v>0</v>
      </c>
      <c r="AG130" s="553"/>
      <c r="AH130" s="577">
        <f>MIN(CampList[[#This Row],[Shelter Gap]],CampList[[#This Row],[Land Status]])</f>
        <v>0</v>
      </c>
      <c r="AI130" s="553" t="str">
        <f ca="1">IFERROR(OFFSET(DistanceToCamp[Nearest Town],MATCH(CampList[[#This Row],[CP_Pcode]],DistanceToCamp[CP_Pcode],0)-1,0,1,1),"")</f>
        <v>Namhkan Town</v>
      </c>
      <c r="AJ130" s="581">
        <f ca="1">IFERROR(OFFSET(DistanceToCamp[distance],MATCH(CampList[[#This Row],[CP_Pcode]],DistanceToCamp[CP_Pcode],0)-1,0,1,1),"")</f>
        <v>9.5650381623500511</v>
      </c>
      <c r="AK130" s="582">
        <f ca="1">IFERROR(INT(CampList[[#This Row],[Distance]]/5)+1,"")</f>
        <v>2</v>
      </c>
      <c r="AM130" s="913"/>
      <c r="AN130" s="913"/>
    </row>
    <row r="131" spans="1:40" s="374" customFormat="1" ht="15.75" hidden="1" customHeight="1" x14ac:dyDescent="0.25">
      <c r="A131" s="570" t="s">
        <v>842</v>
      </c>
      <c r="B131" s="551" t="s">
        <v>380</v>
      </c>
      <c r="C131" s="551" t="s">
        <v>524</v>
      </c>
      <c r="D131" s="551" t="s">
        <v>5</v>
      </c>
      <c r="E131" s="551" t="s">
        <v>528</v>
      </c>
      <c r="F131" s="551" t="s">
        <v>151</v>
      </c>
      <c r="G131" s="551" t="s">
        <v>538</v>
      </c>
      <c r="H131" s="579" t="s">
        <v>871</v>
      </c>
      <c r="I131" s="579" t="s">
        <v>872</v>
      </c>
      <c r="J131" s="579" t="s">
        <v>870</v>
      </c>
      <c r="K131" s="579">
        <v>167391</v>
      </c>
      <c r="L131" s="551" t="s">
        <v>874</v>
      </c>
      <c r="M131" s="551" t="s">
        <v>873</v>
      </c>
      <c r="N131" s="571">
        <v>97.710989999999995</v>
      </c>
      <c r="O131" s="611">
        <v>24.181640000000002</v>
      </c>
      <c r="P131" s="591"/>
      <c r="Q131" s="705">
        <v>0</v>
      </c>
      <c r="R131" s="706">
        <v>0</v>
      </c>
      <c r="S131" s="574" t="str">
        <f>IF(CampList[[#This Row],[HH]]&gt;0,CampList[[#This Row],[Total]]/CampList[[#This Row],[HH]],"NA")</f>
        <v>NA</v>
      </c>
      <c r="T131" s="553" t="s">
        <v>510</v>
      </c>
      <c r="U131" s="583" t="s">
        <v>1180</v>
      </c>
      <c r="V131" s="553" t="s">
        <v>553</v>
      </c>
      <c r="W131" s="583"/>
      <c r="X131" s="600"/>
      <c r="Y131" s="591"/>
      <c r="Z131" s="601"/>
      <c r="AA131" s="598" t="s">
        <v>841</v>
      </c>
      <c r="AB131" s="577"/>
      <c r="AC131" s="578">
        <v>41701</v>
      </c>
      <c r="AD131" s="570" t="s">
        <v>1010</v>
      </c>
      <c r="AE131" s="602" t="s">
        <v>1006</v>
      </c>
      <c r="AF131" s="402">
        <f>IF(CampList[[#This Row],[Type of Accomodation]]="camp",MAX(0,CampList[[#This Row],[HH]]-SUMIF(Table_Shelter[Pcode],CampList[[#This Row],[CP_Pcode]],Table_Shelter[HH Covered2])),0)</f>
        <v>0</v>
      </c>
      <c r="AG131" s="553"/>
      <c r="AH131" s="577">
        <f>MIN(CampList[[#This Row],[Shelter Gap]],CampList[[#This Row],[Land Status]])</f>
        <v>0</v>
      </c>
      <c r="AI131" s="553" t="str">
        <f ca="1">IFERROR(OFFSET(DistanceToCamp[Nearest Town],MATCH(CampList[[#This Row],[CP_Pcode]],DistanceToCamp[CP_Pcode],0)-1,0,1,1),"")</f>
        <v/>
      </c>
      <c r="AJ131" s="581" t="str">
        <f ca="1">IFERROR(OFFSET(DistanceToCamp[distance],MATCH(CampList[[#This Row],[CP_Pcode]],DistanceToCamp[CP_Pcode],0)-1,0,1,1),"")</f>
        <v/>
      </c>
      <c r="AK131" s="582" t="str">
        <f ca="1">IFERROR(INT(CampList[[#This Row],[Distance]]/5)+1,"")</f>
        <v/>
      </c>
      <c r="AM131" s="913"/>
      <c r="AN131" s="913"/>
    </row>
    <row r="132" spans="1:40" s="374" customFormat="1" ht="15.75" hidden="1" customHeight="1" x14ac:dyDescent="0.25">
      <c r="A132" s="570" t="s">
        <v>842</v>
      </c>
      <c r="B132" s="551" t="s">
        <v>380</v>
      </c>
      <c r="C132" s="551" t="s">
        <v>524</v>
      </c>
      <c r="D132" s="551" t="s">
        <v>237</v>
      </c>
      <c r="E132" s="551" t="s">
        <v>530</v>
      </c>
      <c r="F132" s="551" t="s">
        <v>310</v>
      </c>
      <c r="G132" s="551" t="s">
        <v>531</v>
      </c>
      <c r="H132" s="579" t="s">
        <v>726</v>
      </c>
      <c r="I132" s="579" t="s">
        <v>727</v>
      </c>
      <c r="J132" s="579" t="s">
        <v>726</v>
      </c>
      <c r="K132" s="579">
        <v>165772</v>
      </c>
      <c r="L132" s="551" t="s">
        <v>332</v>
      </c>
      <c r="M132" s="551" t="s">
        <v>331</v>
      </c>
      <c r="N132" s="571">
        <v>97.550267000000005</v>
      </c>
      <c r="O132" s="571">
        <v>24.747966999999999</v>
      </c>
      <c r="P132" s="591"/>
      <c r="Q132" s="705">
        <v>0</v>
      </c>
      <c r="R132" s="706">
        <v>0</v>
      </c>
      <c r="S132" s="574" t="str">
        <f>IF(CampList[[#This Row],[HH]]&gt;0,CampList[[#This Row],[Total]]/CampList[[#This Row],[HH]],"NA")</f>
        <v>NA</v>
      </c>
      <c r="T132" s="553" t="s">
        <v>510</v>
      </c>
      <c r="U132" s="583" t="s">
        <v>1180</v>
      </c>
      <c r="V132" s="553" t="s">
        <v>553</v>
      </c>
      <c r="W132" s="583"/>
      <c r="X132" s="600"/>
      <c r="Y132" s="591"/>
      <c r="Z132" s="601"/>
      <c r="AA132" s="598"/>
      <c r="AB132" s="577"/>
      <c r="AC132" s="604"/>
      <c r="AD132" s="570" t="s">
        <v>843</v>
      </c>
      <c r="AE132" s="602" t="s">
        <v>1006</v>
      </c>
      <c r="AF132" s="402">
        <f>IF(CampList[[#This Row],[Type of Accomodation]]="camp",MAX(0,CampList[[#This Row],[HH]]-SUMIF(Table_Shelter[Pcode],CampList[[#This Row],[CP_Pcode]],Table_Shelter[HH Covered2])),0)</f>
        <v>0</v>
      </c>
      <c r="AG132" s="553"/>
      <c r="AH132" s="577">
        <f>MIN(CampList[[#This Row],[Shelter Gap]],CampList[[#This Row],[Land Status]])</f>
        <v>0</v>
      </c>
      <c r="AI132" s="553" t="str">
        <f ca="1">IFERROR(OFFSET(DistanceToCamp[Nearest Town],MATCH(CampList[[#This Row],[CP_Pcode]],DistanceToCamp[CP_Pcode],0)-1,0,1,1),"")</f>
        <v/>
      </c>
      <c r="AJ132" s="581" t="str">
        <f ca="1">IFERROR(OFFSET(DistanceToCamp[distance],MATCH(CampList[[#This Row],[CP_Pcode]],DistanceToCamp[CP_Pcode],0)-1,0,1,1),"")</f>
        <v/>
      </c>
      <c r="AK132" s="582" t="str">
        <f ca="1">IFERROR(INT(CampList[[#This Row],[Distance]]/5)+1,"")</f>
        <v/>
      </c>
      <c r="AM132" s="913"/>
      <c r="AN132" s="913"/>
    </row>
    <row r="133" spans="1:40" s="374" customFormat="1" ht="15.75" hidden="1" customHeight="1" x14ac:dyDescent="0.25">
      <c r="A133" s="570" t="s">
        <v>842</v>
      </c>
      <c r="B133" s="551" t="s">
        <v>380</v>
      </c>
      <c r="C133" s="551" t="s">
        <v>524</v>
      </c>
      <c r="D133" s="551" t="s">
        <v>5</v>
      </c>
      <c r="E133" s="551" t="s">
        <v>528</v>
      </c>
      <c r="F133" s="551" t="s">
        <v>185</v>
      </c>
      <c r="G133" s="551" t="s">
        <v>532</v>
      </c>
      <c r="H133" s="579" t="s">
        <v>661</v>
      </c>
      <c r="I133" s="579" t="s">
        <v>662</v>
      </c>
      <c r="J133" s="579" t="s">
        <v>663</v>
      </c>
      <c r="K133" s="579" t="s">
        <v>664</v>
      </c>
      <c r="L133" s="551" t="s">
        <v>207</v>
      </c>
      <c r="M133" s="551" t="s">
        <v>206</v>
      </c>
      <c r="N133" s="571">
        <v>97.346940000000004</v>
      </c>
      <c r="O133" s="571">
        <v>24.251860000000001</v>
      </c>
      <c r="P133" s="587">
        <v>0</v>
      </c>
      <c r="Q133" s="705"/>
      <c r="R133" s="706"/>
      <c r="S133" s="574" t="str">
        <f>IF(CampList[[#This Row],[HH]]&gt;0,CampList[[#This Row],[Total]]/CampList[[#This Row],[HH]],"NA")</f>
        <v>NA</v>
      </c>
      <c r="T133" s="553" t="s">
        <v>510</v>
      </c>
      <c r="U133" s="583" t="s">
        <v>1180</v>
      </c>
      <c r="V133" s="553" t="s">
        <v>553</v>
      </c>
      <c r="W133" s="583" t="s">
        <v>802</v>
      </c>
      <c r="X133" s="584">
        <v>40817</v>
      </c>
      <c r="Y133" s="585"/>
      <c r="Z133" s="584"/>
      <c r="AA133" s="598" t="s">
        <v>841</v>
      </c>
      <c r="AB133" s="577"/>
      <c r="AC133" s="578">
        <v>42317</v>
      </c>
      <c r="AD133" s="570" t="s">
        <v>1298</v>
      </c>
      <c r="AE133" s="580" t="s">
        <v>1088</v>
      </c>
      <c r="AF133" s="402">
        <f>IF(CampList[[#This Row],[Type of Accomodation]]="camp",MAX(0,CampList[[#This Row],[HH]]-SUMIF(Table_Shelter[Pcode],CampList[[#This Row],[CP_Pcode]],Table_Shelter[HH Covered2])),0)</f>
        <v>0</v>
      </c>
      <c r="AG133" s="553"/>
      <c r="AH133" s="577">
        <f>MIN(CampList[[#This Row],[Shelter Gap]],CampList[[#This Row],[Land Status]])</f>
        <v>0</v>
      </c>
      <c r="AI133" s="553"/>
      <c r="AJ133" s="581"/>
      <c r="AK133" s="582"/>
      <c r="AM133" s="913"/>
      <c r="AN133" s="913"/>
    </row>
    <row r="134" spans="1:40" s="374" customFormat="1" ht="15.75" hidden="1" customHeight="1" x14ac:dyDescent="0.25">
      <c r="A134" s="570" t="s">
        <v>842</v>
      </c>
      <c r="B134" s="551" t="s">
        <v>380</v>
      </c>
      <c r="C134" s="551" t="s">
        <v>524</v>
      </c>
      <c r="D134" s="551" t="s">
        <v>180</v>
      </c>
      <c r="E134" s="551" t="s">
        <v>525</v>
      </c>
      <c r="F134" s="551" t="s">
        <v>526</v>
      </c>
      <c r="G134" s="551" t="s">
        <v>527</v>
      </c>
      <c r="H134" s="579" t="s">
        <v>602</v>
      </c>
      <c r="I134" s="579" t="s">
        <v>603</v>
      </c>
      <c r="J134" s="579" t="s">
        <v>700</v>
      </c>
      <c r="K134" s="579" t="s">
        <v>701</v>
      </c>
      <c r="L134" s="551" t="s">
        <v>54</v>
      </c>
      <c r="M134" s="551" t="s">
        <v>53</v>
      </c>
      <c r="N134" s="571">
        <v>96.310928000000004</v>
      </c>
      <c r="O134" s="571">
        <v>25.609179999999999</v>
      </c>
      <c r="P134" s="591"/>
      <c r="Q134" s="705">
        <v>0</v>
      </c>
      <c r="R134" s="706">
        <v>0</v>
      </c>
      <c r="S134" s="574" t="str">
        <f>IF(CampList[[#This Row],[HH]]&gt;0,CampList[[#This Row],[Total]]/CampList[[#This Row],[HH]],"NA")</f>
        <v>NA</v>
      </c>
      <c r="T134" s="553" t="s">
        <v>510</v>
      </c>
      <c r="U134" s="583" t="s">
        <v>1180</v>
      </c>
      <c r="V134" s="553" t="s">
        <v>553</v>
      </c>
      <c r="W134" s="583"/>
      <c r="X134" s="600"/>
      <c r="Y134" s="591"/>
      <c r="Z134" s="601"/>
      <c r="AA134" s="598"/>
      <c r="AB134" s="577"/>
      <c r="AC134" s="604"/>
      <c r="AD134" s="570" t="s">
        <v>600</v>
      </c>
      <c r="AE134" s="602" t="s">
        <v>1006</v>
      </c>
      <c r="AF134" s="402">
        <f>IF(CampList[[#This Row],[Type of Accomodation]]="camp",MAX(0,CampList[[#This Row],[HH]]-SUMIF(Table_Shelter[Pcode],CampList[[#This Row],[CP_Pcode]],Table_Shelter[HH Covered2])),0)</f>
        <v>0</v>
      </c>
      <c r="AG134" s="553"/>
      <c r="AH134" s="577">
        <f>MIN(CampList[[#This Row],[Shelter Gap]],CampList[[#This Row],[Land Status]])</f>
        <v>0</v>
      </c>
      <c r="AI134" s="553" t="str">
        <f ca="1">IFERROR(OFFSET(DistanceToCamp[Nearest Town],MATCH(CampList[[#This Row],[CP_Pcode]],DistanceToCamp[CP_Pcode],0)-1,0,1,1),"")</f>
        <v/>
      </c>
      <c r="AJ134" s="581" t="str">
        <f ca="1">IFERROR(OFFSET(DistanceToCamp[distance],MATCH(CampList[[#This Row],[CP_Pcode]],DistanceToCamp[CP_Pcode],0)-1,0,1,1),"")</f>
        <v/>
      </c>
      <c r="AK134" s="582" t="str">
        <f ca="1">IFERROR(INT(CampList[[#This Row],[Distance]]/5)+1,"")</f>
        <v/>
      </c>
      <c r="AM134" s="913"/>
      <c r="AN134" s="913"/>
    </row>
    <row r="135" spans="1:40" s="374" customFormat="1" ht="15.75" customHeight="1" x14ac:dyDescent="0.25">
      <c r="A135" s="598" t="s">
        <v>499</v>
      </c>
      <c r="B135" s="551" t="s">
        <v>380</v>
      </c>
      <c r="C135" s="551" t="s">
        <v>524</v>
      </c>
      <c r="D135" s="551" t="s">
        <v>5</v>
      </c>
      <c r="E135" s="551" t="s">
        <v>528</v>
      </c>
      <c r="F135" s="551" t="s">
        <v>302</v>
      </c>
      <c r="G135" s="551" t="s">
        <v>539</v>
      </c>
      <c r="H135" s="551"/>
      <c r="I135" s="551"/>
      <c r="J135" s="551"/>
      <c r="K135" s="551"/>
      <c r="L135" s="551" t="s">
        <v>304</v>
      </c>
      <c r="M135" s="551" t="s">
        <v>303</v>
      </c>
      <c r="N135" s="571"/>
      <c r="O135" s="571"/>
      <c r="P135" s="592"/>
      <c r="Q135" s="777">
        <v>375</v>
      </c>
      <c r="R135" s="778">
        <v>1691</v>
      </c>
      <c r="S135" s="574">
        <f>IF(CampList[[#This Row],[HH]]&gt;0,CampList[[#This Row],[Total]]/CampList[[#This Row],[HH]],"NA")</f>
        <v>4.5093333333333332</v>
      </c>
      <c r="T135" s="553" t="s">
        <v>510</v>
      </c>
      <c r="U135" s="553" t="s">
        <v>1180</v>
      </c>
      <c r="V135" s="553" t="s">
        <v>12</v>
      </c>
      <c r="W135" s="553" t="s">
        <v>855</v>
      </c>
      <c r="X135" s="795">
        <v>41701</v>
      </c>
      <c r="Y135" s="592"/>
      <c r="Z135" s="577"/>
      <c r="AA135" s="598" t="s">
        <v>571</v>
      </c>
      <c r="AB135" s="577"/>
      <c r="AC135" s="578">
        <v>42888</v>
      </c>
      <c r="AD135" s="570" t="s">
        <v>1543</v>
      </c>
      <c r="AE135" s="602" t="s">
        <v>1088</v>
      </c>
      <c r="AF135" s="402">
        <f>IF(CampList[[#This Row],[Type of Accomodation]]="camp",MAX(0,CampList[[#This Row],[HH]]-SUMIF(Table_Shelter[Pcode],CampList[[#This Row],[CP_Pcode]],Table_Shelter[HH Covered2])),0)</f>
        <v>0</v>
      </c>
      <c r="AG135" s="553"/>
      <c r="AH135" s="577">
        <f>MIN(CampList[[#This Row],[Shelter Gap]],CampList[[#This Row],[Land Status]])</f>
        <v>0</v>
      </c>
      <c r="AI135" s="553" t="str">
        <f ca="1">IFERROR(OFFSET(DistanceToCamp[Nearest Town],MATCH(CampList[[#This Row],[CP_Pcode]],DistanceToCamp[CP_Pcode],0)-1,0,1,1),"")</f>
        <v/>
      </c>
      <c r="AJ135" s="581" t="str">
        <f ca="1">IFERROR(OFFSET(DistanceToCamp[distance],MATCH(CampList[[#This Row],[CP_Pcode]],DistanceToCamp[CP_Pcode],0)-1,0,1,1),"")</f>
        <v/>
      </c>
      <c r="AK135" s="582" t="str">
        <f ca="1">IFERROR(INT(CampList[[#This Row],[Distance]]/5)+1,"")</f>
        <v/>
      </c>
      <c r="AM135" s="913"/>
      <c r="AN135" s="913"/>
    </row>
    <row r="136" spans="1:40" s="374" customFormat="1" ht="15.75" customHeight="1" x14ac:dyDescent="0.25">
      <c r="A136" s="570" t="s">
        <v>499</v>
      </c>
      <c r="B136" s="551" t="s">
        <v>380</v>
      </c>
      <c r="C136" s="551" t="s">
        <v>524</v>
      </c>
      <c r="D136" s="551" t="s">
        <v>180</v>
      </c>
      <c r="E136" s="551" t="s">
        <v>525</v>
      </c>
      <c r="F136" s="551" t="s">
        <v>526</v>
      </c>
      <c r="G136" s="551" t="s">
        <v>527</v>
      </c>
      <c r="H136" s="551" t="s">
        <v>1123</v>
      </c>
      <c r="I136" s="551" t="s">
        <v>1241</v>
      </c>
      <c r="J136" s="551" t="s">
        <v>1353</v>
      </c>
      <c r="K136" s="597">
        <v>220512</v>
      </c>
      <c r="L136" s="551" t="s">
        <v>88</v>
      </c>
      <c r="M136" s="551" t="s">
        <v>87</v>
      </c>
      <c r="N136" s="571">
        <v>96.705960000000005</v>
      </c>
      <c r="O136" s="571">
        <v>25.51352</v>
      </c>
      <c r="P136" s="572">
        <v>0</v>
      </c>
      <c r="Q136" s="776">
        <v>13</v>
      </c>
      <c r="R136" s="776">
        <v>45</v>
      </c>
      <c r="S136" s="574">
        <f>IF(CampList[[#This Row],[HH]]&gt;0,CampList[[#This Row],[Total]]/CampList[[#This Row],[HH]],"NA")</f>
        <v>3.4615384615384617</v>
      </c>
      <c r="T136" s="553" t="s">
        <v>510</v>
      </c>
      <c r="U136" s="553" t="s">
        <v>1180</v>
      </c>
      <c r="V136" s="553" t="s">
        <v>553</v>
      </c>
      <c r="W136" s="553" t="s">
        <v>802</v>
      </c>
      <c r="X136" s="794">
        <v>41183</v>
      </c>
      <c r="Y136" s="576">
        <v>1</v>
      </c>
      <c r="Z136" s="575" t="s">
        <v>459</v>
      </c>
      <c r="AA136" s="598" t="s">
        <v>841</v>
      </c>
      <c r="AB136" s="577"/>
      <c r="AC136" s="578">
        <v>42919</v>
      </c>
      <c r="AD136" s="570" t="s">
        <v>1670</v>
      </c>
      <c r="AE136" s="580" t="s">
        <v>1088</v>
      </c>
      <c r="AF136" s="402">
        <f>IF(CampList[[#This Row],[Type of Accomodation]]="camp",MAX(0,CampList[[#This Row],[HH]]-SUMIF(Table_Shelter[Pcode],CampList[[#This Row],[CP_Pcode]],Table_Shelter[HH Covered2])),0)</f>
        <v>13</v>
      </c>
      <c r="AG136" s="553"/>
      <c r="AH136" s="577">
        <f>MIN(CampList[[#This Row],[Shelter Gap]],CampList[[#This Row],[Land Status]])</f>
        <v>13</v>
      </c>
      <c r="AI136" s="553" t="str">
        <f ca="1">IFERROR(OFFSET(DistanceToCamp[Nearest Town],MATCH(CampList[[#This Row],[CP_Pcode]],DistanceToCamp[CP_Pcode],0)-1,0,1,1),"")</f>
        <v>Kamaing Town</v>
      </c>
      <c r="AJ136" s="581">
        <f ca="1">IFERROR(OFFSET(DistanceToCamp[distance],MATCH(CampList[[#This Row],[CP_Pcode]],DistanceToCamp[CP_Pcode],0)-1,0,1,1),"")</f>
        <v>1.1537462444167914</v>
      </c>
      <c r="AK136" s="582">
        <f ca="1">IFERROR(INT(CampList[[#This Row],[Distance]]/5)+1,"")</f>
        <v>1</v>
      </c>
      <c r="AM136" s="913"/>
      <c r="AN136" s="913"/>
    </row>
    <row r="137" spans="1:40" s="374" customFormat="1" ht="15.75" customHeight="1" x14ac:dyDescent="0.25">
      <c r="A137" s="598" t="s">
        <v>499</v>
      </c>
      <c r="B137" s="551" t="s">
        <v>380</v>
      </c>
      <c r="C137" s="551" t="s">
        <v>524</v>
      </c>
      <c r="D137" s="551" t="s">
        <v>237</v>
      </c>
      <c r="E137" s="551" t="s">
        <v>530</v>
      </c>
      <c r="F137" s="551" t="s">
        <v>310</v>
      </c>
      <c r="G137" s="551" t="s">
        <v>531</v>
      </c>
      <c r="H137" s="551" t="s">
        <v>763</v>
      </c>
      <c r="I137" s="551" t="s">
        <v>764</v>
      </c>
      <c r="J137" s="551" t="s">
        <v>801</v>
      </c>
      <c r="K137" s="551">
        <v>165816</v>
      </c>
      <c r="L137" s="551" t="s">
        <v>340</v>
      </c>
      <c r="M137" s="551" t="s">
        <v>339</v>
      </c>
      <c r="N137" s="571">
        <v>97.718008999999995</v>
      </c>
      <c r="O137" s="571">
        <v>25.108011999999999</v>
      </c>
      <c r="P137" s="592"/>
      <c r="Q137" s="705">
        <v>355</v>
      </c>
      <c r="R137" s="706">
        <v>4450</v>
      </c>
      <c r="S137" s="574">
        <f>IF(CampList[[#This Row],[HH]]&gt;0,CampList[[#This Row],[Total]]/CampList[[#This Row],[HH]],"NA")</f>
        <v>12.535211267605634</v>
      </c>
      <c r="T137" s="553" t="s">
        <v>512</v>
      </c>
      <c r="U137" s="553" t="s">
        <v>1225</v>
      </c>
      <c r="V137" s="607" t="s">
        <v>1224</v>
      </c>
      <c r="W137" s="553" t="s">
        <v>802</v>
      </c>
      <c r="X137" s="795"/>
      <c r="Y137" s="592"/>
      <c r="Z137" s="577"/>
      <c r="AA137" s="598" t="s">
        <v>571</v>
      </c>
      <c r="AB137" s="577"/>
      <c r="AC137" s="578">
        <v>41803</v>
      </c>
      <c r="AD137" s="570" t="s">
        <v>1223</v>
      </c>
      <c r="AE137" s="602" t="s">
        <v>1088</v>
      </c>
      <c r="AF137" s="402">
        <f>IF(CampList[[#This Row],[Type of Accomodation]]="camp",MAX(0,CampList[[#This Row],[HH]]-SUMIF(Table_Shelter[Pcode],CampList[[#This Row],[CP_Pcode]],Table_Shelter[HH Covered2])),0)</f>
        <v>0</v>
      </c>
      <c r="AG137" s="553"/>
      <c r="AH137" s="577">
        <f>MIN(CampList[[#This Row],[Shelter Gap]],CampList[[#This Row],[Land Status]])</f>
        <v>0</v>
      </c>
      <c r="AI137" s="553" t="str">
        <f ca="1">IFERROR(OFFSET(DistanceToCamp[Nearest Town],MATCH(CampList[[#This Row],[CP_Pcode]],DistanceToCamp[CP_Pcode],0)-1,0,1,1),"")</f>
        <v>Sadung Town</v>
      </c>
      <c r="AJ137" s="581">
        <f ca="1">IFERROR(OFFSET(DistanceToCamp[distance],MATCH(CampList[[#This Row],[CP_Pcode]],DistanceToCamp[CP_Pcode],0)-1,0,1,1),"")</f>
        <v>34.344689881690819</v>
      </c>
      <c r="AK137" s="582">
        <f ca="1">IFERROR(INT(CampList[[#This Row],[Distance]]/5)+1,"")</f>
        <v>7</v>
      </c>
      <c r="AM137" s="913"/>
      <c r="AN137" s="913"/>
    </row>
    <row r="138" spans="1:40" s="374" customFormat="1" ht="15.75" customHeight="1" x14ac:dyDescent="0.25">
      <c r="A138" s="570" t="s">
        <v>499</v>
      </c>
      <c r="B138" s="551" t="s">
        <v>380</v>
      </c>
      <c r="C138" s="551" t="s">
        <v>524</v>
      </c>
      <c r="D138" s="551" t="s">
        <v>180</v>
      </c>
      <c r="E138" s="551" t="s">
        <v>525</v>
      </c>
      <c r="F138" s="551" t="s">
        <v>180</v>
      </c>
      <c r="G138" s="551" t="s">
        <v>550</v>
      </c>
      <c r="H138" s="551" t="s">
        <v>615</v>
      </c>
      <c r="I138" s="551" t="s">
        <v>616</v>
      </c>
      <c r="J138" s="551" t="s">
        <v>933</v>
      </c>
      <c r="K138" s="551"/>
      <c r="L138" s="551" t="s">
        <v>287</v>
      </c>
      <c r="M138" s="551" t="s">
        <v>286</v>
      </c>
      <c r="N138" s="571">
        <v>96.364949999999993</v>
      </c>
      <c r="O138" s="571">
        <v>24.998349999999999</v>
      </c>
      <c r="P138" s="572"/>
      <c r="Q138" s="776">
        <v>19</v>
      </c>
      <c r="R138" s="776">
        <v>103</v>
      </c>
      <c r="S138" s="574">
        <f>IF(CampList[[#This Row],[HH]]&gt;0,CampList[[#This Row],[Total]]/CampList[[#This Row],[HH]],"NA")</f>
        <v>5.4210526315789478</v>
      </c>
      <c r="T138" s="553" t="s">
        <v>510</v>
      </c>
      <c r="U138" s="553" t="s">
        <v>1180</v>
      </c>
      <c r="V138" s="553" t="s">
        <v>553</v>
      </c>
      <c r="W138" s="553" t="s">
        <v>855</v>
      </c>
      <c r="X138" s="794">
        <v>40940</v>
      </c>
      <c r="Y138" s="576">
        <v>1</v>
      </c>
      <c r="Z138" s="575" t="s">
        <v>459</v>
      </c>
      <c r="AA138" s="551" t="s">
        <v>841</v>
      </c>
      <c r="AB138" s="577"/>
      <c r="AC138" s="578">
        <v>42919</v>
      </c>
      <c r="AD138" s="579" t="s">
        <v>1671</v>
      </c>
      <c r="AE138" s="580" t="s">
        <v>1088</v>
      </c>
      <c r="AF138" s="402">
        <f>IF(CampList[[#This Row],[Type of Accomodation]]="camp",MAX(0,CampList[[#This Row],[HH]]-SUMIF(Table_Shelter[Pcode],CampList[[#This Row],[CP_Pcode]],Table_Shelter[HH Covered2])),0)</f>
        <v>0</v>
      </c>
      <c r="AG138" s="553"/>
      <c r="AH138" s="577">
        <f>MIN(CampList[[#This Row],[Shelter Gap]],CampList[[#This Row],[Land Status]])</f>
        <v>0</v>
      </c>
      <c r="AI138" s="553" t="str">
        <f ca="1">IFERROR(OFFSET(DistanceToCamp[Nearest Town],MATCH(CampList[[#This Row],[CP_Pcode]],DistanceToCamp[CP_Pcode],0)-1,0,1,1),"")</f>
        <v>Hopin Town</v>
      </c>
      <c r="AJ138" s="581">
        <f ca="1">IFERROR(OFFSET(DistanceToCamp[distance],MATCH(CampList[[#This Row],[CP_Pcode]],DistanceToCamp[CP_Pcode],0)-1,0,1,1),"")</f>
        <v>16.668825701583572</v>
      </c>
      <c r="AK138" s="582">
        <f ca="1">IFERROR(INT(CampList[[#This Row],[Distance]]/5)+1,"")</f>
        <v>4</v>
      </c>
      <c r="AM138" s="913"/>
      <c r="AN138" s="913"/>
    </row>
    <row r="139" spans="1:40" s="374" customFormat="1" ht="15.75" customHeight="1" x14ac:dyDescent="0.25">
      <c r="A139" s="603" t="s">
        <v>499</v>
      </c>
      <c r="B139" s="552" t="s">
        <v>380</v>
      </c>
      <c r="C139" s="552" t="s">
        <v>524</v>
      </c>
      <c r="D139" s="552" t="s">
        <v>237</v>
      </c>
      <c r="E139" s="552" t="s">
        <v>530</v>
      </c>
      <c r="F139" s="552" t="s">
        <v>310</v>
      </c>
      <c r="G139" s="552" t="s">
        <v>531</v>
      </c>
      <c r="H139" s="586" t="s">
        <v>769</v>
      </c>
      <c r="I139" s="586" t="s">
        <v>768</v>
      </c>
      <c r="J139" s="586" t="s">
        <v>769</v>
      </c>
      <c r="K139" s="586">
        <v>165895</v>
      </c>
      <c r="L139" s="552" t="s">
        <v>355</v>
      </c>
      <c r="M139" s="552" t="s">
        <v>354</v>
      </c>
      <c r="N139" s="573">
        <v>97.990555999999998</v>
      </c>
      <c r="O139" s="573">
        <v>25.265277999999999</v>
      </c>
      <c r="P139" s="592">
        <v>2764</v>
      </c>
      <c r="Q139" s="776">
        <v>100</v>
      </c>
      <c r="R139" s="776">
        <v>612</v>
      </c>
      <c r="S139" s="574">
        <f>IF(CampList[[#This Row],[HH]]&gt;0,CampList[[#This Row],[Total]]/CampList[[#This Row],[HH]],"NA")</f>
        <v>6.12</v>
      </c>
      <c r="T139" s="402" t="s">
        <v>512</v>
      </c>
      <c r="U139" s="553" t="s">
        <v>1180</v>
      </c>
      <c r="V139" s="402" t="s">
        <v>553</v>
      </c>
      <c r="W139" s="402" t="s">
        <v>856</v>
      </c>
      <c r="X139" s="795">
        <v>40848</v>
      </c>
      <c r="Y139" s="592">
        <v>2</v>
      </c>
      <c r="Z139" s="592" t="s">
        <v>1085</v>
      </c>
      <c r="AA139" s="552" t="s">
        <v>841</v>
      </c>
      <c r="AB139" s="573"/>
      <c r="AC139" s="578">
        <v>42915</v>
      </c>
      <c r="AD139" s="594" t="s">
        <v>1593</v>
      </c>
      <c r="AE139" s="580" t="s">
        <v>1072</v>
      </c>
      <c r="AF139" s="595">
        <f>IF(CampList[[#This Row],[Type of Accomodation]]="camp",MAX(0,CampList[[#This Row],[HH]]-SUMIF(Table_Shelter[Pcode],CampList[[#This Row],[CP_Pcode]],Table_Shelter[HH Covered2])),0)</f>
        <v>35</v>
      </c>
      <c r="AG139" s="402"/>
      <c r="AH139" s="572">
        <f>MIN(CampList[[#This Row],[Shelter Gap]],CampList[[#This Row],[Land Status]])</f>
        <v>35</v>
      </c>
      <c r="AI139" s="595" t="str">
        <f ca="1">IFERROR(OFFSET(DistanceToCamp[Nearest Town],MATCH(CampList[[#This Row],[CP_Pcode]],DistanceToCamp[CP_Pcode],0)-1,0,1,1),"")</f>
        <v>Sadung Town</v>
      </c>
      <c r="AJ139" s="581">
        <f ca="1">IFERROR(OFFSET(DistanceToCamp[distance],MATCH(CampList[[#This Row],[CP_Pcode]],DistanceToCamp[CP_Pcode],0)-1,0,1,1),"")</f>
        <v>17.035515422123492</v>
      </c>
      <c r="AK139" s="596">
        <f ca="1">IFERROR(INT(CampList[[#This Row],[Distance]]/5)+1,"")</f>
        <v>4</v>
      </c>
      <c r="AM139" s="913"/>
      <c r="AN139" s="913"/>
    </row>
    <row r="140" spans="1:40" s="374" customFormat="1" ht="15.75" customHeight="1" x14ac:dyDescent="0.25">
      <c r="A140" s="589" t="s">
        <v>499</v>
      </c>
      <c r="B140" s="552" t="s">
        <v>380</v>
      </c>
      <c r="C140" s="552" t="s">
        <v>524</v>
      </c>
      <c r="D140" s="552" t="s">
        <v>237</v>
      </c>
      <c r="E140" s="552" t="s">
        <v>530</v>
      </c>
      <c r="F140" s="552" t="s">
        <v>237</v>
      </c>
      <c r="G140" s="552" t="s">
        <v>534</v>
      </c>
      <c r="H140" s="552" t="s">
        <v>708</v>
      </c>
      <c r="I140" s="590" t="s">
        <v>709</v>
      </c>
      <c r="J140" s="552" t="s">
        <v>710</v>
      </c>
      <c r="K140" s="552">
        <v>165685</v>
      </c>
      <c r="L140" s="552" t="s">
        <v>273</v>
      </c>
      <c r="M140" s="552" t="s">
        <v>272</v>
      </c>
      <c r="N140" s="573">
        <v>97.4345</v>
      </c>
      <c r="O140" s="573">
        <v>25.493819999999999</v>
      </c>
      <c r="P140" s="592"/>
      <c r="Q140" s="776">
        <v>49</v>
      </c>
      <c r="R140" s="776">
        <v>290</v>
      </c>
      <c r="S140" s="574">
        <f>IF(CampList[[#This Row],[HH]]&gt;0,CampList[[#This Row],[Total]]/CampList[[#This Row],[HH]],"NA")</f>
        <v>5.9183673469387754</v>
      </c>
      <c r="T140" s="402" t="s">
        <v>510</v>
      </c>
      <c r="U140" s="553" t="s">
        <v>1180</v>
      </c>
      <c r="V140" s="402" t="s">
        <v>553</v>
      </c>
      <c r="W140" s="402" t="s">
        <v>802</v>
      </c>
      <c r="X140" s="795">
        <v>41244</v>
      </c>
      <c r="Y140" s="592"/>
      <c r="Z140" s="592" t="s">
        <v>1085</v>
      </c>
      <c r="AA140" s="552" t="s">
        <v>841</v>
      </c>
      <c r="AB140" s="573"/>
      <c r="AC140" s="578">
        <v>42915</v>
      </c>
      <c r="AD140" s="594" t="s">
        <v>1594</v>
      </c>
      <c r="AE140" s="580" t="s">
        <v>1088</v>
      </c>
      <c r="AF140" s="595">
        <f>IF(CampList[[#This Row],[Type of Accomodation]]="camp",MAX(0,CampList[[#This Row],[HH]]-SUMIF(Table_Shelter[Pcode],CampList[[#This Row],[CP_Pcode]],Table_Shelter[HH Covered2])),0)</f>
        <v>1</v>
      </c>
      <c r="AG140" s="402"/>
      <c r="AH140" s="572">
        <f>MIN(CampList[[#This Row],[Shelter Gap]],CampList[[#This Row],[Land Status]])</f>
        <v>1</v>
      </c>
      <c r="AI140" s="595" t="str">
        <f ca="1">IFERROR(OFFSET(DistanceToCamp[Nearest Town],MATCH(CampList[[#This Row],[CP_Pcode]],DistanceToCamp[CP_Pcode],0)-1,0,1,1),"")</f>
        <v>Myitkyina Town</v>
      </c>
      <c r="AJ140" s="581">
        <f ca="1">IFERROR(OFFSET(DistanceToCamp[distance],MATCH(CampList[[#This Row],[CP_Pcode]],DistanceToCamp[CP_Pcode],0)-1,0,1,1),"")</f>
        <v>12.627188913244609</v>
      </c>
      <c r="AK140" s="596">
        <f ca="1">IFERROR(INT(CampList[[#This Row],[Distance]]/5)+1,"")</f>
        <v>3</v>
      </c>
      <c r="AM140" s="913"/>
      <c r="AN140" s="913"/>
    </row>
    <row r="141" spans="1:40" s="374" customFormat="1" ht="15.75" customHeight="1" x14ac:dyDescent="0.25">
      <c r="A141" s="570" t="s">
        <v>499</v>
      </c>
      <c r="B141" s="551" t="s">
        <v>380</v>
      </c>
      <c r="C141" s="551" t="s">
        <v>524</v>
      </c>
      <c r="D141" s="551" t="s">
        <v>5</v>
      </c>
      <c r="E141" s="551" t="s">
        <v>528</v>
      </c>
      <c r="F141" s="551" t="s">
        <v>5</v>
      </c>
      <c r="G141" s="551" t="s">
        <v>529</v>
      </c>
      <c r="H141" s="579" t="s">
        <v>636</v>
      </c>
      <c r="I141" s="579" t="s">
        <v>637</v>
      </c>
      <c r="J141" s="551"/>
      <c r="K141" s="551"/>
      <c r="L141" s="551" t="s">
        <v>12</v>
      </c>
      <c r="M141" s="551" t="s">
        <v>11</v>
      </c>
      <c r="N141" s="571">
        <v>97.228835000000004</v>
      </c>
      <c r="O141" s="571">
        <v>24.263786</v>
      </c>
      <c r="P141" s="592"/>
      <c r="Q141" s="777">
        <v>197</v>
      </c>
      <c r="R141" s="778">
        <v>957</v>
      </c>
      <c r="S141" s="574">
        <f>IF(CampList[[#This Row],[HH]]&gt;0,CampList[[#This Row],[Total]]/CampList[[#This Row],[HH]],"NA")</f>
        <v>4.8578680203045685</v>
      </c>
      <c r="T141" s="553" t="s">
        <v>510</v>
      </c>
      <c r="U141" s="553" t="s">
        <v>1180</v>
      </c>
      <c r="V141" s="605" t="s">
        <v>12</v>
      </c>
      <c r="W141" s="553" t="s">
        <v>802</v>
      </c>
      <c r="X141" s="795"/>
      <c r="Y141" s="592"/>
      <c r="Z141" s="577"/>
      <c r="AA141" s="598" t="s">
        <v>841</v>
      </c>
      <c r="AB141" s="577"/>
      <c r="AC141" s="608">
        <v>42832</v>
      </c>
      <c r="AD141" s="570" t="s">
        <v>1520</v>
      </c>
      <c r="AE141" s="602" t="s">
        <v>1088</v>
      </c>
      <c r="AF141" s="402">
        <f>IF(CampList[[#This Row],[Type of Accomodation]]="camp",MAX(0,CampList[[#This Row],[HH]]-SUMIF(Table_Shelter[Pcode],CampList[[#This Row],[CP_Pcode]],Table_Shelter[HH Covered2])),0)</f>
        <v>0</v>
      </c>
      <c r="AG141" s="553"/>
      <c r="AH141" s="577">
        <f>MIN(CampList[[#This Row],[Shelter Gap]],CampList[[#This Row],[Land Status]])</f>
        <v>0</v>
      </c>
      <c r="AI141" s="553" t="str">
        <f ca="1">IFERROR(OFFSET(DistanceToCamp[Nearest Town],MATCH(CampList[[#This Row],[CP_Pcode]],DistanceToCamp[CP_Pcode],0)-1,0,1,1),"")</f>
        <v>Bhamo Town</v>
      </c>
      <c r="AJ141" s="581">
        <f ca="1">IFERROR(OFFSET(DistanceToCamp[distance],MATCH(CampList[[#This Row],[CP_Pcode]],DistanceToCamp[CP_Pcode],0)-1,0,1,1),"")</f>
        <v>1.1354007641426449</v>
      </c>
      <c r="AK141" s="582">
        <f ca="1">IFERROR(INT(CampList[[#This Row],[Distance]]/5)+1,"")</f>
        <v>1</v>
      </c>
      <c r="AM141" s="913"/>
      <c r="AN141" s="913"/>
    </row>
    <row r="142" spans="1:40" s="374" customFormat="1" ht="15.75" customHeight="1" x14ac:dyDescent="0.25">
      <c r="A142" s="570" t="s">
        <v>499</v>
      </c>
      <c r="B142" s="551" t="s">
        <v>380</v>
      </c>
      <c r="C142" s="551" t="s">
        <v>524</v>
      </c>
      <c r="D142" s="551" t="s">
        <v>180</v>
      </c>
      <c r="E142" s="551" t="s">
        <v>525</v>
      </c>
      <c r="F142" s="551" t="s">
        <v>526</v>
      </c>
      <c r="G142" s="551" t="s">
        <v>527</v>
      </c>
      <c r="H142" s="551" t="s">
        <v>602</v>
      </c>
      <c r="I142" s="551" t="s">
        <v>603</v>
      </c>
      <c r="J142" s="551" t="s">
        <v>606</v>
      </c>
      <c r="K142" s="551" t="s">
        <v>607</v>
      </c>
      <c r="L142" s="551" t="s">
        <v>92</v>
      </c>
      <c r="M142" s="551" t="s">
        <v>91</v>
      </c>
      <c r="N142" s="571">
        <v>96.316400000000002</v>
      </c>
      <c r="O142" s="571">
        <v>25.61842</v>
      </c>
      <c r="P142" s="572">
        <v>250</v>
      </c>
      <c r="Q142" s="776">
        <v>12</v>
      </c>
      <c r="R142" s="776">
        <v>62</v>
      </c>
      <c r="S142" s="574">
        <f>IF(CampList[[#This Row],[HH]]&gt;0,CampList[[#This Row],[Total]]/CampList[[#This Row],[HH]],"NA")</f>
        <v>5.166666666666667</v>
      </c>
      <c r="T142" s="553" t="s">
        <v>510</v>
      </c>
      <c r="U142" s="553" t="s">
        <v>1180</v>
      </c>
      <c r="V142" s="553" t="s">
        <v>553</v>
      </c>
      <c r="W142" s="553" t="s">
        <v>802</v>
      </c>
      <c r="X142" s="794">
        <v>41275</v>
      </c>
      <c r="Y142" s="576">
        <v>1</v>
      </c>
      <c r="Z142" s="575" t="s">
        <v>504</v>
      </c>
      <c r="AA142" s="598" t="s">
        <v>841</v>
      </c>
      <c r="AB142" s="577"/>
      <c r="AC142" s="578">
        <v>42915</v>
      </c>
      <c r="AD142" s="570" t="s">
        <v>1622</v>
      </c>
      <c r="AE142" s="580" t="s">
        <v>1088</v>
      </c>
      <c r="AF142" s="402">
        <f>IF(CampList[[#This Row],[Type of Accomodation]]="camp",MAX(0,CampList[[#This Row],[HH]]-SUMIF(Table_Shelter[Pcode],CampList[[#This Row],[CP_Pcode]],Table_Shelter[HH Covered2])),0)</f>
        <v>0</v>
      </c>
      <c r="AG142" s="553"/>
      <c r="AH142" s="577">
        <f>MIN(CampList[[#This Row],[Shelter Gap]],CampList[[#This Row],[Land Status]])</f>
        <v>0</v>
      </c>
      <c r="AI142" s="553" t="str">
        <f ca="1">IFERROR(OFFSET(DistanceToCamp[Nearest Town],MATCH(CampList[[#This Row],[CP_Pcode]],DistanceToCamp[CP_Pcode],0)-1,0,1,1),"")</f>
        <v>Hpakant Town</v>
      </c>
      <c r="AJ142" s="581">
        <f ca="1">IFERROR(OFFSET(DistanceToCamp[distance],MATCH(CampList[[#This Row],[CP_Pcode]],DistanceToCamp[CP_Pcode],0)-1,0,1,1),"")</f>
        <v>0.75842119772531946</v>
      </c>
      <c r="AK142" s="582">
        <f ca="1">IFERROR(INT(CampList[[#This Row],[Distance]]/5)+1,"")</f>
        <v>1</v>
      </c>
      <c r="AM142" s="913"/>
      <c r="AN142" s="913"/>
    </row>
    <row r="143" spans="1:40" s="374" customFormat="1" ht="15.75" customHeight="1" x14ac:dyDescent="0.25">
      <c r="A143" s="570" t="s">
        <v>499</v>
      </c>
      <c r="B143" s="551" t="s">
        <v>380</v>
      </c>
      <c r="C143" s="551" t="s">
        <v>524</v>
      </c>
      <c r="D143" s="551" t="s">
        <v>180</v>
      </c>
      <c r="E143" s="551" t="s">
        <v>525</v>
      </c>
      <c r="F143" s="551" t="s">
        <v>526</v>
      </c>
      <c r="G143" s="551" t="s">
        <v>527</v>
      </c>
      <c r="H143" s="579" t="s">
        <v>611</v>
      </c>
      <c r="I143" s="579" t="s">
        <v>612</v>
      </c>
      <c r="J143" s="579" t="s">
        <v>611</v>
      </c>
      <c r="K143" s="579">
        <v>166773</v>
      </c>
      <c r="L143" s="551" t="s">
        <v>120</v>
      </c>
      <c r="M143" s="551" t="s">
        <v>119</v>
      </c>
      <c r="N143" s="571">
        <v>96.361609999999999</v>
      </c>
      <c r="O143" s="571">
        <v>25.656009999999998</v>
      </c>
      <c r="P143" s="572">
        <v>317</v>
      </c>
      <c r="Q143" s="776">
        <v>72</v>
      </c>
      <c r="R143" s="776">
        <v>347</v>
      </c>
      <c r="S143" s="574">
        <f>IF(CampList[[#This Row],[HH]]&gt;0,CampList[[#This Row],[Total]]/CampList[[#This Row],[HH]],"NA")</f>
        <v>4.8194444444444446</v>
      </c>
      <c r="T143" s="553" t="s">
        <v>510</v>
      </c>
      <c r="U143" s="553" t="s">
        <v>1180</v>
      </c>
      <c r="V143" s="553" t="s">
        <v>553</v>
      </c>
      <c r="W143" s="553" t="s">
        <v>855</v>
      </c>
      <c r="X143" s="794">
        <v>41275</v>
      </c>
      <c r="Y143" s="576"/>
      <c r="Z143" s="575" t="s">
        <v>1085</v>
      </c>
      <c r="AA143" s="598" t="s">
        <v>841</v>
      </c>
      <c r="AB143" s="577"/>
      <c r="AC143" s="578">
        <v>42915</v>
      </c>
      <c r="AD143" s="570" t="s">
        <v>1595</v>
      </c>
      <c r="AE143" s="580" t="s">
        <v>1088</v>
      </c>
      <c r="AF143" s="402">
        <f>IF(CampList[[#This Row],[Type of Accomodation]]="camp",MAX(0,CampList[[#This Row],[HH]]-SUMIF(Table_Shelter[Pcode],CampList[[#This Row],[CP_Pcode]],Table_Shelter[HH Covered2])),0)</f>
        <v>60</v>
      </c>
      <c r="AG143" s="553"/>
      <c r="AH143" s="577">
        <f>MIN(CampList[[#This Row],[Shelter Gap]],CampList[[#This Row],[Land Status]])</f>
        <v>60</v>
      </c>
      <c r="AI143" s="553" t="str">
        <f ca="1">IFERROR(OFFSET(DistanceToCamp[Nearest Town],MATCH(CampList[[#This Row],[CP_Pcode]],DistanceToCamp[CP_Pcode],0)-1,0,1,1),"")</f>
        <v>Hpakant Town</v>
      </c>
      <c r="AJ143" s="581">
        <f ca="1">IFERROR(OFFSET(DistanceToCamp[distance],MATCH(CampList[[#This Row],[CP_Pcode]],DistanceToCamp[CP_Pcode],0)-1,0,1,1),"")</f>
        <v>6.3039408411778268</v>
      </c>
      <c r="AK143" s="582">
        <f ca="1">IFERROR(INT(CampList[[#This Row],[Distance]]/5)+1,"")</f>
        <v>2</v>
      </c>
      <c r="AM143" s="913"/>
      <c r="AN143" s="913"/>
    </row>
    <row r="144" spans="1:40" s="374" customFormat="1" ht="15.75" customHeight="1" x14ac:dyDescent="0.25">
      <c r="A144" s="570" t="s">
        <v>499</v>
      </c>
      <c r="B144" s="551" t="s">
        <v>380</v>
      </c>
      <c r="C144" s="551" t="s">
        <v>524</v>
      </c>
      <c r="D144" s="551" t="s">
        <v>180</v>
      </c>
      <c r="E144" s="551" t="s">
        <v>525</v>
      </c>
      <c r="F144" s="551" t="s">
        <v>526</v>
      </c>
      <c r="G144" s="551" t="s">
        <v>527</v>
      </c>
      <c r="H144" s="579" t="s">
        <v>611</v>
      </c>
      <c r="I144" s="579" t="s">
        <v>612</v>
      </c>
      <c r="J144" s="579" t="s">
        <v>613</v>
      </c>
      <c r="K144" s="579">
        <v>166775</v>
      </c>
      <c r="L144" s="551" t="s">
        <v>52</v>
      </c>
      <c r="M144" s="551" t="s">
        <v>51</v>
      </c>
      <c r="N144" s="571">
        <v>96.346469999999997</v>
      </c>
      <c r="O144" s="571">
        <v>25.647649999999999</v>
      </c>
      <c r="P144" s="572">
        <v>0</v>
      </c>
      <c r="Q144" s="776">
        <v>38</v>
      </c>
      <c r="R144" s="776">
        <v>231</v>
      </c>
      <c r="S144" s="574">
        <f>IF(CampList[[#This Row],[HH]]&gt;0,CampList[[#This Row],[Total]]/CampList[[#This Row],[HH]],"NA")</f>
        <v>6.0789473684210522</v>
      </c>
      <c r="T144" s="553" t="s">
        <v>510</v>
      </c>
      <c r="U144" s="553" t="s">
        <v>1180</v>
      </c>
      <c r="V144" s="553" t="s">
        <v>553</v>
      </c>
      <c r="W144" s="553" t="s">
        <v>855</v>
      </c>
      <c r="X144" s="794">
        <v>41275</v>
      </c>
      <c r="Y144" s="576">
        <v>2</v>
      </c>
      <c r="Z144" s="575" t="s">
        <v>459</v>
      </c>
      <c r="AA144" s="598" t="s">
        <v>841</v>
      </c>
      <c r="AB144" s="577"/>
      <c r="AC144" s="578">
        <v>42919</v>
      </c>
      <c r="AD144" s="570" t="s">
        <v>1672</v>
      </c>
      <c r="AE144" s="580" t="s">
        <v>1088</v>
      </c>
      <c r="AF144" s="402">
        <f>IF(CampList[[#This Row],[Type of Accomodation]]="camp",MAX(0,CampList[[#This Row],[HH]]-SUMIF(Table_Shelter[Pcode],CampList[[#This Row],[CP_Pcode]],Table_Shelter[HH Covered2])),0)</f>
        <v>18</v>
      </c>
      <c r="AG144" s="553"/>
      <c r="AH144" s="577">
        <f>MIN(CampList[[#This Row],[Shelter Gap]],CampList[[#This Row],[Land Status]])</f>
        <v>18</v>
      </c>
      <c r="AI144" s="553" t="str">
        <f ca="1">IFERROR(OFFSET(DistanceToCamp[Nearest Town],MATCH(CampList[[#This Row],[CP_Pcode]],DistanceToCamp[CP_Pcode],0)-1,0,1,1),"")</f>
        <v>Hpakant Town</v>
      </c>
      <c r="AJ144" s="581">
        <f ca="1">IFERROR(OFFSET(DistanceToCamp[distance],MATCH(CampList[[#This Row],[CP_Pcode]],DistanceToCamp[CP_Pcode],0)-1,0,1,1),"")</f>
        <v>5.184483270539272</v>
      </c>
      <c r="AK144" s="582">
        <f ca="1">IFERROR(INT(CampList[[#This Row],[Distance]]/5)+1,"")</f>
        <v>2</v>
      </c>
      <c r="AM144" s="913"/>
      <c r="AN144" s="913"/>
    </row>
    <row r="145" spans="1:40" s="374" customFormat="1" ht="15.75" customHeight="1" x14ac:dyDescent="0.25">
      <c r="A145" s="570" t="s">
        <v>499</v>
      </c>
      <c r="B145" s="551" t="s">
        <v>380</v>
      </c>
      <c r="C145" s="551" t="s">
        <v>524</v>
      </c>
      <c r="D145" s="551" t="s">
        <v>180</v>
      </c>
      <c r="E145" s="551" t="s">
        <v>525</v>
      </c>
      <c r="F145" s="551" t="s">
        <v>526</v>
      </c>
      <c r="G145" s="551" t="s">
        <v>527</v>
      </c>
      <c r="H145" s="579" t="s">
        <v>611</v>
      </c>
      <c r="I145" s="579" t="s">
        <v>612</v>
      </c>
      <c r="J145" s="579" t="s">
        <v>1351</v>
      </c>
      <c r="K145" s="597">
        <v>216876</v>
      </c>
      <c r="L145" s="551" t="s">
        <v>76</v>
      </c>
      <c r="M145" s="551" t="s">
        <v>75</v>
      </c>
      <c r="N145" s="571">
        <v>96.35257</v>
      </c>
      <c r="O145" s="571">
        <v>25.637309999999999</v>
      </c>
      <c r="P145" s="572">
        <v>277.60000000000002</v>
      </c>
      <c r="Q145" s="776">
        <v>70</v>
      </c>
      <c r="R145" s="776">
        <v>347</v>
      </c>
      <c r="S145" s="574">
        <f>IF(CampList[[#This Row],[HH]]&gt;0,CampList[[#This Row],[Total]]/CampList[[#This Row],[HH]],"NA")</f>
        <v>4.9571428571428573</v>
      </c>
      <c r="T145" s="553" t="s">
        <v>510</v>
      </c>
      <c r="U145" s="553" t="s">
        <v>1180</v>
      </c>
      <c r="V145" s="553" t="s">
        <v>553</v>
      </c>
      <c r="W145" s="402" t="s">
        <v>802</v>
      </c>
      <c r="X145" s="794">
        <v>41275</v>
      </c>
      <c r="Y145" s="576">
        <v>1</v>
      </c>
      <c r="Z145" s="575" t="s">
        <v>504</v>
      </c>
      <c r="AA145" s="598" t="s">
        <v>841</v>
      </c>
      <c r="AB145" s="577"/>
      <c r="AC145" s="578">
        <v>42915</v>
      </c>
      <c r="AD145" s="570" t="s">
        <v>1623</v>
      </c>
      <c r="AE145" s="580" t="s">
        <v>1088</v>
      </c>
      <c r="AF145" s="402">
        <f>IF(CampList[[#This Row],[Type of Accomodation]]="camp",MAX(0,CampList[[#This Row],[HH]]-SUMIF(Table_Shelter[Pcode],CampList[[#This Row],[CP_Pcode]],Table_Shelter[HH Covered2])),0)</f>
        <v>0</v>
      </c>
      <c r="AG145" s="553"/>
      <c r="AH145" s="577">
        <f>MIN(CampList[[#This Row],[Shelter Gap]],CampList[[#This Row],[Land Status]])</f>
        <v>0</v>
      </c>
      <c r="AI145" s="553" t="str">
        <f ca="1">IFERROR(OFFSET(DistanceToCamp[Nearest Town],MATCH(CampList[[#This Row],[CP_Pcode]],DistanceToCamp[CP_Pcode],0)-1,0,1,1),"")</f>
        <v>Hpakant Town</v>
      </c>
      <c r="AJ145" s="581">
        <f ca="1">IFERROR(OFFSET(DistanceToCamp[distance],MATCH(CampList[[#This Row],[CP_Pcode]],DistanceToCamp[CP_Pcode],0)-1,0,1,1),"")</f>
        <v>4.8862832644478198</v>
      </c>
      <c r="AK145" s="582">
        <f ca="1">IFERROR(INT(CampList[[#This Row],[Distance]]/5)+1,"")</f>
        <v>1</v>
      </c>
      <c r="AM145" s="913"/>
      <c r="AN145" s="913"/>
    </row>
    <row r="146" spans="1:40" s="374" customFormat="1" ht="15.75" hidden="1" customHeight="1" x14ac:dyDescent="0.25">
      <c r="A146" s="570" t="s">
        <v>842</v>
      </c>
      <c r="B146" s="551" t="s">
        <v>380</v>
      </c>
      <c r="C146" s="551" t="s">
        <v>524</v>
      </c>
      <c r="D146" s="551" t="s">
        <v>180</v>
      </c>
      <c r="E146" s="551" t="s">
        <v>525</v>
      </c>
      <c r="F146" s="551" t="s">
        <v>526</v>
      </c>
      <c r="G146" s="551" t="s">
        <v>527</v>
      </c>
      <c r="H146" s="579" t="s">
        <v>602</v>
      </c>
      <c r="I146" s="579" t="s">
        <v>603</v>
      </c>
      <c r="J146" s="579" t="s">
        <v>700</v>
      </c>
      <c r="K146" s="579" t="s">
        <v>701</v>
      </c>
      <c r="L146" s="551" t="s">
        <v>66</v>
      </c>
      <c r="M146" s="551" t="s">
        <v>65</v>
      </c>
      <c r="N146" s="571"/>
      <c r="O146" s="571"/>
      <c r="P146" s="591"/>
      <c r="Q146" s="705">
        <v>0</v>
      </c>
      <c r="R146" s="706">
        <v>0</v>
      </c>
      <c r="S146" s="574" t="str">
        <f>IF(CampList[[#This Row],[HH]]&gt;0,CampList[[#This Row],[Total]]/CampList[[#This Row],[HH]],"NA")</f>
        <v>NA</v>
      </c>
      <c r="T146" s="553" t="s">
        <v>510</v>
      </c>
      <c r="U146" s="583" t="s">
        <v>1180</v>
      </c>
      <c r="V146" s="553" t="s">
        <v>553</v>
      </c>
      <c r="W146" s="583"/>
      <c r="X146" s="600"/>
      <c r="Y146" s="591"/>
      <c r="Z146" s="601"/>
      <c r="AA146" s="598"/>
      <c r="AB146" s="577"/>
      <c r="AC146" s="604"/>
      <c r="AD146" s="570" t="s">
        <v>600</v>
      </c>
      <c r="AE146" s="602" t="s">
        <v>1006</v>
      </c>
      <c r="AF146" s="402">
        <f>IF(CampList[[#This Row],[Type of Accomodation]]="camp",MAX(0,CampList[[#This Row],[HH]]-SUMIF(Table_Shelter[Pcode],CampList[[#This Row],[CP_Pcode]],Table_Shelter[HH Covered2])),0)</f>
        <v>0</v>
      </c>
      <c r="AG146" s="553"/>
      <c r="AH146" s="577">
        <f>MIN(CampList[[#This Row],[Shelter Gap]],CampList[[#This Row],[Land Status]])</f>
        <v>0</v>
      </c>
      <c r="AI146" s="553" t="str">
        <f ca="1">IFERROR(OFFSET(DistanceToCamp[Nearest Town],MATCH(CampList[[#This Row],[CP_Pcode]],DistanceToCamp[CP_Pcode],0)-1,0,1,1),"")</f>
        <v/>
      </c>
      <c r="AJ146" s="581" t="str">
        <f ca="1">IFERROR(OFFSET(DistanceToCamp[distance],MATCH(CampList[[#This Row],[CP_Pcode]],DistanceToCamp[CP_Pcode],0)-1,0,1,1),"")</f>
        <v/>
      </c>
      <c r="AK146" s="582" t="str">
        <f ca="1">IFERROR(INT(CampList[[#This Row],[Distance]]/5)+1,"")</f>
        <v/>
      </c>
      <c r="AM146" s="913"/>
      <c r="AN146" s="913"/>
    </row>
    <row r="147" spans="1:40" s="374" customFormat="1" ht="15.75" hidden="1" customHeight="1" x14ac:dyDescent="0.25">
      <c r="A147" s="570" t="s">
        <v>842</v>
      </c>
      <c r="B147" s="551" t="s">
        <v>380</v>
      </c>
      <c r="C147" s="551" t="s">
        <v>524</v>
      </c>
      <c r="D147" s="551" t="s">
        <v>180</v>
      </c>
      <c r="E147" s="551" t="s">
        <v>525</v>
      </c>
      <c r="F147" s="551" t="s">
        <v>526</v>
      </c>
      <c r="G147" s="551" t="s">
        <v>527</v>
      </c>
      <c r="H147" s="579" t="s">
        <v>602</v>
      </c>
      <c r="I147" s="579" t="s">
        <v>603</v>
      </c>
      <c r="J147" s="579" t="s">
        <v>700</v>
      </c>
      <c r="K147" s="579" t="s">
        <v>701</v>
      </c>
      <c r="L147" s="551" t="s">
        <v>80</v>
      </c>
      <c r="M147" s="551" t="s">
        <v>79</v>
      </c>
      <c r="N147" s="571"/>
      <c r="O147" s="571"/>
      <c r="P147" s="591"/>
      <c r="Q147" s="705">
        <v>0</v>
      </c>
      <c r="R147" s="706">
        <v>0</v>
      </c>
      <c r="S147" s="574" t="str">
        <f>IF(CampList[[#This Row],[HH]]&gt;0,CampList[[#This Row],[Total]]/CampList[[#This Row],[HH]],"NA")</f>
        <v>NA</v>
      </c>
      <c r="T147" s="553" t="s">
        <v>510</v>
      </c>
      <c r="U147" s="583" t="s">
        <v>1180</v>
      </c>
      <c r="V147" s="553" t="s">
        <v>553</v>
      </c>
      <c r="W147" s="583"/>
      <c r="X147" s="600"/>
      <c r="Y147" s="591"/>
      <c r="Z147" s="601"/>
      <c r="AA147" s="598"/>
      <c r="AB147" s="577"/>
      <c r="AC147" s="604"/>
      <c r="AD147" s="570" t="s">
        <v>600</v>
      </c>
      <c r="AE147" s="602" t="s">
        <v>1006</v>
      </c>
      <c r="AF147" s="402">
        <f>IF(CampList[[#This Row],[Type of Accomodation]]="camp",MAX(0,CampList[[#This Row],[HH]]-SUMIF(Table_Shelter[Pcode],CampList[[#This Row],[CP_Pcode]],Table_Shelter[HH Covered2])),0)</f>
        <v>0</v>
      </c>
      <c r="AG147" s="553"/>
      <c r="AH147" s="577">
        <f>MIN(CampList[[#This Row],[Shelter Gap]],CampList[[#This Row],[Land Status]])</f>
        <v>0</v>
      </c>
      <c r="AI147" s="553" t="str">
        <f ca="1">IFERROR(OFFSET(DistanceToCamp[Nearest Town],MATCH(CampList[[#This Row],[CP_Pcode]],DistanceToCamp[CP_Pcode],0)-1,0,1,1),"")</f>
        <v/>
      </c>
      <c r="AJ147" s="581" t="str">
        <f ca="1">IFERROR(OFFSET(DistanceToCamp[distance],MATCH(CampList[[#This Row],[CP_Pcode]],DistanceToCamp[CP_Pcode],0)-1,0,1,1),"")</f>
        <v/>
      </c>
      <c r="AK147" s="582" t="str">
        <f ca="1">IFERROR(INT(CampList[[#This Row],[Distance]]/5)+1,"")</f>
        <v/>
      </c>
      <c r="AM147" s="913"/>
      <c r="AN147" s="913"/>
    </row>
    <row r="148" spans="1:40" s="374" customFormat="1" ht="15.75" hidden="1" customHeight="1" x14ac:dyDescent="0.25">
      <c r="A148" s="570" t="s">
        <v>842</v>
      </c>
      <c r="B148" s="551" t="s">
        <v>380</v>
      </c>
      <c r="C148" s="551" t="s">
        <v>524</v>
      </c>
      <c r="D148" s="551" t="s">
        <v>180</v>
      </c>
      <c r="E148" s="551" t="s">
        <v>525</v>
      </c>
      <c r="F148" s="551" t="s">
        <v>526</v>
      </c>
      <c r="G148" s="551" t="s">
        <v>527</v>
      </c>
      <c r="H148" s="579" t="s">
        <v>602</v>
      </c>
      <c r="I148" s="579" t="s">
        <v>603</v>
      </c>
      <c r="J148" s="579" t="s">
        <v>700</v>
      </c>
      <c r="K148" s="579" t="s">
        <v>701</v>
      </c>
      <c r="L148" s="551" t="s">
        <v>102</v>
      </c>
      <c r="M148" s="551" t="s">
        <v>101</v>
      </c>
      <c r="N148" s="571"/>
      <c r="O148" s="571"/>
      <c r="P148" s="591"/>
      <c r="Q148" s="705">
        <v>0</v>
      </c>
      <c r="R148" s="706">
        <v>0</v>
      </c>
      <c r="S148" s="574" t="str">
        <f>IF(CampList[[#This Row],[HH]]&gt;0,CampList[[#This Row],[Total]]/CampList[[#This Row],[HH]],"NA")</f>
        <v>NA</v>
      </c>
      <c r="T148" s="553" t="s">
        <v>510</v>
      </c>
      <c r="U148" s="583" t="s">
        <v>1180</v>
      </c>
      <c r="V148" s="553" t="s">
        <v>553</v>
      </c>
      <c r="W148" s="583"/>
      <c r="X148" s="600"/>
      <c r="Y148" s="591"/>
      <c r="Z148" s="601"/>
      <c r="AA148" s="598"/>
      <c r="AB148" s="577"/>
      <c r="AC148" s="604"/>
      <c r="AD148" s="570" t="s">
        <v>600</v>
      </c>
      <c r="AE148" s="602" t="s">
        <v>1006</v>
      </c>
      <c r="AF148" s="402">
        <f>IF(CampList[[#This Row],[Type of Accomodation]]="camp",MAX(0,CampList[[#This Row],[HH]]-SUMIF(Table_Shelter[Pcode],CampList[[#This Row],[CP_Pcode]],Table_Shelter[HH Covered2])),0)</f>
        <v>0</v>
      </c>
      <c r="AG148" s="553"/>
      <c r="AH148" s="577">
        <f>MIN(CampList[[#This Row],[Shelter Gap]],CampList[[#This Row],[Land Status]])</f>
        <v>0</v>
      </c>
      <c r="AI148" s="553" t="str">
        <f ca="1">IFERROR(OFFSET(DistanceToCamp[Nearest Town],MATCH(CampList[[#This Row],[CP_Pcode]],DistanceToCamp[CP_Pcode],0)-1,0,1,1),"")</f>
        <v/>
      </c>
      <c r="AJ148" s="581" t="str">
        <f ca="1">IFERROR(OFFSET(DistanceToCamp[distance],MATCH(CampList[[#This Row],[CP_Pcode]],DistanceToCamp[CP_Pcode],0)-1,0,1,1),"")</f>
        <v/>
      </c>
      <c r="AK148" s="582" t="str">
        <f ca="1">IFERROR(INT(CampList[[#This Row],[Distance]]/5)+1,"")</f>
        <v/>
      </c>
      <c r="AM148" s="913"/>
      <c r="AN148" s="913"/>
    </row>
    <row r="149" spans="1:40" s="374" customFormat="1" ht="15.75" hidden="1" customHeight="1" x14ac:dyDescent="0.25">
      <c r="A149" s="570" t="s">
        <v>842</v>
      </c>
      <c r="B149" s="551" t="s">
        <v>380</v>
      </c>
      <c r="C149" s="551" t="s">
        <v>524</v>
      </c>
      <c r="D149" s="551" t="s">
        <v>180</v>
      </c>
      <c r="E149" s="551" t="s">
        <v>525</v>
      </c>
      <c r="F149" s="551" t="s">
        <v>526</v>
      </c>
      <c r="G149" s="551" t="s">
        <v>527</v>
      </c>
      <c r="H149" s="579" t="s">
        <v>602</v>
      </c>
      <c r="I149" s="579" t="s">
        <v>603</v>
      </c>
      <c r="J149" s="579" t="s">
        <v>700</v>
      </c>
      <c r="K149" s="579" t="s">
        <v>701</v>
      </c>
      <c r="L149" s="551" t="s">
        <v>106</v>
      </c>
      <c r="M149" s="551" t="s">
        <v>105</v>
      </c>
      <c r="N149" s="571"/>
      <c r="O149" s="571"/>
      <c r="P149" s="591"/>
      <c r="Q149" s="705">
        <v>0</v>
      </c>
      <c r="R149" s="706">
        <v>0</v>
      </c>
      <c r="S149" s="574" t="str">
        <f>IF(CampList[[#This Row],[HH]]&gt;0,CampList[[#This Row],[Total]]/CampList[[#This Row],[HH]],"NA")</f>
        <v>NA</v>
      </c>
      <c r="T149" s="553" t="s">
        <v>510</v>
      </c>
      <c r="U149" s="583" t="s">
        <v>1180</v>
      </c>
      <c r="V149" s="553" t="s">
        <v>553</v>
      </c>
      <c r="W149" s="583"/>
      <c r="X149" s="600"/>
      <c r="Y149" s="591"/>
      <c r="Z149" s="601"/>
      <c r="AA149" s="598"/>
      <c r="AB149" s="577"/>
      <c r="AC149" s="604"/>
      <c r="AD149" s="570" t="s">
        <v>600</v>
      </c>
      <c r="AE149" s="602" t="s">
        <v>1006</v>
      </c>
      <c r="AF149" s="402">
        <f>IF(CampList[[#This Row],[Type of Accomodation]]="camp",MAX(0,CampList[[#This Row],[HH]]-SUMIF(Table_Shelter[Pcode],CampList[[#This Row],[CP_Pcode]],Table_Shelter[HH Covered2])),0)</f>
        <v>0</v>
      </c>
      <c r="AG149" s="553"/>
      <c r="AH149" s="577">
        <f>MIN(CampList[[#This Row],[Shelter Gap]],CampList[[#This Row],[Land Status]])</f>
        <v>0</v>
      </c>
      <c r="AI149" s="553" t="str">
        <f ca="1">IFERROR(OFFSET(DistanceToCamp[Nearest Town],MATCH(CampList[[#This Row],[CP_Pcode]],DistanceToCamp[CP_Pcode],0)-1,0,1,1),"")</f>
        <v/>
      </c>
      <c r="AJ149" s="581" t="str">
        <f ca="1">IFERROR(OFFSET(DistanceToCamp[distance],MATCH(CampList[[#This Row],[CP_Pcode]],DistanceToCamp[CP_Pcode],0)-1,0,1,1),"")</f>
        <v/>
      </c>
      <c r="AK149" s="582" t="str">
        <f ca="1">IFERROR(INT(CampList[[#This Row],[Distance]]/5)+1,"")</f>
        <v/>
      </c>
      <c r="AM149" s="913"/>
      <c r="AN149" s="913"/>
    </row>
    <row r="150" spans="1:40" s="374" customFormat="1" ht="15.75" customHeight="1" x14ac:dyDescent="0.25">
      <c r="A150" s="570" t="s">
        <v>499</v>
      </c>
      <c r="B150" s="551" t="s">
        <v>380</v>
      </c>
      <c r="C150" s="551" t="s">
        <v>524</v>
      </c>
      <c r="D150" s="551" t="s">
        <v>180</v>
      </c>
      <c r="E150" s="551" t="s">
        <v>525</v>
      </c>
      <c r="F150" s="551" t="s">
        <v>526</v>
      </c>
      <c r="G150" s="551" t="s">
        <v>527</v>
      </c>
      <c r="H150" s="579" t="s">
        <v>611</v>
      </c>
      <c r="I150" s="579" t="s">
        <v>612</v>
      </c>
      <c r="J150" s="579" t="s">
        <v>611</v>
      </c>
      <c r="K150" s="586">
        <v>166773</v>
      </c>
      <c r="L150" s="551" t="s">
        <v>41</v>
      </c>
      <c r="M150" s="551" t="s">
        <v>40</v>
      </c>
      <c r="N150" s="571">
        <v>96.345569999999995</v>
      </c>
      <c r="O150" s="571">
        <v>25.635300000000001</v>
      </c>
      <c r="P150" s="572">
        <v>0</v>
      </c>
      <c r="Q150" s="776">
        <v>66</v>
      </c>
      <c r="R150" s="776">
        <v>356</v>
      </c>
      <c r="S150" s="574">
        <f>IF(CampList[[#This Row],[HH]]&gt;0,CampList[[#This Row],[Total]]/CampList[[#This Row],[HH]],"NA")</f>
        <v>5.3939393939393936</v>
      </c>
      <c r="T150" s="553" t="s">
        <v>510</v>
      </c>
      <c r="U150" s="553" t="s">
        <v>1180</v>
      </c>
      <c r="V150" s="553" t="s">
        <v>553</v>
      </c>
      <c r="W150" s="553" t="s">
        <v>802</v>
      </c>
      <c r="X150" s="794">
        <v>41275</v>
      </c>
      <c r="Y150" s="576">
        <v>1</v>
      </c>
      <c r="Z150" s="575" t="s">
        <v>504</v>
      </c>
      <c r="AA150" s="598" t="s">
        <v>841</v>
      </c>
      <c r="AB150" s="577"/>
      <c r="AC150" s="578">
        <v>42915</v>
      </c>
      <c r="AD150" s="570" t="s">
        <v>1625</v>
      </c>
      <c r="AE150" s="580" t="s">
        <v>1088</v>
      </c>
      <c r="AF150" s="402">
        <f>IF(CampList[[#This Row],[Type of Accomodation]]="camp",MAX(0,CampList[[#This Row],[HH]]-SUMIF(Table_Shelter[Pcode],CampList[[#This Row],[CP_Pcode]],Table_Shelter[HH Covered2])),0)</f>
        <v>6</v>
      </c>
      <c r="AG150" s="553"/>
      <c r="AH150" s="577">
        <f>MIN(CampList[[#This Row],[Shelter Gap]],CampList[[#This Row],[Land Status]])</f>
        <v>6</v>
      </c>
      <c r="AI150" s="553" t="str">
        <f ca="1">IFERROR(OFFSET(DistanceToCamp[Nearest Town],MATCH(CampList[[#This Row],[CP_Pcode]],DistanceToCamp[CP_Pcode],0)-1,0,1,1),"")</f>
        <v>Hpakant Town</v>
      </c>
      <c r="AJ150" s="581">
        <f ca="1">IFERROR(OFFSET(DistanceToCamp[distance],MATCH(CampList[[#This Row],[CP_Pcode]],DistanceToCamp[CP_Pcode],0)-1,0,1,1),"")</f>
        <v>4.1842484710239098</v>
      </c>
      <c r="AK150" s="582">
        <f ca="1">IFERROR(INT(CampList[[#This Row],[Distance]]/5)+1,"")</f>
        <v>1</v>
      </c>
      <c r="AM150" s="913"/>
      <c r="AN150" s="913"/>
    </row>
    <row r="151" spans="1:40" s="374" customFormat="1" ht="15.75" hidden="1" customHeight="1" x14ac:dyDescent="0.25">
      <c r="A151" s="570" t="s">
        <v>842</v>
      </c>
      <c r="B151" s="551" t="s">
        <v>380</v>
      </c>
      <c r="C151" s="551" t="s">
        <v>524</v>
      </c>
      <c r="D151" s="551" t="s">
        <v>180</v>
      </c>
      <c r="E151" s="551" t="s">
        <v>525</v>
      </c>
      <c r="F151" s="551" t="s">
        <v>526</v>
      </c>
      <c r="G151" s="551" t="s">
        <v>527</v>
      </c>
      <c r="H151" s="579" t="s">
        <v>602</v>
      </c>
      <c r="I151" s="579" t="s">
        <v>603</v>
      </c>
      <c r="J151" s="579" t="s">
        <v>700</v>
      </c>
      <c r="K151" s="579" t="s">
        <v>701</v>
      </c>
      <c r="L151" s="551" t="s">
        <v>116</v>
      </c>
      <c r="M151" s="551" t="s">
        <v>115</v>
      </c>
      <c r="N151" s="571"/>
      <c r="O151" s="571"/>
      <c r="P151" s="591"/>
      <c r="Q151" s="705">
        <v>0</v>
      </c>
      <c r="R151" s="706">
        <v>0</v>
      </c>
      <c r="S151" s="574" t="str">
        <f>IF(CampList[[#This Row],[HH]]&gt;0,CampList[[#This Row],[Total]]/CampList[[#This Row],[HH]],"NA")</f>
        <v>NA</v>
      </c>
      <c r="T151" s="553" t="s">
        <v>510</v>
      </c>
      <c r="U151" s="583" t="s">
        <v>1180</v>
      </c>
      <c r="V151" s="553" t="s">
        <v>553</v>
      </c>
      <c r="W151" s="583"/>
      <c r="X151" s="600"/>
      <c r="Y151" s="591"/>
      <c r="Z151" s="601"/>
      <c r="AA151" s="598"/>
      <c r="AB151" s="577"/>
      <c r="AC151" s="604"/>
      <c r="AD151" s="570" t="s">
        <v>600</v>
      </c>
      <c r="AE151" s="602" t="s">
        <v>1006</v>
      </c>
      <c r="AF151" s="402">
        <f>IF(CampList[[#This Row],[Type of Accomodation]]="camp",MAX(0,CampList[[#This Row],[HH]]-SUMIF(Table_Shelter[Pcode],CampList[[#This Row],[CP_Pcode]],Table_Shelter[HH Covered2])),0)</f>
        <v>0</v>
      </c>
      <c r="AG151" s="553"/>
      <c r="AH151" s="577">
        <f>MIN(CampList[[#This Row],[Shelter Gap]],CampList[[#This Row],[Land Status]])</f>
        <v>0</v>
      </c>
      <c r="AI151" s="553" t="str">
        <f ca="1">IFERROR(OFFSET(DistanceToCamp[Nearest Town],MATCH(CampList[[#This Row],[CP_Pcode]],DistanceToCamp[CP_Pcode],0)-1,0,1,1),"")</f>
        <v/>
      </c>
      <c r="AJ151" s="581" t="str">
        <f ca="1">IFERROR(OFFSET(DistanceToCamp[distance],MATCH(CampList[[#This Row],[CP_Pcode]],DistanceToCamp[CP_Pcode],0)-1,0,1,1),"")</f>
        <v/>
      </c>
      <c r="AK151" s="582" t="str">
        <f ca="1">IFERROR(INT(CampList[[#This Row],[Distance]]/5)+1,"")</f>
        <v/>
      </c>
      <c r="AM151" s="913"/>
      <c r="AN151" s="913"/>
    </row>
    <row r="152" spans="1:40" s="374" customFormat="1" ht="15.75" hidden="1" customHeight="1" x14ac:dyDescent="0.25">
      <c r="A152" s="820" t="s">
        <v>842</v>
      </c>
      <c r="B152" s="797" t="s">
        <v>380</v>
      </c>
      <c r="C152" s="797" t="s">
        <v>524</v>
      </c>
      <c r="D152" s="797" t="s">
        <v>180</v>
      </c>
      <c r="E152" s="797" t="s">
        <v>525</v>
      </c>
      <c r="F152" s="797" t="s">
        <v>526</v>
      </c>
      <c r="G152" s="797" t="s">
        <v>527</v>
      </c>
      <c r="H152" s="821" t="s">
        <v>611</v>
      </c>
      <c r="I152" s="821" t="s">
        <v>612</v>
      </c>
      <c r="J152" s="821" t="s">
        <v>611</v>
      </c>
      <c r="K152" s="821">
        <v>166773</v>
      </c>
      <c r="L152" s="797" t="s">
        <v>62</v>
      </c>
      <c r="M152" s="797" t="s">
        <v>61</v>
      </c>
      <c r="N152" s="822">
        <v>96.355270000000004</v>
      </c>
      <c r="O152" s="822">
        <v>25.656130000000001</v>
      </c>
      <c r="P152" s="823">
        <v>0</v>
      </c>
      <c r="Q152" s="824"/>
      <c r="R152" s="824"/>
      <c r="S152" s="825" t="str">
        <f>IF(CampList[[#This Row],[HH]]&gt;0,CampList[[#This Row],[Total]]/CampList[[#This Row],[HH]],"NA")</f>
        <v>NA</v>
      </c>
      <c r="T152" s="826" t="s">
        <v>510</v>
      </c>
      <c r="U152" s="826" t="s">
        <v>1180</v>
      </c>
      <c r="V152" s="826" t="s">
        <v>553</v>
      </c>
      <c r="W152" s="826" t="s">
        <v>855</v>
      </c>
      <c r="X152" s="827">
        <v>41275</v>
      </c>
      <c r="Y152" s="828">
        <v>2</v>
      </c>
      <c r="Z152" s="829" t="s">
        <v>459</v>
      </c>
      <c r="AA152" s="830" t="s">
        <v>841</v>
      </c>
      <c r="AB152" s="831"/>
      <c r="AC152" s="832">
        <v>42919</v>
      </c>
      <c r="AD152" s="820" t="s">
        <v>1702</v>
      </c>
      <c r="AE152" s="833" t="s">
        <v>1088</v>
      </c>
      <c r="AF152" s="806">
        <f>IF(CampList[[#This Row],[Type of Accomodation]]="camp",MAX(0,CampList[[#This Row],[HH]]-SUMIF(Table_Shelter[Pcode],CampList[[#This Row],[CP_Pcode]],Table_Shelter[HH Covered2])),0)</f>
        <v>0</v>
      </c>
      <c r="AG152" s="826"/>
      <c r="AH152" s="831">
        <f>MIN(CampList[[#This Row],[Shelter Gap]],CampList[[#This Row],[Land Status]])</f>
        <v>0</v>
      </c>
      <c r="AI152" s="826" t="str">
        <f ca="1">IFERROR(OFFSET(DistanceToCamp[Nearest Town],MATCH(CampList[[#This Row],[CP_Pcode]],DistanceToCamp[CP_Pcode],0)-1,0,1,1),"")</f>
        <v>Hpakant Town</v>
      </c>
      <c r="AJ152" s="834">
        <f ca="1">IFERROR(OFFSET(DistanceToCamp[distance],MATCH(CampList[[#This Row],[CP_Pcode]],DistanceToCamp[CP_Pcode],0)-1,0,1,1),"")</f>
        <v>6.4753396248436657</v>
      </c>
      <c r="AK152" s="835">
        <f ca="1">IFERROR(INT(CampList[[#This Row],[Distance]]/5)+1,"")</f>
        <v>2</v>
      </c>
      <c r="AM152" s="913"/>
      <c r="AN152" s="913"/>
    </row>
    <row r="153" spans="1:40" s="374" customFormat="1" ht="15.75" hidden="1" customHeight="1" x14ac:dyDescent="0.25">
      <c r="A153" s="570" t="s">
        <v>842</v>
      </c>
      <c r="B153" s="551" t="s">
        <v>380</v>
      </c>
      <c r="C153" s="551" t="s">
        <v>524</v>
      </c>
      <c r="D153" s="551" t="s">
        <v>180</v>
      </c>
      <c r="E153" s="551" t="s">
        <v>525</v>
      </c>
      <c r="F153" s="551" t="s">
        <v>526</v>
      </c>
      <c r="G153" s="551" t="s">
        <v>527</v>
      </c>
      <c r="H153" s="579" t="s">
        <v>602</v>
      </c>
      <c r="I153" s="579" t="s">
        <v>603</v>
      </c>
      <c r="J153" s="579" t="s">
        <v>700</v>
      </c>
      <c r="K153" s="579" t="s">
        <v>701</v>
      </c>
      <c r="L153" s="551" t="s">
        <v>130</v>
      </c>
      <c r="M153" s="551" t="s">
        <v>129</v>
      </c>
      <c r="N153" s="571"/>
      <c r="O153" s="571"/>
      <c r="P153" s="591"/>
      <c r="Q153" s="705">
        <v>0</v>
      </c>
      <c r="R153" s="706">
        <v>0</v>
      </c>
      <c r="S153" s="574" t="str">
        <f>IF(CampList[[#This Row],[HH]]&gt;0,CampList[[#This Row],[Total]]/CampList[[#This Row],[HH]],"NA")</f>
        <v>NA</v>
      </c>
      <c r="T153" s="553" t="s">
        <v>510</v>
      </c>
      <c r="U153" s="583" t="s">
        <v>1180</v>
      </c>
      <c r="V153" s="553" t="s">
        <v>553</v>
      </c>
      <c r="W153" s="583"/>
      <c r="X153" s="600"/>
      <c r="Y153" s="591"/>
      <c r="Z153" s="601"/>
      <c r="AA153" s="598"/>
      <c r="AB153" s="577"/>
      <c r="AC153" s="604"/>
      <c r="AD153" s="570" t="s">
        <v>600</v>
      </c>
      <c r="AE153" s="602" t="s">
        <v>1006</v>
      </c>
      <c r="AF153" s="402">
        <f>IF(CampList[[#This Row],[Type of Accomodation]]="camp",MAX(0,CampList[[#This Row],[HH]]-SUMIF(Table_Shelter[Pcode],CampList[[#This Row],[CP_Pcode]],Table_Shelter[HH Covered2])),0)</f>
        <v>0</v>
      </c>
      <c r="AG153" s="553"/>
      <c r="AH153" s="577">
        <f>MIN(CampList[[#This Row],[Shelter Gap]],CampList[[#This Row],[Land Status]])</f>
        <v>0</v>
      </c>
      <c r="AI153" s="553" t="str">
        <f ca="1">IFERROR(OFFSET(DistanceToCamp[Nearest Town],MATCH(CampList[[#This Row],[CP_Pcode]],DistanceToCamp[CP_Pcode],0)-1,0,1,1),"")</f>
        <v/>
      </c>
      <c r="AJ153" s="581" t="str">
        <f ca="1">IFERROR(OFFSET(DistanceToCamp[distance],MATCH(CampList[[#This Row],[CP_Pcode]],DistanceToCamp[CP_Pcode],0)-1,0,1,1),"")</f>
        <v/>
      </c>
      <c r="AK153" s="582" t="str">
        <f ca="1">IFERROR(INT(CampList[[#This Row],[Distance]]/5)+1,"")</f>
        <v/>
      </c>
      <c r="AM153" s="913"/>
      <c r="AN153" s="913"/>
    </row>
    <row r="154" spans="1:40" s="374" customFormat="1" ht="15.75" hidden="1" customHeight="1" x14ac:dyDescent="0.25">
      <c r="A154" s="570" t="s">
        <v>842</v>
      </c>
      <c r="B154" s="551" t="s">
        <v>380</v>
      </c>
      <c r="C154" s="551" t="s">
        <v>524</v>
      </c>
      <c r="D154" s="551" t="s">
        <v>180</v>
      </c>
      <c r="E154" s="551" t="s">
        <v>525</v>
      </c>
      <c r="F154" s="551" t="s">
        <v>526</v>
      </c>
      <c r="G154" s="551" t="s">
        <v>527</v>
      </c>
      <c r="H154" s="579" t="s">
        <v>602</v>
      </c>
      <c r="I154" s="579" t="s">
        <v>603</v>
      </c>
      <c r="J154" s="579" t="s">
        <v>700</v>
      </c>
      <c r="K154" s="579" t="s">
        <v>701</v>
      </c>
      <c r="L154" s="551" t="s">
        <v>138</v>
      </c>
      <c r="M154" s="551" t="s">
        <v>137</v>
      </c>
      <c r="N154" s="571"/>
      <c r="O154" s="571"/>
      <c r="P154" s="591"/>
      <c r="Q154" s="705">
        <v>0</v>
      </c>
      <c r="R154" s="706">
        <v>0</v>
      </c>
      <c r="S154" s="574" t="str">
        <f>IF(CampList[[#This Row],[HH]]&gt;0,CampList[[#This Row],[Total]]/CampList[[#This Row],[HH]],"NA")</f>
        <v>NA</v>
      </c>
      <c r="T154" s="553" t="s">
        <v>510</v>
      </c>
      <c r="U154" s="583" t="s">
        <v>1180</v>
      </c>
      <c r="V154" s="553" t="s">
        <v>553</v>
      </c>
      <c r="W154" s="583"/>
      <c r="X154" s="600"/>
      <c r="Y154" s="591"/>
      <c r="Z154" s="601"/>
      <c r="AA154" s="598"/>
      <c r="AB154" s="577"/>
      <c r="AC154" s="604"/>
      <c r="AD154" s="570" t="s">
        <v>600</v>
      </c>
      <c r="AE154" s="602" t="s">
        <v>1006</v>
      </c>
      <c r="AF154" s="402">
        <f>IF(CampList[[#This Row],[Type of Accomodation]]="camp",MAX(0,CampList[[#This Row],[HH]]-SUMIF(Table_Shelter[Pcode],CampList[[#This Row],[CP_Pcode]],Table_Shelter[HH Covered2])),0)</f>
        <v>0</v>
      </c>
      <c r="AG154" s="553"/>
      <c r="AH154" s="577">
        <f>MIN(CampList[[#This Row],[Shelter Gap]],CampList[[#This Row],[Land Status]])</f>
        <v>0</v>
      </c>
      <c r="AI154" s="553" t="str">
        <f ca="1">IFERROR(OFFSET(DistanceToCamp[Nearest Town],MATCH(CampList[[#This Row],[CP_Pcode]],DistanceToCamp[CP_Pcode],0)-1,0,1,1),"")</f>
        <v/>
      </c>
      <c r="AJ154" s="581" t="str">
        <f ca="1">IFERROR(OFFSET(DistanceToCamp[distance],MATCH(CampList[[#This Row],[CP_Pcode]],DistanceToCamp[CP_Pcode],0)-1,0,1,1),"")</f>
        <v/>
      </c>
      <c r="AK154" s="582" t="str">
        <f ca="1">IFERROR(INT(CampList[[#This Row],[Distance]]/5)+1,"")</f>
        <v/>
      </c>
      <c r="AM154" s="913"/>
      <c r="AN154" s="913"/>
    </row>
    <row r="155" spans="1:40" s="374" customFormat="1" ht="15.75" customHeight="1" x14ac:dyDescent="0.25">
      <c r="A155" s="570" t="s">
        <v>499</v>
      </c>
      <c r="B155" s="551" t="s">
        <v>380</v>
      </c>
      <c r="C155" s="551" t="s">
        <v>524</v>
      </c>
      <c r="D155" s="551" t="s">
        <v>180</v>
      </c>
      <c r="E155" s="551" t="s">
        <v>525</v>
      </c>
      <c r="F155" s="551" t="s">
        <v>526</v>
      </c>
      <c r="G155" s="551" t="s">
        <v>527</v>
      </c>
      <c r="H155" s="551" t="s">
        <v>597</v>
      </c>
      <c r="I155" s="551" t="s">
        <v>598</v>
      </c>
      <c r="J155" s="579" t="s">
        <v>599</v>
      </c>
      <c r="K155" s="579">
        <v>166785</v>
      </c>
      <c r="L155" s="551" t="s">
        <v>90</v>
      </c>
      <c r="M155" s="551" t="s">
        <v>89</v>
      </c>
      <c r="N155" s="571">
        <v>96.269199999999998</v>
      </c>
      <c r="O155" s="571">
        <v>25.566510000000001</v>
      </c>
      <c r="P155" s="572">
        <v>278</v>
      </c>
      <c r="Q155" s="776">
        <v>20</v>
      </c>
      <c r="R155" s="776">
        <v>109</v>
      </c>
      <c r="S155" s="574">
        <f>IF(CampList[[#This Row],[HH]]&gt;0,CampList[[#This Row],[Total]]/CampList[[#This Row],[HH]],"NA")</f>
        <v>5.45</v>
      </c>
      <c r="T155" s="553" t="s">
        <v>510</v>
      </c>
      <c r="U155" s="553" t="s">
        <v>1180</v>
      </c>
      <c r="V155" s="553" t="s">
        <v>553</v>
      </c>
      <c r="W155" s="553" t="s">
        <v>855</v>
      </c>
      <c r="X155" s="794">
        <v>41275</v>
      </c>
      <c r="Y155" s="576">
        <v>1</v>
      </c>
      <c r="Z155" s="575" t="s">
        <v>504</v>
      </c>
      <c r="AA155" s="598" t="s">
        <v>841</v>
      </c>
      <c r="AB155" s="577"/>
      <c r="AC155" s="578">
        <v>42915</v>
      </c>
      <c r="AD155" s="570" t="s">
        <v>1626</v>
      </c>
      <c r="AE155" s="580" t="s">
        <v>1088</v>
      </c>
      <c r="AF155" s="402">
        <f>IF(CampList[[#This Row],[Type of Accomodation]]="camp",MAX(0,CampList[[#This Row],[HH]]-SUMIF(Table_Shelter[Pcode],CampList[[#This Row],[CP_Pcode]],Table_Shelter[HH Covered2])),0)</f>
        <v>0</v>
      </c>
      <c r="AG155" s="553"/>
      <c r="AH155" s="577">
        <f>MIN(CampList[[#This Row],[Shelter Gap]],CampList[[#This Row],[Land Status]])</f>
        <v>0</v>
      </c>
      <c r="AI155" s="553" t="str">
        <f ca="1">IFERROR(OFFSET(DistanceToCamp[Nearest Town],MATCH(CampList[[#This Row],[CP_Pcode]],DistanceToCamp[CP_Pcode],0)-1,0,1,1),"")</f>
        <v>Hpakant Town</v>
      </c>
      <c r="AJ155" s="581">
        <f ca="1">IFERROR(OFFSET(DistanceToCamp[distance],MATCH(CampList[[#This Row],[CP_Pcode]],DistanceToCamp[CP_Pcode],0)-1,0,1,1),"")</f>
        <v>6.7094919928483892</v>
      </c>
      <c r="AK155" s="582">
        <f ca="1">IFERROR(INT(CampList[[#This Row],[Distance]]/5)+1,"")</f>
        <v>2</v>
      </c>
      <c r="AM155" s="913"/>
      <c r="AN155" s="913"/>
    </row>
    <row r="156" spans="1:40" s="374" customFormat="1" ht="15.75" hidden="1" customHeight="1" x14ac:dyDescent="0.25">
      <c r="A156" s="570" t="s">
        <v>842</v>
      </c>
      <c r="B156" s="551" t="s">
        <v>380</v>
      </c>
      <c r="C156" s="551" t="s">
        <v>524</v>
      </c>
      <c r="D156" s="551" t="s">
        <v>180</v>
      </c>
      <c r="E156" s="551" t="s">
        <v>525</v>
      </c>
      <c r="F156" s="551" t="s">
        <v>526</v>
      </c>
      <c r="G156" s="551" t="s">
        <v>527</v>
      </c>
      <c r="H156" s="551"/>
      <c r="I156" s="551"/>
      <c r="J156" s="551"/>
      <c r="K156" s="551"/>
      <c r="L156" s="551" t="s">
        <v>136</v>
      </c>
      <c r="M156" s="551" t="s">
        <v>135</v>
      </c>
      <c r="N156" s="571">
        <v>96.343350000000001</v>
      </c>
      <c r="O156" s="571">
        <v>25.6447</v>
      </c>
      <c r="P156" s="591"/>
      <c r="Q156" s="705">
        <v>0</v>
      </c>
      <c r="R156" s="706">
        <v>0</v>
      </c>
      <c r="S156" s="574" t="str">
        <f>IF(CampList[[#This Row],[HH]]&gt;0,CampList[[#This Row],[Total]]/CampList[[#This Row],[HH]],"NA")</f>
        <v>NA</v>
      </c>
      <c r="T156" s="553" t="s">
        <v>510</v>
      </c>
      <c r="U156" s="583" t="s">
        <v>1180</v>
      </c>
      <c r="V156" s="553" t="s">
        <v>553</v>
      </c>
      <c r="W156" s="583"/>
      <c r="X156" s="600"/>
      <c r="Y156" s="591"/>
      <c r="Z156" s="601"/>
      <c r="AA156" s="751"/>
      <c r="AB156" s="577"/>
      <c r="AC156" s="604"/>
      <c r="AD156" s="570" t="s">
        <v>600</v>
      </c>
      <c r="AE156" s="602" t="s">
        <v>1006</v>
      </c>
      <c r="AF156" s="402">
        <f>IF(CampList[[#This Row],[Type of Accomodation]]="camp",MAX(0,CampList[[#This Row],[HH]]-SUMIF(Table_Shelter[Pcode],CampList[[#This Row],[CP_Pcode]],Table_Shelter[HH Covered2])),0)</f>
        <v>0</v>
      </c>
      <c r="AG156" s="553"/>
      <c r="AH156" s="577">
        <f>MIN(CampList[[#This Row],[Shelter Gap]],CampList[[#This Row],[Land Status]])</f>
        <v>0</v>
      </c>
      <c r="AI156" s="553" t="str">
        <f ca="1">IFERROR(OFFSET(DistanceToCamp[Nearest Town],MATCH(CampList[[#This Row],[CP_Pcode]],DistanceToCamp[CP_Pcode],0)-1,0,1,1),"")</f>
        <v/>
      </c>
      <c r="AJ156" s="581" t="str">
        <f ca="1">IFERROR(OFFSET(DistanceToCamp[distance],MATCH(CampList[[#This Row],[CP_Pcode]],DistanceToCamp[CP_Pcode],0)-1,0,1,1),"")</f>
        <v/>
      </c>
      <c r="AK156" s="582" t="str">
        <f ca="1">IFERROR(INT(CampList[[#This Row],[Distance]]/5)+1,"")</f>
        <v/>
      </c>
      <c r="AM156" s="913"/>
      <c r="AN156" s="913"/>
    </row>
    <row r="157" spans="1:40" s="374" customFormat="1" ht="15.75" customHeight="1" x14ac:dyDescent="0.25">
      <c r="A157" s="570" t="s">
        <v>499</v>
      </c>
      <c r="B157" s="551" t="s">
        <v>380</v>
      </c>
      <c r="C157" s="551" t="s">
        <v>524</v>
      </c>
      <c r="D157" s="551" t="s">
        <v>180</v>
      </c>
      <c r="E157" s="551" t="s">
        <v>525</v>
      </c>
      <c r="F157" s="551" t="s">
        <v>526</v>
      </c>
      <c r="G157" s="551" t="s">
        <v>527</v>
      </c>
      <c r="H157" s="551" t="s">
        <v>597</v>
      </c>
      <c r="I157" s="551" t="s">
        <v>598</v>
      </c>
      <c r="J157" s="551" t="s">
        <v>599</v>
      </c>
      <c r="K157" s="551">
        <v>166785</v>
      </c>
      <c r="L157" s="551" t="s">
        <v>118</v>
      </c>
      <c r="M157" s="551" t="s">
        <v>117</v>
      </c>
      <c r="N157" s="571">
        <v>96.279200000000003</v>
      </c>
      <c r="O157" s="571">
        <v>25.56551</v>
      </c>
      <c r="P157" s="572">
        <v>259</v>
      </c>
      <c r="Q157" s="776">
        <v>9</v>
      </c>
      <c r="R157" s="776">
        <v>37</v>
      </c>
      <c r="S157" s="574">
        <f>IF(CampList[[#This Row],[HH]]&gt;0,CampList[[#This Row],[Total]]/CampList[[#This Row],[HH]],"NA")</f>
        <v>4.1111111111111107</v>
      </c>
      <c r="T157" s="553" t="s">
        <v>510</v>
      </c>
      <c r="U157" s="553" t="s">
        <v>1180</v>
      </c>
      <c r="V157" s="553" t="s">
        <v>553</v>
      </c>
      <c r="W157" s="553" t="s">
        <v>855</v>
      </c>
      <c r="X157" s="794">
        <v>41275</v>
      </c>
      <c r="Y157" s="576">
        <v>1</v>
      </c>
      <c r="Z157" s="575" t="s">
        <v>504</v>
      </c>
      <c r="AA157" s="551" t="s">
        <v>841</v>
      </c>
      <c r="AB157" s="577"/>
      <c r="AC157" s="578">
        <v>42915</v>
      </c>
      <c r="AD157" s="579" t="s">
        <v>1627</v>
      </c>
      <c r="AE157" s="580" t="s">
        <v>1088</v>
      </c>
      <c r="AF157" s="402">
        <f>IF(CampList[[#This Row],[Type of Accomodation]]="camp",MAX(0,CampList[[#This Row],[HH]]-SUMIF(Table_Shelter[Pcode],CampList[[#This Row],[CP_Pcode]],Table_Shelter[HH Covered2])),0)</f>
        <v>0</v>
      </c>
      <c r="AG157" s="402"/>
      <c r="AH157" s="577">
        <f>MIN(CampList[[#This Row],[Shelter Gap]],CampList[[#This Row],[Land Status]])</f>
        <v>0</v>
      </c>
      <c r="AI157" s="553" t="str">
        <f ca="1">IFERROR(OFFSET(DistanceToCamp[Nearest Town],MATCH(CampList[[#This Row],[CP_Pcode]],DistanceToCamp[CP_Pcode],0)-1,0,1,1),"")</f>
        <v>Hpakant Town</v>
      </c>
      <c r="AJ157" s="581">
        <f ca="1">IFERROR(OFFSET(DistanceToCamp[distance],MATCH(CampList[[#This Row],[CP_Pcode]],DistanceToCamp[CP_Pcode],0)-1,0,1,1),"")</f>
        <v>6.2085564346706201</v>
      </c>
      <c r="AK157" s="582">
        <f ca="1">IFERROR(INT(CampList[[#This Row],[Distance]]/5)+1,"")</f>
        <v>2</v>
      </c>
      <c r="AM157" s="913"/>
      <c r="AN157" s="913"/>
    </row>
    <row r="158" spans="1:40" s="374" customFormat="1" ht="15.75" customHeight="1" x14ac:dyDescent="0.25">
      <c r="A158" s="570" t="s">
        <v>499</v>
      </c>
      <c r="B158" s="551" t="s">
        <v>380</v>
      </c>
      <c r="C158" s="551" t="s">
        <v>524</v>
      </c>
      <c r="D158" s="551" t="s">
        <v>180</v>
      </c>
      <c r="E158" s="551" t="s">
        <v>525</v>
      </c>
      <c r="F158" s="551" t="s">
        <v>526</v>
      </c>
      <c r="G158" s="551" t="s">
        <v>527</v>
      </c>
      <c r="H158" s="551" t="s">
        <v>597</v>
      </c>
      <c r="I158" s="551" t="s">
        <v>598</v>
      </c>
      <c r="J158" s="551" t="s">
        <v>599</v>
      </c>
      <c r="K158" s="590">
        <v>166785</v>
      </c>
      <c r="L158" s="551" t="s">
        <v>124</v>
      </c>
      <c r="M158" s="551" t="s">
        <v>123</v>
      </c>
      <c r="N158" s="571">
        <v>96.353030000000004</v>
      </c>
      <c r="O158" s="571">
        <v>25.668399999999998</v>
      </c>
      <c r="P158" s="572">
        <v>0</v>
      </c>
      <c r="Q158" s="776">
        <v>8</v>
      </c>
      <c r="R158" s="776">
        <v>36</v>
      </c>
      <c r="S158" s="574">
        <f>IF(CampList[[#This Row],[HH]]&gt;0,CampList[[#This Row],[Total]]/CampList[[#This Row],[HH]],"NA")</f>
        <v>4.5</v>
      </c>
      <c r="T158" s="553" t="s">
        <v>510</v>
      </c>
      <c r="U158" s="553" t="s">
        <v>1180</v>
      </c>
      <c r="V158" s="553" t="s">
        <v>553</v>
      </c>
      <c r="W158" s="553" t="s">
        <v>855</v>
      </c>
      <c r="X158" s="794">
        <v>41275</v>
      </c>
      <c r="Y158" s="576">
        <v>1</v>
      </c>
      <c r="Z158" s="575" t="s">
        <v>459</v>
      </c>
      <c r="AA158" s="551" t="s">
        <v>841</v>
      </c>
      <c r="AB158" s="577"/>
      <c r="AC158" s="578">
        <v>42919</v>
      </c>
      <c r="AD158" s="579" t="s">
        <v>1673</v>
      </c>
      <c r="AE158" s="580" t="s">
        <v>1088</v>
      </c>
      <c r="AF158" s="402">
        <f>IF(CampList[[#This Row],[Type of Accomodation]]="camp",MAX(0,CampList[[#This Row],[HH]]-SUMIF(Table_Shelter[Pcode],CampList[[#This Row],[CP_Pcode]],Table_Shelter[HH Covered2])),0)</f>
        <v>3</v>
      </c>
      <c r="AG158" s="402"/>
      <c r="AH158" s="577">
        <f>MIN(CampList[[#This Row],[Shelter Gap]],CampList[[#This Row],[Land Status]])</f>
        <v>3</v>
      </c>
      <c r="AI158" s="553" t="str">
        <f ca="1">IFERROR(OFFSET(DistanceToCamp[Nearest Town],MATCH(CampList[[#This Row],[CP_Pcode]],DistanceToCamp[CP_Pcode],0)-1,0,1,1),"")</f>
        <v>Hpakant Town</v>
      </c>
      <c r="AJ158" s="581">
        <f ca="1">IFERROR(OFFSET(DistanceToCamp[distance],MATCH(CampList[[#This Row],[CP_Pcode]],DistanceToCamp[CP_Pcode],0)-1,0,1,1),"")</f>
        <v>7.419312682373878</v>
      </c>
      <c r="AK158" s="582">
        <f ca="1">IFERROR(INT(CampList[[#This Row],[Distance]]/5)+1,"")</f>
        <v>2</v>
      </c>
      <c r="AM158" s="915">
        <v>123</v>
      </c>
      <c r="AN158" s="916">
        <v>503</v>
      </c>
    </row>
    <row r="159" spans="1:40" s="374" customFormat="1" ht="15.75" customHeight="1" x14ac:dyDescent="0.25">
      <c r="A159" s="570" t="s">
        <v>499</v>
      </c>
      <c r="B159" s="551" t="s">
        <v>380</v>
      </c>
      <c r="C159" s="551" t="s">
        <v>524</v>
      </c>
      <c r="D159" s="551" t="s">
        <v>180</v>
      </c>
      <c r="E159" s="551" t="s">
        <v>525</v>
      </c>
      <c r="F159" s="551" t="s">
        <v>526</v>
      </c>
      <c r="G159" s="551" t="s">
        <v>527</v>
      </c>
      <c r="H159" s="551" t="s">
        <v>597</v>
      </c>
      <c r="I159" s="551" t="s">
        <v>598</v>
      </c>
      <c r="J159" s="551" t="s">
        <v>601</v>
      </c>
      <c r="K159" s="551">
        <v>166788</v>
      </c>
      <c r="L159" s="551" t="s">
        <v>126</v>
      </c>
      <c r="M159" s="551" t="s">
        <v>125</v>
      </c>
      <c r="N159" s="571">
        <v>96.286680000000004</v>
      </c>
      <c r="O159" s="571">
        <v>25.577559999999998</v>
      </c>
      <c r="P159" s="572">
        <v>0</v>
      </c>
      <c r="Q159" s="776">
        <v>33</v>
      </c>
      <c r="R159" s="776">
        <v>171</v>
      </c>
      <c r="S159" s="574">
        <f>IF(CampList[[#This Row],[HH]]&gt;0,CampList[[#This Row],[Total]]/CampList[[#This Row],[HH]],"NA")</f>
        <v>5.1818181818181817</v>
      </c>
      <c r="T159" s="553" t="s">
        <v>510</v>
      </c>
      <c r="U159" s="553" t="s">
        <v>1180</v>
      </c>
      <c r="V159" s="553" t="s">
        <v>553</v>
      </c>
      <c r="W159" s="553" t="s">
        <v>802</v>
      </c>
      <c r="X159" s="794">
        <v>41275</v>
      </c>
      <c r="Y159" s="576">
        <v>2</v>
      </c>
      <c r="Z159" s="575" t="s">
        <v>459</v>
      </c>
      <c r="AA159" s="551" t="s">
        <v>841</v>
      </c>
      <c r="AB159" s="577"/>
      <c r="AC159" s="578">
        <v>42919</v>
      </c>
      <c r="AD159" s="579" t="s">
        <v>1674</v>
      </c>
      <c r="AE159" s="580" t="s">
        <v>1088</v>
      </c>
      <c r="AF159" s="402">
        <f>IF(CampList[[#This Row],[Type of Accomodation]]="camp",MAX(0,CampList[[#This Row],[HH]]-SUMIF(Table_Shelter[Pcode],CampList[[#This Row],[CP_Pcode]],Table_Shelter[HH Covered2])),0)</f>
        <v>18</v>
      </c>
      <c r="AG159" s="553"/>
      <c r="AH159" s="577">
        <f>MIN(CampList[[#This Row],[Shelter Gap]],CampList[[#This Row],[Land Status]])</f>
        <v>18</v>
      </c>
      <c r="AI159" s="553" t="str">
        <f ca="1">IFERROR(OFFSET(DistanceToCamp[Nearest Town],MATCH(CampList[[#This Row],[CP_Pcode]],DistanceToCamp[CP_Pcode],0)-1,0,1,1),"")</f>
        <v>Hpakant Town</v>
      </c>
      <c r="AJ159" s="581">
        <f ca="1">IFERROR(OFFSET(DistanceToCamp[distance],MATCH(CampList[[#This Row],[CP_Pcode]],DistanceToCamp[CP_Pcode],0)-1,0,1,1),"")</f>
        <v>4.6754712546149264</v>
      </c>
      <c r="AK159" s="582">
        <f ca="1">IFERROR(INT(CampList[[#This Row],[Distance]]/5)+1,"")</f>
        <v>1</v>
      </c>
      <c r="AM159" s="913"/>
      <c r="AN159" s="913"/>
    </row>
    <row r="160" spans="1:40" s="374" customFormat="1" ht="15.75" customHeight="1" x14ac:dyDescent="0.25">
      <c r="A160" s="570" t="s">
        <v>499</v>
      </c>
      <c r="B160" s="551" t="s">
        <v>380</v>
      </c>
      <c r="C160" s="551" t="s">
        <v>524</v>
      </c>
      <c r="D160" s="551" t="s">
        <v>180</v>
      </c>
      <c r="E160" s="551" t="s">
        <v>525</v>
      </c>
      <c r="F160" s="551" t="s">
        <v>526</v>
      </c>
      <c r="G160" s="551" t="s">
        <v>527</v>
      </c>
      <c r="H160" s="579" t="s">
        <v>602</v>
      </c>
      <c r="I160" s="579" t="s">
        <v>603</v>
      </c>
      <c r="J160" s="579" t="s">
        <v>606</v>
      </c>
      <c r="K160" s="579" t="s">
        <v>607</v>
      </c>
      <c r="L160" s="551" t="s">
        <v>43</v>
      </c>
      <c r="M160" s="551" t="s">
        <v>42</v>
      </c>
      <c r="N160" s="571">
        <v>96.317350000000005</v>
      </c>
      <c r="O160" s="571">
        <v>25.616509000000001</v>
      </c>
      <c r="P160" s="572">
        <v>264</v>
      </c>
      <c r="Q160" s="776">
        <v>14</v>
      </c>
      <c r="R160" s="776">
        <v>81</v>
      </c>
      <c r="S160" s="574">
        <f>IF(CampList[[#This Row],[HH]]&gt;0,CampList[[#This Row],[Total]]/CampList[[#This Row],[HH]],"NA")</f>
        <v>5.7857142857142856</v>
      </c>
      <c r="T160" s="553" t="s">
        <v>510</v>
      </c>
      <c r="U160" s="553" t="s">
        <v>1180</v>
      </c>
      <c r="V160" s="553" t="s">
        <v>553</v>
      </c>
      <c r="W160" s="402" t="s">
        <v>802</v>
      </c>
      <c r="X160" s="794">
        <v>41275</v>
      </c>
      <c r="Y160" s="576">
        <v>1</v>
      </c>
      <c r="Z160" s="575" t="s">
        <v>504</v>
      </c>
      <c r="AA160" s="598" t="s">
        <v>841</v>
      </c>
      <c r="AB160" s="577"/>
      <c r="AC160" s="578">
        <v>42915</v>
      </c>
      <c r="AD160" s="570" t="s">
        <v>1624</v>
      </c>
      <c r="AE160" s="580" t="s">
        <v>1088</v>
      </c>
      <c r="AF160" s="402">
        <f>IF(CampList[[#This Row],[Type of Accomodation]]="camp",MAX(0,CampList[[#This Row],[HH]]-SUMIF(Table_Shelter[Pcode],CampList[[#This Row],[CP_Pcode]],Table_Shelter[HH Covered2])),0)</f>
        <v>4</v>
      </c>
      <c r="AG160" s="553"/>
      <c r="AH160" s="577">
        <f>MIN(CampList[[#This Row],[Shelter Gap]],CampList[[#This Row],[Land Status]])</f>
        <v>4</v>
      </c>
      <c r="AI160" s="553" t="str">
        <f ca="1">IFERROR(OFFSET(DistanceToCamp[Nearest Town],MATCH(CampList[[#This Row],[CP_Pcode]],DistanceToCamp[CP_Pcode],0)-1,0,1,1),"")</f>
        <v>Hpakant Town</v>
      </c>
      <c r="AJ160" s="581">
        <f ca="1">IFERROR(OFFSET(DistanceToCamp[distance],MATCH(CampList[[#This Row],[CP_Pcode]],DistanceToCamp[CP_Pcode],0)-1,0,1,1),"")</f>
        <v>0.66733171900141897</v>
      </c>
      <c r="AK160" s="582">
        <f ca="1">IFERROR(INT(CampList[[#This Row],[Distance]]/5)+1,"")</f>
        <v>1</v>
      </c>
      <c r="AM160" s="913"/>
      <c r="AN160" s="913"/>
    </row>
    <row r="161" spans="1:40" s="374" customFormat="1" ht="15.75" hidden="1" customHeight="1" x14ac:dyDescent="0.25">
      <c r="A161" s="570" t="s">
        <v>842</v>
      </c>
      <c r="B161" s="551" t="s">
        <v>380</v>
      </c>
      <c r="C161" s="551" t="s">
        <v>524</v>
      </c>
      <c r="D161" s="551" t="s">
        <v>180</v>
      </c>
      <c r="E161" s="551" t="s">
        <v>525</v>
      </c>
      <c r="F161" s="551" t="s">
        <v>526</v>
      </c>
      <c r="G161" s="551" t="s">
        <v>527</v>
      </c>
      <c r="H161" s="579" t="s">
        <v>602</v>
      </c>
      <c r="I161" s="579" t="s">
        <v>603</v>
      </c>
      <c r="J161" s="579" t="s">
        <v>606</v>
      </c>
      <c r="K161" s="579" t="s">
        <v>607</v>
      </c>
      <c r="L161" s="551" t="s">
        <v>68</v>
      </c>
      <c r="M161" s="551" t="s">
        <v>67</v>
      </c>
      <c r="N161" s="571"/>
      <c r="O161" s="571"/>
      <c r="P161" s="592"/>
      <c r="Q161" s="705">
        <v>0</v>
      </c>
      <c r="R161" s="706">
        <v>0</v>
      </c>
      <c r="S161" s="574" t="str">
        <f>IF(CampList[[#This Row],[HH]]&gt;0,CampList[[#This Row],[Total]]/CampList[[#This Row],[HH]],"NA")</f>
        <v>NA</v>
      </c>
      <c r="T161" s="553" t="s">
        <v>510</v>
      </c>
      <c r="U161" s="583" t="s">
        <v>1180</v>
      </c>
      <c r="V161" s="553" t="s">
        <v>553</v>
      </c>
      <c r="W161" s="583"/>
      <c r="X161" s="600"/>
      <c r="Y161" s="591"/>
      <c r="Z161" s="601"/>
      <c r="AA161" s="598"/>
      <c r="AB161" s="577"/>
      <c r="AC161" s="604"/>
      <c r="AD161" s="570" t="s">
        <v>600</v>
      </c>
      <c r="AE161" s="602" t="s">
        <v>1006</v>
      </c>
      <c r="AF161" s="402">
        <f>IF(CampList[[#This Row],[Type of Accomodation]]="camp",MAX(0,CampList[[#This Row],[HH]]-SUMIF(Table_Shelter[Pcode],CampList[[#This Row],[CP_Pcode]],Table_Shelter[HH Covered2])),0)</f>
        <v>0</v>
      </c>
      <c r="AG161" s="553"/>
      <c r="AH161" s="577">
        <f>MIN(CampList[[#This Row],[Shelter Gap]],CampList[[#This Row],[Land Status]])</f>
        <v>0</v>
      </c>
      <c r="AI161" s="553" t="str">
        <f ca="1">IFERROR(OFFSET(DistanceToCamp[Nearest Town],MATCH(CampList[[#This Row],[CP_Pcode]],DistanceToCamp[CP_Pcode],0)-1,0,1,1),"")</f>
        <v/>
      </c>
      <c r="AJ161" s="581" t="str">
        <f ca="1">IFERROR(OFFSET(DistanceToCamp[distance],MATCH(CampList[[#This Row],[CP_Pcode]],DistanceToCamp[CP_Pcode],0)-1,0,1,1),"")</f>
        <v/>
      </c>
      <c r="AK161" s="582" t="str">
        <f ca="1">IFERROR(INT(CampList[[#This Row],[Distance]]/5)+1,"")</f>
        <v/>
      </c>
      <c r="AM161" s="913"/>
      <c r="AN161" s="913"/>
    </row>
    <row r="162" spans="1:40" s="374" customFormat="1" ht="15.75" hidden="1" customHeight="1" x14ac:dyDescent="0.25">
      <c r="A162" s="570" t="s">
        <v>842</v>
      </c>
      <c r="B162" s="551" t="s">
        <v>380</v>
      </c>
      <c r="C162" s="551" t="s">
        <v>524</v>
      </c>
      <c r="D162" s="551" t="s">
        <v>180</v>
      </c>
      <c r="E162" s="551" t="s">
        <v>525</v>
      </c>
      <c r="F162" s="551" t="s">
        <v>526</v>
      </c>
      <c r="G162" s="551" t="s">
        <v>527</v>
      </c>
      <c r="H162" s="579" t="s">
        <v>602</v>
      </c>
      <c r="I162" s="579" t="s">
        <v>603</v>
      </c>
      <c r="J162" s="579" t="s">
        <v>606</v>
      </c>
      <c r="K162" s="579" t="s">
        <v>607</v>
      </c>
      <c r="L162" s="551" t="s">
        <v>84</v>
      </c>
      <c r="M162" s="551" t="s">
        <v>83</v>
      </c>
      <c r="N162" s="571">
        <v>96.316210999999996</v>
      </c>
      <c r="O162" s="571">
        <v>25.619221</v>
      </c>
      <c r="P162" s="592"/>
      <c r="Q162" s="705">
        <v>0</v>
      </c>
      <c r="R162" s="706">
        <v>0</v>
      </c>
      <c r="S162" s="574" t="str">
        <f>IF(CampList[[#This Row],[HH]]&gt;0,CampList[[#This Row],[Total]]/CampList[[#This Row],[HH]],"NA")</f>
        <v>NA</v>
      </c>
      <c r="T162" s="553" t="s">
        <v>510</v>
      </c>
      <c r="U162" s="583" t="s">
        <v>1180</v>
      </c>
      <c r="V162" s="553" t="s">
        <v>553</v>
      </c>
      <c r="W162" s="583"/>
      <c r="X162" s="600"/>
      <c r="Y162" s="591"/>
      <c r="Z162" s="601"/>
      <c r="AA162" s="598"/>
      <c r="AB162" s="577"/>
      <c r="AC162" s="604"/>
      <c r="AD162" s="570" t="s">
        <v>600</v>
      </c>
      <c r="AE162" s="602" t="s">
        <v>1006</v>
      </c>
      <c r="AF162" s="402">
        <f>IF(CampList[[#This Row],[Type of Accomodation]]="camp",MAX(0,CampList[[#This Row],[HH]]-SUMIF(Table_Shelter[Pcode],CampList[[#This Row],[CP_Pcode]],Table_Shelter[HH Covered2])),0)</f>
        <v>0</v>
      </c>
      <c r="AG162" s="553"/>
      <c r="AH162" s="577">
        <f>MIN(CampList[[#This Row],[Shelter Gap]],CampList[[#This Row],[Land Status]])</f>
        <v>0</v>
      </c>
      <c r="AI162" s="553" t="str">
        <f ca="1">IFERROR(OFFSET(DistanceToCamp[Nearest Town],MATCH(CampList[[#This Row],[CP_Pcode]],DistanceToCamp[CP_Pcode],0)-1,0,1,1),"")</f>
        <v/>
      </c>
      <c r="AJ162" s="581" t="str">
        <f ca="1">IFERROR(OFFSET(DistanceToCamp[distance],MATCH(CampList[[#This Row],[CP_Pcode]],DistanceToCamp[CP_Pcode],0)-1,0,1,1),"")</f>
        <v/>
      </c>
      <c r="AK162" s="582" t="str">
        <f ca="1">IFERROR(INT(CampList[[#This Row],[Distance]]/5)+1,"")</f>
        <v/>
      </c>
      <c r="AM162" s="913"/>
      <c r="AN162" s="913"/>
    </row>
    <row r="163" spans="1:40" s="374" customFormat="1" ht="15.75" hidden="1" customHeight="1" x14ac:dyDescent="0.25">
      <c r="A163" s="570" t="s">
        <v>842</v>
      </c>
      <c r="B163" s="551" t="s">
        <v>380</v>
      </c>
      <c r="C163" s="551" t="s">
        <v>524</v>
      </c>
      <c r="D163" s="551" t="s">
        <v>180</v>
      </c>
      <c r="E163" s="551" t="s">
        <v>525</v>
      </c>
      <c r="F163" s="551" t="s">
        <v>526</v>
      </c>
      <c r="G163" s="551" t="s">
        <v>527</v>
      </c>
      <c r="H163" s="579" t="s">
        <v>602</v>
      </c>
      <c r="I163" s="579" t="s">
        <v>603</v>
      </c>
      <c r="J163" s="579" t="s">
        <v>606</v>
      </c>
      <c r="K163" s="579" t="s">
        <v>607</v>
      </c>
      <c r="L163" s="551" t="s">
        <v>86</v>
      </c>
      <c r="M163" s="551" t="s">
        <v>85</v>
      </c>
      <c r="N163" s="571"/>
      <c r="O163" s="571"/>
      <c r="P163" s="592"/>
      <c r="Q163" s="705">
        <v>0</v>
      </c>
      <c r="R163" s="706">
        <v>0</v>
      </c>
      <c r="S163" s="574" t="str">
        <f>IF(CampList[[#This Row],[HH]]&gt;0,CampList[[#This Row],[Total]]/CampList[[#This Row],[HH]],"NA")</f>
        <v>NA</v>
      </c>
      <c r="T163" s="553" t="s">
        <v>510</v>
      </c>
      <c r="U163" s="583" t="s">
        <v>1180</v>
      </c>
      <c r="V163" s="553" t="s">
        <v>553</v>
      </c>
      <c r="W163" s="583"/>
      <c r="X163" s="600"/>
      <c r="Y163" s="591"/>
      <c r="Z163" s="601"/>
      <c r="AA163" s="598"/>
      <c r="AB163" s="577"/>
      <c r="AC163" s="604"/>
      <c r="AD163" s="570" t="s">
        <v>600</v>
      </c>
      <c r="AE163" s="602" t="s">
        <v>1006</v>
      </c>
      <c r="AF163" s="402">
        <f>IF(CampList[[#This Row],[Type of Accomodation]]="camp",MAX(0,CampList[[#This Row],[HH]]-SUMIF(Table_Shelter[Pcode],CampList[[#This Row],[CP_Pcode]],Table_Shelter[HH Covered2])),0)</f>
        <v>0</v>
      </c>
      <c r="AG163" s="553"/>
      <c r="AH163" s="577">
        <f>MIN(CampList[[#This Row],[Shelter Gap]],CampList[[#This Row],[Land Status]])</f>
        <v>0</v>
      </c>
      <c r="AI163" s="553" t="str">
        <f ca="1">IFERROR(OFFSET(DistanceToCamp[Nearest Town],MATCH(CampList[[#This Row],[CP_Pcode]],DistanceToCamp[CP_Pcode],0)-1,0,1,1),"")</f>
        <v/>
      </c>
      <c r="AJ163" s="581" t="str">
        <f ca="1">IFERROR(OFFSET(DistanceToCamp[distance],MATCH(CampList[[#This Row],[CP_Pcode]],DistanceToCamp[CP_Pcode],0)-1,0,1,1),"")</f>
        <v/>
      </c>
      <c r="AK163" s="582" t="str">
        <f ca="1">IFERROR(INT(CampList[[#This Row],[Distance]]/5)+1,"")</f>
        <v/>
      </c>
      <c r="AM163" s="913"/>
      <c r="AN163" s="913"/>
    </row>
    <row r="164" spans="1:40" s="374" customFormat="1" ht="15.75" hidden="1" customHeight="1" x14ac:dyDescent="0.25">
      <c r="A164" s="570" t="s">
        <v>842</v>
      </c>
      <c r="B164" s="551" t="s">
        <v>380</v>
      </c>
      <c r="C164" s="551" t="s">
        <v>524</v>
      </c>
      <c r="D164" s="551" t="s">
        <v>180</v>
      </c>
      <c r="E164" s="551" t="s">
        <v>525</v>
      </c>
      <c r="F164" s="551" t="s">
        <v>526</v>
      </c>
      <c r="G164" s="551" t="s">
        <v>527</v>
      </c>
      <c r="H164" s="579" t="s">
        <v>602</v>
      </c>
      <c r="I164" s="579" t="s">
        <v>603</v>
      </c>
      <c r="J164" s="579" t="s">
        <v>606</v>
      </c>
      <c r="K164" s="579" t="s">
        <v>607</v>
      </c>
      <c r="L164" s="551" t="s">
        <v>104</v>
      </c>
      <c r="M164" s="551" t="s">
        <v>103</v>
      </c>
      <c r="N164" s="571"/>
      <c r="O164" s="571"/>
      <c r="P164" s="592"/>
      <c r="Q164" s="705">
        <v>0</v>
      </c>
      <c r="R164" s="706">
        <v>0</v>
      </c>
      <c r="S164" s="574" t="str">
        <f>IF(CampList[[#This Row],[HH]]&gt;0,CampList[[#This Row],[Total]]/CampList[[#This Row],[HH]],"NA")</f>
        <v>NA</v>
      </c>
      <c r="T164" s="553" t="s">
        <v>510</v>
      </c>
      <c r="U164" s="583" t="s">
        <v>1180</v>
      </c>
      <c r="V164" s="553" t="s">
        <v>553</v>
      </c>
      <c r="W164" s="583"/>
      <c r="X164" s="600"/>
      <c r="Y164" s="591"/>
      <c r="Z164" s="601"/>
      <c r="AA164" s="598"/>
      <c r="AB164" s="577"/>
      <c r="AC164" s="604"/>
      <c r="AD164" s="570" t="s">
        <v>600</v>
      </c>
      <c r="AE164" s="602" t="s">
        <v>1006</v>
      </c>
      <c r="AF164" s="402">
        <f>IF(CampList[[#This Row],[Type of Accomodation]]="camp",MAX(0,CampList[[#This Row],[HH]]-SUMIF(Table_Shelter[Pcode],CampList[[#This Row],[CP_Pcode]],Table_Shelter[HH Covered2])),0)</f>
        <v>0</v>
      </c>
      <c r="AG164" s="553"/>
      <c r="AH164" s="577">
        <f>MIN(CampList[[#This Row],[Shelter Gap]],CampList[[#This Row],[Land Status]])</f>
        <v>0</v>
      </c>
      <c r="AI164" s="553" t="str">
        <f ca="1">IFERROR(OFFSET(DistanceToCamp[Nearest Town],MATCH(CampList[[#This Row],[CP_Pcode]],DistanceToCamp[CP_Pcode],0)-1,0,1,1),"")</f>
        <v/>
      </c>
      <c r="AJ164" s="581" t="str">
        <f ca="1">IFERROR(OFFSET(DistanceToCamp[distance],MATCH(CampList[[#This Row],[CP_Pcode]],DistanceToCamp[CP_Pcode],0)-1,0,1,1),"")</f>
        <v/>
      </c>
      <c r="AK164" s="582" t="str">
        <f ca="1">IFERROR(INT(CampList[[#This Row],[Distance]]/5)+1,"")</f>
        <v/>
      </c>
      <c r="AM164" s="913"/>
      <c r="AN164" s="913"/>
    </row>
    <row r="165" spans="1:40" s="374" customFormat="1" ht="15.75" customHeight="1" x14ac:dyDescent="0.25">
      <c r="A165" s="570" t="s">
        <v>499</v>
      </c>
      <c r="B165" s="551" t="s">
        <v>380</v>
      </c>
      <c r="C165" s="551" t="s">
        <v>524</v>
      </c>
      <c r="D165" s="551" t="s">
        <v>180</v>
      </c>
      <c r="E165" s="551" t="s">
        <v>525</v>
      </c>
      <c r="F165" s="551" t="s">
        <v>526</v>
      </c>
      <c r="G165" s="551" t="s">
        <v>527</v>
      </c>
      <c r="H165" s="579" t="s">
        <v>602</v>
      </c>
      <c r="I165" s="579" t="s">
        <v>603</v>
      </c>
      <c r="J165" s="579" t="s">
        <v>606</v>
      </c>
      <c r="K165" s="579" t="s">
        <v>607</v>
      </c>
      <c r="L165" s="551" t="s">
        <v>44</v>
      </c>
      <c r="M165" s="551" t="s">
        <v>45</v>
      </c>
      <c r="N165" s="571">
        <v>96.316564</v>
      </c>
      <c r="O165" s="571">
        <v>25.615960999999999</v>
      </c>
      <c r="P165" s="572">
        <v>281</v>
      </c>
      <c r="Q165" s="776">
        <v>4</v>
      </c>
      <c r="R165" s="776">
        <v>26</v>
      </c>
      <c r="S165" s="574">
        <f>IF(CampList[[#This Row],[HH]]&gt;0,CampList[[#This Row],[Total]]/CampList[[#This Row],[HH]],"NA")</f>
        <v>6.5</v>
      </c>
      <c r="T165" s="553" t="s">
        <v>510</v>
      </c>
      <c r="U165" s="553" t="s">
        <v>1180</v>
      </c>
      <c r="V165" s="553" t="s">
        <v>553</v>
      </c>
      <c r="W165" s="553" t="s">
        <v>802</v>
      </c>
      <c r="X165" s="794">
        <v>41122</v>
      </c>
      <c r="Y165" s="576">
        <v>1</v>
      </c>
      <c r="Z165" s="575" t="s">
        <v>504</v>
      </c>
      <c r="AA165" s="598" t="s">
        <v>841</v>
      </c>
      <c r="AB165" s="577"/>
      <c r="AC165" s="578">
        <v>42915</v>
      </c>
      <c r="AD165" s="570" t="s">
        <v>1628</v>
      </c>
      <c r="AE165" s="580" t="s">
        <v>1088</v>
      </c>
      <c r="AF165" s="402">
        <f>IF(CampList[[#This Row],[Type of Accomodation]]="camp",MAX(0,CampList[[#This Row],[HH]]-SUMIF(Table_Shelter[Pcode],CampList[[#This Row],[CP_Pcode]],Table_Shelter[HH Covered2])),0)</f>
        <v>0</v>
      </c>
      <c r="AG165" s="553"/>
      <c r="AH165" s="577">
        <f>MIN(CampList[[#This Row],[Shelter Gap]],CampList[[#This Row],[Land Status]])</f>
        <v>0</v>
      </c>
      <c r="AI165" s="553" t="str">
        <f ca="1">IFERROR(OFFSET(DistanceToCamp[Nearest Town],MATCH(CampList[[#This Row],[CP_Pcode]],DistanceToCamp[CP_Pcode],0)-1,0,1,1),"")</f>
        <v>Hpakant Town</v>
      </c>
      <c r="AJ165" s="581">
        <f ca="1">IFERROR(OFFSET(DistanceToCamp[distance],MATCH(CampList[[#This Row],[CP_Pcode]],DistanceToCamp[CP_Pcode],0)-1,0,1,1),"")</f>
        <v>0.56771790814545575</v>
      </c>
      <c r="AK165" s="582">
        <f ca="1">IFERROR(INT(CampList[[#This Row],[Distance]]/5)+1,"")</f>
        <v>1</v>
      </c>
      <c r="AM165" s="913"/>
      <c r="AN165" s="913"/>
    </row>
    <row r="166" spans="1:40" s="374" customFormat="1" ht="15.75" customHeight="1" x14ac:dyDescent="0.25">
      <c r="A166" s="570" t="s">
        <v>499</v>
      </c>
      <c r="B166" s="551" t="s">
        <v>380</v>
      </c>
      <c r="C166" s="551" t="s">
        <v>524</v>
      </c>
      <c r="D166" s="551" t="s">
        <v>180</v>
      </c>
      <c r="E166" s="551" t="s">
        <v>525</v>
      </c>
      <c r="F166" s="551" t="s">
        <v>526</v>
      </c>
      <c r="G166" s="551" t="s">
        <v>527</v>
      </c>
      <c r="H166" s="579" t="s">
        <v>608</v>
      </c>
      <c r="I166" s="579" t="s">
        <v>609</v>
      </c>
      <c r="J166" s="579" t="s">
        <v>608</v>
      </c>
      <c r="K166" s="579">
        <v>166776</v>
      </c>
      <c r="L166" s="551" t="s">
        <v>610</v>
      </c>
      <c r="M166" s="551" t="s">
        <v>46</v>
      </c>
      <c r="N166" s="571">
        <v>96.339590000000001</v>
      </c>
      <c r="O166" s="571">
        <v>25.617998</v>
      </c>
      <c r="P166" s="592"/>
      <c r="Q166" s="776">
        <v>12</v>
      </c>
      <c r="R166" s="776">
        <v>55</v>
      </c>
      <c r="S166" s="574">
        <f>IF(CampList[[#This Row],[HH]]&gt;0,CampList[[#This Row],[Total]]/CampList[[#This Row],[HH]],"NA")</f>
        <v>4.583333333333333</v>
      </c>
      <c r="T166" s="553" t="s">
        <v>510</v>
      </c>
      <c r="U166" s="553" t="s">
        <v>1180</v>
      </c>
      <c r="V166" s="553" t="s">
        <v>553</v>
      </c>
      <c r="W166" s="553" t="s">
        <v>802</v>
      </c>
      <c r="X166" s="794">
        <v>41275</v>
      </c>
      <c r="Y166" s="576">
        <v>1</v>
      </c>
      <c r="Z166" s="575" t="s">
        <v>504</v>
      </c>
      <c r="AA166" s="598" t="s">
        <v>841</v>
      </c>
      <c r="AB166" s="577"/>
      <c r="AC166" s="578">
        <v>42915</v>
      </c>
      <c r="AD166" s="570" t="s">
        <v>1629</v>
      </c>
      <c r="AE166" s="580" t="s">
        <v>1088</v>
      </c>
      <c r="AF166" s="402">
        <f>IF(CampList[[#This Row],[Type of Accomodation]]="camp",MAX(0,CampList[[#This Row],[HH]]-SUMIF(Table_Shelter[Pcode],CampList[[#This Row],[CP_Pcode]],Table_Shelter[HH Covered2])),0)</f>
        <v>0</v>
      </c>
      <c r="AG166" s="553"/>
      <c r="AH166" s="577">
        <f>MIN(CampList[[#This Row],[Shelter Gap]],CampList[[#This Row],[Land Status]])</f>
        <v>0</v>
      </c>
      <c r="AI166" s="553" t="str">
        <f ca="1">IFERROR(OFFSET(DistanceToCamp[Nearest Town],MATCH(CampList[[#This Row],[CP_Pcode]],DistanceToCamp[CP_Pcode],0)-1,0,1,1),"")</f>
        <v>Hpakant Town</v>
      </c>
      <c r="AJ166" s="581">
        <f ca="1">IFERROR(OFFSET(DistanceToCamp[distance],MATCH(CampList[[#This Row],[CP_Pcode]],DistanceToCamp[CP_Pcode],0)-1,0,1,1),"")</f>
        <v>2.814225084976667</v>
      </c>
      <c r="AK166" s="582">
        <f ca="1">IFERROR(INT(CampList[[#This Row],[Distance]]/5)+1,"")</f>
        <v>1</v>
      </c>
      <c r="AM166" s="913"/>
      <c r="AN166" s="913"/>
    </row>
    <row r="167" spans="1:40" s="374" customFormat="1" ht="15.75" customHeight="1" x14ac:dyDescent="0.25">
      <c r="A167" s="570" t="s">
        <v>499</v>
      </c>
      <c r="B167" s="551" t="s">
        <v>380</v>
      </c>
      <c r="C167" s="551" t="s">
        <v>524</v>
      </c>
      <c r="D167" s="551" t="s">
        <v>5</v>
      </c>
      <c r="E167" s="551" t="s">
        <v>528</v>
      </c>
      <c r="F167" s="551" t="s">
        <v>5</v>
      </c>
      <c r="G167" s="551" t="s">
        <v>529</v>
      </c>
      <c r="H167" s="551" t="s">
        <v>644</v>
      </c>
      <c r="I167" s="551" t="s">
        <v>645</v>
      </c>
      <c r="J167" s="551" t="s">
        <v>646</v>
      </c>
      <c r="K167" s="551">
        <v>166854</v>
      </c>
      <c r="L167" s="551" t="s">
        <v>366</v>
      </c>
      <c r="M167" s="551" t="s">
        <v>376</v>
      </c>
      <c r="N167" s="571">
        <v>97.252650000000003</v>
      </c>
      <c r="O167" s="571">
        <v>24.222349999999999</v>
      </c>
      <c r="P167" s="572">
        <v>0</v>
      </c>
      <c r="Q167" s="776">
        <v>153</v>
      </c>
      <c r="R167" s="776">
        <v>773</v>
      </c>
      <c r="S167" s="574">
        <f>IF(CampList[[#This Row],[HH]]&gt;0,CampList[[#This Row],[Total]]/CampList[[#This Row],[HH]],"NA")</f>
        <v>5.0522875816993462</v>
      </c>
      <c r="T167" s="553" t="s">
        <v>510</v>
      </c>
      <c r="U167" s="553" t="s">
        <v>1180</v>
      </c>
      <c r="V167" s="553" t="s">
        <v>553</v>
      </c>
      <c r="W167" s="553" t="s">
        <v>802</v>
      </c>
      <c r="X167" s="794">
        <v>41275</v>
      </c>
      <c r="Y167" s="576">
        <v>1</v>
      </c>
      <c r="Z167" s="575" t="s">
        <v>459</v>
      </c>
      <c r="AA167" s="551" t="s">
        <v>841</v>
      </c>
      <c r="AB167" s="577"/>
      <c r="AC167" s="578">
        <v>42919</v>
      </c>
      <c r="AD167" s="579" t="s">
        <v>1659</v>
      </c>
      <c r="AE167" s="580" t="s">
        <v>1088</v>
      </c>
      <c r="AF167" s="402">
        <f>IF(CampList[[#This Row],[Type of Accomodation]]="camp",MAX(0,CampList[[#This Row],[HH]]-SUMIF(Table_Shelter[Pcode],CampList[[#This Row],[CP_Pcode]],Table_Shelter[HH Covered2])),0)</f>
        <v>27</v>
      </c>
      <c r="AG167" s="402"/>
      <c r="AH167" s="577">
        <f>MIN(CampList[[#This Row],[Shelter Gap]],CampList[[#This Row],[Land Status]])</f>
        <v>27</v>
      </c>
      <c r="AI167" s="553" t="str">
        <f ca="1">IFERROR(OFFSET(DistanceToCamp[Nearest Town],MATCH(CampList[[#This Row],[CP_Pcode]],DistanceToCamp[CP_Pcode],0)-1,0,1,1),"")</f>
        <v>Bhamo Town</v>
      </c>
      <c r="AJ167" s="581">
        <f ca="1">IFERROR(OFFSET(DistanceToCamp[distance],MATCH(CampList[[#This Row],[CP_Pcode]],DistanceToCamp[CP_Pcode],0)-1,0,1,1),"")</f>
        <v>4.067486452659054</v>
      </c>
      <c r="AK167" s="582">
        <f ca="1">IFERROR(INT(CampList[[#This Row],[Distance]]/5)+1,"")</f>
        <v>1</v>
      </c>
      <c r="AM167" s="913"/>
      <c r="AN167" s="913"/>
    </row>
    <row r="168" spans="1:40" s="374" customFormat="1" ht="15.75" customHeight="1" x14ac:dyDescent="0.25">
      <c r="A168" s="570" t="s">
        <v>499</v>
      </c>
      <c r="B168" s="551" t="s">
        <v>380</v>
      </c>
      <c r="C168" s="551" t="s">
        <v>524</v>
      </c>
      <c r="D168" s="551" t="s">
        <v>5</v>
      </c>
      <c r="E168" s="551" t="s">
        <v>528</v>
      </c>
      <c r="F168" s="551" t="s">
        <v>5</v>
      </c>
      <c r="G168" s="551" t="s">
        <v>529</v>
      </c>
      <c r="H168" s="579" t="s">
        <v>1348</v>
      </c>
      <c r="I168" s="579" t="s">
        <v>1347</v>
      </c>
      <c r="J168" s="579" t="s">
        <v>1348</v>
      </c>
      <c r="K168" s="597">
        <v>166904</v>
      </c>
      <c r="L168" s="551" t="s">
        <v>511</v>
      </c>
      <c r="M168" s="551" t="s">
        <v>377</v>
      </c>
      <c r="N168" s="571">
        <v>97.252650000000003</v>
      </c>
      <c r="O168" s="571">
        <v>24.260466999999998</v>
      </c>
      <c r="P168" s="572">
        <v>0</v>
      </c>
      <c r="Q168" s="776">
        <v>12</v>
      </c>
      <c r="R168" s="776">
        <v>55</v>
      </c>
      <c r="S168" s="574">
        <f>IF(CampList[[#This Row],[HH]]&gt;0,CampList[[#This Row],[Total]]/CampList[[#This Row],[HH]],"NA")</f>
        <v>4.583333333333333</v>
      </c>
      <c r="T168" s="553" t="s">
        <v>510</v>
      </c>
      <c r="U168" s="553" t="s">
        <v>1180</v>
      </c>
      <c r="V168" s="553" t="s">
        <v>553</v>
      </c>
      <c r="W168" s="553" t="s">
        <v>802</v>
      </c>
      <c r="X168" s="794">
        <v>40787</v>
      </c>
      <c r="Y168" s="576">
        <v>1</v>
      </c>
      <c r="Z168" s="575" t="s">
        <v>459</v>
      </c>
      <c r="AA168" s="598" t="s">
        <v>841</v>
      </c>
      <c r="AB168" s="577"/>
      <c r="AC168" s="578">
        <v>42919</v>
      </c>
      <c r="AD168" s="570" t="s">
        <v>1656</v>
      </c>
      <c r="AE168" s="580" t="s">
        <v>1088</v>
      </c>
      <c r="AF168" s="402">
        <f>IF(CampList[[#This Row],[Type of Accomodation]]="camp",MAX(0,CampList[[#This Row],[HH]]-SUMIF(Table_Shelter[Pcode],CampList[[#This Row],[CP_Pcode]],Table_Shelter[HH Covered2])),0)</f>
        <v>0</v>
      </c>
      <c r="AG168" s="553"/>
      <c r="AH168" s="577">
        <f>MIN(CampList[[#This Row],[Shelter Gap]],CampList[[#This Row],[Land Status]])</f>
        <v>0</v>
      </c>
      <c r="AI168" s="553" t="str">
        <f ca="1">IFERROR(OFFSET(DistanceToCamp[Nearest Town],MATCH(CampList[[#This Row],[CP_Pcode]],DistanceToCamp[CP_Pcode],0)-1,0,1,1),"")</f>
        <v>Bhamo Town</v>
      </c>
      <c r="AJ168" s="581">
        <f ca="1">IFERROR(OFFSET(DistanceToCamp[distance],MATCH(CampList[[#This Row],[CP_Pcode]],DistanceToCamp[CP_Pcode],0)-1,0,1,1),"")</f>
        <v>1.9489261822960435</v>
      </c>
      <c r="AK168" s="582">
        <f ca="1">IFERROR(INT(CampList[[#This Row],[Distance]]/5)+1,"")</f>
        <v>1</v>
      </c>
      <c r="AM168" s="913"/>
      <c r="AN168" s="913"/>
    </row>
    <row r="169" spans="1:40" s="748" customFormat="1" ht="15.75" hidden="1" customHeight="1" x14ac:dyDescent="0.25">
      <c r="A169" s="570" t="s">
        <v>842</v>
      </c>
      <c r="B169" s="551" t="s">
        <v>380</v>
      </c>
      <c r="C169" s="551" t="s">
        <v>524</v>
      </c>
      <c r="D169" s="551" t="s">
        <v>180</v>
      </c>
      <c r="E169" s="551" t="s">
        <v>525</v>
      </c>
      <c r="F169" s="551" t="s">
        <v>526</v>
      </c>
      <c r="G169" s="551" t="s">
        <v>527</v>
      </c>
      <c r="H169" s="579" t="s">
        <v>611</v>
      </c>
      <c r="I169" s="579" t="s">
        <v>612</v>
      </c>
      <c r="J169" s="579" t="s">
        <v>611</v>
      </c>
      <c r="K169" s="579">
        <v>166773</v>
      </c>
      <c r="L169" s="551" t="s">
        <v>98</v>
      </c>
      <c r="M169" s="551" t="s">
        <v>97</v>
      </c>
      <c r="N169" s="571">
        <v>96.359309999999994</v>
      </c>
      <c r="O169" s="571">
        <v>25.651440000000001</v>
      </c>
      <c r="P169" s="592"/>
      <c r="Q169" s="705">
        <v>0</v>
      </c>
      <c r="R169" s="706">
        <v>0</v>
      </c>
      <c r="S169" s="574" t="str">
        <f>IF(CampList[[#This Row],[HH]]&gt;0,CampList[[#This Row],[Total]]/CampList[[#This Row],[HH]],"NA")</f>
        <v>NA</v>
      </c>
      <c r="T169" s="553" t="s">
        <v>510</v>
      </c>
      <c r="U169" s="583" t="s">
        <v>1180</v>
      </c>
      <c r="V169" s="553" t="s">
        <v>553</v>
      </c>
      <c r="W169" s="583"/>
      <c r="X169" s="600"/>
      <c r="Y169" s="591"/>
      <c r="Z169" s="601"/>
      <c r="AA169" s="598"/>
      <c r="AB169" s="577"/>
      <c r="AC169" s="604"/>
      <c r="AD169" s="570" t="s">
        <v>600</v>
      </c>
      <c r="AE169" s="602" t="s">
        <v>1006</v>
      </c>
      <c r="AF169" s="402">
        <f>IF(CampList[[#This Row],[Type of Accomodation]]="camp",MAX(0,CampList[[#This Row],[HH]]-SUMIF(Table_Shelter[Pcode],CampList[[#This Row],[CP_Pcode]],Table_Shelter[HH Covered2])),0)</f>
        <v>0</v>
      </c>
      <c r="AG169" s="553"/>
      <c r="AH169" s="577">
        <f>MIN(CampList[[#This Row],[Shelter Gap]],CampList[[#This Row],[Land Status]])</f>
        <v>0</v>
      </c>
      <c r="AI169" s="553" t="str">
        <f ca="1">IFERROR(OFFSET(DistanceToCamp[Nearest Town],MATCH(CampList[[#This Row],[CP_Pcode]],DistanceToCamp[CP_Pcode],0)-1,0,1,1),"")</f>
        <v/>
      </c>
      <c r="AJ169" s="581" t="str">
        <f ca="1">IFERROR(OFFSET(DistanceToCamp[distance],MATCH(CampList[[#This Row],[CP_Pcode]],DistanceToCamp[CP_Pcode],0)-1,0,1,1),"")</f>
        <v/>
      </c>
      <c r="AK169" s="582" t="str">
        <f ca="1">IFERROR(INT(CampList[[#This Row],[Distance]]/5)+1,"")</f>
        <v/>
      </c>
      <c r="AM169" s="917"/>
      <c r="AN169" s="917"/>
    </row>
    <row r="170" spans="1:40" s="374" customFormat="1" ht="15.75" customHeight="1" x14ac:dyDescent="0.25">
      <c r="A170" s="570" t="s">
        <v>499</v>
      </c>
      <c r="B170" s="551" t="s">
        <v>380</v>
      </c>
      <c r="C170" s="551" t="s">
        <v>524</v>
      </c>
      <c r="D170" s="551" t="s">
        <v>237</v>
      </c>
      <c r="E170" s="551" t="s">
        <v>530</v>
      </c>
      <c r="F170" s="551" t="s">
        <v>27</v>
      </c>
      <c r="G170" s="551" t="s">
        <v>533</v>
      </c>
      <c r="H170" s="599" t="s">
        <v>802</v>
      </c>
      <c r="I170" s="551" t="s">
        <v>791</v>
      </c>
      <c r="J170" s="599" t="s">
        <v>803</v>
      </c>
      <c r="K170" s="599"/>
      <c r="L170" s="551" t="s">
        <v>365</v>
      </c>
      <c r="M170" s="551" t="s">
        <v>378</v>
      </c>
      <c r="N170" s="571">
        <v>98.129990000000006</v>
      </c>
      <c r="O170" s="571">
        <v>25.887339999999998</v>
      </c>
      <c r="P170" s="592">
        <v>259.10000000000002</v>
      </c>
      <c r="Q170" s="776">
        <v>144</v>
      </c>
      <c r="R170" s="776">
        <v>644</v>
      </c>
      <c r="S170" s="574">
        <f>IF(CampList[[#This Row],[HH]]&gt;0,CampList[[#This Row],[Total]]/CampList[[#This Row],[HH]],"NA")</f>
        <v>4.4722222222222223</v>
      </c>
      <c r="T170" s="553" t="s">
        <v>510</v>
      </c>
      <c r="U170" s="553" t="s">
        <v>1180</v>
      </c>
      <c r="V170" s="553" t="s">
        <v>553</v>
      </c>
      <c r="W170" s="553" t="s">
        <v>855</v>
      </c>
      <c r="X170" s="794">
        <v>40940</v>
      </c>
      <c r="Y170" s="576">
        <v>1</v>
      </c>
      <c r="Z170" s="575" t="s">
        <v>504</v>
      </c>
      <c r="AA170" s="598" t="s">
        <v>841</v>
      </c>
      <c r="AB170" s="577"/>
      <c r="AC170" s="578">
        <v>42915</v>
      </c>
      <c r="AD170" s="570" t="s">
        <v>1630</v>
      </c>
      <c r="AE170" s="580" t="s">
        <v>1072</v>
      </c>
      <c r="AF170" s="402">
        <f>IF(CampList[[#This Row],[Type of Accomodation]]="camp",MAX(0,CampList[[#This Row],[HH]]-SUMIF(Table_Shelter[Pcode],CampList[[#This Row],[CP_Pcode]],Table_Shelter[HH Covered2])),0)</f>
        <v>71</v>
      </c>
      <c r="AG170" s="553"/>
      <c r="AH170" s="577">
        <f>MIN(CampList[[#This Row],[Shelter Gap]],CampList[[#This Row],[Land Status]])</f>
        <v>71</v>
      </c>
      <c r="AI170" s="553" t="str">
        <f ca="1">IFERROR(OFFSET(DistanceToCamp[Nearest Town],MATCH(CampList[[#This Row],[CP_Pcode]],DistanceToCamp[CP_Pcode],0)-1,0,1,1),"")</f>
        <v>Chipwi Town</v>
      </c>
      <c r="AJ170" s="581">
        <f ca="1">IFERROR(OFFSET(DistanceToCamp[distance],MATCH(CampList[[#This Row],[CP_Pcode]],DistanceToCamp[CP_Pcode],0)-1,0,1,1),"")</f>
        <v>0</v>
      </c>
      <c r="AK170" s="582">
        <f ca="1">IFERROR(INT(CampList[[#This Row],[Distance]]/5)+1,"")</f>
        <v>1</v>
      </c>
      <c r="AM170" s="913"/>
      <c r="AN170" s="913"/>
    </row>
    <row r="171" spans="1:40" s="374" customFormat="1" ht="15.75" customHeight="1" x14ac:dyDescent="0.25">
      <c r="A171" s="570" t="s">
        <v>499</v>
      </c>
      <c r="B171" s="551" t="s">
        <v>380</v>
      </c>
      <c r="C171" s="551" t="s">
        <v>524</v>
      </c>
      <c r="D171" s="551" t="s">
        <v>5</v>
      </c>
      <c r="E171" s="551" t="s">
        <v>528</v>
      </c>
      <c r="F171" s="551" t="s">
        <v>151</v>
      </c>
      <c r="G171" s="551" t="s">
        <v>538</v>
      </c>
      <c r="H171" s="579" t="s">
        <v>649</v>
      </c>
      <c r="I171" s="579" t="s">
        <v>650</v>
      </c>
      <c r="J171" s="551"/>
      <c r="K171" s="551"/>
      <c r="L171" s="551" t="s">
        <v>12</v>
      </c>
      <c r="M171" s="551" t="s">
        <v>390</v>
      </c>
      <c r="N171" s="571">
        <v>97.298055000000005</v>
      </c>
      <c r="O171" s="571">
        <v>24.118618999999999</v>
      </c>
      <c r="P171" s="592"/>
      <c r="Q171" s="777">
        <v>73</v>
      </c>
      <c r="R171" s="778">
        <v>274</v>
      </c>
      <c r="S171" s="574">
        <f>IF(CampList[[#This Row],[HH]]&gt;0,CampList[[#This Row],[Total]]/CampList[[#This Row],[HH]],"NA")</f>
        <v>3.7534246575342465</v>
      </c>
      <c r="T171" s="553" t="s">
        <v>510</v>
      </c>
      <c r="U171" s="553" t="s">
        <v>1180</v>
      </c>
      <c r="V171" s="605" t="s">
        <v>12</v>
      </c>
      <c r="W171" s="553" t="s">
        <v>802</v>
      </c>
      <c r="X171" s="795"/>
      <c r="Y171" s="592"/>
      <c r="Z171" s="577"/>
      <c r="AA171" s="598" t="s">
        <v>841</v>
      </c>
      <c r="AB171" s="577"/>
      <c r="AC171" s="608">
        <v>42832</v>
      </c>
      <c r="AD171" s="570" t="s">
        <v>1521</v>
      </c>
      <c r="AE171" s="602" t="s">
        <v>1088</v>
      </c>
      <c r="AF171" s="402">
        <f>IF(CampList[[#This Row],[Type of Accomodation]]="camp",MAX(0,CampList[[#This Row],[HH]]-SUMIF(Table_Shelter[Pcode],CampList[[#This Row],[CP_Pcode]],Table_Shelter[HH Covered2])),0)</f>
        <v>0</v>
      </c>
      <c r="AG171" s="553"/>
      <c r="AH171" s="577">
        <f>MIN(CampList[[#This Row],[Shelter Gap]],CampList[[#This Row],[Land Status]])</f>
        <v>0</v>
      </c>
      <c r="AI171" s="553" t="str">
        <f ca="1">IFERROR(OFFSET(DistanceToCamp[Nearest Town],MATCH(CampList[[#This Row],[CP_Pcode]],DistanceToCamp[CP_Pcode],0)-1,0,1,1),"")</f>
        <v>Mansi Town</v>
      </c>
      <c r="AJ171" s="581">
        <f ca="1">IFERROR(OFFSET(DistanceToCamp[distance],MATCH(CampList[[#This Row],[CP_Pcode]],DistanceToCamp[CP_Pcode],0)-1,0,1,1),"")</f>
        <v>0.51447052329458698</v>
      </c>
      <c r="AK171" s="582">
        <f ca="1">IFERROR(INT(CampList[[#This Row],[Distance]]/5)+1,"")</f>
        <v>1</v>
      </c>
      <c r="AM171" s="913"/>
      <c r="AN171" s="913"/>
    </row>
    <row r="172" spans="1:40" s="374" customFormat="1" ht="15.75" customHeight="1" x14ac:dyDescent="0.25">
      <c r="A172" s="570" t="s">
        <v>499</v>
      </c>
      <c r="B172" s="551" t="s">
        <v>380</v>
      </c>
      <c r="C172" s="551" t="s">
        <v>524</v>
      </c>
      <c r="D172" s="551" t="s">
        <v>5</v>
      </c>
      <c r="E172" s="551" t="s">
        <v>528</v>
      </c>
      <c r="F172" s="551" t="s">
        <v>185</v>
      </c>
      <c r="G172" s="551" t="s">
        <v>532</v>
      </c>
      <c r="H172" s="551" t="s">
        <v>661</v>
      </c>
      <c r="I172" s="551" t="s">
        <v>662</v>
      </c>
      <c r="J172" s="551"/>
      <c r="K172" s="551"/>
      <c r="L172" s="551" t="s">
        <v>12</v>
      </c>
      <c r="M172" s="551" t="s">
        <v>391</v>
      </c>
      <c r="N172" s="571">
        <v>97.348405</v>
      </c>
      <c r="O172" s="571">
        <v>24.251232000000002</v>
      </c>
      <c r="P172" s="592"/>
      <c r="Q172" s="777">
        <v>226</v>
      </c>
      <c r="R172" s="778">
        <v>1048</v>
      </c>
      <c r="S172" s="574">
        <f>IF(CampList[[#This Row],[HH]]&gt;0,CampList[[#This Row],[Total]]/CampList[[#This Row],[HH]],"NA")</f>
        <v>4.6371681415929205</v>
      </c>
      <c r="T172" s="553" t="s">
        <v>510</v>
      </c>
      <c r="U172" s="553" t="s">
        <v>1180</v>
      </c>
      <c r="V172" s="605" t="s">
        <v>12</v>
      </c>
      <c r="W172" s="553" t="s">
        <v>802</v>
      </c>
      <c r="X172" s="795"/>
      <c r="Y172" s="592"/>
      <c r="Z172" s="577"/>
      <c r="AA172" s="598" t="s">
        <v>840</v>
      </c>
      <c r="AB172" s="577"/>
      <c r="AC172" s="608">
        <v>42832</v>
      </c>
      <c r="AD172" s="570" t="s">
        <v>1522</v>
      </c>
      <c r="AE172" s="602" t="s">
        <v>1088</v>
      </c>
      <c r="AF172" s="402">
        <f>IF(CampList[[#This Row],[Type of Accomodation]]="camp",MAX(0,CampList[[#This Row],[HH]]-SUMIF(Table_Shelter[Pcode],CampList[[#This Row],[CP_Pcode]],Table_Shelter[HH Covered2])),0)</f>
        <v>0</v>
      </c>
      <c r="AG172" s="553"/>
      <c r="AH172" s="577">
        <f>MIN(CampList[[#This Row],[Shelter Gap]],CampList[[#This Row],[Land Status]])</f>
        <v>0</v>
      </c>
      <c r="AI172" s="553" t="str">
        <f ca="1">IFERROR(OFFSET(DistanceToCamp[Nearest Town],MATCH(CampList[[#This Row],[CP_Pcode]],DistanceToCamp[CP_Pcode],0)-1,0,1,1),"")</f>
        <v>Momauk Town</v>
      </c>
      <c r="AJ172" s="581">
        <f ca="1">IFERROR(OFFSET(DistanceToCamp[distance],MATCH(CampList[[#This Row],[CP_Pcode]],DistanceToCamp[CP_Pcode],0)-1,0,1,1),"")</f>
        <v>0.60629049139006752</v>
      </c>
      <c r="AK172" s="582">
        <f ca="1">IFERROR(INT(CampList[[#This Row],[Distance]]/5)+1,"")</f>
        <v>1</v>
      </c>
      <c r="AM172" s="913"/>
      <c r="AN172" s="913"/>
    </row>
    <row r="173" spans="1:40" s="374" customFormat="1" ht="15.75" hidden="1" customHeight="1" x14ac:dyDescent="0.25">
      <c r="A173" s="570" t="s">
        <v>842</v>
      </c>
      <c r="B173" s="551" t="s">
        <v>380</v>
      </c>
      <c r="C173" s="551" t="s">
        <v>524</v>
      </c>
      <c r="D173" s="551" t="s">
        <v>5</v>
      </c>
      <c r="E173" s="551" t="s">
        <v>528</v>
      </c>
      <c r="F173" s="551" t="s">
        <v>185</v>
      </c>
      <c r="G173" s="551" t="s">
        <v>532</v>
      </c>
      <c r="H173" s="579" t="s">
        <v>804</v>
      </c>
      <c r="I173" s="579" t="s">
        <v>805</v>
      </c>
      <c r="J173" s="579" t="s">
        <v>806</v>
      </c>
      <c r="K173" s="579">
        <v>167270</v>
      </c>
      <c r="L173" s="551" t="s">
        <v>205</v>
      </c>
      <c r="M173" s="551" t="s">
        <v>392</v>
      </c>
      <c r="N173" s="571">
        <v>97.276591999999994</v>
      </c>
      <c r="O173" s="571">
        <v>24.759551999999999</v>
      </c>
      <c r="P173" s="592"/>
      <c r="Q173" s="777"/>
      <c r="R173" s="778"/>
      <c r="S173" s="574" t="str">
        <f>IF(CampList[[#This Row],[HH]]&gt;0,CampList[[#This Row],[Total]]/CampList[[#This Row],[HH]],"NA")</f>
        <v>NA</v>
      </c>
      <c r="T173" s="553" t="s">
        <v>510</v>
      </c>
      <c r="U173" s="553" t="s">
        <v>1180</v>
      </c>
      <c r="V173" s="605" t="s">
        <v>12</v>
      </c>
      <c r="W173" s="553" t="s">
        <v>855</v>
      </c>
      <c r="X173" s="795"/>
      <c r="Y173" s="592"/>
      <c r="Z173" s="577"/>
      <c r="AA173" s="598" t="s">
        <v>840</v>
      </c>
      <c r="AB173" s="577"/>
      <c r="AC173" s="578">
        <v>42927</v>
      </c>
      <c r="AD173" s="570" t="s">
        <v>1728</v>
      </c>
      <c r="AE173" s="602" t="s">
        <v>1088</v>
      </c>
      <c r="AF173" s="402">
        <f>IF(CampList[[#This Row],[Type of Accomodation]]="camp",MAX(0,CampList[[#This Row],[HH]]-SUMIF(Table_Shelter[Pcode],CampList[[#This Row],[CP_Pcode]],Table_Shelter[HH Covered2])),0)</f>
        <v>0</v>
      </c>
      <c r="AG173" s="553"/>
      <c r="AH173" s="577">
        <f>MIN(CampList[[#This Row],[Shelter Gap]],CampList[[#This Row],[Land Status]])</f>
        <v>0</v>
      </c>
      <c r="AI173" s="553" t="str">
        <f ca="1">IFERROR(OFFSET(DistanceToCamp[Nearest Town],MATCH(CampList[[#This Row],[CP_Pcode]],DistanceToCamp[CP_Pcode],0)-1,0,1,1),"")</f>
        <v>Dawthponeyan  Town</v>
      </c>
      <c r="AJ173" s="581">
        <f ca="1">IFERROR(OFFSET(DistanceToCamp[distance],MATCH(CampList[[#This Row],[CP_Pcode]],DistanceToCamp[CP_Pcode],0)-1,0,1,1),"")</f>
        <v>24.701686141136339</v>
      </c>
      <c r="AK173" s="582">
        <f ca="1">IFERROR(INT(CampList[[#This Row],[Distance]]/5)+1,"")</f>
        <v>5</v>
      </c>
      <c r="AM173" s="913"/>
      <c r="AN173" s="913"/>
    </row>
    <row r="174" spans="1:40" s="374" customFormat="1" ht="15.75" hidden="1" customHeight="1" x14ac:dyDescent="0.25">
      <c r="A174" s="598" t="s">
        <v>842</v>
      </c>
      <c r="B174" s="551" t="s">
        <v>380</v>
      </c>
      <c r="C174" s="551" t="s">
        <v>524</v>
      </c>
      <c r="D174" s="551" t="s">
        <v>5</v>
      </c>
      <c r="E174" s="551" t="s">
        <v>528</v>
      </c>
      <c r="F174" s="551" t="s">
        <v>302</v>
      </c>
      <c r="G174" s="551" t="s">
        <v>539</v>
      </c>
      <c r="H174" s="551" t="s">
        <v>620</v>
      </c>
      <c r="I174" s="551" t="s">
        <v>621</v>
      </c>
      <c r="J174" s="551"/>
      <c r="K174" s="551"/>
      <c r="L174" s="551" t="s">
        <v>12</v>
      </c>
      <c r="M174" s="551" t="s">
        <v>393</v>
      </c>
      <c r="N174" s="571">
        <v>96.793177</v>
      </c>
      <c r="O174" s="571">
        <v>24.224830999999998</v>
      </c>
      <c r="P174" s="592"/>
      <c r="Q174" s="777"/>
      <c r="R174" s="778"/>
      <c r="S174" s="574" t="str">
        <f>IF(CampList[[#This Row],[HH]]&gt;0,CampList[[#This Row],[Total]]/CampList[[#This Row],[HH]],"NA")</f>
        <v>NA</v>
      </c>
      <c r="T174" s="553" t="s">
        <v>510</v>
      </c>
      <c r="U174" s="553" t="s">
        <v>1180</v>
      </c>
      <c r="V174" s="607" t="s">
        <v>12</v>
      </c>
      <c r="W174" s="553" t="s">
        <v>802</v>
      </c>
      <c r="X174" s="795"/>
      <c r="Y174" s="592"/>
      <c r="Z174" s="577"/>
      <c r="AA174" s="598" t="s">
        <v>840</v>
      </c>
      <c r="AB174" s="577"/>
      <c r="AC174" s="578">
        <v>42927</v>
      </c>
      <c r="AD174" s="570" t="s">
        <v>1725</v>
      </c>
      <c r="AE174" s="602" t="s">
        <v>1088</v>
      </c>
      <c r="AF174" s="402">
        <f>IF(CampList[[#This Row],[Type of Accomodation]]="camp",MAX(0,CampList[[#This Row],[HH]]-SUMIF(Table_Shelter[Pcode],CampList[[#This Row],[CP_Pcode]],Table_Shelter[HH Covered2])),0)</f>
        <v>0</v>
      </c>
      <c r="AG174" s="553"/>
      <c r="AH174" s="577">
        <f>MIN(CampList[[#This Row],[Shelter Gap]],CampList[[#This Row],[Land Status]])</f>
        <v>0</v>
      </c>
      <c r="AI174" s="553" t="str">
        <f ca="1">IFERROR(OFFSET(DistanceToCamp[Nearest Town],MATCH(CampList[[#This Row],[CP_Pcode]],DistanceToCamp[CP_Pcode],0)-1,0,1,1),"")</f>
        <v>Shwegu Town</v>
      </c>
      <c r="AJ174" s="581">
        <f ca="1">IFERROR(OFFSET(DistanceToCamp[distance],MATCH(CampList[[#This Row],[CP_Pcode]],DistanceToCamp[CP_Pcode],0)-1,0,1,1),"")</f>
        <v>2.3794331620169178</v>
      </c>
      <c r="AK174" s="582">
        <f ca="1">IFERROR(INT(CampList[[#This Row],[Distance]]/5)+1,"")</f>
        <v>1</v>
      </c>
      <c r="AM174" s="913">
        <v>9</v>
      </c>
      <c r="AN174" s="913">
        <v>30</v>
      </c>
    </row>
    <row r="175" spans="1:40" s="374" customFormat="1" ht="15.75" customHeight="1" x14ac:dyDescent="0.25">
      <c r="A175" s="570" t="s">
        <v>499</v>
      </c>
      <c r="B175" s="551" t="s">
        <v>380</v>
      </c>
      <c r="C175" s="551" t="s">
        <v>524</v>
      </c>
      <c r="D175" s="551" t="s">
        <v>5</v>
      </c>
      <c r="E175" s="551" t="s">
        <v>528</v>
      </c>
      <c r="F175" s="551" t="s">
        <v>185</v>
      </c>
      <c r="G175" s="551" t="s">
        <v>532</v>
      </c>
      <c r="H175" s="551" t="s">
        <v>1071</v>
      </c>
      <c r="I175" s="551" t="s">
        <v>1070</v>
      </c>
      <c r="J175" s="551" t="s">
        <v>1071</v>
      </c>
      <c r="K175" s="551">
        <v>167060</v>
      </c>
      <c r="L175" s="551" t="s">
        <v>520</v>
      </c>
      <c r="M175" s="551" t="s">
        <v>521</v>
      </c>
      <c r="N175" s="610">
        <v>97.343406999999999</v>
      </c>
      <c r="O175" s="571">
        <v>24.377054000000001</v>
      </c>
      <c r="P175" s="592"/>
      <c r="Q175" s="777">
        <v>4</v>
      </c>
      <c r="R175" s="778">
        <v>26</v>
      </c>
      <c r="S175" s="574">
        <f>IF(CampList[[#This Row],[HH]]&gt;0,CampList[[#This Row],[Total]]/CampList[[#This Row],[HH]],"NA")</f>
        <v>6.5</v>
      </c>
      <c r="T175" s="553" t="s">
        <v>510</v>
      </c>
      <c r="U175" s="553" t="s">
        <v>1180</v>
      </c>
      <c r="V175" s="553" t="s">
        <v>12</v>
      </c>
      <c r="W175" s="553" t="s">
        <v>855</v>
      </c>
      <c r="X175" s="795"/>
      <c r="Y175" s="592"/>
      <c r="Z175" s="577"/>
      <c r="AA175" s="598" t="s">
        <v>840</v>
      </c>
      <c r="AB175" s="577"/>
      <c r="AC175" s="578">
        <v>41701</v>
      </c>
      <c r="AD175" s="570" t="s">
        <v>888</v>
      </c>
      <c r="AE175" s="602" t="s">
        <v>1088</v>
      </c>
      <c r="AF175" s="402">
        <f>IF(CampList[[#This Row],[Type of Accomodation]]="camp",MAX(0,CampList[[#This Row],[HH]]-SUMIF(Table_Shelter[Pcode],CampList[[#This Row],[CP_Pcode]],Table_Shelter[HH Covered2])),0)</f>
        <v>0</v>
      </c>
      <c r="AG175" s="553"/>
      <c r="AH175" s="577">
        <f>MIN(CampList[[#This Row],[Shelter Gap]],CampList[[#This Row],[Land Status]])</f>
        <v>0</v>
      </c>
      <c r="AI175" s="553" t="str">
        <f ca="1">IFERROR(OFFSET(DistanceToCamp[Nearest Town],MATCH(CampList[[#This Row],[CP_Pcode]],DistanceToCamp[CP_Pcode],0)-1,0,1,1),"")</f>
        <v>Momauk Town</v>
      </c>
      <c r="AJ175" s="581">
        <f ca="1">IFERROR(OFFSET(DistanceToCamp[distance],MATCH(CampList[[#This Row],[CP_Pcode]],DistanceToCamp[CP_Pcode],0)-1,0,1,1),"")</f>
        <v>13.446032768350749</v>
      </c>
      <c r="AK175" s="582">
        <f ca="1">IFERROR(INT(CampList[[#This Row],[Distance]]/5)+1,"")</f>
        <v>3</v>
      </c>
      <c r="AM175" s="913"/>
      <c r="AN175" s="913"/>
    </row>
    <row r="176" spans="1:40" s="374" customFormat="1" ht="15.75" hidden="1" customHeight="1" x14ac:dyDescent="0.25">
      <c r="A176" s="570" t="s">
        <v>842</v>
      </c>
      <c r="B176" s="551" t="s">
        <v>380</v>
      </c>
      <c r="C176" s="551" t="s">
        <v>524</v>
      </c>
      <c r="D176" s="551" t="s">
        <v>237</v>
      </c>
      <c r="E176" s="551" t="s">
        <v>530</v>
      </c>
      <c r="F176" s="551" t="s">
        <v>310</v>
      </c>
      <c r="G176" s="551" t="s">
        <v>531</v>
      </c>
      <c r="H176" s="579" t="s">
        <v>623</v>
      </c>
      <c r="I176" s="551" t="s">
        <v>624</v>
      </c>
      <c r="J176" s="579" t="s">
        <v>623</v>
      </c>
      <c r="K176" s="579">
        <v>165735</v>
      </c>
      <c r="L176" s="551" t="s">
        <v>1234</v>
      </c>
      <c r="M176" s="551" t="s">
        <v>359</v>
      </c>
      <c r="N176" s="571">
        <v>97.421104</v>
      </c>
      <c r="O176" s="571">
        <v>25.328987000000001</v>
      </c>
      <c r="P176" s="592"/>
      <c r="Q176" s="705"/>
      <c r="R176" s="706"/>
      <c r="S176" s="574" t="str">
        <f>IF(CampList[[#This Row],[HH]]&gt;0,CampList[[#This Row],[Total]]/CampList[[#This Row],[HH]],"NA")</f>
        <v>NA</v>
      </c>
      <c r="T176" s="553" t="s">
        <v>510</v>
      </c>
      <c r="U176" s="583" t="s">
        <v>1180</v>
      </c>
      <c r="V176" s="553" t="s">
        <v>553</v>
      </c>
      <c r="W176" s="583"/>
      <c r="X176" s="600"/>
      <c r="Y176" s="591"/>
      <c r="Z176" s="601"/>
      <c r="AA176" s="598"/>
      <c r="AB176" s="577"/>
      <c r="AC176" s="604"/>
      <c r="AD176" s="570" t="s">
        <v>600</v>
      </c>
      <c r="AE176" s="602" t="s">
        <v>1006</v>
      </c>
      <c r="AF176" s="402">
        <f>IF(CampList[[#This Row],[Type of Accomodation]]="camp",MAX(0,CampList[[#This Row],[HH]]-SUMIF(Table_Shelter[Pcode],CampList[[#This Row],[CP_Pcode]],Table_Shelter[HH Covered2])),0)</f>
        <v>0</v>
      </c>
      <c r="AG176" s="553"/>
      <c r="AH176" s="577">
        <f>MIN(CampList[[#This Row],[Shelter Gap]],CampList[[#This Row],[Land Status]])</f>
        <v>0</v>
      </c>
      <c r="AI176" s="553" t="str">
        <f ca="1">IFERROR(OFFSET(DistanceToCamp[Nearest Town],MATCH(CampList[[#This Row],[CP_Pcode]],DistanceToCamp[CP_Pcode],0)-1,0,1,1),"")</f>
        <v/>
      </c>
      <c r="AJ176" s="581" t="str">
        <f ca="1">IFERROR(OFFSET(DistanceToCamp[distance],MATCH(CampList[[#This Row],[CP_Pcode]],DistanceToCamp[CP_Pcode],0)-1,0,1,1),"")</f>
        <v/>
      </c>
      <c r="AK176" s="582" t="str">
        <f ca="1">IFERROR(INT(CampList[[#This Row],[Distance]]/5)+1,"")</f>
        <v/>
      </c>
      <c r="AM176" s="913"/>
      <c r="AN176" s="913"/>
    </row>
    <row r="177" spans="1:40" s="374" customFormat="1" ht="15.75" hidden="1" customHeight="1" x14ac:dyDescent="0.25">
      <c r="A177" s="570" t="s">
        <v>842</v>
      </c>
      <c r="B177" s="551" t="s">
        <v>380</v>
      </c>
      <c r="C177" s="551" t="s">
        <v>524</v>
      </c>
      <c r="D177" s="551" t="s">
        <v>5</v>
      </c>
      <c r="E177" s="551" t="s">
        <v>528</v>
      </c>
      <c r="F177" s="551" t="s">
        <v>185</v>
      </c>
      <c r="G177" s="551" t="s">
        <v>532</v>
      </c>
      <c r="H177" s="579" t="s">
        <v>661</v>
      </c>
      <c r="I177" s="579" t="s">
        <v>662</v>
      </c>
      <c r="J177" s="579" t="s">
        <v>666</v>
      </c>
      <c r="K177" s="579" t="s">
        <v>667</v>
      </c>
      <c r="L177" s="551" t="s">
        <v>211</v>
      </c>
      <c r="M177" s="551" t="s">
        <v>210</v>
      </c>
      <c r="N177" s="571">
        <v>97.346950000000007</v>
      </c>
      <c r="O177" s="571">
        <v>24.25177</v>
      </c>
      <c r="P177" s="572">
        <v>0</v>
      </c>
      <c r="Q177" s="705"/>
      <c r="R177" s="706"/>
      <c r="S177" s="574" t="str">
        <f>IF(CampList[[#This Row],[HH]]&gt;0,CampList[[#This Row],[Total]]/CampList[[#This Row],[HH]],"NA")</f>
        <v>NA</v>
      </c>
      <c r="T177" s="553" t="s">
        <v>510</v>
      </c>
      <c r="U177" s="583" t="s">
        <v>1180</v>
      </c>
      <c r="V177" s="553" t="s">
        <v>553</v>
      </c>
      <c r="W177" s="583" t="s">
        <v>802</v>
      </c>
      <c r="X177" s="584">
        <v>40756</v>
      </c>
      <c r="Y177" s="585">
        <v>2</v>
      </c>
      <c r="Z177" s="584" t="s">
        <v>1084</v>
      </c>
      <c r="AA177" s="598" t="s">
        <v>841</v>
      </c>
      <c r="AB177" s="577"/>
      <c r="AC177" s="578">
        <v>41971</v>
      </c>
      <c r="AD177" s="570" t="s">
        <v>1114</v>
      </c>
      <c r="AE177" s="580" t="s">
        <v>1088</v>
      </c>
      <c r="AF177" s="402">
        <f>IF(CampList[[#This Row],[Type of Accomodation]]="camp",MAX(0,CampList[[#This Row],[HH]]-SUMIF(Table_Shelter[Pcode],CampList[[#This Row],[CP_Pcode]],Table_Shelter[HH Covered2])),0)</f>
        <v>0</v>
      </c>
      <c r="AG177" s="553"/>
      <c r="AH177" s="577">
        <f>MIN(CampList[[#This Row],[Shelter Gap]],CampList[[#This Row],[Land Status]])</f>
        <v>0</v>
      </c>
      <c r="AI177" s="553" t="str">
        <f ca="1">IFERROR(OFFSET(DistanceToCamp[Nearest Town],MATCH(CampList[[#This Row],[CP_Pcode]],DistanceToCamp[CP_Pcode],0)-1,0,1,1),"")</f>
        <v/>
      </c>
      <c r="AJ177" s="581" t="str">
        <f ca="1">IFERROR(OFFSET(DistanceToCamp[distance],MATCH(CampList[[#This Row],[CP_Pcode]],DistanceToCamp[CP_Pcode],0)-1,0,1,1),"")</f>
        <v/>
      </c>
      <c r="AK177" s="582" t="str">
        <f ca="1">IFERROR(INT(CampList[[#This Row],[Distance]]/5)+1,"")</f>
        <v/>
      </c>
      <c r="AM177" s="913"/>
      <c r="AN177" s="913"/>
    </row>
    <row r="178" spans="1:40" s="374" customFormat="1" ht="15.75" customHeight="1" x14ac:dyDescent="0.25">
      <c r="A178" s="570" t="s">
        <v>499</v>
      </c>
      <c r="B178" s="551" t="s">
        <v>552</v>
      </c>
      <c r="C178" s="551" t="s">
        <v>535</v>
      </c>
      <c r="D178" s="551" t="s">
        <v>540</v>
      </c>
      <c r="E178" s="551" t="s">
        <v>541</v>
      </c>
      <c r="F178" s="551" t="s">
        <v>298</v>
      </c>
      <c r="G178" s="551" t="s">
        <v>549</v>
      </c>
      <c r="H178" s="599" t="s">
        <v>816</v>
      </c>
      <c r="I178" s="551" t="s">
        <v>817</v>
      </c>
      <c r="J178" s="599" t="s">
        <v>818</v>
      </c>
      <c r="K178" s="599" t="s">
        <v>819</v>
      </c>
      <c r="L178" s="551" t="s">
        <v>820</v>
      </c>
      <c r="M178" s="551" t="s">
        <v>297</v>
      </c>
      <c r="N178" s="571">
        <v>97.404089999999997</v>
      </c>
      <c r="O178" s="571">
        <v>23.094290000000001</v>
      </c>
      <c r="P178" s="572">
        <v>534.29999999999995</v>
      </c>
      <c r="Q178" s="776">
        <v>44</v>
      </c>
      <c r="R178" s="776">
        <v>186</v>
      </c>
      <c r="S178" s="574">
        <f>IF(CampList[[#This Row],[HH]]&gt;0,CampList[[#This Row],[Total]]/CampList[[#This Row],[HH]],"NA")</f>
        <v>4.2272727272727275</v>
      </c>
      <c r="T178" s="553" t="s">
        <v>510</v>
      </c>
      <c r="U178" s="553" t="s">
        <v>1180</v>
      </c>
      <c r="V178" s="553" t="s">
        <v>553</v>
      </c>
      <c r="W178" s="553" t="s">
        <v>802</v>
      </c>
      <c r="X178" s="575">
        <v>41000</v>
      </c>
      <c r="Y178" s="576">
        <v>1</v>
      </c>
      <c r="Z178" s="575" t="s">
        <v>459</v>
      </c>
      <c r="AA178" s="598" t="s">
        <v>841</v>
      </c>
      <c r="AB178" s="577"/>
      <c r="AC178" s="578">
        <v>42919</v>
      </c>
      <c r="AD178" s="570" t="s">
        <v>1700</v>
      </c>
      <c r="AE178" s="580" t="s">
        <v>1074</v>
      </c>
      <c r="AF178" s="402">
        <f>IF(CampList[[#This Row],[Type of Accomodation]]="camp",MAX(0,CampList[[#This Row],[HH]]-SUMIF(Table_Shelter[Pcode],CampList[[#This Row],[CP_Pcode]],Table_Shelter[HH Covered2])),0)</f>
        <v>34</v>
      </c>
      <c r="AG178" s="553"/>
      <c r="AH178" s="577">
        <f>MIN(CampList[[#This Row],[Shelter Gap]],CampList[[#This Row],[Land Status]])</f>
        <v>34</v>
      </c>
      <c r="AI178" s="553" t="str">
        <f ca="1">IFERROR(OFFSET(DistanceToCamp[Nearest Town],MATCH(CampList[[#This Row],[CP_Pcode]],DistanceToCamp[CP_Pcode],0)-1,0,1,1),"")</f>
        <v>Namtu Town</v>
      </c>
      <c r="AJ178" s="581">
        <f ca="1">IFERROR(OFFSET(DistanceToCamp[distance],MATCH(CampList[[#This Row],[CP_Pcode]],DistanceToCamp[CP_Pcode],0)-1,0,1,1),"")</f>
        <v>0.37588352961435612</v>
      </c>
      <c r="AK178" s="582">
        <f ca="1">IFERROR(INT(CampList[[#This Row],[Distance]]/5)+1,"")</f>
        <v>1</v>
      </c>
      <c r="AM178" s="913"/>
      <c r="AN178" s="913"/>
    </row>
    <row r="179" spans="1:40" s="374" customFormat="1" ht="15.75" hidden="1" customHeight="1" x14ac:dyDescent="0.25">
      <c r="A179" s="570" t="s">
        <v>842</v>
      </c>
      <c r="B179" s="551" t="s">
        <v>552</v>
      </c>
      <c r="C179" s="551" t="s">
        <v>535</v>
      </c>
      <c r="D179" s="551" t="s">
        <v>230</v>
      </c>
      <c r="E179" s="551" t="s">
        <v>536</v>
      </c>
      <c r="F179" s="551" t="s">
        <v>146</v>
      </c>
      <c r="G179" s="551" t="s">
        <v>543</v>
      </c>
      <c r="H179" s="599" t="s">
        <v>765</v>
      </c>
      <c r="I179" s="551" t="s">
        <v>766</v>
      </c>
      <c r="J179" s="599" t="s">
        <v>767</v>
      </c>
      <c r="K179" s="599">
        <v>208557</v>
      </c>
      <c r="L179" s="551" t="s">
        <v>372</v>
      </c>
      <c r="M179" s="551" t="s">
        <v>382</v>
      </c>
      <c r="N179" s="571">
        <v>97.848529999999997</v>
      </c>
      <c r="O179" s="571">
        <v>23.4008</v>
      </c>
      <c r="P179" s="572">
        <v>0</v>
      </c>
      <c r="Q179" s="402"/>
      <c r="R179" s="402"/>
      <c r="S179" s="574" t="str">
        <f>IF(CampList[[#This Row],[HH]]&gt;0,CampList[[#This Row],[Total]]/CampList[[#This Row],[HH]],"NA")</f>
        <v>NA</v>
      </c>
      <c r="T179" s="553" t="s">
        <v>510</v>
      </c>
      <c r="U179" s="553" t="s">
        <v>1180</v>
      </c>
      <c r="V179" s="553" t="s">
        <v>553</v>
      </c>
      <c r="W179" s="553" t="s">
        <v>855</v>
      </c>
      <c r="X179" s="575">
        <v>41275</v>
      </c>
      <c r="Y179" s="576"/>
      <c r="Z179" s="575" t="s">
        <v>459</v>
      </c>
      <c r="AA179" s="598" t="s">
        <v>841</v>
      </c>
      <c r="AB179" s="577"/>
      <c r="AC179" s="578">
        <v>42852</v>
      </c>
      <c r="AD179" s="570" t="s">
        <v>1529</v>
      </c>
      <c r="AE179" s="580" t="s">
        <v>1074</v>
      </c>
      <c r="AF179" s="402">
        <f>IF(CampList[[#This Row],[Type of Accomodation]]="camp",MAX(0,CampList[[#This Row],[HH]]-SUMIF(Table_Shelter[Pcode],CampList[[#This Row],[CP_Pcode]],Table_Shelter[HH Covered2])),0)</f>
        <v>0</v>
      </c>
      <c r="AG179" s="553"/>
      <c r="AH179" s="577">
        <f>MIN(CampList[[#This Row],[Shelter Gap]],CampList[[#This Row],[Land Status]])</f>
        <v>0</v>
      </c>
      <c r="AI179" s="553" t="str">
        <f ca="1">IFERROR(OFFSET(DistanceToCamp[Nearest Town],MATCH(CampList[[#This Row],[CP_Pcode]],DistanceToCamp[CP_Pcode],0)-1,0,1,1),"")</f>
        <v>Kutkai Town</v>
      </c>
      <c r="AJ179" s="581">
        <f ca="1">IFERROR(OFFSET(DistanceToCamp[distance],MATCH(CampList[[#This Row],[CP_Pcode]],DistanceToCamp[CP_Pcode],0)-1,0,1,1),"")</f>
        <v>11.65743881259678</v>
      </c>
      <c r="AK179" s="582">
        <f ca="1">IFERROR(INT(CampList[[#This Row],[Distance]]/5)+1,"")</f>
        <v>3</v>
      </c>
      <c r="AM179" s="913"/>
      <c r="AN179" s="913"/>
    </row>
    <row r="180" spans="1:40" s="374" customFormat="1" ht="15.75" customHeight="1" x14ac:dyDescent="0.25">
      <c r="A180" s="598" t="s">
        <v>499</v>
      </c>
      <c r="B180" s="551" t="s">
        <v>380</v>
      </c>
      <c r="C180" s="551" t="s">
        <v>524</v>
      </c>
      <c r="D180" s="551" t="s">
        <v>300</v>
      </c>
      <c r="E180" s="551" t="s">
        <v>545</v>
      </c>
      <c r="F180" s="551" t="s">
        <v>807</v>
      </c>
      <c r="G180" s="551" t="s">
        <v>808</v>
      </c>
      <c r="H180" s="551" t="s">
        <v>809</v>
      </c>
      <c r="I180" s="551" t="s">
        <v>810</v>
      </c>
      <c r="J180" s="551"/>
      <c r="K180" s="551"/>
      <c r="L180" s="551" t="s">
        <v>807</v>
      </c>
      <c r="M180" s="551" t="s">
        <v>811</v>
      </c>
      <c r="N180" s="571">
        <v>97.568836000000005</v>
      </c>
      <c r="O180" s="571">
        <v>26.541930000000001</v>
      </c>
      <c r="P180" s="572">
        <v>1025</v>
      </c>
      <c r="Q180" s="572">
        <v>5</v>
      </c>
      <c r="R180" s="592">
        <v>32</v>
      </c>
      <c r="S180" s="574">
        <f>IF(CampList[[#This Row],[HH]]&gt;0,CampList[[#This Row],[Total]]/CampList[[#This Row],[HH]],"NA")</f>
        <v>6.4</v>
      </c>
      <c r="T180" s="553" t="s">
        <v>510</v>
      </c>
      <c r="U180" s="553" t="s">
        <v>1180</v>
      </c>
      <c r="V180" s="553" t="s">
        <v>553</v>
      </c>
      <c r="W180" s="553" t="s">
        <v>855</v>
      </c>
      <c r="X180" s="794"/>
      <c r="Y180" s="576"/>
      <c r="Z180" s="575"/>
      <c r="AA180" s="598" t="s">
        <v>840</v>
      </c>
      <c r="AB180" s="577"/>
      <c r="AC180" s="578">
        <v>42927</v>
      </c>
      <c r="AD180" s="579" t="s">
        <v>1717</v>
      </c>
      <c r="AE180" s="580" t="s">
        <v>1088</v>
      </c>
      <c r="AF180" s="402">
        <f>IF(CampList[[#This Row],[Type of Accomodation]]="camp",MAX(0,CampList[[#This Row],[HH]]-SUMIF(Table_Shelter[Pcode],CampList[[#This Row],[CP_Pcode]],Table_Shelter[HH Covered2])),0)</f>
        <v>5</v>
      </c>
      <c r="AG180" s="553"/>
      <c r="AH180" s="577">
        <f>MIN(CampList[[#This Row],[Shelter Gap]],CampList[[#This Row],[Land Status]])</f>
        <v>5</v>
      </c>
      <c r="AI180" s="553" t="str">
        <f ca="1">IFERROR(OFFSET(DistanceToCamp[Nearest Town],MATCH(CampList[[#This Row],[CP_Pcode]],DistanceToCamp[CP_Pcode],0)-1,0,1,1),"")</f>
        <v>Sumprabum Town</v>
      </c>
      <c r="AJ180" s="581">
        <f ca="1">IFERROR(OFFSET(DistanceToCamp[distance],MATCH(CampList[[#This Row],[CP_Pcode]],DistanceToCamp[CP_Pcode],0)-1,0,1,1),"")</f>
        <v>0.23004407510846425</v>
      </c>
      <c r="AK180" s="582">
        <f ca="1">IFERROR(INT(CampList[[#This Row],[Distance]]/5)+1,"")</f>
        <v>1</v>
      </c>
      <c r="AM180" s="913"/>
      <c r="AN180" s="913"/>
    </row>
    <row r="181" spans="1:40" s="374" customFormat="1" ht="15.75" customHeight="1" x14ac:dyDescent="0.25">
      <c r="A181" s="598" t="s">
        <v>499</v>
      </c>
      <c r="B181" s="551" t="s">
        <v>380</v>
      </c>
      <c r="C181" s="551" t="s">
        <v>524</v>
      </c>
      <c r="D181" s="551" t="s">
        <v>237</v>
      </c>
      <c r="E181" s="551" t="s">
        <v>530</v>
      </c>
      <c r="F181" s="551" t="s">
        <v>310</v>
      </c>
      <c r="G181" s="551" t="s">
        <v>531</v>
      </c>
      <c r="H181" s="551" t="s">
        <v>726</v>
      </c>
      <c r="I181" s="551" t="s">
        <v>727</v>
      </c>
      <c r="J181" s="551"/>
      <c r="K181" s="588"/>
      <c r="L181" s="551" t="s">
        <v>812</v>
      </c>
      <c r="M181" s="551" t="s">
        <v>813</v>
      </c>
      <c r="N181" s="571">
        <v>97.541793999999996</v>
      </c>
      <c r="O181" s="571">
        <v>24.752471</v>
      </c>
      <c r="P181" s="592"/>
      <c r="Q181" s="573"/>
      <c r="R181" s="592">
        <v>1047</v>
      </c>
      <c r="S181" s="574" t="str">
        <f>IF(CampList[[#This Row],[HH]]&gt;0,CampList[[#This Row],[Total]]/CampList[[#This Row],[HH]],"NA")</f>
        <v>NA</v>
      </c>
      <c r="T181" s="553" t="s">
        <v>512</v>
      </c>
      <c r="U181" s="553" t="s">
        <v>1180</v>
      </c>
      <c r="V181" s="553" t="s">
        <v>985</v>
      </c>
      <c r="W181" s="553" t="s">
        <v>802</v>
      </c>
      <c r="X181" s="795"/>
      <c r="Y181" s="592"/>
      <c r="Z181" s="577"/>
      <c r="AA181" s="598" t="s">
        <v>571</v>
      </c>
      <c r="AB181" s="577"/>
      <c r="AC181" s="578">
        <v>41899</v>
      </c>
      <c r="AD181" s="579" t="s">
        <v>1110</v>
      </c>
      <c r="AE181" s="602" t="s">
        <v>1073</v>
      </c>
      <c r="AF181" s="402">
        <f>IF(CampList[[#This Row],[Type of Accomodation]]="camp",MAX(0,CampList[[#This Row],[HH]]-SUMIF(Table_Shelter[Pcode],CampList[[#This Row],[CP_Pcode]],Table_Shelter[HH Covered2])),0)</f>
        <v>0</v>
      </c>
      <c r="AG181" s="553"/>
      <c r="AH181" s="577">
        <f>MIN(CampList[[#This Row],[Shelter Gap]],CampList[[#This Row],[Land Status]])</f>
        <v>0</v>
      </c>
      <c r="AI181" s="553" t="str">
        <f ca="1">IFERROR(OFFSET(DistanceToCamp[Nearest Town],MATCH(CampList[[#This Row],[CP_Pcode]],DistanceToCamp[CP_Pcode],0)-1,0,1,1),"")</f>
        <v>Laiza town</v>
      </c>
      <c r="AJ181" s="581">
        <f ca="1">IFERROR(OFFSET(DistanceToCamp[distance],MATCH(CampList[[#This Row],[CP_Pcode]],DistanceToCamp[CP_Pcode],0)-1,0,1,1),"")</f>
        <v>2.3307568207764655</v>
      </c>
      <c r="AK181" s="582">
        <f ca="1">IFERROR(INT(CampList[[#This Row],[Distance]]/5)+1,"")</f>
        <v>1</v>
      </c>
      <c r="AM181" s="913"/>
      <c r="AN181" s="913"/>
    </row>
    <row r="182" spans="1:40" s="374" customFormat="1" ht="15.75" customHeight="1" x14ac:dyDescent="0.25">
      <c r="A182" s="570" t="s">
        <v>499</v>
      </c>
      <c r="B182" s="551" t="s">
        <v>552</v>
      </c>
      <c r="C182" s="551" t="s">
        <v>535</v>
      </c>
      <c r="D182" s="551" t="s">
        <v>230</v>
      </c>
      <c r="E182" s="551" t="s">
        <v>536</v>
      </c>
      <c r="F182" s="551" t="s">
        <v>146</v>
      </c>
      <c r="G182" s="551" t="s">
        <v>543</v>
      </c>
      <c r="H182" s="551" t="s">
        <v>728</v>
      </c>
      <c r="I182" s="551" t="s">
        <v>729</v>
      </c>
      <c r="J182" s="551" t="s">
        <v>730</v>
      </c>
      <c r="K182" s="551" t="s">
        <v>731</v>
      </c>
      <c r="L182" s="551" t="s">
        <v>369</v>
      </c>
      <c r="M182" s="551" t="s">
        <v>383</v>
      </c>
      <c r="N182" s="571">
        <v>97.926813999999993</v>
      </c>
      <c r="O182" s="571">
        <v>23.450914000000001</v>
      </c>
      <c r="P182" s="572">
        <v>4336</v>
      </c>
      <c r="Q182" s="776">
        <v>57</v>
      </c>
      <c r="R182" s="776">
        <v>280</v>
      </c>
      <c r="S182" s="574">
        <f>IF(CampList[[#This Row],[HH]]&gt;0,CampList[[#This Row],[Total]]/CampList[[#This Row],[HH]],"NA")</f>
        <v>4.9122807017543861</v>
      </c>
      <c r="T182" s="553" t="s">
        <v>510</v>
      </c>
      <c r="U182" s="553" t="s">
        <v>1180</v>
      </c>
      <c r="V182" s="553" t="s">
        <v>553</v>
      </c>
      <c r="W182" s="553" t="s">
        <v>802</v>
      </c>
      <c r="X182" s="575">
        <v>41244</v>
      </c>
      <c r="Y182" s="576">
        <v>2</v>
      </c>
      <c r="Z182" s="575" t="s">
        <v>459</v>
      </c>
      <c r="AA182" s="598" t="s">
        <v>841</v>
      </c>
      <c r="AB182" s="577"/>
      <c r="AC182" s="578">
        <v>42919</v>
      </c>
      <c r="AD182" s="570" t="s">
        <v>1686</v>
      </c>
      <c r="AE182" s="580" t="s">
        <v>1074</v>
      </c>
      <c r="AF182" s="402">
        <f>IF(CampList[[#This Row],[Type of Accomodation]]="camp",MAX(0,CampList[[#This Row],[HH]]-SUMIF(Table_Shelter[Pcode],CampList[[#This Row],[CP_Pcode]],Table_Shelter[HH Covered2])),0)</f>
        <v>0</v>
      </c>
      <c r="AG182" s="553"/>
      <c r="AH182" s="577">
        <f>MIN(CampList[[#This Row],[Shelter Gap]],CampList[[#This Row],[Land Status]])</f>
        <v>0</v>
      </c>
      <c r="AI182" s="553" t="str">
        <f ca="1">IFERROR(OFFSET(DistanceToCamp[Nearest Town],MATCH(CampList[[#This Row],[CP_Pcode]],DistanceToCamp[CP_Pcode],0)-1,0,1,1),"")</f>
        <v>Kutkai Town</v>
      </c>
      <c r="AJ182" s="581">
        <f ca="1">IFERROR(OFFSET(DistanceToCamp[distance],MATCH(CampList[[#This Row],[CP_Pcode]],DistanceToCamp[CP_Pcode],0)-1,0,1,1),"")</f>
        <v>1.9281430163271129</v>
      </c>
      <c r="AK182" s="582">
        <f ca="1">IFERROR(INT(CampList[[#This Row],[Distance]]/5)+1,"")</f>
        <v>1</v>
      </c>
      <c r="AM182" s="913"/>
      <c r="AN182" s="913"/>
    </row>
    <row r="183" spans="1:40" s="374" customFormat="1" ht="15.75" customHeight="1" x14ac:dyDescent="0.25">
      <c r="A183" s="589" t="s">
        <v>499</v>
      </c>
      <c r="B183" s="552" t="s">
        <v>380</v>
      </c>
      <c r="C183" s="552" t="s">
        <v>524</v>
      </c>
      <c r="D183" s="552" t="s">
        <v>237</v>
      </c>
      <c r="E183" s="552" t="s">
        <v>530</v>
      </c>
      <c r="F183" s="552" t="s">
        <v>27</v>
      </c>
      <c r="G183" s="552" t="s">
        <v>533</v>
      </c>
      <c r="H183" s="552" t="s">
        <v>1184</v>
      </c>
      <c r="I183" s="590" t="s">
        <v>1360</v>
      </c>
      <c r="J183" s="552" t="s">
        <v>715</v>
      </c>
      <c r="K183" s="552" t="s">
        <v>1361</v>
      </c>
      <c r="L183" s="552" t="s">
        <v>863</v>
      </c>
      <c r="M183" s="552" t="s">
        <v>862</v>
      </c>
      <c r="N183" s="573">
        <v>98.377780000000001</v>
      </c>
      <c r="O183" s="573">
        <v>25.60867</v>
      </c>
      <c r="P183" s="592">
        <v>2345</v>
      </c>
      <c r="Q183" s="776">
        <v>57</v>
      </c>
      <c r="R183" s="776">
        <v>262</v>
      </c>
      <c r="S183" s="574">
        <f>IF(CampList[[#This Row],[HH]]&gt;0,CampList[[#This Row],[Total]]/CampList[[#This Row],[HH]],"NA")</f>
        <v>4.5964912280701755</v>
      </c>
      <c r="T183" s="402" t="s">
        <v>510</v>
      </c>
      <c r="U183" s="553" t="s">
        <v>1180</v>
      </c>
      <c r="V183" s="402" t="s">
        <v>553</v>
      </c>
      <c r="W183" s="402" t="s">
        <v>855</v>
      </c>
      <c r="X183" s="795">
        <v>41091</v>
      </c>
      <c r="Y183" s="592">
        <v>1</v>
      </c>
      <c r="Z183" s="592" t="s">
        <v>1085</v>
      </c>
      <c r="AA183" s="552" t="s">
        <v>841</v>
      </c>
      <c r="AB183" s="573"/>
      <c r="AC183" s="578">
        <v>42915</v>
      </c>
      <c r="AD183" s="594" t="s">
        <v>1596</v>
      </c>
      <c r="AE183" s="580" t="s">
        <v>1072</v>
      </c>
      <c r="AF183" s="595">
        <f>IF(CampList[[#This Row],[Type of Accomodation]]="camp",MAX(0,CampList[[#This Row],[HH]]-SUMIF(Table_Shelter[Pcode],CampList[[#This Row],[CP_Pcode]],Table_Shelter[HH Covered2])),0)</f>
        <v>57</v>
      </c>
      <c r="AG183" s="402"/>
      <c r="AH183" s="572">
        <f>MIN(CampList[[#This Row],[Shelter Gap]],CampList[[#This Row],[Land Status]])</f>
        <v>57</v>
      </c>
      <c r="AI183" s="595" t="str">
        <f ca="1">IFERROR(OFFSET(DistanceToCamp[Nearest Town],MATCH(CampList[[#This Row],[CP_Pcode]],DistanceToCamp[CP_Pcode],0)-1,0,1,1),"")</f>
        <v>Pang War Town</v>
      </c>
      <c r="AJ183" s="581">
        <f ca="1">IFERROR(OFFSET(DistanceToCamp[distance],MATCH(CampList[[#This Row],[CP_Pcode]],DistanceToCamp[CP_Pcode],0)-1,0,1,1),"")</f>
        <v>0.18710270881855062</v>
      </c>
      <c r="AK183" s="596">
        <f ca="1">IFERROR(INT(CampList[[#This Row],[Distance]]/5)+1,"")</f>
        <v>1</v>
      </c>
      <c r="AM183" s="913"/>
      <c r="AN183" s="913"/>
    </row>
    <row r="184" spans="1:40" s="374" customFormat="1" ht="15.75" customHeight="1" x14ac:dyDescent="0.25">
      <c r="A184" s="589" t="s">
        <v>499</v>
      </c>
      <c r="B184" s="552" t="s">
        <v>552</v>
      </c>
      <c r="C184" s="552" t="s">
        <v>535</v>
      </c>
      <c r="D184" s="552" t="s">
        <v>230</v>
      </c>
      <c r="E184" s="552" t="s">
        <v>536</v>
      </c>
      <c r="F184" s="552" t="s">
        <v>146</v>
      </c>
      <c r="G184" s="552" t="s">
        <v>543</v>
      </c>
      <c r="H184" s="552" t="s">
        <v>728</v>
      </c>
      <c r="I184" s="590" t="s">
        <v>729</v>
      </c>
      <c r="J184" s="552" t="s">
        <v>713</v>
      </c>
      <c r="K184" s="552" t="s">
        <v>732</v>
      </c>
      <c r="L184" s="552" t="s">
        <v>370</v>
      </c>
      <c r="M184" s="552" t="s">
        <v>384</v>
      </c>
      <c r="N184" s="573">
        <v>97.947360000000003</v>
      </c>
      <c r="O184" s="573">
        <v>23.460349999999998</v>
      </c>
      <c r="P184" s="592">
        <v>4430</v>
      </c>
      <c r="Q184" s="573">
        <v>30</v>
      </c>
      <c r="R184" s="592">
        <v>145</v>
      </c>
      <c r="S184" s="574">
        <f>IF(CampList[[#This Row],[HH]]&gt;0,CampList[[#This Row],[Total]]/CampList[[#This Row],[HH]],"NA")</f>
        <v>4.833333333333333</v>
      </c>
      <c r="T184" s="402" t="s">
        <v>510</v>
      </c>
      <c r="U184" s="553" t="s">
        <v>1180</v>
      </c>
      <c r="V184" s="402" t="s">
        <v>553</v>
      </c>
      <c r="W184" s="402" t="s">
        <v>802</v>
      </c>
      <c r="X184" s="593">
        <v>41244</v>
      </c>
      <c r="Y184" s="592"/>
      <c r="Z184" s="592" t="s">
        <v>1250</v>
      </c>
      <c r="AA184" s="552" t="s">
        <v>841</v>
      </c>
      <c r="AB184" s="573"/>
      <c r="AC184" s="578">
        <v>42915</v>
      </c>
      <c r="AD184" s="594" t="s">
        <v>1601</v>
      </c>
      <c r="AE184" s="580" t="s">
        <v>1074</v>
      </c>
      <c r="AF184" s="595">
        <f>IF(CampList[[#This Row],[Type of Accomodation]]="camp",MAX(0,CampList[[#This Row],[HH]]-SUMIF(Table_Shelter[Pcode],CampList[[#This Row],[CP_Pcode]],Table_Shelter[HH Covered2])),0)</f>
        <v>0</v>
      </c>
      <c r="AG184" s="402"/>
      <c r="AH184" s="572">
        <f>MIN(CampList[[#This Row],[Shelter Gap]],CampList[[#This Row],[Land Status]])</f>
        <v>0</v>
      </c>
      <c r="AI184" s="595" t="str">
        <f ca="1">IFERROR(OFFSET(DistanceToCamp[Nearest Town],MATCH(CampList[[#This Row],[CP_Pcode]],DistanceToCamp[CP_Pcode],0)-1,0,1,1),"")</f>
        <v>Kutkai Town</v>
      </c>
      <c r="AJ184" s="581">
        <f ca="1">IFERROR(OFFSET(DistanceToCamp[distance],MATCH(CampList[[#This Row],[CP_Pcode]],DistanceToCamp[CP_Pcode],0)-1,0,1,1),"")</f>
        <v>0.42212558305526549</v>
      </c>
      <c r="AK184" s="596">
        <f ca="1">IFERROR(INT(CampList[[#This Row],[Distance]]/5)+1,"")</f>
        <v>1</v>
      </c>
      <c r="AM184" s="913"/>
      <c r="AN184" s="913"/>
    </row>
    <row r="185" spans="1:40" s="374" customFormat="1" ht="15.75" hidden="1" customHeight="1" x14ac:dyDescent="0.25">
      <c r="A185" s="617" t="s">
        <v>842</v>
      </c>
      <c r="B185" s="551" t="s">
        <v>380</v>
      </c>
      <c r="C185" s="551" t="s">
        <v>524</v>
      </c>
      <c r="D185" s="551" t="s">
        <v>5</v>
      </c>
      <c r="E185" s="551" t="s">
        <v>528</v>
      </c>
      <c r="F185" s="551" t="s">
        <v>151</v>
      </c>
      <c r="G185" s="551" t="s">
        <v>538</v>
      </c>
      <c r="H185" s="551" t="s">
        <v>625</v>
      </c>
      <c r="I185" s="551" t="s">
        <v>626</v>
      </c>
      <c r="J185" s="551" t="s">
        <v>625</v>
      </c>
      <c r="K185" s="551">
        <v>167495</v>
      </c>
      <c r="L185" s="551" t="s">
        <v>296</v>
      </c>
      <c r="M185" s="551" t="s">
        <v>1392</v>
      </c>
      <c r="N185" s="571">
        <v>97.174999999999997</v>
      </c>
      <c r="O185" s="571">
        <v>23.867000000000001</v>
      </c>
      <c r="P185" s="592"/>
      <c r="Q185" s="705"/>
      <c r="R185" s="706"/>
      <c r="S185" s="574" t="str">
        <f>IF(CampList[[#This Row],[HH]]&gt;0,CampList[[#This Row],[Total]]/CampList[[#This Row],[HH]],"NA")</f>
        <v>NA</v>
      </c>
      <c r="T185" s="553" t="s">
        <v>512</v>
      </c>
      <c r="U185" s="583" t="s">
        <v>1180</v>
      </c>
      <c r="V185" s="553" t="s">
        <v>553</v>
      </c>
      <c r="W185" s="583"/>
      <c r="X185" s="600"/>
      <c r="Y185" s="591"/>
      <c r="Z185" s="601"/>
      <c r="AA185" s="598"/>
      <c r="AB185" s="577"/>
      <c r="AC185" s="578">
        <v>41701</v>
      </c>
      <c r="AD185" s="570" t="s">
        <v>1011</v>
      </c>
      <c r="AE185" s="602" t="s">
        <v>1006</v>
      </c>
      <c r="AF185" s="402">
        <f>IF(CampList[[#This Row],[Type of Accomodation]]="camp",MAX(0,CampList[[#This Row],[HH]]-SUMIF(Table_Shelter[Pcode],CampList[[#This Row],[CP_Pcode]],Table_Shelter[HH Covered2])),0)</f>
        <v>0</v>
      </c>
      <c r="AG185" s="553"/>
      <c r="AH185" s="577">
        <f>MIN(CampList[[#This Row],[Shelter Gap]],CampList[[#This Row],[Land Status]])</f>
        <v>0</v>
      </c>
      <c r="AI185" s="553" t="str">
        <f ca="1">IFERROR(OFFSET(DistanceToCamp[Nearest Town],MATCH(CampList[[#This Row],[CP_Pcode]],DistanceToCamp[CP_Pcode],0)-1,0,1,1),"")</f>
        <v/>
      </c>
      <c r="AJ185" s="581" t="str">
        <f ca="1">IFERROR(OFFSET(DistanceToCamp[distance],MATCH(CampList[[#This Row],[CP_Pcode]],DistanceToCamp[CP_Pcode],0)-1,0,1,1),"")</f>
        <v/>
      </c>
      <c r="AK185" s="582" t="str">
        <f ca="1">IFERROR(INT(CampList[[#This Row],[Distance]]/5)+1,"")</f>
        <v/>
      </c>
      <c r="AM185" s="913"/>
      <c r="AN185" s="913"/>
    </row>
    <row r="186" spans="1:40" s="374" customFormat="1" ht="15.75" hidden="1" customHeight="1" x14ac:dyDescent="0.25">
      <c r="A186" s="570" t="s">
        <v>842</v>
      </c>
      <c r="B186" s="551" t="s">
        <v>380</v>
      </c>
      <c r="C186" s="551" t="s">
        <v>524</v>
      </c>
      <c r="D186" s="551" t="s">
        <v>5</v>
      </c>
      <c r="E186" s="551" t="s">
        <v>528</v>
      </c>
      <c r="F186" s="551" t="s">
        <v>151</v>
      </c>
      <c r="G186" s="551" t="s">
        <v>538</v>
      </c>
      <c r="H186" s="579" t="s">
        <v>625</v>
      </c>
      <c r="I186" s="579" t="s">
        <v>626</v>
      </c>
      <c r="J186" s="579"/>
      <c r="K186" s="579"/>
      <c r="L186" s="551" t="s">
        <v>517</v>
      </c>
      <c r="M186" s="551" t="s">
        <v>518</v>
      </c>
      <c r="N186" s="571">
        <v>96.808850000000007</v>
      </c>
      <c r="O186" s="571">
        <v>24.20645</v>
      </c>
      <c r="P186" s="572">
        <v>781.8</v>
      </c>
      <c r="Q186" s="705">
        <v>0</v>
      </c>
      <c r="R186" s="706">
        <v>0</v>
      </c>
      <c r="S186" s="574" t="str">
        <f>IF(CampList[[#This Row],[HH]]&gt;0,CampList[[#This Row],[Total]]/CampList[[#This Row],[HH]],"NA")</f>
        <v>NA</v>
      </c>
      <c r="T186" s="553" t="s">
        <v>512</v>
      </c>
      <c r="U186" s="583" t="s">
        <v>1180</v>
      </c>
      <c r="V186" s="553" t="s">
        <v>553</v>
      </c>
      <c r="W186" s="583" t="s">
        <v>855</v>
      </c>
      <c r="X186" s="584">
        <v>41091</v>
      </c>
      <c r="Y186" s="585"/>
      <c r="Z186" s="584"/>
      <c r="AA186" s="598" t="s">
        <v>841</v>
      </c>
      <c r="AB186" s="577"/>
      <c r="AC186" s="578">
        <v>41661</v>
      </c>
      <c r="AD186" s="570" t="s">
        <v>936</v>
      </c>
      <c r="AE186" s="580" t="s">
        <v>1006</v>
      </c>
      <c r="AF186" s="402">
        <f>IF(CampList[[#This Row],[Type of Accomodation]]="camp",MAX(0,CampList[[#This Row],[HH]]-SUMIF(Table_Shelter[Pcode],CampList[[#This Row],[CP_Pcode]],Table_Shelter[HH Covered2])),0)</f>
        <v>0</v>
      </c>
      <c r="AG186" s="553"/>
      <c r="AH186" s="577">
        <f>MIN(CampList[[#This Row],[Shelter Gap]],CampList[[#This Row],[Land Status]])</f>
        <v>0</v>
      </c>
      <c r="AI186" s="553" t="str">
        <f ca="1">IFERROR(OFFSET(DistanceToCamp[Nearest Town],MATCH(CampList[[#This Row],[CP_Pcode]],DistanceToCamp[CP_Pcode],0)-1,0,1,1),"")</f>
        <v/>
      </c>
      <c r="AJ186" s="581" t="str">
        <f ca="1">IFERROR(OFFSET(DistanceToCamp[distance],MATCH(CampList[[#This Row],[CP_Pcode]],DistanceToCamp[CP_Pcode],0)-1,0,1,1),"")</f>
        <v/>
      </c>
      <c r="AK186" s="582" t="str">
        <f ca="1">IFERROR(INT(CampList[[#This Row],[Distance]]/5)+1,"")</f>
        <v/>
      </c>
      <c r="AM186" s="913"/>
      <c r="AN186" s="913"/>
    </row>
    <row r="187" spans="1:40" s="374" customFormat="1" ht="15.75" customHeight="1" x14ac:dyDescent="0.25">
      <c r="A187" s="570" t="s">
        <v>499</v>
      </c>
      <c r="B187" s="551" t="s">
        <v>552</v>
      </c>
      <c r="C187" s="551" t="s">
        <v>535</v>
      </c>
      <c r="D187" s="551" t="s">
        <v>230</v>
      </c>
      <c r="E187" s="551" t="s">
        <v>536</v>
      </c>
      <c r="F187" s="551" t="s">
        <v>146</v>
      </c>
      <c r="G187" s="551" t="s">
        <v>543</v>
      </c>
      <c r="H187" s="599" t="s">
        <v>721</v>
      </c>
      <c r="I187" s="551" t="s">
        <v>1242</v>
      </c>
      <c r="J187" s="599" t="s">
        <v>721</v>
      </c>
      <c r="K187" s="618">
        <v>208747</v>
      </c>
      <c r="L187" s="551" t="s">
        <v>368</v>
      </c>
      <c r="M187" s="551" t="s">
        <v>385</v>
      </c>
      <c r="N187" s="571">
        <v>97.793019999999999</v>
      </c>
      <c r="O187" s="571">
        <v>23.588920000000002</v>
      </c>
      <c r="P187" s="572">
        <v>1012.5</v>
      </c>
      <c r="Q187" s="776">
        <v>68</v>
      </c>
      <c r="R187" s="776">
        <v>305</v>
      </c>
      <c r="S187" s="574">
        <f>IF(CampList[[#This Row],[HH]]&gt;0,CampList[[#This Row],[Total]]/CampList[[#This Row],[HH]],"NA")</f>
        <v>4.4852941176470589</v>
      </c>
      <c r="T187" s="553" t="s">
        <v>510</v>
      </c>
      <c r="U187" s="553" t="s">
        <v>1180</v>
      </c>
      <c r="V187" s="553" t="s">
        <v>553</v>
      </c>
      <c r="W187" s="553" t="s">
        <v>855</v>
      </c>
      <c r="X187" s="575">
        <v>41275</v>
      </c>
      <c r="Y187" s="576">
        <v>2</v>
      </c>
      <c r="Z187" s="575" t="s">
        <v>459</v>
      </c>
      <c r="AA187" s="598" t="s">
        <v>841</v>
      </c>
      <c r="AB187" s="577"/>
      <c r="AC187" s="578">
        <v>42919</v>
      </c>
      <c r="AD187" s="570" t="s">
        <v>1685</v>
      </c>
      <c r="AE187" s="580" t="s">
        <v>1074</v>
      </c>
      <c r="AF187" s="402">
        <f>IF(CampList[[#This Row],[Type of Accomodation]]="camp",MAX(0,CampList[[#This Row],[HH]]-SUMIF(Table_Shelter[Pcode],CampList[[#This Row],[CP_Pcode]],Table_Shelter[HH Covered2])),0)</f>
        <v>5</v>
      </c>
      <c r="AG187" s="553"/>
      <c r="AH187" s="577">
        <f>MIN(CampList[[#This Row],[Shelter Gap]],CampList[[#This Row],[Land Status]])</f>
        <v>5</v>
      </c>
      <c r="AI187" s="553" t="str">
        <f ca="1">IFERROR(OFFSET(DistanceToCamp[Nearest Town],MATCH(CampList[[#This Row],[CP_Pcode]],DistanceToCamp[CP_Pcode],0)-1,0,1,1),"")</f>
        <v>Kutkai Town</v>
      </c>
      <c r="AJ187" s="581">
        <f ca="1">IFERROR(OFFSET(DistanceToCamp[distance],MATCH(CampList[[#This Row],[CP_Pcode]],DistanceToCamp[CP_Pcode],0)-1,0,1,1),"")</f>
        <v>21.050742639251741</v>
      </c>
      <c r="AK187" s="582">
        <f ca="1">IFERROR(INT(CampList[[#This Row],[Distance]]/5)+1,"")</f>
        <v>5</v>
      </c>
      <c r="AM187" s="913"/>
      <c r="AN187" s="913"/>
    </row>
    <row r="188" spans="1:40" s="374" customFormat="1" ht="15.75" hidden="1" customHeight="1" x14ac:dyDescent="0.25">
      <c r="A188" s="570" t="s">
        <v>842</v>
      </c>
      <c r="B188" s="551" t="s">
        <v>380</v>
      </c>
      <c r="C188" s="551" t="s">
        <v>524</v>
      </c>
      <c r="D188" s="551" t="s">
        <v>180</v>
      </c>
      <c r="E188" s="551" t="s">
        <v>525</v>
      </c>
      <c r="F188" s="551" t="s">
        <v>526</v>
      </c>
      <c r="G188" s="551" t="s">
        <v>527</v>
      </c>
      <c r="H188" s="579" t="s">
        <v>611</v>
      </c>
      <c r="I188" s="579" t="s">
        <v>612</v>
      </c>
      <c r="J188" s="579" t="s">
        <v>611</v>
      </c>
      <c r="K188" s="579">
        <v>166773</v>
      </c>
      <c r="L188" s="551" t="s">
        <v>142</v>
      </c>
      <c r="M188" s="551" t="s">
        <v>141</v>
      </c>
      <c r="N188" s="571">
        <v>96.354159999999993</v>
      </c>
      <c r="O188" s="571">
        <v>25.658670000000001</v>
      </c>
      <c r="P188" s="572">
        <v>0</v>
      </c>
      <c r="Q188" s="705">
        <v>0</v>
      </c>
      <c r="R188" s="706">
        <v>0</v>
      </c>
      <c r="S188" s="574" t="str">
        <f>IF(CampList[[#This Row],[HH]]&gt;0,CampList[[#This Row],[Total]]/CampList[[#This Row],[HH]],"NA")</f>
        <v>NA</v>
      </c>
      <c r="T188" s="553" t="s">
        <v>510</v>
      </c>
      <c r="U188" s="583" t="s">
        <v>1180</v>
      </c>
      <c r="V188" s="553" t="s">
        <v>553</v>
      </c>
      <c r="W188" s="583" t="s">
        <v>855</v>
      </c>
      <c r="X188" s="584">
        <v>41275</v>
      </c>
      <c r="Y188" s="585"/>
      <c r="Z188" s="584"/>
      <c r="AA188" s="598" t="s">
        <v>840</v>
      </c>
      <c r="AB188" s="577"/>
      <c r="AC188" s="578">
        <v>41774</v>
      </c>
      <c r="AD188" s="570" t="s">
        <v>1044</v>
      </c>
      <c r="AE188" s="580" t="s">
        <v>1006</v>
      </c>
      <c r="AF188" s="402">
        <f>IF(CampList[[#This Row],[Type of Accomodation]]="camp",MAX(0,CampList[[#This Row],[HH]]-SUMIF(Table_Shelter[Pcode],CampList[[#This Row],[CP_Pcode]],Table_Shelter[HH Covered2])),0)</f>
        <v>0</v>
      </c>
      <c r="AG188" s="553"/>
      <c r="AH188" s="577">
        <f>MIN(CampList[[#This Row],[Shelter Gap]],CampList[[#This Row],[Land Status]])</f>
        <v>0</v>
      </c>
      <c r="AI188" s="553" t="str">
        <f ca="1">IFERROR(OFFSET(DistanceToCamp[Nearest Town],MATCH(CampList[[#This Row],[CP_Pcode]],DistanceToCamp[CP_Pcode],0)-1,0,1,1),"")</f>
        <v/>
      </c>
      <c r="AJ188" s="581" t="str">
        <f ca="1">IFERROR(OFFSET(DistanceToCamp[distance],MATCH(CampList[[#This Row],[CP_Pcode]],DistanceToCamp[CP_Pcode],0)-1,0,1,1),"")</f>
        <v/>
      </c>
      <c r="AK188" s="582" t="str">
        <f ca="1">IFERROR(INT(CampList[[#This Row],[Distance]]/5)+1,"")</f>
        <v/>
      </c>
      <c r="AM188" s="913"/>
      <c r="AN188" s="913"/>
    </row>
    <row r="189" spans="1:40" s="374" customFormat="1" ht="15.75" hidden="1" customHeight="1" x14ac:dyDescent="0.25">
      <c r="A189" s="570" t="s">
        <v>842</v>
      </c>
      <c r="B189" s="551" t="s">
        <v>380</v>
      </c>
      <c r="C189" s="551" t="s">
        <v>524</v>
      </c>
      <c r="D189" s="551" t="s">
        <v>237</v>
      </c>
      <c r="E189" s="551" t="s">
        <v>530</v>
      </c>
      <c r="F189" s="551" t="s">
        <v>237</v>
      </c>
      <c r="G189" s="551" t="s">
        <v>534</v>
      </c>
      <c r="H189" s="579" t="s">
        <v>670</v>
      </c>
      <c r="I189" s="579" t="s">
        <v>671</v>
      </c>
      <c r="J189" s="579" t="s">
        <v>673</v>
      </c>
      <c r="K189" s="579" t="s">
        <v>674</v>
      </c>
      <c r="L189" s="551" t="s">
        <v>267</v>
      </c>
      <c r="M189" s="551" t="s">
        <v>266</v>
      </c>
      <c r="N189" s="571">
        <v>97.376671999999999</v>
      </c>
      <c r="O189" s="571">
        <v>25.387862999999999</v>
      </c>
      <c r="P189" s="572">
        <v>0</v>
      </c>
      <c r="Q189" s="705"/>
      <c r="R189" s="706"/>
      <c r="S189" s="574" t="str">
        <f>IF(CampList[[#This Row],[HH]]&gt;0,CampList[[#This Row],[Total]]/CampList[[#This Row],[HH]],"NA")</f>
        <v>NA</v>
      </c>
      <c r="T189" s="553" t="s">
        <v>510</v>
      </c>
      <c r="U189" s="583" t="s">
        <v>1180</v>
      </c>
      <c r="V189" s="553" t="s">
        <v>553</v>
      </c>
      <c r="W189" s="583" t="s">
        <v>802</v>
      </c>
      <c r="X189" s="584">
        <v>40817</v>
      </c>
      <c r="Y189" s="585">
        <v>1</v>
      </c>
      <c r="Z189" s="584" t="s">
        <v>504</v>
      </c>
      <c r="AA189" s="598" t="s">
        <v>841</v>
      </c>
      <c r="AB189" s="577"/>
      <c r="AC189" s="578">
        <v>42180</v>
      </c>
      <c r="AD189" s="570" t="s">
        <v>1249</v>
      </c>
      <c r="AE189" s="580" t="s">
        <v>1088</v>
      </c>
      <c r="AF189" s="402">
        <f>IF(CampList[[#This Row],[Type of Accomodation]]="camp",MAX(0,CampList[[#This Row],[HH]]-SUMIF(Table_Shelter[Pcode],CampList[[#This Row],[CP_Pcode]],Table_Shelter[HH Covered2])),0)</f>
        <v>0</v>
      </c>
      <c r="AG189" s="553"/>
      <c r="AH189" s="577">
        <f>MIN(CampList[[#This Row],[Shelter Gap]],CampList[[#This Row],[Land Status]])</f>
        <v>0</v>
      </c>
      <c r="AI189" s="553" t="str">
        <f ca="1">IFERROR(OFFSET(DistanceToCamp[Nearest Town],MATCH(CampList[[#This Row],[CP_Pcode]],DistanceToCamp[CP_Pcode],0)-1,0,1,1),"")</f>
        <v>Myitkyina Town</v>
      </c>
      <c r="AJ189" s="581">
        <f ca="1">IFERROR(OFFSET(DistanceToCamp[distance],MATCH(CampList[[#This Row],[CP_Pcode]],DistanceToCamp[CP_Pcode],0)-1,0,1,1),"")</f>
        <v>1.3751794210741128</v>
      </c>
      <c r="AK189" s="582">
        <f ca="1">IFERROR(INT(CampList[[#This Row],[Distance]]/5)+1,"")</f>
        <v>1</v>
      </c>
      <c r="AM189" s="913"/>
      <c r="AN189" s="913"/>
    </row>
    <row r="190" spans="1:40" s="374" customFormat="1" ht="15.75" hidden="1" customHeight="1" x14ac:dyDescent="0.25">
      <c r="A190" s="570" t="s">
        <v>842</v>
      </c>
      <c r="B190" s="551" t="s">
        <v>380</v>
      </c>
      <c r="C190" s="551" t="s">
        <v>524</v>
      </c>
      <c r="D190" s="551" t="s">
        <v>5</v>
      </c>
      <c r="E190" s="551" t="s">
        <v>528</v>
      </c>
      <c r="F190" s="551" t="s">
        <v>151</v>
      </c>
      <c r="G190" s="551" t="s">
        <v>538</v>
      </c>
      <c r="H190" s="579" t="s">
        <v>659</v>
      </c>
      <c r="I190" s="579" t="s">
        <v>660</v>
      </c>
      <c r="J190" s="579"/>
      <c r="K190" s="579"/>
      <c r="L190" s="551" t="s">
        <v>162</v>
      </c>
      <c r="M190" s="551" t="s">
        <v>161</v>
      </c>
      <c r="N190" s="571"/>
      <c r="O190" s="571"/>
      <c r="P190" s="592"/>
      <c r="Q190" s="705">
        <v>0</v>
      </c>
      <c r="R190" s="706">
        <v>0</v>
      </c>
      <c r="S190" s="574" t="str">
        <f>IF(CampList[[#This Row],[HH]]&gt;0,CampList[[#This Row],[Total]]/CampList[[#This Row],[HH]],"NA")</f>
        <v>NA</v>
      </c>
      <c r="T190" s="553" t="s">
        <v>512</v>
      </c>
      <c r="U190" s="583" t="s">
        <v>1180</v>
      </c>
      <c r="V190" s="553" t="s">
        <v>553</v>
      </c>
      <c r="W190" s="583"/>
      <c r="X190" s="600"/>
      <c r="Y190" s="591"/>
      <c r="Z190" s="601"/>
      <c r="AA190" s="598" t="s">
        <v>841</v>
      </c>
      <c r="AB190" s="577"/>
      <c r="AC190" s="578">
        <v>41737</v>
      </c>
      <c r="AD190" s="570" t="s">
        <v>1040</v>
      </c>
      <c r="AE190" s="602" t="s">
        <v>1006</v>
      </c>
      <c r="AF190" s="402">
        <f>IF(CampList[[#This Row],[Type of Accomodation]]="camp",MAX(0,CampList[[#This Row],[HH]]-SUMIF(Table_Shelter[Pcode],CampList[[#This Row],[CP_Pcode]],Table_Shelter[HH Covered2])),0)</f>
        <v>0</v>
      </c>
      <c r="AG190" s="553"/>
      <c r="AH190" s="577">
        <f>MIN(CampList[[#This Row],[Shelter Gap]],CampList[[#This Row],[Land Status]])</f>
        <v>0</v>
      </c>
      <c r="AI190" s="553" t="str">
        <f ca="1">IFERROR(OFFSET(DistanceToCamp[Nearest Town],MATCH(CampList[[#This Row],[CP_Pcode]],DistanceToCamp[CP_Pcode],0)-1,0,1,1),"")</f>
        <v/>
      </c>
      <c r="AJ190" s="581" t="str">
        <f ca="1">IFERROR(OFFSET(DistanceToCamp[distance],MATCH(CampList[[#This Row],[CP_Pcode]],DistanceToCamp[CP_Pcode],0)-1,0,1,1),"")</f>
        <v/>
      </c>
      <c r="AK190" s="582" t="str">
        <f ca="1">IFERROR(INT(CampList[[#This Row],[Distance]]/5)+1,"")</f>
        <v/>
      </c>
      <c r="AM190" s="913"/>
      <c r="AN190" s="913"/>
    </row>
    <row r="191" spans="1:40" s="374" customFormat="1" ht="15.75" customHeight="1" x14ac:dyDescent="0.25">
      <c r="A191" s="570" t="s">
        <v>499</v>
      </c>
      <c r="B191" s="551" t="s">
        <v>380</v>
      </c>
      <c r="C191" s="551" t="s">
        <v>524</v>
      </c>
      <c r="D191" s="551" t="s">
        <v>5</v>
      </c>
      <c r="E191" s="551" t="s">
        <v>528</v>
      </c>
      <c r="F191" s="551" t="s">
        <v>151</v>
      </c>
      <c r="G191" s="551" t="s">
        <v>538</v>
      </c>
      <c r="H191" s="551" t="s">
        <v>884</v>
      </c>
      <c r="I191" s="551" t="s">
        <v>1364</v>
      </c>
      <c r="J191" s="551" t="s">
        <v>884</v>
      </c>
      <c r="K191" s="551">
        <v>167301</v>
      </c>
      <c r="L191" s="551" t="s">
        <v>884</v>
      </c>
      <c r="M191" s="551" t="s">
        <v>885</v>
      </c>
      <c r="N191" s="571">
        <v>97.225881000000001</v>
      </c>
      <c r="O191" s="571">
        <v>23.972453000000002</v>
      </c>
      <c r="P191" s="592">
        <v>466</v>
      </c>
      <c r="Q191" s="776">
        <v>403</v>
      </c>
      <c r="R191" s="776">
        <v>1855</v>
      </c>
      <c r="S191" s="574">
        <f>IF(CampList[[#This Row],[HH]]&gt;0,CampList[[#This Row],[Total]]/CampList[[#This Row],[HH]],"NA")</f>
        <v>4.6029776674937963</v>
      </c>
      <c r="T191" s="553" t="s">
        <v>510</v>
      </c>
      <c r="U191" s="553" t="s">
        <v>1180</v>
      </c>
      <c r="V191" s="553" t="s">
        <v>553</v>
      </c>
      <c r="W191" s="553" t="s">
        <v>855</v>
      </c>
      <c r="X191" s="794">
        <v>41548</v>
      </c>
      <c r="Y191" s="576">
        <v>2</v>
      </c>
      <c r="Z191" s="575" t="s">
        <v>459</v>
      </c>
      <c r="AA191" s="598" t="s">
        <v>841</v>
      </c>
      <c r="AB191" s="577"/>
      <c r="AC191" s="578">
        <v>42919</v>
      </c>
      <c r="AD191" s="570" t="s">
        <v>1675</v>
      </c>
      <c r="AE191" s="580" t="s">
        <v>1088</v>
      </c>
      <c r="AF191" s="402">
        <f>IF(CampList[[#This Row],[Type of Accomodation]]="camp",MAX(0,CampList[[#This Row],[HH]]-SUMIF(Table_Shelter[Pcode],CampList[[#This Row],[CP_Pcode]],Table_Shelter[HH Covered2])),0)</f>
        <v>94</v>
      </c>
      <c r="AG191" s="553"/>
      <c r="AH191" s="577">
        <f>MIN(CampList[[#This Row],[Shelter Gap]],CampList[[#This Row],[Land Status]])</f>
        <v>94</v>
      </c>
      <c r="AI191" s="553" t="str">
        <f ca="1">IFERROR(OFFSET(DistanceToCamp[Nearest Town],MATCH(CampList[[#This Row],[CP_Pcode]],DistanceToCamp[CP_Pcode],0)-1,0,1,1),"")</f>
        <v>Mansi Town</v>
      </c>
      <c r="AJ191" s="581">
        <f ca="1">IFERROR(OFFSET(DistanceToCamp[distance],MATCH(CampList[[#This Row],[CP_Pcode]],DistanceToCamp[CP_Pcode],0)-1,0,1,1),"")</f>
        <v>17.731070777343263</v>
      </c>
      <c r="AK191" s="582">
        <f ca="1">IFERROR(INT(CampList[[#This Row],[Distance]]/5)+1,"")</f>
        <v>4</v>
      </c>
      <c r="AM191" s="913"/>
      <c r="AN191" s="913"/>
    </row>
    <row r="192" spans="1:40" s="374" customFormat="1" ht="15.75" hidden="1" customHeight="1" x14ac:dyDescent="0.25">
      <c r="A192" s="570" t="s">
        <v>842</v>
      </c>
      <c r="B192" s="551" t="s">
        <v>552</v>
      </c>
      <c r="C192" s="551" t="s">
        <v>535</v>
      </c>
      <c r="D192" s="551" t="s">
        <v>230</v>
      </c>
      <c r="E192" s="551" t="s">
        <v>536</v>
      </c>
      <c r="F192" s="551" t="s">
        <v>146</v>
      </c>
      <c r="G192" s="551" t="s">
        <v>543</v>
      </c>
      <c r="H192" s="551" t="s">
        <v>784</v>
      </c>
      <c r="I192" s="551" t="s">
        <v>785</v>
      </c>
      <c r="J192" s="599" t="s">
        <v>786</v>
      </c>
      <c r="K192" s="599"/>
      <c r="L192" s="551" t="s">
        <v>367</v>
      </c>
      <c r="M192" s="551" t="s">
        <v>386</v>
      </c>
      <c r="N192" s="571">
        <v>98.213958000000005</v>
      </c>
      <c r="O192" s="571">
        <v>23.391741</v>
      </c>
      <c r="P192" s="572">
        <v>0</v>
      </c>
      <c r="Q192" s="705">
        <v>0</v>
      </c>
      <c r="R192" s="706">
        <v>0</v>
      </c>
      <c r="S192" s="574" t="str">
        <f>IF(CampList[[#This Row],[HH]]&gt;0,CampList[[#This Row],[Total]]/CampList[[#This Row],[HH]],"NA")</f>
        <v>NA</v>
      </c>
      <c r="T192" s="553" t="s">
        <v>510</v>
      </c>
      <c r="U192" s="583" t="s">
        <v>1180</v>
      </c>
      <c r="V192" s="553" t="s">
        <v>553</v>
      </c>
      <c r="W192" s="583" t="s">
        <v>855</v>
      </c>
      <c r="X192" s="584">
        <v>40787</v>
      </c>
      <c r="Y192" s="585"/>
      <c r="Z192" s="584"/>
      <c r="AA192" s="598" t="s">
        <v>841</v>
      </c>
      <c r="AB192" s="577"/>
      <c r="AC192" s="578">
        <v>41701</v>
      </c>
      <c r="AD192" s="570" t="s">
        <v>1013</v>
      </c>
      <c r="AE192" s="580" t="s">
        <v>1006</v>
      </c>
      <c r="AF192" s="402">
        <f>IF(CampList[[#This Row],[Type of Accomodation]]="camp",MAX(0,CampList[[#This Row],[HH]]-SUMIF(Table_Shelter[Pcode],CampList[[#This Row],[CP_Pcode]],Table_Shelter[HH Covered2])),0)</f>
        <v>0</v>
      </c>
      <c r="AG192" s="553"/>
      <c r="AH192" s="577">
        <f>MIN(CampList[[#This Row],[Shelter Gap]],CampList[[#This Row],[Land Status]])</f>
        <v>0</v>
      </c>
      <c r="AI192" s="553" t="str">
        <f ca="1">IFERROR(OFFSET(DistanceToCamp[Nearest Town],MATCH(CampList[[#This Row],[CP_Pcode]],DistanceToCamp[CP_Pcode],0)-1,0,1,1),"")</f>
        <v/>
      </c>
      <c r="AJ192" s="581" t="str">
        <f ca="1">IFERROR(OFFSET(DistanceToCamp[distance],MATCH(CampList[[#This Row],[CP_Pcode]],DistanceToCamp[CP_Pcode],0)-1,0,1,1),"")</f>
        <v/>
      </c>
      <c r="AK192" s="582" t="str">
        <f ca="1">IFERROR(INT(CampList[[#This Row],[Distance]]/5)+1,"")</f>
        <v/>
      </c>
      <c r="AM192" s="913"/>
      <c r="AN192" s="913"/>
    </row>
    <row r="193" spans="1:40" s="374" customFormat="1" ht="15.75" customHeight="1" x14ac:dyDescent="0.25">
      <c r="A193" s="598" t="s">
        <v>499</v>
      </c>
      <c r="B193" s="551" t="s">
        <v>552</v>
      </c>
      <c r="C193" s="551" t="s">
        <v>535</v>
      </c>
      <c r="D193" s="551" t="s">
        <v>230</v>
      </c>
      <c r="E193" s="551" t="s">
        <v>536</v>
      </c>
      <c r="F193" s="551" t="s">
        <v>146</v>
      </c>
      <c r="G193" s="551" t="s">
        <v>543</v>
      </c>
      <c r="H193" s="551" t="s">
        <v>765</v>
      </c>
      <c r="I193" s="551" t="s">
        <v>766</v>
      </c>
      <c r="J193" s="551" t="s">
        <v>767</v>
      </c>
      <c r="K193" s="551">
        <v>208557</v>
      </c>
      <c r="L193" s="551" t="s">
        <v>373</v>
      </c>
      <c r="M193" s="551" t="s">
        <v>387</v>
      </c>
      <c r="N193" s="571">
        <v>97.837040000000002</v>
      </c>
      <c r="O193" s="571">
        <v>23.38503</v>
      </c>
      <c r="P193" s="572">
        <v>0</v>
      </c>
      <c r="Q193" s="776">
        <v>186</v>
      </c>
      <c r="R193" s="776">
        <v>951</v>
      </c>
      <c r="S193" s="574">
        <f>IF(CampList[[#This Row],[HH]]&gt;0,CampList[[#This Row],[Total]]/CampList[[#This Row],[HH]],"NA")</f>
        <v>5.112903225806452</v>
      </c>
      <c r="T193" s="553" t="s">
        <v>510</v>
      </c>
      <c r="U193" s="553" t="s">
        <v>1180</v>
      </c>
      <c r="V193" s="553" t="s">
        <v>553</v>
      </c>
      <c r="W193" s="553" t="s">
        <v>855</v>
      </c>
      <c r="X193" s="575">
        <v>41244</v>
      </c>
      <c r="Y193" s="576"/>
      <c r="Z193" s="575" t="s">
        <v>459</v>
      </c>
      <c r="AA193" s="551" t="s">
        <v>841</v>
      </c>
      <c r="AB193" s="577"/>
      <c r="AC193" s="578">
        <v>42919</v>
      </c>
      <c r="AD193" s="579" t="s">
        <v>1687</v>
      </c>
      <c r="AE193" s="580" t="s">
        <v>1074</v>
      </c>
      <c r="AF193" s="402">
        <f>IF(CampList[[#This Row],[Type of Accomodation]]="camp",MAX(0,CampList[[#This Row],[HH]]-SUMIF(Table_Shelter[Pcode],CampList[[#This Row],[CP_Pcode]],Table_Shelter[HH Covered2])),0)</f>
        <v>85</v>
      </c>
      <c r="AG193" s="553"/>
      <c r="AH193" s="577">
        <f>MIN(CampList[[#This Row],[Shelter Gap]],CampList[[#This Row],[Land Status]])</f>
        <v>85</v>
      </c>
      <c r="AI193" s="553" t="str">
        <f ca="1">IFERROR(OFFSET(DistanceToCamp[Nearest Town],MATCH(CampList[[#This Row],[CP_Pcode]],DistanceToCamp[CP_Pcode],0)-1,0,1,1),"")</f>
        <v>Kutkai Town</v>
      </c>
      <c r="AJ193" s="581">
        <f ca="1">IFERROR(OFFSET(DistanceToCamp[distance],MATCH(CampList[[#This Row],[CP_Pcode]],DistanceToCamp[CP_Pcode],0)-1,0,1,1),"")</f>
        <v>13.632081902964599</v>
      </c>
      <c r="AK193" s="582">
        <f ca="1">IFERROR(INT(CampList[[#This Row],[Distance]]/5)+1,"")</f>
        <v>3</v>
      </c>
      <c r="AM193" s="913"/>
      <c r="AN193" s="913"/>
    </row>
    <row r="194" spans="1:40" s="374" customFormat="1" ht="15.75" customHeight="1" x14ac:dyDescent="0.25">
      <c r="A194" s="570" t="s">
        <v>499</v>
      </c>
      <c r="B194" s="551" t="s">
        <v>552</v>
      </c>
      <c r="C194" s="551" t="s">
        <v>535</v>
      </c>
      <c r="D194" s="551" t="s">
        <v>230</v>
      </c>
      <c r="E194" s="551" t="s">
        <v>536</v>
      </c>
      <c r="F194" s="551" t="s">
        <v>230</v>
      </c>
      <c r="G194" s="551" t="s">
        <v>537</v>
      </c>
      <c r="H194" s="551" t="s">
        <v>775</v>
      </c>
      <c r="I194" s="551" t="s">
        <v>774</v>
      </c>
      <c r="J194" s="551" t="s">
        <v>775</v>
      </c>
      <c r="K194" s="590">
        <v>208156</v>
      </c>
      <c r="L194" s="551" t="s">
        <v>231</v>
      </c>
      <c r="M194" s="551" t="s">
        <v>388</v>
      </c>
      <c r="N194" s="571">
        <v>98.115809999999996</v>
      </c>
      <c r="O194" s="571">
        <v>24.08738</v>
      </c>
      <c r="P194" s="592"/>
      <c r="Q194" s="777">
        <v>32</v>
      </c>
      <c r="R194" s="778">
        <v>187</v>
      </c>
      <c r="S194" s="574">
        <f>IF(CampList[[#This Row],[HH]]&gt;0,CampList[[#This Row],[Total]]/CampList[[#This Row],[HH]],"NA")</f>
        <v>5.84375</v>
      </c>
      <c r="T194" s="553" t="s">
        <v>510</v>
      </c>
      <c r="U194" s="553" t="s">
        <v>1180</v>
      </c>
      <c r="V194" s="553" t="s">
        <v>12</v>
      </c>
      <c r="W194" s="553" t="s">
        <v>855</v>
      </c>
      <c r="X194" s="593"/>
      <c r="Y194" s="592"/>
      <c r="Z194" s="577"/>
      <c r="AA194" s="598" t="s">
        <v>571</v>
      </c>
      <c r="AB194" s="577"/>
      <c r="AC194" s="578">
        <v>42888</v>
      </c>
      <c r="AD194" s="570" t="s">
        <v>1538</v>
      </c>
      <c r="AE194" s="602" t="s">
        <v>1088</v>
      </c>
      <c r="AF194" s="402">
        <f>IF(CampList[[#This Row],[Type of Accomodation]]="camp",MAX(0,CampList[[#This Row],[HH]]-SUMIF(Table_Shelter[Pcode],CampList[[#This Row],[CP_Pcode]],Table_Shelter[HH Covered2])),0)</f>
        <v>0</v>
      </c>
      <c r="AG194" s="553"/>
      <c r="AH194" s="577">
        <f>MIN(CampList[[#This Row],[Shelter Gap]],CampList[[#This Row],[Land Status]])</f>
        <v>0</v>
      </c>
      <c r="AI194" s="553" t="str">
        <f ca="1">IFERROR(OFFSET(DistanceToCamp[Nearest Town],MATCH(CampList[[#This Row],[CP_Pcode]],DistanceToCamp[CP_Pcode],0)-1,0,1,1),"")</f>
        <v>Pang Hseng (Kyu Koke) Town</v>
      </c>
      <c r="AJ194" s="581">
        <f ca="1">IFERROR(OFFSET(DistanceToCamp[distance],MATCH(CampList[[#This Row],[CP_Pcode]],DistanceToCamp[CP_Pcode],0)-1,0,1,1),"")</f>
        <v>5.5919136174199959</v>
      </c>
      <c r="AK194" s="582">
        <f ca="1">IFERROR(INT(CampList[[#This Row],[Distance]]/5)+1,"")</f>
        <v>2</v>
      </c>
      <c r="AM194" s="913"/>
      <c r="AN194" s="913"/>
    </row>
    <row r="195" spans="1:40" s="374" customFormat="1" ht="15.75" hidden="1" customHeight="1" x14ac:dyDescent="0.25">
      <c r="A195" s="570" t="s">
        <v>842</v>
      </c>
      <c r="B195" s="551" t="s">
        <v>380</v>
      </c>
      <c r="C195" s="551" t="s">
        <v>524</v>
      </c>
      <c r="D195" s="551" t="s">
        <v>5</v>
      </c>
      <c r="E195" s="551" t="s">
        <v>528</v>
      </c>
      <c r="F195" s="551" t="s">
        <v>151</v>
      </c>
      <c r="G195" s="551" t="s">
        <v>538</v>
      </c>
      <c r="H195" s="579" t="s">
        <v>627</v>
      </c>
      <c r="I195" s="579" t="s">
        <v>628</v>
      </c>
      <c r="J195" s="579"/>
      <c r="K195" s="579"/>
      <c r="L195" s="551" t="s">
        <v>864</v>
      </c>
      <c r="M195" s="551" t="s">
        <v>519</v>
      </c>
      <c r="N195" s="571">
        <v>97.132339999999999</v>
      </c>
      <c r="O195" s="571">
        <v>23.75817</v>
      </c>
      <c r="P195" s="572">
        <v>781.8</v>
      </c>
      <c r="Q195" s="705">
        <v>0</v>
      </c>
      <c r="R195" s="706">
        <v>0</v>
      </c>
      <c r="S195" s="574" t="str">
        <f>IF(CampList[[#This Row],[HH]]&gt;0,CampList[[#This Row],[Total]]/CampList[[#This Row],[HH]],"NA")</f>
        <v>NA</v>
      </c>
      <c r="T195" s="553" t="s">
        <v>512</v>
      </c>
      <c r="U195" s="583" t="s">
        <v>1180</v>
      </c>
      <c r="V195" s="553" t="s">
        <v>553</v>
      </c>
      <c r="W195" s="583" t="s">
        <v>855</v>
      </c>
      <c r="X195" s="584">
        <v>41091</v>
      </c>
      <c r="Y195" s="585"/>
      <c r="Z195" s="584"/>
      <c r="AA195" s="598" t="s">
        <v>841</v>
      </c>
      <c r="AB195" s="577"/>
      <c r="AC195" s="604"/>
      <c r="AD195" s="570" t="s">
        <v>936</v>
      </c>
      <c r="AE195" s="580" t="s">
        <v>1006</v>
      </c>
      <c r="AF195" s="402">
        <f>IF(CampList[[#This Row],[Type of Accomodation]]="camp",MAX(0,CampList[[#This Row],[HH]]-SUMIF(Table_Shelter[Pcode],CampList[[#This Row],[CP_Pcode]],Table_Shelter[HH Covered2])),0)</f>
        <v>0</v>
      </c>
      <c r="AG195" s="553"/>
      <c r="AH195" s="577">
        <f>MIN(CampList[[#This Row],[Shelter Gap]],CampList[[#This Row],[Land Status]])</f>
        <v>0</v>
      </c>
      <c r="AI195" s="553" t="str">
        <f ca="1">IFERROR(OFFSET(DistanceToCamp[Nearest Town],MATCH(CampList[[#This Row],[CP_Pcode]],DistanceToCamp[CP_Pcode],0)-1,0,1,1),"")</f>
        <v/>
      </c>
      <c r="AJ195" s="581" t="str">
        <f ca="1">IFERROR(OFFSET(DistanceToCamp[distance],MATCH(CampList[[#This Row],[CP_Pcode]],DistanceToCamp[CP_Pcode],0)-1,0,1,1),"")</f>
        <v/>
      </c>
      <c r="AK195" s="582" t="str">
        <f ca="1">IFERROR(INT(CampList[[#This Row],[Distance]]/5)+1,"")</f>
        <v/>
      </c>
      <c r="AM195" s="913"/>
      <c r="AN195" s="913"/>
    </row>
    <row r="196" spans="1:40" s="374" customFormat="1" ht="15.75" customHeight="1" x14ac:dyDescent="0.25">
      <c r="A196" s="570" t="s">
        <v>499</v>
      </c>
      <c r="B196" s="551" t="s">
        <v>380</v>
      </c>
      <c r="C196" s="551" t="s">
        <v>524</v>
      </c>
      <c r="D196" s="551" t="s">
        <v>5</v>
      </c>
      <c r="E196" s="551" t="s">
        <v>528</v>
      </c>
      <c r="F196" s="551" t="s">
        <v>151</v>
      </c>
      <c r="G196" s="551" t="s">
        <v>538</v>
      </c>
      <c r="H196" s="551" t="s">
        <v>884</v>
      </c>
      <c r="I196" s="551" t="s">
        <v>1364</v>
      </c>
      <c r="J196" s="551" t="s">
        <v>884</v>
      </c>
      <c r="K196" s="551">
        <v>167301</v>
      </c>
      <c r="L196" s="551" t="s">
        <v>941</v>
      </c>
      <c r="M196" s="551" t="s">
        <v>940</v>
      </c>
      <c r="N196" s="571">
        <v>97.227057000000002</v>
      </c>
      <c r="O196" s="571">
        <v>23.976571</v>
      </c>
      <c r="P196" s="592">
        <v>478</v>
      </c>
      <c r="Q196" s="779">
        <v>174</v>
      </c>
      <c r="R196" s="779">
        <v>779</v>
      </c>
      <c r="S196" s="574">
        <f>IF(CampList[[#This Row],[HH]]&gt;0,CampList[[#This Row],[Total]]/CampList[[#This Row],[HH]],"NA")</f>
        <v>4.4770114942528734</v>
      </c>
      <c r="T196" s="553" t="s">
        <v>510</v>
      </c>
      <c r="U196" s="553" t="s">
        <v>1180</v>
      </c>
      <c r="V196" s="553" t="s">
        <v>553</v>
      </c>
      <c r="W196" s="553" t="s">
        <v>855</v>
      </c>
      <c r="X196" s="794">
        <v>41548</v>
      </c>
      <c r="Y196" s="592">
        <v>2</v>
      </c>
      <c r="Z196" s="575" t="s">
        <v>1084</v>
      </c>
      <c r="AA196" s="551" t="s">
        <v>841</v>
      </c>
      <c r="AB196" s="577"/>
      <c r="AC196" s="578">
        <v>42915</v>
      </c>
      <c r="AD196" s="579" t="s">
        <v>1579</v>
      </c>
      <c r="AE196" s="602" t="s">
        <v>1088</v>
      </c>
      <c r="AF196" s="402">
        <f>IF(CampList[[#This Row],[Type of Accomodation]]="camp",MAX(0,CampList[[#This Row],[HH]]-SUMIF(Table_Shelter[Pcode],CampList[[#This Row],[CP_Pcode]],Table_Shelter[HH Covered2])),0)</f>
        <v>124</v>
      </c>
      <c r="AG196" s="553"/>
      <c r="AH196" s="577">
        <f>MIN(CampList[[#This Row],[Shelter Gap]],CampList[[#This Row],[Land Status]])</f>
        <v>124</v>
      </c>
      <c r="AI196" s="553" t="str">
        <f ca="1">IFERROR(OFFSET(DistanceToCamp[Nearest Town],MATCH(CampList[[#This Row],[CP_Pcode]],DistanceToCamp[CP_Pcode],0)-1,0,1,1),"")</f>
        <v>Kamaing Town</v>
      </c>
      <c r="AJ196" s="581">
        <f ca="1">IFERROR(OFFSET(DistanceToCamp[distance],MATCH(CampList[[#This Row],[CP_Pcode]],DistanceToCamp[CP_Pcode],0)-1,0,1,1),"")</f>
        <v>12.257552920582597</v>
      </c>
      <c r="AK196" s="582">
        <f ca="1">IFERROR(INT(CampList[[#This Row],[Distance]]/5)+1,"")</f>
        <v>3</v>
      </c>
      <c r="AM196" s="913"/>
      <c r="AN196" s="913"/>
    </row>
    <row r="197" spans="1:40" s="374" customFormat="1" ht="15.75" hidden="1" customHeight="1" x14ac:dyDescent="0.25">
      <c r="A197" s="570" t="s">
        <v>842</v>
      </c>
      <c r="B197" s="551" t="s">
        <v>380</v>
      </c>
      <c r="C197" s="551" t="s">
        <v>524</v>
      </c>
      <c r="D197" s="551" t="s">
        <v>5</v>
      </c>
      <c r="E197" s="551" t="s">
        <v>528</v>
      </c>
      <c r="F197" s="551" t="s">
        <v>151</v>
      </c>
      <c r="G197" s="551" t="s">
        <v>538</v>
      </c>
      <c r="H197" s="579" t="s">
        <v>627</v>
      </c>
      <c r="I197" s="579" t="s">
        <v>628</v>
      </c>
      <c r="J197" s="551"/>
      <c r="K197" s="588"/>
      <c r="L197" s="551" t="s">
        <v>865</v>
      </c>
      <c r="M197" s="551" t="s">
        <v>866</v>
      </c>
      <c r="N197" s="571"/>
      <c r="O197" s="571"/>
      <c r="P197" s="592"/>
      <c r="Q197" s="705">
        <v>0</v>
      </c>
      <c r="R197" s="706">
        <v>0</v>
      </c>
      <c r="S197" s="574" t="str">
        <f>IF(CampList[[#This Row],[HH]]&gt;0,CampList[[#This Row],[Total]]/CampList[[#This Row],[HH]],"NA")</f>
        <v>NA</v>
      </c>
      <c r="T197" s="553" t="s">
        <v>512</v>
      </c>
      <c r="U197" s="583" t="s">
        <v>1180</v>
      </c>
      <c r="V197" s="553" t="s">
        <v>553</v>
      </c>
      <c r="W197" s="553"/>
      <c r="X197" s="593"/>
      <c r="Y197" s="592"/>
      <c r="Z197" s="577"/>
      <c r="AA197" s="598" t="s">
        <v>841</v>
      </c>
      <c r="AB197" s="577"/>
      <c r="AC197" s="604"/>
      <c r="AD197" s="570" t="s">
        <v>936</v>
      </c>
      <c r="AE197" s="602" t="s">
        <v>1006</v>
      </c>
      <c r="AF197" s="402">
        <f>IF(CampList[[#This Row],[Type of Accomodation]]="camp",MAX(0,CampList[[#This Row],[HH]]-SUMIF(Table_Shelter[Pcode],CampList[[#This Row],[CP_Pcode]],Table_Shelter[HH Covered2])),0)</f>
        <v>0</v>
      </c>
      <c r="AG197" s="553"/>
      <c r="AH197" s="577">
        <f>MIN(CampList[[#This Row],[Shelter Gap]],CampList[[#This Row],[Land Status]])</f>
        <v>0</v>
      </c>
      <c r="AI197" s="553" t="str">
        <f ca="1">IFERROR(OFFSET(DistanceToCamp[Nearest Town],MATCH(CampList[[#This Row],[CP_Pcode]],DistanceToCamp[CP_Pcode],0)-1,0,1,1),"")</f>
        <v/>
      </c>
      <c r="AJ197" s="581" t="str">
        <f ca="1">IFERROR(OFFSET(DistanceToCamp[distance],MATCH(CampList[[#This Row],[CP_Pcode]],DistanceToCamp[CP_Pcode],0)-1,0,1,1),"")</f>
        <v/>
      </c>
      <c r="AK197" s="582" t="str">
        <f ca="1">IFERROR(INT(CampList[[#This Row],[Distance]]/5)+1,"")</f>
        <v/>
      </c>
      <c r="AM197" s="913"/>
      <c r="AN197" s="913"/>
    </row>
    <row r="198" spans="1:40" s="374" customFormat="1" ht="15.75" customHeight="1" x14ac:dyDescent="0.25">
      <c r="A198" s="589" t="s">
        <v>499</v>
      </c>
      <c r="B198" s="552" t="s">
        <v>380</v>
      </c>
      <c r="C198" s="552" t="s">
        <v>524</v>
      </c>
      <c r="D198" s="552" t="s">
        <v>237</v>
      </c>
      <c r="E198" s="552" t="s">
        <v>530</v>
      </c>
      <c r="F198" s="552" t="s">
        <v>27</v>
      </c>
      <c r="G198" s="552" t="s">
        <v>533</v>
      </c>
      <c r="H198" s="552" t="s">
        <v>789</v>
      </c>
      <c r="I198" s="590" t="s">
        <v>788</v>
      </c>
      <c r="J198" s="552" t="s">
        <v>1017</v>
      </c>
      <c r="K198" s="552"/>
      <c r="L198" s="552" t="s">
        <v>1017</v>
      </c>
      <c r="M198" s="552" t="s">
        <v>1018</v>
      </c>
      <c r="N198" s="573">
        <v>98.356260000000006</v>
      </c>
      <c r="O198" s="573">
        <v>25.645959999999999</v>
      </c>
      <c r="P198" s="592">
        <v>1945</v>
      </c>
      <c r="Q198" s="776">
        <v>31</v>
      </c>
      <c r="R198" s="776">
        <v>176</v>
      </c>
      <c r="S198" s="574">
        <f>IF(CampList[[#This Row],[HH]]&gt;0,CampList[[#This Row],[Total]]/CampList[[#This Row],[HH]],"NA")</f>
        <v>5.67741935483871</v>
      </c>
      <c r="T198" s="402" t="s">
        <v>510</v>
      </c>
      <c r="U198" s="553" t="s">
        <v>1180</v>
      </c>
      <c r="V198" s="402" t="s">
        <v>553</v>
      </c>
      <c r="W198" s="402" t="s">
        <v>802</v>
      </c>
      <c r="X198" s="795">
        <v>41091</v>
      </c>
      <c r="Y198" s="592"/>
      <c r="Z198" s="592" t="s">
        <v>1085</v>
      </c>
      <c r="AA198" s="552" t="s">
        <v>841</v>
      </c>
      <c r="AB198" s="573"/>
      <c r="AC198" s="578">
        <v>42915</v>
      </c>
      <c r="AD198" s="594" t="s">
        <v>1597</v>
      </c>
      <c r="AE198" s="580" t="s">
        <v>1072</v>
      </c>
      <c r="AF198" s="595">
        <f>IF(CampList[[#This Row],[Type of Accomodation]]="camp",MAX(0,CampList[[#This Row],[HH]]-SUMIF(Table_Shelter[Pcode],CampList[[#This Row],[CP_Pcode]],Table_Shelter[HH Covered2])),0)</f>
        <v>31</v>
      </c>
      <c r="AG198" s="402"/>
      <c r="AH198" s="572">
        <f>MIN(CampList[[#This Row],[Shelter Gap]],CampList[[#This Row],[Land Status]])</f>
        <v>31</v>
      </c>
      <c r="AI198" s="595" t="str">
        <f ca="1">IFERROR(OFFSET(DistanceToCamp[Nearest Town],MATCH(CampList[[#This Row],[CP_Pcode]],DistanceToCamp[CP_Pcode],0)-1,0,1,1),"")</f>
        <v>Naypyitaw Town</v>
      </c>
      <c r="AJ198" s="581">
        <f ca="1">IFERROR(OFFSET(DistanceToCamp[distance],MATCH(CampList[[#This Row],[CP_Pcode]],DistanceToCamp[CP_Pcode],0)-1,0,1,1),"")</f>
        <v>0</v>
      </c>
      <c r="AK198" s="596">
        <f ca="1">IFERROR(INT(CampList[[#This Row],[Distance]]/5)+1,"")</f>
        <v>1</v>
      </c>
      <c r="AM198" s="913"/>
      <c r="AN198" s="913"/>
    </row>
    <row r="199" spans="1:40" s="374" customFormat="1" ht="15.75" hidden="1" customHeight="1" x14ac:dyDescent="0.25">
      <c r="A199" s="570" t="s">
        <v>842</v>
      </c>
      <c r="B199" s="551" t="s">
        <v>380</v>
      </c>
      <c r="C199" s="551" t="s">
        <v>524</v>
      </c>
      <c r="D199" s="551" t="s">
        <v>5</v>
      </c>
      <c r="E199" s="551" t="s">
        <v>528</v>
      </c>
      <c r="F199" s="551" t="s">
        <v>151</v>
      </c>
      <c r="G199" s="551" t="s">
        <v>538</v>
      </c>
      <c r="H199" s="579" t="s">
        <v>627</v>
      </c>
      <c r="I199" s="579" t="s">
        <v>628</v>
      </c>
      <c r="J199" s="579"/>
      <c r="K199" s="579"/>
      <c r="L199" s="551" t="s">
        <v>164</v>
      </c>
      <c r="M199" s="551" t="s">
        <v>163</v>
      </c>
      <c r="N199" s="571">
        <v>97.132339999999999</v>
      </c>
      <c r="O199" s="571">
        <v>23.75817</v>
      </c>
      <c r="P199" s="592"/>
      <c r="Q199" s="705">
        <v>0</v>
      </c>
      <c r="R199" s="706">
        <v>0</v>
      </c>
      <c r="S199" s="574" t="str">
        <f>IF(CampList[[#This Row],[HH]]&gt;0,CampList[[#This Row],[Total]]/CampList[[#This Row],[HH]],"NA")</f>
        <v>NA</v>
      </c>
      <c r="T199" s="553" t="s">
        <v>512</v>
      </c>
      <c r="U199" s="583" t="s">
        <v>1180</v>
      </c>
      <c r="V199" s="553" t="s">
        <v>553</v>
      </c>
      <c r="W199" s="583"/>
      <c r="X199" s="600"/>
      <c r="Y199" s="591"/>
      <c r="Z199" s="601"/>
      <c r="AA199" s="598" t="s">
        <v>571</v>
      </c>
      <c r="AB199" s="577"/>
      <c r="AC199" s="604"/>
      <c r="AD199" s="570" t="s">
        <v>844</v>
      </c>
      <c r="AE199" s="602" t="s">
        <v>1006</v>
      </c>
      <c r="AF199" s="402">
        <f>IF(CampList[[#This Row],[Type of Accomodation]]="camp",MAX(0,CampList[[#This Row],[HH]]-SUMIF(Table_Shelter[Pcode],CampList[[#This Row],[CP_Pcode]],Table_Shelter[HH Covered2])),0)</f>
        <v>0</v>
      </c>
      <c r="AG199" s="553"/>
      <c r="AH199" s="577">
        <f>MIN(CampList[[#This Row],[Shelter Gap]],CampList[[#This Row],[Land Status]])</f>
        <v>0</v>
      </c>
      <c r="AI199" s="553" t="str">
        <f ca="1">IFERROR(OFFSET(DistanceToCamp[Nearest Town],MATCH(CampList[[#This Row],[CP_Pcode]],DistanceToCamp[CP_Pcode],0)-1,0,1,1),"")</f>
        <v/>
      </c>
      <c r="AJ199" s="581" t="str">
        <f ca="1">IFERROR(OFFSET(DistanceToCamp[distance],MATCH(CampList[[#This Row],[CP_Pcode]],DistanceToCamp[CP_Pcode],0)-1,0,1,1),"")</f>
        <v/>
      </c>
      <c r="AK199" s="582" t="str">
        <f ca="1">IFERROR(INT(CampList[[#This Row],[Distance]]/5)+1,"")</f>
        <v/>
      </c>
      <c r="AM199" s="913"/>
      <c r="AN199" s="913"/>
    </row>
    <row r="200" spans="1:40" s="374" customFormat="1" ht="15.75" customHeight="1" x14ac:dyDescent="0.25">
      <c r="A200" s="570" t="s">
        <v>499</v>
      </c>
      <c r="B200" s="551" t="s">
        <v>380</v>
      </c>
      <c r="C200" s="551" t="s">
        <v>524</v>
      </c>
      <c r="D200" s="551" t="s">
        <v>300</v>
      </c>
      <c r="E200" s="551" t="s">
        <v>545</v>
      </c>
      <c r="F200" s="551" t="s">
        <v>300</v>
      </c>
      <c r="G200" s="551" t="s">
        <v>551</v>
      </c>
      <c r="H200" s="551" t="s">
        <v>1027</v>
      </c>
      <c r="I200" s="551" t="s">
        <v>1028</v>
      </c>
      <c r="J200" s="551" t="s">
        <v>1037</v>
      </c>
      <c r="K200" s="551">
        <v>217032</v>
      </c>
      <c r="L200" s="551" t="s">
        <v>1038</v>
      </c>
      <c r="M200" s="551" t="s">
        <v>1039</v>
      </c>
      <c r="N200" s="573">
        <v>97.561105999999995</v>
      </c>
      <c r="O200" s="573">
        <v>27.248964999999998</v>
      </c>
      <c r="P200" s="592">
        <v>398</v>
      </c>
      <c r="Q200" s="573">
        <v>10</v>
      </c>
      <c r="R200" s="592">
        <v>56</v>
      </c>
      <c r="S200" s="574">
        <f>IF(CampList[[#This Row],[HH]]&gt;0,CampList[[#This Row],[Total]]/CampList[[#This Row],[HH]],"NA")</f>
        <v>5.6</v>
      </c>
      <c r="T200" s="553" t="s">
        <v>510</v>
      </c>
      <c r="U200" s="553" t="s">
        <v>1180</v>
      </c>
      <c r="V200" s="553" t="s">
        <v>12</v>
      </c>
      <c r="W200" s="553" t="s">
        <v>855</v>
      </c>
      <c r="X200" s="795">
        <v>41487</v>
      </c>
      <c r="Y200" s="592"/>
      <c r="Z200" s="577"/>
      <c r="AA200" s="551" t="s">
        <v>841</v>
      </c>
      <c r="AB200" s="577"/>
      <c r="AC200" s="578">
        <v>42927</v>
      </c>
      <c r="AD200" s="579" t="s">
        <v>1718</v>
      </c>
      <c r="AE200" s="602" t="s">
        <v>1074</v>
      </c>
      <c r="AF200" s="402">
        <f>IF(CampList[[#This Row],[Type of Accomodation]]="camp",MAX(0,CampList[[#This Row],[HH]]-SUMIF(Table_Shelter[Pcode],CampList[[#This Row],[CP_Pcode]],Table_Shelter[HH Covered2])),0)</f>
        <v>0</v>
      </c>
      <c r="AG200" s="553"/>
      <c r="AH200" s="577">
        <f>MIN(CampList[[#This Row],[Shelter Gap]],CampList[[#This Row],[Land Status]])</f>
        <v>0</v>
      </c>
      <c r="AI200" s="553" t="str">
        <f ca="1">IFERROR(OFFSET(DistanceToCamp[Nearest Town],MATCH(CampList[[#This Row],[CP_Pcode]],DistanceToCamp[CP_Pcode],0)-1,0,1,1),"")</f>
        <v>Machanbaw Town</v>
      </c>
      <c r="AJ200" s="581">
        <f ca="1">IFERROR(OFFSET(DistanceToCamp[distance],MATCH(CampList[[#This Row],[CP_Pcode]],DistanceToCamp[CP_Pcode],0)-1,0,1,1),"")</f>
        <v>4.789460146835963</v>
      </c>
      <c r="AK200" s="582">
        <f ca="1">IFERROR(INT(CampList[[#This Row],[Distance]]/5)+1,"")</f>
        <v>1</v>
      </c>
      <c r="AM200" s="913"/>
      <c r="AN200" s="913"/>
    </row>
    <row r="201" spans="1:40" s="374" customFormat="1" ht="15.75" customHeight="1" x14ac:dyDescent="0.25">
      <c r="A201" s="589" t="s">
        <v>499</v>
      </c>
      <c r="B201" s="552" t="s">
        <v>380</v>
      </c>
      <c r="C201" s="552" t="s">
        <v>524</v>
      </c>
      <c r="D201" s="552" t="s">
        <v>5</v>
      </c>
      <c r="E201" s="552" t="s">
        <v>528</v>
      </c>
      <c r="F201" s="552" t="s">
        <v>151</v>
      </c>
      <c r="G201" s="552" t="s">
        <v>538</v>
      </c>
      <c r="H201" s="552" t="s">
        <v>659</v>
      </c>
      <c r="I201" s="590" t="s">
        <v>660</v>
      </c>
      <c r="J201" s="579" t="s">
        <v>659</v>
      </c>
      <c r="K201" s="597">
        <v>167405</v>
      </c>
      <c r="L201" s="552" t="s">
        <v>1057</v>
      </c>
      <c r="M201" s="552" t="s">
        <v>1058</v>
      </c>
      <c r="N201" s="573">
        <v>97.578367</v>
      </c>
      <c r="O201" s="573">
        <v>23.833477999999999</v>
      </c>
      <c r="P201" s="592">
        <v>925</v>
      </c>
      <c r="Q201" s="779">
        <v>145</v>
      </c>
      <c r="R201" s="779">
        <v>654</v>
      </c>
      <c r="S201" s="574">
        <f>IF(CampList[[#This Row],[HH]]&gt;0,CampList[[#This Row],[Total]]/CampList[[#This Row],[HH]],"NA")</f>
        <v>4.5103448275862066</v>
      </c>
      <c r="T201" s="402" t="s">
        <v>510</v>
      </c>
      <c r="U201" s="553" t="s">
        <v>1180</v>
      </c>
      <c r="V201" s="402" t="s">
        <v>553</v>
      </c>
      <c r="W201" s="402" t="s">
        <v>855</v>
      </c>
      <c r="X201" s="795">
        <v>41791</v>
      </c>
      <c r="Y201" s="592"/>
      <c r="Z201" s="592" t="s">
        <v>1084</v>
      </c>
      <c r="AA201" s="552" t="s">
        <v>841</v>
      </c>
      <c r="AB201" s="573"/>
      <c r="AC201" s="578">
        <v>42915</v>
      </c>
      <c r="AD201" s="594" t="s">
        <v>1580</v>
      </c>
      <c r="AE201" s="580" t="s">
        <v>1088</v>
      </c>
      <c r="AF201" s="595">
        <f>IF(CampList[[#This Row],[Type of Accomodation]]="camp",MAX(0,CampList[[#This Row],[HH]]-SUMIF(Table_Shelter[Pcode],CampList[[#This Row],[CP_Pcode]],Table_Shelter[HH Covered2])),0)</f>
        <v>145</v>
      </c>
      <c r="AG201" s="553"/>
      <c r="AH201" s="577">
        <f>MIN(CampList[[#This Row],[Shelter Gap]],CampList[[#This Row],[Land Status]])</f>
        <v>145</v>
      </c>
      <c r="AI201" s="595" t="str">
        <f ca="1">IFERROR(OFFSET(DistanceToCamp[Nearest Town],MATCH(CampList[[#This Row],[CP_Pcode]],DistanceToCamp[CP_Pcode],0)-1,0,1,1),"")</f>
        <v>Namhkan Town</v>
      </c>
      <c r="AJ201" s="581">
        <f ca="1">IFERROR(OFFSET(DistanceToCamp[distance],MATCH(CampList[[#This Row],[CP_Pcode]],DistanceToCamp[CP_Pcode],0)-1,0,1,1),"")</f>
        <v>10.527586947557506</v>
      </c>
      <c r="AK201" s="596">
        <f ca="1">IFERROR(INT(CampList[[#This Row],[Distance]]/5)+1,"")</f>
        <v>3</v>
      </c>
      <c r="AM201" s="913"/>
      <c r="AN201" s="913"/>
    </row>
    <row r="202" spans="1:40" s="374" customFormat="1" ht="15.75" customHeight="1" x14ac:dyDescent="0.25">
      <c r="A202" s="570" t="s">
        <v>499</v>
      </c>
      <c r="B202" s="551" t="s">
        <v>380</v>
      </c>
      <c r="C202" s="551" t="s">
        <v>524</v>
      </c>
      <c r="D202" s="551" t="s">
        <v>180</v>
      </c>
      <c r="E202" s="551" t="s">
        <v>525</v>
      </c>
      <c r="F202" s="551" t="s">
        <v>526</v>
      </c>
      <c r="G202" s="551" t="s">
        <v>527</v>
      </c>
      <c r="H202" s="579" t="s">
        <v>608</v>
      </c>
      <c r="I202" s="579" t="s">
        <v>609</v>
      </c>
      <c r="J202" s="579" t="s">
        <v>608</v>
      </c>
      <c r="K202" s="579">
        <v>166776</v>
      </c>
      <c r="L202" s="551" t="s">
        <v>1061</v>
      </c>
      <c r="M202" s="551" t="s">
        <v>1062</v>
      </c>
      <c r="N202" s="571">
        <v>96.312790000000007</v>
      </c>
      <c r="O202" s="571">
        <v>25.611160000000002</v>
      </c>
      <c r="P202" s="592"/>
      <c r="Q202" s="776">
        <v>103</v>
      </c>
      <c r="R202" s="776">
        <v>497</v>
      </c>
      <c r="S202" s="574">
        <f>IF(CampList[[#This Row],[HH]]&gt;0,CampList[[#This Row],[Total]]/CampList[[#This Row],[HH]],"NA")</f>
        <v>4.825242718446602</v>
      </c>
      <c r="T202" s="553" t="s">
        <v>510</v>
      </c>
      <c r="U202" s="553" t="s">
        <v>1180</v>
      </c>
      <c r="V202" s="553" t="s">
        <v>553</v>
      </c>
      <c r="W202" s="553" t="s">
        <v>802</v>
      </c>
      <c r="X202" s="795">
        <v>41122</v>
      </c>
      <c r="Y202" s="592"/>
      <c r="Z202" s="577" t="s">
        <v>459</v>
      </c>
      <c r="AA202" s="551" t="s">
        <v>841</v>
      </c>
      <c r="AB202" s="577"/>
      <c r="AC202" s="578">
        <v>42919</v>
      </c>
      <c r="AD202" s="579" t="s">
        <v>1676</v>
      </c>
      <c r="AE202" s="602" t="s">
        <v>1088</v>
      </c>
      <c r="AF202" s="402">
        <f>IF(CampList[[#This Row],[Type of Accomodation]]="camp",MAX(0,CampList[[#This Row],[HH]]-SUMIF(Table_Shelter[Pcode],CampList[[#This Row],[CP_Pcode]],Table_Shelter[HH Covered2])),0)</f>
        <v>103</v>
      </c>
      <c r="AG202" s="553"/>
      <c r="AH202" s="577">
        <f>MIN(CampList[[#This Row],[Shelter Gap]],CampList[[#This Row],[Land Status]])</f>
        <v>103</v>
      </c>
      <c r="AI202" s="553" t="str">
        <f ca="1">IFERROR(OFFSET(DistanceToCamp[Nearest Town],MATCH(CampList[[#This Row],[CP_Pcode]],DistanceToCamp[CP_Pcode],0)-1,0,1,1),"")</f>
        <v>Hpakant Town</v>
      </c>
      <c r="AJ202" s="581">
        <f ca="1">IFERROR(OFFSET(DistanceToCamp[distance],MATCH(CampList[[#This Row],[CP_Pcode]],DistanceToCamp[CP_Pcode],0)-1,0,1,1),"")</f>
        <v>0.19374952337076978</v>
      </c>
      <c r="AK202" s="596">
        <f ca="1">IFERROR(INT(CampList[[#This Row],[Distance]]/5)+1,"")</f>
        <v>1</v>
      </c>
      <c r="AM202" s="913"/>
      <c r="AN202" s="913"/>
    </row>
    <row r="203" spans="1:40" s="374" customFormat="1" ht="15.75" customHeight="1" x14ac:dyDescent="0.25">
      <c r="A203" s="570" t="s">
        <v>499</v>
      </c>
      <c r="B203" s="551" t="s">
        <v>380</v>
      </c>
      <c r="C203" s="551" t="s">
        <v>524</v>
      </c>
      <c r="D203" s="551" t="s">
        <v>5</v>
      </c>
      <c r="E203" s="551" t="s">
        <v>528</v>
      </c>
      <c r="F203" s="551" t="s">
        <v>151</v>
      </c>
      <c r="G203" s="551" t="s">
        <v>538</v>
      </c>
      <c r="H203" s="551" t="s">
        <v>659</v>
      </c>
      <c r="I203" s="551" t="s">
        <v>660</v>
      </c>
      <c r="J203" s="551" t="s">
        <v>659</v>
      </c>
      <c r="K203" s="551">
        <v>167405</v>
      </c>
      <c r="L203" s="551" t="s">
        <v>1090</v>
      </c>
      <c r="M203" s="551" t="s">
        <v>1091</v>
      </c>
      <c r="N203" s="573">
        <v>97.590767</v>
      </c>
      <c r="O203" s="573">
        <v>23.829599000000002</v>
      </c>
      <c r="P203" s="592"/>
      <c r="Q203" s="776">
        <v>117</v>
      </c>
      <c r="R203" s="776">
        <v>545</v>
      </c>
      <c r="S203" s="574">
        <f>IF(CampList[[#This Row],[HH]]&gt;0,CampList[[#This Row],[Total]]/CampList[[#This Row],[HH]],"NA")</f>
        <v>4.6581196581196584</v>
      </c>
      <c r="T203" s="553" t="s">
        <v>510</v>
      </c>
      <c r="U203" s="553" t="s">
        <v>1180</v>
      </c>
      <c r="V203" s="553" t="s">
        <v>553</v>
      </c>
      <c r="W203" s="553" t="s">
        <v>855</v>
      </c>
      <c r="X203" s="795">
        <v>41730</v>
      </c>
      <c r="Y203" s="592"/>
      <c r="Z203" s="577" t="s">
        <v>459</v>
      </c>
      <c r="AA203" s="551" t="s">
        <v>841</v>
      </c>
      <c r="AB203" s="577"/>
      <c r="AC203" s="578">
        <v>42919</v>
      </c>
      <c r="AD203" s="579" t="s">
        <v>1677</v>
      </c>
      <c r="AE203" s="602" t="s">
        <v>1006</v>
      </c>
      <c r="AF203" s="402">
        <f>IF(CampList[[#This Row],[Type of Accomodation]]="camp",MAX(0,CampList[[#This Row],[HH]]-SUMIF(Table_Shelter[Pcode],CampList[[#This Row],[CP_Pcode]],Table_Shelter[HH Covered2])),0)</f>
        <v>117</v>
      </c>
      <c r="AG203" s="553"/>
      <c r="AH203" s="577">
        <f>MIN(CampList[[#This Row],[Shelter Gap]],CampList[[#This Row],[Land Status]])</f>
        <v>117</v>
      </c>
      <c r="AI203" s="553" t="str">
        <f ca="1">IFERROR(OFFSET(DistanceToCamp[Nearest Town],MATCH(CampList[[#This Row],[CP_Pcode]],DistanceToCamp[CP_Pcode],0)-1,0,1,1),"")</f>
        <v>Namhkan Town</v>
      </c>
      <c r="AJ203" s="581">
        <f ca="1">IFERROR(OFFSET(DistanceToCamp[distance],MATCH(CampList[[#This Row],[CP_Pcode]],DistanceToCamp[CP_Pcode],0)-1,0,1,1),"")</f>
        <v>9.2957189123335944</v>
      </c>
      <c r="AK203" s="596">
        <f ca="1">IFERROR(INT(CampList[[#This Row],[Distance]]/5)+1,"")</f>
        <v>2</v>
      </c>
      <c r="AM203" s="913"/>
      <c r="AN203" s="913"/>
    </row>
    <row r="204" spans="1:40" s="793" customFormat="1" ht="15.75" hidden="1" customHeight="1" x14ac:dyDescent="0.25">
      <c r="A204" s="820" t="s">
        <v>842</v>
      </c>
      <c r="B204" s="797" t="s">
        <v>380</v>
      </c>
      <c r="C204" s="797" t="s">
        <v>524</v>
      </c>
      <c r="D204" s="797" t="s">
        <v>180</v>
      </c>
      <c r="E204" s="797" t="s">
        <v>525</v>
      </c>
      <c r="F204" s="797" t="s">
        <v>526</v>
      </c>
      <c r="G204" s="797" t="s">
        <v>527</v>
      </c>
      <c r="H204" s="797" t="s">
        <v>611</v>
      </c>
      <c r="I204" s="797" t="s">
        <v>612</v>
      </c>
      <c r="J204" s="797" t="s">
        <v>759</v>
      </c>
      <c r="K204" s="797">
        <v>216877</v>
      </c>
      <c r="L204" s="797" t="s">
        <v>1115</v>
      </c>
      <c r="M204" s="797" t="s">
        <v>1116</v>
      </c>
      <c r="N204" s="836">
        <v>96.637</v>
      </c>
      <c r="O204" s="836">
        <v>25.806999999999999</v>
      </c>
      <c r="P204" s="837"/>
      <c r="Q204" s="824"/>
      <c r="R204" s="824"/>
      <c r="S204" s="825" t="str">
        <f>IF(CampList[[#This Row],[HH]]&gt;0,CampList[[#This Row],[Total]]/CampList[[#This Row],[HH]],"NA")</f>
        <v>NA</v>
      </c>
      <c r="T204" s="826" t="s">
        <v>510</v>
      </c>
      <c r="U204" s="826" t="s">
        <v>1180</v>
      </c>
      <c r="V204" s="826" t="s">
        <v>553</v>
      </c>
      <c r="W204" s="826" t="s">
        <v>855</v>
      </c>
      <c r="X204" s="827">
        <v>42019</v>
      </c>
      <c r="Y204" s="837"/>
      <c r="Z204" s="831" t="s">
        <v>459</v>
      </c>
      <c r="AA204" s="797" t="s">
        <v>841</v>
      </c>
      <c r="AB204" s="831"/>
      <c r="AC204" s="832">
        <v>42919</v>
      </c>
      <c r="AD204" s="821" t="s">
        <v>1703</v>
      </c>
      <c r="AE204" s="833"/>
      <c r="AF204" s="806">
        <f>IF(CampList[[#This Row],[Type of Accomodation]]="camp",MAX(0,CampList[[#This Row],[HH]]-SUMIF(Table_Shelter[Pcode],CampList[[#This Row],[CP_Pcode]],Table_Shelter[HH Covered2])),0)</f>
        <v>0</v>
      </c>
      <c r="AG204" s="826"/>
      <c r="AH204" s="831">
        <f>MIN(CampList[[#This Row],[Shelter Gap]],CampList[[#This Row],[Land Status]])</f>
        <v>0</v>
      </c>
      <c r="AI204" s="826" t="str">
        <f ca="1">IFERROR(OFFSET(DistanceToCamp[Nearest Town],MATCH(CampList[[#This Row],[CP_Pcode]],DistanceToCamp[CP_Pcode],0)-1,0,1,1),"")</f>
        <v>Hpakant Town</v>
      </c>
      <c r="AJ204" s="834">
        <f ca="1">IFERROR(OFFSET(DistanceToCamp[distance],MATCH(CampList[[#This Row],[CP_Pcode]],DistanceToCamp[CP_Pcode],0)-1,0,1,1),"")</f>
        <v>10</v>
      </c>
      <c r="AK204" s="838">
        <f ca="1">IFERROR(INT(CampList[[#This Row],[Distance]]/5)+1,"")</f>
        <v>3</v>
      </c>
      <c r="AM204" s="918"/>
      <c r="AN204" s="918"/>
    </row>
    <row r="205" spans="1:40" s="374" customFormat="1" ht="15.75" customHeight="1" x14ac:dyDescent="0.25">
      <c r="A205" s="570" t="s">
        <v>499</v>
      </c>
      <c r="B205" s="551" t="s">
        <v>380</v>
      </c>
      <c r="C205" s="551" t="s">
        <v>524</v>
      </c>
      <c r="D205" s="551" t="s">
        <v>180</v>
      </c>
      <c r="E205" s="551" t="s">
        <v>525</v>
      </c>
      <c r="F205" s="551" t="s">
        <v>180</v>
      </c>
      <c r="G205" s="551" t="s">
        <v>550</v>
      </c>
      <c r="H205" s="551" t="s">
        <v>1192</v>
      </c>
      <c r="I205" s="551" t="s">
        <v>1366</v>
      </c>
      <c r="J205" s="551" t="s">
        <v>1367</v>
      </c>
      <c r="K205" s="551" t="s">
        <v>1368</v>
      </c>
      <c r="L205" s="551" t="s">
        <v>1150</v>
      </c>
      <c r="M205" s="551" t="s">
        <v>1152</v>
      </c>
      <c r="N205" s="573">
        <v>96.52534</v>
      </c>
      <c r="O205" s="573">
        <v>24.996279999999999</v>
      </c>
      <c r="P205" s="592"/>
      <c r="Q205" s="573">
        <v>26</v>
      </c>
      <c r="R205" s="592">
        <v>119</v>
      </c>
      <c r="S205" s="574">
        <f>IF(CampList[[#This Row],[HH]]&gt;0,CampList[[#This Row],[Total]]/CampList[[#This Row],[HH]],"NA")</f>
        <v>4.5769230769230766</v>
      </c>
      <c r="T205" s="553" t="s">
        <v>510</v>
      </c>
      <c r="U205" s="553" t="s">
        <v>1180</v>
      </c>
      <c r="V205" s="605" t="s">
        <v>12</v>
      </c>
      <c r="W205" s="553" t="s">
        <v>802</v>
      </c>
      <c r="X205" s="795">
        <v>41275</v>
      </c>
      <c r="Y205" s="592"/>
      <c r="Z205" s="577"/>
      <c r="AA205" s="551" t="s">
        <v>841</v>
      </c>
      <c r="AB205" s="577"/>
      <c r="AC205" s="578">
        <v>42849</v>
      </c>
      <c r="AD205" s="579" t="s">
        <v>1525</v>
      </c>
      <c r="AE205" s="580"/>
      <c r="AF205" s="402">
        <f>IF(CampList[[#This Row],[Type of Accomodation]]="camp",MAX(0,CampList[[#This Row],[HH]]-SUMIF(Table_Shelter[Pcode],CampList[[#This Row],[CP_Pcode]],Table_Shelter[HH Covered2])),0)</f>
        <v>0</v>
      </c>
      <c r="AG205" s="553"/>
      <c r="AH205" s="577">
        <f>MIN(CampList[[#This Row],[Shelter Gap]],CampList[[#This Row],[Land Status]])</f>
        <v>0</v>
      </c>
      <c r="AI205" s="553" t="str">
        <f ca="1">IFERROR(OFFSET(DistanceToCamp[Nearest Town],MATCH(CampList[[#This Row],[CP_Pcode]],DistanceToCamp[CP_Pcode],0)-1,0,1,1),"")</f>
        <v>Hopin Town</v>
      </c>
      <c r="AJ205" s="581">
        <f ca="1">IFERROR(OFFSET(DistanceToCamp[distance],MATCH(CampList[[#This Row],[CP_Pcode]],DistanceToCamp[CP_Pcode],0)-1,0,1,1),"")</f>
        <v>0</v>
      </c>
      <c r="AK205" s="582">
        <f ca="1">IFERROR(INT(CampList[[#This Row],[Distance]]/5)+1,"")</f>
        <v>1</v>
      </c>
      <c r="AM205" s="913"/>
      <c r="AN205" s="913"/>
    </row>
    <row r="206" spans="1:40" s="374" customFormat="1" ht="15.75" customHeight="1" x14ac:dyDescent="0.25">
      <c r="A206" s="570" t="s">
        <v>499</v>
      </c>
      <c r="B206" s="551" t="s">
        <v>380</v>
      </c>
      <c r="C206" s="551" t="s">
        <v>524</v>
      </c>
      <c r="D206" s="551" t="s">
        <v>180</v>
      </c>
      <c r="E206" s="551" t="s">
        <v>525</v>
      </c>
      <c r="F206" s="551" t="s">
        <v>180</v>
      </c>
      <c r="G206" s="551" t="s">
        <v>550</v>
      </c>
      <c r="H206" s="551" t="s">
        <v>1124</v>
      </c>
      <c r="I206" s="551" t="s">
        <v>1240</v>
      </c>
      <c r="J206" s="551"/>
      <c r="K206" s="551"/>
      <c r="L206" s="551" t="s">
        <v>1151</v>
      </c>
      <c r="M206" s="551" t="s">
        <v>1153</v>
      </c>
      <c r="N206" s="573">
        <v>96.366919999999993</v>
      </c>
      <c r="O206" s="573">
        <v>24.764959999999999</v>
      </c>
      <c r="P206" s="592"/>
      <c r="Q206" s="573">
        <v>14</v>
      </c>
      <c r="R206" s="592">
        <v>57</v>
      </c>
      <c r="S206" s="574">
        <f>IF(CampList[[#This Row],[HH]]&gt;0,CampList[[#This Row],[Total]]/CampList[[#This Row],[HH]],"NA")</f>
        <v>4.0714285714285712</v>
      </c>
      <c r="T206" s="553" t="s">
        <v>510</v>
      </c>
      <c r="U206" s="553" t="s">
        <v>1180</v>
      </c>
      <c r="V206" s="605" t="s">
        <v>12</v>
      </c>
      <c r="W206" s="553" t="s">
        <v>802</v>
      </c>
      <c r="X206" s="795">
        <v>41275</v>
      </c>
      <c r="Y206" s="592"/>
      <c r="Z206" s="577"/>
      <c r="AA206" s="551" t="s">
        <v>841</v>
      </c>
      <c r="AB206" s="577"/>
      <c r="AC206" s="578">
        <v>42849</v>
      </c>
      <c r="AD206" s="579" t="s">
        <v>1526</v>
      </c>
      <c r="AE206" s="580"/>
      <c r="AF206" s="402">
        <f>IF(CampList[[#This Row],[Type of Accomodation]]="camp",MAX(0,CampList[[#This Row],[HH]]-SUMIF(Table_Shelter[Pcode],CampList[[#This Row],[CP_Pcode]],Table_Shelter[HH Covered2])),0)</f>
        <v>0</v>
      </c>
      <c r="AG206" s="553"/>
      <c r="AH206" s="577">
        <f>MIN(CampList[[#This Row],[Shelter Gap]],CampList[[#This Row],[Land Status]])</f>
        <v>0</v>
      </c>
      <c r="AI206" s="553" t="str">
        <f ca="1">IFERROR(OFFSET(DistanceToCamp[Nearest Town],MATCH(CampList[[#This Row],[CP_Pcode]],DistanceToCamp[CP_Pcode],0)-1,0,1,1),"")</f>
        <v>Mohnyin Town</v>
      </c>
      <c r="AJ206" s="581">
        <f ca="1">IFERROR(OFFSET(DistanceToCamp[distance],MATCH(CampList[[#This Row],[CP_Pcode]],DistanceToCamp[CP_Pcode],0)-1,0,1,1),"")</f>
        <v>0</v>
      </c>
      <c r="AK206" s="582">
        <f ca="1">IFERROR(INT(CampList[[#This Row],[Distance]]/5)+1,"")</f>
        <v>1</v>
      </c>
      <c r="AM206" s="913"/>
      <c r="AN206" s="913"/>
    </row>
    <row r="207" spans="1:40" s="374" customFormat="1" ht="15.75" customHeight="1" x14ac:dyDescent="0.25">
      <c r="A207" s="570" t="s">
        <v>499</v>
      </c>
      <c r="B207" s="551" t="s">
        <v>380</v>
      </c>
      <c r="C207" s="551" t="s">
        <v>524</v>
      </c>
      <c r="D207" s="551" t="s">
        <v>300</v>
      </c>
      <c r="E207" s="551" t="s">
        <v>545</v>
      </c>
      <c r="F207" s="551" t="s">
        <v>300</v>
      </c>
      <c r="G207" s="551" t="s">
        <v>551</v>
      </c>
      <c r="H207" s="552" t="s">
        <v>799</v>
      </c>
      <c r="I207" s="590" t="s">
        <v>800</v>
      </c>
      <c r="J207" s="552" t="s">
        <v>1254</v>
      </c>
      <c r="K207" s="579" t="s">
        <v>1255</v>
      </c>
      <c r="L207" s="552" t="s">
        <v>1248</v>
      </c>
      <c r="M207" s="551" t="s">
        <v>1247</v>
      </c>
      <c r="N207" s="613">
        <v>97.416121000000004</v>
      </c>
      <c r="O207" s="613">
        <v>27.337499999999999</v>
      </c>
      <c r="P207" s="592"/>
      <c r="Q207" s="776">
        <v>61</v>
      </c>
      <c r="R207" s="776">
        <v>276</v>
      </c>
      <c r="S207" s="574">
        <f>IF(CampList[[#This Row],[HH]]&gt;0,CampList[[#This Row],[Total]]/CampList[[#This Row],[HH]],"NA")</f>
        <v>4.5245901639344259</v>
      </c>
      <c r="T207" s="553" t="s">
        <v>510</v>
      </c>
      <c r="U207" s="553" t="s">
        <v>1180</v>
      </c>
      <c r="V207" s="553" t="s">
        <v>553</v>
      </c>
      <c r="W207" s="402" t="s">
        <v>802</v>
      </c>
      <c r="X207" s="795">
        <v>42180</v>
      </c>
      <c r="Y207" s="592"/>
      <c r="Z207" s="592" t="s">
        <v>459</v>
      </c>
      <c r="AA207" s="551" t="s">
        <v>841</v>
      </c>
      <c r="AB207" s="573"/>
      <c r="AC207" s="578">
        <v>42919</v>
      </c>
      <c r="AD207" s="594" t="s">
        <v>1678</v>
      </c>
      <c r="AE207" s="580"/>
      <c r="AF207" s="595">
        <f>IF(CampList[[#This Row],[Type of Accomodation]]="camp",MAX(0,CampList[[#This Row],[HH]]-SUMIF(Table_Shelter[Pcode],CampList[[#This Row],[CP_Pcode]],Table_Shelter[HH Covered2])),0)</f>
        <v>1</v>
      </c>
      <c r="AG207" s="402"/>
      <c r="AH207" s="572">
        <f>MIN(CampList[[#This Row],[Shelter Gap]],CampList[[#This Row],[Land Status]])</f>
        <v>1</v>
      </c>
      <c r="AI207" s="553" t="str">
        <f ca="1">IFERROR(OFFSET(DistanceToCamp[Nearest Town],MATCH(CampList[[#This Row],[CP_Pcode]],DistanceToCamp[CP_Pcode],0)-1,0,1,1),"")</f>
        <v>Puta-O Town</v>
      </c>
      <c r="AJ207" s="581">
        <f ca="1">IFERROR(OFFSET(DistanceToCamp[distance],MATCH(CampList[[#This Row],[CP_Pcode]],DistanceToCamp[CP_Pcode],0)-1,0,1,1),"")</f>
        <v>0</v>
      </c>
      <c r="AK207" s="582">
        <f ca="1">IFERROR(INT(CampList[[#This Row],[Distance]]/5)+1,"")</f>
        <v>1</v>
      </c>
      <c r="AM207" s="913"/>
      <c r="AN207" s="913"/>
    </row>
    <row r="208" spans="1:40" s="374" customFormat="1" ht="15.75" hidden="1" customHeight="1" x14ac:dyDescent="0.25">
      <c r="A208" s="570" t="s">
        <v>842</v>
      </c>
      <c r="B208" s="551" t="s">
        <v>380</v>
      </c>
      <c r="C208" s="551" t="s">
        <v>524</v>
      </c>
      <c r="D208" s="551" t="s">
        <v>180</v>
      </c>
      <c r="E208" s="551" t="s">
        <v>525</v>
      </c>
      <c r="F208" s="551" t="s">
        <v>173</v>
      </c>
      <c r="G208" s="551" t="s">
        <v>544</v>
      </c>
      <c r="H208" s="551" t="s">
        <v>1260</v>
      </c>
      <c r="I208" s="551" t="s">
        <v>1261</v>
      </c>
      <c r="J208" s="551" t="s">
        <v>1260</v>
      </c>
      <c r="K208" s="599">
        <v>166724</v>
      </c>
      <c r="L208" s="551" t="s">
        <v>1265</v>
      </c>
      <c r="M208" s="551" t="s">
        <v>1257</v>
      </c>
      <c r="N208" s="571">
        <v>96.793999999999997</v>
      </c>
      <c r="O208" s="571">
        <v>25.225000000000001</v>
      </c>
      <c r="P208" s="592"/>
      <c r="Q208" s="573"/>
      <c r="R208" s="592"/>
      <c r="S208" s="574" t="str">
        <f>IF(CampList[[#This Row],[HH]]&gt;0,CampList[[#This Row],[Total]]/CampList[[#This Row],[HH]],"NA")</f>
        <v>NA</v>
      </c>
      <c r="T208" s="553" t="s">
        <v>510</v>
      </c>
      <c r="U208" s="553" t="s">
        <v>1180</v>
      </c>
      <c r="V208" s="553" t="s">
        <v>12</v>
      </c>
      <c r="W208" s="553" t="s">
        <v>855</v>
      </c>
      <c r="X208" s="795">
        <v>42125</v>
      </c>
      <c r="Y208" s="592"/>
      <c r="Z208" s="577"/>
      <c r="AA208" s="598" t="s">
        <v>840</v>
      </c>
      <c r="AB208" s="577"/>
      <c r="AC208" s="578">
        <v>42927</v>
      </c>
      <c r="AD208" s="579" t="s">
        <v>1726</v>
      </c>
      <c r="AE208" s="602"/>
      <c r="AF208" s="402">
        <f>IF(CampList[[#This Row],[Type of Accomodation]]="camp",MAX(0,CampList[[#This Row],[HH]]-SUMIF(Table_Shelter[Pcode],CampList[[#This Row],[CP_Pcode]],Table_Shelter[HH Covered2])),0)</f>
        <v>0</v>
      </c>
      <c r="AG208" s="553"/>
      <c r="AH208" s="577">
        <f>MIN(CampList[[#This Row],[Shelter Gap]],CampList[[#This Row],[Land Status]])</f>
        <v>0</v>
      </c>
      <c r="AI208" s="553" t="str">
        <f ca="1">IFERROR(OFFSET(DistanceToCamp[Nearest Town],MATCH(CampList[[#This Row],[CP_Pcode]],DistanceToCamp[CP_Pcode],0)-1,0,1,1),"")</f>
        <v>Mogaung Town</v>
      </c>
      <c r="AJ208" s="581">
        <f ca="1">IFERROR(OFFSET(DistanceToCamp[distance],MATCH(CampList[[#This Row],[CP_Pcode]],DistanceToCamp[CP_Pcode],0)-1,0,1,1),"")</f>
        <v>5</v>
      </c>
      <c r="AK208" s="582">
        <f ca="1">IFERROR(INT(CampList[[#This Row],[Distance]]/5)+1,"")</f>
        <v>2</v>
      </c>
      <c r="AM208" s="913">
        <v>24</v>
      </c>
      <c r="AN208" s="913">
        <v>83</v>
      </c>
    </row>
    <row r="209" spans="1:40" s="374" customFormat="1" ht="15.75" customHeight="1" x14ac:dyDescent="0.25">
      <c r="A209" s="570" t="s">
        <v>499</v>
      </c>
      <c r="B209" s="551" t="s">
        <v>380</v>
      </c>
      <c r="C209" s="551" t="s">
        <v>524</v>
      </c>
      <c r="D209" s="551" t="s">
        <v>180</v>
      </c>
      <c r="E209" s="551" t="s">
        <v>525</v>
      </c>
      <c r="F209" s="551" t="s">
        <v>173</v>
      </c>
      <c r="G209" s="551" t="s">
        <v>544</v>
      </c>
      <c r="H209" s="551" t="s">
        <v>1260</v>
      </c>
      <c r="I209" s="551" t="s">
        <v>1261</v>
      </c>
      <c r="J209" s="551" t="s">
        <v>1260</v>
      </c>
      <c r="K209" s="551">
        <v>166724</v>
      </c>
      <c r="L209" s="551" t="s">
        <v>1264</v>
      </c>
      <c r="M209" s="551" t="s">
        <v>1258</v>
      </c>
      <c r="N209" s="571">
        <v>96.793999999999997</v>
      </c>
      <c r="O209" s="571">
        <v>25.225000000000001</v>
      </c>
      <c r="P209" s="592"/>
      <c r="Q209" s="776">
        <v>28</v>
      </c>
      <c r="R209" s="776">
        <v>134</v>
      </c>
      <c r="S209" s="574">
        <f>IF(CampList[[#This Row],[HH]]&gt;0,CampList[[#This Row],[Total]]/CampList[[#This Row],[HH]],"NA")</f>
        <v>4.7857142857142856</v>
      </c>
      <c r="T209" s="553" t="s">
        <v>510</v>
      </c>
      <c r="U209" s="553" t="s">
        <v>1180</v>
      </c>
      <c r="V209" s="553" t="s">
        <v>553</v>
      </c>
      <c r="W209" s="553" t="s">
        <v>855</v>
      </c>
      <c r="X209" s="795">
        <v>42125</v>
      </c>
      <c r="Y209" s="592"/>
      <c r="Z209" s="577" t="s">
        <v>459</v>
      </c>
      <c r="AA209" s="552" t="s">
        <v>841</v>
      </c>
      <c r="AB209" s="577"/>
      <c r="AC209" s="578">
        <v>42919</v>
      </c>
      <c r="AD209" s="579" t="s">
        <v>1679</v>
      </c>
      <c r="AE209" s="602"/>
      <c r="AF209" s="402">
        <f>IF(CampList[[#This Row],[Type of Accomodation]]="camp",MAX(0,CampList[[#This Row],[HH]]-SUMIF(Table_Shelter[Pcode],CampList[[#This Row],[CP_Pcode]],Table_Shelter[HH Covered2])),0)</f>
        <v>0</v>
      </c>
      <c r="AG209" s="553"/>
      <c r="AH209" s="577">
        <f>MIN(CampList[[#This Row],[Shelter Gap]],CampList[[#This Row],[Land Status]])</f>
        <v>0</v>
      </c>
      <c r="AI209" s="553" t="str">
        <f ca="1">IFERROR(OFFSET(DistanceToCamp[Nearest Town],MATCH(CampList[[#This Row],[CP_Pcode]],DistanceToCamp[CP_Pcode],0)-1,0,1,1),"")</f>
        <v>Mogaung Town</v>
      </c>
      <c r="AJ209" s="581">
        <f ca="1">IFERROR(OFFSET(DistanceToCamp[distance],MATCH(CampList[[#This Row],[CP_Pcode]],DistanceToCamp[CP_Pcode],0)-1,0,1,1),"")</f>
        <v>5</v>
      </c>
      <c r="AK209" s="582">
        <f ca="1">IFERROR(INT(CampList[[#This Row],[Distance]]/5)+1,"")</f>
        <v>2</v>
      </c>
      <c r="AM209" s="913"/>
      <c r="AN209" s="913"/>
    </row>
    <row r="210" spans="1:40" s="374" customFormat="1" ht="15.75" customHeight="1" x14ac:dyDescent="0.25">
      <c r="A210" s="589" t="s">
        <v>499</v>
      </c>
      <c r="B210" s="552" t="s">
        <v>380</v>
      </c>
      <c r="C210" s="551" t="s">
        <v>524</v>
      </c>
      <c r="D210" s="551" t="s">
        <v>180</v>
      </c>
      <c r="E210" s="551" t="s">
        <v>525</v>
      </c>
      <c r="F210" s="552" t="s">
        <v>173</v>
      </c>
      <c r="G210" s="552" t="s">
        <v>544</v>
      </c>
      <c r="H210" s="552" t="s">
        <v>631</v>
      </c>
      <c r="I210" s="590" t="s">
        <v>632</v>
      </c>
      <c r="J210" s="552" t="s">
        <v>633</v>
      </c>
      <c r="K210" s="552">
        <v>166676</v>
      </c>
      <c r="L210" s="552" t="s">
        <v>1256</v>
      </c>
      <c r="M210" s="552" t="s">
        <v>1259</v>
      </c>
      <c r="N210" s="573">
        <v>96.942279999999997</v>
      </c>
      <c r="O210" s="573">
        <v>25.299679999999999</v>
      </c>
      <c r="P210" s="592"/>
      <c r="Q210" s="573">
        <v>7</v>
      </c>
      <c r="R210" s="592">
        <v>31</v>
      </c>
      <c r="S210" s="574">
        <f>IF(CampList[[#This Row],[HH]]&gt;0,CampList[[#This Row],[Total]]/CampList[[#This Row],[HH]],"NA")</f>
        <v>4.4285714285714288</v>
      </c>
      <c r="T210" s="402" t="s">
        <v>510</v>
      </c>
      <c r="U210" s="553" t="s">
        <v>1180</v>
      </c>
      <c r="V210" s="402" t="s">
        <v>553</v>
      </c>
      <c r="W210" s="402" t="s">
        <v>802</v>
      </c>
      <c r="X210" s="795">
        <v>42125</v>
      </c>
      <c r="Y210" s="592"/>
      <c r="Z210" s="592"/>
      <c r="AA210" s="552" t="s">
        <v>841</v>
      </c>
      <c r="AB210" s="573"/>
      <c r="AC210" s="578">
        <v>42915</v>
      </c>
      <c r="AD210" s="594" t="s">
        <v>1599</v>
      </c>
      <c r="AE210" s="580"/>
      <c r="AF210" s="595">
        <f>IF(CampList[[#This Row],[Type of Accomodation]]="camp",MAX(0,CampList[[#This Row],[HH]]-SUMIF(Table_Shelter[Pcode],CampList[[#This Row],[CP_Pcode]],Table_Shelter[HH Covered2])),0)</f>
        <v>7</v>
      </c>
      <c r="AG210" s="402"/>
      <c r="AH210" s="572">
        <f>MIN(CampList[[#This Row],[Shelter Gap]],CampList[[#This Row],[Land Status]])</f>
        <v>7</v>
      </c>
      <c r="AI210" s="553" t="str">
        <f ca="1">IFERROR(OFFSET(DistanceToCamp[Nearest Town],MATCH(CampList[[#This Row],[CP_Pcode]],DistanceToCamp[CP_Pcode],0)-1,0,1,1),"")</f>
        <v>Mogaung Town</v>
      </c>
      <c r="AJ210" s="581">
        <f ca="1">IFERROR(OFFSET(DistanceToCamp[distance],MATCH(CampList[[#This Row],[CP_Pcode]],DistanceToCamp[CP_Pcode],0)-1,0,1,1),"")</f>
        <v>0.75</v>
      </c>
      <c r="AK210" s="582">
        <f ca="1">IFERROR(INT(CampList[[#This Row],[Distance]]/5)+1,"")</f>
        <v>1</v>
      </c>
      <c r="AM210" s="913"/>
      <c r="AN210" s="913"/>
    </row>
    <row r="211" spans="1:40" s="374" customFormat="1" ht="15.75" customHeight="1" x14ac:dyDescent="0.25">
      <c r="A211" s="589" t="s">
        <v>499</v>
      </c>
      <c r="B211" s="552" t="s">
        <v>380</v>
      </c>
      <c r="C211" s="551" t="s">
        <v>524</v>
      </c>
      <c r="D211" s="551" t="s">
        <v>300</v>
      </c>
      <c r="E211" s="551" t="s">
        <v>545</v>
      </c>
      <c r="F211" s="551" t="s">
        <v>807</v>
      </c>
      <c r="G211" s="551" t="s">
        <v>808</v>
      </c>
      <c r="H211" s="552"/>
      <c r="I211" s="590"/>
      <c r="J211" s="552"/>
      <c r="K211" s="552"/>
      <c r="L211" s="551" t="s">
        <v>1285</v>
      </c>
      <c r="M211" s="552" t="s">
        <v>1286</v>
      </c>
      <c r="N211" s="613">
        <v>97.745480999999998</v>
      </c>
      <c r="O211" s="613">
        <v>26.569633</v>
      </c>
      <c r="P211" s="592"/>
      <c r="Q211" s="776">
        <v>73</v>
      </c>
      <c r="R211" s="776">
        <v>407</v>
      </c>
      <c r="S211" s="574">
        <f>IF(CampList[[#This Row],[HH]]&gt;0,CampList[[#This Row],[Total]]/CampList[[#This Row],[HH]],"NA")</f>
        <v>5.5753424657534243</v>
      </c>
      <c r="T211" s="402" t="s">
        <v>512</v>
      </c>
      <c r="U211" s="553" t="s">
        <v>1180</v>
      </c>
      <c r="V211" s="402" t="s">
        <v>553</v>
      </c>
      <c r="W211" s="402" t="s">
        <v>855</v>
      </c>
      <c r="X211" s="795">
        <v>42036</v>
      </c>
      <c r="Y211" s="592"/>
      <c r="Z211" s="592" t="s">
        <v>459</v>
      </c>
      <c r="AA211" s="552" t="s">
        <v>841</v>
      </c>
      <c r="AB211" s="573"/>
      <c r="AC211" s="578">
        <v>42919</v>
      </c>
      <c r="AD211" s="614" t="s">
        <v>1680</v>
      </c>
      <c r="AE211" s="580"/>
      <c r="AF211" s="595">
        <f>IF(CampList[[#This Row],[Type of Accomodation]]="camp",MAX(0,CampList[[#This Row],[HH]]-SUMIF(Table_Shelter[Pcode],CampList[[#This Row],[CP_Pcode]],Table_Shelter[HH Covered2])),0)</f>
        <v>73</v>
      </c>
      <c r="AG211" s="402"/>
      <c r="AH211" s="572">
        <f>MIN(CampList[[#This Row],[Shelter Gap]],CampList[[#This Row],[Land Status]])</f>
        <v>73</v>
      </c>
      <c r="AI211" s="553" t="str">
        <f ca="1">IFERROR(OFFSET(DistanceToCamp[Nearest Town],MATCH(CampList[[#This Row],[CP_Pcode]],DistanceToCamp[CP_Pcode],0)-1,0,1,1),"")</f>
        <v>Sumprabum Town</v>
      </c>
      <c r="AJ211" s="581">
        <f ca="1">IFERROR(OFFSET(DistanceToCamp[distance],MATCH(CampList[[#This Row],[CP_Pcode]],DistanceToCamp[CP_Pcode],0)-1,0,1,1),"")</f>
        <v>0</v>
      </c>
      <c r="AK211" s="582">
        <f ca="1">IFERROR(INT(CampList[[#This Row],[Distance]]/5)+1,"")</f>
        <v>1</v>
      </c>
      <c r="AM211" s="913"/>
      <c r="AN211" s="913"/>
    </row>
    <row r="212" spans="1:40" s="374" customFormat="1" ht="15.75" customHeight="1" x14ac:dyDescent="0.25">
      <c r="A212" s="589" t="s">
        <v>499</v>
      </c>
      <c r="B212" s="552" t="s">
        <v>380</v>
      </c>
      <c r="C212" s="551" t="s">
        <v>524</v>
      </c>
      <c r="D212" s="551" t="s">
        <v>300</v>
      </c>
      <c r="E212" s="551" t="s">
        <v>545</v>
      </c>
      <c r="F212" s="551" t="s">
        <v>807</v>
      </c>
      <c r="G212" s="551" t="s">
        <v>808</v>
      </c>
      <c r="H212" s="552"/>
      <c r="I212" s="590"/>
      <c r="J212" s="552"/>
      <c r="K212" s="552"/>
      <c r="L212" s="552" t="s">
        <v>1287</v>
      </c>
      <c r="M212" s="552" t="s">
        <v>1288</v>
      </c>
      <c r="N212" s="613">
        <v>97.75609</v>
      </c>
      <c r="O212" s="613">
        <v>26.548506</v>
      </c>
      <c r="P212" s="592"/>
      <c r="Q212" s="776">
        <v>63</v>
      </c>
      <c r="R212" s="776">
        <v>320</v>
      </c>
      <c r="S212" s="574">
        <f>IF(CampList[[#This Row],[HH]]&gt;0,CampList[[#This Row],[Total]]/CampList[[#This Row],[HH]],"NA")</f>
        <v>5.0793650793650791</v>
      </c>
      <c r="T212" s="402" t="s">
        <v>512</v>
      </c>
      <c r="U212" s="553" t="s">
        <v>1180</v>
      </c>
      <c r="V212" s="402" t="s">
        <v>553</v>
      </c>
      <c r="W212" s="402" t="s">
        <v>855</v>
      </c>
      <c r="X212" s="795">
        <v>42036</v>
      </c>
      <c r="Y212" s="592"/>
      <c r="Z212" s="592" t="s">
        <v>459</v>
      </c>
      <c r="AA212" s="552" t="s">
        <v>841</v>
      </c>
      <c r="AB212" s="573"/>
      <c r="AC212" s="578">
        <v>42919</v>
      </c>
      <c r="AD212" s="614" t="s">
        <v>1681</v>
      </c>
      <c r="AE212" s="580"/>
      <c r="AF212" s="595">
        <f>IF(CampList[[#This Row],[Type of Accomodation]]="camp",MAX(0,CampList[[#This Row],[HH]]-SUMIF(Table_Shelter[Pcode],CampList[[#This Row],[CP_Pcode]],Table_Shelter[HH Covered2])),0)</f>
        <v>63</v>
      </c>
      <c r="AG212" s="402"/>
      <c r="AH212" s="572">
        <f>MIN(CampList[[#This Row],[Shelter Gap]],CampList[[#This Row],[Land Status]])</f>
        <v>63</v>
      </c>
      <c r="AI212" s="553" t="str">
        <f ca="1">IFERROR(OFFSET(DistanceToCamp[Nearest Town],MATCH(CampList[[#This Row],[CP_Pcode]],DistanceToCamp[CP_Pcode],0)-1,0,1,1),"")</f>
        <v>Sumprabum Town</v>
      </c>
      <c r="AJ212" s="581">
        <f ca="1">IFERROR(OFFSET(DistanceToCamp[distance],MATCH(CampList[[#This Row],[CP_Pcode]],DistanceToCamp[CP_Pcode],0)-1,0,1,1),"")</f>
        <v>0</v>
      </c>
      <c r="AK212" s="582">
        <f ca="1">IFERROR(INT(CampList[[#This Row],[Distance]]/5)+1,"")</f>
        <v>1</v>
      </c>
      <c r="AM212" s="913"/>
      <c r="AN212" s="913"/>
    </row>
    <row r="213" spans="1:40" s="374" customFormat="1" ht="15.75" hidden="1" customHeight="1" x14ac:dyDescent="0.25">
      <c r="A213" s="589" t="s">
        <v>842</v>
      </c>
      <c r="B213" s="551" t="s">
        <v>380</v>
      </c>
      <c r="C213" s="551" t="s">
        <v>524</v>
      </c>
      <c r="D213" s="551" t="s">
        <v>5</v>
      </c>
      <c r="E213" s="551" t="s">
        <v>528</v>
      </c>
      <c r="F213" s="619" t="s">
        <v>185</v>
      </c>
      <c r="G213" s="619" t="s">
        <v>532</v>
      </c>
      <c r="H213" s="619" t="s">
        <v>1194</v>
      </c>
      <c r="I213" s="619" t="s">
        <v>1299</v>
      </c>
      <c r="J213" s="552" t="s">
        <v>715</v>
      </c>
      <c r="K213" s="551" t="s">
        <v>1365</v>
      </c>
      <c r="L213" s="551" t="s">
        <v>1300</v>
      </c>
      <c r="M213" s="551" t="s">
        <v>1301</v>
      </c>
      <c r="N213" s="620">
        <v>97.461271999999994</v>
      </c>
      <c r="O213" s="620">
        <v>24.613976000000001</v>
      </c>
      <c r="P213" s="592"/>
      <c r="Q213" s="572"/>
      <c r="R213" s="592"/>
      <c r="S213" s="574" t="str">
        <f>IF(CampList[[#This Row],[HH]]&gt;0,CampList[[#This Row],[Total]]/CampList[[#This Row],[HH]],"NA")</f>
        <v>NA</v>
      </c>
      <c r="T213" s="553" t="s">
        <v>510</v>
      </c>
      <c r="U213" s="553" t="s">
        <v>1180</v>
      </c>
      <c r="V213" s="553" t="s">
        <v>985</v>
      </c>
      <c r="W213" s="553" t="s">
        <v>855</v>
      </c>
      <c r="X213" s="794"/>
      <c r="Y213" s="576"/>
      <c r="Z213" s="575"/>
      <c r="AA213" s="551" t="s">
        <v>1440</v>
      </c>
      <c r="AB213" s="577"/>
      <c r="AC213" s="578">
        <v>42927</v>
      </c>
      <c r="AD213" s="579" t="s">
        <v>1719</v>
      </c>
      <c r="AE213" s="580"/>
      <c r="AF213" s="595">
        <f>IF(CampList[[#This Row],[Type of Accomodation]]="camp",MAX(0,CampList[[#This Row],[HH]]-SUMIF(Table_Shelter[Pcode],CampList[[#This Row],[CP_Pcode]],Table_Shelter[HH Covered2])),0)</f>
        <v>0</v>
      </c>
      <c r="AG213" s="553"/>
      <c r="AH213" s="572">
        <f>MIN(CampList[[#This Row],[Shelter Gap]],CampList[[#This Row],[Land Status]])</f>
        <v>0</v>
      </c>
      <c r="AI213" s="553" t="str">
        <f ca="1">IFERROR(OFFSET(DistanceToCamp[Nearest Town],MATCH(CampList[[#This Row],[CP_Pcode]],DistanceToCamp[CP_Pcode],0)-1,0,1,1),"")</f>
        <v>Dawthponeyan  Town</v>
      </c>
      <c r="AJ213" s="581">
        <f ca="1">IFERROR(OFFSET(DistanceToCamp[distance],MATCH(CampList[[#This Row],[CP_Pcode]],DistanceToCamp[CP_Pcode],0)-1,0,1,1),"")</f>
        <v>0</v>
      </c>
      <c r="AK213" s="582">
        <f ca="1">IFERROR(INT(CampList[[#This Row],[Distance]]/5)+1,"")</f>
        <v>1</v>
      </c>
      <c r="AM213" s="913"/>
      <c r="AN213" s="913">
        <v>49</v>
      </c>
    </row>
    <row r="214" spans="1:40" s="405" customFormat="1" ht="15.75" hidden="1" customHeight="1" x14ac:dyDescent="0.25">
      <c r="A214" s="570" t="s">
        <v>842</v>
      </c>
      <c r="B214" s="551" t="s">
        <v>552</v>
      </c>
      <c r="C214" s="551" t="s">
        <v>535</v>
      </c>
      <c r="D214" s="551" t="s">
        <v>230</v>
      </c>
      <c r="E214" s="551" t="s">
        <v>536</v>
      </c>
      <c r="F214" s="551" t="s">
        <v>289</v>
      </c>
      <c r="G214" s="551" t="s">
        <v>548</v>
      </c>
      <c r="H214" s="551" t="s">
        <v>750</v>
      </c>
      <c r="I214" s="551" t="s">
        <v>751</v>
      </c>
      <c r="J214" s="551" t="s">
        <v>750</v>
      </c>
      <c r="K214" s="551">
        <v>208353</v>
      </c>
      <c r="L214" s="551" t="s">
        <v>375</v>
      </c>
      <c r="M214" s="551" t="s">
        <v>389</v>
      </c>
      <c r="N214" s="571">
        <v>97.678299999999993</v>
      </c>
      <c r="O214" s="571">
        <v>23.82152</v>
      </c>
      <c r="P214" s="592">
        <v>813.4</v>
      </c>
      <c r="Q214" s="705">
        <v>0</v>
      </c>
      <c r="R214" s="706">
        <v>0</v>
      </c>
      <c r="S214" s="574" t="str">
        <f>IF(CampList[[#This Row],[HH]]&gt;0,CampList[[#This Row],[Total]]/CampList[[#This Row],[HH]],"NA")</f>
        <v>NA</v>
      </c>
      <c r="T214" s="553" t="s">
        <v>512</v>
      </c>
      <c r="U214" s="583" t="s">
        <v>1180</v>
      </c>
      <c r="V214" s="553" t="s">
        <v>553</v>
      </c>
      <c r="W214" s="583"/>
      <c r="X214" s="600"/>
      <c r="Y214" s="591"/>
      <c r="Z214" s="584" t="s">
        <v>1084</v>
      </c>
      <c r="AA214" s="598" t="s">
        <v>841</v>
      </c>
      <c r="AB214" s="577"/>
      <c r="AC214" s="578">
        <v>41712</v>
      </c>
      <c r="AD214" s="570" t="s">
        <v>1020</v>
      </c>
      <c r="AE214" s="602" t="s">
        <v>1006</v>
      </c>
      <c r="AF214" s="402">
        <f>IF(CampList[[#This Row],[Type of Accomodation]]="camp",MAX(0,CampList[[#This Row],[HH]]-SUMIF(Table_Shelter[Pcode],CampList[[#This Row],[CP_Pcode]],Table_Shelter[HH Covered2])),0)</f>
        <v>0</v>
      </c>
      <c r="AG214" s="553"/>
      <c r="AH214" s="577">
        <f>MIN(CampList[[#This Row],[Shelter Gap]],CampList[[#This Row],[Land Status]])</f>
        <v>0</v>
      </c>
      <c r="AI214" s="553" t="str">
        <f ca="1">IFERROR(OFFSET(DistanceToCamp[Nearest Town],MATCH(CampList[[#This Row],[CP_Pcode]],DistanceToCamp[CP_Pcode],0)-1,0,1,1),"")</f>
        <v/>
      </c>
      <c r="AJ214" s="581" t="str">
        <f ca="1">IFERROR(OFFSET(DistanceToCamp[distance],MATCH(CampList[[#This Row],[CP_Pcode]],DistanceToCamp[CP_Pcode],0)-1,0,1,1),"")</f>
        <v/>
      </c>
      <c r="AK214" s="582" t="str">
        <f ca="1">IFERROR(INT(CampList[[#This Row],[Distance]]/5)+1,"")</f>
        <v/>
      </c>
      <c r="AM214" s="919"/>
      <c r="AN214" s="919"/>
    </row>
    <row r="215" spans="1:40" s="405" customFormat="1" ht="15.75" hidden="1" customHeight="1" x14ac:dyDescent="0.25">
      <c r="A215" s="589" t="s">
        <v>842</v>
      </c>
      <c r="B215" s="551" t="s">
        <v>380</v>
      </c>
      <c r="C215" s="551" t="s">
        <v>524</v>
      </c>
      <c r="D215" s="552" t="s">
        <v>237</v>
      </c>
      <c r="E215" s="552" t="s">
        <v>530</v>
      </c>
      <c r="F215" s="552" t="s">
        <v>526</v>
      </c>
      <c r="G215" s="552" t="s">
        <v>1395</v>
      </c>
      <c r="H215" s="552" t="s">
        <v>1425</v>
      </c>
      <c r="I215" s="590" t="s">
        <v>1426</v>
      </c>
      <c r="J215" s="551" t="s">
        <v>1425</v>
      </c>
      <c r="K215" s="590">
        <v>166818</v>
      </c>
      <c r="L215" s="552" t="s">
        <v>1393</v>
      </c>
      <c r="M215" s="551" t="s">
        <v>1394</v>
      </c>
      <c r="N215" s="573">
        <v>96.637</v>
      </c>
      <c r="O215" s="573">
        <v>25.806999999999999</v>
      </c>
      <c r="P215" s="592"/>
      <c r="Q215" s="572"/>
      <c r="R215" s="592"/>
      <c r="S215" s="574" t="str">
        <f>IF(CampList[[#This Row],[HH]]&gt;0,CampList[[#This Row],[Total]]/CampList[[#This Row],[HH]],"NA")</f>
        <v>NA</v>
      </c>
      <c r="T215" s="553" t="s">
        <v>510</v>
      </c>
      <c r="U215" s="553" t="s">
        <v>1180</v>
      </c>
      <c r="V215" s="553" t="s">
        <v>553</v>
      </c>
      <c r="W215" s="553" t="s">
        <v>855</v>
      </c>
      <c r="X215" s="795">
        <v>42370</v>
      </c>
      <c r="Y215" s="576"/>
      <c r="Z215" s="575"/>
      <c r="AA215" s="551" t="s">
        <v>841</v>
      </c>
      <c r="AB215" s="577"/>
      <c r="AC215" s="578">
        <v>42927</v>
      </c>
      <c r="AD215" s="570" t="s">
        <v>1727</v>
      </c>
      <c r="AE215" s="580"/>
      <c r="AF215" s="595">
        <f>IF(CampList[[#This Row],[Type of Accomodation]]="camp",MAX(0,CampList[[#This Row],[HH]]-SUMIF(Table_Shelter[Pcode],CampList[[#This Row],[CP_Pcode]],Table_Shelter[HH Covered2])),0)</f>
        <v>0</v>
      </c>
      <c r="AG215" s="553"/>
      <c r="AH215" s="572">
        <f>MIN(CampList[[#This Row],[Shelter Gap]],CampList[[#This Row],[Land Status]])</f>
        <v>0</v>
      </c>
      <c r="AI215" s="553" t="str">
        <f ca="1">IFERROR(OFFSET(DistanceToCamp[Nearest Town],MATCH(CampList[[#This Row],[CP_Pcode]],DistanceToCamp[CP_Pcode],0)-1,0,1,1),"")</f>
        <v>Hpakant Town</v>
      </c>
      <c r="AJ215" s="581">
        <f ca="1">IFERROR(OFFSET(DistanceToCamp[distance],MATCH(CampList[[#This Row],[CP_Pcode]],DistanceToCamp[CP_Pcode],0)-1,0,1,1),"")</f>
        <v>0</v>
      </c>
      <c r="AK215" s="582">
        <f ca="1">IFERROR(INT(CampList[[#This Row],[Distance]]/5)+1,"")</f>
        <v>1</v>
      </c>
      <c r="AM215" s="919">
        <v>6</v>
      </c>
      <c r="AN215" s="919">
        <v>9</v>
      </c>
    </row>
    <row r="216" spans="1:40" s="405" customFormat="1" ht="15.75" hidden="1" customHeight="1" x14ac:dyDescent="0.25">
      <c r="A216" s="570" t="s">
        <v>842</v>
      </c>
      <c r="B216" s="551" t="s">
        <v>380</v>
      </c>
      <c r="C216" s="551" t="s">
        <v>524</v>
      </c>
      <c r="D216" s="551" t="s">
        <v>180</v>
      </c>
      <c r="E216" s="551" t="s">
        <v>525</v>
      </c>
      <c r="F216" s="551" t="s">
        <v>180</v>
      </c>
      <c r="G216" s="551" t="s">
        <v>550</v>
      </c>
      <c r="H216" s="579" t="s">
        <v>615</v>
      </c>
      <c r="I216" s="579" t="s">
        <v>616</v>
      </c>
      <c r="J216" s="579" t="s">
        <v>615</v>
      </c>
      <c r="K216" s="579">
        <v>166591</v>
      </c>
      <c r="L216" s="551" t="s">
        <v>183</v>
      </c>
      <c r="M216" s="551" t="s">
        <v>182</v>
      </c>
      <c r="N216" s="571">
        <v>96.364949999999993</v>
      </c>
      <c r="O216" s="571">
        <v>24.998349999999999</v>
      </c>
      <c r="P216" s="572">
        <v>0</v>
      </c>
      <c r="Q216" s="705">
        <v>0</v>
      </c>
      <c r="R216" s="706">
        <v>0</v>
      </c>
      <c r="S216" s="574" t="str">
        <f>IF(CampList[[#This Row],[HH]]&gt;0,CampList[[#This Row],[Total]]/CampList[[#This Row],[HH]],"NA")</f>
        <v>NA</v>
      </c>
      <c r="T216" s="553" t="s">
        <v>510</v>
      </c>
      <c r="U216" s="583" t="s">
        <v>1180</v>
      </c>
      <c r="V216" s="553" t="s">
        <v>553</v>
      </c>
      <c r="W216" s="583" t="s">
        <v>855</v>
      </c>
      <c r="X216" s="584">
        <v>40969</v>
      </c>
      <c r="Y216" s="585"/>
      <c r="Z216" s="584" t="s">
        <v>459</v>
      </c>
      <c r="AA216" s="598" t="s">
        <v>840</v>
      </c>
      <c r="AB216" s="577"/>
      <c r="AC216" s="578">
        <v>41837</v>
      </c>
      <c r="AD216" s="570" t="s">
        <v>1093</v>
      </c>
      <c r="AE216" s="580" t="s">
        <v>1088</v>
      </c>
      <c r="AF216" s="402">
        <f>IF(CampList[[#This Row],[Type of Accomodation]]="camp",MAX(0,CampList[[#This Row],[HH]]-SUMIF(Table_Shelter[Pcode],CampList[[#This Row],[CP_Pcode]],Table_Shelter[HH Covered2])),0)</f>
        <v>0</v>
      </c>
      <c r="AG216" s="553"/>
      <c r="AH216" s="577">
        <f>MIN(CampList[[#This Row],[Shelter Gap]],CampList[[#This Row],[Land Status]])</f>
        <v>0</v>
      </c>
      <c r="AI216" s="553" t="str">
        <f ca="1">IFERROR(OFFSET(DistanceToCamp[Nearest Town],MATCH(CampList[[#This Row],[CP_Pcode]],DistanceToCamp[CP_Pcode],0)-1,0,1,1),"")</f>
        <v/>
      </c>
      <c r="AJ216" s="581" t="str">
        <f ca="1">IFERROR(OFFSET(DistanceToCamp[distance],MATCH(CampList[[#This Row],[CP_Pcode]],DistanceToCamp[CP_Pcode],0)-1,0,1,1),"")</f>
        <v/>
      </c>
      <c r="AK216" s="582" t="str">
        <f ca="1">IFERROR(INT(CampList[[#This Row],[Distance]]/5)+1,"")</f>
        <v/>
      </c>
      <c r="AM216" s="919"/>
      <c r="AN216" s="919"/>
    </row>
    <row r="217" spans="1:40" s="405" customFormat="1" ht="15.75" customHeight="1" x14ac:dyDescent="0.25">
      <c r="A217" s="570" t="s">
        <v>499</v>
      </c>
      <c r="B217" s="551" t="s">
        <v>380</v>
      </c>
      <c r="C217" s="551" t="s">
        <v>524</v>
      </c>
      <c r="D217" s="551" t="s">
        <v>180</v>
      </c>
      <c r="E217" s="551" t="s">
        <v>525</v>
      </c>
      <c r="F217" s="551" t="s">
        <v>526</v>
      </c>
      <c r="G217" s="551" t="s">
        <v>527</v>
      </c>
      <c r="H217" s="552" t="s">
        <v>1425</v>
      </c>
      <c r="I217" s="590" t="s">
        <v>1426</v>
      </c>
      <c r="J217" s="552" t="s">
        <v>1433</v>
      </c>
      <c r="K217" s="552">
        <v>166819</v>
      </c>
      <c r="L217" s="52" t="s">
        <v>1432</v>
      </c>
      <c r="M217" s="552" t="s">
        <v>1435</v>
      </c>
      <c r="N217" s="621">
        <v>96.662092000000001</v>
      </c>
      <c r="O217" s="621">
        <v>25.920006000000001</v>
      </c>
      <c r="P217" s="592"/>
      <c r="Q217" s="776">
        <v>30</v>
      </c>
      <c r="R217" s="776">
        <v>110</v>
      </c>
      <c r="S217" s="574">
        <f>IF(CampList[[#This Row],[HH]]&gt;0,CampList[[#This Row],[Total]]/CampList[[#This Row],[HH]],"NA")</f>
        <v>3.6666666666666665</v>
      </c>
      <c r="T217" s="402" t="s">
        <v>510</v>
      </c>
      <c r="U217" s="553" t="s">
        <v>1180</v>
      </c>
      <c r="V217" s="402" t="s">
        <v>553</v>
      </c>
      <c r="W217" s="402" t="s">
        <v>855</v>
      </c>
      <c r="X217" s="795">
        <v>42584</v>
      </c>
      <c r="Y217" s="592"/>
      <c r="Z217" s="592" t="s">
        <v>459</v>
      </c>
      <c r="AA217" s="552" t="s">
        <v>841</v>
      </c>
      <c r="AB217" s="573"/>
      <c r="AC217" s="578">
        <v>42919</v>
      </c>
      <c r="AD217" s="594" t="s">
        <v>1682</v>
      </c>
      <c r="AE217" s="580"/>
      <c r="AF217" s="595">
        <f>IF(CampList[[#This Row],[Type of Accomodation]]="camp",MAX(0,CampList[[#This Row],[HH]]-SUMIF(Table_Shelter[Pcode],CampList[[#This Row],[CP_Pcode]],Table_Shelter[HH Covered2])),0)</f>
        <v>14</v>
      </c>
      <c r="AG217" s="402"/>
      <c r="AH217" s="572">
        <f>MIN(CampList[[#This Row],[Shelter Gap]],CampList[[#This Row],[Land Status]])</f>
        <v>14</v>
      </c>
      <c r="AI217" s="595" t="str">
        <f ca="1">IFERROR(OFFSET(DistanceToCamp[Nearest Town],MATCH(CampList[[#This Row],[CP_Pcode]],DistanceToCamp[CP_Pcode],0)-1,0,1,1),"")</f>
        <v>Hpakant Town</v>
      </c>
      <c r="AJ217" s="581">
        <f ca="1">IFERROR(OFFSET(DistanceToCamp[distance],MATCH(CampList[[#This Row],[CP_Pcode]],DistanceToCamp[CP_Pcode],0)-1,0,1,1),"")</f>
        <v>0</v>
      </c>
      <c r="AK217" s="596">
        <f ca="1">IFERROR(INT(CampList[[#This Row],[Distance]]/5)+1,"")</f>
        <v>1</v>
      </c>
      <c r="AM217" s="919"/>
      <c r="AN217" s="919"/>
    </row>
    <row r="218" spans="1:40" s="405" customFormat="1" ht="15.75" hidden="1" customHeight="1" x14ac:dyDescent="0.25">
      <c r="A218" s="570" t="s">
        <v>842</v>
      </c>
      <c r="B218" s="551" t="s">
        <v>380</v>
      </c>
      <c r="C218" s="551" t="s">
        <v>524</v>
      </c>
      <c r="D218" s="551" t="s">
        <v>300</v>
      </c>
      <c r="E218" s="551" t="s">
        <v>545</v>
      </c>
      <c r="F218" s="551" t="s">
        <v>300</v>
      </c>
      <c r="G218" s="551" t="s">
        <v>551</v>
      </c>
      <c r="H218" s="551" t="s">
        <v>1027</v>
      </c>
      <c r="I218" s="551" t="s">
        <v>1028</v>
      </c>
      <c r="J218" s="551" t="s">
        <v>1029</v>
      </c>
      <c r="K218" s="551">
        <v>167567</v>
      </c>
      <c r="L218" s="551" t="s">
        <v>889</v>
      </c>
      <c r="M218" s="551" t="s">
        <v>890</v>
      </c>
      <c r="N218" s="571">
        <v>97.58184</v>
      </c>
      <c r="O218" s="571">
        <v>27.270199999999999</v>
      </c>
      <c r="P218" s="572">
        <v>372.9</v>
      </c>
      <c r="Q218" s="595">
        <v>0</v>
      </c>
      <c r="R218" s="602">
        <v>0</v>
      </c>
      <c r="S218" s="574" t="str">
        <f>IF(CampList[[#This Row],[HH]]&gt;0,CampList[[#This Row],[Total]]/CampList[[#This Row],[HH]],"NA")</f>
        <v>NA</v>
      </c>
      <c r="T218" s="553" t="s">
        <v>510</v>
      </c>
      <c r="U218" s="583" t="s">
        <v>1180</v>
      </c>
      <c r="V218" s="553" t="s">
        <v>553</v>
      </c>
      <c r="W218" s="583" t="s">
        <v>855</v>
      </c>
      <c r="X218" s="584">
        <v>41487</v>
      </c>
      <c r="Y218" s="585"/>
      <c r="Z218" s="584"/>
      <c r="AA218" s="551" t="s">
        <v>841</v>
      </c>
      <c r="AB218" s="577"/>
      <c r="AC218" s="578">
        <v>41725</v>
      </c>
      <c r="AD218" s="579" t="s">
        <v>1253</v>
      </c>
      <c r="AE218" s="580" t="s">
        <v>1074</v>
      </c>
      <c r="AF218" s="402">
        <f>IF(CampList[[#This Row],[Type of Accomodation]]="camp",MAX(0,CampList[[#This Row],[HH]]-SUMIF(Table_Shelter[Pcode],CampList[[#This Row],[CP_Pcode]],Table_Shelter[HH Covered2])),0)</f>
        <v>0</v>
      </c>
      <c r="AG218" s="553"/>
      <c r="AH218" s="577">
        <f>MIN(CampList[[#This Row],[Shelter Gap]],CampList[[#This Row],[Land Status]])</f>
        <v>0</v>
      </c>
      <c r="AI218" s="553" t="str">
        <f ca="1">IFERROR(OFFSET(DistanceToCamp[Nearest Town],MATCH(CampList[[#This Row],[CP_Pcode]],DistanceToCamp[CP_Pcode],0)-1,0,1,1),"")</f>
        <v>Machanbaw Town</v>
      </c>
      <c r="AJ218" s="581">
        <f ca="1">IFERROR(OFFSET(DistanceToCamp[distance],MATCH(CampList[[#This Row],[CP_Pcode]],DistanceToCamp[CP_Pcode],0)-1,0,1,1),"")</f>
        <v>1.7005689699647599</v>
      </c>
      <c r="AK218" s="582">
        <f ca="1">IFERROR(INT(CampList[[#This Row],[Distance]]/5)+1,"")</f>
        <v>1</v>
      </c>
      <c r="AM218" s="919"/>
      <c r="AN218" s="919"/>
    </row>
    <row r="219" spans="1:40" s="405" customFormat="1" ht="15.75" customHeight="1" x14ac:dyDescent="0.25">
      <c r="A219" s="570" t="s">
        <v>499</v>
      </c>
      <c r="B219" s="551" t="s">
        <v>380</v>
      </c>
      <c r="C219" s="551" t="s">
        <v>524</v>
      </c>
      <c r="D219" s="551" t="s">
        <v>180</v>
      </c>
      <c r="E219" s="551" t="s">
        <v>525</v>
      </c>
      <c r="F219" s="551" t="s">
        <v>526</v>
      </c>
      <c r="G219" s="551" t="s">
        <v>527</v>
      </c>
      <c r="H219" s="552" t="s">
        <v>1425</v>
      </c>
      <c r="I219" s="590" t="s">
        <v>1426</v>
      </c>
      <c r="J219" s="552" t="s">
        <v>1433</v>
      </c>
      <c r="K219" s="552">
        <v>166819</v>
      </c>
      <c r="L219" s="52" t="s">
        <v>1431</v>
      </c>
      <c r="M219" s="552" t="s">
        <v>1437</v>
      </c>
      <c r="N219" s="621">
        <v>96.662092000000001</v>
      </c>
      <c r="O219" s="621">
        <v>25.920006000000001</v>
      </c>
      <c r="P219" s="592"/>
      <c r="Q219" s="776">
        <v>6</v>
      </c>
      <c r="R219" s="776">
        <v>16</v>
      </c>
      <c r="S219" s="574">
        <f>IF(CampList[[#This Row],[HH]]&gt;0,CampList[[#This Row],[Total]]/CampList[[#This Row],[HH]],"NA")</f>
        <v>2.6666666666666665</v>
      </c>
      <c r="T219" s="402" t="s">
        <v>510</v>
      </c>
      <c r="U219" s="553" t="s">
        <v>1180</v>
      </c>
      <c r="V219" s="402" t="s">
        <v>553</v>
      </c>
      <c r="W219" s="402" t="s">
        <v>855</v>
      </c>
      <c r="X219" s="795">
        <v>42584</v>
      </c>
      <c r="Y219" s="592"/>
      <c r="Z219" s="575" t="s">
        <v>1085</v>
      </c>
      <c r="AA219" s="552" t="s">
        <v>841</v>
      </c>
      <c r="AB219" s="573"/>
      <c r="AC219" s="578">
        <v>42915</v>
      </c>
      <c r="AD219" s="594" t="s">
        <v>1598</v>
      </c>
      <c r="AE219" s="580"/>
      <c r="AF219" s="595">
        <f>IF(CampList[[#This Row],[Type of Accomodation]]="camp",MAX(0,CampList[[#This Row],[HH]]-SUMIF(Table_Shelter[Pcode],CampList[[#This Row],[CP_Pcode]],Table_Shelter[HH Covered2])),0)</f>
        <v>6</v>
      </c>
      <c r="AG219" s="402"/>
      <c r="AH219" s="572">
        <f>MIN(CampList[[#This Row],[Shelter Gap]],CampList[[#This Row],[Land Status]])</f>
        <v>6</v>
      </c>
      <c r="AI219" s="595" t="str">
        <f ca="1">IFERROR(OFFSET(DistanceToCamp[Nearest Town],MATCH(CampList[[#This Row],[CP_Pcode]],DistanceToCamp[CP_Pcode],0)-1,0,1,1),"")</f>
        <v>Hpakant Town</v>
      </c>
      <c r="AJ219" s="581">
        <f ca="1">IFERROR(OFFSET(DistanceToCamp[distance],MATCH(CampList[[#This Row],[CP_Pcode]],DistanceToCamp[CP_Pcode],0)-1,0,1,1),"")</f>
        <v>0</v>
      </c>
      <c r="AK219" s="596">
        <f ca="1">IFERROR(INT(CampList[[#This Row],[Distance]]/5)+1,"")</f>
        <v>1</v>
      </c>
      <c r="AM219" s="919"/>
      <c r="AN219" s="919"/>
    </row>
    <row r="220" spans="1:40" s="405" customFormat="1" ht="15.75" customHeight="1" x14ac:dyDescent="0.25">
      <c r="A220" s="570" t="s">
        <v>499</v>
      </c>
      <c r="B220" s="551" t="s">
        <v>380</v>
      </c>
      <c r="C220" s="551" t="s">
        <v>524</v>
      </c>
      <c r="D220" s="551" t="s">
        <v>180</v>
      </c>
      <c r="E220" s="551" t="s">
        <v>525</v>
      </c>
      <c r="F220" s="551" t="s">
        <v>526</v>
      </c>
      <c r="G220" s="551" t="s">
        <v>527</v>
      </c>
      <c r="H220" s="552" t="s">
        <v>1425</v>
      </c>
      <c r="I220" s="590" t="s">
        <v>1426</v>
      </c>
      <c r="J220" s="552" t="s">
        <v>1433</v>
      </c>
      <c r="K220" s="552">
        <v>166819</v>
      </c>
      <c r="L220" s="52" t="s">
        <v>1430</v>
      </c>
      <c r="M220" s="552" t="s">
        <v>1438</v>
      </c>
      <c r="N220" s="621">
        <v>96.662092000000001</v>
      </c>
      <c r="O220" s="621">
        <v>25.920006000000001</v>
      </c>
      <c r="P220" s="592"/>
      <c r="Q220" s="776">
        <v>20</v>
      </c>
      <c r="R220" s="776">
        <v>84</v>
      </c>
      <c r="S220" s="574">
        <f>IF(CampList[[#This Row],[HH]]&gt;0,CampList[[#This Row],[Total]]/CampList[[#This Row],[HH]],"NA")</f>
        <v>4.2</v>
      </c>
      <c r="T220" s="402" t="s">
        <v>510</v>
      </c>
      <c r="U220" s="553" t="s">
        <v>1180</v>
      </c>
      <c r="V220" s="402" t="s">
        <v>553</v>
      </c>
      <c r="W220" s="402" t="s">
        <v>855</v>
      </c>
      <c r="X220" s="795">
        <v>42584</v>
      </c>
      <c r="Y220" s="592"/>
      <c r="Z220" s="575" t="s">
        <v>1085</v>
      </c>
      <c r="AA220" s="552" t="s">
        <v>841</v>
      </c>
      <c r="AB220" s="573"/>
      <c r="AC220" s="578">
        <v>42915</v>
      </c>
      <c r="AD220" s="594" t="s">
        <v>1598</v>
      </c>
      <c r="AE220" s="580"/>
      <c r="AF220" s="595">
        <f>IF(CampList[[#This Row],[Type of Accomodation]]="camp",MAX(0,CampList[[#This Row],[HH]]-SUMIF(Table_Shelter[Pcode],CampList[[#This Row],[CP_Pcode]],Table_Shelter[HH Covered2])),0)</f>
        <v>20</v>
      </c>
      <c r="AG220" s="402"/>
      <c r="AH220" s="572">
        <f>MIN(CampList[[#This Row],[Shelter Gap]],CampList[[#This Row],[Land Status]])</f>
        <v>20</v>
      </c>
      <c r="AI220" s="595" t="str">
        <f ca="1">IFERROR(OFFSET(DistanceToCamp[Nearest Town],MATCH(CampList[[#This Row],[CP_Pcode]],DistanceToCamp[CP_Pcode],0)-1,0,1,1),"")</f>
        <v>Hpakant Town</v>
      </c>
      <c r="AJ220" s="581">
        <f ca="1">IFERROR(OFFSET(DistanceToCamp[distance],MATCH(CampList[[#This Row],[CP_Pcode]],DistanceToCamp[CP_Pcode],0)-1,0,1,1),"")</f>
        <v>0</v>
      </c>
      <c r="AK220" s="596">
        <f ca="1">IFERROR(INT(CampList[[#This Row],[Distance]]/5)+1,"")</f>
        <v>1</v>
      </c>
      <c r="AM220" s="919"/>
      <c r="AN220" s="919"/>
    </row>
    <row r="221" spans="1:40" s="405" customFormat="1" ht="15.75" customHeight="1" x14ac:dyDescent="0.25">
      <c r="A221" s="679" t="s">
        <v>499</v>
      </c>
      <c r="B221" s="552" t="s">
        <v>380</v>
      </c>
      <c r="C221" s="552" t="s">
        <v>524</v>
      </c>
      <c r="D221" s="552" t="s">
        <v>237</v>
      </c>
      <c r="E221" s="552" t="s">
        <v>530</v>
      </c>
      <c r="F221" s="552" t="s">
        <v>310</v>
      </c>
      <c r="G221" s="552" t="s">
        <v>531</v>
      </c>
      <c r="H221" s="552" t="s">
        <v>1544</v>
      </c>
      <c r="I221" s="590" t="s">
        <v>1545</v>
      </c>
      <c r="J221" s="552" t="s">
        <v>1546</v>
      </c>
      <c r="K221" s="552">
        <v>216822</v>
      </c>
      <c r="L221" s="552" t="s">
        <v>1556</v>
      </c>
      <c r="M221" s="552" t="s">
        <v>1547</v>
      </c>
      <c r="N221" s="573">
        <v>97.430321000000006</v>
      </c>
      <c r="O221" s="573">
        <v>25.305008999999998</v>
      </c>
      <c r="P221" s="592"/>
      <c r="Q221" s="573">
        <v>62</v>
      </c>
      <c r="R221" s="592">
        <v>410</v>
      </c>
      <c r="S221" s="574">
        <f>IF(CampList[[#This Row],[HH]]&gt;0,CampList[[#This Row],[Total]]/CampList[[#This Row],[HH]],"NA")</f>
        <v>6.612903225806452</v>
      </c>
      <c r="T221" s="402" t="s">
        <v>510</v>
      </c>
      <c r="U221" s="553" t="s">
        <v>1180</v>
      </c>
      <c r="V221" s="402" t="s">
        <v>553</v>
      </c>
      <c r="W221" s="402" t="s">
        <v>855</v>
      </c>
      <c r="X221" s="795"/>
      <c r="Y221" s="592"/>
      <c r="Z221" s="592"/>
      <c r="AA221" s="552" t="s">
        <v>1557</v>
      </c>
      <c r="AB221" s="573"/>
      <c r="AC221" s="578">
        <v>42888</v>
      </c>
      <c r="AD221" s="594" t="s">
        <v>1558</v>
      </c>
      <c r="AE221" s="580"/>
      <c r="AF221" s="595">
        <f>IF(CampList[[#This Row],[Type of Accomodation]]="camp",MAX(0,CampList[[#This Row],[HH]]-SUMIF(Table_Shelter[Pcode],CampList[[#This Row],[CP_Pcode]],Table_Shelter[HH Covered2])),0)</f>
        <v>62</v>
      </c>
      <c r="AG221" s="402"/>
      <c r="AH221" s="572">
        <f>MIN(CampList[[#This Row],[Shelter Gap]],CampList[[#This Row],[Land Status]])</f>
        <v>62</v>
      </c>
      <c r="AI221" s="595" t="str">
        <f ca="1">IFERROR(OFFSET(DistanceToCamp[Nearest Town],MATCH(CampList[[#This Row],[CP_Pcode]],DistanceToCamp[CP_Pcode],0)-1,0,1,1),"")</f>
        <v/>
      </c>
      <c r="AJ221" s="581" t="str">
        <f ca="1">IFERROR(OFFSET(DistanceToCamp[distance],MATCH(CampList[[#This Row],[CP_Pcode]],DistanceToCamp[CP_Pcode],0)-1,0,1,1),"")</f>
        <v/>
      </c>
      <c r="AK221" s="596" t="str">
        <f ca="1">IFERROR(INT(CampList[[#This Row],[Distance]]/5)+1,"")</f>
        <v/>
      </c>
      <c r="AM221" s="919"/>
      <c r="AN221" s="919"/>
    </row>
    <row r="222" spans="1:40" s="405" customFormat="1" ht="15.75" customHeight="1" x14ac:dyDescent="0.25">
      <c r="A222" s="679" t="s">
        <v>499</v>
      </c>
      <c r="B222" s="552" t="s">
        <v>380</v>
      </c>
      <c r="C222" s="552" t="s">
        <v>524</v>
      </c>
      <c r="D222" s="552" t="s">
        <v>237</v>
      </c>
      <c r="E222" s="552" t="s">
        <v>530</v>
      </c>
      <c r="F222" s="552" t="s">
        <v>310</v>
      </c>
      <c r="G222" s="552" t="s">
        <v>531</v>
      </c>
      <c r="H222" s="551" t="s">
        <v>754</v>
      </c>
      <c r="I222" s="551" t="s">
        <v>755</v>
      </c>
      <c r="J222" s="586" t="s">
        <v>1377</v>
      </c>
      <c r="K222" s="586">
        <v>165792</v>
      </c>
      <c r="L222" s="710" t="s">
        <v>1568</v>
      </c>
      <c r="M222" s="552" t="s">
        <v>1565</v>
      </c>
      <c r="N222" s="573"/>
      <c r="O222" s="573"/>
      <c r="P222" s="592"/>
      <c r="Q222" s="573">
        <v>402</v>
      </c>
      <c r="R222" s="592">
        <v>1816</v>
      </c>
      <c r="S222" s="574">
        <f>IF(CampList[[#This Row],[HH]]&gt;0,CampList[[#This Row],[Total]]/CampList[[#This Row],[HH]],"NA")</f>
        <v>4.5174129353233834</v>
      </c>
      <c r="T222" s="402" t="s">
        <v>512</v>
      </c>
      <c r="U222" s="553" t="s">
        <v>1180</v>
      </c>
      <c r="V222" s="402" t="s">
        <v>553</v>
      </c>
      <c r="W222" s="402" t="s">
        <v>855</v>
      </c>
      <c r="X222" s="795">
        <v>42752</v>
      </c>
      <c r="Y222" s="592">
        <v>3</v>
      </c>
      <c r="Z222" s="592" t="s">
        <v>459</v>
      </c>
      <c r="AA222" s="552" t="s">
        <v>841</v>
      </c>
      <c r="AB222" s="573"/>
      <c r="AC222" s="578">
        <v>42919</v>
      </c>
      <c r="AD222" s="594" t="s">
        <v>1683</v>
      </c>
      <c r="AE222" s="580"/>
      <c r="AF222" s="595">
        <f>IF(CampList[[#This Row],[Type of Accomodation]]="camp",MAX(0,CampList[[#This Row],[HH]]-SUMIF(Table_Shelter[Pcode],CampList[[#This Row],[CP_Pcode]],Table_Shelter[HH Covered2])),0)</f>
        <v>402</v>
      </c>
      <c r="AG222" s="402"/>
      <c r="AH222" s="572">
        <f>MIN(CampList[[#This Row],[Shelter Gap]],CampList[[#This Row],[Land Status]])</f>
        <v>402</v>
      </c>
      <c r="AI222" s="595" t="str">
        <f ca="1">IFERROR(OFFSET(DistanceToCamp[Nearest Town],MATCH(CampList[[#This Row],[CP_Pcode]],DistanceToCamp[CP_Pcode],0)-1,0,1,1),"")</f>
        <v/>
      </c>
      <c r="AJ222" s="581" t="str">
        <f ca="1">IFERROR(OFFSET(DistanceToCamp[distance],MATCH(CampList[[#This Row],[CP_Pcode]],DistanceToCamp[CP_Pcode],0)-1,0,1,1),"")</f>
        <v/>
      </c>
      <c r="AK222" s="596" t="str">
        <f ca="1">IFERROR(INT(CampList[[#This Row],[Distance]]/5)+1,"")</f>
        <v/>
      </c>
      <c r="AM222" s="919"/>
      <c r="AN222" s="919"/>
    </row>
    <row r="223" spans="1:40" s="405" customFormat="1" ht="15.75" customHeight="1" x14ac:dyDescent="0.25">
      <c r="A223" s="679" t="s">
        <v>499</v>
      </c>
      <c r="B223" s="551" t="s">
        <v>380</v>
      </c>
      <c r="C223" s="551" t="s">
        <v>524</v>
      </c>
      <c r="D223" s="551" t="s">
        <v>180</v>
      </c>
      <c r="E223" s="551" t="s">
        <v>525</v>
      </c>
      <c r="F223" s="551" t="s">
        <v>526</v>
      </c>
      <c r="G223" s="551" t="s">
        <v>527</v>
      </c>
      <c r="H223" s="551" t="s">
        <v>611</v>
      </c>
      <c r="I223" s="590" t="s">
        <v>612</v>
      </c>
      <c r="J223" s="551" t="s">
        <v>1696</v>
      </c>
      <c r="K223" s="590">
        <v>220486</v>
      </c>
      <c r="L223" s="900" t="s">
        <v>1697</v>
      </c>
      <c r="M223" s="552" t="s">
        <v>1698</v>
      </c>
      <c r="N223" s="683"/>
      <c r="O223" s="683"/>
      <c r="P223" s="684"/>
      <c r="Q223" s="399">
        <v>118</v>
      </c>
      <c r="R223" s="720">
        <v>617</v>
      </c>
      <c r="S223" s="685">
        <f>IF(CampList[[#This Row],[HH]]&gt;0,CampList[[#This Row],[Total]]/CampList[[#This Row],[HH]],"NA")</f>
        <v>5.2288135593220337</v>
      </c>
      <c r="T223" s="399" t="s">
        <v>510</v>
      </c>
      <c r="U223" s="686" t="s">
        <v>1180</v>
      </c>
      <c r="V223" s="399" t="s">
        <v>553</v>
      </c>
      <c r="W223" s="399" t="s">
        <v>855</v>
      </c>
      <c r="X223" s="901">
        <v>42887</v>
      </c>
      <c r="Y223" s="684"/>
      <c r="Z223" s="684" t="s">
        <v>459</v>
      </c>
      <c r="AA223" s="680" t="s">
        <v>841</v>
      </c>
      <c r="AB223" s="683"/>
      <c r="AC223" s="688">
        <v>42919</v>
      </c>
      <c r="AD223" s="731" t="s">
        <v>1699</v>
      </c>
      <c r="AE223" s="690"/>
      <c r="AF223" s="691">
        <f>IF(CampList[[#This Row],[Type of Accomodation]]="camp",MAX(0,CampList[[#This Row],[HH]]-SUMIF(Table_Shelter[Pcode],CampList[[#This Row],[CP_Pcode]],Table_Shelter[HH Covered2])),0)</f>
        <v>118</v>
      </c>
      <c r="AG223" s="399"/>
      <c r="AH223" s="692">
        <f>MIN(CampList[[#This Row],[Shelter Gap]],CampList[[#This Row],[Land Status]])</f>
        <v>118</v>
      </c>
      <c r="AI223" s="691" t="str">
        <f ca="1">IFERROR(OFFSET(DistanceToCamp[Nearest Town],MATCH(CampList[[#This Row],[CP_Pcode]],DistanceToCamp[CP_Pcode],0)-1,0,1,1),"")</f>
        <v/>
      </c>
      <c r="AJ223" s="693" t="str">
        <f ca="1">IFERROR(OFFSET(DistanceToCamp[distance],MATCH(CampList[[#This Row],[CP_Pcode]],DistanceToCamp[CP_Pcode],0)-1,0,1,1),"")</f>
        <v/>
      </c>
      <c r="AK223" s="694" t="str">
        <f ca="1">IFERROR(INT(CampList[[#This Row],[Distance]]/5)+1,"")</f>
        <v/>
      </c>
      <c r="AM223" s="919"/>
      <c r="AN223" s="919"/>
    </row>
    <row r="224" spans="1:40" s="405" customFormat="1" ht="15.75" hidden="1" customHeight="1" x14ac:dyDescent="0.25">
      <c r="A224" s="570" t="s">
        <v>842</v>
      </c>
      <c r="B224" s="551" t="s">
        <v>380</v>
      </c>
      <c r="C224" s="551" t="s">
        <v>524</v>
      </c>
      <c r="D224" s="551" t="s">
        <v>237</v>
      </c>
      <c r="E224" s="551" t="s">
        <v>530</v>
      </c>
      <c r="F224" s="551" t="s">
        <v>310</v>
      </c>
      <c r="G224" s="551" t="s">
        <v>531</v>
      </c>
      <c r="H224" s="579" t="s">
        <v>748</v>
      </c>
      <c r="I224" s="579" t="s">
        <v>749</v>
      </c>
      <c r="J224" s="579" t="s">
        <v>748</v>
      </c>
      <c r="K224" s="579">
        <v>165750</v>
      </c>
      <c r="L224" s="551" t="s">
        <v>1235</v>
      </c>
      <c r="M224" s="551" t="s">
        <v>360</v>
      </c>
      <c r="N224" s="571"/>
      <c r="O224" s="571"/>
      <c r="P224" s="592"/>
      <c r="Q224" s="705"/>
      <c r="R224" s="706"/>
      <c r="S224" s="574" t="str">
        <f>IF(CampList[[#This Row],[HH]]&gt;0,CampList[[#This Row],[Total]]/CampList[[#This Row],[HH]],"NA")</f>
        <v>NA</v>
      </c>
      <c r="T224" s="553" t="s">
        <v>510</v>
      </c>
      <c r="U224" s="583" t="s">
        <v>1180</v>
      </c>
      <c r="V224" s="553" t="s">
        <v>553</v>
      </c>
      <c r="W224" s="583"/>
      <c r="X224" s="600"/>
      <c r="Y224" s="591"/>
      <c r="Z224" s="601"/>
      <c r="AA224" s="598"/>
      <c r="AB224" s="577"/>
      <c r="AC224" s="604"/>
      <c r="AD224" s="570" t="s">
        <v>600</v>
      </c>
      <c r="AE224" s="602" t="s">
        <v>1006</v>
      </c>
      <c r="AF224" s="402">
        <f>IF(CampList[[#This Row],[Type of Accomodation]]="camp",MAX(0,CampList[[#This Row],[HH]]-SUMIF(Table_Shelter[Pcode],CampList[[#This Row],[CP_Pcode]],Table_Shelter[HH Covered2])),0)</f>
        <v>0</v>
      </c>
      <c r="AG224" s="553"/>
      <c r="AH224" s="577">
        <f>MIN(CampList[[#This Row],[Shelter Gap]],CampList[[#This Row],[Land Status]])</f>
        <v>0</v>
      </c>
      <c r="AI224" s="553" t="str">
        <f ca="1">IFERROR(OFFSET(DistanceToCamp[Nearest Town],MATCH(CampList[[#This Row],[CP_Pcode]],DistanceToCamp[CP_Pcode],0)-1,0,1,1),"")</f>
        <v/>
      </c>
      <c r="AJ224" s="581" t="str">
        <f ca="1">IFERROR(OFFSET(DistanceToCamp[distance],MATCH(CampList[[#This Row],[CP_Pcode]],DistanceToCamp[CP_Pcode],0)-1,0,1,1),"")</f>
        <v/>
      </c>
      <c r="AK224" s="582" t="str">
        <f ca="1">IFERROR(INT(CampList[[#This Row],[Distance]]/5)+1,"")</f>
        <v/>
      </c>
      <c r="AM224" s="919"/>
      <c r="AN224" s="919"/>
    </row>
    <row r="225" spans="1:40" s="405" customFormat="1" ht="15.75" customHeight="1" x14ac:dyDescent="0.25">
      <c r="A225" s="570" t="s">
        <v>499</v>
      </c>
      <c r="B225" s="551" t="s">
        <v>552</v>
      </c>
      <c r="C225" s="551" t="s">
        <v>535</v>
      </c>
      <c r="D225" s="551" t="s">
        <v>230</v>
      </c>
      <c r="E225" s="551" t="s">
        <v>536</v>
      </c>
      <c r="F225" s="551" t="s">
        <v>230</v>
      </c>
      <c r="G225" s="551" t="s">
        <v>537</v>
      </c>
      <c r="H225" s="551" t="s">
        <v>1023</v>
      </c>
      <c r="I225" s="551" t="s">
        <v>1022</v>
      </c>
      <c r="J225" s="551" t="s">
        <v>1024</v>
      </c>
      <c r="K225" s="590">
        <v>208182</v>
      </c>
      <c r="L225" s="551" t="s">
        <v>361</v>
      </c>
      <c r="M225" s="551" t="s">
        <v>836</v>
      </c>
      <c r="N225" s="571">
        <v>98.139397000000002</v>
      </c>
      <c r="O225" s="571">
        <v>23.933098999999999</v>
      </c>
      <c r="P225" s="572">
        <v>0</v>
      </c>
      <c r="Q225" s="777">
        <v>9</v>
      </c>
      <c r="R225" s="778">
        <v>44</v>
      </c>
      <c r="S225" s="574">
        <f>IF(CampList[[#This Row],[HH]]&gt;0,CampList[[#This Row],[Total]]/CampList[[#This Row],[HH]],"NA")</f>
        <v>4.8888888888888893</v>
      </c>
      <c r="T225" s="553" t="s">
        <v>512</v>
      </c>
      <c r="U225" s="553" t="s">
        <v>1180</v>
      </c>
      <c r="V225" s="553" t="s">
        <v>553</v>
      </c>
      <c r="W225" s="553" t="s">
        <v>855</v>
      </c>
      <c r="X225" s="575">
        <v>40787</v>
      </c>
      <c r="Y225" s="576">
        <v>1</v>
      </c>
      <c r="Z225" s="575"/>
      <c r="AA225" s="598" t="s">
        <v>841</v>
      </c>
      <c r="AB225" s="577"/>
      <c r="AC225" s="578">
        <v>42888</v>
      </c>
      <c r="AD225" s="570" t="s">
        <v>1539</v>
      </c>
      <c r="AE225" s="580" t="s">
        <v>1073</v>
      </c>
      <c r="AF225" s="595">
        <f>IF(CampList[[#This Row],[Type of Accomodation]]="camp",MAX(0,CampList[[#This Row],[HH]]-SUMIF(Table_Shelter[Pcode],CampList[[#This Row],[CP_Pcode]],Table_Shelter[HH Covered2])),0)</f>
        <v>0</v>
      </c>
      <c r="AG225" s="553"/>
      <c r="AH225" s="577">
        <f>MIN(CampList[[#This Row],[Shelter Gap]],CampList[[#This Row],[Land Status]])</f>
        <v>0</v>
      </c>
      <c r="AI225" s="553" t="str">
        <f ca="1">IFERROR(OFFSET(DistanceToCamp[Nearest Town],MATCH(CampList[[#This Row],[CP_Pcode]],DistanceToCamp[CP_Pcode],0)-1,0,1,1),"")</f>
        <v/>
      </c>
      <c r="AJ225" s="581" t="str">
        <f ca="1">IFERROR(OFFSET(DistanceToCamp[distance],MATCH(CampList[[#This Row],[CP_Pcode]],DistanceToCamp[CP_Pcode],0)-1,0,1,1),"")</f>
        <v/>
      </c>
      <c r="AK225" s="582" t="str">
        <f ca="1">IFERROR(INT(CampList[[#This Row],[Distance]]/5)+1,"")</f>
        <v/>
      </c>
      <c r="AM225" s="919"/>
      <c r="AN225" s="919"/>
    </row>
    <row r="226" spans="1:40" s="405" customFormat="1" ht="15.75" customHeight="1" x14ac:dyDescent="0.25">
      <c r="A226" s="570" t="s">
        <v>499</v>
      </c>
      <c r="B226" s="551" t="s">
        <v>552</v>
      </c>
      <c r="C226" s="551" t="s">
        <v>535</v>
      </c>
      <c r="D226" s="551" t="s">
        <v>776</v>
      </c>
      <c r="E226" s="551" t="s">
        <v>777</v>
      </c>
      <c r="F226" s="551" t="s">
        <v>778</v>
      </c>
      <c r="G226" s="551" t="s">
        <v>779</v>
      </c>
      <c r="H226" s="551" t="s">
        <v>780</v>
      </c>
      <c r="I226" s="551" t="s">
        <v>781</v>
      </c>
      <c r="J226" s="551" t="s">
        <v>780</v>
      </c>
      <c r="K226" s="551">
        <v>206422</v>
      </c>
      <c r="L226" s="551" t="s">
        <v>593</v>
      </c>
      <c r="M226" s="551" t="s">
        <v>837</v>
      </c>
      <c r="N226" s="571">
        <v>98.352670000000003</v>
      </c>
      <c r="O226" s="571">
        <v>23.372409999999999</v>
      </c>
      <c r="P226" s="572">
        <v>617.6</v>
      </c>
      <c r="Q226" s="572">
        <v>67</v>
      </c>
      <c r="R226" s="592">
        <v>392</v>
      </c>
      <c r="S226" s="574">
        <f>IF(CampList[[#This Row],[HH]]&gt;0,CampList[[#This Row],[Total]]/CampList[[#This Row],[HH]],"NA")</f>
        <v>5.8507462686567164</v>
      </c>
      <c r="T226" s="553" t="s">
        <v>512</v>
      </c>
      <c r="U226" s="553" t="s">
        <v>1180</v>
      </c>
      <c r="V226" s="553" t="s">
        <v>12</v>
      </c>
      <c r="W226" s="553" t="s">
        <v>855</v>
      </c>
      <c r="X226" s="575">
        <v>41365</v>
      </c>
      <c r="Y226" s="576"/>
      <c r="Z226" s="575"/>
      <c r="AA226" s="551" t="s">
        <v>841</v>
      </c>
      <c r="AB226" s="577"/>
      <c r="AC226" s="578">
        <v>42927</v>
      </c>
      <c r="AD226" s="579" t="s">
        <v>1720</v>
      </c>
      <c r="AE226" s="580" t="s">
        <v>1088</v>
      </c>
      <c r="AF226" s="402">
        <f>IF(CampList[[#This Row],[Type of Accomodation]]="camp",MAX(0,CampList[[#This Row],[HH]]-SUMIF(Table_Shelter[Pcode],CampList[[#This Row],[CP_Pcode]],Table_Shelter[HH Covered2])),0)</f>
        <v>0</v>
      </c>
      <c r="AG226" s="553"/>
      <c r="AH226" s="577">
        <f>MIN(CampList[[#This Row],[Shelter Gap]],CampList[[#This Row],[Land Status]])</f>
        <v>0</v>
      </c>
      <c r="AI226" s="553" t="str">
        <f ca="1">IFERROR(OFFSET(DistanceToCamp[Nearest Town],MATCH(CampList[[#This Row],[CP_Pcode]],DistanceToCamp[CP_Pcode],0)-1,0,1,1),"")</f>
        <v>Kunlong Town</v>
      </c>
      <c r="AJ226" s="581">
        <f ca="1">IFERROR(OFFSET(DistanceToCamp[distance],MATCH(CampList[[#This Row],[CP_Pcode]],DistanceToCamp[CP_Pcode],0)-1,0,1,1),"")</f>
        <v>30.037709702375544</v>
      </c>
      <c r="AK226" s="582">
        <f ca="1">IFERROR(INT(CampList[[#This Row],[Distance]]/5)+1,"")</f>
        <v>7</v>
      </c>
      <c r="AM226" s="919"/>
      <c r="AN226" s="919"/>
    </row>
    <row r="227" spans="1:40" s="405" customFormat="1" ht="15.75" hidden="1" customHeight="1" x14ac:dyDescent="0.25">
      <c r="A227" s="570" t="s">
        <v>842</v>
      </c>
      <c r="B227" s="551" t="s">
        <v>380</v>
      </c>
      <c r="C227" s="551" t="s">
        <v>524</v>
      </c>
      <c r="D227" s="551" t="s">
        <v>180</v>
      </c>
      <c r="E227" s="551" t="s">
        <v>525</v>
      </c>
      <c r="F227" s="551" t="s">
        <v>526</v>
      </c>
      <c r="G227" s="551" t="s">
        <v>527</v>
      </c>
      <c r="H227" s="579" t="s">
        <v>602</v>
      </c>
      <c r="I227" s="579" t="s">
        <v>603</v>
      </c>
      <c r="J227" s="579" t="s">
        <v>604</v>
      </c>
      <c r="K227" s="579" t="s">
        <v>605</v>
      </c>
      <c r="L227" s="551" t="s">
        <v>110</v>
      </c>
      <c r="M227" s="551" t="s">
        <v>109</v>
      </c>
      <c r="N227" s="571">
        <v>96.312790000000007</v>
      </c>
      <c r="O227" s="571">
        <v>25.611160000000002</v>
      </c>
      <c r="P227" s="572">
        <v>0</v>
      </c>
      <c r="Q227" s="705">
        <v>0</v>
      </c>
      <c r="R227" s="706">
        <v>0</v>
      </c>
      <c r="S227" s="574" t="str">
        <f>IF(CampList[[#This Row],[HH]]&gt;0,CampList[[#This Row],[Total]]/CampList[[#This Row],[HH]],"NA")</f>
        <v>NA</v>
      </c>
      <c r="T227" s="553" t="s">
        <v>510</v>
      </c>
      <c r="U227" s="583" t="s">
        <v>1180</v>
      </c>
      <c r="V227" s="553" t="s">
        <v>553</v>
      </c>
      <c r="W227" s="583" t="s">
        <v>802</v>
      </c>
      <c r="X227" s="584">
        <v>41122</v>
      </c>
      <c r="Y227" s="585">
        <v>2</v>
      </c>
      <c r="Z227" s="584" t="s">
        <v>459</v>
      </c>
      <c r="AA227" s="598" t="s">
        <v>841</v>
      </c>
      <c r="AB227" s="577"/>
      <c r="AC227" s="578">
        <v>41774</v>
      </c>
      <c r="AD227" s="570" t="s">
        <v>1043</v>
      </c>
      <c r="AE227" s="580" t="s">
        <v>1006</v>
      </c>
      <c r="AF227" s="402">
        <f>IF(CampList[[#This Row],[Type of Accomodation]]="camp",MAX(0,CampList[[#This Row],[HH]]-SUMIF(Table_Shelter[Pcode],CampList[[#This Row],[CP_Pcode]],Table_Shelter[HH Covered2])),0)</f>
        <v>0</v>
      </c>
      <c r="AG227" s="553"/>
      <c r="AH227" s="577">
        <f>MIN(CampList[[#This Row],[Shelter Gap]],CampList[[#This Row],[Land Status]])</f>
        <v>0</v>
      </c>
      <c r="AI227" s="553" t="str">
        <f ca="1">IFERROR(OFFSET(DistanceToCamp[Nearest Town],MATCH(CampList[[#This Row],[CP_Pcode]],DistanceToCamp[CP_Pcode],0)-1,0,1,1),"")</f>
        <v/>
      </c>
      <c r="AJ227" s="581" t="str">
        <f ca="1">IFERROR(OFFSET(DistanceToCamp[distance],MATCH(CampList[[#This Row],[CP_Pcode]],DistanceToCamp[CP_Pcode],0)-1,0,1,1),"")</f>
        <v/>
      </c>
      <c r="AK227" s="582" t="str">
        <f ca="1">IFERROR(INT(CampList[[#This Row],[Distance]]/5)+1,"")</f>
        <v/>
      </c>
      <c r="AM227" s="919"/>
      <c r="AN227" s="919"/>
    </row>
    <row r="228" spans="1:40" s="405" customFormat="1" ht="15.75" customHeight="1" x14ac:dyDescent="0.25">
      <c r="A228" s="589" t="s">
        <v>499</v>
      </c>
      <c r="B228" s="552" t="s">
        <v>552</v>
      </c>
      <c r="C228" s="552" t="s">
        <v>535</v>
      </c>
      <c r="D228" s="552" t="s">
        <v>540</v>
      </c>
      <c r="E228" s="552" t="s">
        <v>541</v>
      </c>
      <c r="F228" s="552" t="s">
        <v>166</v>
      </c>
      <c r="G228" s="552" t="s">
        <v>542</v>
      </c>
      <c r="H228" s="552" t="s">
        <v>802</v>
      </c>
      <c r="I228" s="590" t="s">
        <v>1127</v>
      </c>
      <c r="J228" s="552" t="s">
        <v>715</v>
      </c>
      <c r="K228" s="552" t="s">
        <v>1359</v>
      </c>
      <c r="L228" s="552" t="s">
        <v>821</v>
      </c>
      <c r="M228" s="552" t="s">
        <v>822</v>
      </c>
      <c r="N228" s="573">
        <v>97.116680000000002</v>
      </c>
      <c r="O228" s="573">
        <v>23.24661</v>
      </c>
      <c r="P228" s="592">
        <v>87.3</v>
      </c>
      <c r="Q228" s="573">
        <v>29</v>
      </c>
      <c r="R228" s="592">
        <v>178</v>
      </c>
      <c r="S228" s="574">
        <f>IF(CampList[[#This Row],[HH]]&gt;0,CampList[[#This Row],[Total]]/CampList[[#This Row],[HH]],"NA")</f>
        <v>6.1379310344827589</v>
      </c>
      <c r="T228" s="402" t="s">
        <v>510</v>
      </c>
      <c r="U228" s="553" t="s">
        <v>1180</v>
      </c>
      <c r="V228" s="402" t="s">
        <v>553</v>
      </c>
      <c r="W228" s="402" t="s">
        <v>802</v>
      </c>
      <c r="X228" s="593">
        <v>41030</v>
      </c>
      <c r="Y228" s="592"/>
      <c r="Z228" s="592" t="s">
        <v>1250</v>
      </c>
      <c r="AA228" s="552" t="s">
        <v>841</v>
      </c>
      <c r="AB228" s="573"/>
      <c r="AC228" s="578">
        <v>42915</v>
      </c>
      <c r="AD228" s="594" t="s">
        <v>1602</v>
      </c>
      <c r="AE228" s="580" t="s">
        <v>1074</v>
      </c>
      <c r="AF228" s="595">
        <f>IF(CampList[[#This Row],[Type of Accomodation]]="camp",MAX(0,CampList[[#This Row],[HH]]-SUMIF(Table_Shelter[Pcode],CampList[[#This Row],[CP_Pcode]],Table_Shelter[HH Covered2])),0)</f>
        <v>0</v>
      </c>
      <c r="AG228" s="402"/>
      <c r="AH228" s="572">
        <f>MIN(CampList[[#This Row],[Shelter Gap]],CampList[[#This Row],[Land Status]])</f>
        <v>0</v>
      </c>
      <c r="AI228" s="595" t="str">
        <f ca="1">IFERROR(OFFSET(DistanceToCamp[Nearest Town],MATCH(CampList[[#This Row],[CP_Pcode]],DistanceToCamp[CP_Pcode],0)-1,0,1,1),"")</f>
        <v>Manton Town</v>
      </c>
      <c r="AJ228" s="581">
        <f ca="1">IFERROR(OFFSET(DistanceToCamp[distance],MATCH(CampList[[#This Row],[CP_Pcode]],DistanceToCamp[CP_Pcode],0)-1,0,1,1),"")</f>
        <v>0.71762888500316424</v>
      </c>
      <c r="AK228" s="596">
        <f ca="1">IFERROR(INT(CampList[[#This Row],[Distance]]/5)+1,"")</f>
        <v>1</v>
      </c>
      <c r="AM228" s="919"/>
      <c r="AN228" s="919"/>
    </row>
    <row r="229" spans="1:40" s="405" customFormat="1" ht="15.75" customHeight="1" x14ac:dyDescent="0.25">
      <c r="A229" s="570" t="s">
        <v>499</v>
      </c>
      <c r="B229" s="551" t="s">
        <v>552</v>
      </c>
      <c r="C229" s="551" t="s">
        <v>535</v>
      </c>
      <c r="D229" s="551" t="s">
        <v>540</v>
      </c>
      <c r="E229" s="551" t="s">
        <v>541</v>
      </c>
      <c r="F229" s="551" t="s">
        <v>298</v>
      </c>
      <c r="G229" s="551" t="s">
        <v>549</v>
      </c>
      <c r="H229" s="599" t="s">
        <v>816</v>
      </c>
      <c r="I229" s="551" t="s">
        <v>817</v>
      </c>
      <c r="J229" s="599" t="s">
        <v>818</v>
      </c>
      <c r="K229" s="599" t="s">
        <v>819</v>
      </c>
      <c r="L229" s="551" t="s">
        <v>592</v>
      </c>
      <c r="M229" s="551" t="s">
        <v>823</v>
      </c>
      <c r="N229" s="571">
        <v>97.398989</v>
      </c>
      <c r="O229" s="571">
        <v>23.088058</v>
      </c>
      <c r="P229" s="572">
        <v>1948</v>
      </c>
      <c r="Q229" s="777">
        <v>118</v>
      </c>
      <c r="R229" s="778">
        <v>520</v>
      </c>
      <c r="S229" s="574">
        <f>IF(CampList[[#This Row],[HH]]&gt;0,CampList[[#This Row],[Total]]/CampList[[#This Row],[HH]],"NA")</f>
        <v>4.406779661016949</v>
      </c>
      <c r="T229" s="553" t="s">
        <v>510</v>
      </c>
      <c r="U229" s="553" t="s">
        <v>1180</v>
      </c>
      <c r="V229" s="553" t="s">
        <v>12</v>
      </c>
      <c r="W229" s="553" t="s">
        <v>802</v>
      </c>
      <c r="X229" s="575"/>
      <c r="Y229" s="576"/>
      <c r="Z229" s="575"/>
      <c r="AA229" s="598" t="s">
        <v>841</v>
      </c>
      <c r="AB229" s="577"/>
      <c r="AC229" s="578">
        <v>41883</v>
      </c>
      <c r="AD229" s="570" t="s">
        <v>1104</v>
      </c>
      <c r="AE229" s="580" t="s">
        <v>1074</v>
      </c>
      <c r="AF229" s="402">
        <f>IF(CampList[[#This Row],[Type of Accomodation]]="camp",MAX(0,CampList[[#This Row],[HH]]-SUMIF(Table_Shelter[Pcode],CampList[[#This Row],[CP_Pcode]],Table_Shelter[HH Covered2])),0)</f>
        <v>0</v>
      </c>
      <c r="AG229" s="553"/>
      <c r="AH229" s="577">
        <f>MIN(CampList[[#This Row],[Shelter Gap]],CampList[[#This Row],[Land Status]])</f>
        <v>0</v>
      </c>
      <c r="AI229" s="553" t="str">
        <f ca="1">IFERROR(OFFSET(DistanceToCamp[Nearest Town],MATCH(CampList[[#This Row],[CP_Pcode]],DistanceToCamp[CP_Pcode],0)-1,0,1,1),"")</f>
        <v>Namtu Town</v>
      </c>
      <c r="AJ229" s="581">
        <f ca="1">IFERROR(OFFSET(DistanceToCamp[distance],MATCH(CampList[[#This Row],[CP_Pcode]],DistanceToCamp[CP_Pcode],0)-1,0,1,1),"")</f>
        <v>0.63626694856259092</v>
      </c>
      <c r="AK229" s="582">
        <f ca="1">IFERROR(INT(CampList[[#This Row],[Distance]]/5)+1,"")</f>
        <v>1</v>
      </c>
      <c r="AM229" s="919"/>
      <c r="AN229" s="919"/>
    </row>
    <row r="230" spans="1:40" s="405" customFormat="1" ht="15.75" hidden="1" customHeight="1" x14ac:dyDescent="0.25">
      <c r="A230" s="617" t="s">
        <v>842</v>
      </c>
      <c r="B230" s="551" t="s">
        <v>552</v>
      </c>
      <c r="C230" s="551" t="s">
        <v>535</v>
      </c>
      <c r="D230" s="551" t="s">
        <v>230</v>
      </c>
      <c r="E230" s="551" t="s">
        <v>536</v>
      </c>
      <c r="F230" s="551" t="s">
        <v>146</v>
      </c>
      <c r="G230" s="551" t="s">
        <v>543</v>
      </c>
      <c r="H230" s="551" t="s">
        <v>928</v>
      </c>
      <c r="I230" s="551"/>
      <c r="J230" s="551" t="s">
        <v>928</v>
      </c>
      <c r="K230" s="551"/>
      <c r="L230" s="551" t="s">
        <v>929</v>
      </c>
      <c r="M230" s="551" t="s">
        <v>930</v>
      </c>
      <c r="N230" s="573"/>
      <c r="O230" s="573"/>
      <c r="P230" s="592"/>
      <c r="Q230" s="705">
        <v>0</v>
      </c>
      <c r="R230" s="706">
        <v>0</v>
      </c>
      <c r="S230" s="574" t="str">
        <f>IF(CampList[[#This Row],[HH]]&gt;0,CampList[[#This Row],[Total]]/CampList[[#This Row],[HH]],"NA")</f>
        <v>NA</v>
      </c>
      <c r="T230" s="553" t="s">
        <v>512</v>
      </c>
      <c r="U230" s="583" t="s">
        <v>1180</v>
      </c>
      <c r="V230" s="553" t="s">
        <v>553</v>
      </c>
      <c r="W230" s="553" t="s">
        <v>855</v>
      </c>
      <c r="X230" s="593"/>
      <c r="Y230" s="592"/>
      <c r="Z230" s="577"/>
      <c r="AA230" s="551" t="s">
        <v>841</v>
      </c>
      <c r="AB230" s="577"/>
      <c r="AC230" s="578">
        <v>41289</v>
      </c>
      <c r="AD230" s="579" t="s">
        <v>934</v>
      </c>
      <c r="AE230" s="602" t="s">
        <v>1006</v>
      </c>
      <c r="AF230" s="402">
        <f>IF(CampList[[#This Row],[Type of Accomodation]]="camp",MAX(0,CampList[[#This Row],[HH]]-SUMIF(Table_Shelter[Pcode],CampList[[#This Row],[CP_Pcode]],Table_Shelter[HH Covered2])),0)</f>
        <v>0</v>
      </c>
      <c r="AG230" s="553"/>
      <c r="AH230" s="577">
        <f>MIN(CampList[[#This Row],[Shelter Gap]],CampList[[#This Row],[Land Status]])</f>
        <v>0</v>
      </c>
      <c r="AI230" s="553" t="str">
        <f ca="1">IFERROR(OFFSET(DistanceToCamp[Nearest Town],MATCH(CampList[[#This Row],[CP_Pcode]],DistanceToCamp[CP_Pcode],0)-1,0,1,1),"")</f>
        <v/>
      </c>
      <c r="AJ230" s="581" t="str">
        <f ca="1">IFERROR(OFFSET(DistanceToCamp[distance],MATCH(CampList[[#This Row],[CP_Pcode]],DistanceToCamp[CP_Pcode],0)-1,0,1,1),"")</f>
        <v/>
      </c>
      <c r="AK230" s="582" t="str">
        <f ca="1">IFERROR(INT(CampList[[#This Row],[Distance]]/5)+1,"")</f>
        <v/>
      </c>
      <c r="AM230" s="919"/>
      <c r="AN230" s="919"/>
    </row>
    <row r="231" spans="1:40" s="405" customFormat="1" ht="15.75" hidden="1" customHeight="1" x14ac:dyDescent="0.25">
      <c r="A231" s="570" t="s">
        <v>842</v>
      </c>
      <c r="B231" s="551" t="s">
        <v>380</v>
      </c>
      <c r="C231" s="551" t="s">
        <v>524</v>
      </c>
      <c r="D231" s="551" t="s">
        <v>180</v>
      </c>
      <c r="E231" s="551" t="s">
        <v>525</v>
      </c>
      <c r="F231" s="551" t="s">
        <v>526</v>
      </c>
      <c r="G231" s="551" t="s">
        <v>527</v>
      </c>
      <c r="H231" s="579" t="s">
        <v>602</v>
      </c>
      <c r="I231" s="579" t="s">
        <v>603</v>
      </c>
      <c r="J231" s="579" t="s">
        <v>604</v>
      </c>
      <c r="K231" s="579" t="s">
        <v>605</v>
      </c>
      <c r="L231" s="551" t="s">
        <v>112</v>
      </c>
      <c r="M231" s="551" t="s">
        <v>111</v>
      </c>
      <c r="N231" s="571">
        <v>96.31326</v>
      </c>
      <c r="O231" s="571">
        <v>25.611899999999999</v>
      </c>
      <c r="P231" s="592"/>
      <c r="Q231" s="705">
        <v>0</v>
      </c>
      <c r="R231" s="706">
        <v>0</v>
      </c>
      <c r="S231" s="574" t="str">
        <f>IF(CampList[[#This Row],[HH]]&gt;0,CampList[[#This Row],[Total]]/CampList[[#This Row],[HH]],"NA")</f>
        <v>NA</v>
      </c>
      <c r="T231" s="553" t="s">
        <v>510</v>
      </c>
      <c r="U231" s="583" t="s">
        <v>1180</v>
      </c>
      <c r="V231" s="553" t="s">
        <v>553</v>
      </c>
      <c r="W231" s="583"/>
      <c r="X231" s="600"/>
      <c r="Y231" s="591"/>
      <c r="Z231" s="601"/>
      <c r="AA231" s="598"/>
      <c r="AB231" s="577"/>
      <c r="AC231" s="604"/>
      <c r="AD231" s="570" t="s">
        <v>600</v>
      </c>
      <c r="AE231" s="602" t="s">
        <v>1006</v>
      </c>
      <c r="AF231" s="402">
        <f>IF(CampList[[#This Row],[Type of Accomodation]]="camp",MAX(0,CampList[[#This Row],[HH]]-SUMIF(Table_Shelter[Pcode],CampList[[#This Row],[CP_Pcode]],Table_Shelter[HH Covered2])),0)</f>
        <v>0</v>
      </c>
      <c r="AG231" s="553"/>
      <c r="AH231" s="577">
        <f>MIN(CampList[[#This Row],[Shelter Gap]],CampList[[#This Row],[Land Status]])</f>
        <v>0</v>
      </c>
      <c r="AI231" s="553" t="str">
        <f ca="1">IFERROR(OFFSET(DistanceToCamp[Nearest Town],MATCH(CampList[[#This Row],[CP_Pcode]],DistanceToCamp[CP_Pcode],0)-1,0,1,1),"")</f>
        <v/>
      </c>
      <c r="AJ231" s="581" t="str">
        <f ca="1">IFERROR(OFFSET(DistanceToCamp[distance],MATCH(CampList[[#This Row],[CP_Pcode]],DistanceToCamp[CP_Pcode],0)-1,0,1,1),"")</f>
        <v/>
      </c>
      <c r="AK231" s="582" t="str">
        <f ca="1">IFERROR(INT(CampList[[#This Row],[Distance]]/5)+1,"")</f>
        <v/>
      </c>
      <c r="AM231" s="919"/>
      <c r="AN231" s="919"/>
    </row>
    <row r="232" spans="1:40" s="375" customFormat="1" ht="15.75" hidden="1" customHeight="1" x14ac:dyDescent="0.25">
      <c r="A232" s="570" t="s">
        <v>842</v>
      </c>
      <c r="B232" s="551" t="s">
        <v>380</v>
      </c>
      <c r="C232" s="551" t="s">
        <v>524</v>
      </c>
      <c r="D232" s="551" t="s">
        <v>5</v>
      </c>
      <c r="E232" s="551" t="s">
        <v>528</v>
      </c>
      <c r="F232" s="551" t="s">
        <v>185</v>
      </c>
      <c r="G232" s="551" t="s">
        <v>532</v>
      </c>
      <c r="H232" s="551" t="s">
        <v>661</v>
      </c>
      <c r="I232" s="551" t="s">
        <v>662</v>
      </c>
      <c r="J232" s="551" t="s">
        <v>663</v>
      </c>
      <c r="K232" s="551" t="s">
        <v>664</v>
      </c>
      <c r="L232" s="551" t="s">
        <v>217</v>
      </c>
      <c r="M232" s="551" t="s">
        <v>216</v>
      </c>
      <c r="N232" s="571">
        <v>97.347740000000002</v>
      </c>
      <c r="O232" s="571">
        <v>24.253769999999999</v>
      </c>
      <c r="P232" s="572">
        <v>0</v>
      </c>
      <c r="Q232" s="595"/>
      <c r="R232" s="602"/>
      <c r="S232" s="574" t="str">
        <f>IF(CampList[[#This Row],[HH]]&gt;0,CampList[[#This Row],[Total]]/CampList[[#This Row],[HH]],"NA")</f>
        <v>NA</v>
      </c>
      <c r="T232" s="553" t="s">
        <v>510</v>
      </c>
      <c r="U232" s="583" t="s">
        <v>1180</v>
      </c>
      <c r="V232" s="553" t="s">
        <v>553</v>
      </c>
      <c r="W232" s="583" t="s">
        <v>802</v>
      </c>
      <c r="X232" s="584">
        <v>40817</v>
      </c>
      <c r="Y232" s="585">
        <v>1</v>
      </c>
      <c r="Z232" s="584" t="s">
        <v>504</v>
      </c>
      <c r="AA232" s="551" t="s">
        <v>841</v>
      </c>
      <c r="AB232" s="577"/>
      <c r="AC232" s="578">
        <v>42537</v>
      </c>
      <c r="AD232" s="579" t="s">
        <v>1373</v>
      </c>
      <c r="AE232" s="580" t="s">
        <v>1088</v>
      </c>
      <c r="AF232" s="402">
        <f>IF(CampList[[#This Row],[Type of Accomodation]]="camp",MAX(0,CampList[[#This Row],[HH]]-SUMIF(Table_Shelter[Pcode],CampList[[#This Row],[CP_Pcode]],Table_Shelter[HH Covered2])),0)</f>
        <v>0</v>
      </c>
      <c r="AG232" s="402"/>
      <c r="AH232" s="577">
        <f>MIN(CampList[[#This Row],[Shelter Gap]],CampList[[#This Row],[Land Status]])</f>
        <v>0</v>
      </c>
      <c r="AI232" s="553" t="str">
        <f ca="1">IFERROR(OFFSET(DistanceToCamp[Nearest Town],MATCH(CampList[[#This Row],[CP_Pcode]],DistanceToCamp[CP_Pcode],0)-1,0,1,1),"")</f>
        <v>Momauk Town</v>
      </c>
      <c r="AJ232" s="581">
        <f ca="1">IFERROR(OFFSET(DistanceToCamp[distance],MATCH(CampList[[#This Row],[CP_Pcode]],DistanceToCamp[CP_Pcode],0)-1,0,1,1),"")</f>
        <v>0.32830807173487342</v>
      </c>
      <c r="AK232" s="582">
        <f ca="1">IFERROR(INT(CampList[[#This Row],[Distance]]/5)+1,"")</f>
        <v>1</v>
      </c>
      <c r="AM232" s="919"/>
      <c r="AN232" s="919"/>
    </row>
    <row r="233" spans="1:40" s="405" customFormat="1" ht="15.75" hidden="1" customHeight="1" x14ac:dyDescent="0.25">
      <c r="A233" s="570" t="s">
        <v>842</v>
      </c>
      <c r="B233" s="551" t="s">
        <v>380</v>
      </c>
      <c r="C233" s="551" t="s">
        <v>524</v>
      </c>
      <c r="D233" s="551" t="s">
        <v>180</v>
      </c>
      <c r="E233" s="551" t="s">
        <v>525</v>
      </c>
      <c r="F233" s="551" t="s">
        <v>526</v>
      </c>
      <c r="G233" s="551" t="s">
        <v>527</v>
      </c>
      <c r="H233" s="579" t="s">
        <v>602</v>
      </c>
      <c r="I233" s="579" t="s">
        <v>603</v>
      </c>
      <c r="J233" s="579" t="s">
        <v>702</v>
      </c>
      <c r="K233" s="579" t="s">
        <v>703</v>
      </c>
      <c r="L233" s="551" t="s">
        <v>114</v>
      </c>
      <c r="M233" s="551" t="s">
        <v>113</v>
      </c>
      <c r="N233" s="571"/>
      <c r="O233" s="571"/>
      <c r="P233" s="592"/>
      <c r="Q233" s="705">
        <v>0</v>
      </c>
      <c r="R233" s="706">
        <v>0</v>
      </c>
      <c r="S233" s="574" t="str">
        <f>IF(CampList[[#This Row],[HH]]&gt;0,CampList[[#This Row],[Total]]/CampList[[#This Row],[HH]],"NA")</f>
        <v>NA</v>
      </c>
      <c r="T233" s="553" t="s">
        <v>510</v>
      </c>
      <c r="U233" s="583" t="s">
        <v>1180</v>
      </c>
      <c r="V233" s="553" t="s">
        <v>553</v>
      </c>
      <c r="W233" s="583"/>
      <c r="X233" s="600"/>
      <c r="Y233" s="591"/>
      <c r="Z233" s="601"/>
      <c r="AA233" s="598"/>
      <c r="AB233" s="577"/>
      <c r="AC233" s="604"/>
      <c r="AD233" s="570" t="s">
        <v>600</v>
      </c>
      <c r="AE233" s="602" t="s">
        <v>1006</v>
      </c>
      <c r="AF233" s="402">
        <f>IF(CampList[[#This Row],[Type of Accomodation]]="camp",MAX(0,CampList[[#This Row],[HH]]-SUMIF(Table_Shelter[Pcode],CampList[[#This Row],[CP_Pcode]],Table_Shelter[HH Covered2])),0)</f>
        <v>0</v>
      </c>
      <c r="AG233" s="553"/>
      <c r="AH233" s="577">
        <f>MIN(CampList[[#This Row],[Shelter Gap]],CampList[[#This Row],[Land Status]])</f>
        <v>0</v>
      </c>
      <c r="AI233" s="553" t="str">
        <f ca="1">IFERROR(OFFSET(DistanceToCamp[Nearest Town],MATCH(CampList[[#This Row],[CP_Pcode]],DistanceToCamp[CP_Pcode],0)-1,0,1,1),"")</f>
        <v/>
      </c>
      <c r="AJ233" s="581" t="str">
        <f ca="1">IFERROR(OFFSET(DistanceToCamp[distance],MATCH(CampList[[#This Row],[CP_Pcode]],DistanceToCamp[CP_Pcode],0)-1,0,1,1),"")</f>
        <v/>
      </c>
      <c r="AK233" s="582" t="str">
        <f ca="1">IFERROR(INT(CampList[[#This Row],[Distance]]/5)+1,"")</f>
        <v/>
      </c>
      <c r="AM233" s="919"/>
      <c r="AN233" s="919"/>
    </row>
    <row r="234" spans="1:40" s="405" customFormat="1" ht="15.75" hidden="1" customHeight="1" x14ac:dyDescent="0.25">
      <c r="A234" s="617" t="s">
        <v>842</v>
      </c>
      <c r="B234" s="551" t="s">
        <v>552</v>
      </c>
      <c r="C234" s="551" t="s">
        <v>535</v>
      </c>
      <c r="D234" s="551" t="s">
        <v>230</v>
      </c>
      <c r="E234" s="551" t="s">
        <v>536</v>
      </c>
      <c r="F234" s="551" t="s">
        <v>146</v>
      </c>
      <c r="G234" s="551" t="s">
        <v>543</v>
      </c>
      <c r="H234" s="551" t="s">
        <v>928</v>
      </c>
      <c r="I234" s="551"/>
      <c r="J234" s="551" t="s">
        <v>928</v>
      </c>
      <c r="K234" s="551"/>
      <c r="L234" s="551" t="s">
        <v>931</v>
      </c>
      <c r="M234" s="551" t="s">
        <v>932</v>
      </c>
      <c r="N234" s="573"/>
      <c r="O234" s="573"/>
      <c r="P234" s="592"/>
      <c r="Q234" s="705">
        <v>0</v>
      </c>
      <c r="R234" s="706">
        <v>0</v>
      </c>
      <c r="S234" s="574" t="str">
        <f>IF(CampList[[#This Row],[HH]]&gt;0,CampList[[#This Row],[Total]]/CampList[[#This Row],[HH]],"NA")</f>
        <v>NA</v>
      </c>
      <c r="T234" s="553" t="s">
        <v>512</v>
      </c>
      <c r="U234" s="583" t="s">
        <v>1180</v>
      </c>
      <c r="V234" s="553" t="s">
        <v>553</v>
      </c>
      <c r="W234" s="553" t="s">
        <v>855</v>
      </c>
      <c r="X234" s="593"/>
      <c r="Y234" s="592"/>
      <c r="Z234" s="577"/>
      <c r="AA234" s="551" t="s">
        <v>841</v>
      </c>
      <c r="AB234" s="577"/>
      <c r="AC234" s="578">
        <v>41289</v>
      </c>
      <c r="AD234" s="579" t="s">
        <v>935</v>
      </c>
      <c r="AE234" s="602" t="s">
        <v>1006</v>
      </c>
      <c r="AF234" s="402">
        <f>IF(CampList[[#This Row],[Type of Accomodation]]="camp",MAX(0,CampList[[#This Row],[HH]]-SUMIF(Table_Shelter[Pcode],CampList[[#This Row],[CP_Pcode]],Table_Shelter[HH Covered2])),0)</f>
        <v>0</v>
      </c>
      <c r="AG234" s="553"/>
      <c r="AH234" s="577">
        <f>MIN(CampList[[#This Row],[Shelter Gap]],CampList[[#This Row],[Land Status]])</f>
        <v>0</v>
      </c>
      <c r="AI234" s="553" t="str">
        <f ca="1">IFERROR(OFFSET(DistanceToCamp[Nearest Town],MATCH(CampList[[#This Row],[CP_Pcode]],DistanceToCamp[CP_Pcode],0)-1,0,1,1),"")</f>
        <v/>
      </c>
      <c r="AJ234" s="581" t="str">
        <f ca="1">IFERROR(OFFSET(DistanceToCamp[distance],MATCH(CampList[[#This Row],[CP_Pcode]],DistanceToCamp[CP_Pcode],0)-1,0,1,1),"")</f>
        <v/>
      </c>
      <c r="AK234" s="582" t="str">
        <f ca="1">IFERROR(INT(CampList[[#This Row],[Distance]]/5)+1,"")</f>
        <v/>
      </c>
      <c r="AM234" s="919"/>
      <c r="AN234" s="919">
        <v>142</v>
      </c>
    </row>
    <row r="235" spans="1:40" s="749" customFormat="1" ht="15.75" hidden="1" customHeight="1" x14ac:dyDescent="0.25">
      <c r="A235" s="570" t="s">
        <v>842</v>
      </c>
      <c r="B235" s="551" t="s">
        <v>380</v>
      </c>
      <c r="C235" s="551" t="s">
        <v>524</v>
      </c>
      <c r="D235" s="551" t="s">
        <v>180</v>
      </c>
      <c r="E235" s="551" t="s">
        <v>525</v>
      </c>
      <c r="F235" s="551" t="s">
        <v>526</v>
      </c>
      <c r="G235" s="551" t="s">
        <v>527</v>
      </c>
      <c r="H235" s="551"/>
      <c r="I235" s="551"/>
      <c r="J235" s="551"/>
      <c r="K235" s="551"/>
      <c r="L235" s="551" t="s">
        <v>122</v>
      </c>
      <c r="M235" s="551" t="s">
        <v>121</v>
      </c>
      <c r="N235" s="571"/>
      <c r="O235" s="571"/>
      <c r="P235" s="592"/>
      <c r="Q235" s="705">
        <v>0</v>
      </c>
      <c r="R235" s="706">
        <v>0</v>
      </c>
      <c r="S235" s="574" t="str">
        <f>IF(CampList[[#This Row],[HH]]&gt;0,CampList[[#This Row],[Total]]/CampList[[#This Row],[HH]],"NA")</f>
        <v>NA</v>
      </c>
      <c r="T235" s="553" t="s">
        <v>510</v>
      </c>
      <c r="U235" s="583" t="s">
        <v>1180</v>
      </c>
      <c r="V235" s="553" t="s">
        <v>553</v>
      </c>
      <c r="W235" s="583"/>
      <c r="X235" s="600"/>
      <c r="Y235" s="591"/>
      <c r="Z235" s="601"/>
      <c r="AA235" s="751"/>
      <c r="AB235" s="577"/>
      <c r="AC235" s="604"/>
      <c r="AD235" s="570"/>
      <c r="AE235" s="602" t="s">
        <v>1006</v>
      </c>
      <c r="AF235" s="402">
        <f>IF(CampList[[#This Row],[Type of Accomodation]]="camp",MAX(0,CampList[[#This Row],[HH]]-SUMIF(Table_Shelter[Pcode],CampList[[#This Row],[CP_Pcode]],Table_Shelter[HH Covered2])),0)</f>
        <v>0</v>
      </c>
      <c r="AG235" s="553"/>
      <c r="AH235" s="577">
        <f>MIN(CampList[[#This Row],[Shelter Gap]],CampList[[#This Row],[Land Status]])</f>
        <v>0</v>
      </c>
      <c r="AI235" s="553" t="str">
        <f ca="1">IFERROR(OFFSET(DistanceToCamp[Nearest Town],MATCH(CampList[[#This Row],[CP_Pcode]],DistanceToCamp[CP_Pcode],0)-1,0,1,1),"")</f>
        <v/>
      </c>
      <c r="AJ235" s="581" t="str">
        <f ca="1">IFERROR(OFFSET(DistanceToCamp[distance],MATCH(CampList[[#This Row],[CP_Pcode]],DistanceToCamp[CP_Pcode],0)-1,0,1,1),"")</f>
        <v/>
      </c>
      <c r="AK235" s="582" t="str">
        <f ca="1">IFERROR(INT(CampList[[#This Row],[Distance]]/5)+1,"")</f>
        <v/>
      </c>
      <c r="AM235" s="920"/>
      <c r="AN235" s="920"/>
    </row>
    <row r="236" spans="1:40" s="405" customFormat="1" ht="15.75" customHeight="1" x14ac:dyDescent="0.25">
      <c r="A236" s="570" t="s">
        <v>499</v>
      </c>
      <c r="B236" s="551" t="s">
        <v>552</v>
      </c>
      <c r="C236" s="551" t="s">
        <v>535</v>
      </c>
      <c r="D236" s="551" t="s">
        <v>230</v>
      </c>
      <c r="E236" s="551" t="s">
        <v>536</v>
      </c>
      <c r="F236" s="551" t="s">
        <v>230</v>
      </c>
      <c r="G236" s="551" t="s">
        <v>537</v>
      </c>
      <c r="H236" s="551" t="s">
        <v>1045</v>
      </c>
      <c r="I236" s="551" t="s">
        <v>1046</v>
      </c>
      <c r="J236" s="551" t="s">
        <v>1047</v>
      </c>
      <c r="K236" s="599" t="s">
        <v>1048</v>
      </c>
      <c r="L236" s="551" t="s">
        <v>1049</v>
      </c>
      <c r="M236" s="551" t="s">
        <v>1050</v>
      </c>
      <c r="N236" s="571">
        <v>97.909400000000005</v>
      </c>
      <c r="O236" s="571">
        <v>24.006319999999999</v>
      </c>
      <c r="P236" s="592">
        <v>812.7</v>
      </c>
      <c r="Q236" s="776">
        <v>44</v>
      </c>
      <c r="R236" s="776">
        <v>214</v>
      </c>
      <c r="S236" s="574">
        <f>IF(CampList[[#This Row],[HH]]&gt;0,CampList[[#This Row],[Total]]/CampList[[#This Row],[HH]],"NA")</f>
        <v>4.8636363636363633</v>
      </c>
      <c r="T236" s="553" t="s">
        <v>510</v>
      </c>
      <c r="U236" s="553" t="s">
        <v>1180</v>
      </c>
      <c r="V236" s="553" t="s">
        <v>553</v>
      </c>
      <c r="W236" s="553" t="s">
        <v>802</v>
      </c>
      <c r="X236" s="593">
        <v>41703</v>
      </c>
      <c r="Y236" s="592"/>
      <c r="Z236" s="577" t="s">
        <v>459</v>
      </c>
      <c r="AA236" s="551" t="s">
        <v>841</v>
      </c>
      <c r="AB236" s="577"/>
      <c r="AC236" s="578">
        <v>42919</v>
      </c>
      <c r="AD236" s="579" t="s">
        <v>1691</v>
      </c>
      <c r="AE236" s="602" t="s">
        <v>1088</v>
      </c>
      <c r="AF236" s="402">
        <f>IF(CampList[[#This Row],[Type of Accomodation]]="camp",MAX(0,CampList[[#This Row],[HH]]-SUMIF(Table_Shelter[Pcode],CampList[[#This Row],[CP_Pcode]],Table_Shelter[HH Covered2])),0)</f>
        <v>0</v>
      </c>
      <c r="AG236" s="553"/>
      <c r="AH236" s="577">
        <f>MIN(CampList[[#This Row],[Shelter Gap]],CampList[[#This Row],[Land Status]])</f>
        <v>0</v>
      </c>
      <c r="AI236" s="553" t="str">
        <f ca="1">IFERROR(OFFSET(DistanceToCamp[Nearest Town],MATCH(CampList[[#This Row],[CP_Pcode]],DistanceToCamp[CP_Pcode],0)-1,0,1,1),"")</f>
        <v>Muse Town</v>
      </c>
      <c r="AJ236" s="581">
        <f ca="1">IFERROR(OFFSET(DistanceToCamp[distance],MATCH(CampList[[#This Row],[CP_Pcode]],DistanceToCamp[CP_Pcode],0)-1,0,1,1),"")</f>
        <v>1.989668595899414</v>
      </c>
      <c r="AK236" s="582">
        <f ca="1">IFERROR(INT(CampList[[#This Row],[Distance]]/5)+1,"")</f>
        <v>1</v>
      </c>
      <c r="AM236" s="919"/>
      <c r="AN236" s="919"/>
    </row>
    <row r="237" spans="1:40" s="405" customFormat="1" ht="15.75" customHeight="1" x14ac:dyDescent="0.25">
      <c r="A237" s="570" t="s">
        <v>499</v>
      </c>
      <c r="B237" s="551" t="s">
        <v>552</v>
      </c>
      <c r="C237" s="551" t="s">
        <v>535</v>
      </c>
      <c r="D237" s="551" t="s">
        <v>230</v>
      </c>
      <c r="E237" s="551" t="s">
        <v>536</v>
      </c>
      <c r="F237" s="551" t="s">
        <v>289</v>
      </c>
      <c r="G237" s="551" t="s">
        <v>548</v>
      </c>
      <c r="H237" s="551" t="s">
        <v>750</v>
      </c>
      <c r="I237" s="551" t="s">
        <v>751</v>
      </c>
      <c r="J237" s="551" t="s">
        <v>750</v>
      </c>
      <c r="K237" s="551">
        <v>208353</v>
      </c>
      <c r="L237" s="551" t="s">
        <v>1051</v>
      </c>
      <c r="M237" s="551" t="s">
        <v>1052</v>
      </c>
      <c r="N237" s="571">
        <v>97.700940000000003</v>
      </c>
      <c r="O237" s="571">
        <v>23.841646999999998</v>
      </c>
      <c r="P237" s="592">
        <v>798</v>
      </c>
      <c r="Q237" s="776">
        <v>36</v>
      </c>
      <c r="R237" s="776">
        <v>179</v>
      </c>
      <c r="S237" s="574">
        <f>IF(CampList[[#This Row],[HH]]&gt;0,CampList[[#This Row],[Total]]/CampList[[#This Row],[HH]],"NA")</f>
        <v>4.9722222222222223</v>
      </c>
      <c r="T237" s="553" t="s">
        <v>510</v>
      </c>
      <c r="U237" s="553" t="s">
        <v>1180</v>
      </c>
      <c r="V237" s="553" t="s">
        <v>553</v>
      </c>
      <c r="W237" s="553" t="s">
        <v>802</v>
      </c>
      <c r="X237" s="593">
        <v>41947</v>
      </c>
      <c r="Y237" s="592"/>
      <c r="Z237" s="577" t="s">
        <v>459</v>
      </c>
      <c r="AA237" s="551" t="s">
        <v>841</v>
      </c>
      <c r="AB237" s="577"/>
      <c r="AC237" s="578">
        <v>42919</v>
      </c>
      <c r="AD237" s="579" t="s">
        <v>1677</v>
      </c>
      <c r="AE237" s="602" t="s">
        <v>1088</v>
      </c>
      <c r="AF237" s="402">
        <f>IF(CampList[[#This Row],[Type of Accomodation]]="camp",MAX(0,CampList[[#This Row],[HH]]-SUMIF(Table_Shelter[Pcode],CampList[[#This Row],[CP_Pcode]],Table_Shelter[HH Covered2])),0)</f>
        <v>0</v>
      </c>
      <c r="AG237" s="553"/>
      <c r="AH237" s="577">
        <f>MIN(CampList[[#This Row],[Shelter Gap]],CampList[[#This Row],[Land Status]])</f>
        <v>0</v>
      </c>
      <c r="AI237" s="553" t="str">
        <f ca="1">IFERROR(OFFSET(DistanceToCamp[Nearest Town],MATCH(CampList[[#This Row],[CP_Pcode]],DistanceToCamp[CP_Pcode],0)-1,0,1,1),"")</f>
        <v>Namhkan Town</v>
      </c>
      <c r="AJ237" s="581">
        <f ca="1">IFERROR(OFFSET(DistanceToCamp[distance],MATCH(CampList[[#This Row],[CP_Pcode]],DistanceToCamp[CP_Pcode],0)-1,0,1,1),"")</f>
        <v>2.0141034419413328</v>
      </c>
      <c r="AK237" s="582">
        <f ca="1">IFERROR(INT(CampList[[#This Row],[Distance]]/5)+1,"")</f>
        <v>1</v>
      </c>
      <c r="AM237" s="919"/>
      <c r="AN237" s="919"/>
    </row>
    <row r="238" spans="1:40" s="405" customFormat="1" ht="15.75" customHeight="1" x14ac:dyDescent="0.25">
      <c r="A238" s="570" t="s">
        <v>499</v>
      </c>
      <c r="B238" s="551" t="s">
        <v>552</v>
      </c>
      <c r="C238" s="551" t="s">
        <v>535</v>
      </c>
      <c r="D238" s="551" t="s">
        <v>230</v>
      </c>
      <c r="E238" s="551" t="s">
        <v>536</v>
      </c>
      <c r="F238" s="551" t="s">
        <v>289</v>
      </c>
      <c r="G238" s="551" t="s">
        <v>548</v>
      </c>
      <c r="H238" s="551" t="s">
        <v>1054</v>
      </c>
      <c r="I238" s="551" t="s">
        <v>1053</v>
      </c>
      <c r="J238" s="551" t="s">
        <v>1055</v>
      </c>
      <c r="K238" s="599">
        <v>208338</v>
      </c>
      <c r="L238" s="551" t="s">
        <v>1063</v>
      </c>
      <c r="M238" s="551" t="s">
        <v>1056</v>
      </c>
      <c r="N238" s="571">
        <v>97.709879999999998</v>
      </c>
      <c r="O238" s="571">
        <v>23.838190000000001</v>
      </c>
      <c r="P238" s="592">
        <v>829.8</v>
      </c>
      <c r="Q238" s="776">
        <v>120</v>
      </c>
      <c r="R238" s="776">
        <v>563</v>
      </c>
      <c r="S238" s="574">
        <f>IF(CampList[[#This Row],[HH]]&gt;0,CampList[[#This Row],[Total]]/CampList[[#This Row],[HH]],"NA")</f>
        <v>4.6916666666666664</v>
      </c>
      <c r="T238" s="553" t="s">
        <v>510</v>
      </c>
      <c r="U238" s="553" t="s">
        <v>1180</v>
      </c>
      <c r="V238" s="553" t="s">
        <v>553</v>
      </c>
      <c r="W238" s="553" t="s">
        <v>802</v>
      </c>
      <c r="X238" s="593">
        <v>41747</v>
      </c>
      <c r="Y238" s="592"/>
      <c r="Z238" s="577" t="s">
        <v>459</v>
      </c>
      <c r="AA238" s="551" t="s">
        <v>841</v>
      </c>
      <c r="AB238" s="577"/>
      <c r="AC238" s="578">
        <v>42919</v>
      </c>
      <c r="AD238" s="579" t="s">
        <v>1688</v>
      </c>
      <c r="AE238" s="602" t="s">
        <v>1088</v>
      </c>
      <c r="AF238" s="402">
        <f>IF(CampList[[#This Row],[Type of Accomodation]]="camp",MAX(0,CampList[[#This Row],[HH]]-SUMIF(Table_Shelter[Pcode],CampList[[#This Row],[CP_Pcode]],Table_Shelter[HH Covered2])),0)</f>
        <v>48</v>
      </c>
      <c r="AG238" s="553"/>
      <c r="AH238" s="577">
        <f>MIN(CampList[[#This Row],[Shelter Gap]],CampList[[#This Row],[Land Status]])</f>
        <v>48</v>
      </c>
      <c r="AI238" s="553" t="str">
        <f ca="1">IFERROR(OFFSET(DistanceToCamp[Nearest Town],MATCH(CampList[[#This Row],[CP_Pcode]],DistanceToCamp[CP_Pcode],0)-1,0,1,1),"")</f>
        <v>Namhkan Town</v>
      </c>
      <c r="AJ238" s="581">
        <f ca="1">IFERROR(OFFSET(DistanceToCamp[distance],MATCH(CampList[[#This Row],[CP_Pcode]],DistanceToCamp[CP_Pcode],0)-1,0,1,1),"")</f>
        <v>2.8590638493982405</v>
      </c>
      <c r="AK238" s="582">
        <f ca="1">IFERROR(INT(CampList[[#This Row],[Distance]]/5)+1,"")</f>
        <v>1</v>
      </c>
      <c r="AM238" s="919"/>
      <c r="AN238" s="919"/>
    </row>
    <row r="239" spans="1:40" s="405" customFormat="1" ht="15.75" hidden="1" customHeight="1" x14ac:dyDescent="0.25">
      <c r="A239" s="570" t="s">
        <v>842</v>
      </c>
      <c r="B239" s="551" t="s">
        <v>380</v>
      </c>
      <c r="C239" s="551" t="s">
        <v>524</v>
      </c>
      <c r="D239" s="551" t="s">
        <v>180</v>
      </c>
      <c r="E239" s="551" t="s">
        <v>525</v>
      </c>
      <c r="F239" s="551" t="s">
        <v>526</v>
      </c>
      <c r="G239" s="551" t="s">
        <v>527</v>
      </c>
      <c r="H239" s="551"/>
      <c r="I239" s="551"/>
      <c r="J239" s="551"/>
      <c r="K239" s="551"/>
      <c r="L239" s="551" t="s">
        <v>96</v>
      </c>
      <c r="M239" s="551" t="s">
        <v>95</v>
      </c>
      <c r="N239" s="571"/>
      <c r="O239" s="571"/>
      <c r="P239" s="592"/>
      <c r="Q239" s="705">
        <v>0</v>
      </c>
      <c r="R239" s="706">
        <v>0</v>
      </c>
      <c r="S239" s="574" t="str">
        <f>IF(CampList[[#This Row],[HH]]&gt;0,CampList[[#This Row],[Total]]/CampList[[#This Row],[HH]],"NA")</f>
        <v>NA</v>
      </c>
      <c r="T239" s="553" t="s">
        <v>510</v>
      </c>
      <c r="U239" s="583" t="s">
        <v>1180</v>
      </c>
      <c r="V239" s="553" t="s">
        <v>553</v>
      </c>
      <c r="W239" s="583"/>
      <c r="X239" s="600"/>
      <c r="Y239" s="591"/>
      <c r="Z239" s="601"/>
      <c r="AA239" s="751"/>
      <c r="AB239" s="577"/>
      <c r="AC239" s="604"/>
      <c r="AD239" s="570" t="s">
        <v>600</v>
      </c>
      <c r="AE239" s="602" t="s">
        <v>1006</v>
      </c>
      <c r="AF239" s="402">
        <f>IF(CampList[[#This Row],[Type of Accomodation]]="camp",MAX(0,CampList[[#This Row],[HH]]-SUMIF(Table_Shelter[Pcode],CampList[[#This Row],[CP_Pcode]],Table_Shelter[HH Covered2])),0)</f>
        <v>0</v>
      </c>
      <c r="AG239" s="553"/>
      <c r="AH239" s="577">
        <f>MIN(CampList[[#This Row],[Shelter Gap]],CampList[[#This Row],[Land Status]])</f>
        <v>0</v>
      </c>
      <c r="AI239" s="553" t="str">
        <f ca="1">IFERROR(OFFSET(DistanceToCamp[Nearest Town],MATCH(CampList[[#This Row],[CP_Pcode]],DistanceToCamp[CP_Pcode],0)-1,0,1,1),"")</f>
        <v/>
      </c>
      <c r="AJ239" s="581" t="str">
        <f ca="1">IFERROR(OFFSET(DistanceToCamp[distance],MATCH(CampList[[#This Row],[CP_Pcode]],DistanceToCamp[CP_Pcode],0)-1,0,1,1),"")</f>
        <v/>
      </c>
      <c r="AK239" s="582" t="str">
        <f ca="1">IFERROR(INT(CampList[[#This Row],[Distance]]/5)+1,"")</f>
        <v/>
      </c>
      <c r="AM239" s="919"/>
      <c r="AN239" s="919"/>
    </row>
    <row r="240" spans="1:40" s="405" customFormat="1" ht="15.75" customHeight="1" x14ac:dyDescent="0.25">
      <c r="A240" s="589" t="s">
        <v>499</v>
      </c>
      <c r="B240" s="552" t="s">
        <v>552</v>
      </c>
      <c r="C240" s="552" t="s">
        <v>535</v>
      </c>
      <c r="D240" s="552" t="s">
        <v>230</v>
      </c>
      <c r="E240" s="552" t="s">
        <v>536</v>
      </c>
      <c r="F240" s="552" t="s">
        <v>230</v>
      </c>
      <c r="G240" s="552" t="s">
        <v>537</v>
      </c>
      <c r="H240" s="552" t="s">
        <v>1045</v>
      </c>
      <c r="I240" s="590" t="s">
        <v>1046</v>
      </c>
      <c r="J240" s="552" t="s">
        <v>1047</v>
      </c>
      <c r="K240" s="552" t="s">
        <v>1048</v>
      </c>
      <c r="L240" s="552" t="s">
        <v>1059</v>
      </c>
      <c r="M240" s="552" t="s">
        <v>1060</v>
      </c>
      <c r="N240" s="573">
        <v>97.911647000000002</v>
      </c>
      <c r="O240" s="573">
        <v>24.006789000000001</v>
      </c>
      <c r="P240" s="592">
        <v>814</v>
      </c>
      <c r="Q240" s="573">
        <v>25</v>
      </c>
      <c r="R240" s="592">
        <v>113</v>
      </c>
      <c r="S240" s="574">
        <f>IF(CampList[[#This Row],[HH]]&gt;0,CampList[[#This Row],[Total]]/CampList[[#This Row],[HH]],"NA")</f>
        <v>4.5199999999999996</v>
      </c>
      <c r="T240" s="402" t="s">
        <v>510</v>
      </c>
      <c r="U240" s="553" t="s">
        <v>1180</v>
      </c>
      <c r="V240" s="402" t="s">
        <v>553</v>
      </c>
      <c r="W240" s="402" t="s">
        <v>802</v>
      </c>
      <c r="X240" s="593">
        <v>41734</v>
      </c>
      <c r="Y240" s="592"/>
      <c r="Z240" s="592" t="s">
        <v>1250</v>
      </c>
      <c r="AA240" s="552" t="s">
        <v>841</v>
      </c>
      <c r="AB240" s="573"/>
      <c r="AC240" s="578">
        <v>42915</v>
      </c>
      <c r="AD240" s="594" t="s">
        <v>1603</v>
      </c>
      <c r="AE240" s="580" t="s">
        <v>1088</v>
      </c>
      <c r="AF240" s="595">
        <f>IF(CampList[[#This Row],[Type of Accomodation]]="camp",MAX(0,CampList[[#This Row],[HH]]-SUMIF(Table_Shelter[Pcode],CampList[[#This Row],[CP_Pcode]],Table_Shelter[HH Covered2])),0)</f>
        <v>0</v>
      </c>
      <c r="AG240" s="553"/>
      <c r="AH240" s="572">
        <f>MIN(CampList[[#This Row],[Shelter Gap]],CampList[[#This Row],[Land Status]])</f>
        <v>0</v>
      </c>
      <c r="AI240" s="595" t="str">
        <f ca="1">IFERROR(OFFSET(DistanceToCamp[Nearest Town],MATCH(CampList[[#This Row],[CP_Pcode]],DistanceToCamp[CP_Pcode],0)-1,0,1,1),"")</f>
        <v>Muse Town</v>
      </c>
      <c r="AJ240" s="581">
        <f ca="1">IFERROR(OFFSET(DistanceToCamp[distance],MATCH(CampList[[#This Row],[CP_Pcode]],DistanceToCamp[CP_Pcode],0)-1,0,1,1),"")</f>
        <v>2.1362355825722199</v>
      </c>
      <c r="AK240" s="596">
        <f ca="1">IFERROR(INT(CampList[[#This Row],[Distance]]/5)+1,"")</f>
        <v>1</v>
      </c>
      <c r="AM240" s="919"/>
      <c r="AN240" s="919"/>
    </row>
    <row r="241" spans="1:40" s="405" customFormat="1" ht="15.75" customHeight="1" x14ac:dyDescent="0.25">
      <c r="A241" s="589" t="s">
        <v>499</v>
      </c>
      <c r="B241" s="552" t="s">
        <v>552</v>
      </c>
      <c r="C241" s="552" t="s">
        <v>535</v>
      </c>
      <c r="D241" s="552" t="s">
        <v>230</v>
      </c>
      <c r="E241" s="552" t="s">
        <v>536</v>
      </c>
      <c r="F241" s="552" t="s">
        <v>146</v>
      </c>
      <c r="G241" s="552" t="s">
        <v>543</v>
      </c>
      <c r="H241" s="552" t="s">
        <v>784</v>
      </c>
      <c r="I241" s="590" t="s">
        <v>785</v>
      </c>
      <c r="J241" s="552" t="s">
        <v>786</v>
      </c>
      <c r="K241" s="552">
        <v>219842</v>
      </c>
      <c r="L241" s="552" t="s">
        <v>1097</v>
      </c>
      <c r="M241" s="552" t="s">
        <v>1096</v>
      </c>
      <c r="N241" s="573">
        <v>98.248999999999995</v>
      </c>
      <c r="O241" s="573">
        <v>23.463000000000001</v>
      </c>
      <c r="P241" s="592"/>
      <c r="Q241" s="573">
        <v>22</v>
      </c>
      <c r="R241" s="592">
        <v>105</v>
      </c>
      <c r="S241" s="574">
        <f>IF(CampList[[#This Row],[HH]]&gt;0,CampList[[#This Row],[Total]]/CampList[[#This Row],[HH]],"NA")</f>
        <v>4.7727272727272725</v>
      </c>
      <c r="T241" s="402" t="s">
        <v>510</v>
      </c>
      <c r="U241" s="553" t="s">
        <v>1180</v>
      </c>
      <c r="V241" s="402" t="s">
        <v>553</v>
      </c>
      <c r="W241" s="402" t="s">
        <v>855</v>
      </c>
      <c r="X241" s="593">
        <v>40787</v>
      </c>
      <c r="Y241" s="592"/>
      <c r="Z241" s="592" t="s">
        <v>1250</v>
      </c>
      <c r="AA241" s="552" t="s">
        <v>841</v>
      </c>
      <c r="AB241" s="573"/>
      <c r="AC241" s="578">
        <v>42915</v>
      </c>
      <c r="AD241" s="594" t="s">
        <v>1604</v>
      </c>
      <c r="AE241" s="580"/>
      <c r="AF241" s="595">
        <f>IF(CampList[[#This Row],[Type of Accomodation]]="camp",MAX(0,CampList[[#This Row],[HH]]-SUMIF(Table_Shelter[Pcode],CampList[[#This Row],[CP_Pcode]],Table_Shelter[HH Covered2])),0)</f>
        <v>22</v>
      </c>
      <c r="AG241" s="553"/>
      <c r="AH241" s="572">
        <f>MIN(CampList[[#This Row],[Shelter Gap]],CampList[[#This Row],[Land Status]])</f>
        <v>22</v>
      </c>
      <c r="AI241" s="553"/>
      <c r="AJ241" s="581" t="str">
        <f ca="1">IFERROR(OFFSET(DistanceToCamp[distance],MATCH(CampList[[#This Row],[CP_Pcode]],DistanceToCamp[CP_Pcode],0)-1,0,1,1),"")</f>
        <v/>
      </c>
      <c r="AK241" s="596" t="str">
        <f ca="1">IFERROR(INT(CampList[[#This Row],[Distance]]/5)+1,"")</f>
        <v/>
      </c>
      <c r="AM241" s="919"/>
      <c r="AN241" s="919">
        <v>134</v>
      </c>
    </row>
    <row r="242" spans="1:40" s="405" customFormat="1" ht="15.75" customHeight="1" x14ac:dyDescent="0.25">
      <c r="A242" s="570" t="s">
        <v>499</v>
      </c>
      <c r="B242" s="551" t="s">
        <v>552</v>
      </c>
      <c r="C242" s="551" t="s">
        <v>535</v>
      </c>
      <c r="D242" s="551" t="s">
        <v>776</v>
      </c>
      <c r="E242" s="551" t="s">
        <v>777</v>
      </c>
      <c r="F242" s="551" t="s">
        <v>778</v>
      </c>
      <c r="G242" s="551" t="s">
        <v>779</v>
      </c>
      <c r="H242" s="551" t="s">
        <v>1262</v>
      </c>
      <c r="I242" s="551" t="s">
        <v>1263</v>
      </c>
      <c r="J242" s="551" t="s">
        <v>1262</v>
      </c>
      <c r="K242" s="551">
        <v>206352</v>
      </c>
      <c r="L242" s="551" t="s">
        <v>1262</v>
      </c>
      <c r="M242" s="551" t="s">
        <v>1246</v>
      </c>
      <c r="N242" s="613">
        <v>98.218626999999998</v>
      </c>
      <c r="O242" s="613">
        <v>23.354268999999999</v>
      </c>
      <c r="P242" s="592"/>
      <c r="Q242" s="776">
        <v>34</v>
      </c>
      <c r="R242" s="776">
        <v>185</v>
      </c>
      <c r="S242" s="574">
        <f>IF(CampList[[#This Row],[HH]]&gt;0,CampList[[#This Row],[Total]]/CampList[[#This Row],[HH]],"NA")</f>
        <v>5.4411764705882355</v>
      </c>
      <c r="T242" s="553" t="s">
        <v>510</v>
      </c>
      <c r="U242" s="553" t="s">
        <v>1180</v>
      </c>
      <c r="V242" s="553" t="s">
        <v>553</v>
      </c>
      <c r="W242" s="553" t="s">
        <v>855</v>
      </c>
      <c r="X242" s="593">
        <v>42036</v>
      </c>
      <c r="Y242" s="592"/>
      <c r="Z242" s="577" t="s">
        <v>459</v>
      </c>
      <c r="AA242" s="551" t="s">
        <v>841</v>
      </c>
      <c r="AB242" s="577"/>
      <c r="AC242" s="578">
        <v>42919</v>
      </c>
      <c r="AD242" s="579" t="s">
        <v>1689</v>
      </c>
      <c r="AE242" s="602"/>
      <c r="AF242" s="402">
        <f>IF(CampList[[#This Row],[Type of Accomodation]]="camp",MAX(0,CampList[[#This Row],[HH]]-SUMIF(Table_Shelter[Pcode],CampList[[#This Row],[CP_Pcode]],Table_Shelter[HH Covered2])),0)</f>
        <v>0</v>
      </c>
      <c r="AG242" s="553"/>
      <c r="AH242" s="577">
        <f>MIN(CampList[[#This Row],[Shelter Gap]],CampList[[#This Row],[Land Status]])</f>
        <v>0</v>
      </c>
      <c r="AI242" s="553"/>
      <c r="AJ242" s="581" t="str">
        <f ca="1">IFERROR(OFFSET(DistanceToCamp[distance],MATCH(CampList[[#This Row],[CP_Pcode]],DistanceToCamp[CP_Pcode],0)-1,0,1,1),"")</f>
        <v/>
      </c>
      <c r="AK242" s="582" t="str">
        <f ca="1">IFERROR(INT(CampList[[#This Row],[Distance]]/5)+1,"")</f>
        <v/>
      </c>
      <c r="AM242" s="919"/>
      <c r="AN242" s="919">
        <v>46</v>
      </c>
    </row>
    <row r="243" spans="1:40" s="405" customFormat="1" ht="15.75" customHeight="1" x14ac:dyDescent="0.25">
      <c r="A243" s="570" t="s">
        <v>499</v>
      </c>
      <c r="B243" s="551" t="s">
        <v>552</v>
      </c>
      <c r="C243" s="551" t="s">
        <v>535</v>
      </c>
      <c r="D243" s="551" t="s">
        <v>230</v>
      </c>
      <c r="E243" s="552" t="s">
        <v>536</v>
      </c>
      <c r="F243" s="552" t="s">
        <v>146</v>
      </c>
      <c r="G243" s="552" t="s">
        <v>543</v>
      </c>
      <c r="H243" s="619" t="s">
        <v>765</v>
      </c>
      <c r="I243" s="590" t="s">
        <v>766</v>
      </c>
      <c r="J243" s="551"/>
      <c r="K243" s="551"/>
      <c r="L243" s="619" t="s">
        <v>1302</v>
      </c>
      <c r="M243" s="551" t="s">
        <v>1303</v>
      </c>
      <c r="N243" s="613">
        <v>97.868876999999998</v>
      </c>
      <c r="O243" s="613">
        <v>23.447111</v>
      </c>
      <c r="P243" s="592"/>
      <c r="Q243" s="572">
        <v>105</v>
      </c>
      <c r="R243" s="592">
        <v>568</v>
      </c>
      <c r="S243" s="574">
        <f>IF(CampList[[#This Row],[HH]]&gt;0,CampList[[#This Row],[Total]]/CampList[[#This Row],[HH]],"NA")</f>
        <v>5.4095238095238098</v>
      </c>
      <c r="T243" s="553" t="s">
        <v>510</v>
      </c>
      <c r="U243" s="553" t="s">
        <v>1180</v>
      </c>
      <c r="V243" s="553" t="s">
        <v>553</v>
      </c>
      <c r="W243" s="553" t="s">
        <v>855</v>
      </c>
      <c r="X243" s="575">
        <v>42036</v>
      </c>
      <c r="Y243" s="576"/>
      <c r="Z243" s="575"/>
      <c r="AA243" s="551" t="s">
        <v>841</v>
      </c>
      <c r="AB243" s="577"/>
      <c r="AC243" s="578">
        <v>42927</v>
      </c>
      <c r="AD243" s="579" t="s">
        <v>1721</v>
      </c>
      <c r="AE243" s="580"/>
      <c r="AF243" s="595">
        <f>IF(CampList[[#This Row],[Type of Accomodation]]="camp",MAX(0,CampList[[#This Row],[HH]]-SUMIF(Table_Shelter[Pcode],CampList[[#This Row],[CP_Pcode]],Table_Shelter[HH Covered2])),0)</f>
        <v>105</v>
      </c>
      <c r="AG243" s="553"/>
      <c r="AH243" s="572">
        <f>MIN(CampList[[#This Row],[Shelter Gap]],CampList[[#This Row],[Land Status]])</f>
        <v>105</v>
      </c>
      <c r="AI243" s="553"/>
      <c r="AJ243" s="581" t="str">
        <f ca="1">IFERROR(OFFSET(DistanceToCamp[distance],MATCH(CampList[[#This Row],[CP_Pcode]],DistanceToCamp[CP_Pcode],0)-1,0,1,1),"")</f>
        <v/>
      </c>
      <c r="AK243" s="596" t="str">
        <f ca="1">IFERROR(INT(CampList[[#This Row],[Distance]]/5)+1,"")</f>
        <v/>
      </c>
      <c r="AM243" s="919"/>
      <c r="AN243" s="919"/>
    </row>
    <row r="244" spans="1:40" s="405" customFormat="1" ht="15.75" customHeight="1" x14ac:dyDescent="0.25">
      <c r="A244" s="570" t="s">
        <v>499</v>
      </c>
      <c r="B244" s="551" t="s">
        <v>552</v>
      </c>
      <c r="C244" s="551" t="s">
        <v>535</v>
      </c>
      <c r="D244" s="551" t="s">
        <v>230</v>
      </c>
      <c r="E244" s="551" t="s">
        <v>536</v>
      </c>
      <c r="F244" s="551" t="s">
        <v>146</v>
      </c>
      <c r="G244" s="551" t="s">
        <v>543</v>
      </c>
      <c r="H244" s="599" t="s">
        <v>721</v>
      </c>
      <c r="I244" s="551" t="s">
        <v>1242</v>
      </c>
      <c r="J244" s="599" t="s">
        <v>721</v>
      </c>
      <c r="K244" s="618">
        <v>208747</v>
      </c>
      <c r="L244" s="552" t="s">
        <v>1387</v>
      </c>
      <c r="M244" s="552" t="s">
        <v>1379</v>
      </c>
      <c r="N244" s="573">
        <v>97.796999999999997</v>
      </c>
      <c r="O244" s="573">
        <v>23.591999999999999</v>
      </c>
      <c r="P244" s="572"/>
      <c r="Q244" s="573">
        <v>146</v>
      </c>
      <c r="R244" s="592">
        <v>678</v>
      </c>
      <c r="S244" s="574">
        <f>IF(CampList[[#This Row],[HH]]&gt;0,CampList[[#This Row],[Total]]/CampList[[#This Row],[HH]],"NA")</f>
        <v>4.6438356164383565</v>
      </c>
      <c r="T244" s="402" t="s">
        <v>510</v>
      </c>
      <c r="U244" s="553" t="s">
        <v>1180</v>
      </c>
      <c r="V244" s="402" t="s">
        <v>553</v>
      </c>
      <c r="W244" s="402" t="s">
        <v>855</v>
      </c>
      <c r="X244" s="593">
        <v>42435</v>
      </c>
      <c r="Y244" s="592"/>
      <c r="Z244" s="592" t="s">
        <v>459</v>
      </c>
      <c r="AA244" s="552" t="s">
        <v>841</v>
      </c>
      <c r="AB244" s="573"/>
      <c r="AC244" s="578">
        <v>42919</v>
      </c>
      <c r="AD244" s="594" t="s">
        <v>1690</v>
      </c>
      <c r="AE244" s="580"/>
      <c r="AF244" s="595">
        <f>IF(CampList[[#This Row],[Type of Accomodation]]="camp",MAX(0,CampList[[#This Row],[HH]]-SUMIF(Table_Shelter[Pcode],CampList[[#This Row],[CP_Pcode]],Table_Shelter[HH Covered2])),0)</f>
        <v>146</v>
      </c>
      <c r="AG244" s="402"/>
      <c r="AH244" s="572">
        <f>MIN(CampList[[#This Row],[Shelter Gap]],CampList[[#This Row],[Land Status]])</f>
        <v>146</v>
      </c>
      <c r="AI244" s="553"/>
      <c r="AJ244" s="581" t="str">
        <f ca="1">IFERROR(OFFSET(DistanceToCamp[distance],MATCH(CampList[[#This Row],[CP_Pcode]],DistanceToCamp[CP_Pcode],0)-1,0,1,1),"")</f>
        <v/>
      </c>
      <c r="AK244" s="596" t="str">
        <f ca="1">IFERROR(INT(CampList[[#This Row],[Distance]]/5)+1,"")</f>
        <v/>
      </c>
      <c r="AM244" s="919"/>
      <c r="AN244" s="919"/>
    </row>
    <row r="245" spans="1:40" s="405" customFormat="1" ht="15.75" customHeight="1" x14ac:dyDescent="0.25">
      <c r="A245" s="589" t="s">
        <v>499</v>
      </c>
      <c r="B245" s="551" t="s">
        <v>552</v>
      </c>
      <c r="C245" s="551" t="s">
        <v>535</v>
      </c>
      <c r="D245" s="551" t="s">
        <v>540</v>
      </c>
      <c r="E245" s="551" t="s">
        <v>541</v>
      </c>
      <c r="F245" s="551" t="s">
        <v>298</v>
      </c>
      <c r="G245" s="551" t="s">
        <v>549</v>
      </c>
      <c r="H245" s="551" t="s">
        <v>1055</v>
      </c>
      <c r="I245" s="590" t="s">
        <v>1398</v>
      </c>
      <c r="J245" s="551" t="s">
        <v>1399</v>
      </c>
      <c r="K245" s="590">
        <v>210455</v>
      </c>
      <c r="L245" s="551" t="s">
        <v>1397</v>
      </c>
      <c r="M245" s="552" t="s">
        <v>1380</v>
      </c>
      <c r="N245" s="571">
        <v>97.358999999999995</v>
      </c>
      <c r="O245" s="571">
        <v>22.765999999999998</v>
      </c>
      <c r="P245" s="592"/>
      <c r="Q245" s="777">
        <v>19</v>
      </c>
      <c r="R245" s="778">
        <v>82</v>
      </c>
      <c r="S245" s="574">
        <f>IF(CampList[[#This Row],[HH]]&gt;0,CampList[[#This Row],[Total]]/CampList[[#This Row],[HH]],"NA")</f>
        <v>4.3157894736842106</v>
      </c>
      <c r="T245" s="402" t="s">
        <v>510</v>
      </c>
      <c r="U245" s="553" t="s">
        <v>1180</v>
      </c>
      <c r="V245" s="402" t="s">
        <v>553</v>
      </c>
      <c r="W245" s="553" t="s">
        <v>855</v>
      </c>
      <c r="X245" s="593">
        <v>42370</v>
      </c>
      <c r="Y245" s="592"/>
      <c r="Z245" s="577"/>
      <c r="AA245" s="552" t="s">
        <v>841</v>
      </c>
      <c r="AB245" s="577"/>
      <c r="AC245" s="578">
        <v>42576</v>
      </c>
      <c r="AD245" s="570" t="s">
        <v>1391</v>
      </c>
      <c r="AE245" s="580"/>
      <c r="AF245" s="595">
        <f>IF(CampList[[#This Row],[Type of Accomodation]]="camp",MAX(0,CampList[[#This Row],[HH]]-SUMIF(Table_Shelter[Pcode],CampList[[#This Row],[CP_Pcode]],Table_Shelter[HH Covered2])),0)</f>
        <v>19</v>
      </c>
      <c r="AG245" s="553"/>
      <c r="AH245" s="572">
        <f>MIN(CampList[[#This Row],[Shelter Gap]],CampList[[#This Row],[Land Status]])</f>
        <v>19</v>
      </c>
      <c r="AI245" s="553" t="str">
        <f ca="1">IFERROR(OFFSET(DistanceToCamp[Nearest Town],MATCH(CampList[[#This Row],[CP_Pcode]],DistanceToCamp[CP_Pcode],0)-1,0,1,1),"")</f>
        <v/>
      </c>
      <c r="AJ245" s="581" t="str">
        <f ca="1">IFERROR(OFFSET(DistanceToCamp[distance],MATCH(CampList[[#This Row],[CP_Pcode]],DistanceToCamp[CP_Pcode],0)-1,0,1,1),"")</f>
        <v/>
      </c>
      <c r="AK245" s="596" t="str">
        <f ca="1">IFERROR(INT(CampList[[#This Row],[Distance]]/5)+1,"")</f>
        <v/>
      </c>
      <c r="AM245" s="919"/>
      <c r="AN245" s="919"/>
    </row>
    <row r="246" spans="1:40" s="405" customFormat="1" ht="15.75" customHeight="1" x14ac:dyDescent="0.25">
      <c r="A246" s="589" t="s">
        <v>499</v>
      </c>
      <c r="B246" s="551" t="s">
        <v>552</v>
      </c>
      <c r="C246" s="551" t="s">
        <v>535</v>
      </c>
      <c r="D246" s="551" t="s">
        <v>540</v>
      </c>
      <c r="E246" s="551" t="s">
        <v>541</v>
      </c>
      <c r="F246" s="551" t="s">
        <v>166</v>
      </c>
      <c r="G246" s="551" t="s">
        <v>542</v>
      </c>
      <c r="H246" s="551"/>
      <c r="I246" s="590"/>
      <c r="J246" s="551"/>
      <c r="K246" s="551"/>
      <c r="L246" s="551" t="s">
        <v>1400</v>
      </c>
      <c r="M246" s="552" t="s">
        <v>1381</v>
      </c>
      <c r="N246" s="571"/>
      <c r="O246" s="571"/>
      <c r="P246" s="592"/>
      <c r="Q246" s="777">
        <v>36</v>
      </c>
      <c r="R246" s="778">
        <v>188</v>
      </c>
      <c r="S246" s="574">
        <f>IF(CampList[[#This Row],[HH]]&gt;0,CampList[[#This Row],[Total]]/CampList[[#This Row],[HH]],"NA")</f>
        <v>5.2222222222222223</v>
      </c>
      <c r="T246" s="402" t="s">
        <v>510</v>
      </c>
      <c r="U246" s="553" t="s">
        <v>1180</v>
      </c>
      <c r="V246" s="402" t="s">
        <v>553</v>
      </c>
      <c r="W246" s="553" t="s">
        <v>802</v>
      </c>
      <c r="X246" s="593">
        <v>42370</v>
      </c>
      <c r="Y246" s="592"/>
      <c r="Z246" s="577"/>
      <c r="AA246" s="552" t="s">
        <v>841</v>
      </c>
      <c r="AB246" s="577"/>
      <c r="AC246" s="578">
        <v>42927</v>
      </c>
      <c r="AD246" s="570" t="s">
        <v>1724</v>
      </c>
      <c r="AE246" s="580"/>
      <c r="AF246" s="595">
        <f>IF(CampList[[#This Row],[Type of Accomodation]]="camp",MAX(0,CampList[[#This Row],[HH]]-SUMIF(Table_Shelter[Pcode],CampList[[#This Row],[CP_Pcode]],Table_Shelter[HH Covered2])),0)</f>
        <v>36</v>
      </c>
      <c r="AG246" s="553"/>
      <c r="AH246" s="572">
        <f>MIN(CampList[[#This Row],[Shelter Gap]],CampList[[#This Row],[Land Status]])</f>
        <v>36</v>
      </c>
      <c r="AI246" s="553" t="str">
        <f ca="1">IFERROR(OFFSET(DistanceToCamp[Nearest Town],MATCH(CampList[[#This Row],[CP_Pcode]],DistanceToCamp[CP_Pcode],0)-1,0,1,1),"")</f>
        <v/>
      </c>
      <c r="AJ246" s="581" t="str">
        <f ca="1">IFERROR(OFFSET(DistanceToCamp[distance],MATCH(CampList[[#This Row],[CP_Pcode]],DistanceToCamp[CP_Pcode],0)-1,0,1,1),"")</f>
        <v/>
      </c>
      <c r="AK246" s="596" t="str">
        <f ca="1">IFERROR(INT(CampList[[#This Row],[Distance]]/5)+1,"")</f>
        <v/>
      </c>
      <c r="AM246" s="919"/>
      <c r="AN246" s="919">
        <v>8</v>
      </c>
    </row>
    <row r="247" spans="1:40" s="405" customFormat="1" ht="15.75" hidden="1" customHeight="1" x14ac:dyDescent="0.25">
      <c r="A247" s="570" t="s">
        <v>842</v>
      </c>
      <c r="B247" s="551" t="s">
        <v>380</v>
      </c>
      <c r="C247" s="551" t="s">
        <v>524</v>
      </c>
      <c r="D247" s="551" t="s">
        <v>5</v>
      </c>
      <c r="E247" s="551" t="s">
        <v>528</v>
      </c>
      <c r="F247" s="551" t="s">
        <v>151</v>
      </c>
      <c r="G247" s="551" t="s">
        <v>538</v>
      </c>
      <c r="H247" s="551"/>
      <c r="I247" s="551"/>
      <c r="J247" s="551"/>
      <c r="K247" s="551"/>
      <c r="L247" s="551" t="s">
        <v>886</v>
      </c>
      <c r="M247" s="551" t="s">
        <v>887</v>
      </c>
      <c r="N247" s="573"/>
      <c r="O247" s="573"/>
      <c r="P247" s="592"/>
      <c r="Q247" s="705">
        <v>0</v>
      </c>
      <c r="R247" s="706">
        <v>0</v>
      </c>
      <c r="S247" s="574" t="str">
        <f>IF(CampList[[#This Row],[HH]]&gt;0,CampList[[#This Row],[Total]]/CampList[[#This Row],[HH]],"NA")</f>
        <v>NA</v>
      </c>
      <c r="T247" s="553" t="s">
        <v>510</v>
      </c>
      <c r="U247" s="583" t="s">
        <v>1180</v>
      </c>
      <c r="V247" s="553" t="s">
        <v>553</v>
      </c>
      <c r="W247" s="553" t="s">
        <v>855</v>
      </c>
      <c r="X247" s="593"/>
      <c r="Y247" s="592"/>
      <c r="Z247" s="577"/>
      <c r="AA247" s="551" t="s">
        <v>841</v>
      </c>
      <c r="AB247" s="577"/>
      <c r="AC247" s="578">
        <v>41652</v>
      </c>
      <c r="AD247" s="570" t="s">
        <v>927</v>
      </c>
      <c r="AE247" s="602" t="s">
        <v>1006</v>
      </c>
      <c r="AF247" s="402">
        <f>IF(CampList[[#This Row],[Type of Accomodation]]="camp",MAX(0,CampList[[#This Row],[HH]]-SUMIF(Table_Shelter[Pcode],CampList[[#This Row],[CP_Pcode]],Table_Shelter[HH Covered2])),0)</f>
        <v>0</v>
      </c>
      <c r="AG247" s="553"/>
      <c r="AH247" s="577">
        <f>MIN(CampList[[#This Row],[Shelter Gap]],CampList[[#This Row],[Land Status]])</f>
        <v>0</v>
      </c>
      <c r="AI247" s="553" t="str">
        <f ca="1">IFERROR(OFFSET(DistanceToCamp[Nearest Town],MATCH(CampList[[#This Row],[CP_Pcode]],DistanceToCamp[CP_Pcode],0)-1,0,1,1),"")</f>
        <v/>
      </c>
      <c r="AJ247" s="581" t="str">
        <f ca="1">IFERROR(OFFSET(DistanceToCamp[distance],MATCH(CampList[[#This Row],[CP_Pcode]],DistanceToCamp[CP_Pcode],0)-1,0,1,1),"")</f>
        <v/>
      </c>
      <c r="AK247" s="582" t="str">
        <f ca="1">IFERROR(INT(CampList[[#This Row],[Distance]]/5)+1,"")</f>
        <v/>
      </c>
      <c r="AM247" s="919"/>
      <c r="AN247" s="919">
        <v>44</v>
      </c>
    </row>
    <row r="248" spans="1:40" s="405" customFormat="1" ht="15.75" hidden="1" customHeight="1" x14ac:dyDescent="0.25">
      <c r="A248" s="570" t="s">
        <v>842</v>
      </c>
      <c r="B248" s="551" t="s">
        <v>380</v>
      </c>
      <c r="C248" s="551" t="s">
        <v>524</v>
      </c>
      <c r="D248" s="551" t="s">
        <v>5</v>
      </c>
      <c r="E248" s="551" t="s">
        <v>528</v>
      </c>
      <c r="F248" s="551" t="s">
        <v>5</v>
      </c>
      <c r="G248" s="551" t="s">
        <v>529</v>
      </c>
      <c r="H248" s="551"/>
      <c r="I248" s="551"/>
      <c r="J248" s="551"/>
      <c r="K248" s="551"/>
      <c r="L248" s="551" t="s">
        <v>896</v>
      </c>
      <c r="M248" s="551" t="s">
        <v>895</v>
      </c>
      <c r="N248" s="571"/>
      <c r="O248" s="571"/>
      <c r="P248" s="592"/>
      <c r="Q248" s="705"/>
      <c r="R248" s="706"/>
      <c r="S248" s="574" t="str">
        <f>IF(CampList[[#This Row],[HH]]&gt;0,CampList[[#This Row],[Total]]/CampList[[#This Row],[HH]],"NA")</f>
        <v>NA</v>
      </c>
      <c r="T248" s="553" t="s">
        <v>510</v>
      </c>
      <c r="U248" s="583" t="s">
        <v>1180</v>
      </c>
      <c r="V248" s="553" t="s">
        <v>553</v>
      </c>
      <c r="W248" s="583" t="s">
        <v>802</v>
      </c>
      <c r="X248" s="593"/>
      <c r="Y248" s="592"/>
      <c r="Z248" s="577"/>
      <c r="AA248" s="598" t="s">
        <v>841</v>
      </c>
      <c r="AB248" s="577"/>
      <c r="AC248" s="578">
        <v>41702</v>
      </c>
      <c r="AD248" s="579" t="s">
        <v>1014</v>
      </c>
      <c r="AE248" s="602" t="s">
        <v>1006</v>
      </c>
      <c r="AF248" s="402">
        <f>IF(CampList[[#This Row],[Type of Accomodation]]="camp",MAX(0,CampList[[#This Row],[HH]]-SUMIF(Table_Shelter[Pcode],CampList[[#This Row],[CP_Pcode]],Table_Shelter[HH Covered2])),0)</f>
        <v>0</v>
      </c>
      <c r="AG248" s="553"/>
      <c r="AH248" s="577">
        <f>MIN(CampList[[#This Row],[Shelter Gap]],CampList[[#This Row],[Land Status]])</f>
        <v>0</v>
      </c>
      <c r="AI248" s="553" t="str">
        <f ca="1">IFERROR(OFFSET(DistanceToCamp[Nearest Town],MATCH(CampList[[#This Row],[CP_Pcode]],DistanceToCamp[CP_Pcode],0)-1,0,1,1),"")</f>
        <v/>
      </c>
      <c r="AJ248" s="581" t="str">
        <f ca="1">IFERROR(OFFSET(DistanceToCamp[distance],MATCH(CampList[[#This Row],[CP_Pcode]],DistanceToCamp[CP_Pcode],0)-1,0,1,1),"")</f>
        <v/>
      </c>
      <c r="AK248" s="582" t="str">
        <f ca="1">IFERROR(INT(CampList[[#This Row],[Distance]]/5)+1,"")</f>
        <v/>
      </c>
      <c r="AM248" s="919"/>
      <c r="AN248" s="919"/>
    </row>
    <row r="249" spans="1:40" s="374" customFormat="1" ht="15.75" hidden="1" customHeight="1" x14ac:dyDescent="0.25">
      <c r="A249" s="589" t="s">
        <v>842</v>
      </c>
      <c r="B249" s="551" t="s">
        <v>552</v>
      </c>
      <c r="C249" s="551" t="s">
        <v>535</v>
      </c>
      <c r="D249" s="551" t="s">
        <v>230</v>
      </c>
      <c r="E249" s="551" t="s">
        <v>536</v>
      </c>
      <c r="F249" s="551" t="s">
        <v>289</v>
      </c>
      <c r="G249" s="551" t="s">
        <v>548</v>
      </c>
      <c r="H249" s="551" t="s">
        <v>1401</v>
      </c>
      <c r="I249" s="590" t="s">
        <v>1402</v>
      </c>
      <c r="J249" s="551" t="s">
        <v>1401</v>
      </c>
      <c r="K249" s="590">
        <v>208469</v>
      </c>
      <c r="L249" s="551" t="s">
        <v>1388</v>
      </c>
      <c r="M249" s="552" t="s">
        <v>1382</v>
      </c>
      <c r="N249" s="571">
        <v>97.504999999999995</v>
      </c>
      <c r="O249" s="571">
        <v>23.611999999999998</v>
      </c>
      <c r="P249" s="592"/>
      <c r="Q249" s="705"/>
      <c r="R249" s="706"/>
      <c r="S249" s="574" t="str">
        <f>IF(CampList[[#This Row],[HH]]&gt;0,CampList[[#This Row],[Total]]/CampList[[#This Row],[HH]],"NA")</f>
        <v>NA</v>
      </c>
      <c r="T249" s="402" t="s">
        <v>510</v>
      </c>
      <c r="U249" s="553" t="s">
        <v>1180</v>
      </c>
      <c r="V249" s="402" t="s">
        <v>553</v>
      </c>
      <c r="W249" s="553" t="s">
        <v>855</v>
      </c>
      <c r="X249" s="593">
        <v>42401</v>
      </c>
      <c r="Y249" s="592"/>
      <c r="Z249" s="577"/>
      <c r="AA249" s="552" t="s">
        <v>841</v>
      </c>
      <c r="AB249" s="577"/>
      <c r="AC249" s="578">
        <v>42888</v>
      </c>
      <c r="AD249" s="570" t="s">
        <v>1542</v>
      </c>
      <c r="AE249" s="580"/>
      <c r="AF249" s="595">
        <f>IF(CampList[[#This Row],[Type of Accomodation]]="camp",MAX(0,CampList[[#This Row],[HH]]-SUMIF(Table_Shelter[Pcode],CampList[[#This Row],[CP_Pcode]],Table_Shelter[HH Covered2])),0)</f>
        <v>0</v>
      </c>
      <c r="AG249" s="553"/>
      <c r="AH249" s="572">
        <f>MIN(CampList[[#This Row],[Shelter Gap]],CampList[[#This Row],[Land Status]])</f>
        <v>0</v>
      </c>
      <c r="AI249" s="553" t="str">
        <f ca="1">IFERROR(OFFSET(DistanceToCamp[Nearest Town],MATCH(CampList[[#This Row],[CP_Pcode]],DistanceToCamp[CP_Pcode],0)-1,0,1,1),"")</f>
        <v/>
      </c>
      <c r="AJ249" s="581" t="str">
        <f ca="1">IFERROR(OFFSET(DistanceToCamp[distance],MATCH(CampList[[#This Row],[CP_Pcode]],DistanceToCamp[CP_Pcode],0)-1,0,1,1),"")</f>
        <v/>
      </c>
      <c r="AK249" s="596" t="str">
        <f ca="1">IFERROR(INT(CampList[[#This Row],[Distance]]/5)+1,"")</f>
        <v/>
      </c>
      <c r="AM249" s="913"/>
      <c r="AN249" s="913"/>
    </row>
    <row r="250" spans="1:40" s="374" customFormat="1" ht="15.75" customHeight="1" x14ac:dyDescent="0.25">
      <c r="A250" s="589" t="s">
        <v>499</v>
      </c>
      <c r="B250" s="551" t="s">
        <v>552</v>
      </c>
      <c r="C250" s="551" t="s">
        <v>535</v>
      </c>
      <c r="D250" s="551" t="s">
        <v>230</v>
      </c>
      <c r="E250" s="551" t="s">
        <v>536</v>
      </c>
      <c r="F250" s="551" t="s">
        <v>289</v>
      </c>
      <c r="G250" s="551" t="s">
        <v>548</v>
      </c>
      <c r="H250" s="551" t="s">
        <v>1401</v>
      </c>
      <c r="I250" s="590" t="s">
        <v>1402</v>
      </c>
      <c r="J250" s="551" t="s">
        <v>1401</v>
      </c>
      <c r="K250" s="590">
        <v>208469</v>
      </c>
      <c r="L250" s="551" t="s">
        <v>1389</v>
      </c>
      <c r="M250" s="552" t="s">
        <v>1383</v>
      </c>
      <c r="N250" s="571">
        <v>97.506</v>
      </c>
      <c r="O250" s="571">
        <v>23.611999999999998</v>
      </c>
      <c r="P250" s="592"/>
      <c r="Q250" s="777">
        <v>61</v>
      </c>
      <c r="R250" s="778">
        <v>276</v>
      </c>
      <c r="S250" s="574">
        <f>IF(CampList[[#This Row],[HH]]&gt;0,CampList[[#This Row],[Total]]/CampList[[#This Row],[HH]],"NA")</f>
        <v>4.5245901639344259</v>
      </c>
      <c r="T250" s="402" t="s">
        <v>510</v>
      </c>
      <c r="U250" s="553" t="s">
        <v>1180</v>
      </c>
      <c r="V250" s="402" t="s">
        <v>553</v>
      </c>
      <c r="W250" s="553" t="s">
        <v>855</v>
      </c>
      <c r="X250" s="593">
        <v>42430</v>
      </c>
      <c r="Y250" s="592"/>
      <c r="Z250" s="577"/>
      <c r="AA250" s="552" t="s">
        <v>841</v>
      </c>
      <c r="AB250" s="577"/>
      <c r="AC250" s="578">
        <v>42888</v>
      </c>
      <c r="AD250" s="570" t="s">
        <v>1541</v>
      </c>
      <c r="AE250" s="580"/>
      <c r="AF250" s="595">
        <f>IF(CampList[[#This Row],[Type of Accomodation]]="camp",MAX(0,CampList[[#This Row],[HH]]-SUMIF(Table_Shelter[Pcode],CampList[[#This Row],[CP_Pcode]],Table_Shelter[HH Covered2])),0)</f>
        <v>61</v>
      </c>
      <c r="AG250" s="553"/>
      <c r="AH250" s="572">
        <f>MIN(CampList[[#This Row],[Shelter Gap]],CampList[[#This Row],[Land Status]])</f>
        <v>61</v>
      </c>
      <c r="AI250" s="553" t="str">
        <f ca="1">IFERROR(OFFSET(DistanceToCamp[Nearest Town],MATCH(CampList[[#This Row],[CP_Pcode]],DistanceToCamp[CP_Pcode],0)-1,0,1,1),"")</f>
        <v/>
      </c>
      <c r="AJ250" s="581" t="str">
        <f ca="1">IFERROR(OFFSET(DistanceToCamp[distance],MATCH(CampList[[#This Row],[CP_Pcode]],DistanceToCamp[CP_Pcode],0)-1,0,1,1),"")</f>
        <v/>
      </c>
      <c r="AK250" s="596" t="str">
        <f ca="1">IFERROR(INT(CampList[[#This Row],[Distance]]/5)+1,"")</f>
        <v/>
      </c>
      <c r="AM250" s="913"/>
      <c r="AN250" s="913"/>
    </row>
    <row r="251" spans="1:40" s="374" customFormat="1" ht="15.75" customHeight="1" x14ac:dyDescent="0.25">
      <c r="A251" s="589" t="s">
        <v>499</v>
      </c>
      <c r="B251" s="551" t="s">
        <v>552</v>
      </c>
      <c r="C251" s="551" t="s">
        <v>535</v>
      </c>
      <c r="D251" s="551" t="s">
        <v>230</v>
      </c>
      <c r="E251" s="551" t="s">
        <v>536</v>
      </c>
      <c r="F251" s="551" t="s">
        <v>146</v>
      </c>
      <c r="G251" s="551" t="s">
        <v>543</v>
      </c>
      <c r="H251" s="599" t="s">
        <v>722</v>
      </c>
      <c r="I251" s="551" t="s">
        <v>1243</v>
      </c>
      <c r="J251" s="599" t="s">
        <v>1374</v>
      </c>
      <c r="K251" s="615"/>
      <c r="L251" s="551" t="s">
        <v>1390</v>
      </c>
      <c r="M251" s="552" t="s">
        <v>1384</v>
      </c>
      <c r="N251" s="571">
        <v>97.810101000000003</v>
      </c>
      <c r="O251" s="571">
        <v>23.682887999999998</v>
      </c>
      <c r="P251" s="592"/>
      <c r="Q251" s="777">
        <v>37</v>
      </c>
      <c r="R251" s="778">
        <v>130</v>
      </c>
      <c r="S251" s="574">
        <f>IF(CampList[[#This Row],[HH]]&gt;0,CampList[[#This Row],[Total]]/CampList[[#This Row],[HH]],"NA")</f>
        <v>3.5135135135135136</v>
      </c>
      <c r="T251" s="402" t="s">
        <v>510</v>
      </c>
      <c r="U251" s="553" t="s">
        <v>1180</v>
      </c>
      <c r="V251" s="402" t="s">
        <v>553</v>
      </c>
      <c r="W251" s="553" t="s">
        <v>802</v>
      </c>
      <c r="X251" s="593">
        <v>42401</v>
      </c>
      <c r="Y251" s="592"/>
      <c r="Z251" s="577"/>
      <c r="AA251" s="552" t="s">
        <v>841</v>
      </c>
      <c r="AB251" s="577"/>
      <c r="AC251" s="578">
        <v>42831</v>
      </c>
      <c r="AD251" s="570" t="s">
        <v>1512</v>
      </c>
      <c r="AE251" s="580"/>
      <c r="AF251" s="595">
        <f>IF(CampList[[#This Row],[Type of Accomodation]]="camp",MAX(0,CampList[[#This Row],[HH]]-SUMIF(Table_Shelter[Pcode],CampList[[#This Row],[CP_Pcode]],Table_Shelter[HH Covered2])),0)</f>
        <v>37</v>
      </c>
      <c r="AG251" s="553"/>
      <c r="AH251" s="572">
        <f>MIN(CampList[[#This Row],[Shelter Gap]],CampList[[#This Row],[Land Status]])</f>
        <v>37</v>
      </c>
      <c r="AI251" s="553" t="str">
        <f ca="1">IFERROR(OFFSET(DistanceToCamp[Nearest Town],MATCH(CampList[[#This Row],[CP_Pcode]],DistanceToCamp[CP_Pcode],0)-1,0,1,1),"")</f>
        <v/>
      </c>
      <c r="AJ251" s="581" t="str">
        <f ca="1">IFERROR(OFFSET(DistanceToCamp[distance],MATCH(CampList[[#This Row],[CP_Pcode]],DistanceToCamp[CP_Pcode],0)-1,0,1,1),"")</f>
        <v/>
      </c>
      <c r="AK251" s="596" t="str">
        <f ca="1">IFERROR(INT(CampList[[#This Row],[Distance]]/5)+1,"")</f>
        <v/>
      </c>
      <c r="AM251" s="913"/>
      <c r="AN251" s="913"/>
    </row>
    <row r="252" spans="1:40" s="374" customFormat="1" ht="15.75" hidden="1" customHeight="1" x14ac:dyDescent="0.25">
      <c r="A252" s="589" t="s">
        <v>842</v>
      </c>
      <c r="B252" s="551" t="s">
        <v>552</v>
      </c>
      <c r="C252" s="551" t="s">
        <v>535</v>
      </c>
      <c r="D252" s="551" t="s">
        <v>776</v>
      </c>
      <c r="E252" s="551" t="s">
        <v>777</v>
      </c>
      <c r="F252" s="551" t="s">
        <v>778</v>
      </c>
      <c r="G252" s="551" t="s">
        <v>779</v>
      </c>
      <c r="H252" s="551" t="s">
        <v>1404</v>
      </c>
      <c r="I252" s="590" t="s">
        <v>1405</v>
      </c>
      <c r="J252" s="551" t="s">
        <v>1404</v>
      </c>
      <c r="K252" s="590">
        <v>206395</v>
      </c>
      <c r="L252" s="551" t="s">
        <v>1403</v>
      </c>
      <c r="M252" s="552" t="s">
        <v>1385</v>
      </c>
      <c r="N252" s="571">
        <v>98.221000000000004</v>
      </c>
      <c r="O252" s="571">
        <v>23.353999999999999</v>
      </c>
      <c r="P252" s="592"/>
      <c r="Q252" s="777"/>
      <c r="R252" s="778"/>
      <c r="S252" s="574" t="str">
        <f>IF(CampList[[#This Row],[HH]]&gt;0,CampList[[#This Row],[Total]]/CampList[[#This Row],[HH]],"NA")</f>
        <v>NA</v>
      </c>
      <c r="T252" s="402" t="s">
        <v>510</v>
      </c>
      <c r="U252" s="553" t="s">
        <v>1180</v>
      </c>
      <c r="V252" s="402" t="s">
        <v>553</v>
      </c>
      <c r="W252" s="553" t="s">
        <v>802</v>
      </c>
      <c r="X252" s="593">
        <v>42430</v>
      </c>
      <c r="Y252" s="592"/>
      <c r="Z252" s="577"/>
      <c r="AA252" s="552" t="s">
        <v>841</v>
      </c>
      <c r="AB252" s="577"/>
      <c r="AC252" s="578">
        <v>42927</v>
      </c>
      <c r="AD252" s="570" t="s">
        <v>1722</v>
      </c>
      <c r="AE252" s="580"/>
      <c r="AF252" s="595">
        <f>IF(CampList[[#This Row],[Type of Accomodation]]="camp",MAX(0,CampList[[#This Row],[HH]]-SUMIF(Table_Shelter[Pcode],CampList[[#This Row],[CP_Pcode]],Table_Shelter[HH Covered2])),0)</f>
        <v>0</v>
      </c>
      <c r="AG252" s="553"/>
      <c r="AH252" s="572">
        <f>MIN(CampList[[#This Row],[Shelter Gap]],CampList[[#This Row],[Land Status]])</f>
        <v>0</v>
      </c>
      <c r="AI252" s="553" t="str">
        <f ca="1">IFERROR(OFFSET(DistanceToCamp[Nearest Town],MATCH(CampList[[#This Row],[CP_Pcode]],DistanceToCamp[CP_Pcode],0)-1,0,1,1),"")</f>
        <v/>
      </c>
      <c r="AJ252" s="581" t="str">
        <f ca="1">IFERROR(OFFSET(DistanceToCamp[distance],MATCH(CampList[[#This Row],[CP_Pcode]],DistanceToCamp[CP_Pcode],0)-1,0,1,1),"")</f>
        <v/>
      </c>
      <c r="AK252" s="596" t="str">
        <f ca="1">IFERROR(INT(CampList[[#This Row],[Distance]]/5)+1,"")</f>
        <v/>
      </c>
      <c r="AM252" s="913">
        <v>20</v>
      </c>
      <c r="AN252" s="913">
        <v>75</v>
      </c>
    </row>
    <row r="253" spans="1:40" s="374" customFormat="1" ht="15.75" customHeight="1" x14ac:dyDescent="0.25">
      <c r="A253" s="589" t="s">
        <v>499</v>
      </c>
      <c r="B253" s="551" t="s">
        <v>552</v>
      </c>
      <c r="C253" s="551" t="s">
        <v>535</v>
      </c>
      <c r="D253" s="551" t="s">
        <v>230</v>
      </c>
      <c r="E253" s="551" t="s">
        <v>536</v>
      </c>
      <c r="F253" s="551" t="s">
        <v>146</v>
      </c>
      <c r="G253" s="551" t="s">
        <v>543</v>
      </c>
      <c r="H253" s="551" t="s">
        <v>1407</v>
      </c>
      <c r="I253" s="590"/>
      <c r="J253" s="551" t="s">
        <v>1408</v>
      </c>
      <c r="K253" s="551"/>
      <c r="L253" s="551" t="s">
        <v>1406</v>
      </c>
      <c r="M253" s="552" t="s">
        <v>1386</v>
      </c>
      <c r="N253" s="571">
        <v>98.337999999999994</v>
      </c>
      <c r="O253" s="571">
        <v>23.850999999999999</v>
      </c>
      <c r="P253" s="592"/>
      <c r="Q253" s="777">
        <v>30</v>
      </c>
      <c r="R253" s="778">
        <v>170</v>
      </c>
      <c r="S253" s="574">
        <f>IF(CampList[[#This Row],[HH]]&gt;0,CampList[[#This Row],[Total]]/CampList[[#This Row],[HH]],"NA")</f>
        <v>5.666666666666667</v>
      </c>
      <c r="T253" s="402" t="s">
        <v>510</v>
      </c>
      <c r="U253" s="553" t="s">
        <v>1180</v>
      </c>
      <c r="V253" s="402" t="s">
        <v>553</v>
      </c>
      <c r="W253" s="553" t="s">
        <v>855</v>
      </c>
      <c r="X253" s="593">
        <v>42401</v>
      </c>
      <c r="Y253" s="592"/>
      <c r="Z253" s="577"/>
      <c r="AA253" s="552" t="s">
        <v>841</v>
      </c>
      <c r="AB253" s="577"/>
      <c r="AC253" s="578">
        <v>42927</v>
      </c>
      <c r="AD253" s="570" t="s">
        <v>1723</v>
      </c>
      <c r="AE253" s="580"/>
      <c r="AF253" s="595">
        <f>IF(CampList[[#This Row],[Type of Accomodation]]="camp",MAX(0,CampList[[#This Row],[HH]]-SUMIF(Table_Shelter[Pcode],CampList[[#This Row],[CP_Pcode]],Table_Shelter[HH Covered2])),0)</f>
        <v>30</v>
      </c>
      <c r="AG253" s="553"/>
      <c r="AH253" s="572">
        <f>MIN(CampList[[#This Row],[Shelter Gap]],CampList[[#This Row],[Land Status]])</f>
        <v>30</v>
      </c>
      <c r="AI253" s="553" t="str">
        <f ca="1">IFERROR(OFFSET(DistanceToCamp[Nearest Town],MATCH(CampList[[#This Row],[CP_Pcode]],DistanceToCamp[CP_Pcode],0)-1,0,1,1),"")</f>
        <v/>
      </c>
      <c r="AJ253" s="581" t="str">
        <f ca="1">IFERROR(OFFSET(DistanceToCamp[distance],MATCH(CampList[[#This Row],[CP_Pcode]],DistanceToCamp[CP_Pcode],0)-1,0,1,1),"")</f>
        <v/>
      </c>
      <c r="AK253" s="596" t="str">
        <f ca="1">IFERROR(INT(CampList[[#This Row],[Distance]]/5)+1,"")</f>
        <v/>
      </c>
      <c r="AM253" s="913"/>
      <c r="AN253" s="913"/>
    </row>
    <row r="254" spans="1:40" s="817" customFormat="1" ht="15.75" hidden="1" customHeight="1" x14ac:dyDescent="0.25">
      <c r="A254" s="796" t="s">
        <v>842</v>
      </c>
      <c r="B254" s="797" t="s">
        <v>552</v>
      </c>
      <c r="C254" s="797" t="s">
        <v>535</v>
      </c>
      <c r="D254" s="797" t="s">
        <v>540</v>
      </c>
      <c r="E254" s="797" t="s">
        <v>541</v>
      </c>
      <c r="F254" s="797" t="s">
        <v>298</v>
      </c>
      <c r="G254" s="797" t="s">
        <v>549</v>
      </c>
      <c r="H254" s="798" t="s">
        <v>816</v>
      </c>
      <c r="I254" s="799" t="s">
        <v>817</v>
      </c>
      <c r="J254" s="798" t="s">
        <v>818</v>
      </c>
      <c r="K254" s="798" t="s">
        <v>819</v>
      </c>
      <c r="L254" s="800" t="s">
        <v>1467</v>
      </c>
      <c r="M254" s="801" t="s">
        <v>1450</v>
      </c>
      <c r="N254" s="802">
        <v>97.400671000000003</v>
      </c>
      <c r="O254" s="802">
        <v>23.099304</v>
      </c>
      <c r="P254" s="803"/>
      <c r="Q254" s="854"/>
      <c r="R254" s="854"/>
      <c r="S254" s="805" t="str">
        <f>IF(CampList[[#This Row],[HH]]&gt;0,CampList[[#This Row],[Total]]/CampList[[#This Row],[HH]],"NA")</f>
        <v>NA</v>
      </c>
      <c r="T254" s="806" t="s">
        <v>510</v>
      </c>
      <c r="U254" s="807" t="s">
        <v>1180</v>
      </c>
      <c r="V254" s="808" t="s">
        <v>553</v>
      </c>
      <c r="W254" s="808" t="s">
        <v>802</v>
      </c>
      <c r="X254" s="809"/>
      <c r="Y254" s="803"/>
      <c r="Z254" s="803"/>
      <c r="AA254" s="798" t="s">
        <v>841</v>
      </c>
      <c r="AB254" s="802"/>
      <c r="AC254" s="810">
        <v>42888</v>
      </c>
      <c r="AD254" s="811" t="s">
        <v>1540</v>
      </c>
      <c r="AE254" s="812"/>
      <c r="AF254" s="813">
        <f>IF(CampList[[#This Row],[Type of Accomodation]]="camp",MAX(0,CampList[[#This Row],[HH]]-SUMIF(Table_Shelter[Pcode],CampList[[#This Row],[CP_Pcode]],Table_Shelter[HH Covered2])),0)</f>
        <v>0</v>
      </c>
      <c r="AG254" s="808"/>
      <c r="AH254" s="814">
        <f>MIN(CampList[[#This Row],[Shelter Gap]],CampList[[#This Row],[Land Status]])</f>
        <v>0</v>
      </c>
      <c r="AI254" s="813" t="str">
        <f ca="1">IFERROR(OFFSET(DistanceToCamp[Nearest Town],MATCH(CampList[[#This Row],[CP_Pcode]],DistanceToCamp[CP_Pcode],0)-1,0,1,1),"")</f>
        <v/>
      </c>
      <c r="AJ254" s="815" t="str">
        <f ca="1">IFERROR(OFFSET(DistanceToCamp[distance],MATCH(CampList[[#This Row],[CP_Pcode]],DistanceToCamp[CP_Pcode],0)-1,0,1,1),"")</f>
        <v/>
      </c>
      <c r="AK254" s="816" t="str">
        <f ca="1">IFERROR(INT(CampList[[#This Row],[Distance]]/5)+1,"")</f>
        <v/>
      </c>
      <c r="AM254" s="921"/>
      <c r="AN254" s="921"/>
    </row>
    <row r="255" spans="1:40" s="374" customFormat="1" ht="15.75" customHeight="1" x14ac:dyDescent="0.25">
      <c r="A255" s="679" t="s">
        <v>499</v>
      </c>
      <c r="B255" s="551" t="s">
        <v>552</v>
      </c>
      <c r="C255" s="551" t="s">
        <v>535</v>
      </c>
      <c r="D255" s="551" t="s">
        <v>540</v>
      </c>
      <c r="E255" s="551" t="s">
        <v>541</v>
      </c>
      <c r="F255" s="551" t="s">
        <v>298</v>
      </c>
      <c r="G255" s="551" t="s">
        <v>549</v>
      </c>
      <c r="H255" s="680" t="s">
        <v>816</v>
      </c>
      <c r="I255" s="681" t="s">
        <v>817</v>
      </c>
      <c r="J255" s="680" t="s">
        <v>818</v>
      </c>
      <c r="K255" s="680" t="s">
        <v>819</v>
      </c>
      <c r="L255" s="695" t="s">
        <v>1469</v>
      </c>
      <c r="M255" s="552" t="s">
        <v>1451</v>
      </c>
      <c r="N255" s="683"/>
      <c r="O255" s="683"/>
      <c r="P255" s="684"/>
      <c r="Q255" s="780">
        <v>13</v>
      </c>
      <c r="R255" s="780">
        <v>45</v>
      </c>
      <c r="S255" s="685">
        <f>IF(CampList[[#This Row],[HH]]&gt;0,CampList[[#This Row],[Total]]/CampList[[#This Row],[HH]],"NA")</f>
        <v>3.4615384615384617</v>
      </c>
      <c r="T255" s="402" t="s">
        <v>510</v>
      </c>
      <c r="U255" s="686" t="s">
        <v>1180</v>
      </c>
      <c r="V255" s="399" t="s">
        <v>553</v>
      </c>
      <c r="W255" s="399" t="s">
        <v>802</v>
      </c>
      <c r="X255" s="687"/>
      <c r="Y255" s="684"/>
      <c r="Z255" s="684"/>
      <c r="AA255" s="680" t="s">
        <v>841</v>
      </c>
      <c r="AB255" s="683"/>
      <c r="AC255" s="688">
        <v>42752</v>
      </c>
      <c r="AD255" s="689" t="s">
        <v>1468</v>
      </c>
      <c r="AE255" s="690"/>
      <c r="AF255" s="691">
        <f>IF(CampList[[#This Row],[Type of Accomodation]]="camp",MAX(0,CampList[[#This Row],[HH]]-SUMIF(Table_Shelter[Pcode],CampList[[#This Row],[CP_Pcode]],Table_Shelter[HH Covered2])),0)</f>
        <v>13</v>
      </c>
      <c r="AG255" s="399"/>
      <c r="AH255" s="692">
        <f>MIN(CampList[[#This Row],[Shelter Gap]],CampList[[#This Row],[Land Status]])</f>
        <v>13</v>
      </c>
      <c r="AI255" s="691" t="str">
        <f ca="1">IFERROR(OFFSET(DistanceToCamp[Nearest Town],MATCH(CampList[[#This Row],[CP_Pcode]],DistanceToCamp[CP_Pcode],0)-1,0,1,1),"")</f>
        <v/>
      </c>
      <c r="AJ255" s="693" t="str">
        <f ca="1">IFERROR(OFFSET(DistanceToCamp[distance],MATCH(CampList[[#This Row],[CP_Pcode]],DistanceToCamp[CP_Pcode],0)-1,0,1,1),"")</f>
        <v/>
      </c>
      <c r="AK255" s="694" t="str">
        <f ca="1">IFERROR(INT(CampList[[#This Row],[Distance]]/5)+1,"")</f>
        <v/>
      </c>
      <c r="AM255" s="913"/>
      <c r="AN255" s="913"/>
    </row>
    <row r="256" spans="1:40" s="374" customFormat="1" ht="15.75" hidden="1" customHeight="1" x14ac:dyDescent="0.25">
      <c r="A256" s="796" t="s">
        <v>842</v>
      </c>
      <c r="B256" s="797" t="s">
        <v>552</v>
      </c>
      <c r="C256" s="797" t="s">
        <v>535</v>
      </c>
      <c r="D256" s="797" t="s">
        <v>540</v>
      </c>
      <c r="E256" s="797" t="s">
        <v>541</v>
      </c>
      <c r="F256" s="797" t="s">
        <v>298</v>
      </c>
      <c r="G256" s="797" t="s">
        <v>549</v>
      </c>
      <c r="H256" s="798" t="s">
        <v>816</v>
      </c>
      <c r="I256" s="799" t="s">
        <v>817</v>
      </c>
      <c r="J256" s="798" t="s">
        <v>818</v>
      </c>
      <c r="K256" s="798" t="s">
        <v>819</v>
      </c>
      <c r="L256" s="800" t="s">
        <v>1470</v>
      </c>
      <c r="M256" s="801" t="s">
        <v>1452</v>
      </c>
      <c r="N256" s="802"/>
      <c r="O256" s="802"/>
      <c r="P256" s="803"/>
      <c r="Q256" s="804"/>
      <c r="R256" s="804"/>
      <c r="S256" s="805" t="str">
        <f>IF(CampList[[#This Row],[HH]]&gt;0,CampList[[#This Row],[Total]]/CampList[[#This Row],[HH]],"NA")</f>
        <v>NA</v>
      </c>
      <c r="T256" s="806" t="s">
        <v>510</v>
      </c>
      <c r="U256" s="807" t="s">
        <v>1180</v>
      </c>
      <c r="V256" s="808" t="s">
        <v>553</v>
      </c>
      <c r="W256" s="808" t="s">
        <v>802</v>
      </c>
      <c r="X256" s="809"/>
      <c r="Y256" s="803"/>
      <c r="Z256" s="803"/>
      <c r="AA256" s="798" t="s">
        <v>841</v>
      </c>
      <c r="AB256" s="802"/>
      <c r="AC256" s="832">
        <v>42919</v>
      </c>
      <c r="AD256" s="811" t="s">
        <v>1701</v>
      </c>
      <c r="AE256" s="812"/>
      <c r="AF256" s="813">
        <f>IF(CampList[[#This Row],[Type of Accomodation]]="camp",MAX(0,CampList[[#This Row],[HH]]-SUMIF(Table_Shelter[Pcode],CampList[[#This Row],[CP_Pcode]],Table_Shelter[HH Covered2])),0)</f>
        <v>0</v>
      </c>
      <c r="AG256" s="808"/>
      <c r="AH256" s="814">
        <f>MIN(CampList[[#This Row],[Shelter Gap]],CampList[[#This Row],[Land Status]])</f>
        <v>0</v>
      </c>
      <c r="AI256" s="813" t="str">
        <f ca="1">IFERROR(OFFSET(DistanceToCamp[Nearest Town],MATCH(CampList[[#This Row],[CP_Pcode]],DistanceToCamp[CP_Pcode],0)-1,0,1,1),"")</f>
        <v/>
      </c>
      <c r="AJ256" s="815" t="str">
        <f ca="1">IFERROR(OFFSET(DistanceToCamp[distance],MATCH(CampList[[#This Row],[CP_Pcode]],DistanceToCamp[CP_Pcode],0)-1,0,1,1),"")</f>
        <v/>
      </c>
      <c r="AK256" s="816" t="str">
        <f ca="1">IFERROR(INT(CampList[[#This Row],[Distance]]/5)+1,"")</f>
        <v/>
      </c>
      <c r="AM256" s="913"/>
      <c r="AN256" s="913"/>
    </row>
    <row r="257" spans="1:51" s="374" customFormat="1" ht="15.75" hidden="1" customHeight="1" x14ac:dyDescent="0.25">
      <c r="A257" s="796" t="s">
        <v>842</v>
      </c>
      <c r="B257" s="797" t="s">
        <v>552</v>
      </c>
      <c r="C257" s="797" t="s">
        <v>535</v>
      </c>
      <c r="D257" s="797" t="s">
        <v>540</v>
      </c>
      <c r="E257" s="797" t="s">
        <v>541</v>
      </c>
      <c r="F257" s="797" t="s">
        <v>298</v>
      </c>
      <c r="G257" s="797" t="s">
        <v>549</v>
      </c>
      <c r="H257" s="798" t="s">
        <v>816</v>
      </c>
      <c r="I257" s="799" t="s">
        <v>817</v>
      </c>
      <c r="J257" s="798" t="s">
        <v>818</v>
      </c>
      <c r="K257" s="798" t="s">
        <v>819</v>
      </c>
      <c r="L257" s="800" t="s">
        <v>1471</v>
      </c>
      <c r="M257" s="801" t="s">
        <v>1453</v>
      </c>
      <c r="N257" s="802"/>
      <c r="O257" s="802"/>
      <c r="P257" s="803"/>
      <c r="Q257" s="804"/>
      <c r="R257" s="804"/>
      <c r="S257" s="805" t="str">
        <f>IF(CampList[[#This Row],[HH]]&gt;0,CampList[[#This Row],[Total]]/CampList[[#This Row],[HH]],"NA")</f>
        <v>NA</v>
      </c>
      <c r="T257" s="806" t="s">
        <v>510</v>
      </c>
      <c r="U257" s="807" t="s">
        <v>1180</v>
      </c>
      <c r="V257" s="808" t="s">
        <v>553</v>
      </c>
      <c r="W257" s="808" t="s">
        <v>802</v>
      </c>
      <c r="X257" s="809"/>
      <c r="Y257" s="803"/>
      <c r="Z257" s="803"/>
      <c r="AA257" s="798" t="s">
        <v>841</v>
      </c>
      <c r="AB257" s="802"/>
      <c r="AC257" s="832">
        <v>42919</v>
      </c>
      <c r="AD257" s="811" t="s">
        <v>1701</v>
      </c>
      <c r="AE257" s="812"/>
      <c r="AF257" s="813">
        <f>IF(CampList[[#This Row],[Type of Accomodation]]="camp",MAX(0,CampList[[#This Row],[HH]]-SUMIF(Table_Shelter[Pcode],CampList[[#This Row],[CP_Pcode]],Table_Shelter[HH Covered2])),0)</f>
        <v>0</v>
      </c>
      <c r="AG257" s="808"/>
      <c r="AH257" s="814">
        <f>MIN(CampList[[#This Row],[Shelter Gap]],CampList[[#This Row],[Land Status]])</f>
        <v>0</v>
      </c>
      <c r="AI257" s="813" t="str">
        <f ca="1">IFERROR(OFFSET(DistanceToCamp[Nearest Town],MATCH(CampList[[#This Row],[CP_Pcode]],DistanceToCamp[CP_Pcode],0)-1,0,1,1),"")</f>
        <v/>
      </c>
      <c r="AJ257" s="815" t="str">
        <f ca="1">IFERROR(OFFSET(DistanceToCamp[distance],MATCH(CampList[[#This Row],[CP_Pcode]],DistanceToCamp[CP_Pcode],0)-1,0,1,1),"")</f>
        <v/>
      </c>
      <c r="AK257" s="816" t="str">
        <f ca="1">IFERROR(INT(CampList[[#This Row],[Distance]]/5)+1,"")</f>
        <v/>
      </c>
      <c r="AM257" s="913"/>
      <c r="AN257" s="913"/>
    </row>
    <row r="258" spans="1:51" s="563" customFormat="1" ht="15.75" customHeight="1" x14ac:dyDescent="0.25">
      <c r="A258" s="679" t="s">
        <v>499</v>
      </c>
      <c r="B258" s="551" t="s">
        <v>552</v>
      </c>
      <c r="C258" s="551" t="s">
        <v>535</v>
      </c>
      <c r="D258" s="551" t="s">
        <v>540</v>
      </c>
      <c r="E258" s="551" t="s">
        <v>541</v>
      </c>
      <c r="F258" s="551" t="s">
        <v>298</v>
      </c>
      <c r="G258" s="551" t="s">
        <v>549</v>
      </c>
      <c r="H258" s="680" t="s">
        <v>816</v>
      </c>
      <c r="I258" s="681" t="s">
        <v>817</v>
      </c>
      <c r="J258" s="680" t="s">
        <v>818</v>
      </c>
      <c r="K258" s="680" t="s">
        <v>819</v>
      </c>
      <c r="L258" s="695" t="s">
        <v>1472</v>
      </c>
      <c r="M258" s="552" t="s">
        <v>1454</v>
      </c>
      <c r="N258" s="683"/>
      <c r="O258" s="683"/>
      <c r="P258" s="684"/>
      <c r="Q258" s="780">
        <v>59</v>
      </c>
      <c r="R258" s="780">
        <v>268</v>
      </c>
      <c r="S258" s="685">
        <f>IF(CampList[[#This Row],[HH]]&gt;0,CampList[[#This Row],[Total]]/CampList[[#This Row],[HH]],"NA")</f>
        <v>4.5423728813559325</v>
      </c>
      <c r="T258" s="402" t="s">
        <v>510</v>
      </c>
      <c r="U258" s="686" t="s">
        <v>1180</v>
      </c>
      <c r="V258" s="399" t="s">
        <v>553</v>
      </c>
      <c r="W258" s="399" t="s">
        <v>802</v>
      </c>
      <c r="X258" s="687"/>
      <c r="Y258" s="684"/>
      <c r="Z258" s="684"/>
      <c r="AA258" s="680" t="s">
        <v>841</v>
      </c>
      <c r="AB258" s="683"/>
      <c r="AC258" s="688">
        <v>42752</v>
      </c>
      <c r="AD258" s="689" t="s">
        <v>1468</v>
      </c>
      <c r="AE258" s="690"/>
      <c r="AF258" s="691">
        <f>IF(CampList[[#This Row],[Type of Accomodation]]="camp",MAX(0,CampList[[#This Row],[HH]]-SUMIF(Table_Shelter[Pcode],CampList[[#This Row],[CP_Pcode]],Table_Shelter[HH Covered2])),0)</f>
        <v>59</v>
      </c>
      <c r="AG258" s="399"/>
      <c r="AH258" s="692">
        <f>MIN(CampList[[#This Row],[Shelter Gap]],CampList[[#This Row],[Land Status]])</f>
        <v>59</v>
      </c>
      <c r="AI258" s="691" t="str">
        <f ca="1">IFERROR(OFFSET(DistanceToCamp[Nearest Town],MATCH(CampList[[#This Row],[CP_Pcode]],DistanceToCamp[CP_Pcode],0)-1,0,1,1),"")</f>
        <v/>
      </c>
      <c r="AJ258" s="693" t="str">
        <f ca="1">IFERROR(OFFSET(DistanceToCamp[distance],MATCH(CampList[[#This Row],[CP_Pcode]],DistanceToCamp[CP_Pcode],0)-1,0,1,1),"")</f>
        <v/>
      </c>
      <c r="AK258" s="694" t="str">
        <f ca="1">IFERROR(INT(CampList[[#This Row],[Distance]]/5)+1,"")</f>
        <v/>
      </c>
      <c r="AL258" s="374"/>
      <c r="AM258" s="913"/>
      <c r="AN258" s="913"/>
      <c r="AX258" s="564"/>
      <c r="AY258" s="564"/>
    </row>
    <row r="259" spans="1:51" s="563" customFormat="1" ht="15.75" hidden="1" customHeight="1" x14ac:dyDescent="0.25">
      <c r="A259" s="679" t="s">
        <v>842</v>
      </c>
      <c r="B259" s="551" t="s">
        <v>552</v>
      </c>
      <c r="C259" s="551" t="s">
        <v>535</v>
      </c>
      <c r="D259" s="551" t="s">
        <v>230</v>
      </c>
      <c r="E259" s="551" t="s">
        <v>536</v>
      </c>
      <c r="F259" s="551" t="s">
        <v>230</v>
      </c>
      <c r="G259" s="551" t="s">
        <v>537</v>
      </c>
      <c r="H259" s="680" t="s">
        <v>1045</v>
      </c>
      <c r="I259" s="681" t="s">
        <v>1046</v>
      </c>
      <c r="J259" s="680" t="s">
        <v>1047</v>
      </c>
      <c r="K259" s="680" t="s">
        <v>1048</v>
      </c>
      <c r="L259" s="682" t="s">
        <v>1479</v>
      </c>
      <c r="M259" s="552" t="s">
        <v>1455</v>
      </c>
      <c r="N259" s="683"/>
      <c r="O259" s="683"/>
      <c r="P259" s="684"/>
      <c r="Q259" s="399"/>
      <c r="R259" s="704"/>
      <c r="S259" s="685" t="str">
        <f>IF(CampList[[#This Row],[HH]]&gt;0,CampList[[#This Row],[Total]]/CampList[[#This Row],[HH]],"NA")</f>
        <v>NA</v>
      </c>
      <c r="T259" s="402" t="s">
        <v>510</v>
      </c>
      <c r="U259" s="686" t="s">
        <v>1180</v>
      </c>
      <c r="V259" s="399" t="s">
        <v>553</v>
      </c>
      <c r="W259" s="399" t="s">
        <v>802</v>
      </c>
      <c r="X259" s="687"/>
      <c r="Y259" s="684"/>
      <c r="Z259" s="684"/>
      <c r="AA259" s="680" t="s">
        <v>841</v>
      </c>
      <c r="AB259" s="683"/>
      <c r="AC259" s="688">
        <v>42831</v>
      </c>
      <c r="AD259" s="689" t="s">
        <v>1511</v>
      </c>
      <c r="AE259" s="690"/>
      <c r="AF259" s="691">
        <f>IF(CampList[[#This Row],[Type of Accomodation]]="camp",MAX(0,CampList[[#This Row],[HH]]-SUMIF(Table_Shelter[Pcode],CampList[[#This Row],[CP_Pcode]],Table_Shelter[HH Covered2])),0)</f>
        <v>0</v>
      </c>
      <c r="AG259" s="399"/>
      <c r="AH259" s="692">
        <f>MIN(CampList[[#This Row],[Shelter Gap]],CampList[[#This Row],[Land Status]])</f>
        <v>0</v>
      </c>
      <c r="AI259" s="691" t="str">
        <f ca="1">IFERROR(OFFSET(DistanceToCamp[Nearest Town],MATCH(CampList[[#This Row],[CP_Pcode]],DistanceToCamp[CP_Pcode],0)-1,0,1,1),"")</f>
        <v/>
      </c>
      <c r="AJ259" s="693" t="str">
        <f ca="1">IFERROR(OFFSET(DistanceToCamp[distance],MATCH(CampList[[#This Row],[CP_Pcode]],DistanceToCamp[CP_Pcode],0)-1,0,1,1),"")</f>
        <v/>
      </c>
      <c r="AK259" s="694" t="str">
        <f ca="1">IFERROR(INT(CampList[[#This Row],[Distance]]/5)+1,"")</f>
        <v/>
      </c>
      <c r="AL259" s="374"/>
      <c r="AM259" s="913">
        <v>200</v>
      </c>
      <c r="AN259" s="913">
        <v>827</v>
      </c>
      <c r="AX259" s="564"/>
      <c r="AY259" s="564"/>
    </row>
    <row r="260" spans="1:51" s="563" customFormat="1" ht="15.75" hidden="1" customHeight="1" x14ac:dyDescent="0.25">
      <c r="A260" s="679" t="s">
        <v>842</v>
      </c>
      <c r="B260" s="551" t="s">
        <v>552</v>
      </c>
      <c r="C260" s="551" t="s">
        <v>535</v>
      </c>
      <c r="D260" s="551" t="s">
        <v>230</v>
      </c>
      <c r="E260" s="551" t="s">
        <v>536</v>
      </c>
      <c r="F260" s="551" t="s">
        <v>230</v>
      </c>
      <c r="G260" s="551" t="s">
        <v>537</v>
      </c>
      <c r="H260" s="680" t="s">
        <v>1045</v>
      </c>
      <c r="I260" s="681" t="s">
        <v>1046</v>
      </c>
      <c r="J260" s="680" t="s">
        <v>1483</v>
      </c>
      <c r="K260" s="680" t="s">
        <v>1484</v>
      </c>
      <c r="L260" s="682" t="s">
        <v>1489</v>
      </c>
      <c r="M260" s="552" t="s">
        <v>1456</v>
      </c>
      <c r="N260" s="683"/>
      <c r="O260" s="683"/>
      <c r="P260" s="684"/>
      <c r="Q260" s="399"/>
      <c r="R260" s="704"/>
      <c r="S260" s="685" t="str">
        <f>IF(CampList[[#This Row],[HH]]&gt;0,CampList[[#This Row],[Total]]/CampList[[#This Row],[HH]],"NA")</f>
        <v>NA</v>
      </c>
      <c r="T260" s="402" t="s">
        <v>510</v>
      </c>
      <c r="U260" s="686" t="s">
        <v>1180</v>
      </c>
      <c r="V260" s="399" t="s">
        <v>553</v>
      </c>
      <c r="W260" s="399" t="s">
        <v>802</v>
      </c>
      <c r="X260" s="687"/>
      <c r="Y260" s="684"/>
      <c r="Z260" s="684"/>
      <c r="AA260" s="680"/>
      <c r="AB260" s="683"/>
      <c r="AC260" s="688">
        <v>42752</v>
      </c>
      <c r="AD260" s="689" t="s">
        <v>1468</v>
      </c>
      <c r="AE260" s="690"/>
      <c r="AF260" s="691">
        <f>IF(CampList[[#This Row],[Type of Accomodation]]="camp",MAX(0,CampList[[#This Row],[HH]]-SUMIF(Table_Shelter[Pcode],CampList[[#This Row],[CP_Pcode]],Table_Shelter[HH Covered2])),0)</f>
        <v>0</v>
      </c>
      <c r="AG260" s="399"/>
      <c r="AH260" s="692">
        <f>MIN(CampList[[#This Row],[Shelter Gap]],CampList[[#This Row],[Land Status]])</f>
        <v>0</v>
      </c>
      <c r="AI260" s="691" t="str">
        <f ca="1">IFERROR(OFFSET(DistanceToCamp[Nearest Town],MATCH(CampList[[#This Row],[CP_Pcode]],DistanceToCamp[CP_Pcode],0)-1,0,1,1),"")</f>
        <v/>
      </c>
      <c r="AJ260" s="693" t="str">
        <f ca="1">IFERROR(OFFSET(DistanceToCamp[distance],MATCH(CampList[[#This Row],[CP_Pcode]],DistanceToCamp[CP_Pcode],0)-1,0,1,1),"")</f>
        <v/>
      </c>
      <c r="AK260" s="694" t="str">
        <f ca="1">IFERROR(INT(CampList[[#This Row],[Distance]]/5)+1,"")</f>
        <v/>
      </c>
      <c r="AL260" s="374"/>
      <c r="AM260" s="913"/>
      <c r="AN260" s="913"/>
      <c r="AX260" s="564"/>
      <c r="AY260" s="564"/>
    </row>
    <row r="261" spans="1:51" s="563" customFormat="1" ht="15.75" hidden="1" customHeight="1" x14ac:dyDescent="0.25">
      <c r="A261" s="679" t="s">
        <v>842</v>
      </c>
      <c r="B261" s="551" t="s">
        <v>552</v>
      </c>
      <c r="C261" s="551" t="s">
        <v>535</v>
      </c>
      <c r="D261" s="551" t="s">
        <v>230</v>
      </c>
      <c r="E261" s="551" t="s">
        <v>536</v>
      </c>
      <c r="F261" s="551" t="s">
        <v>230</v>
      </c>
      <c r="G261" s="551" t="s">
        <v>537</v>
      </c>
      <c r="H261" s="680" t="s">
        <v>1045</v>
      </c>
      <c r="I261" s="681" t="s">
        <v>1046</v>
      </c>
      <c r="J261" s="680" t="s">
        <v>1485</v>
      </c>
      <c r="K261" s="680" t="s">
        <v>1486</v>
      </c>
      <c r="L261" s="682" t="s">
        <v>1490</v>
      </c>
      <c r="M261" s="552" t="s">
        <v>1457</v>
      </c>
      <c r="N261" s="683"/>
      <c r="O261" s="683"/>
      <c r="P261" s="684"/>
      <c r="Q261" s="399"/>
      <c r="R261" s="704"/>
      <c r="S261" s="685" t="str">
        <f>IF(CampList[[#This Row],[HH]]&gt;0,CampList[[#This Row],[Total]]/CampList[[#This Row],[HH]],"NA")</f>
        <v>NA</v>
      </c>
      <c r="T261" s="402" t="s">
        <v>510</v>
      </c>
      <c r="U261" s="686" t="s">
        <v>1180</v>
      </c>
      <c r="V261" s="399" t="s">
        <v>553</v>
      </c>
      <c r="W261" s="399" t="s">
        <v>802</v>
      </c>
      <c r="X261" s="687"/>
      <c r="Y261" s="684"/>
      <c r="Z261" s="684"/>
      <c r="AA261" s="680"/>
      <c r="AB261" s="683"/>
      <c r="AC261" s="688">
        <v>42752</v>
      </c>
      <c r="AD261" s="689" t="s">
        <v>1468</v>
      </c>
      <c r="AE261" s="690"/>
      <c r="AF261" s="691">
        <f>IF(CampList[[#This Row],[Type of Accomodation]]="camp",MAX(0,CampList[[#This Row],[HH]]-SUMIF(Table_Shelter[Pcode],CampList[[#This Row],[CP_Pcode]],Table_Shelter[HH Covered2])),0)</f>
        <v>0</v>
      </c>
      <c r="AG261" s="399"/>
      <c r="AH261" s="692">
        <f>MIN(CampList[[#This Row],[Shelter Gap]],CampList[[#This Row],[Land Status]])</f>
        <v>0</v>
      </c>
      <c r="AI261" s="691" t="str">
        <f ca="1">IFERROR(OFFSET(DistanceToCamp[Nearest Town],MATCH(CampList[[#This Row],[CP_Pcode]],DistanceToCamp[CP_Pcode],0)-1,0,1,1),"")</f>
        <v/>
      </c>
      <c r="AJ261" s="693" t="str">
        <f ca="1">IFERROR(OFFSET(DistanceToCamp[distance],MATCH(CampList[[#This Row],[CP_Pcode]],DistanceToCamp[CP_Pcode],0)-1,0,1,1),"")</f>
        <v/>
      </c>
      <c r="AK261" s="694" t="str">
        <f ca="1">IFERROR(INT(CampList[[#This Row],[Distance]]/5)+1,"")</f>
        <v/>
      </c>
      <c r="AL261" s="374"/>
      <c r="AM261" s="913"/>
      <c r="AN261" s="913"/>
      <c r="AX261" s="564"/>
      <c r="AY261" s="564"/>
    </row>
    <row r="262" spans="1:51" s="563" customFormat="1" ht="15.75" hidden="1" customHeight="1" x14ac:dyDescent="0.25">
      <c r="A262" s="679" t="s">
        <v>842</v>
      </c>
      <c r="B262" s="551" t="s">
        <v>552</v>
      </c>
      <c r="C262" s="551" t="s">
        <v>535</v>
      </c>
      <c r="D262" s="551" t="s">
        <v>230</v>
      </c>
      <c r="E262" s="551" t="s">
        <v>536</v>
      </c>
      <c r="F262" s="551" t="s">
        <v>230</v>
      </c>
      <c r="G262" s="551" t="s">
        <v>537</v>
      </c>
      <c r="H262" s="680"/>
      <c r="I262" s="681"/>
      <c r="J262" s="680"/>
      <c r="K262" s="680"/>
      <c r="L262" s="682" t="s">
        <v>1480</v>
      </c>
      <c r="M262" s="552" t="s">
        <v>1458</v>
      </c>
      <c r="N262" s="683"/>
      <c r="O262" s="683"/>
      <c r="P262" s="684"/>
      <c r="Q262" s="399"/>
      <c r="R262" s="704"/>
      <c r="S262" s="685" t="str">
        <f>IF(CampList[[#This Row],[HH]]&gt;0,CampList[[#This Row],[Total]]/CampList[[#This Row],[HH]],"NA")</f>
        <v>NA</v>
      </c>
      <c r="T262" s="402" t="s">
        <v>510</v>
      </c>
      <c r="U262" s="686" t="s">
        <v>1180</v>
      </c>
      <c r="V262" s="399" t="s">
        <v>553</v>
      </c>
      <c r="W262" s="399"/>
      <c r="X262" s="687"/>
      <c r="Y262" s="684"/>
      <c r="Z262" s="684"/>
      <c r="AA262" s="680" t="s">
        <v>841</v>
      </c>
      <c r="AB262" s="683"/>
      <c r="AC262" s="688">
        <v>42831</v>
      </c>
      <c r="AD262" s="689" t="s">
        <v>1511</v>
      </c>
      <c r="AE262" s="690"/>
      <c r="AF262" s="691">
        <f>IF(CampList[[#This Row],[Type of Accomodation]]="camp",MAX(0,CampList[[#This Row],[HH]]-SUMIF(Table_Shelter[Pcode],CampList[[#This Row],[CP_Pcode]],Table_Shelter[HH Covered2])),0)</f>
        <v>0</v>
      </c>
      <c r="AG262" s="399"/>
      <c r="AH262" s="692">
        <f>MIN(CampList[[#This Row],[Shelter Gap]],CampList[[#This Row],[Land Status]])</f>
        <v>0</v>
      </c>
      <c r="AI262" s="691" t="str">
        <f ca="1">IFERROR(OFFSET(DistanceToCamp[Nearest Town],MATCH(CampList[[#This Row],[CP_Pcode]],DistanceToCamp[CP_Pcode],0)-1,0,1,1),"")</f>
        <v/>
      </c>
      <c r="AJ262" s="693" t="str">
        <f ca="1">IFERROR(OFFSET(DistanceToCamp[distance],MATCH(CampList[[#This Row],[CP_Pcode]],DistanceToCamp[CP_Pcode],0)-1,0,1,1),"")</f>
        <v/>
      </c>
      <c r="AK262" s="694" t="str">
        <f ca="1">IFERROR(INT(CampList[[#This Row],[Distance]]/5)+1,"")</f>
        <v/>
      </c>
      <c r="AL262" s="374"/>
      <c r="AM262" s="913"/>
      <c r="AN262" s="913"/>
      <c r="AX262" s="564"/>
      <c r="AY262" s="564"/>
    </row>
    <row r="263" spans="1:51" s="563" customFormat="1" ht="15.75" hidden="1" customHeight="1" x14ac:dyDescent="0.25">
      <c r="A263" s="679" t="s">
        <v>842</v>
      </c>
      <c r="B263" s="551" t="s">
        <v>552</v>
      </c>
      <c r="C263" s="551" t="s">
        <v>535</v>
      </c>
      <c r="D263" s="551" t="s">
        <v>230</v>
      </c>
      <c r="E263" s="551" t="s">
        <v>536</v>
      </c>
      <c r="F263" s="551" t="s">
        <v>230</v>
      </c>
      <c r="G263" s="551" t="s">
        <v>537</v>
      </c>
      <c r="H263" s="680" t="s">
        <v>1045</v>
      </c>
      <c r="I263" s="681" t="s">
        <v>1046</v>
      </c>
      <c r="J263" s="680" t="s">
        <v>1487</v>
      </c>
      <c r="K263" s="680" t="s">
        <v>1488</v>
      </c>
      <c r="L263" s="682" t="s">
        <v>1491</v>
      </c>
      <c r="M263" s="552" t="s">
        <v>1459</v>
      </c>
      <c r="N263" s="683"/>
      <c r="O263" s="683"/>
      <c r="P263" s="684"/>
      <c r="Q263" s="399"/>
      <c r="R263" s="704"/>
      <c r="S263" s="685" t="str">
        <f>IF(CampList[[#This Row],[HH]]&gt;0,CampList[[#This Row],[Total]]/CampList[[#This Row],[HH]],"NA")</f>
        <v>NA</v>
      </c>
      <c r="T263" s="402" t="s">
        <v>510</v>
      </c>
      <c r="U263" s="686" t="s">
        <v>1180</v>
      </c>
      <c r="V263" s="399" t="s">
        <v>553</v>
      </c>
      <c r="W263" s="399" t="s">
        <v>802</v>
      </c>
      <c r="X263" s="687"/>
      <c r="Y263" s="684"/>
      <c r="Z263" s="684"/>
      <c r="AA263" s="680" t="s">
        <v>841</v>
      </c>
      <c r="AB263" s="683"/>
      <c r="AC263" s="688">
        <v>42831</v>
      </c>
      <c r="AD263" s="689" t="s">
        <v>1511</v>
      </c>
      <c r="AE263" s="690"/>
      <c r="AF263" s="691">
        <f>IF(CampList[[#This Row],[Type of Accomodation]]="camp",MAX(0,CampList[[#This Row],[HH]]-SUMIF(Table_Shelter[Pcode],CampList[[#This Row],[CP_Pcode]],Table_Shelter[HH Covered2])),0)</f>
        <v>0</v>
      </c>
      <c r="AG263" s="399"/>
      <c r="AH263" s="692">
        <f>MIN(CampList[[#This Row],[Shelter Gap]],CampList[[#This Row],[Land Status]])</f>
        <v>0</v>
      </c>
      <c r="AI263" s="691" t="str">
        <f ca="1">IFERROR(OFFSET(DistanceToCamp[Nearest Town],MATCH(CampList[[#This Row],[CP_Pcode]],DistanceToCamp[CP_Pcode],0)-1,0,1,1),"")</f>
        <v/>
      </c>
      <c r="AJ263" s="693" t="str">
        <f ca="1">IFERROR(OFFSET(DistanceToCamp[distance],MATCH(CampList[[#This Row],[CP_Pcode]],DistanceToCamp[CP_Pcode],0)-1,0,1,1),"")</f>
        <v/>
      </c>
      <c r="AK263" s="694" t="str">
        <f ca="1">IFERROR(INT(CampList[[#This Row],[Distance]]/5)+1,"")</f>
        <v/>
      </c>
      <c r="AL263" s="374"/>
      <c r="AM263" s="913"/>
      <c r="AN263" s="913"/>
      <c r="AX263" s="564"/>
      <c r="AY263" s="564"/>
    </row>
    <row r="264" spans="1:51" s="563" customFormat="1" ht="15.75" hidden="1" customHeight="1" x14ac:dyDescent="0.25">
      <c r="A264" s="570" t="s">
        <v>842</v>
      </c>
      <c r="B264" s="551" t="s">
        <v>380</v>
      </c>
      <c r="C264" s="551" t="s">
        <v>524</v>
      </c>
      <c r="D264" s="551" t="s">
        <v>180</v>
      </c>
      <c r="E264" s="551" t="s">
        <v>525</v>
      </c>
      <c r="F264" s="551" t="s">
        <v>526</v>
      </c>
      <c r="G264" s="551" t="s">
        <v>527</v>
      </c>
      <c r="H264" s="579" t="s">
        <v>711</v>
      </c>
      <c r="I264" s="579" t="s">
        <v>712</v>
      </c>
      <c r="J264" s="579" t="s">
        <v>711</v>
      </c>
      <c r="K264" s="579">
        <v>166794</v>
      </c>
      <c r="L264" s="551" t="s">
        <v>132</v>
      </c>
      <c r="M264" s="551" t="s">
        <v>131</v>
      </c>
      <c r="N264" s="571"/>
      <c r="O264" s="571"/>
      <c r="P264" s="591"/>
      <c r="Q264" s="705">
        <v>0</v>
      </c>
      <c r="R264" s="706">
        <v>0</v>
      </c>
      <c r="S264" s="574" t="str">
        <f>IF(CampList[[#This Row],[HH]]&gt;0,CampList[[#This Row],[Total]]/CampList[[#This Row],[HH]],"NA")</f>
        <v>NA</v>
      </c>
      <c r="T264" s="553" t="s">
        <v>510</v>
      </c>
      <c r="U264" s="583" t="s">
        <v>1180</v>
      </c>
      <c r="V264" s="553" t="s">
        <v>553</v>
      </c>
      <c r="W264" s="583"/>
      <c r="X264" s="600"/>
      <c r="Y264" s="591"/>
      <c r="Z264" s="601"/>
      <c r="AA264" s="751"/>
      <c r="AB264" s="577"/>
      <c r="AC264" s="604"/>
      <c r="AD264" s="570"/>
      <c r="AE264" s="602" t="s">
        <v>1006</v>
      </c>
      <c r="AF264" s="402">
        <f>IF(CampList[[#This Row],[Type of Accomodation]]="camp",MAX(0,CampList[[#This Row],[HH]]-SUMIF(Table_Shelter[Pcode],CampList[[#This Row],[CP_Pcode]],Table_Shelter[HH Covered2])),0)</f>
        <v>0</v>
      </c>
      <c r="AG264" s="553"/>
      <c r="AH264" s="577">
        <f>MIN(CampList[[#This Row],[Shelter Gap]],CampList[[#This Row],[Land Status]])</f>
        <v>0</v>
      </c>
      <c r="AI264" s="553" t="str">
        <f ca="1">IFERROR(OFFSET(DistanceToCamp[Nearest Town],MATCH(CampList[[#This Row],[CP_Pcode]],DistanceToCamp[CP_Pcode],0)-1,0,1,1),"")</f>
        <v/>
      </c>
      <c r="AJ264" s="581" t="str">
        <f ca="1">IFERROR(OFFSET(DistanceToCamp[distance],MATCH(CampList[[#This Row],[CP_Pcode]],DistanceToCamp[CP_Pcode],0)-1,0,1,1),"")</f>
        <v/>
      </c>
      <c r="AK264" s="582" t="str">
        <f ca="1">IFERROR(INT(CampList[[#This Row],[Distance]]/5)+1,"")</f>
        <v/>
      </c>
      <c r="AL264" s="374"/>
      <c r="AM264" s="913">
        <v>224</v>
      </c>
      <c r="AN264" s="913">
        <v>767</v>
      </c>
      <c r="AX264" s="564"/>
      <c r="AY264" s="564"/>
    </row>
    <row r="265" spans="1:51" s="563" customFormat="1" ht="15.75" hidden="1" customHeight="1" x14ac:dyDescent="0.25">
      <c r="A265" s="679" t="s">
        <v>842</v>
      </c>
      <c r="B265" s="551" t="s">
        <v>552</v>
      </c>
      <c r="C265" s="551" t="s">
        <v>535</v>
      </c>
      <c r="D265" s="551" t="s">
        <v>230</v>
      </c>
      <c r="E265" s="551" t="s">
        <v>536</v>
      </c>
      <c r="F265" s="551" t="s">
        <v>230</v>
      </c>
      <c r="G265" s="551" t="s">
        <v>537</v>
      </c>
      <c r="H265" s="680" t="s">
        <v>1492</v>
      </c>
      <c r="I265" s="681" t="s">
        <v>1493</v>
      </c>
      <c r="J265" s="680" t="s">
        <v>1494</v>
      </c>
      <c r="K265" s="680">
        <v>208003</v>
      </c>
      <c r="L265" s="682" t="s">
        <v>1495</v>
      </c>
      <c r="M265" s="552" t="s">
        <v>1460</v>
      </c>
      <c r="N265" s="683"/>
      <c r="O265" s="683"/>
      <c r="P265" s="684"/>
      <c r="Q265" s="399"/>
      <c r="R265" s="704"/>
      <c r="S265" s="685" t="str">
        <f>IF(CampList[[#This Row],[HH]]&gt;0,CampList[[#This Row],[Total]]/CampList[[#This Row],[HH]],"NA")</f>
        <v>NA</v>
      </c>
      <c r="T265" s="402" t="s">
        <v>510</v>
      </c>
      <c r="U265" s="686" t="s">
        <v>1180</v>
      </c>
      <c r="V265" s="399" t="s">
        <v>553</v>
      </c>
      <c r="W265" s="399" t="s">
        <v>855</v>
      </c>
      <c r="X265" s="687"/>
      <c r="Y265" s="684"/>
      <c r="Z265" s="684"/>
      <c r="AA265" s="680" t="s">
        <v>841</v>
      </c>
      <c r="AB265" s="683"/>
      <c r="AC265" s="688">
        <v>42831</v>
      </c>
      <c r="AD265" s="689" t="s">
        <v>1511</v>
      </c>
      <c r="AE265" s="690"/>
      <c r="AF265" s="691">
        <f>IF(CampList[[#This Row],[Type of Accomodation]]="camp",MAX(0,CampList[[#This Row],[HH]]-SUMIF(Table_Shelter[Pcode],CampList[[#This Row],[CP_Pcode]],Table_Shelter[HH Covered2])),0)</f>
        <v>0</v>
      </c>
      <c r="AG265" s="399"/>
      <c r="AH265" s="692">
        <f>MIN(CampList[[#This Row],[Shelter Gap]],CampList[[#This Row],[Land Status]])</f>
        <v>0</v>
      </c>
      <c r="AI265" s="691" t="str">
        <f ca="1">IFERROR(OFFSET(DistanceToCamp[Nearest Town],MATCH(CampList[[#This Row],[CP_Pcode]],DistanceToCamp[CP_Pcode],0)-1,0,1,1),"")</f>
        <v/>
      </c>
      <c r="AJ265" s="693" t="str">
        <f ca="1">IFERROR(OFFSET(DistanceToCamp[distance],MATCH(CampList[[#This Row],[CP_Pcode]],DistanceToCamp[CP_Pcode],0)-1,0,1,1),"")</f>
        <v/>
      </c>
      <c r="AK265" s="694" t="str">
        <f ca="1">IFERROR(INT(CampList[[#This Row],[Distance]]/5)+1,"")</f>
        <v/>
      </c>
      <c r="AL265" s="374"/>
      <c r="AM265" s="913"/>
      <c r="AN265" s="913"/>
      <c r="AX265" s="564"/>
      <c r="AY265" s="564"/>
    </row>
    <row r="266" spans="1:51" s="818" customFormat="1" ht="15.75" hidden="1" customHeight="1" x14ac:dyDescent="0.25">
      <c r="A266" s="679" t="s">
        <v>842</v>
      </c>
      <c r="B266" s="551" t="s">
        <v>552</v>
      </c>
      <c r="C266" s="551" t="s">
        <v>535</v>
      </c>
      <c r="D266" s="551" t="s">
        <v>230</v>
      </c>
      <c r="E266" s="551" t="s">
        <v>536</v>
      </c>
      <c r="F266" s="551" t="s">
        <v>230</v>
      </c>
      <c r="G266" s="551" t="s">
        <v>537</v>
      </c>
      <c r="H266" s="680" t="s">
        <v>1045</v>
      </c>
      <c r="I266" s="681" t="s">
        <v>1046</v>
      </c>
      <c r="J266" s="680" t="s">
        <v>1047</v>
      </c>
      <c r="K266" s="680" t="s">
        <v>1048</v>
      </c>
      <c r="L266" s="682" t="s">
        <v>1473</v>
      </c>
      <c r="M266" s="552" t="s">
        <v>1461</v>
      </c>
      <c r="N266" s="683"/>
      <c r="O266" s="683"/>
      <c r="P266" s="684"/>
      <c r="Q266" s="399"/>
      <c r="R266" s="704"/>
      <c r="S266" s="685" t="str">
        <f>IF(CampList[[#This Row],[HH]]&gt;0,CampList[[#This Row],[Total]]/CampList[[#This Row],[HH]],"NA")</f>
        <v>NA</v>
      </c>
      <c r="T266" s="402" t="s">
        <v>510</v>
      </c>
      <c r="U266" s="686" t="s">
        <v>1180</v>
      </c>
      <c r="V266" s="399" t="s">
        <v>553</v>
      </c>
      <c r="W266" s="399" t="s">
        <v>802</v>
      </c>
      <c r="X266" s="687"/>
      <c r="Y266" s="684"/>
      <c r="Z266" s="684"/>
      <c r="AA266" s="680" t="s">
        <v>841</v>
      </c>
      <c r="AB266" s="683"/>
      <c r="AC266" s="688">
        <v>42831</v>
      </c>
      <c r="AD266" s="689" t="s">
        <v>1511</v>
      </c>
      <c r="AE266" s="690"/>
      <c r="AF266" s="691">
        <f>IF(CampList[[#This Row],[Type of Accomodation]]="camp",MAX(0,CampList[[#This Row],[HH]]-SUMIF(Table_Shelter[Pcode],CampList[[#This Row],[CP_Pcode]],Table_Shelter[HH Covered2])),0)</f>
        <v>0</v>
      </c>
      <c r="AG266" s="399"/>
      <c r="AH266" s="692">
        <f>MIN(CampList[[#This Row],[Shelter Gap]],CampList[[#This Row],[Land Status]])</f>
        <v>0</v>
      </c>
      <c r="AI266" s="691" t="str">
        <f ca="1">IFERROR(OFFSET(DistanceToCamp[Nearest Town],MATCH(CampList[[#This Row],[CP_Pcode]],DistanceToCamp[CP_Pcode],0)-1,0,1,1),"")</f>
        <v/>
      </c>
      <c r="AJ266" s="693" t="str">
        <f ca="1">IFERROR(OFFSET(DistanceToCamp[distance],MATCH(CampList[[#This Row],[CP_Pcode]],DistanceToCamp[CP_Pcode],0)-1,0,1,1),"")</f>
        <v/>
      </c>
      <c r="AK266" s="694" t="str">
        <f ca="1">IFERROR(INT(CampList[[#This Row],[Distance]]/5)+1,"")</f>
        <v/>
      </c>
      <c r="AL266" s="817"/>
      <c r="AM266" s="921"/>
      <c r="AN266" s="921"/>
      <c r="AX266" s="819"/>
      <c r="AY266" s="819"/>
    </row>
    <row r="267" spans="1:51" s="818" customFormat="1" ht="15.75" hidden="1" customHeight="1" x14ac:dyDescent="0.25">
      <c r="A267" s="679" t="s">
        <v>842</v>
      </c>
      <c r="B267" s="551" t="s">
        <v>552</v>
      </c>
      <c r="C267" s="551" t="s">
        <v>535</v>
      </c>
      <c r="D267" s="551" t="s">
        <v>230</v>
      </c>
      <c r="E267" s="551" t="s">
        <v>536</v>
      </c>
      <c r="F267" s="551" t="s">
        <v>230</v>
      </c>
      <c r="G267" s="551" t="s">
        <v>537</v>
      </c>
      <c r="H267" s="680" t="s">
        <v>1045</v>
      </c>
      <c r="I267" s="681" t="s">
        <v>1046</v>
      </c>
      <c r="J267" s="680"/>
      <c r="K267" s="680"/>
      <c r="L267" s="682" t="s">
        <v>1474</v>
      </c>
      <c r="M267" s="552" t="s">
        <v>1462</v>
      </c>
      <c r="N267" s="683"/>
      <c r="O267" s="683"/>
      <c r="P267" s="684"/>
      <c r="Q267" s="399"/>
      <c r="R267" s="704"/>
      <c r="S267" s="685" t="str">
        <f>IF(CampList[[#This Row],[HH]]&gt;0,CampList[[#This Row],[Total]]/CampList[[#This Row],[HH]],"NA")</f>
        <v>NA</v>
      </c>
      <c r="T267" s="402" t="s">
        <v>510</v>
      </c>
      <c r="U267" s="686" t="s">
        <v>1180</v>
      </c>
      <c r="V267" s="399" t="s">
        <v>553</v>
      </c>
      <c r="W267" s="399"/>
      <c r="X267" s="687"/>
      <c r="Y267" s="684"/>
      <c r="Z267" s="684"/>
      <c r="AA267" s="680"/>
      <c r="AB267" s="683"/>
      <c r="AC267" s="688">
        <v>42752</v>
      </c>
      <c r="AD267" s="689" t="s">
        <v>1468</v>
      </c>
      <c r="AE267" s="690"/>
      <c r="AF267" s="691">
        <f>IF(CampList[[#This Row],[Type of Accomodation]]="camp",MAX(0,CampList[[#This Row],[HH]]-SUMIF(Table_Shelter[Pcode],CampList[[#This Row],[CP_Pcode]],Table_Shelter[HH Covered2])),0)</f>
        <v>0</v>
      </c>
      <c r="AG267" s="399"/>
      <c r="AH267" s="692">
        <f>MIN(CampList[[#This Row],[Shelter Gap]],CampList[[#This Row],[Land Status]])</f>
        <v>0</v>
      </c>
      <c r="AI267" s="691" t="str">
        <f ca="1">IFERROR(OFFSET(DistanceToCamp[Nearest Town],MATCH(CampList[[#This Row],[CP_Pcode]],DistanceToCamp[CP_Pcode],0)-1,0,1,1),"")</f>
        <v/>
      </c>
      <c r="AJ267" s="693" t="str">
        <f ca="1">IFERROR(OFFSET(DistanceToCamp[distance],MATCH(CampList[[#This Row],[CP_Pcode]],DistanceToCamp[CP_Pcode],0)-1,0,1,1),"")</f>
        <v/>
      </c>
      <c r="AK267" s="694" t="str">
        <f ca="1">IFERROR(INT(CampList[[#This Row],[Distance]]/5)+1,"")</f>
        <v/>
      </c>
      <c r="AL267" s="817"/>
      <c r="AM267" s="921"/>
      <c r="AN267" s="921"/>
      <c r="AX267" s="819"/>
      <c r="AY267" s="819"/>
    </row>
    <row r="268" spans="1:51" s="563" customFormat="1" ht="15.75" hidden="1" customHeight="1" x14ac:dyDescent="0.25">
      <c r="A268" s="679" t="s">
        <v>842</v>
      </c>
      <c r="B268" s="551" t="s">
        <v>552</v>
      </c>
      <c r="C268" s="551" t="s">
        <v>535</v>
      </c>
      <c r="D268" s="551" t="s">
        <v>230</v>
      </c>
      <c r="E268" s="551" t="s">
        <v>536</v>
      </c>
      <c r="F268" s="551" t="s">
        <v>230</v>
      </c>
      <c r="G268" s="551" t="s">
        <v>537</v>
      </c>
      <c r="H268" s="680" t="s">
        <v>1045</v>
      </c>
      <c r="I268" s="681" t="s">
        <v>1046</v>
      </c>
      <c r="J268" s="680" t="s">
        <v>1047</v>
      </c>
      <c r="K268" s="680" t="s">
        <v>1048</v>
      </c>
      <c r="L268" s="682" t="s">
        <v>1475</v>
      </c>
      <c r="M268" s="552" t="s">
        <v>1463</v>
      </c>
      <c r="N268" s="683"/>
      <c r="O268" s="683"/>
      <c r="P268" s="684"/>
      <c r="Q268" s="399"/>
      <c r="R268" s="704"/>
      <c r="S268" s="685" t="str">
        <f>IF(CampList[[#This Row],[HH]]&gt;0,CampList[[#This Row],[Total]]/CampList[[#This Row],[HH]],"NA")</f>
        <v>NA</v>
      </c>
      <c r="T268" s="402" t="s">
        <v>510</v>
      </c>
      <c r="U268" s="686" t="s">
        <v>1180</v>
      </c>
      <c r="V268" s="399" t="s">
        <v>553</v>
      </c>
      <c r="W268" s="399" t="s">
        <v>802</v>
      </c>
      <c r="X268" s="687"/>
      <c r="Y268" s="684"/>
      <c r="Z268" s="684"/>
      <c r="AA268" s="680" t="s">
        <v>841</v>
      </c>
      <c r="AB268" s="683"/>
      <c r="AC268" s="688">
        <v>42831</v>
      </c>
      <c r="AD268" s="689" t="s">
        <v>1511</v>
      </c>
      <c r="AE268" s="690"/>
      <c r="AF268" s="691">
        <f>IF(CampList[[#This Row],[Type of Accomodation]]="camp",MAX(0,CampList[[#This Row],[HH]]-SUMIF(Table_Shelter[Pcode],CampList[[#This Row],[CP_Pcode]],Table_Shelter[HH Covered2])),0)</f>
        <v>0</v>
      </c>
      <c r="AG268" s="399"/>
      <c r="AH268" s="692">
        <f>MIN(CampList[[#This Row],[Shelter Gap]],CampList[[#This Row],[Land Status]])</f>
        <v>0</v>
      </c>
      <c r="AI268" s="691" t="str">
        <f ca="1">IFERROR(OFFSET(DistanceToCamp[Nearest Town],MATCH(CampList[[#This Row],[CP_Pcode]],DistanceToCamp[CP_Pcode],0)-1,0,1,1),"")</f>
        <v/>
      </c>
      <c r="AJ268" s="693" t="str">
        <f ca="1">IFERROR(OFFSET(DistanceToCamp[distance],MATCH(CampList[[#This Row],[CP_Pcode]],DistanceToCamp[CP_Pcode],0)-1,0,1,1),"")</f>
        <v/>
      </c>
      <c r="AK268" s="694" t="str">
        <f ca="1">IFERROR(INT(CampList[[#This Row],[Distance]]/5)+1,"")</f>
        <v/>
      </c>
      <c r="AL268" s="374"/>
      <c r="AM268" s="913"/>
      <c r="AN268" s="913"/>
      <c r="AX268" s="564"/>
      <c r="AY268" s="564"/>
    </row>
    <row r="269" spans="1:51" ht="15.75" hidden="1" customHeight="1" x14ac:dyDescent="0.25">
      <c r="A269" s="570" t="s">
        <v>842</v>
      </c>
      <c r="B269" s="551" t="s">
        <v>380</v>
      </c>
      <c r="C269" s="551" t="s">
        <v>524</v>
      </c>
      <c r="D269" s="551" t="s">
        <v>180</v>
      </c>
      <c r="E269" s="551" t="s">
        <v>525</v>
      </c>
      <c r="F269" s="551" t="s">
        <v>526</v>
      </c>
      <c r="G269" s="551" t="s">
        <v>527</v>
      </c>
      <c r="H269" s="552" t="s">
        <v>1425</v>
      </c>
      <c r="I269" s="590" t="s">
        <v>1426</v>
      </c>
      <c r="J269" s="552" t="s">
        <v>1433</v>
      </c>
      <c r="K269" s="552">
        <v>166819</v>
      </c>
      <c r="L269" s="52" t="s">
        <v>1429</v>
      </c>
      <c r="M269" s="552" t="s">
        <v>1436</v>
      </c>
      <c r="N269" s="621">
        <v>96.662092000000001</v>
      </c>
      <c r="O269" s="621">
        <v>25.920006000000001</v>
      </c>
      <c r="P269" s="592"/>
      <c r="Q269" s="402"/>
      <c r="R269" s="602"/>
      <c r="S269" s="574" t="str">
        <f>IF(CampList[[#This Row],[HH]]&gt;0,CampList[[#This Row],[Total]]/CampList[[#This Row],[HH]],"NA")</f>
        <v>NA</v>
      </c>
      <c r="T269" s="402" t="s">
        <v>510</v>
      </c>
      <c r="U269" s="553" t="s">
        <v>1180</v>
      </c>
      <c r="V269" s="402" t="s">
        <v>553</v>
      </c>
      <c r="W269" s="402" t="s">
        <v>855</v>
      </c>
      <c r="X269" s="593">
        <v>42584</v>
      </c>
      <c r="Y269" s="592"/>
      <c r="Z269" s="592"/>
      <c r="AA269" s="552" t="s">
        <v>841</v>
      </c>
      <c r="AB269" s="573"/>
      <c r="AC269" s="578">
        <v>42849</v>
      </c>
      <c r="AD269" s="594" t="s">
        <v>1524</v>
      </c>
      <c r="AE269" s="580"/>
      <c r="AF269" s="595">
        <f>IF(CampList[[#This Row],[Type of Accomodation]]="camp",MAX(0,CampList[[#This Row],[HH]]-SUMIF(Table_Shelter[Pcode],CampList[[#This Row],[CP_Pcode]],Table_Shelter[HH Covered2])),0)</f>
        <v>0</v>
      </c>
      <c r="AG269" s="402"/>
      <c r="AH269" s="572">
        <f>MIN(CampList[[#This Row],[Shelter Gap]],CampList[[#This Row],[Land Status]])</f>
        <v>0</v>
      </c>
      <c r="AI269" s="595" t="str">
        <f ca="1">IFERROR(OFFSET(DistanceToCamp[Nearest Town],MATCH(CampList[[#This Row],[CP_Pcode]],DistanceToCamp[CP_Pcode],0)-1,0,1,1),"")</f>
        <v>Hpakant Town</v>
      </c>
      <c r="AJ269" s="581">
        <f ca="1">IFERROR(OFFSET(DistanceToCamp[distance],MATCH(CampList[[#This Row],[CP_Pcode]],DistanceToCamp[CP_Pcode],0)-1,0,1,1),"")</f>
        <v>0</v>
      </c>
      <c r="AK269" s="596">
        <f ca="1">IFERROR(INT(CampList[[#This Row],[Distance]]/5)+1,"")</f>
        <v>1</v>
      </c>
      <c r="AN269" s="913">
        <v>150</v>
      </c>
    </row>
    <row r="270" spans="1:51" ht="15.75" hidden="1" customHeight="1" x14ac:dyDescent="0.25">
      <c r="A270" s="570" t="s">
        <v>842</v>
      </c>
      <c r="B270" s="551" t="s">
        <v>380</v>
      </c>
      <c r="C270" s="551" t="s">
        <v>524</v>
      </c>
      <c r="D270" s="551" t="s">
        <v>5</v>
      </c>
      <c r="E270" s="551" t="s">
        <v>528</v>
      </c>
      <c r="F270" s="551" t="s">
        <v>5</v>
      </c>
      <c r="G270" s="551" t="s">
        <v>529</v>
      </c>
      <c r="H270" s="551" t="s">
        <v>644</v>
      </c>
      <c r="I270" s="551" t="s">
        <v>645</v>
      </c>
      <c r="J270" s="551"/>
      <c r="K270" s="551"/>
      <c r="L270" s="551" t="s">
        <v>1019</v>
      </c>
      <c r="M270" s="551" t="s">
        <v>1016</v>
      </c>
      <c r="N270" s="571">
        <v>97.239130000000003</v>
      </c>
      <c r="O270" s="573">
        <v>24.229189999999999</v>
      </c>
      <c r="P270" s="592">
        <v>126</v>
      </c>
      <c r="Q270" s="402"/>
      <c r="R270" s="602"/>
      <c r="S270" s="574" t="str">
        <f>IF(CampList[[#This Row],[HH]]&gt;0,CampList[[#This Row],[Total]]/CampList[[#This Row],[HH]],"NA")</f>
        <v>NA</v>
      </c>
      <c r="T270" s="553" t="s">
        <v>510</v>
      </c>
      <c r="U270" s="583" t="s">
        <v>1180</v>
      </c>
      <c r="V270" s="553" t="s">
        <v>553</v>
      </c>
      <c r="W270" s="553" t="s">
        <v>802</v>
      </c>
      <c r="X270" s="593"/>
      <c r="Y270" s="592"/>
      <c r="Z270" s="577" t="s">
        <v>504</v>
      </c>
      <c r="AA270" s="551" t="s">
        <v>841</v>
      </c>
      <c r="AB270" s="577"/>
      <c r="AC270" s="578">
        <v>41906</v>
      </c>
      <c r="AD270" s="579" t="s">
        <v>1111</v>
      </c>
      <c r="AE270" s="602" t="s">
        <v>1088</v>
      </c>
      <c r="AF270" s="402">
        <f>IF(CampList[[#This Row],[Type of Accomodation]]="camp",MAX(0,CampList[[#This Row],[HH]]-SUMIF(Table_Shelter[Pcode],CampList[[#This Row],[CP_Pcode]],Table_Shelter[HH Covered2])),0)</f>
        <v>0</v>
      </c>
      <c r="AG270" s="553"/>
      <c r="AH270" s="577">
        <f>MIN(CampList[[#This Row],[Shelter Gap]],CampList[[#This Row],[Land Status]])</f>
        <v>0</v>
      </c>
      <c r="AI270" s="553" t="str">
        <f ca="1">IFERROR(OFFSET(DistanceToCamp[Nearest Town],MATCH(CampList[[#This Row],[CP_Pcode]],DistanceToCamp[CP_Pcode],0)-1,0,1,1),"")</f>
        <v/>
      </c>
      <c r="AJ270" s="581" t="str">
        <f ca="1">IFERROR(OFFSET(DistanceToCamp[distance],MATCH(CampList[[#This Row],[CP_Pcode]],DistanceToCamp[CP_Pcode],0)-1,0,1,1),"")</f>
        <v/>
      </c>
      <c r="AK270" s="582" t="str">
        <f ca="1">IFERROR(INT(CampList[[#This Row],[Distance]]/5)+1,"")</f>
        <v/>
      </c>
      <c r="AN270" s="913">
        <v>11</v>
      </c>
    </row>
    <row r="271" spans="1:51" ht="15.75" hidden="1" customHeight="1" x14ac:dyDescent="0.25">
      <c r="A271" s="570" t="s">
        <v>842</v>
      </c>
      <c r="B271" s="551" t="s">
        <v>380</v>
      </c>
      <c r="C271" s="551" t="s">
        <v>524</v>
      </c>
      <c r="D271" s="551" t="s">
        <v>180</v>
      </c>
      <c r="E271" s="551" t="s">
        <v>525</v>
      </c>
      <c r="F271" s="551" t="s">
        <v>526</v>
      </c>
      <c r="G271" s="551" t="s">
        <v>527</v>
      </c>
      <c r="H271" s="579" t="s">
        <v>602</v>
      </c>
      <c r="I271" s="579" t="s">
        <v>603</v>
      </c>
      <c r="J271" s="579" t="s">
        <v>702</v>
      </c>
      <c r="K271" s="579" t="s">
        <v>703</v>
      </c>
      <c r="L271" s="551" t="s">
        <v>134</v>
      </c>
      <c r="M271" s="551" t="s">
        <v>133</v>
      </c>
      <c r="N271" s="571"/>
      <c r="O271" s="571"/>
      <c r="P271" s="591"/>
      <c r="Q271" s="705"/>
      <c r="R271" s="706"/>
      <c r="S271" s="574" t="str">
        <f>IF(CampList[[#This Row],[HH]]&gt;0,CampList[[#This Row],[Total]]/CampList[[#This Row],[HH]],"NA")</f>
        <v>NA</v>
      </c>
      <c r="T271" s="553" t="s">
        <v>510</v>
      </c>
      <c r="U271" s="583" t="s">
        <v>1180</v>
      </c>
      <c r="V271" s="553" t="s">
        <v>553</v>
      </c>
      <c r="W271" s="583"/>
      <c r="X271" s="600"/>
      <c r="Y271" s="591"/>
      <c r="Z271" s="601"/>
      <c r="AA271" s="598"/>
      <c r="AB271" s="577"/>
      <c r="AC271" s="604"/>
      <c r="AD271" s="570" t="s">
        <v>600</v>
      </c>
      <c r="AE271" s="602" t="s">
        <v>1006</v>
      </c>
      <c r="AF271" s="402">
        <f>IF(CampList[[#This Row],[Type of Accomodation]]="camp",MAX(0,CampList[[#This Row],[HH]]-SUMIF(Table_Shelter[Pcode],CampList[[#This Row],[CP_Pcode]],Table_Shelter[HH Covered2])),0)</f>
        <v>0</v>
      </c>
      <c r="AG271" s="553"/>
      <c r="AH271" s="577">
        <f>MIN(CampList[[#This Row],[Shelter Gap]],CampList[[#This Row],[Land Status]])</f>
        <v>0</v>
      </c>
      <c r="AI271" s="553" t="str">
        <f ca="1">IFERROR(OFFSET(DistanceToCamp[Nearest Town],MATCH(CampList[[#This Row],[CP_Pcode]],DistanceToCamp[CP_Pcode],0)-1,0,1,1),"")</f>
        <v/>
      </c>
      <c r="AJ271" s="581" t="str">
        <f ca="1">IFERROR(OFFSET(DistanceToCamp[distance],MATCH(CampList[[#This Row],[CP_Pcode]],DistanceToCamp[CP_Pcode],0)-1,0,1,1),"")</f>
        <v/>
      </c>
      <c r="AK271" s="582" t="str">
        <f ca="1">IFERROR(INT(CampList[[#This Row],[Distance]]/5)+1,"")</f>
        <v/>
      </c>
    </row>
    <row r="272" spans="1:51" ht="15.75" hidden="1" customHeight="1" x14ac:dyDescent="0.25">
      <c r="A272" s="570" t="s">
        <v>842</v>
      </c>
      <c r="B272" s="551" t="s">
        <v>380</v>
      </c>
      <c r="C272" s="551" t="s">
        <v>524</v>
      </c>
      <c r="D272" s="551" t="s">
        <v>5</v>
      </c>
      <c r="E272" s="551" t="s">
        <v>528</v>
      </c>
      <c r="F272" s="551" t="s">
        <v>5</v>
      </c>
      <c r="G272" s="551" t="s">
        <v>529</v>
      </c>
      <c r="H272" s="579"/>
      <c r="I272" s="579"/>
      <c r="J272" s="579"/>
      <c r="K272" s="579"/>
      <c r="L272" s="551" t="s">
        <v>868</v>
      </c>
      <c r="M272" s="551" t="s">
        <v>854</v>
      </c>
      <c r="N272" s="571"/>
      <c r="O272" s="571"/>
      <c r="P272" s="587"/>
      <c r="Q272" s="705">
        <v>0</v>
      </c>
      <c r="R272" s="706">
        <v>0</v>
      </c>
      <c r="S272" s="574" t="str">
        <f>IF(CampList[[#This Row],[HH]]&gt;0,CampList[[#This Row],[Total]]/CampList[[#This Row],[HH]],"NA")</f>
        <v>NA</v>
      </c>
      <c r="T272" s="553" t="s">
        <v>510</v>
      </c>
      <c r="U272" s="583" t="s">
        <v>1180</v>
      </c>
      <c r="V272" s="553" t="s">
        <v>553</v>
      </c>
      <c r="W272" s="583" t="s">
        <v>802</v>
      </c>
      <c r="X272" s="584"/>
      <c r="Y272" s="585"/>
      <c r="Z272" s="584"/>
      <c r="AA272" s="598" t="s">
        <v>841</v>
      </c>
      <c r="AB272" s="577"/>
      <c r="AC272" s="578">
        <v>41701</v>
      </c>
      <c r="AD272" s="570" t="s">
        <v>1015</v>
      </c>
      <c r="AE272" s="580" t="s">
        <v>1006</v>
      </c>
      <c r="AF272" s="402">
        <f>IF(CampList[[#This Row],[Type of Accomodation]]="camp",MAX(0,CampList[[#This Row],[HH]]-SUMIF(Table_Shelter[Pcode],CampList[[#This Row],[CP_Pcode]],Table_Shelter[HH Covered2])),0)</f>
        <v>0</v>
      </c>
      <c r="AG272" s="553"/>
      <c r="AH272" s="577">
        <f>MIN(CampList[[#This Row],[Shelter Gap]],CampList[[#This Row],[Land Status]])</f>
        <v>0</v>
      </c>
      <c r="AI272" s="553" t="str">
        <f ca="1">IFERROR(OFFSET(DistanceToCamp[Nearest Town],MATCH(CampList[[#This Row],[CP_Pcode]],DistanceToCamp[CP_Pcode],0)-1,0,1,1),"")</f>
        <v/>
      </c>
      <c r="AJ272" s="581" t="str">
        <f ca="1">IFERROR(OFFSET(DistanceToCamp[distance],MATCH(CampList[[#This Row],[CP_Pcode]],DistanceToCamp[CP_Pcode],0)-1,0,1,1),"")</f>
        <v/>
      </c>
      <c r="AK272" s="582" t="str">
        <f ca="1">IFERROR(INT(CampList[[#This Row],[Distance]]/5)+1,"")</f>
        <v/>
      </c>
    </row>
    <row r="273" spans="1:51" ht="15.75" hidden="1" customHeight="1" x14ac:dyDescent="0.25">
      <c r="A273" s="570" t="s">
        <v>842</v>
      </c>
      <c r="B273" s="551" t="s">
        <v>380</v>
      </c>
      <c r="C273" s="551" t="s">
        <v>524</v>
      </c>
      <c r="D273" s="551" t="s">
        <v>237</v>
      </c>
      <c r="E273" s="551" t="s">
        <v>530</v>
      </c>
      <c r="F273" s="551" t="s">
        <v>310</v>
      </c>
      <c r="G273" s="551" t="s">
        <v>531</v>
      </c>
      <c r="H273" s="551" t="s">
        <v>694</v>
      </c>
      <c r="I273" s="551" t="s">
        <v>695</v>
      </c>
      <c r="J273" s="551" t="s">
        <v>715</v>
      </c>
      <c r="K273" s="551" t="s">
        <v>716</v>
      </c>
      <c r="L273" s="551" t="s">
        <v>311</v>
      </c>
      <c r="M273" s="551" t="s">
        <v>309</v>
      </c>
      <c r="N273" s="571">
        <v>97.438259000000002</v>
      </c>
      <c r="O273" s="571">
        <v>25.355841999999999</v>
      </c>
      <c r="P273" s="587">
        <v>0</v>
      </c>
      <c r="Q273" s="595"/>
      <c r="R273" s="602"/>
      <c r="S273" s="574" t="str">
        <f>IF(CampList[[#This Row],[HH]]&gt;0,CampList[[#This Row],[Total]]/CampList[[#This Row],[HH]],"NA")</f>
        <v>NA</v>
      </c>
      <c r="T273" s="553" t="s">
        <v>510</v>
      </c>
      <c r="U273" s="553" t="s">
        <v>1180</v>
      </c>
      <c r="V273" s="553" t="s">
        <v>985</v>
      </c>
      <c r="W273" s="553" t="s">
        <v>802</v>
      </c>
      <c r="X273" s="575">
        <v>40848</v>
      </c>
      <c r="Y273" s="576">
        <v>1</v>
      </c>
      <c r="Z273" s="575" t="s">
        <v>459</v>
      </c>
      <c r="AA273" s="551" t="s">
        <v>841</v>
      </c>
      <c r="AB273" s="577"/>
      <c r="AC273" s="578">
        <v>42432</v>
      </c>
      <c r="AD273" s="579" t="s">
        <v>1326</v>
      </c>
      <c r="AE273" s="580" t="s">
        <v>1088</v>
      </c>
      <c r="AF273" s="402">
        <f>IF(CampList[[#This Row],[Type of Accomodation]]="camp",MAX(0,CampList[[#This Row],[HH]]-SUMIF(Table_Shelter[Pcode],CampList[[#This Row],[CP_Pcode]],Table_Shelter[HH Covered2])),0)</f>
        <v>0</v>
      </c>
      <c r="AG273" s="553"/>
      <c r="AH273" s="577">
        <f>MIN(CampList[[#This Row],[Shelter Gap]],CampList[[#This Row],[Land Status]])</f>
        <v>0</v>
      </c>
      <c r="AI273" s="553" t="str">
        <f ca="1">IFERROR(OFFSET(DistanceToCamp[Nearest Town],MATCH(CampList[[#This Row],[CP_Pcode]],DistanceToCamp[CP_Pcode],0)-1,0,1,1),"")</f>
        <v>Waingmaw Town</v>
      </c>
      <c r="AJ273" s="581">
        <f ca="1">IFERROR(OFFSET(DistanceToCamp[distance],MATCH(CampList[[#This Row],[CP_Pcode]],DistanceToCamp[CP_Pcode],0)-1,0,1,1),"")</f>
        <v>0.70725493400809891</v>
      </c>
      <c r="AK273" s="582">
        <f ca="1">IFERROR(INT(CampList[[#This Row],[Distance]]/5)+1,"")</f>
        <v>1</v>
      </c>
    </row>
    <row r="274" spans="1:51" s="563" customFormat="1" ht="15.75" hidden="1" customHeight="1" x14ac:dyDescent="0.25">
      <c r="A274" s="570" t="s">
        <v>842</v>
      </c>
      <c r="B274" s="551" t="s">
        <v>380</v>
      </c>
      <c r="C274" s="551" t="s">
        <v>524</v>
      </c>
      <c r="D274" s="551" t="s">
        <v>180</v>
      </c>
      <c r="E274" s="551" t="s">
        <v>525</v>
      </c>
      <c r="F274" s="551" t="s">
        <v>526</v>
      </c>
      <c r="G274" s="551" t="s">
        <v>527</v>
      </c>
      <c r="H274" s="579" t="s">
        <v>597</v>
      </c>
      <c r="I274" s="579" t="s">
        <v>598</v>
      </c>
      <c r="J274" s="579" t="s">
        <v>597</v>
      </c>
      <c r="K274" s="579">
        <v>166783</v>
      </c>
      <c r="L274" s="551" t="s">
        <v>64</v>
      </c>
      <c r="M274" s="551" t="s">
        <v>63</v>
      </c>
      <c r="N274" s="571">
        <v>96.288250000000005</v>
      </c>
      <c r="O274" s="571">
        <v>25.57921</v>
      </c>
      <c r="P274" s="587">
        <v>0</v>
      </c>
      <c r="Q274" s="705"/>
      <c r="R274" s="706"/>
      <c r="S274" s="574" t="str">
        <f>IF(CampList[[#This Row],[HH]]&gt;0,CampList[[#This Row],[Total]]/CampList[[#This Row],[HH]],"NA")</f>
        <v>NA</v>
      </c>
      <c r="T274" s="553" t="s">
        <v>510</v>
      </c>
      <c r="U274" s="583" t="s">
        <v>1180</v>
      </c>
      <c r="V274" s="553" t="s">
        <v>553</v>
      </c>
      <c r="W274" s="583" t="s">
        <v>855</v>
      </c>
      <c r="X274" s="584">
        <v>41275</v>
      </c>
      <c r="Y274" s="585"/>
      <c r="Z274" s="584" t="s">
        <v>1085</v>
      </c>
      <c r="AA274" s="598" t="s">
        <v>840</v>
      </c>
      <c r="AB274" s="577"/>
      <c r="AC274" s="578">
        <v>41736</v>
      </c>
      <c r="AD274" s="579" t="s">
        <v>1036</v>
      </c>
      <c r="AE274" s="580" t="s">
        <v>1006</v>
      </c>
      <c r="AF274" s="402">
        <f>IF(CampList[[#This Row],[Type of Accomodation]]="camp",MAX(0,CampList[[#This Row],[HH]]-SUMIF(Table_Shelter[Pcode],CampList[[#This Row],[CP_Pcode]],Table_Shelter[HH Covered2])),0)</f>
        <v>0</v>
      </c>
      <c r="AG274" s="553"/>
      <c r="AH274" s="577">
        <f>MIN(CampList[[#This Row],[Shelter Gap]],CampList[[#This Row],[Land Status]])</f>
        <v>0</v>
      </c>
      <c r="AI274" s="553" t="str">
        <f ca="1">IFERROR(OFFSET(DistanceToCamp[Nearest Town],MATCH(CampList[[#This Row],[CP_Pcode]],DistanceToCamp[CP_Pcode],0)-1,0,1,1),"")</f>
        <v/>
      </c>
      <c r="AJ274" s="581" t="str">
        <f ca="1">IFERROR(OFFSET(DistanceToCamp[distance],MATCH(CampList[[#This Row],[CP_Pcode]],DistanceToCamp[CP_Pcode],0)-1,0,1,1),"")</f>
        <v/>
      </c>
      <c r="AK274" s="582" t="str">
        <f ca="1">IFERROR(INT(CampList[[#This Row],[Distance]]/5)+1,"")</f>
        <v/>
      </c>
      <c r="AL274" s="374"/>
      <c r="AM274" s="913"/>
      <c r="AN274" s="913"/>
      <c r="AX274" s="564"/>
      <c r="AY274" s="564"/>
    </row>
    <row r="275" spans="1:51" ht="15.75" hidden="1" customHeight="1" x14ac:dyDescent="0.25">
      <c r="A275" s="679" t="s">
        <v>842</v>
      </c>
      <c r="B275" s="551" t="s">
        <v>552</v>
      </c>
      <c r="C275" s="551" t="s">
        <v>535</v>
      </c>
      <c r="D275" s="551" t="s">
        <v>230</v>
      </c>
      <c r="E275" s="551" t="s">
        <v>536</v>
      </c>
      <c r="F275" s="551" t="s">
        <v>230</v>
      </c>
      <c r="G275" s="551" t="s">
        <v>537</v>
      </c>
      <c r="H275" s="680" t="s">
        <v>1045</v>
      </c>
      <c r="I275" s="681" t="s">
        <v>1046</v>
      </c>
      <c r="J275" s="680" t="s">
        <v>1047</v>
      </c>
      <c r="K275" s="680" t="s">
        <v>1048</v>
      </c>
      <c r="L275" s="682" t="s">
        <v>1476</v>
      </c>
      <c r="M275" s="552" t="s">
        <v>1464</v>
      </c>
      <c r="N275" s="683"/>
      <c r="O275" s="683"/>
      <c r="P275" s="684"/>
      <c r="Q275" s="399"/>
      <c r="R275" s="704"/>
      <c r="S275" s="685" t="str">
        <f>IF(CampList[[#This Row],[HH]]&gt;0,CampList[[#This Row],[Total]]/CampList[[#This Row],[HH]],"NA")</f>
        <v>NA</v>
      </c>
      <c r="T275" s="402" t="s">
        <v>510</v>
      </c>
      <c r="U275" s="686" t="s">
        <v>1180</v>
      </c>
      <c r="V275" s="399" t="s">
        <v>553</v>
      </c>
      <c r="W275" s="399" t="s">
        <v>802</v>
      </c>
      <c r="X275" s="687"/>
      <c r="Y275" s="684"/>
      <c r="Z275" s="684"/>
      <c r="AA275" s="680" t="s">
        <v>841</v>
      </c>
      <c r="AB275" s="683"/>
      <c r="AC275" s="688">
        <v>42831</v>
      </c>
      <c r="AD275" s="689" t="s">
        <v>1511</v>
      </c>
      <c r="AE275" s="690"/>
      <c r="AF275" s="691">
        <f>IF(CampList[[#This Row],[Type of Accomodation]]="camp",MAX(0,CampList[[#This Row],[HH]]-SUMIF(Table_Shelter[Pcode],CampList[[#This Row],[CP_Pcode]],Table_Shelter[HH Covered2])),0)</f>
        <v>0</v>
      </c>
      <c r="AG275" s="399"/>
      <c r="AH275" s="692">
        <f>MIN(CampList[[#This Row],[Shelter Gap]],CampList[[#This Row],[Land Status]])</f>
        <v>0</v>
      </c>
      <c r="AI275" s="691" t="str">
        <f ca="1">IFERROR(OFFSET(DistanceToCamp[Nearest Town],MATCH(CampList[[#This Row],[CP_Pcode]],DistanceToCamp[CP_Pcode],0)-1,0,1,1),"")</f>
        <v/>
      </c>
      <c r="AJ275" s="693" t="str">
        <f ca="1">IFERROR(OFFSET(DistanceToCamp[distance],MATCH(CampList[[#This Row],[CP_Pcode]],DistanceToCamp[CP_Pcode],0)-1,0,1,1),"")</f>
        <v/>
      </c>
      <c r="AK275" s="694" t="str">
        <f ca="1">IFERROR(INT(CampList[[#This Row],[Distance]]/5)+1,"")</f>
        <v/>
      </c>
      <c r="AN275" s="913">
        <v>304</v>
      </c>
    </row>
    <row r="276" spans="1:51" s="563" customFormat="1" ht="15.75" hidden="1" customHeight="1" x14ac:dyDescent="0.25">
      <c r="A276" s="570" t="s">
        <v>842</v>
      </c>
      <c r="B276" s="551" t="s">
        <v>380</v>
      </c>
      <c r="C276" s="551" t="s">
        <v>524</v>
      </c>
      <c r="D276" s="551" t="s">
        <v>237</v>
      </c>
      <c r="E276" s="551" t="s">
        <v>530</v>
      </c>
      <c r="F276" s="551" t="s">
        <v>27</v>
      </c>
      <c r="G276" s="551" t="s">
        <v>533</v>
      </c>
      <c r="H276" s="551"/>
      <c r="I276" s="551"/>
      <c r="J276" s="551"/>
      <c r="K276" s="551"/>
      <c r="L276" s="551" t="s">
        <v>37</v>
      </c>
      <c r="M276" s="551" t="s">
        <v>36</v>
      </c>
      <c r="N276" s="571"/>
      <c r="O276" s="571"/>
      <c r="P276" s="591"/>
      <c r="Q276" s="705"/>
      <c r="R276" s="706"/>
      <c r="S276" s="574" t="str">
        <f>IF(CampList[[#This Row],[HH]]&gt;0,CampList[[#This Row],[Total]]/CampList[[#This Row],[HH]],"NA")</f>
        <v>NA</v>
      </c>
      <c r="T276" s="553" t="s">
        <v>510</v>
      </c>
      <c r="U276" s="583" t="s">
        <v>1180</v>
      </c>
      <c r="V276" s="553" t="s">
        <v>553</v>
      </c>
      <c r="W276" s="583"/>
      <c r="X276" s="600"/>
      <c r="Y276" s="591"/>
      <c r="Z276" s="601"/>
      <c r="AA276" s="751"/>
      <c r="AB276" s="577"/>
      <c r="AC276" s="604"/>
      <c r="AD276" s="570" t="s">
        <v>600</v>
      </c>
      <c r="AE276" s="602" t="s">
        <v>1006</v>
      </c>
      <c r="AF276" s="402">
        <f>IF(CampList[[#This Row],[Type of Accomodation]]="camp",MAX(0,CampList[[#This Row],[HH]]-SUMIF(Table_Shelter[Pcode],CampList[[#This Row],[CP_Pcode]],Table_Shelter[HH Covered2])),0)</f>
        <v>0</v>
      </c>
      <c r="AG276" s="553"/>
      <c r="AH276" s="577">
        <f>MIN(CampList[[#This Row],[Shelter Gap]],CampList[[#This Row],[Land Status]])</f>
        <v>0</v>
      </c>
      <c r="AI276" s="553" t="str">
        <f ca="1">IFERROR(OFFSET(DistanceToCamp[Nearest Town],MATCH(CampList[[#This Row],[CP_Pcode]],DistanceToCamp[CP_Pcode],0)-1,0,1,1),"")</f>
        <v/>
      </c>
      <c r="AJ276" s="581" t="str">
        <f ca="1">IFERROR(OFFSET(DistanceToCamp[distance],MATCH(CampList[[#This Row],[CP_Pcode]],DistanceToCamp[CP_Pcode],0)-1,0,1,1),"")</f>
        <v/>
      </c>
      <c r="AK276" s="582" t="str">
        <f ca="1">IFERROR(INT(CampList[[#This Row],[Distance]]/5)+1,"")</f>
        <v/>
      </c>
      <c r="AL276" s="374"/>
      <c r="AM276" s="913"/>
      <c r="AN276" s="913"/>
      <c r="AX276" s="564"/>
      <c r="AY276" s="564"/>
    </row>
    <row r="277" spans="1:51" ht="15.75" hidden="1" customHeight="1" x14ac:dyDescent="0.25">
      <c r="A277" s="570" t="s">
        <v>842</v>
      </c>
      <c r="B277" s="551" t="s">
        <v>380</v>
      </c>
      <c r="C277" s="551" t="s">
        <v>524</v>
      </c>
      <c r="D277" s="551" t="s">
        <v>180</v>
      </c>
      <c r="E277" s="551" t="s">
        <v>525</v>
      </c>
      <c r="F277" s="551" t="s">
        <v>526</v>
      </c>
      <c r="G277" s="551" t="s">
        <v>527</v>
      </c>
      <c r="H277" s="579" t="s">
        <v>602</v>
      </c>
      <c r="I277" s="579" t="s">
        <v>603</v>
      </c>
      <c r="J277" s="579" t="s">
        <v>700</v>
      </c>
      <c r="K277" s="579" t="s">
        <v>701</v>
      </c>
      <c r="L277" s="551" t="s">
        <v>74</v>
      </c>
      <c r="M277" s="551" t="s">
        <v>73</v>
      </c>
      <c r="N277" s="571"/>
      <c r="O277" s="571"/>
      <c r="P277" s="591"/>
      <c r="Q277" s="705"/>
      <c r="R277" s="706"/>
      <c r="S277" s="574" t="str">
        <f>IF(CampList[[#This Row],[HH]]&gt;0,CampList[[#This Row],[Total]]/CampList[[#This Row],[HH]],"NA")</f>
        <v>NA</v>
      </c>
      <c r="T277" s="553" t="s">
        <v>510</v>
      </c>
      <c r="U277" s="583" t="s">
        <v>1180</v>
      </c>
      <c r="V277" s="553" t="s">
        <v>553</v>
      </c>
      <c r="W277" s="583"/>
      <c r="X277" s="600"/>
      <c r="Y277" s="591"/>
      <c r="Z277" s="601"/>
      <c r="AA277" s="598"/>
      <c r="AB277" s="577"/>
      <c r="AC277" s="604"/>
      <c r="AD277" s="570" t="s">
        <v>600</v>
      </c>
      <c r="AE277" s="602" t="s">
        <v>1006</v>
      </c>
      <c r="AF277" s="402">
        <f>IF(CampList[[#This Row],[Type of Accomodation]]="camp",MAX(0,CampList[[#This Row],[HH]]-SUMIF(Table_Shelter[Pcode],CampList[[#This Row],[CP_Pcode]],Table_Shelter[HH Covered2])),0)</f>
        <v>0</v>
      </c>
      <c r="AG277" s="553"/>
      <c r="AH277" s="577">
        <f>MIN(CampList[[#This Row],[Shelter Gap]],CampList[[#This Row],[Land Status]])</f>
        <v>0</v>
      </c>
      <c r="AI277" s="553" t="str">
        <f ca="1">IFERROR(OFFSET(DistanceToCamp[Nearest Town],MATCH(CampList[[#This Row],[CP_Pcode]],DistanceToCamp[CP_Pcode],0)-1,0,1,1),"")</f>
        <v/>
      </c>
      <c r="AJ277" s="581" t="str">
        <f ca="1">IFERROR(OFFSET(DistanceToCamp[distance],MATCH(CampList[[#This Row],[CP_Pcode]],DistanceToCamp[CP_Pcode],0)-1,0,1,1),"")</f>
        <v/>
      </c>
      <c r="AK277" s="582" t="str">
        <f ca="1">IFERROR(INT(CampList[[#This Row],[Distance]]/5)+1,"")</f>
        <v/>
      </c>
    </row>
    <row r="278" spans="1:51" s="563" customFormat="1" ht="15.75" hidden="1" customHeight="1" x14ac:dyDescent="0.25">
      <c r="A278" s="598" t="s">
        <v>842</v>
      </c>
      <c r="B278" s="551" t="s">
        <v>380</v>
      </c>
      <c r="C278" s="551" t="s">
        <v>524</v>
      </c>
      <c r="D278" s="551" t="s">
        <v>237</v>
      </c>
      <c r="E278" s="551" t="s">
        <v>530</v>
      </c>
      <c r="F278" s="551" t="s">
        <v>310</v>
      </c>
      <c r="G278" s="551" t="s">
        <v>531</v>
      </c>
      <c r="H278" s="551" t="s">
        <v>763</v>
      </c>
      <c r="I278" s="551" t="s">
        <v>764</v>
      </c>
      <c r="J278" s="586" t="s">
        <v>1376</v>
      </c>
      <c r="K278" s="586">
        <v>220360</v>
      </c>
      <c r="L278" s="551" t="s">
        <v>1233</v>
      </c>
      <c r="M278" s="551" t="s">
        <v>356</v>
      </c>
      <c r="N278" s="571">
        <v>97.756789999999995</v>
      </c>
      <c r="O278" s="571">
        <v>25.106670000000001</v>
      </c>
      <c r="P278" s="572">
        <v>756</v>
      </c>
      <c r="Q278" s="776"/>
      <c r="R278" s="776"/>
      <c r="S278" s="574" t="str">
        <f>IF(CampList[[#This Row],[HH]]&gt;0,CampList[[#This Row],[Total]]/CampList[[#This Row],[HH]],"NA")</f>
        <v>NA</v>
      </c>
      <c r="T278" s="553" t="s">
        <v>512</v>
      </c>
      <c r="U278" s="553" t="s">
        <v>1180</v>
      </c>
      <c r="V278" s="553" t="s">
        <v>553</v>
      </c>
      <c r="W278" s="553" t="s">
        <v>855</v>
      </c>
      <c r="X278" s="575">
        <v>40848</v>
      </c>
      <c r="Y278" s="576">
        <v>3</v>
      </c>
      <c r="Z278" s="575" t="s">
        <v>459</v>
      </c>
      <c r="AA278" s="551" t="s">
        <v>841</v>
      </c>
      <c r="AB278" s="577"/>
      <c r="AC278" s="578">
        <v>42888</v>
      </c>
      <c r="AD278" s="579" t="s">
        <v>1566</v>
      </c>
      <c r="AE278" s="580" t="s">
        <v>1073</v>
      </c>
      <c r="AF278" s="402">
        <f>IF(CampList[[#This Row],[Type of Accomodation]]="camp",MAX(0,CampList[[#This Row],[HH]]-SUMIF(Table_Shelter[Pcode],CampList[[#This Row],[CP_Pcode]],Table_Shelter[HH Covered2])),0)</f>
        <v>0</v>
      </c>
      <c r="AG278" s="553"/>
      <c r="AH278" s="577">
        <f>MIN(CampList[[#This Row],[Shelter Gap]],CampList[[#This Row],[Land Status]])</f>
        <v>0</v>
      </c>
      <c r="AI278" s="553" t="str">
        <f ca="1">IFERROR(OFFSET(DistanceToCamp[Nearest Town],MATCH(CampList[[#This Row],[CP_Pcode]],DistanceToCamp[CP_Pcode],0)-1,0,1,1),"")</f>
        <v>Sadung Town</v>
      </c>
      <c r="AJ278" s="581">
        <f ca="1">IFERROR(OFFSET(DistanceToCamp[distance],MATCH(CampList[[#This Row],[CP_Pcode]],DistanceToCamp[CP_Pcode],0)-1,0,1,1),"")</f>
        <v>32.827754639406997</v>
      </c>
      <c r="AK278" s="582">
        <f ca="1">IFERROR(INT(CampList[[#This Row],[Distance]]/5)+1,"")</f>
        <v>7</v>
      </c>
      <c r="AL278" s="374"/>
      <c r="AM278" s="913"/>
      <c r="AN278" s="913"/>
      <c r="AX278" s="564"/>
      <c r="AY278" s="564"/>
    </row>
    <row r="279" spans="1:51" s="563" customFormat="1" ht="15.75" hidden="1" customHeight="1" x14ac:dyDescent="0.25">
      <c r="A279" s="570" t="s">
        <v>842</v>
      </c>
      <c r="B279" s="551" t="s">
        <v>380</v>
      </c>
      <c r="C279" s="551" t="s">
        <v>524</v>
      </c>
      <c r="D279" s="551" t="s">
        <v>180</v>
      </c>
      <c r="E279" s="551" t="s">
        <v>525</v>
      </c>
      <c r="F279" s="551" t="s">
        <v>526</v>
      </c>
      <c r="G279" s="551" t="s">
        <v>527</v>
      </c>
      <c r="H279" s="579" t="s">
        <v>602</v>
      </c>
      <c r="I279" s="579" t="s">
        <v>603</v>
      </c>
      <c r="J279" s="579" t="s">
        <v>606</v>
      </c>
      <c r="K279" s="579" t="s">
        <v>607</v>
      </c>
      <c r="L279" s="551" t="s">
        <v>513</v>
      </c>
      <c r="M279" s="551" t="s">
        <v>514</v>
      </c>
      <c r="N279" s="571">
        <v>96.315601999999998</v>
      </c>
      <c r="O279" s="571">
        <v>25.615006000000001</v>
      </c>
      <c r="P279" s="591"/>
      <c r="Q279" s="705">
        <v>0</v>
      </c>
      <c r="R279" s="706">
        <v>0</v>
      </c>
      <c r="S279" s="574" t="str">
        <f>IF(CampList[[#This Row],[HH]]&gt;0,CampList[[#This Row],[Total]]/CampList[[#This Row],[HH]],"NA")</f>
        <v>NA</v>
      </c>
      <c r="T279" s="553" t="s">
        <v>510</v>
      </c>
      <c r="U279" s="583" t="s">
        <v>1180</v>
      </c>
      <c r="V279" s="553" t="s">
        <v>553</v>
      </c>
      <c r="W279" s="583"/>
      <c r="X279" s="600"/>
      <c r="Y279" s="591"/>
      <c r="Z279" s="601"/>
      <c r="AA279" s="598"/>
      <c r="AB279" s="577"/>
      <c r="AC279" s="604"/>
      <c r="AD279" s="570" t="s">
        <v>600</v>
      </c>
      <c r="AE279" s="602" t="s">
        <v>1006</v>
      </c>
      <c r="AF279" s="402">
        <f>IF(CampList[[#This Row],[Type of Accomodation]]="camp",MAX(0,CampList[[#This Row],[HH]]-SUMIF(Table_Shelter[Pcode],CampList[[#This Row],[CP_Pcode]],Table_Shelter[HH Covered2])),0)</f>
        <v>0</v>
      </c>
      <c r="AG279" s="553"/>
      <c r="AH279" s="577">
        <f>MIN(CampList[[#This Row],[Shelter Gap]],CampList[[#This Row],[Land Status]])</f>
        <v>0</v>
      </c>
      <c r="AI279" s="553" t="str">
        <f ca="1">IFERROR(OFFSET(DistanceToCamp[Nearest Town],MATCH(CampList[[#This Row],[CP_Pcode]],DistanceToCamp[CP_Pcode],0)-1,0,1,1),"")</f>
        <v/>
      </c>
      <c r="AJ279" s="581" t="str">
        <f ca="1">IFERROR(OFFSET(DistanceToCamp[distance],MATCH(CampList[[#This Row],[CP_Pcode]],DistanceToCamp[CP_Pcode],0)-1,0,1,1),"")</f>
        <v/>
      </c>
      <c r="AK279" s="582" t="str">
        <f ca="1">IFERROR(INT(CampList[[#This Row],[Distance]]/5)+1,"")</f>
        <v/>
      </c>
      <c r="AL279" s="374"/>
      <c r="AM279" s="913"/>
      <c r="AN279" s="913"/>
      <c r="AX279" s="564"/>
      <c r="AY279" s="564"/>
    </row>
    <row r="280" spans="1:51" s="563" customFormat="1" ht="15.6" hidden="1" customHeight="1" x14ac:dyDescent="0.25">
      <c r="A280" s="679" t="s">
        <v>842</v>
      </c>
      <c r="B280" s="551" t="s">
        <v>552</v>
      </c>
      <c r="C280" s="551" t="s">
        <v>535</v>
      </c>
      <c r="D280" s="551" t="s">
        <v>230</v>
      </c>
      <c r="E280" s="551" t="s">
        <v>536</v>
      </c>
      <c r="F280" s="551" t="s">
        <v>230</v>
      </c>
      <c r="G280" s="551" t="s">
        <v>537</v>
      </c>
      <c r="H280" s="680"/>
      <c r="I280" s="681"/>
      <c r="J280" s="680"/>
      <c r="K280" s="680"/>
      <c r="L280" s="682" t="s">
        <v>1477</v>
      </c>
      <c r="M280" s="552" t="s">
        <v>1465</v>
      </c>
      <c r="N280" s="683"/>
      <c r="O280" s="683"/>
      <c r="P280" s="684"/>
      <c r="Q280" s="399"/>
      <c r="R280" s="707"/>
      <c r="S280" s="685" t="str">
        <f>IF(CampList[[#This Row],[HH]]&gt;0,CampList[[#This Row],[Total]]/CampList[[#This Row],[HH]],"NA")</f>
        <v>NA</v>
      </c>
      <c r="T280" s="402" t="s">
        <v>510</v>
      </c>
      <c r="U280" s="686" t="s">
        <v>1180</v>
      </c>
      <c r="V280" s="399" t="s">
        <v>553</v>
      </c>
      <c r="W280" s="399"/>
      <c r="X280" s="687"/>
      <c r="Y280" s="684"/>
      <c r="Z280" s="684"/>
      <c r="AA280" s="680" t="s">
        <v>841</v>
      </c>
      <c r="AB280" s="683"/>
      <c r="AC280" s="688">
        <v>42831</v>
      </c>
      <c r="AD280" s="689" t="s">
        <v>1511</v>
      </c>
      <c r="AE280" s="690"/>
      <c r="AF280" s="691">
        <f>IF(CampList[[#This Row],[Type of Accomodation]]="camp",MAX(0,CampList[[#This Row],[HH]]-SUMIF(Table_Shelter[Pcode],CampList[[#This Row],[CP_Pcode]],Table_Shelter[HH Covered2])),0)</f>
        <v>0</v>
      </c>
      <c r="AG280" s="399"/>
      <c r="AH280" s="692">
        <f>MIN(CampList[[#This Row],[Shelter Gap]],CampList[[#This Row],[Land Status]])</f>
        <v>0</v>
      </c>
      <c r="AI280" s="691" t="str">
        <f ca="1">IFERROR(OFFSET(DistanceToCamp[Nearest Town],MATCH(CampList[[#This Row],[CP_Pcode]],DistanceToCamp[CP_Pcode],0)-1,0,1,1),"")</f>
        <v/>
      </c>
      <c r="AJ280" s="693" t="str">
        <f ca="1">IFERROR(OFFSET(DistanceToCamp[distance],MATCH(CampList[[#This Row],[CP_Pcode]],DistanceToCamp[CP_Pcode],0)-1,0,1,1),"")</f>
        <v/>
      </c>
      <c r="AK280" s="694" t="str">
        <f ca="1">IFERROR(INT(CampList[[#This Row],[Distance]]/5)+1,"")</f>
        <v/>
      </c>
      <c r="AL280" s="374"/>
      <c r="AM280" s="913"/>
      <c r="AN280" s="913"/>
      <c r="AX280" s="564"/>
      <c r="AY280" s="564"/>
    </row>
    <row r="281" spans="1:51" s="563" customFormat="1" ht="15.6" customHeight="1" x14ac:dyDescent="0.25">
      <c r="A281" s="679" t="s">
        <v>499</v>
      </c>
      <c r="B281" s="551" t="s">
        <v>552</v>
      </c>
      <c r="C281" s="551" t="s">
        <v>535</v>
      </c>
      <c r="D281" s="551" t="s">
        <v>540</v>
      </c>
      <c r="E281" s="551" t="s">
        <v>541</v>
      </c>
      <c r="F281" s="551" t="s">
        <v>1481</v>
      </c>
      <c r="G281" s="551" t="s">
        <v>1482</v>
      </c>
      <c r="H281" s="680" t="s">
        <v>1497</v>
      </c>
      <c r="I281" s="681" t="s">
        <v>1498</v>
      </c>
      <c r="J281" s="680" t="s">
        <v>1496</v>
      </c>
      <c r="K281" s="680">
        <v>209986</v>
      </c>
      <c r="L281" s="682" t="s">
        <v>1478</v>
      </c>
      <c r="M281" s="552" t="s">
        <v>1466</v>
      </c>
      <c r="N281" s="683">
        <v>97.314762999999999</v>
      </c>
      <c r="O281" s="683">
        <v>22.677008000000001</v>
      </c>
      <c r="P281" s="684"/>
      <c r="Q281" s="683">
        <v>37</v>
      </c>
      <c r="R281" s="781">
        <v>120</v>
      </c>
      <c r="S281" s="685">
        <f>IF(CampList[[#This Row],[HH]]&gt;0,CampList[[#This Row],[Total]]/CampList[[#This Row],[HH]],"NA")</f>
        <v>3.2432432432432434</v>
      </c>
      <c r="T281" s="402" t="s">
        <v>510</v>
      </c>
      <c r="U281" s="686" t="s">
        <v>1180</v>
      </c>
      <c r="V281" s="399" t="s">
        <v>553</v>
      </c>
      <c r="W281" s="399" t="s">
        <v>855</v>
      </c>
      <c r="X281" s="687"/>
      <c r="Y281" s="684"/>
      <c r="Z281" s="684"/>
      <c r="AA281" s="680" t="s">
        <v>841</v>
      </c>
      <c r="AB281" s="683"/>
      <c r="AC281" s="688">
        <v>42752</v>
      </c>
      <c r="AD281" s="689" t="s">
        <v>1468</v>
      </c>
      <c r="AE281" s="690"/>
      <c r="AF281" s="691">
        <f>IF(CampList[[#This Row],[Type of Accomodation]]="camp",MAX(0,CampList[[#This Row],[HH]]-SUMIF(Table_Shelter[Pcode],CampList[[#This Row],[CP_Pcode]],Table_Shelter[HH Covered2])),0)</f>
        <v>37</v>
      </c>
      <c r="AG281" s="399"/>
      <c r="AH281" s="692">
        <f>MIN(CampList[[#This Row],[Shelter Gap]],CampList[[#This Row],[Land Status]])</f>
        <v>37</v>
      </c>
      <c r="AI281" s="691" t="str">
        <f ca="1">IFERROR(OFFSET(DistanceToCamp[Nearest Town],MATCH(CampList[[#This Row],[CP_Pcode]],DistanceToCamp[CP_Pcode],0)-1,0,1,1),"")</f>
        <v/>
      </c>
      <c r="AJ281" s="693" t="str">
        <f ca="1">IFERROR(OFFSET(DistanceToCamp[distance],MATCH(CampList[[#This Row],[CP_Pcode]],DistanceToCamp[CP_Pcode],0)-1,0,1,1),"")</f>
        <v/>
      </c>
      <c r="AK281" s="694" t="str">
        <f ca="1">IFERROR(INT(CampList[[#This Row],[Distance]]/5)+1,"")</f>
        <v/>
      </c>
      <c r="AL281" s="374"/>
      <c r="AM281" s="913"/>
      <c r="AN281" s="913"/>
      <c r="AX281" s="564"/>
      <c r="AY281" s="564"/>
    </row>
    <row r="282" spans="1:51" s="563" customFormat="1" ht="15.6" customHeight="1" x14ac:dyDescent="0.25">
      <c r="A282" s="589" t="s">
        <v>499</v>
      </c>
      <c r="B282" s="551" t="s">
        <v>552</v>
      </c>
      <c r="C282" s="551" t="s">
        <v>535</v>
      </c>
      <c r="D282" s="551" t="s">
        <v>230</v>
      </c>
      <c r="E282" s="551" t="s">
        <v>536</v>
      </c>
      <c r="F282" s="551" t="s">
        <v>146</v>
      </c>
      <c r="G282" s="551" t="s">
        <v>543</v>
      </c>
      <c r="H282" s="552" t="s">
        <v>728</v>
      </c>
      <c r="I282" s="590" t="s">
        <v>729</v>
      </c>
      <c r="J282" s="552" t="s">
        <v>1516</v>
      </c>
      <c r="K282" s="552" t="s">
        <v>1515</v>
      </c>
      <c r="L282" s="710" t="s">
        <v>1518</v>
      </c>
      <c r="M282" s="552" t="s">
        <v>1517</v>
      </c>
      <c r="N282" s="573">
        <v>97.947360000000003</v>
      </c>
      <c r="O282" s="573">
        <v>23.460349999999998</v>
      </c>
      <c r="P282" s="592"/>
      <c r="Q282" s="573">
        <v>40</v>
      </c>
      <c r="R282" s="592">
        <v>195</v>
      </c>
      <c r="S282" s="574">
        <f>IF(CampList[[#This Row],[HH]]&gt;0,CampList[[#This Row],[Total]]/CampList[[#This Row],[HH]],"NA")</f>
        <v>4.875</v>
      </c>
      <c r="T282" s="553" t="s">
        <v>510</v>
      </c>
      <c r="U282" s="553" t="s">
        <v>1180</v>
      </c>
      <c r="V282" s="553" t="s">
        <v>553</v>
      </c>
      <c r="W282" s="553" t="s">
        <v>802</v>
      </c>
      <c r="X282" s="593">
        <v>42724</v>
      </c>
      <c r="Y282" s="592"/>
      <c r="Z282" s="592"/>
      <c r="AA282" s="552" t="s">
        <v>841</v>
      </c>
      <c r="AB282" s="573"/>
      <c r="AC282" s="578">
        <v>42831</v>
      </c>
      <c r="AD282" s="594" t="s">
        <v>1519</v>
      </c>
      <c r="AE282" s="580"/>
      <c r="AF282" s="595">
        <f>IF(CampList[[#This Row],[Type of Accomodation]]="camp",MAX(0,CampList[[#This Row],[HH]]-SUMIF(Table_Shelter[Pcode],CampList[[#This Row],[CP_Pcode]],Table_Shelter[HH Covered2])),0)</f>
        <v>40</v>
      </c>
      <c r="AG282" s="402"/>
      <c r="AH282" s="572">
        <f>MIN(CampList[[#This Row],[Shelter Gap]],CampList[[#This Row],[Land Status]])</f>
        <v>40</v>
      </c>
      <c r="AI282" s="595" t="str">
        <f ca="1">IFERROR(OFFSET(DistanceToCamp[Nearest Town],MATCH(CampList[[#This Row],[CP_Pcode]],DistanceToCamp[CP_Pcode],0)-1,0,1,1),"")</f>
        <v/>
      </c>
      <c r="AJ282" s="581" t="str">
        <f ca="1">IFERROR(OFFSET(DistanceToCamp[distance],MATCH(CampList[[#This Row],[CP_Pcode]],DistanceToCamp[CP_Pcode],0)-1,0,1,1),"")</f>
        <v/>
      </c>
      <c r="AK282" s="596" t="str">
        <f ca="1">IFERROR(INT(CampList[[#This Row],[Distance]]/5)+1,"")</f>
        <v/>
      </c>
      <c r="AL282" s="374"/>
      <c r="AM282" s="913"/>
      <c r="AN282" s="913"/>
      <c r="AX282" s="564"/>
      <c r="AY282" s="564"/>
    </row>
    <row r="283" spans="1:51" s="563" customFormat="1" ht="15.6" customHeight="1" x14ac:dyDescent="0.25">
      <c r="A283" s="589" t="s">
        <v>499</v>
      </c>
      <c r="B283" s="551" t="s">
        <v>552</v>
      </c>
      <c r="C283" s="551" t="s">
        <v>535</v>
      </c>
      <c r="D283" s="551" t="s">
        <v>230</v>
      </c>
      <c r="E283" s="551" t="s">
        <v>536</v>
      </c>
      <c r="F283" s="551" t="s">
        <v>146</v>
      </c>
      <c r="G283" s="551" t="s">
        <v>543</v>
      </c>
      <c r="H283" s="680" t="s">
        <v>1534</v>
      </c>
      <c r="I283" s="681" t="s">
        <v>1535</v>
      </c>
      <c r="J283" s="680" t="s">
        <v>1532</v>
      </c>
      <c r="K283" s="680">
        <v>208530</v>
      </c>
      <c r="L283" s="680" t="s">
        <v>1532</v>
      </c>
      <c r="M283" s="770" t="s">
        <v>1533</v>
      </c>
      <c r="N283" s="683"/>
      <c r="O283" s="683"/>
      <c r="P283" s="684"/>
      <c r="Q283" s="683">
        <v>24</v>
      </c>
      <c r="R283" s="684">
        <v>84</v>
      </c>
      <c r="S283" s="771">
        <f>IF(CampList[[#This Row],[HH]]&gt;0,CampList[[#This Row],[Total]]/CampList[[#This Row],[HH]],"NA")</f>
        <v>3.5</v>
      </c>
      <c r="T283" s="772" t="s">
        <v>510</v>
      </c>
      <c r="U283" s="772" t="s">
        <v>1180</v>
      </c>
      <c r="V283" s="773" t="s">
        <v>553</v>
      </c>
      <c r="W283" s="399" t="s">
        <v>855</v>
      </c>
      <c r="X283" s="687"/>
      <c r="Y283" s="684"/>
      <c r="Z283" s="684"/>
      <c r="AA283" s="680" t="s">
        <v>841</v>
      </c>
      <c r="AB283" s="683"/>
      <c r="AC283" s="688">
        <v>42861</v>
      </c>
      <c r="AD283" s="731" t="s">
        <v>1536</v>
      </c>
      <c r="AE283" s="690"/>
      <c r="AF283" s="691">
        <f>IF(CampList[[#This Row],[Type of Accomodation]]="camp",MAX(0,CampList[[#This Row],[HH]]-SUMIF(Table_Shelter[Pcode],CampList[[#This Row],[CP_Pcode]],Table_Shelter[HH Covered2])),0)</f>
        <v>24</v>
      </c>
      <c r="AG283" s="399"/>
      <c r="AH283" s="692">
        <f>MIN(CampList[[#This Row],[Shelter Gap]],CampList[[#This Row],[Land Status]])</f>
        <v>24</v>
      </c>
      <c r="AI283" s="691" t="str">
        <f ca="1">IFERROR(OFFSET(DistanceToCamp[Nearest Town],MATCH(CampList[[#This Row],[CP_Pcode]],DistanceToCamp[CP_Pcode],0)-1,0,1,1),"")</f>
        <v/>
      </c>
      <c r="AJ283" s="693" t="str">
        <f ca="1">IFERROR(OFFSET(DistanceToCamp[distance],MATCH(CampList[[#This Row],[CP_Pcode]],DistanceToCamp[CP_Pcode],0)-1,0,1,1),"")</f>
        <v/>
      </c>
      <c r="AK283" s="694" t="str">
        <f ca="1">IFERROR(INT(CampList[[#This Row],[Distance]]/5)+1,"")</f>
        <v/>
      </c>
      <c r="AL283" s="374"/>
      <c r="AM283" s="913"/>
      <c r="AN283" s="913"/>
      <c r="AX283" s="564"/>
      <c r="AY283" s="564"/>
    </row>
    <row r="284" spans="1:51" s="563" customFormat="1" ht="15.6" customHeight="1" x14ac:dyDescent="0.25">
      <c r="A284" s="679" t="s">
        <v>499</v>
      </c>
      <c r="B284" s="551" t="s">
        <v>552</v>
      </c>
      <c r="C284" s="551" t="s">
        <v>535</v>
      </c>
      <c r="D284" s="551" t="s">
        <v>230</v>
      </c>
      <c r="E284" s="551" t="s">
        <v>536</v>
      </c>
      <c r="F284" s="551" t="s">
        <v>230</v>
      </c>
      <c r="G284" s="551" t="s">
        <v>537</v>
      </c>
      <c r="H284" s="551" t="s">
        <v>773</v>
      </c>
      <c r="I284" s="681" t="s">
        <v>774</v>
      </c>
      <c r="J284" s="680" t="s">
        <v>775</v>
      </c>
      <c r="K284" s="680">
        <v>208156</v>
      </c>
      <c r="L284" s="680" t="s">
        <v>775</v>
      </c>
      <c r="M284" s="552" t="s">
        <v>1537</v>
      </c>
      <c r="N284" s="571">
        <v>98.115809999999996</v>
      </c>
      <c r="O284" s="571">
        <v>24.08738</v>
      </c>
      <c r="P284" s="684"/>
      <c r="Q284" s="683">
        <v>208</v>
      </c>
      <c r="R284" s="684">
        <v>952</v>
      </c>
      <c r="S284" s="574">
        <f>IF(CampList[[#This Row],[HH]]&gt;0,CampList[[#This Row],[Total]]/CampList[[#This Row],[HH]],"NA")</f>
        <v>4.5769230769230766</v>
      </c>
      <c r="T284" s="553" t="s">
        <v>510</v>
      </c>
      <c r="U284" s="553" t="s">
        <v>1180</v>
      </c>
      <c r="V284" s="402" t="s">
        <v>553</v>
      </c>
      <c r="W284" s="399" t="s">
        <v>855</v>
      </c>
      <c r="X284" s="687"/>
      <c r="Y284" s="684"/>
      <c r="Z284" s="684"/>
      <c r="AA284" s="680" t="s">
        <v>841</v>
      </c>
      <c r="AB284" s="683"/>
      <c r="AC284" s="578">
        <v>42888</v>
      </c>
      <c r="AD284" s="731" t="s">
        <v>1567</v>
      </c>
      <c r="AE284" s="690"/>
      <c r="AF284" s="691">
        <f>IF(CampList[[#This Row],[Type of Accomodation]]="camp",MAX(0,CampList[[#This Row],[HH]]-SUMIF(Table_Shelter[Pcode],CampList[[#This Row],[CP_Pcode]],Table_Shelter[HH Covered2])),0)</f>
        <v>208</v>
      </c>
      <c r="AG284" s="399"/>
      <c r="AH284" s="692">
        <f>MIN(CampList[[#This Row],[Shelter Gap]],CampList[[#This Row],[Land Status]])</f>
        <v>208</v>
      </c>
      <c r="AI284" s="691" t="str">
        <f ca="1">IFERROR(OFFSET(DistanceToCamp[Nearest Town],MATCH(CampList[[#This Row],[CP_Pcode]],DistanceToCamp[CP_Pcode],0)-1,0,1,1),"")</f>
        <v/>
      </c>
      <c r="AJ284" s="693" t="str">
        <f ca="1">IFERROR(OFFSET(DistanceToCamp[distance],MATCH(CampList[[#This Row],[CP_Pcode]],DistanceToCamp[CP_Pcode],0)-1,0,1,1),"")</f>
        <v/>
      </c>
      <c r="AK284" s="694" t="str">
        <f ca="1">IFERROR(INT(CampList[[#This Row],[Distance]]/5)+1,"")</f>
        <v/>
      </c>
      <c r="AL284" s="374"/>
      <c r="AM284" s="913"/>
      <c r="AN284" s="913"/>
      <c r="AX284" s="564"/>
      <c r="AY284" s="564"/>
    </row>
    <row r="285" spans="1:51" s="563" customFormat="1" ht="15.6" customHeight="1" x14ac:dyDescent="0.25">
      <c r="A285" s="679" t="s">
        <v>499</v>
      </c>
      <c r="B285" s="551" t="s">
        <v>552</v>
      </c>
      <c r="C285" s="551" t="s">
        <v>535</v>
      </c>
      <c r="D285" s="551" t="s">
        <v>540</v>
      </c>
      <c r="E285" s="551" t="s">
        <v>541</v>
      </c>
      <c r="F285" s="551" t="s">
        <v>298</v>
      </c>
      <c r="G285" s="551" t="s">
        <v>549</v>
      </c>
      <c r="H285" s="680" t="s">
        <v>816</v>
      </c>
      <c r="I285" s="681" t="s">
        <v>817</v>
      </c>
      <c r="J285" s="680" t="s">
        <v>818</v>
      </c>
      <c r="K285" s="680" t="s">
        <v>819</v>
      </c>
      <c r="L285" s="695" t="s">
        <v>1708</v>
      </c>
      <c r="M285" s="552" t="s">
        <v>1707</v>
      </c>
      <c r="N285" s="683">
        <v>97.400671000000003</v>
      </c>
      <c r="O285" s="683">
        <v>23.099304</v>
      </c>
      <c r="P285" s="684"/>
      <c r="Q285" s="902">
        <v>35</v>
      </c>
      <c r="R285" s="902">
        <v>116</v>
      </c>
      <c r="S285" s="685">
        <f>IF(CampList[[#This Row],[HH]]&gt;0,CampList[[#This Row],[Total]]/CampList[[#This Row],[HH]],"NA")</f>
        <v>3.3142857142857145</v>
      </c>
      <c r="T285" s="402" t="s">
        <v>510</v>
      </c>
      <c r="U285" s="686" t="s">
        <v>1180</v>
      </c>
      <c r="V285" s="399" t="s">
        <v>553</v>
      </c>
      <c r="W285" s="399" t="s">
        <v>802</v>
      </c>
      <c r="X285" s="687">
        <v>42781</v>
      </c>
      <c r="Y285" s="684"/>
      <c r="Z285" s="684"/>
      <c r="AA285" s="680" t="s">
        <v>841</v>
      </c>
      <c r="AB285" s="683"/>
      <c r="AC285" s="688">
        <v>42919</v>
      </c>
      <c r="AD285" s="731" t="s">
        <v>1709</v>
      </c>
      <c r="AE285" s="690"/>
      <c r="AF285" s="691">
        <f>IF(CampList[[#This Row],[Type of Accomodation]]="camp",MAX(0,CampList[[#This Row],[HH]]-SUMIF(Table_Shelter[Pcode],CampList[[#This Row],[CP_Pcode]],Table_Shelter[HH Covered2])),0)</f>
        <v>35</v>
      </c>
      <c r="AG285" s="399"/>
      <c r="AH285" s="692">
        <f>MIN(CampList[[#This Row],[Shelter Gap]],CampList[[#This Row],[Land Status]])</f>
        <v>35</v>
      </c>
      <c r="AI285" s="691" t="str">
        <f ca="1">IFERROR(OFFSET(DistanceToCamp[Nearest Town],MATCH(CampList[[#This Row],[CP_Pcode]],DistanceToCamp[CP_Pcode],0)-1,0,1,1),"")</f>
        <v/>
      </c>
      <c r="AJ285" s="693" t="str">
        <f ca="1">IFERROR(OFFSET(DistanceToCamp[distance],MATCH(CampList[[#This Row],[CP_Pcode]],DistanceToCamp[CP_Pcode],0)-1,0,1,1),"")</f>
        <v/>
      </c>
      <c r="AK285" s="694" t="str">
        <f ca="1">IFERROR(INT(CampList[[#This Row],[Distance]]/5)+1,"")</f>
        <v/>
      </c>
      <c r="AL285" s="374"/>
      <c r="AM285" s="913"/>
      <c r="AN285" s="913"/>
      <c r="AX285" s="564"/>
      <c r="AY285" s="564"/>
    </row>
    <row r="286" spans="1:51" s="563" customFormat="1" ht="15.6" customHeight="1" x14ac:dyDescent="0.25">
      <c r="A286" s="903"/>
      <c r="B286" s="903"/>
      <c r="C286" s="448"/>
      <c r="D286" s="448"/>
      <c r="E286" s="448"/>
      <c r="F286" s="448"/>
      <c r="G286" s="448"/>
      <c r="H286" s="448"/>
      <c r="I286" s="448"/>
      <c r="J286" s="448"/>
      <c r="K286" s="448"/>
      <c r="L286" s="448"/>
      <c r="M286" s="448"/>
      <c r="N286" s="904"/>
      <c r="O286" s="904"/>
      <c r="P286" s="904"/>
      <c r="Q286" s="708"/>
      <c r="R286" s="709"/>
      <c r="S286" s="905"/>
      <c r="T286" s="708"/>
      <c r="U286" s="906"/>
      <c r="V286" s="708"/>
      <c r="W286" s="708"/>
      <c r="X286" s="907"/>
      <c r="Y286" s="908"/>
      <c r="Z286" s="908"/>
      <c r="AA286" s="448"/>
      <c r="AB286" s="909"/>
      <c r="AC286" s="904"/>
      <c r="AD286" s="910"/>
      <c r="AE286" s="708"/>
      <c r="AF286" s="708"/>
      <c r="AG286" s="708"/>
      <c r="AH286" s="904"/>
      <c r="AI286" s="708"/>
      <c r="AJ286" s="911"/>
      <c r="AK286" s="904"/>
      <c r="AL286" s="374"/>
      <c r="AM286" s="913"/>
      <c r="AN286" s="913"/>
      <c r="AX286" s="564"/>
      <c r="AY286" s="564"/>
    </row>
    <row r="287" spans="1:51" s="563" customFormat="1" ht="15.6" customHeight="1" x14ac:dyDescent="0.25">
      <c r="A287" s="903"/>
      <c r="B287" s="903"/>
      <c r="C287" s="448"/>
      <c r="D287" s="448"/>
      <c r="E287" s="448"/>
      <c r="F287" s="448"/>
      <c r="G287" s="448"/>
      <c r="H287" s="448"/>
      <c r="I287" s="448"/>
      <c r="J287" s="448"/>
      <c r="K287" s="448"/>
      <c r="L287" s="448"/>
      <c r="M287" s="448"/>
      <c r="N287" s="904"/>
      <c r="O287" s="904"/>
      <c r="P287" s="904"/>
      <c r="Q287" s="708"/>
      <c r="R287" s="709"/>
      <c r="S287" s="905"/>
      <c r="T287" s="708"/>
      <c r="U287" s="906"/>
      <c r="V287" s="708"/>
      <c r="W287" s="708"/>
      <c r="X287" s="907"/>
      <c r="Y287" s="908"/>
      <c r="Z287" s="908"/>
      <c r="AA287" s="448"/>
      <c r="AB287" s="909"/>
      <c r="AC287" s="904"/>
      <c r="AD287" s="910"/>
      <c r="AE287" s="708"/>
      <c r="AF287" s="708"/>
      <c r="AG287" s="708"/>
      <c r="AH287" s="904"/>
      <c r="AI287" s="708"/>
      <c r="AJ287" s="911"/>
      <c r="AK287" s="904"/>
      <c r="AL287" s="374"/>
      <c r="AM287" s="913"/>
      <c r="AN287" s="913"/>
      <c r="AX287" s="564"/>
      <c r="AY287" s="564"/>
    </row>
    <row r="288" spans="1:51" s="563" customFormat="1" ht="15.6" customHeight="1" x14ac:dyDescent="0.25">
      <c r="A288" s="903"/>
      <c r="B288" s="903"/>
      <c r="C288" s="448"/>
      <c r="D288" s="448"/>
      <c r="E288" s="448"/>
      <c r="F288" s="448"/>
      <c r="G288" s="448"/>
      <c r="H288" s="448"/>
      <c r="I288" s="448"/>
      <c r="J288" s="448"/>
      <c r="K288" s="448"/>
      <c r="L288" s="448"/>
      <c r="M288" s="448"/>
      <c r="N288" s="904"/>
      <c r="O288" s="904"/>
      <c r="P288" s="904"/>
      <c r="Q288" s="708"/>
      <c r="R288" s="709"/>
      <c r="S288" s="905"/>
      <c r="T288" s="708"/>
      <c r="U288" s="906"/>
      <c r="V288" s="708"/>
      <c r="W288" s="708"/>
      <c r="X288" s="907"/>
      <c r="Y288" s="908"/>
      <c r="Z288" s="908"/>
      <c r="AA288" s="448"/>
      <c r="AB288" s="909"/>
      <c r="AC288" s="904"/>
      <c r="AD288" s="910"/>
      <c r="AE288" s="708"/>
      <c r="AF288" s="708"/>
      <c r="AG288" s="708"/>
      <c r="AH288" s="904"/>
      <c r="AI288" s="708"/>
      <c r="AJ288" s="911"/>
      <c r="AK288" s="904"/>
      <c r="AL288" s="374"/>
      <c r="AM288" s="913"/>
      <c r="AN288" s="913"/>
      <c r="AX288" s="564"/>
      <c r="AY288" s="564"/>
    </row>
    <row r="289" spans="1:51" s="563" customFormat="1" ht="15.6" customHeight="1" x14ac:dyDescent="0.25">
      <c r="A289" s="903"/>
      <c r="B289" s="903"/>
      <c r="C289" s="448"/>
      <c r="D289" s="448"/>
      <c r="E289" s="448"/>
      <c r="F289" s="448"/>
      <c r="G289" s="448"/>
      <c r="H289" s="448"/>
      <c r="I289" s="448"/>
      <c r="J289" s="448"/>
      <c r="K289" s="448"/>
      <c r="L289" s="448"/>
      <c r="M289" s="448"/>
      <c r="N289" s="904"/>
      <c r="O289" s="904"/>
      <c r="P289" s="904"/>
      <c r="Q289" s="708"/>
      <c r="R289" s="709"/>
      <c r="S289" s="905"/>
      <c r="T289" s="708"/>
      <c r="U289" s="906"/>
      <c r="V289" s="708"/>
      <c r="W289" s="708"/>
      <c r="X289" s="907"/>
      <c r="Y289" s="908"/>
      <c r="Z289" s="908"/>
      <c r="AA289" s="448"/>
      <c r="AB289" s="909"/>
      <c r="AC289" s="904"/>
      <c r="AD289" s="910"/>
      <c r="AE289" s="708"/>
      <c r="AF289" s="708"/>
      <c r="AG289" s="708"/>
      <c r="AH289" s="904"/>
      <c r="AI289" s="708"/>
      <c r="AJ289" s="911"/>
      <c r="AK289" s="904"/>
      <c r="AL289" s="374"/>
      <c r="AM289" s="913"/>
      <c r="AN289" s="913"/>
      <c r="AX289" s="564"/>
      <c r="AY289" s="564"/>
    </row>
    <row r="290" spans="1:51" s="563" customFormat="1" ht="15.6" customHeight="1" x14ac:dyDescent="0.25">
      <c r="A290" s="903"/>
      <c r="B290" s="903"/>
      <c r="C290" s="448"/>
      <c r="D290" s="448"/>
      <c r="E290" s="448"/>
      <c r="F290" s="448"/>
      <c r="G290" s="448"/>
      <c r="H290" s="448"/>
      <c r="I290" s="448"/>
      <c r="J290" s="448"/>
      <c r="K290" s="448"/>
      <c r="L290" s="448"/>
      <c r="M290" s="448"/>
      <c r="N290" s="904"/>
      <c r="O290" s="904"/>
      <c r="P290" s="904"/>
      <c r="Q290" s="708"/>
      <c r="R290" s="709"/>
      <c r="S290" s="905"/>
      <c r="T290" s="708"/>
      <c r="U290" s="906"/>
      <c r="V290" s="708"/>
      <c r="W290" s="708"/>
      <c r="X290" s="907"/>
      <c r="Y290" s="908"/>
      <c r="Z290" s="908"/>
      <c r="AA290" s="448"/>
      <c r="AB290" s="909"/>
      <c r="AC290" s="904"/>
      <c r="AD290" s="910"/>
      <c r="AE290" s="708"/>
      <c r="AF290" s="708"/>
      <c r="AG290" s="708"/>
      <c r="AH290" s="904"/>
      <c r="AI290" s="708"/>
      <c r="AJ290" s="911"/>
      <c r="AK290" s="904"/>
      <c r="AL290" s="374"/>
      <c r="AM290" s="913"/>
      <c r="AN290" s="913"/>
      <c r="AX290" s="564"/>
      <c r="AY290" s="564"/>
    </row>
    <row r="291" spans="1:51" s="563" customFormat="1" ht="15.6" customHeight="1" x14ac:dyDescent="0.25">
      <c r="A291" s="903"/>
      <c r="B291" s="903"/>
      <c r="C291" s="448"/>
      <c r="D291" s="448"/>
      <c r="E291" s="448"/>
      <c r="F291" s="448"/>
      <c r="G291" s="448"/>
      <c r="H291" s="448"/>
      <c r="I291" s="448"/>
      <c r="J291" s="448"/>
      <c r="K291" s="448"/>
      <c r="L291" s="448"/>
      <c r="M291" s="448"/>
      <c r="N291" s="904"/>
      <c r="O291" s="904"/>
      <c r="P291" s="904"/>
      <c r="Q291" s="708"/>
      <c r="R291" s="709"/>
      <c r="S291" s="905"/>
      <c r="T291" s="708"/>
      <c r="U291" s="906"/>
      <c r="V291" s="708"/>
      <c r="W291" s="708"/>
      <c r="X291" s="907"/>
      <c r="Y291" s="908"/>
      <c r="Z291" s="908"/>
      <c r="AA291" s="448"/>
      <c r="AB291" s="909"/>
      <c r="AC291" s="904"/>
      <c r="AD291" s="910"/>
      <c r="AE291" s="708"/>
      <c r="AF291" s="708"/>
      <c r="AG291" s="708"/>
      <c r="AH291" s="904"/>
      <c r="AI291" s="708"/>
      <c r="AJ291" s="911"/>
      <c r="AK291" s="904"/>
      <c r="AL291" s="374"/>
      <c r="AM291" s="913"/>
      <c r="AN291" s="913"/>
      <c r="AX291" s="564"/>
      <c r="AY291" s="564"/>
    </row>
    <row r="292" spans="1:51" s="563" customFormat="1" ht="15.6" customHeight="1" x14ac:dyDescent="0.25">
      <c r="A292" s="903"/>
      <c r="B292" s="903"/>
      <c r="C292" s="448"/>
      <c r="D292" s="448"/>
      <c r="E292" s="448"/>
      <c r="F292" s="448"/>
      <c r="G292" s="448"/>
      <c r="H292" s="448"/>
      <c r="I292" s="448"/>
      <c r="J292" s="448"/>
      <c r="K292" s="448"/>
      <c r="L292" s="448"/>
      <c r="M292" s="448"/>
      <c r="N292" s="904"/>
      <c r="O292" s="904"/>
      <c r="P292" s="904"/>
      <c r="Q292" s="708"/>
      <c r="R292" s="709"/>
      <c r="S292" s="905"/>
      <c r="T292" s="708"/>
      <c r="U292" s="906"/>
      <c r="V292" s="708"/>
      <c r="W292" s="708"/>
      <c r="X292" s="907"/>
      <c r="Y292" s="908"/>
      <c r="Z292" s="908"/>
      <c r="AA292" s="448"/>
      <c r="AB292" s="909"/>
      <c r="AC292" s="904"/>
      <c r="AD292" s="910"/>
      <c r="AE292" s="708"/>
      <c r="AF292" s="708"/>
      <c r="AG292" s="708"/>
      <c r="AH292" s="904"/>
      <c r="AI292" s="708"/>
      <c r="AJ292" s="911"/>
      <c r="AK292" s="904"/>
      <c r="AL292" s="374"/>
      <c r="AM292" s="913"/>
      <c r="AN292" s="913"/>
      <c r="AX292" s="564"/>
      <c r="AY292" s="564"/>
    </row>
    <row r="293" spans="1:51" s="563" customFormat="1" ht="15.6" customHeight="1" x14ac:dyDescent="0.25">
      <c r="A293" s="903"/>
      <c r="B293" s="903"/>
      <c r="C293" s="448"/>
      <c r="D293" s="448"/>
      <c r="E293" s="448"/>
      <c r="F293" s="448"/>
      <c r="G293" s="448"/>
      <c r="H293" s="448"/>
      <c r="I293" s="448"/>
      <c r="J293" s="448"/>
      <c r="K293" s="448"/>
      <c r="L293" s="448"/>
      <c r="M293" s="448"/>
      <c r="N293" s="904"/>
      <c r="O293" s="904"/>
      <c r="P293" s="904"/>
      <c r="Q293" s="708"/>
      <c r="R293" s="709"/>
      <c r="S293" s="905"/>
      <c r="T293" s="708"/>
      <c r="U293" s="906"/>
      <c r="V293" s="708"/>
      <c r="W293" s="708"/>
      <c r="X293" s="907"/>
      <c r="Y293" s="908"/>
      <c r="Z293" s="908"/>
      <c r="AA293" s="448"/>
      <c r="AB293" s="909"/>
      <c r="AC293" s="904"/>
      <c r="AD293" s="910"/>
      <c r="AE293" s="708"/>
      <c r="AF293" s="708"/>
      <c r="AG293" s="708"/>
      <c r="AH293" s="904"/>
      <c r="AI293" s="708"/>
      <c r="AJ293" s="911"/>
      <c r="AK293" s="904"/>
      <c r="AL293" s="374"/>
      <c r="AM293" s="913"/>
      <c r="AN293" s="913"/>
      <c r="AX293" s="564"/>
      <c r="AY293" s="564"/>
    </row>
    <row r="294" spans="1:51" s="563" customFormat="1" ht="15.6" customHeight="1" x14ac:dyDescent="0.25">
      <c r="A294" s="903"/>
      <c r="B294" s="903"/>
      <c r="C294" s="448"/>
      <c r="D294" s="448"/>
      <c r="E294" s="448"/>
      <c r="F294" s="448"/>
      <c r="G294" s="448"/>
      <c r="H294" s="448"/>
      <c r="I294" s="448"/>
      <c r="J294" s="448"/>
      <c r="K294" s="448"/>
      <c r="L294" s="448"/>
      <c r="M294" s="448"/>
      <c r="N294" s="904"/>
      <c r="O294" s="904"/>
      <c r="P294" s="904"/>
      <c r="Q294" s="708"/>
      <c r="R294" s="709"/>
      <c r="S294" s="905"/>
      <c r="T294" s="708"/>
      <c r="U294" s="906"/>
      <c r="V294" s="708"/>
      <c r="W294" s="708"/>
      <c r="X294" s="907"/>
      <c r="Y294" s="908"/>
      <c r="Z294" s="908"/>
      <c r="AA294" s="448"/>
      <c r="AB294" s="909"/>
      <c r="AC294" s="904"/>
      <c r="AD294" s="910"/>
      <c r="AE294" s="708"/>
      <c r="AF294" s="708"/>
      <c r="AG294" s="708"/>
      <c r="AH294" s="904"/>
      <c r="AI294" s="708"/>
      <c r="AJ294" s="911"/>
      <c r="AK294" s="904"/>
      <c r="AL294" s="374"/>
      <c r="AM294" s="913"/>
      <c r="AN294" s="913"/>
      <c r="AX294" s="564"/>
      <c r="AY294" s="564"/>
    </row>
    <row r="295" spans="1:51" s="563" customFormat="1" ht="15.6" customHeight="1" x14ac:dyDescent="0.25">
      <c r="A295" s="903"/>
      <c r="B295" s="903"/>
      <c r="C295" s="448"/>
      <c r="D295" s="448"/>
      <c r="E295" s="448"/>
      <c r="F295" s="448"/>
      <c r="G295" s="448"/>
      <c r="H295" s="448"/>
      <c r="I295" s="448"/>
      <c r="J295" s="448"/>
      <c r="K295" s="448"/>
      <c r="L295" s="448"/>
      <c r="M295" s="448"/>
      <c r="N295" s="904"/>
      <c r="O295" s="904"/>
      <c r="P295" s="904"/>
      <c r="Q295" s="708"/>
      <c r="R295" s="709"/>
      <c r="S295" s="905"/>
      <c r="T295" s="708"/>
      <c r="U295" s="906"/>
      <c r="V295" s="708"/>
      <c r="W295" s="708"/>
      <c r="X295" s="907"/>
      <c r="Y295" s="908"/>
      <c r="Z295" s="908"/>
      <c r="AA295" s="448"/>
      <c r="AB295" s="909"/>
      <c r="AC295" s="904"/>
      <c r="AD295" s="910"/>
      <c r="AE295" s="708"/>
      <c r="AF295" s="708"/>
      <c r="AG295" s="708"/>
      <c r="AH295" s="904"/>
      <c r="AI295" s="708"/>
      <c r="AJ295" s="911"/>
      <c r="AK295" s="904"/>
      <c r="AL295" s="374"/>
      <c r="AM295" s="913"/>
      <c r="AN295" s="913"/>
      <c r="AX295" s="564"/>
      <c r="AY295" s="564"/>
    </row>
    <row r="296" spans="1:51" s="563" customFormat="1" ht="15.6" customHeight="1" x14ac:dyDescent="0.25">
      <c r="A296" s="903"/>
      <c r="B296" s="903"/>
      <c r="C296" s="448"/>
      <c r="D296" s="448"/>
      <c r="E296" s="448"/>
      <c r="F296" s="448"/>
      <c r="G296" s="448"/>
      <c r="H296" s="448"/>
      <c r="I296" s="448"/>
      <c r="J296" s="448"/>
      <c r="K296" s="448"/>
      <c r="L296" s="448"/>
      <c r="M296" s="448"/>
      <c r="N296" s="904"/>
      <c r="O296" s="904"/>
      <c r="P296" s="904"/>
      <c r="Q296" s="708"/>
      <c r="R296" s="709"/>
      <c r="S296" s="905"/>
      <c r="T296" s="708"/>
      <c r="U296" s="906"/>
      <c r="V296" s="708"/>
      <c r="W296" s="708"/>
      <c r="X296" s="907"/>
      <c r="Y296" s="908"/>
      <c r="Z296" s="908"/>
      <c r="AA296" s="448"/>
      <c r="AB296" s="909"/>
      <c r="AC296" s="904"/>
      <c r="AD296" s="910"/>
      <c r="AE296" s="708"/>
      <c r="AF296" s="708"/>
      <c r="AG296" s="708"/>
      <c r="AH296" s="904"/>
      <c r="AI296" s="708"/>
      <c r="AJ296" s="911"/>
      <c r="AK296" s="904"/>
      <c r="AL296" s="374"/>
      <c r="AM296" s="913"/>
      <c r="AN296" s="913"/>
      <c r="AX296" s="564"/>
      <c r="AY296" s="564"/>
    </row>
    <row r="297" spans="1:51" s="563" customFormat="1" ht="15.6" customHeight="1" x14ac:dyDescent="0.25">
      <c r="A297" s="903"/>
      <c r="B297" s="903"/>
      <c r="C297" s="448"/>
      <c r="D297" s="448"/>
      <c r="E297" s="448"/>
      <c r="F297" s="448"/>
      <c r="G297" s="448"/>
      <c r="H297" s="448"/>
      <c r="I297" s="448"/>
      <c r="J297" s="448"/>
      <c r="K297" s="448"/>
      <c r="L297" s="448"/>
      <c r="M297" s="448"/>
      <c r="N297" s="904"/>
      <c r="O297" s="904"/>
      <c r="P297" s="904"/>
      <c r="Q297" s="708"/>
      <c r="R297" s="709"/>
      <c r="S297" s="905"/>
      <c r="T297" s="708"/>
      <c r="U297" s="906"/>
      <c r="V297" s="708"/>
      <c r="W297" s="708"/>
      <c r="X297" s="907"/>
      <c r="Y297" s="908"/>
      <c r="Z297" s="908"/>
      <c r="AA297" s="448"/>
      <c r="AB297" s="909"/>
      <c r="AC297" s="904"/>
      <c r="AD297" s="910"/>
      <c r="AE297" s="708"/>
      <c r="AF297" s="708"/>
      <c r="AG297" s="708"/>
      <c r="AH297" s="904"/>
      <c r="AI297" s="708"/>
      <c r="AJ297" s="911"/>
      <c r="AK297" s="904"/>
      <c r="AL297" s="374"/>
      <c r="AM297" s="913"/>
      <c r="AN297" s="913"/>
      <c r="AX297" s="564"/>
      <c r="AY297" s="564"/>
    </row>
    <row r="298" spans="1:51" s="563" customFormat="1" ht="15.6" customHeight="1" x14ac:dyDescent="0.25">
      <c r="A298" s="903"/>
      <c r="B298" s="903"/>
      <c r="C298" s="448"/>
      <c r="D298" s="448"/>
      <c r="E298" s="448"/>
      <c r="F298" s="448"/>
      <c r="G298" s="448"/>
      <c r="H298" s="448"/>
      <c r="I298" s="448"/>
      <c r="J298" s="448"/>
      <c r="K298" s="448"/>
      <c r="L298" s="448"/>
      <c r="M298" s="448"/>
      <c r="N298" s="904"/>
      <c r="O298" s="904"/>
      <c r="P298" s="904"/>
      <c r="Q298" s="708"/>
      <c r="R298" s="709"/>
      <c r="S298" s="905"/>
      <c r="T298" s="708"/>
      <c r="U298" s="906"/>
      <c r="V298" s="708"/>
      <c r="W298" s="708"/>
      <c r="X298" s="907"/>
      <c r="Y298" s="908"/>
      <c r="Z298" s="908"/>
      <c r="AA298" s="448"/>
      <c r="AB298" s="909"/>
      <c r="AC298" s="904"/>
      <c r="AD298" s="910"/>
      <c r="AE298" s="708"/>
      <c r="AF298" s="708"/>
      <c r="AG298" s="708"/>
      <c r="AH298" s="904"/>
      <c r="AI298" s="708"/>
      <c r="AJ298" s="911"/>
      <c r="AK298" s="904"/>
      <c r="AL298" s="374"/>
      <c r="AM298" s="913"/>
      <c r="AN298" s="913"/>
      <c r="AX298" s="564"/>
      <c r="AY298" s="564"/>
    </row>
    <row r="299" spans="1:51" s="563" customFormat="1" ht="15.6" customHeight="1" x14ac:dyDescent="0.25">
      <c r="A299" s="903"/>
      <c r="B299" s="903"/>
      <c r="C299" s="448"/>
      <c r="D299" s="448"/>
      <c r="E299" s="448"/>
      <c r="F299" s="448"/>
      <c r="G299" s="448"/>
      <c r="H299" s="448"/>
      <c r="I299" s="448"/>
      <c r="J299" s="448"/>
      <c r="K299" s="448"/>
      <c r="L299" s="448"/>
      <c r="M299" s="448"/>
      <c r="N299" s="904"/>
      <c r="O299" s="904"/>
      <c r="P299" s="904"/>
      <c r="Q299" s="708"/>
      <c r="R299" s="709"/>
      <c r="S299" s="905"/>
      <c r="T299" s="708"/>
      <c r="U299" s="906"/>
      <c r="V299" s="708"/>
      <c r="W299" s="708"/>
      <c r="X299" s="907"/>
      <c r="Y299" s="908"/>
      <c r="Z299" s="908"/>
      <c r="AA299" s="448"/>
      <c r="AB299" s="909"/>
      <c r="AC299" s="904"/>
      <c r="AD299" s="910"/>
      <c r="AE299" s="708"/>
      <c r="AF299" s="708"/>
      <c r="AG299" s="708"/>
      <c r="AH299" s="904"/>
      <c r="AI299" s="708"/>
      <c r="AJ299" s="911"/>
      <c r="AK299" s="904"/>
      <c r="AL299" s="374"/>
      <c r="AM299" s="913"/>
      <c r="AN299" s="913"/>
      <c r="AX299" s="564"/>
      <c r="AY299" s="564"/>
    </row>
    <row r="300" spans="1:51" s="563" customFormat="1" ht="15.6" customHeight="1" x14ac:dyDescent="0.25">
      <c r="A300" s="903"/>
      <c r="B300" s="903"/>
      <c r="C300" s="448"/>
      <c r="D300" s="448"/>
      <c r="E300" s="448"/>
      <c r="F300" s="448"/>
      <c r="G300" s="448"/>
      <c r="H300" s="448"/>
      <c r="I300" s="448"/>
      <c r="J300" s="448"/>
      <c r="K300" s="448"/>
      <c r="L300" s="448"/>
      <c r="M300" s="448"/>
      <c r="N300" s="904"/>
      <c r="O300" s="904"/>
      <c r="P300" s="904"/>
      <c r="Q300" s="708"/>
      <c r="R300" s="709"/>
      <c r="S300" s="905"/>
      <c r="T300" s="708"/>
      <c r="U300" s="906"/>
      <c r="V300" s="708"/>
      <c r="W300" s="708"/>
      <c r="X300" s="907"/>
      <c r="Y300" s="908"/>
      <c r="Z300" s="908"/>
      <c r="AA300" s="448"/>
      <c r="AB300" s="909"/>
      <c r="AC300" s="904"/>
      <c r="AD300" s="910"/>
      <c r="AE300" s="708"/>
      <c r="AF300" s="708"/>
      <c r="AG300" s="708"/>
      <c r="AH300" s="904"/>
      <c r="AI300" s="708"/>
      <c r="AJ300" s="911"/>
      <c r="AK300" s="904"/>
      <c r="AL300" s="374"/>
      <c r="AM300" s="913"/>
      <c r="AN300" s="913"/>
      <c r="AX300" s="564"/>
      <c r="AY300" s="564"/>
    </row>
    <row r="301" spans="1:51" s="563" customFormat="1" ht="15.6" customHeight="1" x14ac:dyDescent="0.25">
      <c r="A301" s="903"/>
      <c r="B301" s="903"/>
      <c r="C301" s="448"/>
      <c r="D301" s="448"/>
      <c r="E301" s="448"/>
      <c r="F301" s="448"/>
      <c r="G301" s="448"/>
      <c r="H301" s="448"/>
      <c r="I301" s="448"/>
      <c r="J301" s="448"/>
      <c r="K301" s="448"/>
      <c r="L301" s="448"/>
      <c r="M301" s="448"/>
      <c r="N301" s="904"/>
      <c r="O301" s="904"/>
      <c r="P301" s="904"/>
      <c r="Q301" s="708"/>
      <c r="R301" s="709"/>
      <c r="S301" s="905"/>
      <c r="T301" s="708"/>
      <c r="U301" s="906"/>
      <c r="V301" s="708"/>
      <c r="W301" s="708"/>
      <c r="X301" s="907"/>
      <c r="Y301" s="908"/>
      <c r="Z301" s="908"/>
      <c r="AA301" s="448"/>
      <c r="AB301" s="909"/>
      <c r="AC301" s="904"/>
      <c r="AD301" s="910"/>
      <c r="AE301" s="708"/>
      <c r="AF301" s="708"/>
      <c r="AG301" s="708"/>
      <c r="AH301" s="904"/>
      <c r="AI301" s="708"/>
      <c r="AJ301" s="911"/>
      <c r="AK301" s="904"/>
      <c r="AL301" s="374"/>
      <c r="AM301" s="913"/>
      <c r="AN301" s="913"/>
      <c r="AX301" s="564"/>
      <c r="AY301" s="564"/>
    </row>
    <row r="302" spans="1:51" s="563" customFormat="1" ht="15.6" customHeight="1" x14ac:dyDescent="0.25">
      <c r="A302" s="903"/>
      <c r="B302" s="903"/>
      <c r="C302" s="448"/>
      <c r="D302" s="448"/>
      <c r="E302" s="448"/>
      <c r="F302" s="448"/>
      <c r="G302" s="448"/>
      <c r="H302" s="448"/>
      <c r="I302" s="448"/>
      <c r="J302" s="448"/>
      <c r="K302" s="448"/>
      <c r="L302" s="448"/>
      <c r="M302" s="448"/>
      <c r="N302" s="904"/>
      <c r="O302" s="904"/>
      <c r="P302" s="904"/>
      <c r="Q302" s="708"/>
      <c r="R302" s="709"/>
      <c r="S302" s="905"/>
      <c r="T302" s="708"/>
      <c r="U302" s="906"/>
      <c r="V302" s="708"/>
      <c r="W302" s="708"/>
      <c r="X302" s="907"/>
      <c r="Y302" s="908"/>
      <c r="Z302" s="908"/>
      <c r="AA302" s="448"/>
      <c r="AB302" s="909"/>
      <c r="AC302" s="904"/>
      <c r="AD302" s="910"/>
      <c r="AE302" s="708"/>
      <c r="AF302" s="708"/>
      <c r="AG302" s="708"/>
      <c r="AH302" s="904"/>
      <c r="AI302" s="708"/>
      <c r="AJ302" s="911"/>
      <c r="AK302" s="904"/>
      <c r="AL302" s="374"/>
      <c r="AM302" s="913"/>
      <c r="AN302" s="913"/>
      <c r="AX302" s="564"/>
      <c r="AY302" s="564"/>
    </row>
    <row r="303" spans="1:51" s="563" customFormat="1" ht="15.6" customHeight="1" x14ac:dyDescent="0.25">
      <c r="A303" s="903"/>
      <c r="B303" s="903"/>
      <c r="C303" s="448"/>
      <c r="D303" s="448"/>
      <c r="E303" s="448"/>
      <c r="F303" s="448"/>
      <c r="G303" s="448"/>
      <c r="H303" s="448"/>
      <c r="I303" s="448"/>
      <c r="J303" s="448"/>
      <c r="K303" s="448"/>
      <c r="L303" s="448"/>
      <c r="M303" s="448"/>
      <c r="N303" s="904"/>
      <c r="O303" s="904"/>
      <c r="P303" s="904"/>
      <c r="Q303" s="708"/>
      <c r="R303" s="709"/>
      <c r="S303" s="905"/>
      <c r="T303" s="708"/>
      <c r="U303" s="906"/>
      <c r="V303" s="708"/>
      <c r="W303" s="708"/>
      <c r="X303" s="907"/>
      <c r="Y303" s="908"/>
      <c r="Z303" s="908"/>
      <c r="AA303" s="448"/>
      <c r="AB303" s="909"/>
      <c r="AC303" s="904"/>
      <c r="AD303" s="910"/>
      <c r="AE303" s="708"/>
      <c r="AF303" s="708"/>
      <c r="AG303" s="708"/>
      <c r="AH303" s="904"/>
      <c r="AI303" s="708"/>
      <c r="AJ303" s="911"/>
      <c r="AK303" s="904"/>
      <c r="AL303" s="374"/>
      <c r="AM303" s="913"/>
      <c r="AN303" s="913"/>
      <c r="AX303" s="564"/>
      <c r="AY303" s="564"/>
    </row>
    <row r="304" spans="1:51" s="563" customFormat="1" ht="15.6" customHeight="1" x14ac:dyDescent="0.25">
      <c r="A304" s="903"/>
      <c r="B304" s="903"/>
      <c r="C304" s="448"/>
      <c r="D304" s="448"/>
      <c r="E304" s="448"/>
      <c r="F304" s="448"/>
      <c r="G304" s="448"/>
      <c r="H304" s="448"/>
      <c r="I304" s="448"/>
      <c r="J304" s="448"/>
      <c r="K304" s="448"/>
      <c r="L304" s="448"/>
      <c r="M304" s="448"/>
      <c r="N304" s="904"/>
      <c r="O304" s="904"/>
      <c r="P304" s="904"/>
      <c r="Q304" s="708"/>
      <c r="R304" s="709"/>
      <c r="S304" s="905"/>
      <c r="T304" s="708"/>
      <c r="U304" s="906"/>
      <c r="V304" s="708"/>
      <c r="W304" s="708"/>
      <c r="X304" s="907"/>
      <c r="Y304" s="908"/>
      <c r="Z304" s="908"/>
      <c r="AA304" s="448"/>
      <c r="AB304" s="909"/>
      <c r="AC304" s="904"/>
      <c r="AD304" s="910"/>
      <c r="AE304" s="708"/>
      <c r="AF304" s="708"/>
      <c r="AG304" s="708"/>
      <c r="AH304" s="904"/>
      <c r="AI304" s="708"/>
      <c r="AJ304" s="911"/>
      <c r="AK304" s="904"/>
      <c r="AL304" s="374"/>
      <c r="AM304" s="913"/>
      <c r="AN304" s="913"/>
      <c r="AX304" s="564"/>
      <c r="AY304" s="564"/>
    </row>
    <row r="305" spans="1:51" s="563" customFormat="1" ht="15.6" customHeight="1" x14ac:dyDescent="0.25">
      <c r="A305" s="903"/>
      <c r="B305" s="903"/>
      <c r="C305" s="448"/>
      <c r="D305" s="448"/>
      <c r="E305" s="448"/>
      <c r="F305" s="448"/>
      <c r="G305" s="448"/>
      <c r="H305" s="448"/>
      <c r="I305" s="448"/>
      <c r="J305" s="448"/>
      <c r="K305" s="448"/>
      <c r="L305" s="448"/>
      <c r="M305" s="448"/>
      <c r="N305" s="904"/>
      <c r="O305" s="904"/>
      <c r="P305" s="904"/>
      <c r="Q305" s="708"/>
      <c r="R305" s="709"/>
      <c r="S305" s="905"/>
      <c r="T305" s="708"/>
      <c r="U305" s="906"/>
      <c r="V305" s="708"/>
      <c r="W305" s="708"/>
      <c r="X305" s="907"/>
      <c r="Y305" s="908"/>
      <c r="Z305" s="908"/>
      <c r="AA305" s="448"/>
      <c r="AB305" s="909"/>
      <c r="AC305" s="904"/>
      <c r="AD305" s="910"/>
      <c r="AE305" s="708"/>
      <c r="AF305" s="708"/>
      <c r="AG305" s="708"/>
      <c r="AH305" s="904"/>
      <c r="AI305" s="708"/>
      <c r="AJ305" s="911"/>
      <c r="AK305" s="904"/>
      <c r="AL305" s="374"/>
      <c r="AM305" s="913"/>
      <c r="AN305" s="913"/>
      <c r="AX305" s="564"/>
      <c r="AY305" s="564"/>
    </row>
    <row r="306" spans="1:51" s="563" customFormat="1" ht="15.6" customHeight="1" x14ac:dyDescent="0.25">
      <c r="A306" s="903"/>
      <c r="B306" s="903"/>
      <c r="C306" s="448"/>
      <c r="D306" s="448"/>
      <c r="E306" s="448"/>
      <c r="F306" s="448"/>
      <c r="G306" s="448"/>
      <c r="H306" s="448"/>
      <c r="I306" s="448"/>
      <c r="J306" s="448"/>
      <c r="K306" s="448"/>
      <c r="L306" s="448"/>
      <c r="M306" s="448"/>
      <c r="N306" s="904"/>
      <c r="O306" s="904"/>
      <c r="P306" s="904"/>
      <c r="Q306" s="708"/>
      <c r="R306" s="709"/>
      <c r="S306" s="905"/>
      <c r="T306" s="708"/>
      <c r="U306" s="906"/>
      <c r="V306" s="708"/>
      <c r="W306" s="708"/>
      <c r="X306" s="907"/>
      <c r="Y306" s="908"/>
      <c r="Z306" s="908"/>
      <c r="AA306" s="448"/>
      <c r="AB306" s="909"/>
      <c r="AC306" s="904"/>
      <c r="AD306" s="910"/>
      <c r="AE306" s="708"/>
      <c r="AF306" s="708"/>
      <c r="AG306" s="708"/>
      <c r="AH306" s="904"/>
      <c r="AI306" s="708"/>
      <c r="AJ306" s="911"/>
      <c r="AK306" s="904"/>
      <c r="AL306" s="374"/>
      <c r="AM306" s="913"/>
      <c r="AN306" s="913"/>
      <c r="AX306" s="564"/>
      <c r="AY306" s="564"/>
    </row>
    <row r="307" spans="1:51" s="563" customFormat="1" ht="15.6" customHeight="1" x14ac:dyDescent="0.25">
      <c r="A307" s="903"/>
      <c r="B307" s="903"/>
      <c r="C307" s="448"/>
      <c r="D307" s="448"/>
      <c r="E307" s="448"/>
      <c r="F307" s="448"/>
      <c r="G307" s="448"/>
      <c r="H307" s="448"/>
      <c r="I307" s="448"/>
      <c r="J307" s="448"/>
      <c r="K307" s="448"/>
      <c r="L307" s="448"/>
      <c r="M307" s="448"/>
      <c r="N307" s="904"/>
      <c r="O307" s="904"/>
      <c r="P307" s="904"/>
      <c r="Q307" s="708"/>
      <c r="R307" s="709"/>
      <c r="S307" s="905"/>
      <c r="T307" s="708"/>
      <c r="U307" s="906"/>
      <c r="V307" s="708"/>
      <c r="W307" s="708"/>
      <c r="X307" s="907"/>
      <c r="Y307" s="908"/>
      <c r="Z307" s="908"/>
      <c r="AA307" s="448"/>
      <c r="AB307" s="909"/>
      <c r="AC307" s="904"/>
      <c r="AD307" s="910"/>
      <c r="AE307" s="708"/>
      <c r="AF307" s="708"/>
      <c r="AG307" s="708"/>
      <c r="AH307" s="904"/>
      <c r="AI307" s="708"/>
      <c r="AJ307" s="911"/>
      <c r="AK307" s="904"/>
      <c r="AL307" s="374"/>
      <c r="AM307" s="913"/>
      <c r="AN307" s="913"/>
      <c r="AX307" s="564"/>
      <c r="AY307" s="564"/>
    </row>
    <row r="308" spans="1:51" s="563" customFormat="1" ht="15.6" customHeight="1" x14ac:dyDescent="0.25">
      <c r="A308" s="903"/>
      <c r="B308" s="903"/>
      <c r="C308" s="448"/>
      <c r="D308" s="448"/>
      <c r="E308" s="448"/>
      <c r="F308" s="448"/>
      <c r="G308" s="448"/>
      <c r="H308" s="448"/>
      <c r="I308" s="448"/>
      <c r="J308" s="448"/>
      <c r="K308" s="448"/>
      <c r="L308" s="448"/>
      <c r="M308" s="448"/>
      <c r="N308" s="904"/>
      <c r="O308" s="904"/>
      <c r="P308" s="904"/>
      <c r="Q308" s="708"/>
      <c r="R308" s="709"/>
      <c r="S308" s="905"/>
      <c r="T308" s="708"/>
      <c r="U308" s="906"/>
      <c r="V308" s="708"/>
      <c r="W308" s="708"/>
      <c r="X308" s="907"/>
      <c r="Y308" s="908"/>
      <c r="Z308" s="908"/>
      <c r="AA308" s="448"/>
      <c r="AB308" s="909"/>
      <c r="AC308" s="904"/>
      <c r="AD308" s="910"/>
      <c r="AE308" s="708"/>
      <c r="AF308" s="708"/>
      <c r="AG308" s="708"/>
      <c r="AH308" s="904"/>
      <c r="AI308" s="708"/>
      <c r="AJ308" s="911"/>
      <c r="AK308" s="904"/>
      <c r="AL308" s="374"/>
      <c r="AM308" s="913"/>
      <c r="AN308" s="913"/>
      <c r="AX308" s="564"/>
      <c r="AY308" s="564"/>
    </row>
    <row r="309" spans="1:51" s="563" customFormat="1" ht="15.6" customHeight="1" x14ac:dyDescent="0.25">
      <c r="A309" s="903"/>
      <c r="B309" s="903"/>
      <c r="C309" s="448"/>
      <c r="D309" s="448"/>
      <c r="E309" s="448"/>
      <c r="F309" s="448"/>
      <c r="G309" s="448"/>
      <c r="H309" s="448"/>
      <c r="I309" s="448"/>
      <c r="J309" s="448"/>
      <c r="K309" s="448"/>
      <c r="L309" s="448"/>
      <c r="M309" s="448"/>
      <c r="N309" s="904"/>
      <c r="O309" s="904"/>
      <c r="P309" s="904"/>
      <c r="Q309" s="708"/>
      <c r="R309" s="709"/>
      <c r="S309" s="905"/>
      <c r="T309" s="708"/>
      <c r="U309" s="906"/>
      <c r="V309" s="708"/>
      <c r="W309" s="708"/>
      <c r="X309" s="907"/>
      <c r="Y309" s="908"/>
      <c r="Z309" s="908"/>
      <c r="AA309" s="448"/>
      <c r="AB309" s="909"/>
      <c r="AC309" s="904"/>
      <c r="AD309" s="910"/>
      <c r="AE309" s="708"/>
      <c r="AF309" s="708"/>
      <c r="AG309" s="708"/>
      <c r="AH309" s="904"/>
      <c r="AI309" s="708"/>
      <c r="AJ309" s="911"/>
      <c r="AK309" s="904"/>
      <c r="AL309" s="374"/>
      <c r="AM309" s="913"/>
      <c r="AN309" s="913"/>
      <c r="AX309" s="564"/>
      <c r="AY309" s="564"/>
    </row>
    <row r="310" spans="1:51" s="563" customFormat="1" ht="15.6" customHeight="1" x14ac:dyDescent="0.25">
      <c r="A310" s="903"/>
      <c r="B310" s="903"/>
      <c r="C310" s="448"/>
      <c r="D310" s="448"/>
      <c r="E310" s="448"/>
      <c r="F310" s="448"/>
      <c r="G310" s="448"/>
      <c r="H310" s="448"/>
      <c r="I310" s="448"/>
      <c r="J310" s="448"/>
      <c r="K310" s="448"/>
      <c r="L310" s="448"/>
      <c r="M310" s="448"/>
      <c r="N310" s="904"/>
      <c r="O310" s="904"/>
      <c r="P310" s="904"/>
      <c r="Q310" s="708"/>
      <c r="R310" s="709"/>
      <c r="S310" s="905"/>
      <c r="T310" s="708"/>
      <c r="U310" s="906"/>
      <c r="V310" s="708"/>
      <c r="W310" s="708"/>
      <c r="X310" s="907"/>
      <c r="Y310" s="908"/>
      <c r="Z310" s="908"/>
      <c r="AA310" s="448"/>
      <c r="AB310" s="909"/>
      <c r="AC310" s="904"/>
      <c r="AD310" s="910"/>
      <c r="AE310" s="708"/>
      <c r="AF310" s="708"/>
      <c r="AG310" s="708"/>
      <c r="AH310" s="904"/>
      <c r="AI310" s="708"/>
      <c r="AJ310" s="911"/>
      <c r="AK310" s="904"/>
      <c r="AL310" s="374"/>
      <c r="AM310" s="913"/>
      <c r="AN310" s="913"/>
      <c r="AX310" s="564"/>
      <c r="AY310" s="564"/>
    </row>
    <row r="311" spans="1:51" s="563" customFormat="1" ht="15.6" customHeight="1" x14ac:dyDescent="0.25">
      <c r="A311" s="903"/>
      <c r="B311" s="903"/>
      <c r="C311" s="448"/>
      <c r="D311" s="448"/>
      <c r="E311" s="448"/>
      <c r="F311" s="448"/>
      <c r="G311" s="448"/>
      <c r="H311" s="448"/>
      <c r="I311" s="448"/>
      <c r="J311" s="448"/>
      <c r="K311" s="448"/>
      <c r="L311" s="448"/>
      <c r="M311" s="448"/>
      <c r="N311" s="904"/>
      <c r="O311" s="904"/>
      <c r="P311" s="904"/>
      <c r="Q311" s="708"/>
      <c r="R311" s="709"/>
      <c r="S311" s="905"/>
      <c r="T311" s="708"/>
      <c r="U311" s="906"/>
      <c r="V311" s="708"/>
      <c r="W311" s="708"/>
      <c r="X311" s="907"/>
      <c r="Y311" s="908"/>
      <c r="Z311" s="908"/>
      <c r="AA311" s="448"/>
      <c r="AB311" s="909"/>
      <c r="AC311" s="904"/>
      <c r="AD311" s="910"/>
      <c r="AE311" s="708"/>
      <c r="AF311" s="708"/>
      <c r="AG311" s="708"/>
      <c r="AH311" s="904"/>
      <c r="AI311" s="708"/>
      <c r="AJ311" s="911"/>
      <c r="AK311" s="904"/>
      <c r="AL311" s="374"/>
      <c r="AM311" s="913"/>
      <c r="AN311" s="913"/>
      <c r="AX311" s="564"/>
      <c r="AY311" s="564"/>
    </row>
    <row r="312" spans="1:51" s="563" customFormat="1" ht="15.6" customHeight="1" x14ac:dyDescent="0.25">
      <c r="A312" s="903"/>
      <c r="B312" s="903"/>
      <c r="C312" s="448"/>
      <c r="D312" s="448"/>
      <c r="E312" s="448"/>
      <c r="F312" s="448"/>
      <c r="G312" s="448"/>
      <c r="H312" s="448"/>
      <c r="I312" s="448"/>
      <c r="J312" s="448"/>
      <c r="K312" s="448"/>
      <c r="L312" s="448"/>
      <c r="M312" s="448"/>
      <c r="N312" s="904"/>
      <c r="O312" s="904"/>
      <c r="P312" s="904"/>
      <c r="Q312" s="708"/>
      <c r="R312" s="709"/>
      <c r="S312" s="905"/>
      <c r="T312" s="708"/>
      <c r="U312" s="906"/>
      <c r="V312" s="708"/>
      <c r="W312" s="708"/>
      <c r="X312" s="907"/>
      <c r="Y312" s="908"/>
      <c r="Z312" s="908"/>
      <c r="AA312" s="448"/>
      <c r="AB312" s="909"/>
      <c r="AC312" s="904"/>
      <c r="AD312" s="910"/>
      <c r="AE312" s="708"/>
      <c r="AF312" s="708"/>
      <c r="AG312" s="708"/>
      <c r="AH312" s="904"/>
      <c r="AI312" s="708"/>
      <c r="AJ312" s="911"/>
      <c r="AK312" s="904"/>
      <c r="AL312" s="374"/>
      <c r="AM312" s="913"/>
      <c r="AN312" s="913"/>
      <c r="AX312" s="564"/>
      <c r="AY312" s="564"/>
    </row>
    <row r="313" spans="1:51" s="563" customFormat="1" ht="15.6" customHeight="1" x14ac:dyDescent="0.25">
      <c r="A313" s="903"/>
      <c r="B313" s="903"/>
      <c r="C313" s="448"/>
      <c r="D313" s="448"/>
      <c r="E313" s="448"/>
      <c r="F313" s="448"/>
      <c r="G313" s="448"/>
      <c r="H313" s="448"/>
      <c r="I313" s="448"/>
      <c r="J313" s="448"/>
      <c r="K313" s="448"/>
      <c r="L313" s="448"/>
      <c r="M313" s="448"/>
      <c r="N313" s="904"/>
      <c r="O313" s="904"/>
      <c r="P313" s="904"/>
      <c r="Q313" s="708"/>
      <c r="R313" s="709"/>
      <c r="S313" s="905"/>
      <c r="T313" s="708"/>
      <c r="U313" s="906"/>
      <c r="V313" s="708"/>
      <c r="W313" s="708"/>
      <c r="X313" s="907"/>
      <c r="Y313" s="908"/>
      <c r="Z313" s="908"/>
      <c r="AA313" s="448"/>
      <c r="AB313" s="909"/>
      <c r="AC313" s="904"/>
      <c r="AD313" s="910"/>
      <c r="AE313" s="708"/>
      <c r="AF313" s="708"/>
      <c r="AG313" s="708"/>
      <c r="AH313" s="904"/>
      <c r="AI313" s="708"/>
      <c r="AJ313" s="911"/>
      <c r="AK313" s="904"/>
      <c r="AL313" s="374"/>
      <c r="AM313" s="913"/>
      <c r="AN313" s="913"/>
      <c r="AX313" s="564"/>
      <c r="AY313" s="564"/>
    </row>
    <row r="314" spans="1:51" s="563" customFormat="1" ht="15.6" customHeight="1" x14ac:dyDescent="0.25">
      <c r="A314" s="903"/>
      <c r="B314" s="903"/>
      <c r="C314" s="448"/>
      <c r="D314" s="448"/>
      <c r="E314" s="448"/>
      <c r="F314" s="448"/>
      <c r="G314" s="448"/>
      <c r="H314" s="448"/>
      <c r="I314" s="448"/>
      <c r="J314" s="448"/>
      <c r="K314" s="448"/>
      <c r="L314" s="448"/>
      <c r="M314" s="448"/>
      <c r="N314" s="904"/>
      <c r="O314" s="904"/>
      <c r="P314" s="904"/>
      <c r="Q314" s="708"/>
      <c r="R314" s="709"/>
      <c r="S314" s="905"/>
      <c r="T314" s="708"/>
      <c r="U314" s="906"/>
      <c r="V314" s="708"/>
      <c r="W314" s="708"/>
      <c r="X314" s="907"/>
      <c r="Y314" s="908"/>
      <c r="Z314" s="908"/>
      <c r="AA314" s="448"/>
      <c r="AB314" s="909"/>
      <c r="AC314" s="904"/>
      <c r="AD314" s="910"/>
      <c r="AE314" s="708"/>
      <c r="AF314" s="708"/>
      <c r="AG314" s="708"/>
      <c r="AH314" s="904"/>
      <c r="AI314" s="708"/>
      <c r="AJ314" s="911"/>
      <c r="AK314" s="904"/>
      <c r="AL314" s="374"/>
      <c r="AM314" s="913"/>
      <c r="AN314" s="913"/>
      <c r="AX314" s="564"/>
      <c r="AY314" s="564"/>
    </row>
    <row r="315" spans="1:51" s="563" customFormat="1" ht="15.6" customHeight="1" x14ac:dyDescent="0.25">
      <c r="A315" s="903"/>
      <c r="B315" s="903"/>
      <c r="C315" s="448"/>
      <c r="D315" s="448"/>
      <c r="E315" s="448"/>
      <c r="F315" s="448"/>
      <c r="G315" s="448"/>
      <c r="H315" s="448"/>
      <c r="I315" s="448"/>
      <c r="J315" s="448"/>
      <c r="K315" s="448"/>
      <c r="L315" s="448"/>
      <c r="M315" s="448"/>
      <c r="N315" s="904"/>
      <c r="O315" s="904"/>
      <c r="P315" s="904"/>
      <c r="Q315" s="708"/>
      <c r="R315" s="709"/>
      <c r="S315" s="905"/>
      <c r="T315" s="708"/>
      <c r="U315" s="906"/>
      <c r="V315" s="708"/>
      <c r="W315" s="708"/>
      <c r="X315" s="907"/>
      <c r="Y315" s="908"/>
      <c r="Z315" s="908"/>
      <c r="AA315" s="448"/>
      <c r="AB315" s="909"/>
      <c r="AC315" s="904"/>
      <c r="AD315" s="910"/>
      <c r="AE315" s="708"/>
      <c r="AF315" s="708"/>
      <c r="AG315" s="708"/>
      <c r="AH315" s="904"/>
      <c r="AI315" s="708"/>
      <c r="AJ315" s="911"/>
      <c r="AK315" s="904"/>
      <c r="AL315" s="374"/>
      <c r="AM315" s="913"/>
      <c r="AN315" s="913"/>
      <c r="AX315" s="564"/>
      <c r="AY315" s="564"/>
    </row>
    <row r="316" spans="1:51" s="563" customFormat="1" ht="15.6" customHeight="1" x14ac:dyDescent="0.25">
      <c r="A316" s="903"/>
      <c r="B316" s="903"/>
      <c r="C316" s="448"/>
      <c r="D316" s="448"/>
      <c r="E316" s="448"/>
      <c r="F316" s="448"/>
      <c r="G316" s="448"/>
      <c r="H316" s="448"/>
      <c r="I316" s="448"/>
      <c r="J316" s="448"/>
      <c r="K316" s="448"/>
      <c r="L316" s="448"/>
      <c r="M316" s="448"/>
      <c r="N316" s="904"/>
      <c r="O316" s="904"/>
      <c r="P316" s="904"/>
      <c r="Q316" s="708"/>
      <c r="R316" s="709"/>
      <c r="S316" s="905"/>
      <c r="T316" s="708"/>
      <c r="U316" s="906"/>
      <c r="V316" s="708"/>
      <c r="W316" s="708"/>
      <c r="X316" s="907"/>
      <c r="Y316" s="908"/>
      <c r="Z316" s="908"/>
      <c r="AA316" s="448"/>
      <c r="AB316" s="909"/>
      <c r="AC316" s="904"/>
      <c r="AD316" s="910"/>
      <c r="AE316" s="708"/>
      <c r="AF316" s="708"/>
      <c r="AG316" s="708"/>
      <c r="AH316" s="904"/>
      <c r="AI316" s="708"/>
      <c r="AJ316" s="911"/>
      <c r="AK316" s="904"/>
      <c r="AL316" s="374"/>
      <c r="AM316" s="913"/>
      <c r="AN316" s="913"/>
      <c r="AX316" s="564"/>
      <c r="AY316" s="564"/>
    </row>
    <row r="317" spans="1:51" s="563" customFormat="1" ht="15.6" customHeight="1" x14ac:dyDescent="0.25">
      <c r="A317" s="903"/>
      <c r="B317" s="903"/>
      <c r="C317" s="448"/>
      <c r="D317" s="448"/>
      <c r="E317" s="448"/>
      <c r="F317" s="448"/>
      <c r="G317" s="448"/>
      <c r="H317" s="448"/>
      <c r="I317" s="448"/>
      <c r="J317" s="448"/>
      <c r="K317" s="448"/>
      <c r="L317" s="448"/>
      <c r="M317" s="448"/>
      <c r="N317" s="904"/>
      <c r="O317" s="904"/>
      <c r="P317" s="904"/>
      <c r="Q317" s="708"/>
      <c r="R317" s="709"/>
      <c r="S317" s="905"/>
      <c r="T317" s="708"/>
      <c r="U317" s="906"/>
      <c r="V317" s="708"/>
      <c r="W317" s="708"/>
      <c r="X317" s="907"/>
      <c r="Y317" s="908"/>
      <c r="Z317" s="908"/>
      <c r="AA317" s="448"/>
      <c r="AB317" s="909"/>
      <c r="AC317" s="904"/>
      <c r="AD317" s="910"/>
      <c r="AE317" s="708"/>
      <c r="AF317" s="708"/>
      <c r="AG317" s="708"/>
      <c r="AH317" s="904"/>
      <c r="AI317" s="708"/>
      <c r="AJ317" s="911"/>
      <c r="AK317" s="904"/>
      <c r="AL317" s="374"/>
      <c r="AM317" s="913"/>
      <c r="AN317" s="913"/>
      <c r="AX317" s="564"/>
      <c r="AY317" s="564"/>
    </row>
    <row r="318" spans="1:51" s="563" customFormat="1" ht="15.6" customHeight="1" x14ac:dyDescent="0.25">
      <c r="A318" s="903"/>
      <c r="B318" s="903"/>
      <c r="C318" s="448"/>
      <c r="D318" s="448"/>
      <c r="E318" s="448"/>
      <c r="F318" s="448"/>
      <c r="G318" s="448"/>
      <c r="H318" s="448"/>
      <c r="I318" s="448"/>
      <c r="J318" s="448"/>
      <c r="K318" s="448"/>
      <c r="L318" s="448"/>
      <c r="M318" s="448"/>
      <c r="N318" s="904"/>
      <c r="O318" s="904"/>
      <c r="P318" s="904"/>
      <c r="Q318" s="708"/>
      <c r="R318" s="709"/>
      <c r="S318" s="905"/>
      <c r="T318" s="708"/>
      <c r="U318" s="906"/>
      <c r="V318" s="708"/>
      <c r="W318" s="708"/>
      <c r="X318" s="907"/>
      <c r="Y318" s="908"/>
      <c r="Z318" s="908"/>
      <c r="AA318" s="448"/>
      <c r="AB318" s="909"/>
      <c r="AC318" s="904"/>
      <c r="AD318" s="910"/>
      <c r="AE318" s="708"/>
      <c r="AF318" s="708"/>
      <c r="AG318" s="708"/>
      <c r="AH318" s="904"/>
      <c r="AI318" s="708"/>
      <c r="AJ318" s="911"/>
      <c r="AK318" s="904"/>
      <c r="AL318" s="374"/>
      <c r="AM318" s="913"/>
      <c r="AN318" s="913"/>
      <c r="AX318" s="564"/>
      <c r="AY318" s="564"/>
    </row>
    <row r="319" spans="1:51" s="563" customFormat="1" ht="15.6" customHeight="1" x14ac:dyDescent="0.25">
      <c r="A319" s="903"/>
      <c r="B319" s="903"/>
      <c r="C319" s="448"/>
      <c r="D319" s="448"/>
      <c r="E319" s="448"/>
      <c r="F319" s="448"/>
      <c r="G319" s="448"/>
      <c r="H319" s="448"/>
      <c r="I319" s="448"/>
      <c r="J319" s="448"/>
      <c r="K319" s="448"/>
      <c r="L319" s="448"/>
      <c r="M319" s="448"/>
      <c r="N319" s="904"/>
      <c r="O319" s="904"/>
      <c r="P319" s="904"/>
      <c r="Q319" s="708"/>
      <c r="R319" s="709"/>
      <c r="S319" s="905"/>
      <c r="T319" s="708"/>
      <c r="U319" s="906"/>
      <c r="V319" s="708"/>
      <c r="W319" s="708"/>
      <c r="X319" s="907"/>
      <c r="Y319" s="908"/>
      <c r="Z319" s="908"/>
      <c r="AA319" s="448"/>
      <c r="AB319" s="909"/>
      <c r="AC319" s="904"/>
      <c r="AD319" s="910"/>
      <c r="AE319" s="708"/>
      <c r="AF319" s="708"/>
      <c r="AG319" s="708"/>
      <c r="AH319" s="904"/>
      <c r="AI319" s="708"/>
      <c r="AJ319" s="911"/>
      <c r="AK319" s="904"/>
      <c r="AL319" s="374"/>
      <c r="AM319" s="913"/>
      <c r="AN319" s="913"/>
      <c r="AX319" s="564"/>
      <c r="AY319" s="564"/>
    </row>
    <row r="320" spans="1:51" s="563" customFormat="1" ht="15.6" customHeight="1" x14ac:dyDescent="0.25">
      <c r="A320" s="903"/>
      <c r="B320" s="903"/>
      <c r="C320" s="448"/>
      <c r="D320" s="448"/>
      <c r="E320" s="448"/>
      <c r="F320" s="448"/>
      <c r="G320" s="448"/>
      <c r="H320" s="448"/>
      <c r="I320" s="448"/>
      <c r="J320" s="448"/>
      <c r="K320" s="448"/>
      <c r="L320" s="448"/>
      <c r="M320" s="448"/>
      <c r="N320" s="904"/>
      <c r="O320" s="904"/>
      <c r="P320" s="904"/>
      <c r="Q320" s="708"/>
      <c r="R320" s="709"/>
      <c r="S320" s="905"/>
      <c r="T320" s="708"/>
      <c r="U320" s="906"/>
      <c r="V320" s="708"/>
      <c r="W320" s="708"/>
      <c r="X320" s="907"/>
      <c r="Y320" s="908"/>
      <c r="Z320" s="908"/>
      <c r="AA320" s="448"/>
      <c r="AB320" s="909"/>
      <c r="AC320" s="904"/>
      <c r="AD320" s="910"/>
      <c r="AE320" s="708"/>
      <c r="AF320" s="708"/>
      <c r="AG320" s="708"/>
      <c r="AH320" s="904"/>
      <c r="AI320" s="708"/>
      <c r="AJ320" s="911"/>
      <c r="AK320" s="904"/>
      <c r="AL320" s="374"/>
      <c r="AM320" s="913"/>
      <c r="AN320" s="913"/>
      <c r="AX320" s="564"/>
      <c r="AY320" s="564"/>
    </row>
    <row r="321" spans="1:51" s="563" customFormat="1" ht="15.6" customHeight="1" x14ac:dyDescent="0.25">
      <c r="A321" s="903"/>
      <c r="B321" s="903"/>
      <c r="C321" s="448"/>
      <c r="D321" s="448"/>
      <c r="E321" s="448"/>
      <c r="F321" s="448"/>
      <c r="G321" s="448"/>
      <c r="H321" s="448"/>
      <c r="I321" s="448"/>
      <c r="J321" s="448"/>
      <c r="K321" s="448"/>
      <c r="L321" s="448"/>
      <c r="M321" s="448"/>
      <c r="N321" s="904"/>
      <c r="O321" s="904"/>
      <c r="P321" s="904"/>
      <c r="Q321" s="708"/>
      <c r="R321" s="709"/>
      <c r="S321" s="905"/>
      <c r="T321" s="708"/>
      <c r="U321" s="906"/>
      <c r="V321" s="708"/>
      <c r="W321" s="708"/>
      <c r="X321" s="907"/>
      <c r="Y321" s="908"/>
      <c r="Z321" s="908"/>
      <c r="AA321" s="448"/>
      <c r="AB321" s="909"/>
      <c r="AC321" s="904"/>
      <c r="AD321" s="910"/>
      <c r="AE321" s="708"/>
      <c r="AF321" s="708"/>
      <c r="AG321" s="708"/>
      <c r="AH321" s="904"/>
      <c r="AI321" s="708"/>
      <c r="AJ321" s="911"/>
      <c r="AK321" s="904"/>
      <c r="AL321" s="374"/>
      <c r="AM321" s="913"/>
      <c r="AN321" s="913"/>
      <c r="AX321" s="564"/>
      <c r="AY321" s="564"/>
    </row>
    <row r="322" spans="1:51" s="563" customFormat="1" ht="15.6" customHeight="1" x14ac:dyDescent="0.25">
      <c r="A322" s="903"/>
      <c r="B322" s="903"/>
      <c r="C322" s="448"/>
      <c r="D322" s="448"/>
      <c r="E322" s="448"/>
      <c r="F322" s="448"/>
      <c r="G322" s="448"/>
      <c r="H322" s="448"/>
      <c r="I322" s="448"/>
      <c r="J322" s="448"/>
      <c r="K322" s="448"/>
      <c r="L322" s="448"/>
      <c r="M322" s="448"/>
      <c r="N322" s="904"/>
      <c r="O322" s="904"/>
      <c r="P322" s="904"/>
      <c r="Q322" s="708"/>
      <c r="R322" s="709"/>
      <c r="S322" s="905"/>
      <c r="T322" s="708"/>
      <c r="U322" s="906"/>
      <c r="V322" s="708"/>
      <c r="W322" s="708"/>
      <c r="X322" s="907"/>
      <c r="Y322" s="908"/>
      <c r="Z322" s="908"/>
      <c r="AA322" s="448"/>
      <c r="AB322" s="909"/>
      <c r="AC322" s="904"/>
      <c r="AD322" s="910"/>
      <c r="AE322" s="708"/>
      <c r="AF322" s="708"/>
      <c r="AG322" s="708"/>
      <c r="AH322" s="904"/>
      <c r="AI322" s="708"/>
      <c r="AJ322" s="911"/>
      <c r="AK322" s="904"/>
      <c r="AL322" s="374"/>
      <c r="AM322" s="913"/>
      <c r="AN322" s="913"/>
      <c r="AX322" s="564"/>
      <c r="AY322" s="564"/>
    </row>
    <row r="323" spans="1:51" s="563" customFormat="1" ht="15.6" customHeight="1" x14ac:dyDescent="0.25">
      <c r="A323" s="903"/>
      <c r="B323" s="903"/>
      <c r="C323" s="448"/>
      <c r="D323" s="448"/>
      <c r="E323" s="448"/>
      <c r="F323" s="448"/>
      <c r="G323" s="448"/>
      <c r="H323" s="448"/>
      <c r="I323" s="448"/>
      <c r="J323" s="448"/>
      <c r="K323" s="448"/>
      <c r="L323" s="448"/>
      <c r="M323" s="448"/>
      <c r="N323" s="904"/>
      <c r="O323" s="904"/>
      <c r="P323" s="904"/>
      <c r="Q323" s="708"/>
      <c r="R323" s="709"/>
      <c r="S323" s="905"/>
      <c r="T323" s="708"/>
      <c r="U323" s="906"/>
      <c r="V323" s="708"/>
      <c r="W323" s="708"/>
      <c r="X323" s="907"/>
      <c r="Y323" s="908"/>
      <c r="Z323" s="908"/>
      <c r="AA323" s="448"/>
      <c r="AB323" s="909"/>
      <c r="AC323" s="904"/>
      <c r="AD323" s="910"/>
      <c r="AE323" s="708"/>
      <c r="AF323" s="708"/>
      <c r="AG323" s="708"/>
      <c r="AH323" s="904"/>
      <c r="AI323" s="708"/>
      <c r="AJ323" s="911"/>
      <c r="AK323" s="904"/>
      <c r="AL323" s="374"/>
      <c r="AM323" s="913"/>
      <c r="AN323" s="913"/>
      <c r="AX323" s="564"/>
      <c r="AY323" s="564"/>
    </row>
    <row r="324" spans="1:51" s="563" customFormat="1" ht="15.6" customHeight="1" x14ac:dyDescent="0.25">
      <c r="A324" s="903"/>
      <c r="B324" s="903"/>
      <c r="C324" s="448"/>
      <c r="D324" s="448"/>
      <c r="E324" s="448"/>
      <c r="F324" s="448"/>
      <c r="G324" s="448"/>
      <c r="H324" s="448"/>
      <c r="I324" s="448"/>
      <c r="J324" s="448"/>
      <c r="K324" s="448"/>
      <c r="L324" s="448"/>
      <c r="M324" s="448"/>
      <c r="N324" s="904"/>
      <c r="O324" s="904"/>
      <c r="P324" s="904"/>
      <c r="Q324" s="708"/>
      <c r="R324" s="709"/>
      <c r="S324" s="905"/>
      <c r="T324" s="708"/>
      <c r="U324" s="906"/>
      <c r="V324" s="708"/>
      <c r="W324" s="708"/>
      <c r="X324" s="907"/>
      <c r="Y324" s="908"/>
      <c r="Z324" s="908"/>
      <c r="AA324" s="448"/>
      <c r="AB324" s="909"/>
      <c r="AC324" s="904"/>
      <c r="AD324" s="910"/>
      <c r="AE324" s="708"/>
      <c r="AF324" s="708"/>
      <c r="AG324" s="708"/>
      <c r="AH324" s="904"/>
      <c r="AI324" s="708"/>
      <c r="AJ324" s="911"/>
      <c r="AK324" s="904"/>
      <c r="AL324" s="374"/>
      <c r="AM324" s="913"/>
      <c r="AN324" s="913"/>
      <c r="AX324" s="564"/>
      <c r="AY324" s="564"/>
    </row>
    <row r="325" spans="1:51" s="563" customFormat="1" ht="15.6" customHeight="1" x14ac:dyDescent="0.25">
      <c r="A325" s="903"/>
      <c r="B325" s="903"/>
      <c r="C325" s="448"/>
      <c r="D325" s="448"/>
      <c r="E325" s="448"/>
      <c r="F325" s="448"/>
      <c r="G325" s="448"/>
      <c r="H325" s="448"/>
      <c r="I325" s="448"/>
      <c r="J325" s="448"/>
      <c r="K325" s="448"/>
      <c r="L325" s="448"/>
      <c r="M325" s="448"/>
      <c r="N325" s="904"/>
      <c r="O325" s="904"/>
      <c r="P325" s="904"/>
      <c r="Q325" s="708"/>
      <c r="R325" s="709"/>
      <c r="S325" s="905"/>
      <c r="T325" s="708"/>
      <c r="U325" s="906"/>
      <c r="V325" s="708"/>
      <c r="W325" s="708"/>
      <c r="X325" s="907"/>
      <c r="Y325" s="908"/>
      <c r="Z325" s="908"/>
      <c r="AA325" s="448"/>
      <c r="AB325" s="909"/>
      <c r="AC325" s="904"/>
      <c r="AD325" s="910"/>
      <c r="AE325" s="708"/>
      <c r="AF325" s="708"/>
      <c r="AG325" s="708"/>
      <c r="AH325" s="904"/>
      <c r="AI325" s="708"/>
      <c r="AJ325" s="911"/>
      <c r="AK325" s="904"/>
      <c r="AL325" s="374"/>
      <c r="AM325" s="913"/>
      <c r="AN325" s="913"/>
      <c r="AX325" s="564"/>
      <c r="AY325" s="564"/>
    </row>
    <row r="326" spans="1:51" s="563" customFormat="1" ht="15.6" customHeight="1" x14ac:dyDescent="0.25">
      <c r="A326" s="903"/>
      <c r="B326" s="903"/>
      <c r="C326" s="448"/>
      <c r="D326" s="448"/>
      <c r="E326" s="448"/>
      <c r="F326" s="448"/>
      <c r="G326" s="448"/>
      <c r="H326" s="448"/>
      <c r="I326" s="448"/>
      <c r="J326" s="448"/>
      <c r="K326" s="448"/>
      <c r="L326" s="448"/>
      <c r="M326" s="448"/>
      <c r="N326" s="904"/>
      <c r="O326" s="904"/>
      <c r="P326" s="904"/>
      <c r="Q326" s="708"/>
      <c r="R326" s="709"/>
      <c r="S326" s="905"/>
      <c r="T326" s="708"/>
      <c r="U326" s="906"/>
      <c r="V326" s="708"/>
      <c r="W326" s="708"/>
      <c r="X326" s="907"/>
      <c r="Y326" s="908"/>
      <c r="Z326" s="908"/>
      <c r="AA326" s="448"/>
      <c r="AB326" s="909"/>
      <c r="AC326" s="904"/>
      <c r="AD326" s="910"/>
      <c r="AE326" s="708"/>
      <c r="AF326" s="708"/>
      <c r="AG326" s="708"/>
      <c r="AH326" s="904"/>
      <c r="AI326" s="708"/>
      <c r="AJ326" s="911"/>
      <c r="AK326" s="904"/>
      <c r="AL326" s="374"/>
      <c r="AM326" s="913"/>
      <c r="AN326" s="913"/>
      <c r="AX326" s="564"/>
      <c r="AY326" s="564"/>
    </row>
    <row r="327" spans="1:51" s="563" customFormat="1" ht="15.6" customHeight="1" x14ac:dyDescent="0.25">
      <c r="A327" s="903"/>
      <c r="B327" s="903"/>
      <c r="C327" s="448"/>
      <c r="D327" s="448"/>
      <c r="E327" s="448"/>
      <c r="F327" s="448"/>
      <c r="G327" s="448"/>
      <c r="H327" s="448"/>
      <c r="I327" s="448"/>
      <c r="J327" s="448"/>
      <c r="K327" s="448"/>
      <c r="L327" s="448"/>
      <c r="M327" s="448"/>
      <c r="N327" s="904"/>
      <c r="O327" s="904"/>
      <c r="P327" s="904"/>
      <c r="Q327" s="708"/>
      <c r="R327" s="709"/>
      <c r="S327" s="905"/>
      <c r="T327" s="708"/>
      <c r="U327" s="906"/>
      <c r="V327" s="708"/>
      <c r="W327" s="708"/>
      <c r="X327" s="907"/>
      <c r="Y327" s="908"/>
      <c r="Z327" s="908"/>
      <c r="AA327" s="448"/>
      <c r="AB327" s="909"/>
      <c r="AC327" s="904"/>
      <c r="AD327" s="910"/>
      <c r="AE327" s="708"/>
      <c r="AF327" s="708"/>
      <c r="AG327" s="708"/>
      <c r="AH327" s="904"/>
      <c r="AI327" s="708"/>
      <c r="AJ327" s="911"/>
      <c r="AK327" s="904"/>
      <c r="AL327" s="374"/>
      <c r="AM327" s="913"/>
      <c r="AN327" s="913"/>
      <c r="AX327" s="564"/>
      <c r="AY327" s="564"/>
    </row>
    <row r="328" spans="1:51" s="563" customFormat="1" ht="15.6" customHeight="1" x14ac:dyDescent="0.25">
      <c r="A328" s="903"/>
      <c r="B328" s="903"/>
      <c r="C328" s="448"/>
      <c r="D328" s="448"/>
      <c r="E328" s="448"/>
      <c r="F328" s="448"/>
      <c r="G328" s="448"/>
      <c r="H328" s="448"/>
      <c r="I328" s="448"/>
      <c r="J328" s="448"/>
      <c r="K328" s="448"/>
      <c r="L328" s="448"/>
      <c r="M328" s="448"/>
      <c r="N328" s="904"/>
      <c r="O328" s="904"/>
      <c r="P328" s="904"/>
      <c r="Q328" s="708"/>
      <c r="R328" s="709"/>
      <c r="S328" s="905"/>
      <c r="T328" s="708"/>
      <c r="U328" s="906"/>
      <c r="V328" s="708"/>
      <c r="W328" s="708"/>
      <c r="X328" s="907"/>
      <c r="Y328" s="908"/>
      <c r="Z328" s="908"/>
      <c r="AA328" s="448"/>
      <c r="AB328" s="909"/>
      <c r="AC328" s="904"/>
      <c r="AD328" s="910"/>
      <c r="AE328" s="708"/>
      <c r="AF328" s="708"/>
      <c r="AG328" s="708"/>
      <c r="AH328" s="904"/>
      <c r="AI328" s="708"/>
      <c r="AJ328" s="911"/>
      <c r="AK328" s="904"/>
      <c r="AL328" s="374"/>
      <c r="AM328" s="913"/>
      <c r="AN328" s="913"/>
      <c r="AX328" s="564"/>
      <c r="AY328" s="564"/>
    </row>
    <row r="329" spans="1:51" s="563" customFormat="1" ht="15.6" customHeight="1" x14ac:dyDescent="0.25">
      <c r="A329" s="903"/>
      <c r="B329" s="903"/>
      <c r="C329" s="448"/>
      <c r="D329" s="448"/>
      <c r="E329" s="448"/>
      <c r="F329" s="448"/>
      <c r="G329" s="448"/>
      <c r="H329" s="448"/>
      <c r="I329" s="448"/>
      <c r="J329" s="448"/>
      <c r="K329" s="448"/>
      <c r="L329" s="448"/>
      <c r="M329" s="448"/>
      <c r="N329" s="904"/>
      <c r="O329" s="904"/>
      <c r="P329" s="904"/>
      <c r="Q329" s="708"/>
      <c r="R329" s="709"/>
      <c r="S329" s="905"/>
      <c r="T329" s="708"/>
      <c r="U329" s="906"/>
      <c r="V329" s="708"/>
      <c r="W329" s="708"/>
      <c r="X329" s="907"/>
      <c r="Y329" s="908"/>
      <c r="Z329" s="908"/>
      <c r="AA329" s="448"/>
      <c r="AB329" s="909"/>
      <c r="AC329" s="904"/>
      <c r="AD329" s="910"/>
      <c r="AE329" s="708"/>
      <c r="AF329" s="708"/>
      <c r="AG329" s="708"/>
      <c r="AH329" s="904"/>
      <c r="AI329" s="708"/>
      <c r="AJ329" s="911"/>
      <c r="AK329" s="904"/>
      <c r="AL329" s="374"/>
      <c r="AM329" s="913"/>
      <c r="AN329" s="913"/>
      <c r="AX329" s="564"/>
      <c r="AY329" s="564"/>
    </row>
    <row r="330" spans="1:51" s="563" customFormat="1" ht="15.6" customHeight="1" x14ac:dyDescent="0.25">
      <c r="A330" s="903"/>
      <c r="B330" s="903"/>
      <c r="C330" s="448"/>
      <c r="D330" s="448"/>
      <c r="E330" s="448"/>
      <c r="F330" s="448"/>
      <c r="G330" s="448"/>
      <c r="H330" s="448"/>
      <c r="I330" s="448"/>
      <c r="J330" s="448"/>
      <c r="K330" s="448"/>
      <c r="L330" s="448"/>
      <c r="M330" s="448"/>
      <c r="N330" s="904"/>
      <c r="O330" s="904"/>
      <c r="P330" s="904"/>
      <c r="Q330" s="708"/>
      <c r="R330" s="709"/>
      <c r="S330" s="905"/>
      <c r="T330" s="708"/>
      <c r="U330" s="906"/>
      <c r="V330" s="708"/>
      <c r="W330" s="708"/>
      <c r="X330" s="907"/>
      <c r="Y330" s="908"/>
      <c r="Z330" s="908"/>
      <c r="AA330" s="448"/>
      <c r="AB330" s="909"/>
      <c r="AC330" s="904"/>
      <c r="AD330" s="910"/>
      <c r="AE330" s="708"/>
      <c r="AF330" s="708"/>
      <c r="AG330" s="708"/>
      <c r="AH330" s="904"/>
      <c r="AI330" s="708"/>
      <c r="AJ330" s="911"/>
      <c r="AK330" s="904"/>
      <c r="AL330" s="374"/>
      <c r="AM330" s="913"/>
      <c r="AN330" s="913"/>
      <c r="AX330" s="564"/>
      <c r="AY330" s="564"/>
    </row>
    <row r="331" spans="1:51" s="563" customFormat="1" ht="15.6" customHeight="1" x14ac:dyDescent="0.25">
      <c r="A331" s="903"/>
      <c r="B331" s="903"/>
      <c r="C331" s="448"/>
      <c r="D331" s="448"/>
      <c r="E331" s="448"/>
      <c r="F331" s="448"/>
      <c r="G331" s="448"/>
      <c r="H331" s="448"/>
      <c r="I331" s="448"/>
      <c r="J331" s="448"/>
      <c r="K331" s="448"/>
      <c r="L331" s="448"/>
      <c r="M331" s="448"/>
      <c r="N331" s="904"/>
      <c r="O331" s="904"/>
      <c r="P331" s="904"/>
      <c r="Q331" s="708"/>
      <c r="R331" s="709"/>
      <c r="S331" s="905"/>
      <c r="T331" s="708"/>
      <c r="U331" s="906"/>
      <c r="V331" s="708"/>
      <c r="W331" s="708"/>
      <c r="X331" s="907"/>
      <c r="Y331" s="908"/>
      <c r="Z331" s="908"/>
      <c r="AA331" s="448"/>
      <c r="AB331" s="909"/>
      <c r="AC331" s="904"/>
      <c r="AD331" s="910"/>
      <c r="AE331" s="708"/>
      <c r="AF331" s="708"/>
      <c r="AG331" s="708"/>
      <c r="AH331" s="904"/>
      <c r="AI331" s="708"/>
      <c r="AJ331" s="911"/>
      <c r="AK331" s="904"/>
      <c r="AL331" s="374"/>
      <c r="AM331" s="913"/>
      <c r="AN331" s="913"/>
      <c r="AX331" s="564"/>
      <c r="AY331" s="564"/>
    </row>
    <row r="332" spans="1:51" s="563" customFormat="1" ht="15.6" customHeight="1" x14ac:dyDescent="0.25">
      <c r="A332" s="903"/>
      <c r="B332" s="903"/>
      <c r="C332" s="448"/>
      <c r="D332" s="448"/>
      <c r="E332" s="448"/>
      <c r="F332" s="448"/>
      <c r="G332" s="448"/>
      <c r="H332" s="448"/>
      <c r="I332" s="448"/>
      <c r="J332" s="448"/>
      <c r="K332" s="448"/>
      <c r="L332" s="448"/>
      <c r="M332" s="448"/>
      <c r="N332" s="904"/>
      <c r="O332" s="904"/>
      <c r="P332" s="904"/>
      <c r="Q332" s="708"/>
      <c r="R332" s="709"/>
      <c r="S332" s="905"/>
      <c r="T332" s="708"/>
      <c r="U332" s="906"/>
      <c r="V332" s="708"/>
      <c r="W332" s="708"/>
      <c r="X332" s="907"/>
      <c r="Y332" s="908"/>
      <c r="Z332" s="908"/>
      <c r="AA332" s="448"/>
      <c r="AB332" s="909"/>
      <c r="AC332" s="904"/>
      <c r="AD332" s="910"/>
      <c r="AE332" s="708"/>
      <c r="AF332" s="708"/>
      <c r="AG332" s="708"/>
      <c r="AH332" s="904"/>
      <c r="AI332" s="708"/>
      <c r="AJ332" s="911"/>
      <c r="AK332" s="904"/>
      <c r="AL332" s="374"/>
      <c r="AM332" s="913"/>
      <c r="AN332" s="913"/>
      <c r="AX332" s="564"/>
      <c r="AY332" s="564"/>
    </row>
    <row r="333" spans="1:51" s="563" customFormat="1" ht="15.6" customHeight="1" x14ac:dyDescent="0.25">
      <c r="A333" s="903"/>
      <c r="B333" s="903"/>
      <c r="C333" s="448"/>
      <c r="D333" s="448"/>
      <c r="E333" s="448"/>
      <c r="F333" s="448"/>
      <c r="G333" s="448"/>
      <c r="H333" s="448"/>
      <c r="I333" s="448"/>
      <c r="J333" s="448"/>
      <c r="K333" s="448"/>
      <c r="L333" s="448"/>
      <c r="M333" s="448"/>
      <c r="N333" s="904"/>
      <c r="O333" s="904"/>
      <c r="P333" s="904"/>
      <c r="Q333" s="708"/>
      <c r="R333" s="709"/>
      <c r="S333" s="905"/>
      <c r="T333" s="708"/>
      <c r="U333" s="906"/>
      <c r="V333" s="708"/>
      <c r="W333" s="708"/>
      <c r="X333" s="907"/>
      <c r="Y333" s="908"/>
      <c r="Z333" s="908"/>
      <c r="AA333" s="448"/>
      <c r="AB333" s="909"/>
      <c r="AC333" s="904"/>
      <c r="AD333" s="910"/>
      <c r="AE333" s="708"/>
      <c r="AF333" s="708"/>
      <c r="AG333" s="708"/>
      <c r="AH333" s="904"/>
      <c r="AI333" s="708"/>
      <c r="AJ333" s="911"/>
      <c r="AK333" s="904"/>
      <c r="AL333" s="374"/>
      <c r="AM333" s="913"/>
      <c r="AN333" s="913"/>
      <c r="AX333" s="564"/>
      <c r="AY333" s="564"/>
    </row>
    <row r="334" spans="1:51" s="563" customFormat="1" ht="15.6" customHeight="1" x14ac:dyDescent="0.25">
      <c r="A334" s="903"/>
      <c r="B334" s="903"/>
      <c r="C334" s="448"/>
      <c r="D334" s="448"/>
      <c r="E334" s="448"/>
      <c r="F334" s="448"/>
      <c r="G334" s="448"/>
      <c r="H334" s="448"/>
      <c r="I334" s="448"/>
      <c r="J334" s="448"/>
      <c r="K334" s="448"/>
      <c r="L334" s="448"/>
      <c r="M334" s="448"/>
      <c r="N334" s="904"/>
      <c r="O334" s="904"/>
      <c r="P334" s="904"/>
      <c r="Q334" s="708"/>
      <c r="R334" s="709"/>
      <c r="S334" s="905"/>
      <c r="T334" s="708"/>
      <c r="U334" s="906"/>
      <c r="V334" s="708"/>
      <c r="W334" s="708"/>
      <c r="X334" s="907"/>
      <c r="Y334" s="908"/>
      <c r="Z334" s="908"/>
      <c r="AA334" s="448"/>
      <c r="AB334" s="909"/>
      <c r="AC334" s="904"/>
      <c r="AD334" s="910"/>
      <c r="AE334" s="708"/>
      <c r="AF334" s="708"/>
      <c r="AG334" s="708"/>
      <c r="AH334" s="904"/>
      <c r="AI334" s="708"/>
      <c r="AJ334" s="911"/>
      <c r="AK334" s="904"/>
      <c r="AL334" s="374"/>
      <c r="AM334" s="913"/>
      <c r="AN334" s="913"/>
      <c r="AX334" s="564"/>
      <c r="AY334" s="564"/>
    </row>
    <row r="335" spans="1:51" s="563" customFormat="1" ht="15.6" customHeight="1" x14ac:dyDescent="0.25">
      <c r="A335" s="903"/>
      <c r="B335" s="903"/>
      <c r="C335" s="448"/>
      <c r="D335" s="448"/>
      <c r="E335" s="448"/>
      <c r="F335" s="448"/>
      <c r="G335" s="448"/>
      <c r="H335" s="448"/>
      <c r="I335" s="448"/>
      <c r="J335" s="448"/>
      <c r="K335" s="448"/>
      <c r="L335" s="448"/>
      <c r="M335" s="448"/>
      <c r="N335" s="904"/>
      <c r="O335" s="904"/>
      <c r="P335" s="904"/>
      <c r="Q335" s="708"/>
      <c r="R335" s="709"/>
      <c r="S335" s="905"/>
      <c r="T335" s="708"/>
      <c r="U335" s="906"/>
      <c r="V335" s="708"/>
      <c r="W335" s="708"/>
      <c r="X335" s="907"/>
      <c r="Y335" s="908"/>
      <c r="Z335" s="908"/>
      <c r="AA335" s="448"/>
      <c r="AB335" s="909"/>
      <c r="AC335" s="904"/>
      <c r="AD335" s="910"/>
      <c r="AE335" s="708"/>
      <c r="AF335" s="708"/>
      <c r="AG335" s="708"/>
      <c r="AH335" s="904"/>
      <c r="AI335" s="708"/>
      <c r="AJ335" s="911"/>
      <c r="AK335" s="904"/>
      <c r="AL335" s="374"/>
      <c r="AM335" s="913"/>
      <c r="AN335" s="913"/>
      <c r="AX335" s="564"/>
      <c r="AY335" s="564"/>
    </row>
    <row r="336" spans="1:51" s="563" customFormat="1" ht="15.6" customHeight="1" x14ac:dyDescent="0.25">
      <c r="A336" s="903"/>
      <c r="B336" s="903"/>
      <c r="C336" s="448"/>
      <c r="D336" s="448"/>
      <c r="E336" s="448"/>
      <c r="F336" s="448"/>
      <c r="G336" s="448"/>
      <c r="H336" s="448"/>
      <c r="I336" s="448"/>
      <c r="J336" s="448"/>
      <c r="K336" s="448"/>
      <c r="L336" s="448"/>
      <c r="M336" s="448"/>
      <c r="N336" s="904"/>
      <c r="O336" s="904"/>
      <c r="P336" s="904"/>
      <c r="Q336" s="708"/>
      <c r="R336" s="709"/>
      <c r="S336" s="905"/>
      <c r="T336" s="708"/>
      <c r="U336" s="906"/>
      <c r="V336" s="708"/>
      <c r="W336" s="708"/>
      <c r="X336" s="907"/>
      <c r="Y336" s="908"/>
      <c r="Z336" s="908"/>
      <c r="AA336" s="448"/>
      <c r="AB336" s="909"/>
      <c r="AC336" s="904"/>
      <c r="AD336" s="910"/>
      <c r="AE336" s="708"/>
      <c r="AF336" s="708"/>
      <c r="AG336" s="708"/>
      <c r="AH336" s="904"/>
      <c r="AI336" s="708"/>
      <c r="AJ336" s="911"/>
      <c r="AK336" s="904"/>
      <c r="AL336" s="374"/>
      <c r="AM336" s="913"/>
      <c r="AN336" s="913"/>
      <c r="AX336" s="564"/>
      <c r="AY336" s="564"/>
    </row>
    <row r="337" spans="1:51" s="563" customFormat="1" ht="15.6" customHeight="1" x14ac:dyDescent="0.25">
      <c r="A337" s="903"/>
      <c r="B337" s="903"/>
      <c r="C337" s="448"/>
      <c r="D337" s="448"/>
      <c r="E337" s="448"/>
      <c r="F337" s="448"/>
      <c r="G337" s="448"/>
      <c r="H337" s="448"/>
      <c r="I337" s="448"/>
      <c r="J337" s="448"/>
      <c r="K337" s="448"/>
      <c r="L337" s="448"/>
      <c r="M337" s="448"/>
      <c r="N337" s="904"/>
      <c r="O337" s="904"/>
      <c r="P337" s="904"/>
      <c r="Q337" s="708"/>
      <c r="R337" s="709"/>
      <c r="S337" s="905"/>
      <c r="T337" s="708"/>
      <c r="U337" s="906"/>
      <c r="V337" s="708"/>
      <c r="W337" s="708"/>
      <c r="X337" s="907"/>
      <c r="Y337" s="908"/>
      <c r="Z337" s="908"/>
      <c r="AA337" s="448"/>
      <c r="AB337" s="909"/>
      <c r="AC337" s="904"/>
      <c r="AD337" s="910"/>
      <c r="AE337" s="708"/>
      <c r="AF337" s="708"/>
      <c r="AG337" s="708"/>
      <c r="AH337" s="904"/>
      <c r="AI337" s="708"/>
      <c r="AJ337" s="911"/>
      <c r="AK337" s="904"/>
      <c r="AL337" s="374"/>
      <c r="AM337" s="913"/>
      <c r="AN337" s="913"/>
      <c r="AX337" s="564"/>
      <c r="AY337" s="564"/>
    </row>
    <row r="338" spans="1:51" s="563" customFormat="1" ht="15.6" customHeight="1" x14ac:dyDescent="0.25">
      <c r="A338" s="903"/>
      <c r="B338" s="903"/>
      <c r="C338" s="448"/>
      <c r="D338" s="448"/>
      <c r="E338" s="448"/>
      <c r="F338" s="448"/>
      <c r="G338" s="448"/>
      <c r="H338" s="448"/>
      <c r="I338" s="448"/>
      <c r="J338" s="448"/>
      <c r="K338" s="448"/>
      <c r="L338" s="448"/>
      <c r="M338" s="448"/>
      <c r="N338" s="904"/>
      <c r="O338" s="904"/>
      <c r="P338" s="904"/>
      <c r="Q338" s="708"/>
      <c r="R338" s="709"/>
      <c r="S338" s="905"/>
      <c r="T338" s="708"/>
      <c r="U338" s="906"/>
      <c r="V338" s="708"/>
      <c r="W338" s="708"/>
      <c r="X338" s="907"/>
      <c r="Y338" s="908"/>
      <c r="Z338" s="908"/>
      <c r="AA338" s="448"/>
      <c r="AB338" s="909"/>
      <c r="AC338" s="904"/>
      <c r="AD338" s="910"/>
      <c r="AE338" s="708"/>
      <c r="AF338" s="708"/>
      <c r="AG338" s="708"/>
      <c r="AH338" s="904"/>
      <c r="AI338" s="708"/>
      <c r="AJ338" s="911"/>
      <c r="AK338" s="904"/>
      <c r="AL338" s="374"/>
      <c r="AM338" s="913"/>
      <c r="AN338" s="913"/>
      <c r="AX338" s="564"/>
      <c r="AY338" s="564"/>
    </row>
    <row r="339" spans="1:51" s="563" customFormat="1" ht="15.6" customHeight="1" x14ac:dyDescent="0.25">
      <c r="A339" s="903"/>
      <c r="B339" s="903"/>
      <c r="C339" s="448"/>
      <c r="D339" s="448"/>
      <c r="E339" s="448"/>
      <c r="F339" s="448"/>
      <c r="G339" s="448"/>
      <c r="H339" s="448"/>
      <c r="I339" s="448"/>
      <c r="J339" s="448"/>
      <c r="K339" s="448"/>
      <c r="L339" s="448"/>
      <c r="M339" s="448"/>
      <c r="N339" s="904"/>
      <c r="O339" s="904"/>
      <c r="P339" s="904"/>
      <c r="Q339" s="708"/>
      <c r="R339" s="709"/>
      <c r="S339" s="905"/>
      <c r="T339" s="708"/>
      <c r="U339" s="906"/>
      <c r="V339" s="708"/>
      <c r="W339" s="708"/>
      <c r="X339" s="907"/>
      <c r="Y339" s="908"/>
      <c r="Z339" s="908"/>
      <c r="AA339" s="448"/>
      <c r="AB339" s="909"/>
      <c r="AC339" s="904"/>
      <c r="AD339" s="910"/>
      <c r="AE339" s="708"/>
      <c r="AF339" s="708"/>
      <c r="AG339" s="708"/>
      <c r="AH339" s="904"/>
      <c r="AI339" s="708"/>
      <c r="AJ339" s="911"/>
      <c r="AK339" s="904"/>
      <c r="AL339" s="374"/>
      <c r="AM339" s="913"/>
      <c r="AN339" s="913"/>
      <c r="AX339" s="564"/>
      <c r="AY339" s="564"/>
    </row>
    <row r="340" spans="1:51" s="563" customFormat="1" ht="15.6" customHeight="1" x14ac:dyDescent="0.25">
      <c r="A340" s="903"/>
      <c r="B340" s="903"/>
      <c r="C340" s="448"/>
      <c r="D340" s="448"/>
      <c r="E340" s="448"/>
      <c r="F340" s="448"/>
      <c r="G340" s="448"/>
      <c r="H340" s="448"/>
      <c r="I340" s="448"/>
      <c r="J340" s="448"/>
      <c r="K340" s="448"/>
      <c r="L340" s="448"/>
      <c r="M340" s="448"/>
      <c r="N340" s="904"/>
      <c r="O340" s="904"/>
      <c r="P340" s="904"/>
      <c r="Q340" s="708"/>
      <c r="R340" s="709"/>
      <c r="S340" s="905"/>
      <c r="T340" s="708"/>
      <c r="U340" s="906"/>
      <c r="V340" s="708"/>
      <c r="W340" s="708"/>
      <c r="X340" s="907"/>
      <c r="Y340" s="908"/>
      <c r="Z340" s="908"/>
      <c r="AA340" s="448"/>
      <c r="AB340" s="909"/>
      <c r="AC340" s="904"/>
      <c r="AD340" s="910"/>
      <c r="AE340" s="708"/>
      <c r="AF340" s="708"/>
      <c r="AG340" s="708"/>
      <c r="AH340" s="904"/>
      <c r="AI340" s="708"/>
      <c r="AJ340" s="911"/>
      <c r="AK340" s="904"/>
      <c r="AL340" s="374"/>
      <c r="AM340" s="913"/>
      <c r="AN340" s="913"/>
      <c r="AX340" s="564"/>
      <c r="AY340" s="564"/>
    </row>
    <row r="341" spans="1:51" s="563" customFormat="1" ht="15.6" customHeight="1" x14ac:dyDescent="0.25">
      <c r="A341" s="903"/>
      <c r="B341" s="903"/>
      <c r="C341" s="448"/>
      <c r="D341" s="448"/>
      <c r="E341" s="448"/>
      <c r="F341" s="448"/>
      <c r="G341" s="448"/>
      <c r="H341" s="448"/>
      <c r="I341" s="448"/>
      <c r="J341" s="448"/>
      <c r="K341" s="448"/>
      <c r="L341" s="448"/>
      <c r="M341" s="448"/>
      <c r="N341" s="904"/>
      <c r="O341" s="904"/>
      <c r="P341" s="904"/>
      <c r="Q341" s="708"/>
      <c r="R341" s="709"/>
      <c r="S341" s="905"/>
      <c r="T341" s="708"/>
      <c r="U341" s="906"/>
      <c r="V341" s="708"/>
      <c r="W341" s="708"/>
      <c r="X341" s="907"/>
      <c r="Y341" s="908"/>
      <c r="Z341" s="908"/>
      <c r="AA341" s="448"/>
      <c r="AB341" s="909"/>
      <c r="AC341" s="904"/>
      <c r="AD341" s="910"/>
      <c r="AE341" s="708"/>
      <c r="AF341" s="708"/>
      <c r="AG341" s="708"/>
      <c r="AH341" s="904"/>
      <c r="AI341" s="708"/>
      <c r="AJ341" s="911"/>
      <c r="AK341" s="904"/>
      <c r="AL341" s="374"/>
      <c r="AM341" s="913"/>
      <c r="AN341" s="913"/>
      <c r="AX341" s="564"/>
      <c r="AY341" s="564"/>
    </row>
    <row r="342" spans="1:51" s="563" customFormat="1" ht="15.6" customHeight="1" x14ac:dyDescent="0.25">
      <c r="A342" s="903"/>
      <c r="B342" s="903"/>
      <c r="C342" s="448"/>
      <c r="D342" s="448"/>
      <c r="E342" s="448"/>
      <c r="F342" s="448"/>
      <c r="G342" s="448"/>
      <c r="H342" s="448"/>
      <c r="I342" s="448"/>
      <c r="J342" s="448"/>
      <c r="K342" s="448"/>
      <c r="L342" s="448"/>
      <c r="M342" s="448"/>
      <c r="N342" s="904"/>
      <c r="O342" s="904"/>
      <c r="P342" s="904"/>
      <c r="Q342" s="708"/>
      <c r="R342" s="709"/>
      <c r="S342" s="905"/>
      <c r="T342" s="708"/>
      <c r="U342" s="906"/>
      <c r="V342" s="708"/>
      <c r="W342" s="708"/>
      <c r="X342" s="907"/>
      <c r="Y342" s="908"/>
      <c r="Z342" s="908"/>
      <c r="AA342" s="448"/>
      <c r="AB342" s="909"/>
      <c r="AC342" s="904"/>
      <c r="AD342" s="910"/>
      <c r="AE342" s="708"/>
      <c r="AF342" s="708"/>
      <c r="AG342" s="708"/>
      <c r="AH342" s="904"/>
      <c r="AI342" s="708"/>
      <c r="AJ342" s="911"/>
      <c r="AK342" s="904"/>
      <c r="AL342" s="374"/>
      <c r="AM342" s="913"/>
      <c r="AN342" s="913"/>
      <c r="AX342" s="564"/>
      <c r="AY342" s="564"/>
    </row>
    <row r="343" spans="1:51" s="563" customFormat="1" ht="15.6" customHeight="1" x14ac:dyDescent="0.25">
      <c r="A343" s="903"/>
      <c r="B343" s="903"/>
      <c r="C343" s="448"/>
      <c r="D343" s="448"/>
      <c r="E343" s="448"/>
      <c r="F343" s="448"/>
      <c r="G343" s="448"/>
      <c r="H343" s="448"/>
      <c r="I343" s="448"/>
      <c r="J343" s="448"/>
      <c r="K343" s="448"/>
      <c r="L343" s="448"/>
      <c r="M343" s="448"/>
      <c r="N343" s="904"/>
      <c r="O343" s="904"/>
      <c r="P343" s="904"/>
      <c r="Q343" s="708"/>
      <c r="R343" s="709"/>
      <c r="S343" s="905"/>
      <c r="T343" s="708"/>
      <c r="U343" s="906"/>
      <c r="V343" s="708"/>
      <c r="W343" s="708"/>
      <c r="X343" s="907"/>
      <c r="Y343" s="908"/>
      <c r="Z343" s="908"/>
      <c r="AA343" s="448"/>
      <c r="AB343" s="909"/>
      <c r="AC343" s="904"/>
      <c r="AD343" s="910"/>
      <c r="AE343" s="708"/>
      <c r="AF343" s="708"/>
      <c r="AG343" s="708"/>
      <c r="AH343" s="904"/>
      <c r="AI343" s="708"/>
      <c r="AJ343" s="911"/>
      <c r="AK343" s="904"/>
      <c r="AL343" s="374"/>
      <c r="AM343" s="913"/>
      <c r="AN343" s="913"/>
      <c r="AX343" s="564"/>
      <c r="AY343" s="564"/>
    </row>
    <row r="344" spans="1:51" s="563" customFormat="1" ht="15.6" customHeight="1" x14ac:dyDescent="0.25">
      <c r="A344" s="903"/>
      <c r="B344" s="903"/>
      <c r="C344" s="448"/>
      <c r="D344" s="448"/>
      <c r="E344" s="448"/>
      <c r="F344" s="448"/>
      <c r="G344" s="448"/>
      <c r="H344" s="448"/>
      <c r="I344" s="448"/>
      <c r="J344" s="448"/>
      <c r="K344" s="448"/>
      <c r="L344" s="448"/>
      <c r="M344" s="448"/>
      <c r="N344" s="904"/>
      <c r="O344" s="904"/>
      <c r="P344" s="904"/>
      <c r="Q344" s="708"/>
      <c r="R344" s="709"/>
      <c r="S344" s="905"/>
      <c r="T344" s="708"/>
      <c r="U344" s="906"/>
      <c r="V344" s="708"/>
      <c r="W344" s="708"/>
      <c r="X344" s="907"/>
      <c r="Y344" s="908"/>
      <c r="Z344" s="908"/>
      <c r="AA344" s="448"/>
      <c r="AB344" s="909"/>
      <c r="AC344" s="904"/>
      <c r="AD344" s="910"/>
      <c r="AE344" s="708"/>
      <c r="AF344" s="708"/>
      <c r="AG344" s="708"/>
      <c r="AH344" s="904"/>
      <c r="AI344" s="708"/>
      <c r="AJ344" s="911"/>
      <c r="AK344" s="904"/>
      <c r="AL344" s="374"/>
      <c r="AM344" s="913"/>
      <c r="AN344" s="913"/>
      <c r="AX344" s="564"/>
      <c r="AY344" s="564"/>
    </row>
    <row r="345" spans="1:51" s="563" customFormat="1" ht="15.6" customHeight="1" x14ac:dyDescent="0.25">
      <c r="A345" s="903"/>
      <c r="B345" s="903"/>
      <c r="C345" s="448"/>
      <c r="D345" s="448"/>
      <c r="E345" s="448"/>
      <c r="F345" s="448"/>
      <c r="G345" s="448"/>
      <c r="H345" s="448"/>
      <c r="I345" s="448"/>
      <c r="J345" s="448"/>
      <c r="K345" s="448"/>
      <c r="L345" s="448"/>
      <c r="M345" s="448"/>
      <c r="N345" s="904"/>
      <c r="O345" s="904"/>
      <c r="P345" s="904"/>
      <c r="Q345" s="708"/>
      <c r="R345" s="709"/>
      <c r="S345" s="905"/>
      <c r="T345" s="708"/>
      <c r="U345" s="906"/>
      <c r="V345" s="708"/>
      <c r="W345" s="708"/>
      <c r="X345" s="907"/>
      <c r="Y345" s="908"/>
      <c r="Z345" s="908"/>
      <c r="AA345" s="448"/>
      <c r="AB345" s="909"/>
      <c r="AC345" s="904"/>
      <c r="AD345" s="910"/>
      <c r="AE345" s="708"/>
      <c r="AF345" s="708"/>
      <c r="AG345" s="708"/>
      <c r="AH345" s="904"/>
      <c r="AI345" s="708"/>
      <c r="AJ345" s="911"/>
      <c r="AK345" s="904"/>
      <c r="AL345" s="374"/>
      <c r="AM345" s="913"/>
      <c r="AN345" s="913"/>
      <c r="AX345" s="564"/>
      <c r="AY345" s="564"/>
    </row>
    <row r="346" spans="1:51" s="563" customFormat="1" ht="15.6" customHeight="1" x14ac:dyDescent="0.25">
      <c r="A346" s="903"/>
      <c r="B346" s="903"/>
      <c r="C346" s="448"/>
      <c r="D346" s="448"/>
      <c r="E346" s="448"/>
      <c r="F346" s="448"/>
      <c r="G346" s="448"/>
      <c r="H346" s="448"/>
      <c r="I346" s="448"/>
      <c r="J346" s="448"/>
      <c r="K346" s="448"/>
      <c r="L346" s="448"/>
      <c r="M346" s="448"/>
      <c r="N346" s="904"/>
      <c r="O346" s="904"/>
      <c r="P346" s="904"/>
      <c r="Q346" s="708"/>
      <c r="R346" s="709"/>
      <c r="S346" s="905"/>
      <c r="T346" s="708"/>
      <c r="U346" s="906"/>
      <c r="V346" s="708"/>
      <c r="W346" s="708"/>
      <c r="X346" s="907"/>
      <c r="Y346" s="908"/>
      <c r="Z346" s="908"/>
      <c r="AA346" s="448"/>
      <c r="AB346" s="909"/>
      <c r="AC346" s="904"/>
      <c r="AD346" s="910"/>
      <c r="AE346" s="708"/>
      <c r="AF346" s="708"/>
      <c r="AG346" s="708"/>
      <c r="AH346" s="904"/>
      <c r="AI346" s="708"/>
      <c r="AJ346" s="911"/>
      <c r="AK346" s="904"/>
      <c r="AL346" s="374"/>
      <c r="AM346" s="913"/>
      <c r="AN346" s="913"/>
      <c r="AX346" s="564"/>
      <c r="AY346" s="564"/>
    </row>
    <row r="347" spans="1:51" s="563" customFormat="1" ht="15.6" customHeight="1" x14ac:dyDescent="0.25">
      <c r="A347" s="903"/>
      <c r="B347" s="903"/>
      <c r="C347" s="448"/>
      <c r="D347" s="448"/>
      <c r="E347" s="448"/>
      <c r="F347" s="448"/>
      <c r="G347" s="448"/>
      <c r="H347" s="448"/>
      <c r="I347" s="448"/>
      <c r="J347" s="448"/>
      <c r="K347" s="448"/>
      <c r="L347" s="448"/>
      <c r="M347" s="448"/>
      <c r="N347" s="904"/>
      <c r="O347" s="904"/>
      <c r="P347" s="904"/>
      <c r="Q347" s="708"/>
      <c r="R347" s="709"/>
      <c r="S347" s="905"/>
      <c r="T347" s="708"/>
      <c r="U347" s="906"/>
      <c r="V347" s="708"/>
      <c r="W347" s="708"/>
      <c r="X347" s="907"/>
      <c r="Y347" s="908"/>
      <c r="Z347" s="908"/>
      <c r="AA347" s="448"/>
      <c r="AB347" s="909"/>
      <c r="AC347" s="904"/>
      <c r="AD347" s="910"/>
      <c r="AE347" s="708"/>
      <c r="AF347" s="708"/>
      <c r="AG347" s="708"/>
      <c r="AH347" s="904"/>
      <c r="AI347" s="708"/>
      <c r="AJ347" s="911"/>
      <c r="AK347" s="904"/>
      <c r="AL347" s="374"/>
      <c r="AM347" s="913"/>
      <c r="AN347" s="913"/>
      <c r="AX347" s="564"/>
      <c r="AY347" s="564"/>
    </row>
    <row r="348" spans="1:51" s="563" customFormat="1" ht="15.6" customHeight="1" x14ac:dyDescent="0.25">
      <c r="A348" s="903"/>
      <c r="B348" s="903"/>
      <c r="C348" s="448"/>
      <c r="D348" s="448"/>
      <c r="E348" s="448"/>
      <c r="F348" s="448"/>
      <c r="G348" s="448"/>
      <c r="H348" s="448"/>
      <c r="I348" s="448"/>
      <c r="J348" s="448"/>
      <c r="K348" s="448"/>
      <c r="L348" s="448"/>
      <c r="M348" s="448"/>
      <c r="N348" s="904"/>
      <c r="O348" s="904"/>
      <c r="P348" s="904"/>
      <c r="Q348" s="708"/>
      <c r="R348" s="709"/>
      <c r="S348" s="905"/>
      <c r="T348" s="708"/>
      <c r="U348" s="906"/>
      <c r="V348" s="708"/>
      <c r="W348" s="708"/>
      <c r="X348" s="907"/>
      <c r="Y348" s="908"/>
      <c r="Z348" s="908"/>
      <c r="AA348" s="448"/>
      <c r="AB348" s="909"/>
      <c r="AC348" s="904"/>
      <c r="AD348" s="910"/>
      <c r="AE348" s="708"/>
      <c r="AF348" s="708"/>
      <c r="AG348" s="708"/>
      <c r="AH348" s="904"/>
      <c r="AI348" s="708"/>
      <c r="AJ348" s="911"/>
      <c r="AK348" s="904"/>
      <c r="AL348" s="374"/>
      <c r="AM348" s="913"/>
      <c r="AN348" s="913"/>
      <c r="AX348" s="564"/>
      <c r="AY348" s="564"/>
    </row>
    <row r="349" spans="1:51" s="563" customFormat="1" ht="15.6" customHeight="1" x14ac:dyDescent="0.25">
      <c r="A349" s="903"/>
      <c r="B349" s="903"/>
      <c r="C349" s="448"/>
      <c r="D349" s="448"/>
      <c r="E349" s="448"/>
      <c r="F349" s="448"/>
      <c r="G349" s="448"/>
      <c r="H349" s="448"/>
      <c r="I349" s="448"/>
      <c r="J349" s="448"/>
      <c r="K349" s="448"/>
      <c r="L349" s="448"/>
      <c r="M349" s="448"/>
      <c r="N349" s="904"/>
      <c r="O349" s="904"/>
      <c r="P349" s="904"/>
      <c r="Q349" s="708"/>
      <c r="R349" s="709"/>
      <c r="S349" s="905"/>
      <c r="T349" s="708"/>
      <c r="U349" s="906"/>
      <c r="V349" s="708"/>
      <c r="W349" s="708"/>
      <c r="X349" s="907"/>
      <c r="Y349" s="908"/>
      <c r="Z349" s="908"/>
      <c r="AA349" s="448"/>
      <c r="AB349" s="909"/>
      <c r="AC349" s="904"/>
      <c r="AD349" s="910"/>
      <c r="AE349" s="708"/>
      <c r="AF349" s="708"/>
      <c r="AG349" s="708"/>
      <c r="AH349" s="904"/>
      <c r="AI349" s="708"/>
      <c r="AJ349" s="911"/>
      <c r="AK349" s="904"/>
      <c r="AL349" s="374"/>
      <c r="AM349" s="913"/>
      <c r="AN349" s="913"/>
      <c r="AX349" s="564"/>
      <c r="AY349" s="564"/>
    </row>
    <row r="350" spans="1:51" s="563" customFormat="1" ht="15.6" customHeight="1" x14ac:dyDescent="0.25">
      <c r="A350" s="903"/>
      <c r="B350" s="903"/>
      <c r="C350" s="448"/>
      <c r="D350" s="448"/>
      <c r="E350" s="448"/>
      <c r="F350" s="448"/>
      <c r="G350" s="448"/>
      <c r="H350" s="448"/>
      <c r="I350" s="448"/>
      <c r="J350" s="448"/>
      <c r="K350" s="448"/>
      <c r="L350" s="448"/>
      <c r="M350" s="448"/>
      <c r="N350" s="904"/>
      <c r="O350" s="904"/>
      <c r="P350" s="904"/>
      <c r="Q350" s="708"/>
      <c r="R350" s="709"/>
      <c r="S350" s="905"/>
      <c r="T350" s="708"/>
      <c r="U350" s="906"/>
      <c r="V350" s="708"/>
      <c r="W350" s="708"/>
      <c r="X350" s="907"/>
      <c r="Y350" s="908"/>
      <c r="Z350" s="908"/>
      <c r="AA350" s="448"/>
      <c r="AB350" s="909"/>
      <c r="AC350" s="904"/>
      <c r="AD350" s="910"/>
      <c r="AE350" s="708"/>
      <c r="AF350" s="708"/>
      <c r="AG350" s="708"/>
      <c r="AH350" s="904"/>
      <c r="AI350" s="708"/>
      <c r="AJ350" s="911"/>
      <c r="AK350" s="904"/>
      <c r="AL350" s="374"/>
      <c r="AM350" s="913"/>
      <c r="AN350" s="913"/>
      <c r="AX350" s="564"/>
      <c r="AY350" s="564"/>
    </row>
    <row r="351" spans="1:51" s="563" customFormat="1" ht="15.6" customHeight="1" x14ac:dyDescent="0.25">
      <c r="A351" s="903"/>
      <c r="B351" s="903"/>
      <c r="C351" s="448"/>
      <c r="D351" s="448"/>
      <c r="E351" s="448"/>
      <c r="F351" s="448"/>
      <c r="G351" s="448"/>
      <c r="H351" s="448"/>
      <c r="I351" s="448"/>
      <c r="J351" s="448"/>
      <c r="K351" s="448"/>
      <c r="L351" s="448"/>
      <c r="M351" s="448"/>
      <c r="N351" s="904"/>
      <c r="O351" s="904"/>
      <c r="P351" s="904"/>
      <c r="Q351" s="708"/>
      <c r="R351" s="709"/>
      <c r="S351" s="905"/>
      <c r="T351" s="708"/>
      <c r="U351" s="906"/>
      <c r="V351" s="708"/>
      <c r="W351" s="708"/>
      <c r="X351" s="907"/>
      <c r="Y351" s="908"/>
      <c r="Z351" s="908"/>
      <c r="AA351" s="448"/>
      <c r="AB351" s="909"/>
      <c r="AC351" s="904"/>
      <c r="AD351" s="910"/>
      <c r="AE351" s="708"/>
      <c r="AF351" s="708"/>
      <c r="AG351" s="708"/>
      <c r="AH351" s="904"/>
      <c r="AI351" s="708"/>
      <c r="AJ351" s="911"/>
      <c r="AK351" s="904"/>
      <c r="AL351" s="374"/>
      <c r="AM351" s="913"/>
      <c r="AN351" s="913"/>
      <c r="AX351" s="564"/>
      <c r="AY351" s="564"/>
    </row>
    <row r="352" spans="1:51" s="563" customFormat="1" ht="15.6" customHeight="1" x14ac:dyDescent="0.25">
      <c r="A352" s="903"/>
      <c r="B352" s="903"/>
      <c r="C352" s="448"/>
      <c r="D352" s="448"/>
      <c r="E352" s="448"/>
      <c r="F352" s="448"/>
      <c r="G352" s="448"/>
      <c r="H352" s="448"/>
      <c r="I352" s="448"/>
      <c r="J352" s="448"/>
      <c r="K352" s="448"/>
      <c r="L352" s="448"/>
      <c r="M352" s="448"/>
      <c r="N352" s="904"/>
      <c r="O352" s="904"/>
      <c r="P352" s="904"/>
      <c r="Q352" s="708"/>
      <c r="R352" s="709"/>
      <c r="S352" s="905"/>
      <c r="T352" s="708"/>
      <c r="U352" s="906"/>
      <c r="V352" s="708"/>
      <c r="W352" s="708"/>
      <c r="X352" s="907"/>
      <c r="Y352" s="908"/>
      <c r="Z352" s="908"/>
      <c r="AA352" s="448"/>
      <c r="AB352" s="909"/>
      <c r="AC352" s="904"/>
      <c r="AD352" s="910"/>
      <c r="AE352" s="708"/>
      <c r="AF352" s="708"/>
      <c r="AG352" s="708"/>
      <c r="AH352" s="904"/>
      <c r="AI352" s="708"/>
      <c r="AJ352" s="911"/>
      <c r="AK352" s="904"/>
      <c r="AL352" s="374"/>
      <c r="AM352" s="913"/>
      <c r="AN352" s="913"/>
      <c r="AX352" s="564"/>
      <c r="AY352" s="564"/>
    </row>
    <row r="353" spans="1:51" s="563" customFormat="1" ht="15.6" customHeight="1" x14ac:dyDescent="0.25">
      <c r="A353" s="903"/>
      <c r="B353" s="903"/>
      <c r="C353" s="448"/>
      <c r="D353" s="448"/>
      <c r="E353" s="448"/>
      <c r="F353" s="448"/>
      <c r="G353" s="448"/>
      <c r="H353" s="448"/>
      <c r="I353" s="448"/>
      <c r="J353" s="448"/>
      <c r="K353" s="448"/>
      <c r="L353" s="448"/>
      <c r="M353" s="448"/>
      <c r="N353" s="904"/>
      <c r="O353" s="904"/>
      <c r="P353" s="904"/>
      <c r="Q353" s="708"/>
      <c r="R353" s="709"/>
      <c r="S353" s="905"/>
      <c r="T353" s="708"/>
      <c r="U353" s="906"/>
      <c r="V353" s="708"/>
      <c r="W353" s="708"/>
      <c r="X353" s="907"/>
      <c r="Y353" s="908"/>
      <c r="Z353" s="908"/>
      <c r="AA353" s="448"/>
      <c r="AB353" s="909"/>
      <c r="AC353" s="904"/>
      <c r="AD353" s="910"/>
      <c r="AE353" s="708"/>
      <c r="AF353" s="708"/>
      <c r="AG353" s="708"/>
      <c r="AH353" s="904"/>
      <c r="AI353" s="708"/>
      <c r="AJ353" s="911"/>
      <c r="AK353" s="904"/>
      <c r="AL353" s="374"/>
      <c r="AM353" s="913"/>
      <c r="AN353" s="913"/>
      <c r="AX353" s="564"/>
      <c r="AY353" s="564"/>
    </row>
    <row r="354" spans="1:51" s="563" customFormat="1" ht="15.6" customHeight="1" x14ac:dyDescent="0.25">
      <c r="A354" s="903"/>
      <c r="B354" s="903"/>
      <c r="C354" s="448"/>
      <c r="D354" s="448"/>
      <c r="E354" s="448"/>
      <c r="F354" s="448"/>
      <c r="G354" s="448"/>
      <c r="H354" s="448"/>
      <c r="I354" s="448"/>
      <c r="J354" s="448"/>
      <c r="K354" s="448"/>
      <c r="L354" s="448"/>
      <c r="M354" s="448"/>
      <c r="N354" s="904"/>
      <c r="O354" s="904"/>
      <c r="P354" s="904"/>
      <c r="Q354" s="708"/>
      <c r="R354" s="709"/>
      <c r="S354" s="905"/>
      <c r="T354" s="708"/>
      <c r="U354" s="906"/>
      <c r="V354" s="708"/>
      <c r="W354" s="708"/>
      <c r="X354" s="907"/>
      <c r="Y354" s="908"/>
      <c r="Z354" s="908"/>
      <c r="AA354" s="448"/>
      <c r="AB354" s="909"/>
      <c r="AC354" s="904"/>
      <c r="AD354" s="910"/>
      <c r="AE354" s="708"/>
      <c r="AF354" s="708"/>
      <c r="AG354" s="708"/>
      <c r="AH354" s="904"/>
      <c r="AI354" s="708"/>
      <c r="AJ354" s="911"/>
      <c r="AK354" s="904"/>
      <c r="AL354" s="374"/>
      <c r="AM354" s="913"/>
      <c r="AN354" s="913"/>
      <c r="AX354" s="564"/>
      <c r="AY354" s="564"/>
    </row>
    <row r="355" spans="1:51" s="563" customFormat="1" ht="15.6" customHeight="1" x14ac:dyDescent="0.25">
      <c r="A355" s="903"/>
      <c r="B355" s="903"/>
      <c r="C355" s="448"/>
      <c r="D355" s="448"/>
      <c r="E355" s="448"/>
      <c r="F355" s="448"/>
      <c r="G355" s="448"/>
      <c r="H355" s="448"/>
      <c r="I355" s="448"/>
      <c r="J355" s="448"/>
      <c r="K355" s="448"/>
      <c r="L355" s="448"/>
      <c r="M355" s="448"/>
      <c r="N355" s="904"/>
      <c r="O355" s="904"/>
      <c r="P355" s="904"/>
      <c r="Q355" s="708"/>
      <c r="R355" s="709"/>
      <c r="S355" s="905"/>
      <c r="T355" s="708"/>
      <c r="U355" s="906"/>
      <c r="V355" s="708"/>
      <c r="W355" s="708"/>
      <c r="X355" s="907"/>
      <c r="Y355" s="908"/>
      <c r="Z355" s="908"/>
      <c r="AA355" s="448"/>
      <c r="AB355" s="909"/>
      <c r="AC355" s="904"/>
      <c r="AD355" s="910"/>
      <c r="AE355" s="708"/>
      <c r="AF355" s="708"/>
      <c r="AG355" s="708"/>
      <c r="AH355" s="904"/>
      <c r="AI355" s="708"/>
      <c r="AJ355" s="911"/>
      <c r="AK355" s="904"/>
      <c r="AL355" s="374"/>
      <c r="AM355" s="913"/>
      <c r="AN355" s="913"/>
      <c r="AX355" s="564"/>
      <c r="AY355" s="564"/>
    </row>
    <row r="356" spans="1:51" s="563" customFormat="1" ht="15.6" customHeight="1" x14ac:dyDescent="0.25">
      <c r="A356" s="903"/>
      <c r="B356" s="903"/>
      <c r="C356" s="448"/>
      <c r="D356" s="448"/>
      <c r="E356" s="448"/>
      <c r="F356" s="448"/>
      <c r="G356" s="448"/>
      <c r="H356" s="448"/>
      <c r="I356" s="448"/>
      <c r="J356" s="448"/>
      <c r="K356" s="448"/>
      <c r="L356" s="448"/>
      <c r="M356" s="448"/>
      <c r="N356" s="904"/>
      <c r="O356" s="904"/>
      <c r="P356" s="904"/>
      <c r="Q356" s="708"/>
      <c r="R356" s="709"/>
      <c r="S356" s="905"/>
      <c r="T356" s="708"/>
      <c r="U356" s="906"/>
      <c r="V356" s="708"/>
      <c r="W356" s="708"/>
      <c r="X356" s="907"/>
      <c r="Y356" s="908"/>
      <c r="Z356" s="908"/>
      <c r="AA356" s="448"/>
      <c r="AB356" s="909"/>
      <c r="AC356" s="904"/>
      <c r="AD356" s="910"/>
      <c r="AE356" s="708"/>
      <c r="AF356" s="708"/>
      <c r="AG356" s="708"/>
      <c r="AH356" s="904"/>
      <c r="AI356" s="708"/>
      <c r="AJ356" s="911"/>
      <c r="AK356" s="904"/>
      <c r="AL356" s="374"/>
      <c r="AM356" s="913"/>
      <c r="AN356" s="913"/>
      <c r="AX356" s="564"/>
      <c r="AY356" s="564"/>
    </row>
    <row r="357" spans="1:51" s="563" customFormat="1" ht="15.6" customHeight="1" x14ac:dyDescent="0.25">
      <c r="A357" s="903"/>
      <c r="B357" s="903"/>
      <c r="C357" s="448"/>
      <c r="D357" s="448"/>
      <c r="E357" s="448"/>
      <c r="F357" s="448"/>
      <c r="G357" s="448"/>
      <c r="H357" s="448"/>
      <c r="I357" s="448"/>
      <c r="J357" s="448"/>
      <c r="K357" s="448"/>
      <c r="L357" s="448"/>
      <c r="M357" s="448"/>
      <c r="N357" s="904"/>
      <c r="O357" s="904"/>
      <c r="P357" s="904"/>
      <c r="Q357" s="708"/>
      <c r="R357" s="709"/>
      <c r="S357" s="905"/>
      <c r="T357" s="708"/>
      <c r="U357" s="906"/>
      <c r="V357" s="708"/>
      <c r="W357" s="708"/>
      <c r="X357" s="907"/>
      <c r="Y357" s="908"/>
      <c r="Z357" s="908"/>
      <c r="AA357" s="448"/>
      <c r="AB357" s="909"/>
      <c r="AC357" s="904"/>
      <c r="AD357" s="910"/>
      <c r="AE357" s="708"/>
      <c r="AF357" s="708"/>
      <c r="AG357" s="708"/>
      <c r="AH357" s="904"/>
      <c r="AI357" s="708"/>
      <c r="AJ357" s="911"/>
      <c r="AK357" s="904"/>
      <c r="AL357" s="374"/>
      <c r="AM357" s="913"/>
      <c r="AN357" s="913"/>
      <c r="AX357" s="564"/>
      <c r="AY357" s="564"/>
    </row>
    <row r="358" spans="1:51" s="563" customFormat="1" ht="15.6" customHeight="1" x14ac:dyDescent="0.25">
      <c r="A358" s="903"/>
      <c r="B358" s="903"/>
      <c r="C358" s="448"/>
      <c r="D358" s="448"/>
      <c r="E358" s="448"/>
      <c r="F358" s="448"/>
      <c r="G358" s="448"/>
      <c r="H358" s="448"/>
      <c r="I358" s="448"/>
      <c r="J358" s="448"/>
      <c r="K358" s="448"/>
      <c r="L358" s="448"/>
      <c r="M358" s="448"/>
      <c r="N358" s="904"/>
      <c r="O358" s="904"/>
      <c r="P358" s="904"/>
      <c r="Q358" s="708"/>
      <c r="R358" s="709"/>
      <c r="S358" s="905"/>
      <c r="T358" s="708"/>
      <c r="U358" s="906"/>
      <c r="V358" s="708"/>
      <c r="W358" s="708"/>
      <c r="X358" s="907"/>
      <c r="Y358" s="908"/>
      <c r="Z358" s="908"/>
      <c r="AA358" s="448"/>
      <c r="AB358" s="909"/>
      <c r="AC358" s="904"/>
      <c r="AD358" s="910"/>
      <c r="AE358" s="708"/>
      <c r="AF358" s="708"/>
      <c r="AG358" s="708"/>
      <c r="AH358" s="904"/>
      <c r="AI358" s="708"/>
      <c r="AJ358" s="911"/>
      <c r="AK358" s="904"/>
      <c r="AL358" s="374"/>
      <c r="AM358" s="913"/>
      <c r="AN358" s="913"/>
      <c r="AX358" s="564"/>
      <c r="AY358" s="564"/>
    </row>
    <row r="359" spans="1:51" s="563" customFormat="1" ht="15.6" customHeight="1" x14ac:dyDescent="0.25">
      <c r="A359" s="903"/>
      <c r="B359" s="903"/>
      <c r="C359" s="448"/>
      <c r="D359" s="448"/>
      <c r="E359" s="448"/>
      <c r="F359" s="448"/>
      <c r="G359" s="448"/>
      <c r="H359" s="448"/>
      <c r="I359" s="448"/>
      <c r="J359" s="448"/>
      <c r="K359" s="448"/>
      <c r="L359" s="448"/>
      <c r="M359" s="448"/>
      <c r="N359" s="904"/>
      <c r="O359" s="904"/>
      <c r="P359" s="904"/>
      <c r="Q359" s="708"/>
      <c r="R359" s="709"/>
      <c r="S359" s="905"/>
      <c r="T359" s="708"/>
      <c r="U359" s="906"/>
      <c r="V359" s="708"/>
      <c r="W359" s="708"/>
      <c r="X359" s="907"/>
      <c r="Y359" s="908"/>
      <c r="Z359" s="908"/>
      <c r="AA359" s="448"/>
      <c r="AB359" s="909"/>
      <c r="AC359" s="904"/>
      <c r="AD359" s="910"/>
      <c r="AE359" s="708"/>
      <c r="AF359" s="708"/>
      <c r="AG359" s="708"/>
      <c r="AH359" s="904"/>
      <c r="AI359" s="708"/>
      <c r="AJ359" s="911"/>
      <c r="AK359" s="904"/>
      <c r="AL359" s="374"/>
      <c r="AM359" s="913"/>
      <c r="AN359" s="913"/>
      <c r="AX359" s="564"/>
      <c r="AY359" s="564"/>
    </row>
    <row r="360" spans="1:51" s="563" customFormat="1" ht="15.6" customHeight="1" x14ac:dyDescent="0.25">
      <c r="A360" s="903"/>
      <c r="B360" s="903"/>
      <c r="C360" s="448"/>
      <c r="D360" s="448"/>
      <c r="E360" s="448"/>
      <c r="F360" s="448"/>
      <c r="G360" s="448"/>
      <c r="H360" s="448"/>
      <c r="I360" s="448"/>
      <c r="J360" s="448"/>
      <c r="K360" s="448"/>
      <c r="L360" s="448"/>
      <c r="M360" s="448"/>
      <c r="N360" s="904"/>
      <c r="O360" s="904"/>
      <c r="P360" s="904"/>
      <c r="Q360" s="708"/>
      <c r="R360" s="709"/>
      <c r="S360" s="905"/>
      <c r="T360" s="708"/>
      <c r="U360" s="906"/>
      <c r="V360" s="708"/>
      <c r="W360" s="708"/>
      <c r="X360" s="907"/>
      <c r="Y360" s="908"/>
      <c r="Z360" s="908"/>
      <c r="AA360" s="448"/>
      <c r="AB360" s="909"/>
      <c r="AC360" s="904"/>
      <c r="AD360" s="910"/>
      <c r="AE360" s="708"/>
      <c r="AF360" s="708"/>
      <c r="AG360" s="708"/>
      <c r="AH360" s="904"/>
      <c r="AI360" s="708"/>
      <c r="AJ360" s="911"/>
      <c r="AK360" s="904"/>
      <c r="AL360" s="374"/>
      <c r="AM360" s="913"/>
      <c r="AN360" s="913"/>
      <c r="AX360" s="564"/>
      <c r="AY360" s="564"/>
    </row>
    <row r="361" spans="1:51" s="563" customFormat="1" ht="15.6" customHeight="1" x14ac:dyDescent="0.25">
      <c r="A361" s="903"/>
      <c r="B361" s="903"/>
      <c r="C361" s="448"/>
      <c r="D361" s="448"/>
      <c r="E361" s="448"/>
      <c r="F361" s="448"/>
      <c r="G361" s="448"/>
      <c r="H361" s="448"/>
      <c r="I361" s="448"/>
      <c r="J361" s="448"/>
      <c r="K361" s="448"/>
      <c r="L361" s="448"/>
      <c r="M361" s="448"/>
      <c r="N361" s="904"/>
      <c r="O361" s="904"/>
      <c r="P361" s="904"/>
      <c r="Q361" s="708"/>
      <c r="R361" s="709"/>
      <c r="S361" s="905"/>
      <c r="T361" s="708"/>
      <c r="U361" s="906"/>
      <c r="V361" s="708"/>
      <c r="W361" s="708"/>
      <c r="X361" s="907"/>
      <c r="Y361" s="908"/>
      <c r="Z361" s="908"/>
      <c r="AA361" s="448"/>
      <c r="AB361" s="909"/>
      <c r="AC361" s="904"/>
      <c r="AD361" s="910"/>
      <c r="AE361" s="708"/>
      <c r="AF361" s="708"/>
      <c r="AG361" s="708"/>
      <c r="AH361" s="904"/>
      <c r="AI361" s="708"/>
      <c r="AJ361" s="911"/>
      <c r="AK361" s="904"/>
      <c r="AL361" s="374"/>
      <c r="AM361" s="913"/>
      <c r="AN361" s="913"/>
      <c r="AX361" s="564"/>
      <c r="AY361" s="564"/>
    </row>
    <row r="362" spans="1:51" s="563" customFormat="1" ht="15.6" customHeight="1" x14ac:dyDescent="0.25">
      <c r="A362" s="903"/>
      <c r="B362" s="903"/>
      <c r="C362" s="448"/>
      <c r="D362" s="448"/>
      <c r="E362" s="448"/>
      <c r="F362" s="448"/>
      <c r="G362" s="448"/>
      <c r="H362" s="448"/>
      <c r="I362" s="448"/>
      <c r="J362" s="448"/>
      <c r="K362" s="448"/>
      <c r="L362" s="448"/>
      <c r="M362" s="448"/>
      <c r="N362" s="904"/>
      <c r="O362" s="904"/>
      <c r="P362" s="904"/>
      <c r="Q362" s="708"/>
      <c r="R362" s="709"/>
      <c r="S362" s="905"/>
      <c r="T362" s="708"/>
      <c r="U362" s="906"/>
      <c r="V362" s="708"/>
      <c r="W362" s="708"/>
      <c r="X362" s="907"/>
      <c r="Y362" s="908"/>
      <c r="Z362" s="908"/>
      <c r="AA362" s="448"/>
      <c r="AB362" s="909"/>
      <c r="AC362" s="904"/>
      <c r="AD362" s="910"/>
      <c r="AE362" s="708"/>
      <c r="AF362" s="708"/>
      <c r="AG362" s="708"/>
      <c r="AH362" s="904"/>
      <c r="AI362" s="708"/>
      <c r="AJ362" s="911"/>
      <c r="AK362" s="904"/>
      <c r="AL362" s="374"/>
      <c r="AM362" s="913"/>
      <c r="AN362" s="913"/>
      <c r="AX362" s="564"/>
      <c r="AY362" s="564"/>
    </row>
    <row r="363" spans="1:51" s="563" customFormat="1" ht="15.6" customHeight="1" x14ac:dyDescent="0.25">
      <c r="A363" s="903"/>
      <c r="B363" s="903"/>
      <c r="C363" s="448"/>
      <c r="D363" s="448"/>
      <c r="E363" s="448"/>
      <c r="F363" s="448"/>
      <c r="G363" s="448"/>
      <c r="H363" s="448"/>
      <c r="I363" s="448"/>
      <c r="J363" s="448"/>
      <c r="K363" s="448"/>
      <c r="L363" s="448"/>
      <c r="M363" s="448"/>
      <c r="N363" s="904"/>
      <c r="O363" s="904"/>
      <c r="P363" s="904"/>
      <c r="Q363" s="708"/>
      <c r="R363" s="709"/>
      <c r="S363" s="905"/>
      <c r="T363" s="708"/>
      <c r="U363" s="906"/>
      <c r="V363" s="708"/>
      <c r="W363" s="708"/>
      <c r="X363" s="907"/>
      <c r="Y363" s="908"/>
      <c r="Z363" s="908"/>
      <c r="AA363" s="448"/>
      <c r="AB363" s="909"/>
      <c r="AC363" s="904"/>
      <c r="AD363" s="910"/>
      <c r="AE363" s="708"/>
      <c r="AF363" s="708"/>
      <c r="AG363" s="708"/>
      <c r="AH363" s="904"/>
      <c r="AI363" s="708"/>
      <c r="AJ363" s="911"/>
      <c r="AK363" s="904"/>
      <c r="AL363" s="374"/>
      <c r="AM363" s="913"/>
      <c r="AN363" s="913"/>
      <c r="AX363" s="564"/>
      <c r="AY363" s="564"/>
    </row>
    <row r="364" spans="1:51" s="563" customFormat="1" ht="15.6" customHeight="1" x14ac:dyDescent="0.25">
      <c r="A364" s="903"/>
      <c r="B364" s="903"/>
      <c r="C364" s="448"/>
      <c r="D364" s="448"/>
      <c r="E364" s="448"/>
      <c r="F364" s="448"/>
      <c r="G364" s="448"/>
      <c r="H364" s="448"/>
      <c r="I364" s="448"/>
      <c r="J364" s="448"/>
      <c r="K364" s="448"/>
      <c r="L364" s="448"/>
      <c r="M364" s="448"/>
      <c r="N364" s="904"/>
      <c r="O364" s="904"/>
      <c r="P364" s="904"/>
      <c r="Q364" s="708"/>
      <c r="R364" s="709"/>
      <c r="S364" s="905"/>
      <c r="T364" s="708"/>
      <c r="U364" s="906"/>
      <c r="V364" s="708"/>
      <c r="W364" s="708"/>
      <c r="X364" s="907"/>
      <c r="Y364" s="908"/>
      <c r="Z364" s="908"/>
      <c r="AA364" s="448"/>
      <c r="AB364" s="909"/>
      <c r="AC364" s="904"/>
      <c r="AD364" s="910"/>
      <c r="AE364" s="708"/>
      <c r="AF364" s="708"/>
      <c r="AG364" s="708"/>
      <c r="AH364" s="904"/>
      <c r="AI364" s="708"/>
      <c r="AJ364" s="911"/>
      <c r="AK364" s="904"/>
      <c r="AL364" s="374"/>
      <c r="AM364" s="913"/>
      <c r="AN364" s="913"/>
      <c r="AX364" s="564"/>
      <c r="AY364" s="564"/>
    </row>
    <row r="365" spans="1:51" s="563" customFormat="1" ht="15.6" customHeight="1" x14ac:dyDescent="0.25">
      <c r="A365" s="903"/>
      <c r="B365" s="903"/>
      <c r="C365" s="448"/>
      <c r="D365" s="448"/>
      <c r="E365" s="448"/>
      <c r="F365" s="448"/>
      <c r="G365" s="448"/>
      <c r="H365" s="448"/>
      <c r="I365" s="448"/>
      <c r="J365" s="448"/>
      <c r="K365" s="448"/>
      <c r="L365" s="448"/>
      <c r="M365" s="448"/>
      <c r="N365" s="904"/>
      <c r="O365" s="904"/>
      <c r="P365" s="904"/>
      <c r="Q365" s="708"/>
      <c r="R365" s="709"/>
      <c r="S365" s="905"/>
      <c r="T365" s="708"/>
      <c r="U365" s="906"/>
      <c r="V365" s="708"/>
      <c r="W365" s="708"/>
      <c r="X365" s="907"/>
      <c r="Y365" s="908"/>
      <c r="Z365" s="908"/>
      <c r="AA365" s="448"/>
      <c r="AB365" s="909"/>
      <c r="AC365" s="904"/>
      <c r="AD365" s="910"/>
      <c r="AE365" s="708"/>
      <c r="AF365" s="708"/>
      <c r="AG365" s="708"/>
      <c r="AH365" s="904"/>
      <c r="AI365" s="708"/>
      <c r="AJ365" s="911"/>
      <c r="AK365" s="904"/>
      <c r="AL365" s="374"/>
      <c r="AM365" s="913"/>
      <c r="AN365" s="913"/>
      <c r="AX365" s="564"/>
      <c r="AY365" s="564"/>
    </row>
    <row r="366" spans="1:51" s="563" customFormat="1" ht="15.6" customHeight="1" x14ac:dyDescent="0.25">
      <c r="A366" s="903"/>
      <c r="B366" s="903"/>
      <c r="C366" s="448"/>
      <c r="D366" s="448"/>
      <c r="E366" s="448"/>
      <c r="F366" s="448"/>
      <c r="G366" s="448"/>
      <c r="H366" s="448"/>
      <c r="I366" s="448"/>
      <c r="J366" s="448"/>
      <c r="K366" s="448"/>
      <c r="L366" s="448"/>
      <c r="M366" s="448"/>
      <c r="N366" s="904"/>
      <c r="O366" s="904"/>
      <c r="P366" s="904"/>
      <c r="Q366" s="708"/>
      <c r="R366" s="709"/>
      <c r="S366" s="905"/>
      <c r="T366" s="708"/>
      <c r="U366" s="906"/>
      <c r="V366" s="708"/>
      <c r="W366" s="708"/>
      <c r="X366" s="907"/>
      <c r="Y366" s="908"/>
      <c r="Z366" s="908"/>
      <c r="AA366" s="448"/>
      <c r="AB366" s="909"/>
      <c r="AC366" s="904"/>
      <c r="AD366" s="910"/>
      <c r="AE366" s="708"/>
      <c r="AF366" s="708"/>
      <c r="AG366" s="708"/>
      <c r="AH366" s="904"/>
      <c r="AI366" s="708"/>
      <c r="AJ366" s="911"/>
      <c r="AK366" s="904"/>
      <c r="AL366" s="374"/>
      <c r="AM366" s="913"/>
      <c r="AN366" s="913"/>
      <c r="AX366" s="564"/>
      <c r="AY366" s="564"/>
    </row>
    <row r="367" spans="1:51" s="563" customFormat="1" ht="15.6" customHeight="1" x14ac:dyDescent="0.25">
      <c r="A367" s="903"/>
      <c r="B367" s="903"/>
      <c r="C367" s="448"/>
      <c r="D367" s="448"/>
      <c r="E367" s="448"/>
      <c r="F367" s="448"/>
      <c r="G367" s="448"/>
      <c r="H367" s="448"/>
      <c r="I367" s="448"/>
      <c r="J367" s="448"/>
      <c r="K367" s="448"/>
      <c r="L367" s="448"/>
      <c r="M367" s="448"/>
      <c r="N367" s="904"/>
      <c r="O367" s="904"/>
      <c r="P367" s="904"/>
      <c r="Q367" s="708"/>
      <c r="R367" s="709"/>
      <c r="S367" s="905"/>
      <c r="T367" s="708"/>
      <c r="U367" s="906"/>
      <c r="V367" s="708"/>
      <c r="W367" s="708"/>
      <c r="X367" s="907"/>
      <c r="Y367" s="908"/>
      <c r="Z367" s="908"/>
      <c r="AA367" s="448"/>
      <c r="AB367" s="909"/>
      <c r="AC367" s="904"/>
      <c r="AD367" s="910"/>
      <c r="AE367" s="708"/>
      <c r="AF367" s="708"/>
      <c r="AG367" s="708"/>
      <c r="AH367" s="904"/>
      <c r="AI367" s="708"/>
      <c r="AJ367" s="911"/>
      <c r="AK367" s="904"/>
      <c r="AL367" s="374"/>
      <c r="AM367" s="913"/>
      <c r="AN367" s="913"/>
      <c r="AX367" s="564"/>
      <c r="AY367" s="564"/>
    </row>
    <row r="368" spans="1:51" s="563" customFormat="1" ht="15.6" customHeight="1" x14ac:dyDescent="0.25">
      <c r="A368" s="903"/>
      <c r="B368" s="903"/>
      <c r="C368" s="448"/>
      <c r="D368" s="448"/>
      <c r="E368" s="448"/>
      <c r="F368" s="448"/>
      <c r="G368" s="448"/>
      <c r="H368" s="448"/>
      <c r="I368" s="448"/>
      <c r="J368" s="448"/>
      <c r="K368" s="448"/>
      <c r="L368" s="448"/>
      <c r="M368" s="448"/>
      <c r="N368" s="904"/>
      <c r="O368" s="904"/>
      <c r="P368" s="904"/>
      <c r="Q368" s="708"/>
      <c r="R368" s="709"/>
      <c r="S368" s="905"/>
      <c r="T368" s="708"/>
      <c r="U368" s="906"/>
      <c r="V368" s="708"/>
      <c r="W368" s="708"/>
      <c r="X368" s="907"/>
      <c r="Y368" s="908"/>
      <c r="Z368" s="908"/>
      <c r="AA368" s="448"/>
      <c r="AB368" s="909"/>
      <c r="AC368" s="904"/>
      <c r="AD368" s="910"/>
      <c r="AE368" s="708"/>
      <c r="AF368" s="708"/>
      <c r="AG368" s="708"/>
      <c r="AH368" s="904"/>
      <c r="AI368" s="708"/>
      <c r="AJ368" s="911"/>
      <c r="AK368" s="904"/>
      <c r="AL368" s="374"/>
      <c r="AM368" s="913"/>
      <c r="AN368" s="913"/>
      <c r="AX368" s="564"/>
      <c r="AY368" s="564"/>
    </row>
    <row r="369" spans="1:51" s="563" customFormat="1" ht="15.6" customHeight="1" x14ac:dyDescent="0.25">
      <c r="A369" s="903"/>
      <c r="B369" s="903"/>
      <c r="C369" s="448"/>
      <c r="D369" s="448"/>
      <c r="E369" s="448"/>
      <c r="F369" s="448"/>
      <c r="G369" s="448"/>
      <c r="H369" s="448"/>
      <c r="I369" s="448"/>
      <c r="J369" s="448"/>
      <c r="K369" s="448"/>
      <c r="L369" s="448"/>
      <c r="M369" s="448"/>
      <c r="N369" s="904"/>
      <c r="O369" s="904"/>
      <c r="P369" s="904"/>
      <c r="Q369" s="708"/>
      <c r="R369" s="709"/>
      <c r="S369" s="905"/>
      <c r="T369" s="708"/>
      <c r="U369" s="906"/>
      <c r="V369" s="708"/>
      <c r="W369" s="708"/>
      <c r="X369" s="907"/>
      <c r="Y369" s="908"/>
      <c r="Z369" s="908"/>
      <c r="AA369" s="448"/>
      <c r="AB369" s="909"/>
      <c r="AC369" s="904"/>
      <c r="AD369" s="910"/>
      <c r="AE369" s="708"/>
      <c r="AF369" s="708"/>
      <c r="AG369" s="708"/>
      <c r="AH369" s="904"/>
      <c r="AI369" s="708"/>
      <c r="AJ369" s="911"/>
      <c r="AK369" s="904"/>
      <c r="AL369" s="374"/>
      <c r="AM369" s="913"/>
      <c r="AN369" s="913"/>
      <c r="AX369" s="564"/>
      <c r="AY369" s="564"/>
    </row>
    <row r="370" spans="1:51" s="563" customFormat="1" ht="15.6" customHeight="1" x14ac:dyDescent="0.25">
      <c r="A370" s="903"/>
      <c r="B370" s="903"/>
      <c r="C370" s="448"/>
      <c r="D370" s="448"/>
      <c r="E370" s="448"/>
      <c r="F370" s="448"/>
      <c r="G370" s="448"/>
      <c r="H370" s="448"/>
      <c r="I370" s="448"/>
      <c r="J370" s="448"/>
      <c r="K370" s="448"/>
      <c r="L370" s="448"/>
      <c r="M370" s="448"/>
      <c r="N370" s="904"/>
      <c r="O370" s="904"/>
      <c r="P370" s="904"/>
      <c r="Q370" s="708"/>
      <c r="R370" s="709"/>
      <c r="S370" s="905"/>
      <c r="T370" s="708"/>
      <c r="U370" s="906"/>
      <c r="V370" s="708"/>
      <c r="W370" s="708"/>
      <c r="X370" s="907"/>
      <c r="Y370" s="908"/>
      <c r="Z370" s="908"/>
      <c r="AA370" s="448"/>
      <c r="AB370" s="909"/>
      <c r="AC370" s="904"/>
      <c r="AD370" s="910"/>
      <c r="AE370" s="708"/>
      <c r="AF370" s="708"/>
      <c r="AG370" s="708"/>
      <c r="AH370" s="904"/>
      <c r="AI370" s="708"/>
      <c r="AJ370" s="911"/>
      <c r="AK370" s="904"/>
      <c r="AL370" s="374"/>
      <c r="AM370" s="913"/>
      <c r="AN370" s="913"/>
      <c r="AX370" s="564"/>
      <c r="AY370" s="564"/>
    </row>
    <row r="371" spans="1:51" s="563" customFormat="1" ht="15.6" customHeight="1" x14ac:dyDescent="0.25">
      <c r="A371" s="903"/>
      <c r="B371" s="903"/>
      <c r="C371" s="448"/>
      <c r="D371" s="448"/>
      <c r="E371" s="448"/>
      <c r="F371" s="448"/>
      <c r="G371" s="448"/>
      <c r="H371" s="448"/>
      <c r="I371" s="448"/>
      <c r="J371" s="448"/>
      <c r="K371" s="448"/>
      <c r="L371" s="448"/>
      <c r="M371" s="448"/>
      <c r="N371" s="904"/>
      <c r="O371" s="904"/>
      <c r="P371" s="904"/>
      <c r="Q371" s="708"/>
      <c r="R371" s="709"/>
      <c r="S371" s="905"/>
      <c r="T371" s="708"/>
      <c r="U371" s="906"/>
      <c r="V371" s="708"/>
      <c r="W371" s="708"/>
      <c r="X371" s="907"/>
      <c r="Y371" s="908"/>
      <c r="Z371" s="908"/>
      <c r="AA371" s="448"/>
      <c r="AB371" s="909"/>
      <c r="AC371" s="904"/>
      <c r="AD371" s="910"/>
      <c r="AE371" s="708"/>
      <c r="AF371" s="708"/>
      <c r="AG371" s="708"/>
      <c r="AH371" s="904"/>
      <c r="AI371" s="708"/>
      <c r="AJ371" s="911"/>
      <c r="AK371" s="904"/>
      <c r="AL371" s="374"/>
      <c r="AM371" s="913"/>
      <c r="AN371" s="913"/>
      <c r="AX371" s="564"/>
      <c r="AY371" s="564"/>
    </row>
    <row r="372" spans="1:51" s="563" customFormat="1" ht="15.6" customHeight="1" x14ac:dyDescent="0.25">
      <c r="A372" s="903"/>
      <c r="B372" s="903"/>
      <c r="C372" s="448"/>
      <c r="D372" s="448"/>
      <c r="E372" s="448"/>
      <c r="F372" s="448"/>
      <c r="G372" s="448"/>
      <c r="H372" s="448"/>
      <c r="I372" s="448"/>
      <c r="J372" s="448"/>
      <c r="K372" s="448"/>
      <c r="L372" s="448"/>
      <c r="M372" s="448"/>
      <c r="N372" s="904"/>
      <c r="O372" s="904"/>
      <c r="P372" s="904"/>
      <c r="Q372" s="708"/>
      <c r="R372" s="709"/>
      <c r="S372" s="905"/>
      <c r="T372" s="708"/>
      <c r="U372" s="906"/>
      <c r="V372" s="708"/>
      <c r="W372" s="708"/>
      <c r="X372" s="907"/>
      <c r="Y372" s="908"/>
      <c r="Z372" s="908"/>
      <c r="AA372" s="448"/>
      <c r="AB372" s="909"/>
      <c r="AC372" s="904"/>
      <c r="AD372" s="910"/>
      <c r="AE372" s="708"/>
      <c r="AF372" s="708"/>
      <c r="AG372" s="708"/>
      <c r="AH372" s="904"/>
      <c r="AI372" s="708"/>
      <c r="AJ372" s="911"/>
      <c r="AK372" s="904"/>
      <c r="AL372" s="374"/>
      <c r="AM372" s="913"/>
      <c r="AN372" s="913"/>
      <c r="AX372" s="564"/>
      <c r="AY372" s="564"/>
    </row>
    <row r="373" spans="1:51" s="563" customFormat="1" ht="15.6" customHeight="1" x14ac:dyDescent="0.25">
      <c r="A373" s="903"/>
      <c r="B373" s="903"/>
      <c r="C373" s="448"/>
      <c r="D373" s="448"/>
      <c r="E373" s="448"/>
      <c r="F373" s="448"/>
      <c r="G373" s="448"/>
      <c r="H373" s="448"/>
      <c r="I373" s="448"/>
      <c r="J373" s="448"/>
      <c r="K373" s="448"/>
      <c r="L373" s="448"/>
      <c r="M373" s="448"/>
      <c r="N373" s="904"/>
      <c r="O373" s="904"/>
      <c r="P373" s="904"/>
      <c r="Q373" s="708"/>
      <c r="R373" s="709"/>
      <c r="S373" s="905"/>
      <c r="T373" s="708"/>
      <c r="U373" s="906"/>
      <c r="V373" s="708"/>
      <c r="W373" s="708"/>
      <c r="X373" s="907"/>
      <c r="Y373" s="908"/>
      <c r="Z373" s="908"/>
      <c r="AA373" s="448"/>
      <c r="AB373" s="909"/>
      <c r="AC373" s="904"/>
      <c r="AD373" s="910"/>
      <c r="AE373" s="708"/>
      <c r="AF373" s="708"/>
      <c r="AG373" s="708"/>
      <c r="AH373" s="904"/>
      <c r="AI373" s="708"/>
      <c r="AJ373" s="911"/>
      <c r="AK373" s="904"/>
      <c r="AL373" s="374"/>
      <c r="AM373" s="913"/>
      <c r="AN373" s="913"/>
      <c r="AX373" s="564"/>
      <c r="AY373" s="564"/>
    </row>
    <row r="374" spans="1:51" s="563" customFormat="1" ht="15.6" customHeight="1" x14ac:dyDescent="0.25">
      <c r="A374" s="903"/>
      <c r="B374" s="903"/>
      <c r="C374" s="448"/>
      <c r="D374" s="448"/>
      <c r="E374" s="448"/>
      <c r="F374" s="448"/>
      <c r="G374" s="448"/>
      <c r="H374" s="448"/>
      <c r="I374" s="448"/>
      <c r="J374" s="448"/>
      <c r="K374" s="448"/>
      <c r="L374" s="448"/>
      <c r="M374" s="448"/>
      <c r="N374" s="904"/>
      <c r="O374" s="904"/>
      <c r="P374" s="904"/>
      <c r="Q374" s="708"/>
      <c r="R374" s="709"/>
      <c r="S374" s="905"/>
      <c r="T374" s="708"/>
      <c r="U374" s="906"/>
      <c r="V374" s="708"/>
      <c r="W374" s="708"/>
      <c r="X374" s="907"/>
      <c r="Y374" s="908"/>
      <c r="Z374" s="908"/>
      <c r="AA374" s="448"/>
      <c r="AB374" s="909"/>
      <c r="AC374" s="904"/>
      <c r="AD374" s="910"/>
      <c r="AE374" s="708"/>
      <c r="AF374" s="708"/>
      <c r="AG374" s="708"/>
      <c r="AH374" s="904"/>
      <c r="AI374" s="708"/>
      <c r="AJ374" s="911"/>
      <c r="AK374" s="904"/>
      <c r="AL374" s="374"/>
      <c r="AM374" s="913"/>
      <c r="AN374" s="913"/>
      <c r="AX374" s="564"/>
      <c r="AY374" s="564"/>
    </row>
    <row r="375" spans="1:51" s="563" customFormat="1" ht="15.6" customHeight="1" x14ac:dyDescent="0.25">
      <c r="A375" s="903"/>
      <c r="B375" s="903"/>
      <c r="C375" s="448"/>
      <c r="D375" s="448"/>
      <c r="E375" s="448"/>
      <c r="F375" s="448"/>
      <c r="G375" s="448"/>
      <c r="H375" s="448"/>
      <c r="I375" s="448"/>
      <c r="J375" s="448"/>
      <c r="K375" s="448"/>
      <c r="L375" s="448"/>
      <c r="M375" s="448"/>
      <c r="N375" s="904"/>
      <c r="O375" s="904"/>
      <c r="P375" s="904"/>
      <c r="Q375" s="708"/>
      <c r="R375" s="709"/>
      <c r="S375" s="905"/>
      <c r="T375" s="708"/>
      <c r="U375" s="906"/>
      <c r="V375" s="708"/>
      <c r="W375" s="708"/>
      <c r="X375" s="907"/>
      <c r="Y375" s="908"/>
      <c r="Z375" s="908"/>
      <c r="AA375" s="448"/>
      <c r="AB375" s="909"/>
      <c r="AC375" s="904"/>
      <c r="AD375" s="910"/>
      <c r="AE375" s="708"/>
      <c r="AF375" s="708"/>
      <c r="AG375" s="708"/>
      <c r="AH375" s="904"/>
      <c r="AI375" s="708"/>
      <c r="AJ375" s="911"/>
      <c r="AK375" s="904"/>
      <c r="AL375" s="374"/>
      <c r="AM375" s="913"/>
      <c r="AN375" s="913"/>
      <c r="AX375" s="564"/>
      <c r="AY375" s="564"/>
    </row>
    <row r="376" spans="1:51" s="563" customFormat="1" ht="15.6" customHeight="1" x14ac:dyDescent="0.25">
      <c r="A376" s="903"/>
      <c r="B376" s="903"/>
      <c r="C376" s="448"/>
      <c r="D376" s="448"/>
      <c r="E376" s="448"/>
      <c r="F376" s="448"/>
      <c r="G376" s="448"/>
      <c r="H376" s="448"/>
      <c r="I376" s="448"/>
      <c r="J376" s="448"/>
      <c r="K376" s="448"/>
      <c r="L376" s="448"/>
      <c r="M376" s="448"/>
      <c r="N376" s="904"/>
      <c r="O376" s="904"/>
      <c r="P376" s="904"/>
      <c r="Q376" s="708"/>
      <c r="R376" s="709"/>
      <c r="S376" s="905"/>
      <c r="T376" s="708"/>
      <c r="U376" s="906"/>
      <c r="V376" s="708"/>
      <c r="W376" s="708"/>
      <c r="X376" s="907"/>
      <c r="Y376" s="908"/>
      <c r="Z376" s="908"/>
      <c r="AA376" s="448"/>
      <c r="AB376" s="909"/>
      <c r="AC376" s="904"/>
      <c r="AD376" s="910"/>
      <c r="AE376" s="708"/>
      <c r="AF376" s="708"/>
      <c r="AG376" s="708"/>
      <c r="AH376" s="904"/>
      <c r="AI376" s="708"/>
      <c r="AJ376" s="911"/>
      <c r="AK376" s="904"/>
      <c r="AL376" s="374"/>
      <c r="AM376" s="913"/>
      <c r="AN376" s="913"/>
      <c r="AX376" s="564"/>
      <c r="AY376" s="564"/>
    </row>
    <row r="377" spans="1:51" s="563" customFormat="1" ht="15.6" customHeight="1" x14ac:dyDescent="0.25">
      <c r="A377" s="903"/>
      <c r="B377" s="903"/>
      <c r="C377" s="448"/>
      <c r="D377" s="448"/>
      <c r="E377" s="448"/>
      <c r="F377" s="448"/>
      <c r="G377" s="448"/>
      <c r="H377" s="448"/>
      <c r="I377" s="448"/>
      <c r="J377" s="448"/>
      <c r="K377" s="448"/>
      <c r="L377" s="448"/>
      <c r="M377" s="448"/>
      <c r="N377" s="904"/>
      <c r="O377" s="904"/>
      <c r="P377" s="904"/>
      <c r="Q377" s="708"/>
      <c r="R377" s="709"/>
      <c r="S377" s="905"/>
      <c r="T377" s="708"/>
      <c r="U377" s="906"/>
      <c r="V377" s="708"/>
      <c r="W377" s="708"/>
      <c r="X377" s="907"/>
      <c r="Y377" s="908"/>
      <c r="Z377" s="908"/>
      <c r="AA377" s="448"/>
      <c r="AB377" s="909"/>
      <c r="AC377" s="904"/>
      <c r="AD377" s="910"/>
      <c r="AE377" s="708"/>
      <c r="AF377" s="708"/>
      <c r="AG377" s="708"/>
      <c r="AH377" s="904"/>
      <c r="AI377" s="708"/>
      <c r="AJ377" s="911"/>
      <c r="AK377" s="904"/>
      <c r="AL377" s="374"/>
      <c r="AM377" s="913"/>
      <c r="AN377" s="913"/>
      <c r="AX377" s="564"/>
      <c r="AY377" s="564"/>
    </row>
    <row r="378" spans="1:51" s="563" customFormat="1" ht="15.6" customHeight="1" x14ac:dyDescent="0.25">
      <c r="A378" s="903"/>
      <c r="B378" s="903"/>
      <c r="C378" s="448"/>
      <c r="D378" s="448"/>
      <c r="E378" s="448"/>
      <c r="F378" s="448"/>
      <c r="G378" s="448"/>
      <c r="H378" s="448"/>
      <c r="I378" s="448"/>
      <c r="J378" s="448"/>
      <c r="K378" s="448"/>
      <c r="L378" s="448"/>
      <c r="M378" s="448"/>
      <c r="N378" s="904"/>
      <c r="O378" s="904"/>
      <c r="P378" s="904"/>
      <c r="Q378" s="708"/>
      <c r="R378" s="709"/>
      <c r="S378" s="905"/>
      <c r="T378" s="708"/>
      <c r="U378" s="906"/>
      <c r="V378" s="708"/>
      <c r="W378" s="708"/>
      <c r="X378" s="907"/>
      <c r="Y378" s="908"/>
      <c r="Z378" s="908"/>
      <c r="AA378" s="448"/>
      <c r="AB378" s="909"/>
      <c r="AC378" s="904"/>
      <c r="AD378" s="910"/>
      <c r="AE378" s="708"/>
      <c r="AF378" s="708"/>
      <c r="AG378" s="708"/>
      <c r="AH378" s="904"/>
      <c r="AI378" s="708"/>
      <c r="AJ378" s="911"/>
      <c r="AK378" s="904"/>
      <c r="AL378" s="374"/>
      <c r="AM378" s="913"/>
      <c r="AN378" s="913"/>
      <c r="AX378" s="564"/>
      <c r="AY378" s="564"/>
    </row>
    <row r="379" spans="1:51" s="563" customFormat="1" ht="15.6" customHeight="1" x14ac:dyDescent="0.25">
      <c r="A379" s="903"/>
      <c r="B379" s="903"/>
      <c r="C379" s="448"/>
      <c r="D379" s="448"/>
      <c r="E379" s="448"/>
      <c r="F379" s="448"/>
      <c r="G379" s="448"/>
      <c r="H379" s="448"/>
      <c r="I379" s="448"/>
      <c r="J379" s="448"/>
      <c r="K379" s="448"/>
      <c r="L379" s="448"/>
      <c r="M379" s="448"/>
      <c r="N379" s="904"/>
      <c r="O379" s="904"/>
      <c r="P379" s="904"/>
      <c r="Q379" s="708"/>
      <c r="R379" s="709"/>
      <c r="S379" s="905"/>
      <c r="T379" s="708"/>
      <c r="U379" s="906"/>
      <c r="V379" s="708"/>
      <c r="W379" s="708"/>
      <c r="X379" s="907"/>
      <c r="Y379" s="908"/>
      <c r="Z379" s="908"/>
      <c r="AA379" s="448"/>
      <c r="AB379" s="909"/>
      <c r="AC379" s="904"/>
      <c r="AD379" s="910"/>
      <c r="AE379" s="708"/>
      <c r="AF379" s="708"/>
      <c r="AG379" s="708"/>
      <c r="AH379" s="904"/>
      <c r="AI379" s="708"/>
      <c r="AJ379" s="911"/>
      <c r="AK379" s="904"/>
      <c r="AL379" s="374"/>
      <c r="AM379" s="913"/>
      <c r="AN379" s="913"/>
      <c r="AX379" s="564"/>
      <c r="AY379" s="564"/>
    </row>
    <row r="380" spans="1:51" s="563" customFormat="1" ht="15.6" customHeight="1" x14ac:dyDescent="0.25">
      <c r="A380" s="903"/>
      <c r="B380" s="903"/>
      <c r="C380" s="448"/>
      <c r="D380" s="448"/>
      <c r="E380" s="448"/>
      <c r="F380" s="448"/>
      <c r="G380" s="448"/>
      <c r="H380" s="448"/>
      <c r="I380" s="448"/>
      <c r="J380" s="448"/>
      <c r="K380" s="448"/>
      <c r="L380" s="448"/>
      <c r="M380" s="448"/>
      <c r="N380" s="904"/>
      <c r="O380" s="904"/>
      <c r="P380" s="904"/>
      <c r="Q380" s="708"/>
      <c r="R380" s="709"/>
      <c r="S380" s="905"/>
      <c r="T380" s="708"/>
      <c r="U380" s="906"/>
      <c r="V380" s="708"/>
      <c r="W380" s="708"/>
      <c r="X380" s="907"/>
      <c r="Y380" s="908"/>
      <c r="Z380" s="908"/>
      <c r="AA380" s="448"/>
      <c r="AB380" s="909"/>
      <c r="AC380" s="904"/>
      <c r="AD380" s="910"/>
      <c r="AE380" s="708"/>
      <c r="AF380" s="708"/>
      <c r="AG380" s="708"/>
      <c r="AH380" s="904"/>
      <c r="AI380" s="708"/>
      <c r="AJ380" s="911"/>
      <c r="AK380" s="904"/>
      <c r="AL380" s="374"/>
      <c r="AM380" s="913"/>
      <c r="AN380" s="913"/>
      <c r="AX380" s="564"/>
      <c r="AY380" s="564"/>
    </row>
    <row r="381" spans="1:51" s="563" customFormat="1" ht="15.6" customHeight="1" x14ac:dyDescent="0.25">
      <c r="A381" s="903"/>
      <c r="B381" s="903"/>
      <c r="C381" s="448"/>
      <c r="D381" s="448"/>
      <c r="E381" s="448"/>
      <c r="F381" s="448"/>
      <c r="G381" s="448"/>
      <c r="H381" s="448"/>
      <c r="I381" s="448"/>
      <c r="J381" s="448"/>
      <c r="K381" s="448"/>
      <c r="L381" s="448"/>
      <c r="M381" s="448"/>
      <c r="N381" s="904"/>
      <c r="O381" s="904"/>
      <c r="P381" s="904"/>
      <c r="Q381" s="708"/>
      <c r="R381" s="709"/>
      <c r="S381" s="905"/>
      <c r="T381" s="708"/>
      <c r="U381" s="906"/>
      <c r="V381" s="708"/>
      <c r="W381" s="708"/>
      <c r="X381" s="907"/>
      <c r="Y381" s="908"/>
      <c r="Z381" s="908"/>
      <c r="AA381" s="448"/>
      <c r="AB381" s="909"/>
      <c r="AC381" s="904"/>
      <c r="AD381" s="910"/>
      <c r="AE381" s="708"/>
      <c r="AF381" s="708"/>
      <c r="AG381" s="708"/>
      <c r="AH381" s="904"/>
      <c r="AI381" s="708"/>
      <c r="AJ381" s="911"/>
      <c r="AK381" s="904"/>
      <c r="AL381" s="374"/>
      <c r="AM381" s="913"/>
      <c r="AN381" s="913"/>
      <c r="AX381" s="564"/>
      <c r="AY381" s="564"/>
    </row>
    <row r="382" spans="1:51" s="563" customFormat="1" ht="15.6" customHeight="1" x14ac:dyDescent="0.25">
      <c r="A382" s="903"/>
      <c r="B382" s="903"/>
      <c r="C382" s="448"/>
      <c r="D382" s="448"/>
      <c r="E382" s="448"/>
      <c r="F382" s="448"/>
      <c r="G382" s="448"/>
      <c r="H382" s="448"/>
      <c r="I382" s="448"/>
      <c r="J382" s="448"/>
      <c r="K382" s="448"/>
      <c r="L382" s="448"/>
      <c r="M382" s="448"/>
      <c r="N382" s="904"/>
      <c r="O382" s="904"/>
      <c r="P382" s="904"/>
      <c r="Q382" s="708"/>
      <c r="R382" s="709"/>
      <c r="S382" s="905"/>
      <c r="T382" s="708"/>
      <c r="U382" s="906"/>
      <c r="V382" s="708"/>
      <c r="W382" s="708"/>
      <c r="X382" s="907"/>
      <c r="Y382" s="908"/>
      <c r="Z382" s="908"/>
      <c r="AA382" s="448"/>
      <c r="AB382" s="909"/>
      <c r="AC382" s="904"/>
      <c r="AD382" s="910"/>
      <c r="AE382" s="708"/>
      <c r="AF382" s="708"/>
      <c r="AG382" s="708"/>
      <c r="AH382" s="904"/>
      <c r="AI382" s="708"/>
      <c r="AJ382" s="911"/>
      <c r="AK382" s="904"/>
      <c r="AL382" s="374"/>
      <c r="AM382" s="913"/>
      <c r="AN382" s="913"/>
      <c r="AX382" s="564"/>
      <c r="AY382" s="564"/>
    </row>
    <row r="383" spans="1:51" s="563" customFormat="1" ht="15.6" customHeight="1" x14ac:dyDescent="0.25">
      <c r="A383" s="903"/>
      <c r="B383" s="903"/>
      <c r="C383" s="448"/>
      <c r="D383" s="448"/>
      <c r="E383" s="448"/>
      <c r="F383" s="448"/>
      <c r="G383" s="448"/>
      <c r="H383" s="448"/>
      <c r="I383" s="448"/>
      <c r="J383" s="448"/>
      <c r="K383" s="448"/>
      <c r="L383" s="448"/>
      <c r="M383" s="448"/>
      <c r="N383" s="904"/>
      <c r="O383" s="904"/>
      <c r="P383" s="904"/>
      <c r="Q383" s="708"/>
      <c r="R383" s="709"/>
      <c r="S383" s="905"/>
      <c r="T383" s="708"/>
      <c r="U383" s="906"/>
      <c r="V383" s="708"/>
      <c r="W383" s="708"/>
      <c r="X383" s="907"/>
      <c r="Y383" s="908"/>
      <c r="Z383" s="908"/>
      <c r="AA383" s="448"/>
      <c r="AB383" s="909"/>
      <c r="AC383" s="904"/>
      <c r="AD383" s="910"/>
      <c r="AE383" s="708"/>
      <c r="AF383" s="708"/>
      <c r="AG383" s="708"/>
      <c r="AH383" s="904"/>
      <c r="AI383" s="708"/>
      <c r="AJ383" s="911"/>
      <c r="AK383" s="904"/>
      <c r="AL383" s="374"/>
      <c r="AM383" s="913"/>
      <c r="AN383" s="913"/>
      <c r="AX383" s="564"/>
      <c r="AY383" s="564"/>
    </row>
    <row r="384" spans="1:51" s="563" customFormat="1" ht="15.6" customHeight="1" x14ac:dyDescent="0.25">
      <c r="A384" s="903"/>
      <c r="B384" s="903"/>
      <c r="C384" s="448"/>
      <c r="D384" s="448"/>
      <c r="E384" s="448"/>
      <c r="F384" s="448"/>
      <c r="G384" s="448"/>
      <c r="H384" s="448"/>
      <c r="I384" s="448"/>
      <c r="J384" s="448"/>
      <c r="K384" s="448"/>
      <c r="L384" s="448"/>
      <c r="M384" s="448"/>
      <c r="N384" s="904"/>
      <c r="O384" s="904"/>
      <c r="P384" s="904"/>
      <c r="Q384" s="708"/>
      <c r="R384" s="709"/>
      <c r="S384" s="905"/>
      <c r="T384" s="708"/>
      <c r="U384" s="906"/>
      <c r="V384" s="708"/>
      <c r="W384" s="708"/>
      <c r="X384" s="907"/>
      <c r="Y384" s="908"/>
      <c r="Z384" s="908"/>
      <c r="AA384" s="448"/>
      <c r="AB384" s="909"/>
      <c r="AC384" s="904"/>
      <c r="AD384" s="910"/>
      <c r="AE384" s="708"/>
      <c r="AF384" s="708"/>
      <c r="AG384" s="708"/>
      <c r="AH384" s="904"/>
      <c r="AI384" s="708"/>
      <c r="AJ384" s="911"/>
      <c r="AK384" s="904"/>
      <c r="AL384" s="374"/>
      <c r="AM384" s="913"/>
      <c r="AN384" s="913"/>
      <c r="AX384" s="564"/>
      <c r="AY384" s="564"/>
    </row>
    <row r="385" spans="1:51" s="563" customFormat="1" ht="15.6" customHeight="1" x14ac:dyDescent="0.25">
      <c r="A385" s="903"/>
      <c r="B385" s="903"/>
      <c r="C385" s="448"/>
      <c r="D385" s="448"/>
      <c r="E385" s="448"/>
      <c r="F385" s="448"/>
      <c r="G385" s="448"/>
      <c r="H385" s="448"/>
      <c r="I385" s="448"/>
      <c r="J385" s="448"/>
      <c r="K385" s="448"/>
      <c r="L385" s="448"/>
      <c r="M385" s="448"/>
      <c r="N385" s="904"/>
      <c r="O385" s="904"/>
      <c r="P385" s="904"/>
      <c r="Q385" s="708"/>
      <c r="R385" s="709"/>
      <c r="S385" s="905"/>
      <c r="T385" s="708"/>
      <c r="U385" s="906"/>
      <c r="V385" s="708"/>
      <c r="W385" s="708"/>
      <c r="X385" s="907"/>
      <c r="Y385" s="908"/>
      <c r="Z385" s="908"/>
      <c r="AA385" s="448"/>
      <c r="AB385" s="909"/>
      <c r="AC385" s="904"/>
      <c r="AD385" s="910"/>
      <c r="AE385" s="708"/>
      <c r="AF385" s="708"/>
      <c r="AG385" s="708"/>
      <c r="AH385" s="904"/>
      <c r="AI385" s="708"/>
      <c r="AJ385" s="911"/>
      <c r="AK385" s="904"/>
      <c r="AL385" s="374"/>
      <c r="AM385" s="913"/>
      <c r="AN385" s="913"/>
      <c r="AX385" s="564"/>
      <c r="AY385" s="564"/>
    </row>
    <row r="386" spans="1:51" s="563" customFormat="1" ht="15.6" customHeight="1" x14ac:dyDescent="0.25">
      <c r="A386" s="903"/>
      <c r="B386" s="903"/>
      <c r="C386" s="448"/>
      <c r="D386" s="448"/>
      <c r="E386" s="448"/>
      <c r="F386" s="448"/>
      <c r="G386" s="448"/>
      <c r="H386" s="448"/>
      <c r="I386" s="448"/>
      <c r="J386" s="448"/>
      <c r="K386" s="448"/>
      <c r="L386" s="448"/>
      <c r="M386" s="448"/>
      <c r="N386" s="904"/>
      <c r="O386" s="904"/>
      <c r="P386" s="904"/>
      <c r="Q386" s="708"/>
      <c r="R386" s="709"/>
      <c r="S386" s="905"/>
      <c r="T386" s="708"/>
      <c r="U386" s="906"/>
      <c r="V386" s="708"/>
      <c r="W386" s="708"/>
      <c r="X386" s="907"/>
      <c r="Y386" s="908"/>
      <c r="Z386" s="908"/>
      <c r="AA386" s="448"/>
      <c r="AB386" s="909"/>
      <c r="AC386" s="904"/>
      <c r="AD386" s="910"/>
      <c r="AE386" s="708"/>
      <c r="AF386" s="708"/>
      <c r="AG386" s="708"/>
      <c r="AH386" s="904"/>
      <c r="AI386" s="708"/>
      <c r="AJ386" s="911"/>
      <c r="AK386" s="904"/>
      <c r="AL386" s="374"/>
      <c r="AM386" s="913"/>
      <c r="AN386" s="913"/>
      <c r="AX386" s="564"/>
      <c r="AY386" s="564"/>
    </row>
    <row r="387" spans="1:51" s="563" customFormat="1" ht="15.6" customHeight="1" x14ac:dyDescent="0.25">
      <c r="A387" s="903"/>
      <c r="B387" s="903"/>
      <c r="C387" s="448"/>
      <c r="D387" s="448"/>
      <c r="E387" s="448"/>
      <c r="F387" s="448"/>
      <c r="G387" s="448"/>
      <c r="H387" s="448"/>
      <c r="I387" s="448"/>
      <c r="J387" s="448"/>
      <c r="K387" s="448"/>
      <c r="L387" s="448"/>
      <c r="M387" s="448"/>
      <c r="N387" s="904"/>
      <c r="O387" s="904"/>
      <c r="P387" s="904"/>
      <c r="Q387" s="708"/>
      <c r="R387" s="709"/>
      <c r="S387" s="905"/>
      <c r="T387" s="708"/>
      <c r="U387" s="906"/>
      <c r="V387" s="708"/>
      <c r="W387" s="708"/>
      <c r="X387" s="907"/>
      <c r="Y387" s="908"/>
      <c r="Z387" s="908"/>
      <c r="AA387" s="448"/>
      <c r="AB387" s="909"/>
      <c r="AC387" s="904"/>
      <c r="AD387" s="910"/>
      <c r="AE387" s="708"/>
      <c r="AF387" s="708"/>
      <c r="AG387" s="708"/>
      <c r="AH387" s="904"/>
      <c r="AI387" s="708"/>
      <c r="AJ387" s="911"/>
      <c r="AK387" s="904"/>
      <c r="AL387" s="374"/>
      <c r="AM387" s="913"/>
      <c r="AN387" s="913"/>
      <c r="AX387" s="564"/>
      <c r="AY387" s="564"/>
    </row>
    <row r="388" spans="1:51" s="563" customFormat="1" ht="15.6" customHeight="1" x14ac:dyDescent="0.25">
      <c r="A388" s="903"/>
      <c r="B388" s="903"/>
      <c r="C388" s="448"/>
      <c r="D388" s="448"/>
      <c r="E388" s="448"/>
      <c r="F388" s="448"/>
      <c r="G388" s="448"/>
      <c r="H388" s="448"/>
      <c r="I388" s="448"/>
      <c r="J388" s="448"/>
      <c r="K388" s="448"/>
      <c r="L388" s="448"/>
      <c r="M388" s="448"/>
      <c r="N388" s="904"/>
      <c r="O388" s="904"/>
      <c r="P388" s="904"/>
      <c r="Q388" s="708"/>
      <c r="R388" s="709"/>
      <c r="S388" s="905"/>
      <c r="T388" s="708"/>
      <c r="U388" s="906"/>
      <c r="V388" s="708"/>
      <c r="W388" s="708"/>
      <c r="X388" s="907"/>
      <c r="Y388" s="908"/>
      <c r="Z388" s="908"/>
      <c r="AA388" s="448"/>
      <c r="AB388" s="909"/>
      <c r="AC388" s="904"/>
      <c r="AD388" s="910"/>
      <c r="AE388" s="708"/>
      <c r="AF388" s="708"/>
      <c r="AG388" s="708"/>
      <c r="AH388" s="904"/>
      <c r="AI388" s="708"/>
      <c r="AJ388" s="911"/>
      <c r="AK388" s="904"/>
      <c r="AL388" s="374"/>
      <c r="AM388" s="913"/>
      <c r="AN388" s="913"/>
      <c r="AX388" s="564"/>
      <c r="AY388" s="564"/>
    </row>
    <row r="389" spans="1:51" s="563" customFormat="1" ht="15.6" customHeight="1" x14ac:dyDescent="0.25">
      <c r="A389" s="903"/>
      <c r="B389" s="903"/>
      <c r="C389" s="448"/>
      <c r="D389" s="448"/>
      <c r="E389" s="448"/>
      <c r="F389" s="448"/>
      <c r="G389" s="448"/>
      <c r="H389" s="448"/>
      <c r="I389" s="448"/>
      <c r="J389" s="448"/>
      <c r="K389" s="448"/>
      <c r="L389" s="448"/>
      <c r="M389" s="448"/>
      <c r="N389" s="904"/>
      <c r="O389" s="904"/>
      <c r="P389" s="904"/>
      <c r="Q389" s="708"/>
      <c r="R389" s="709"/>
      <c r="S389" s="905"/>
      <c r="T389" s="708"/>
      <c r="U389" s="906"/>
      <c r="V389" s="708"/>
      <c r="W389" s="708"/>
      <c r="X389" s="907"/>
      <c r="Y389" s="908"/>
      <c r="Z389" s="908"/>
      <c r="AA389" s="448"/>
      <c r="AB389" s="909"/>
      <c r="AC389" s="904"/>
      <c r="AD389" s="910"/>
      <c r="AE389" s="708"/>
      <c r="AF389" s="708"/>
      <c r="AG389" s="708"/>
      <c r="AH389" s="904"/>
      <c r="AI389" s="708"/>
      <c r="AJ389" s="911"/>
      <c r="AK389" s="904"/>
      <c r="AL389" s="374"/>
      <c r="AM389" s="913"/>
      <c r="AN389" s="913"/>
      <c r="AX389" s="564"/>
      <c r="AY389" s="564"/>
    </row>
    <row r="390" spans="1:51" s="563" customFormat="1" ht="15.6" customHeight="1" x14ac:dyDescent="0.25">
      <c r="A390" s="903"/>
      <c r="B390" s="903"/>
      <c r="C390" s="448"/>
      <c r="D390" s="448"/>
      <c r="E390" s="448"/>
      <c r="F390" s="448"/>
      <c r="G390" s="448"/>
      <c r="H390" s="448"/>
      <c r="I390" s="448"/>
      <c r="J390" s="448"/>
      <c r="K390" s="448"/>
      <c r="L390" s="448"/>
      <c r="M390" s="448"/>
      <c r="N390" s="904"/>
      <c r="O390" s="904"/>
      <c r="P390" s="904"/>
      <c r="Q390" s="708"/>
      <c r="R390" s="709"/>
      <c r="S390" s="905"/>
      <c r="T390" s="708"/>
      <c r="U390" s="906"/>
      <c r="V390" s="708"/>
      <c r="W390" s="708"/>
      <c r="X390" s="907"/>
      <c r="Y390" s="908"/>
      <c r="Z390" s="908"/>
      <c r="AA390" s="448"/>
      <c r="AB390" s="909"/>
      <c r="AC390" s="904"/>
      <c r="AD390" s="910"/>
      <c r="AE390" s="708"/>
      <c r="AF390" s="708"/>
      <c r="AG390" s="708"/>
      <c r="AH390" s="904"/>
      <c r="AI390" s="708"/>
      <c r="AJ390" s="911"/>
      <c r="AK390" s="904"/>
      <c r="AL390" s="374"/>
      <c r="AM390" s="913"/>
      <c r="AN390" s="913"/>
      <c r="AX390" s="564"/>
      <c r="AY390" s="564"/>
    </row>
    <row r="391" spans="1:51" s="563" customFormat="1" ht="15.6" customHeight="1" x14ac:dyDescent="0.25">
      <c r="A391" s="903"/>
      <c r="B391" s="903"/>
      <c r="C391" s="448"/>
      <c r="D391" s="448"/>
      <c r="E391" s="448"/>
      <c r="F391" s="448"/>
      <c r="G391" s="448"/>
      <c r="H391" s="448"/>
      <c r="I391" s="448"/>
      <c r="J391" s="448"/>
      <c r="K391" s="448"/>
      <c r="L391" s="448"/>
      <c r="M391" s="448"/>
      <c r="N391" s="904"/>
      <c r="O391" s="904"/>
      <c r="P391" s="904"/>
      <c r="Q391" s="708"/>
      <c r="R391" s="709"/>
      <c r="S391" s="905"/>
      <c r="T391" s="708"/>
      <c r="U391" s="906"/>
      <c r="V391" s="708"/>
      <c r="W391" s="708"/>
      <c r="X391" s="907"/>
      <c r="Y391" s="908"/>
      <c r="Z391" s="908"/>
      <c r="AA391" s="448"/>
      <c r="AB391" s="909"/>
      <c r="AC391" s="904"/>
      <c r="AD391" s="910"/>
      <c r="AE391" s="708"/>
      <c r="AF391" s="708"/>
      <c r="AG391" s="708"/>
      <c r="AH391" s="904"/>
      <c r="AI391" s="708"/>
      <c r="AJ391" s="911"/>
      <c r="AK391" s="904"/>
      <c r="AL391" s="374"/>
      <c r="AM391" s="913"/>
      <c r="AN391" s="913"/>
      <c r="AX391" s="564"/>
      <c r="AY391" s="564"/>
    </row>
    <row r="392" spans="1:51" s="563" customFormat="1" ht="15.6" customHeight="1" x14ac:dyDescent="0.25">
      <c r="A392" s="903"/>
      <c r="B392" s="903"/>
      <c r="C392" s="448"/>
      <c r="D392" s="448"/>
      <c r="E392" s="448"/>
      <c r="F392" s="448"/>
      <c r="G392" s="448"/>
      <c r="H392" s="448"/>
      <c r="I392" s="448"/>
      <c r="J392" s="448"/>
      <c r="K392" s="448"/>
      <c r="L392" s="448"/>
      <c r="M392" s="448"/>
      <c r="N392" s="904"/>
      <c r="O392" s="904"/>
      <c r="P392" s="904"/>
      <c r="Q392" s="708"/>
      <c r="R392" s="709"/>
      <c r="S392" s="905"/>
      <c r="T392" s="708"/>
      <c r="U392" s="906"/>
      <c r="V392" s="708"/>
      <c r="W392" s="708"/>
      <c r="X392" s="907"/>
      <c r="Y392" s="908"/>
      <c r="Z392" s="908"/>
      <c r="AA392" s="448"/>
      <c r="AB392" s="909"/>
      <c r="AC392" s="904"/>
      <c r="AD392" s="910"/>
      <c r="AE392" s="708"/>
      <c r="AF392" s="708"/>
      <c r="AG392" s="708"/>
      <c r="AH392" s="904"/>
      <c r="AI392" s="708"/>
      <c r="AJ392" s="911"/>
      <c r="AK392" s="904"/>
      <c r="AL392" s="374"/>
      <c r="AM392" s="913"/>
      <c r="AN392" s="913"/>
      <c r="AX392" s="564"/>
      <c r="AY392" s="564"/>
    </row>
    <row r="393" spans="1:51" s="563" customFormat="1" ht="15.6" customHeight="1" x14ac:dyDescent="0.25">
      <c r="A393" s="903"/>
      <c r="B393" s="903"/>
      <c r="C393" s="448"/>
      <c r="D393" s="448"/>
      <c r="E393" s="448"/>
      <c r="F393" s="448"/>
      <c r="G393" s="448"/>
      <c r="H393" s="448"/>
      <c r="I393" s="448"/>
      <c r="J393" s="448"/>
      <c r="K393" s="448"/>
      <c r="L393" s="448"/>
      <c r="M393" s="448"/>
      <c r="N393" s="904"/>
      <c r="O393" s="904"/>
      <c r="P393" s="904"/>
      <c r="Q393" s="708"/>
      <c r="R393" s="709"/>
      <c r="S393" s="905"/>
      <c r="T393" s="708"/>
      <c r="U393" s="906"/>
      <c r="V393" s="708"/>
      <c r="W393" s="708"/>
      <c r="X393" s="907"/>
      <c r="Y393" s="908"/>
      <c r="Z393" s="908"/>
      <c r="AA393" s="448"/>
      <c r="AB393" s="909"/>
      <c r="AC393" s="904"/>
      <c r="AD393" s="910"/>
      <c r="AE393" s="708"/>
      <c r="AF393" s="708"/>
      <c r="AG393" s="708"/>
      <c r="AH393" s="904"/>
      <c r="AI393" s="708"/>
      <c r="AJ393" s="911"/>
      <c r="AK393" s="904"/>
      <c r="AL393" s="374"/>
      <c r="AM393" s="913"/>
      <c r="AN393" s="913"/>
      <c r="AX393" s="564"/>
      <c r="AY393" s="564"/>
    </row>
    <row r="394" spans="1:51" s="563" customFormat="1" ht="15.6" customHeight="1" x14ac:dyDescent="0.25">
      <c r="A394" s="903"/>
      <c r="B394" s="903"/>
      <c r="C394" s="448"/>
      <c r="D394" s="448"/>
      <c r="E394" s="448"/>
      <c r="F394" s="448"/>
      <c r="G394" s="448"/>
      <c r="H394" s="448"/>
      <c r="I394" s="448"/>
      <c r="J394" s="448"/>
      <c r="K394" s="448"/>
      <c r="L394" s="448"/>
      <c r="M394" s="448"/>
      <c r="N394" s="904"/>
      <c r="O394" s="904"/>
      <c r="P394" s="904"/>
      <c r="Q394" s="708"/>
      <c r="R394" s="709"/>
      <c r="S394" s="905"/>
      <c r="T394" s="708"/>
      <c r="U394" s="906"/>
      <c r="V394" s="708"/>
      <c r="W394" s="708"/>
      <c r="X394" s="907"/>
      <c r="Y394" s="908"/>
      <c r="Z394" s="908"/>
      <c r="AA394" s="448"/>
      <c r="AB394" s="909"/>
      <c r="AC394" s="904"/>
      <c r="AD394" s="910"/>
      <c r="AE394" s="708"/>
      <c r="AF394" s="708"/>
      <c r="AG394" s="708"/>
      <c r="AH394" s="904"/>
      <c r="AI394" s="708"/>
      <c r="AJ394" s="911"/>
      <c r="AK394" s="904"/>
      <c r="AL394" s="374"/>
      <c r="AM394" s="913"/>
      <c r="AN394" s="913"/>
      <c r="AX394" s="564"/>
      <c r="AY394" s="564"/>
    </row>
    <row r="395" spans="1:51" s="563" customFormat="1" ht="15.6" customHeight="1" x14ac:dyDescent="0.25">
      <c r="A395" s="903"/>
      <c r="B395" s="903"/>
      <c r="C395" s="448"/>
      <c r="D395" s="448"/>
      <c r="E395" s="448"/>
      <c r="F395" s="448"/>
      <c r="G395" s="448"/>
      <c r="H395" s="448"/>
      <c r="I395" s="448"/>
      <c r="J395" s="448"/>
      <c r="K395" s="448"/>
      <c r="L395" s="448"/>
      <c r="M395" s="448"/>
      <c r="N395" s="904"/>
      <c r="O395" s="904"/>
      <c r="P395" s="904"/>
      <c r="Q395" s="708"/>
      <c r="R395" s="709"/>
      <c r="S395" s="905"/>
      <c r="T395" s="708"/>
      <c r="U395" s="906"/>
      <c r="V395" s="708"/>
      <c r="W395" s="708"/>
      <c r="X395" s="907"/>
      <c r="Y395" s="908"/>
      <c r="Z395" s="908"/>
      <c r="AA395" s="448"/>
      <c r="AB395" s="909"/>
      <c r="AC395" s="904"/>
      <c r="AD395" s="910"/>
      <c r="AE395" s="708"/>
      <c r="AF395" s="708"/>
      <c r="AG395" s="708"/>
      <c r="AH395" s="904"/>
      <c r="AI395" s="708"/>
      <c r="AJ395" s="911"/>
      <c r="AK395" s="904"/>
      <c r="AL395" s="374"/>
      <c r="AM395" s="913"/>
      <c r="AN395" s="913"/>
      <c r="AX395" s="564"/>
      <c r="AY395" s="564"/>
    </row>
    <row r="396" spans="1:51" s="563" customFormat="1" ht="15.6" customHeight="1" x14ac:dyDescent="0.25">
      <c r="A396" s="903"/>
      <c r="B396" s="903"/>
      <c r="C396" s="448"/>
      <c r="D396" s="448"/>
      <c r="E396" s="448"/>
      <c r="F396" s="448"/>
      <c r="G396" s="448"/>
      <c r="H396" s="448"/>
      <c r="I396" s="448"/>
      <c r="J396" s="448"/>
      <c r="K396" s="448"/>
      <c r="L396" s="448"/>
      <c r="M396" s="448"/>
      <c r="N396" s="904"/>
      <c r="O396" s="904"/>
      <c r="P396" s="904"/>
      <c r="Q396" s="708"/>
      <c r="R396" s="709"/>
      <c r="S396" s="905"/>
      <c r="T396" s="708"/>
      <c r="U396" s="906"/>
      <c r="V396" s="708"/>
      <c r="W396" s="708"/>
      <c r="X396" s="907"/>
      <c r="Y396" s="908"/>
      <c r="Z396" s="908"/>
      <c r="AA396" s="448"/>
      <c r="AB396" s="909"/>
      <c r="AC396" s="904"/>
      <c r="AD396" s="910"/>
      <c r="AE396" s="708"/>
      <c r="AF396" s="708"/>
      <c r="AG396" s="708"/>
      <c r="AH396" s="904"/>
      <c r="AI396" s="708"/>
      <c r="AJ396" s="911"/>
      <c r="AK396" s="904"/>
      <c r="AL396" s="374"/>
      <c r="AM396" s="913"/>
      <c r="AN396" s="913"/>
      <c r="AX396" s="564"/>
      <c r="AY396" s="564"/>
    </row>
    <row r="397" spans="1:51" s="563" customFormat="1" ht="15.6" customHeight="1" x14ac:dyDescent="0.25">
      <c r="A397" s="903"/>
      <c r="B397" s="903"/>
      <c r="C397" s="448"/>
      <c r="D397" s="448"/>
      <c r="E397" s="448"/>
      <c r="F397" s="448"/>
      <c r="G397" s="448"/>
      <c r="H397" s="448"/>
      <c r="I397" s="448"/>
      <c r="J397" s="448"/>
      <c r="K397" s="448"/>
      <c r="L397" s="448"/>
      <c r="M397" s="448"/>
      <c r="N397" s="904"/>
      <c r="O397" s="904"/>
      <c r="P397" s="904"/>
      <c r="Q397" s="708"/>
      <c r="R397" s="709"/>
      <c r="S397" s="905"/>
      <c r="T397" s="708"/>
      <c r="U397" s="906"/>
      <c r="V397" s="708"/>
      <c r="W397" s="708"/>
      <c r="X397" s="907"/>
      <c r="Y397" s="908"/>
      <c r="Z397" s="908"/>
      <c r="AA397" s="448"/>
      <c r="AB397" s="909"/>
      <c r="AC397" s="904"/>
      <c r="AD397" s="910"/>
      <c r="AE397" s="708"/>
      <c r="AF397" s="708"/>
      <c r="AG397" s="708"/>
      <c r="AH397" s="904"/>
      <c r="AI397" s="708"/>
      <c r="AJ397" s="911"/>
      <c r="AK397" s="904"/>
      <c r="AL397" s="374"/>
      <c r="AM397" s="913"/>
      <c r="AN397" s="913"/>
      <c r="AX397" s="564"/>
      <c r="AY397" s="564"/>
    </row>
    <row r="398" spans="1:51" s="563" customFormat="1" ht="15.6" customHeight="1" x14ac:dyDescent="0.25">
      <c r="A398" s="903"/>
      <c r="B398" s="903"/>
      <c r="C398" s="448"/>
      <c r="D398" s="448"/>
      <c r="E398" s="448"/>
      <c r="F398" s="448"/>
      <c r="G398" s="448"/>
      <c r="H398" s="448"/>
      <c r="I398" s="448"/>
      <c r="J398" s="448"/>
      <c r="K398" s="448"/>
      <c r="L398" s="448"/>
      <c r="M398" s="448"/>
      <c r="N398" s="904"/>
      <c r="O398" s="904"/>
      <c r="P398" s="904"/>
      <c r="Q398" s="708"/>
      <c r="R398" s="709"/>
      <c r="S398" s="905"/>
      <c r="T398" s="708"/>
      <c r="U398" s="906"/>
      <c r="V398" s="708"/>
      <c r="W398" s="708"/>
      <c r="X398" s="907"/>
      <c r="Y398" s="908"/>
      <c r="Z398" s="908"/>
      <c r="AA398" s="448"/>
      <c r="AB398" s="909"/>
      <c r="AC398" s="904"/>
      <c r="AD398" s="910"/>
      <c r="AE398" s="708"/>
      <c r="AF398" s="708"/>
      <c r="AG398" s="708"/>
      <c r="AH398" s="904"/>
      <c r="AI398" s="708"/>
      <c r="AJ398" s="911"/>
      <c r="AK398" s="904"/>
      <c r="AL398" s="374"/>
      <c r="AM398" s="913"/>
      <c r="AN398" s="913"/>
      <c r="AX398" s="564"/>
      <c r="AY398" s="564"/>
    </row>
    <row r="399" spans="1:51" s="563" customFormat="1" ht="15.6" customHeight="1" x14ac:dyDescent="0.25">
      <c r="A399" s="903"/>
      <c r="B399" s="903"/>
      <c r="C399" s="448"/>
      <c r="D399" s="448"/>
      <c r="E399" s="448"/>
      <c r="F399" s="448"/>
      <c r="G399" s="448"/>
      <c r="H399" s="448"/>
      <c r="I399" s="448"/>
      <c r="J399" s="448"/>
      <c r="K399" s="448"/>
      <c r="L399" s="448"/>
      <c r="M399" s="448"/>
      <c r="N399" s="904"/>
      <c r="O399" s="904"/>
      <c r="P399" s="904"/>
      <c r="Q399" s="708"/>
      <c r="R399" s="709"/>
      <c r="S399" s="905"/>
      <c r="T399" s="708"/>
      <c r="U399" s="906"/>
      <c r="V399" s="708"/>
      <c r="W399" s="708"/>
      <c r="X399" s="907"/>
      <c r="Y399" s="908"/>
      <c r="Z399" s="908"/>
      <c r="AA399" s="448"/>
      <c r="AB399" s="909"/>
      <c r="AC399" s="904"/>
      <c r="AD399" s="910"/>
      <c r="AE399" s="708"/>
      <c r="AF399" s="708"/>
      <c r="AG399" s="708"/>
      <c r="AH399" s="904"/>
      <c r="AI399" s="708"/>
      <c r="AJ399" s="911"/>
      <c r="AK399" s="904"/>
      <c r="AL399" s="374"/>
      <c r="AM399" s="913"/>
      <c r="AN399" s="913"/>
      <c r="AX399" s="564"/>
      <c r="AY399" s="564"/>
    </row>
    <row r="400" spans="1:51" s="563" customFormat="1" ht="15.6" customHeight="1" x14ac:dyDescent="0.25">
      <c r="A400" s="903"/>
      <c r="B400" s="903"/>
      <c r="C400" s="448"/>
      <c r="D400" s="448"/>
      <c r="E400" s="448"/>
      <c r="F400" s="448"/>
      <c r="G400" s="448"/>
      <c r="H400" s="448"/>
      <c r="I400" s="448"/>
      <c r="J400" s="448"/>
      <c r="K400" s="448"/>
      <c r="L400" s="448"/>
      <c r="M400" s="448"/>
      <c r="N400" s="904"/>
      <c r="O400" s="904"/>
      <c r="P400" s="904"/>
      <c r="Q400" s="708"/>
      <c r="R400" s="709"/>
      <c r="S400" s="905"/>
      <c r="T400" s="708"/>
      <c r="U400" s="906"/>
      <c r="V400" s="708"/>
      <c r="W400" s="708"/>
      <c r="X400" s="907"/>
      <c r="Y400" s="908"/>
      <c r="Z400" s="908"/>
      <c r="AA400" s="448"/>
      <c r="AB400" s="909"/>
      <c r="AC400" s="904"/>
      <c r="AD400" s="910"/>
      <c r="AE400" s="708"/>
      <c r="AF400" s="708"/>
      <c r="AG400" s="708"/>
      <c r="AH400" s="904"/>
      <c r="AI400" s="708"/>
      <c r="AJ400" s="911"/>
      <c r="AK400" s="904"/>
      <c r="AL400" s="374"/>
      <c r="AM400" s="913"/>
      <c r="AN400" s="913"/>
      <c r="AX400" s="564"/>
      <c r="AY400" s="564"/>
    </row>
    <row r="401" spans="1:51" s="563" customFormat="1" ht="15.6" customHeight="1" x14ac:dyDescent="0.25">
      <c r="A401" s="903"/>
      <c r="B401" s="903"/>
      <c r="C401" s="448"/>
      <c r="D401" s="448"/>
      <c r="E401" s="448"/>
      <c r="F401" s="448"/>
      <c r="G401" s="448"/>
      <c r="H401" s="448"/>
      <c r="I401" s="448"/>
      <c r="J401" s="448"/>
      <c r="K401" s="448"/>
      <c r="L401" s="448"/>
      <c r="M401" s="448"/>
      <c r="N401" s="904"/>
      <c r="O401" s="904"/>
      <c r="P401" s="904"/>
      <c r="Q401" s="708"/>
      <c r="R401" s="709"/>
      <c r="S401" s="905"/>
      <c r="T401" s="708"/>
      <c r="U401" s="906"/>
      <c r="V401" s="708"/>
      <c r="W401" s="708"/>
      <c r="X401" s="907"/>
      <c r="Y401" s="908"/>
      <c r="Z401" s="908"/>
      <c r="AA401" s="448"/>
      <c r="AB401" s="909"/>
      <c r="AC401" s="904"/>
      <c r="AD401" s="910"/>
      <c r="AE401" s="708"/>
      <c r="AF401" s="708"/>
      <c r="AG401" s="708"/>
      <c r="AH401" s="904"/>
      <c r="AI401" s="708"/>
      <c r="AJ401" s="911"/>
      <c r="AK401" s="904"/>
      <c r="AL401" s="374"/>
      <c r="AM401" s="913"/>
      <c r="AN401" s="913"/>
      <c r="AX401" s="564"/>
      <c r="AY401" s="564"/>
    </row>
    <row r="402" spans="1:51" s="563" customFormat="1" ht="15.6" customHeight="1" x14ac:dyDescent="0.25">
      <c r="A402" s="903"/>
      <c r="B402" s="903"/>
      <c r="C402" s="448"/>
      <c r="D402" s="448"/>
      <c r="E402" s="448"/>
      <c r="F402" s="448"/>
      <c r="G402" s="448"/>
      <c r="H402" s="448"/>
      <c r="I402" s="448"/>
      <c r="J402" s="448"/>
      <c r="K402" s="448"/>
      <c r="L402" s="448"/>
      <c r="M402" s="448"/>
      <c r="N402" s="904"/>
      <c r="O402" s="904"/>
      <c r="P402" s="904"/>
      <c r="Q402" s="708"/>
      <c r="R402" s="709"/>
      <c r="S402" s="905"/>
      <c r="T402" s="708"/>
      <c r="U402" s="906"/>
      <c r="V402" s="708"/>
      <c r="W402" s="708"/>
      <c r="X402" s="907"/>
      <c r="Y402" s="908"/>
      <c r="Z402" s="908"/>
      <c r="AA402" s="448"/>
      <c r="AB402" s="909"/>
      <c r="AC402" s="904"/>
      <c r="AD402" s="910"/>
      <c r="AE402" s="708"/>
      <c r="AF402" s="708"/>
      <c r="AG402" s="708"/>
      <c r="AH402" s="904"/>
      <c r="AI402" s="708"/>
      <c r="AJ402" s="911"/>
      <c r="AK402" s="904"/>
      <c r="AL402" s="374"/>
      <c r="AM402" s="913"/>
      <c r="AN402" s="913"/>
      <c r="AX402" s="564"/>
      <c r="AY402" s="564"/>
    </row>
    <row r="403" spans="1:51" s="563" customFormat="1" ht="15.6" customHeight="1" x14ac:dyDescent="0.25">
      <c r="A403" s="903"/>
      <c r="B403" s="903"/>
      <c r="C403" s="448"/>
      <c r="D403" s="448"/>
      <c r="E403" s="448"/>
      <c r="F403" s="448"/>
      <c r="G403" s="448"/>
      <c r="H403" s="448"/>
      <c r="I403" s="448"/>
      <c r="J403" s="448"/>
      <c r="K403" s="448"/>
      <c r="L403" s="448"/>
      <c r="M403" s="448"/>
      <c r="N403" s="904"/>
      <c r="O403" s="904"/>
      <c r="P403" s="904"/>
      <c r="Q403" s="708"/>
      <c r="R403" s="709"/>
      <c r="S403" s="905"/>
      <c r="T403" s="708"/>
      <c r="U403" s="906"/>
      <c r="V403" s="708"/>
      <c r="W403" s="708"/>
      <c r="X403" s="907"/>
      <c r="Y403" s="908"/>
      <c r="Z403" s="908"/>
      <c r="AA403" s="448"/>
      <c r="AB403" s="909"/>
      <c r="AC403" s="904"/>
      <c r="AD403" s="910"/>
      <c r="AE403" s="708"/>
      <c r="AF403" s="708"/>
      <c r="AG403" s="708"/>
      <c r="AH403" s="904"/>
      <c r="AI403" s="708"/>
      <c r="AJ403" s="911"/>
      <c r="AK403" s="904"/>
      <c r="AL403" s="374"/>
      <c r="AM403" s="913"/>
      <c r="AN403" s="913"/>
      <c r="AX403" s="564"/>
      <c r="AY403" s="564"/>
    </row>
    <row r="404" spans="1:51" s="563" customFormat="1" ht="15.6" customHeight="1" x14ac:dyDescent="0.25">
      <c r="A404" s="903"/>
      <c r="B404" s="903"/>
      <c r="C404" s="448"/>
      <c r="D404" s="448"/>
      <c r="E404" s="448"/>
      <c r="F404" s="448"/>
      <c r="G404" s="448"/>
      <c r="H404" s="448"/>
      <c r="I404" s="448"/>
      <c r="J404" s="448"/>
      <c r="K404" s="448"/>
      <c r="L404" s="448"/>
      <c r="M404" s="448"/>
      <c r="N404" s="904"/>
      <c r="O404" s="904"/>
      <c r="P404" s="904"/>
      <c r="Q404" s="708"/>
      <c r="R404" s="709"/>
      <c r="S404" s="905"/>
      <c r="T404" s="708"/>
      <c r="U404" s="906"/>
      <c r="V404" s="708"/>
      <c r="W404" s="708"/>
      <c r="X404" s="907"/>
      <c r="Y404" s="908"/>
      <c r="Z404" s="908"/>
      <c r="AA404" s="448"/>
      <c r="AB404" s="909"/>
      <c r="AC404" s="904"/>
      <c r="AD404" s="910"/>
      <c r="AE404" s="708"/>
      <c r="AF404" s="708"/>
      <c r="AG404" s="708"/>
      <c r="AH404" s="904"/>
      <c r="AI404" s="708"/>
      <c r="AJ404" s="911"/>
      <c r="AK404" s="904"/>
      <c r="AL404" s="374"/>
      <c r="AM404" s="913"/>
      <c r="AN404" s="913"/>
      <c r="AX404" s="564"/>
      <c r="AY404" s="564"/>
    </row>
    <row r="405" spans="1:51" s="563" customFormat="1" ht="15.6" customHeight="1" x14ac:dyDescent="0.25">
      <c r="A405" s="903"/>
      <c r="B405" s="903"/>
      <c r="C405" s="448"/>
      <c r="D405" s="448"/>
      <c r="E405" s="448"/>
      <c r="F405" s="448"/>
      <c r="G405" s="448"/>
      <c r="H405" s="448"/>
      <c r="I405" s="448"/>
      <c r="J405" s="448"/>
      <c r="K405" s="448"/>
      <c r="L405" s="448"/>
      <c r="M405" s="448"/>
      <c r="N405" s="904"/>
      <c r="O405" s="904"/>
      <c r="P405" s="904"/>
      <c r="Q405" s="708"/>
      <c r="R405" s="709"/>
      <c r="S405" s="905"/>
      <c r="T405" s="708"/>
      <c r="U405" s="906"/>
      <c r="V405" s="708"/>
      <c r="W405" s="708"/>
      <c r="X405" s="907"/>
      <c r="Y405" s="908"/>
      <c r="Z405" s="908"/>
      <c r="AA405" s="448"/>
      <c r="AB405" s="909"/>
      <c r="AC405" s="904"/>
      <c r="AD405" s="910"/>
      <c r="AE405" s="708"/>
      <c r="AF405" s="708"/>
      <c r="AG405" s="708"/>
      <c r="AH405" s="904"/>
      <c r="AI405" s="708"/>
      <c r="AJ405" s="911"/>
      <c r="AK405" s="904"/>
      <c r="AL405" s="374"/>
      <c r="AM405" s="913"/>
      <c r="AN405" s="913"/>
      <c r="AX405" s="564"/>
      <c r="AY405" s="564"/>
    </row>
    <row r="406" spans="1:51" s="563" customFormat="1" ht="15.6" customHeight="1" x14ac:dyDescent="0.25">
      <c r="A406" s="903"/>
      <c r="B406" s="903"/>
      <c r="C406" s="448"/>
      <c r="D406" s="448"/>
      <c r="E406" s="448"/>
      <c r="F406" s="448"/>
      <c r="G406" s="448"/>
      <c r="H406" s="448"/>
      <c r="I406" s="448"/>
      <c r="J406" s="448"/>
      <c r="K406" s="448"/>
      <c r="L406" s="448"/>
      <c r="M406" s="448"/>
      <c r="N406" s="904"/>
      <c r="O406" s="904"/>
      <c r="P406" s="904"/>
      <c r="Q406" s="708"/>
      <c r="R406" s="709"/>
      <c r="S406" s="905"/>
      <c r="T406" s="708"/>
      <c r="U406" s="906"/>
      <c r="V406" s="708"/>
      <c r="W406" s="708"/>
      <c r="X406" s="907"/>
      <c r="Y406" s="908"/>
      <c r="Z406" s="908"/>
      <c r="AA406" s="448"/>
      <c r="AB406" s="909"/>
      <c r="AC406" s="904"/>
      <c r="AD406" s="910"/>
      <c r="AE406" s="708"/>
      <c r="AF406" s="708"/>
      <c r="AG406" s="708"/>
      <c r="AH406" s="904"/>
      <c r="AI406" s="708"/>
      <c r="AJ406" s="911"/>
      <c r="AK406" s="904"/>
      <c r="AL406" s="374"/>
      <c r="AM406" s="913"/>
      <c r="AN406" s="913"/>
      <c r="AX406" s="564"/>
      <c r="AY406" s="564"/>
    </row>
    <row r="407" spans="1:51" s="563" customFormat="1" ht="15.6" customHeight="1" x14ac:dyDescent="0.25">
      <c r="A407" s="903"/>
      <c r="B407" s="903"/>
      <c r="C407" s="448"/>
      <c r="D407" s="448"/>
      <c r="E407" s="448"/>
      <c r="F407" s="448"/>
      <c r="G407" s="448"/>
      <c r="H407" s="448"/>
      <c r="I407" s="448"/>
      <c r="J407" s="448"/>
      <c r="K407" s="448"/>
      <c r="L407" s="448"/>
      <c r="M407" s="448"/>
      <c r="N407" s="904"/>
      <c r="O407" s="904"/>
      <c r="P407" s="904"/>
      <c r="Q407" s="708"/>
      <c r="R407" s="709"/>
      <c r="S407" s="905"/>
      <c r="T407" s="708"/>
      <c r="U407" s="906"/>
      <c r="V407" s="708"/>
      <c r="W407" s="708"/>
      <c r="X407" s="907"/>
      <c r="Y407" s="908"/>
      <c r="Z407" s="908"/>
      <c r="AA407" s="448"/>
      <c r="AB407" s="909"/>
      <c r="AC407" s="904"/>
      <c r="AD407" s="910"/>
      <c r="AE407" s="708"/>
      <c r="AF407" s="708"/>
      <c r="AG407" s="708"/>
      <c r="AH407" s="904"/>
      <c r="AI407" s="708"/>
      <c r="AJ407" s="911"/>
      <c r="AK407" s="904"/>
      <c r="AL407" s="374"/>
      <c r="AM407" s="913"/>
      <c r="AN407" s="913"/>
      <c r="AX407" s="564"/>
      <c r="AY407" s="564"/>
    </row>
    <row r="408" spans="1:51" s="563" customFormat="1" ht="15.6" customHeight="1" x14ac:dyDescent="0.25">
      <c r="A408" s="903"/>
      <c r="B408" s="903"/>
      <c r="C408" s="448"/>
      <c r="D408" s="448"/>
      <c r="E408" s="448"/>
      <c r="F408" s="448"/>
      <c r="G408" s="448"/>
      <c r="H408" s="448"/>
      <c r="I408" s="448"/>
      <c r="J408" s="448"/>
      <c r="K408" s="448"/>
      <c r="L408" s="448"/>
      <c r="M408" s="448"/>
      <c r="N408" s="904"/>
      <c r="O408" s="904"/>
      <c r="P408" s="904"/>
      <c r="Q408" s="708"/>
      <c r="R408" s="709"/>
      <c r="S408" s="905"/>
      <c r="T408" s="708"/>
      <c r="U408" s="906"/>
      <c r="V408" s="708"/>
      <c r="W408" s="708"/>
      <c r="X408" s="907"/>
      <c r="Y408" s="908"/>
      <c r="Z408" s="908"/>
      <c r="AA408" s="448"/>
      <c r="AB408" s="909"/>
      <c r="AC408" s="904"/>
      <c r="AD408" s="910"/>
      <c r="AE408" s="708"/>
      <c r="AF408" s="708"/>
      <c r="AG408" s="708"/>
      <c r="AH408" s="904"/>
      <c r="AI408" s="708"/>
      <c r="AJ408" s="911"/>
      <c r="AK408" s="904"/>
      <c r="AL408" s="374"/>
      <c r="AM408" s="913"/>
      <c r="AN408" s="913"/>
      <c r="AX408" s="564"/>
      <c r="AY408" s="564"/>
    </row>
    <row r="409" spans="1:51" s="563" customFormat="1" ht="15.6" customHeight="1" x14ac:dyDescent="0.25">
      <c r="A409" s="903"/>
      <c r="B409" s="903"/>
      <c r="C409" s="448"/>
      <c r="D409" s="448"/>
      <c r="E409" s="448"/>
      <c r="F409" s="448"/>
      <c r="G409" s="448"/>
      <c r="H409" s="448"/>
      <c r="I409" s="448"/>
      <c r="J409" s="448"/>
      <c r="K409" s="448"/>
      <c r="L409" s="448"/>
      <c r="M409" s="448"/>
      <c r="N409" s="904"/>
      <c r="O409" s="904"/>
      <c r="P409" s="904"/>
      <c r="Q409" s="708"/>
      <c r="R409" s="709"/>
      <c r="S409" s="905"/>
      <c r="T409" s="708"/>
      <c r="U409" s="906"/>
      <c r="V409" s="708"/>
      <c r="W409" s="708"/>
      <c r="X409" s="907"/>
      <c r="Y409" s="908"/>
      <c r="Z409" s="908"/>
      <c r="AA409" s="448"/>
      <c r="AB409" s="909"/>
      <c r="AC409" s="904"/>
      <c r="AD409" s="910"/>
      <c r="AE409" s="708"/>
      <c r="AF409" s="708"/>
      <c r="AG409" s="708"/>
      <c r="AH409" s="904"/>
      <c r="AI409" s="708"/>
      <c r="AJ409" s="911"/>
      <c r="AK409" s="904"/>
      <c r="AL409" s="374"/>
      <c r="AM409" s="913"/>
      <c r="AN409" s="913"/>
      <c r="AX409" s="564"/>
      <c r="AY409" s="564"/>
    </row>
    <row r="410" spans="1:51" s="563" customFormat="1" ht="15.6" customHeight="1" x14ac:dyDescent="0.25">
      <c r="A410" s="903"/>
      <c r="B410" s="903"/>
      <c r="C410" s="448"/>
      <c r="D410" s="448"/>
      <c r="E410" s="448"/>
      <c r="F410" s="448"/>
      <c r="G410" s="448"/>
      <c r="H410" s="448"/>
      <c r="I410" s="448"/>
      <c r="J410" s="448"/>
      <c r="K410" s="448"/>
      <c r="L410" s="448"/>
      <c r="M410" s="448"/>
      <c r="N410" s="904"/>
      <c r="O410" s="904"/>
      <c r="P410" s="904"/>
      <c r="Q410" s="708"/>
      <c r="R410" s="709"/>
      <c r="S410" s="905"/>
      <c r="T410" s="708"/>
      <c r="U410" s="906"/>
      <c r="V410" s="708"/>
      <c r="W410" s="708"/>
      <c r="X410" s="907"/>
      <c r="Y410" s="908"/>
      <c r="Z410" s="908"/>
      <c r="AA410" s="448"/>
      <c r="AB410" s="909"/>
      <c r="AC410" s="904"/>
      <c r="AD410" s="910"/>
      <c r="AE410" s="708"/>
      <c r="AF410" s="708"/>
      <c r="AG410" s="708"/>
      <c r="AH410" s="904"/>
      <c r="AI410" s="708"/>
      <c r="AJ410" s="911"/>
      <c r="AK410" s="904"/>
      <c r="AL410" s="374"/>
      <c r="AM410" s="913"/>
      <c r="AN410" s="913"/>
      <c r="AX410" s="564"/>
      <c r="AY410" s="564"/>
    </row>
  </sheetData>
  <sortState ref="A73:AK238">
    <sortCondition ref="G1:G1048576"/>
    <sortCondition ref="L1:L1048576"/>
  </sortState>
  <mergeCells count="1">
    <mergeCell ref="A3:C3"/>
  </mergeCells>
  <conditionalFormatting sqref="A117:A155 A5:A110">
    <cfRule type="cellIs" dxfId="2047" priority="96" operator="equal">
      <formula>"closed"</formula>
    </cfRule>
  </conditionalFormatting>
  <conditionalFormatting sqref="A111">
    <cfRule type="cellIs" dxfId="2046" priority="92" operator="equal">
      <formula>"closed"</formula>
    </cfRule>
  </conditionalFormatting>
  <conditionalFormatting sqref="A112">
    <cfRule type="cellIs" dxfId="2045" priority="91" operator="equal">
      <formula>"closed"</formula>
    </cfRule>
  </conditionalFormatting>
  <conditionalFormatting sqref="A113:A115">
    <cfRule type="cellIs" dxfId="2044" priority="90" operator="equal">
      <formula>"closed"</formula>
    </cfRule>
  </conditionalFormatting>
  <conditionalFormatting sqref="A116">
    <cfRule type="cellIs" dxfId="2043" priority="89" operator="equal">
      <formula>"closed"</formula>
    </cfRule>
  </conditionalFormatting>
  <conditionalFormatting sqref="AB1:AB3 AA4:AA155 AB214:AB282 AB284 AB286:AB1048576">
    <cfRule type="cellIs" dxfId="2042" priority="85" operator="equal">
      <formula>"RRD"</formula>
    </cfRule>
    <cfRule type="cellIs" dxfId="2041" priority="86" operator="equal">
      <formula>"IP"</formula>
    </cfRule>
    <cfRule type="cellIs" dxfId="2040" priority="87" operator="equal">
      <formula>"IRRC"</formula>
    </cfRule>
  </conditionalFormatting>
  <conditionalFormatting sqref="A156:A205">
    <cfRule type="cellIs" dxfId="2039" priority="65" operator="equal">
      <formula>"closed"</formula>
    </cfRule>
  </conditionalFormatting>
  <conditionalFormatting sqref="AA156:AA205 AA233 AA239 AA255 AA258 AA245">
    <cfRule type="cellIs" dxfId="2038" priority="62" operator="equal">
      <formula>"RRD"</formula>
    </cfRule>
    <cfRule type="cellIs" dxfId="2037" priority="63" operator="equal">
      <formula>"IP"</formula>
    </cfRule>
    <cfRule type="cellIs" dxfId="2036" priority="64" operator="equal">
      <formula>"IRRC"</formula>
    </cfRule>
  </conditionalFormatting>
  <conditionalFormatting sqref="A206">
    <cfRule type="cellIs" dxfId="2035" priority="61" operator="equal">
      <formula>"closed"</formula>
    </cfRule>
  </conditionalFormatting>
  <conditionalFormatting sqref="AA206">
    <cfRule type="cellIs" dxfId="2034" priority="58" operator="equal">
      <formula>"RRD"</formula>
    </cfRule>
    <cfRule type="cellIs" dxfId="2033" priority="59" operator="equal">
      <formula>"IP"</formula>
    </cfRule>
    <cfRule type="cellIs" dxfId="2032" priority="60" operator="equal">
      <formula>"IRRC"</formula>
    </cfRule>
  </conditionalFormatting>
  <conditionalFormatting sqref="AG5:AG213">
    <cfRule type="notContainsBlanks" dxfId="2031" priority="97">
      <formula>LEN(TRIM(AG5))&gt;0</formula>
    </cfRule>
  </conditionalFormatting>
  <conditionalFormatting sqref="AA208 AA210 AA212">
    <cfRule type="cellIs" dxfId="2030" priority="21" operator="equal">
      <formula>"RRD"</formula>
    </cfRule>
    <cfRule type="cellIs" dxfId="2029" priority="22" operator="equal">
      <formula>"IP"</formula>
    </cfRule>
    <cfRule type="cellIs" dxfId="2028" priority="23" operator="equal">
      <formula>"IRRC"</formula>
    </cfRule>
  </conditionalFormatting>
  <conditionalFormatting sqref="A207 A209 A211 A213">
    <cfRule type="cellIs" dxfId="2027" priority="28" operator="equal">
      <formula>"closed"</formula>
    </cfRule>
  </conditionalFormatting>
  <conditionalFormatting sqref="AA207 AA209 AA211 AA213">
    <cfRule type="cellIs" dxfId="2026" priority="25" operator="equal">
      <formula>"RRD"</formula>
    </cfRule>
    <cfRule type="cellIs" dxfId="2025" priority="26" operator="equal">
      <formula>"IP"</formula>
    </cfRule>
    <cfRule type="cellIs" dxfId="2024" priority="27" operator="equal">
      <formula>"IRRC"</formula>
    </cfRule>
  </conditionalFormatting>
  <conditionalFormatting sqref="A208 A210 A212">
    <cfRule type="cellIs" dxfId="2023" priority="24" operator="equal">
      <formula>"closed"</formula>
    </cfRule>
  </conditionalFormatting>
  <conditionalFormatting sqref="A238">
    <cfRule type="cellIs" dxfId="2022" priority="20" operator="equal">
      <formula>"closed"</formula>
    </cfRule>
  </conditionalFormatting>
  <conditionalFormatting sqref="A258:A262">
    <cfRule type="cellIs" dxfId="2021" priority="19" operator="equal">
      <formula>"closed"</formula>
    </cfRule>
  </conditionalFormatting>
  <conditionalFormatting sqref="Q5:R5">
    <cfRule type="containsBlanks" dxfId="2020" priority="15" stopIfTrue="1">
      <formula>LEN(TRIM(Q5))=0</formula>
    </cfRule>
  </conditionalFormatting>
  <conditionalFormatting sqref="Q6:R6">
    <cfRule type="containsBlanks" dxfId="2019" priority="14" stopIfTrue="1">
      <formula>LEN(TRIM(Q6))=0</formula>
    </cfRule>
  </conditionalFormatting>
  <conditionalFormatting sqref="Q7:R7">
    <cfRule type="containsBlanks" dxfId="2018" priority="13" stopIfTrue="1">
      <formula>LEN(TRIM(Q7))=0</formula>
    </cfRule>
  </conditionalFormatting>
  <conditionalFormatting sqref="Q13:R13">
    <cfRule type="containsBlanks" dxfId="2017" priority="12" stopIfTrue="1">
      <formula>LEN(TRIM(Q13))=0</formula>
    </cfRule>
  </conditionalFormatting>
  <conditionalFormatting sqref="AB283">
    <cfRule type="cellIs" dxfId="2016" priority="7" operator="equal">
      <formula>"RRD"</formula>
    </cfRule>
    <cfRule type="cellIs" dxfId="2015" priority="8" operator="equal">
      <formula>"IP"</formula>
    </cfRule>
    <cfRule type="cellIs" dxfId="2014" priority="9" operator="equal">
      <formula>"IRRC"</formula>
    </cfRule>
  </conditionalFormatting>
  <conditionalFormatting sqref="A284">
    <cfRule type="cellIs" dxfId="2013" priority="5" operator="equal">
      <formula>"closed"</formula>
    </cfRule>
  </conditionalFormatting>
  <conditionalFormatting sqref="AB285">
    <cfRule type="cellIs" dxfId="2012" priority="1" operator="equal">
      <formula>"RRD"</formula>
    </cfRule>
    <cfRule type="cellIs" dxfId="2011" priority="2" operator="equal">
      <formula>"IP"</formula>
    </cfRule>
    <cfRule type="cellIs" dxfId="2010" priority="3" operator="equal">
      <formula>"IRRC"</formula>
    </cfRule>
  </conditionalFormatting>
  <pageMargins left="0.7" right="0.7" top="0.75" bottom="0.75" header="0.3" footer="0.3"/>
  <pageSetup scale="82"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8" operator="containsText" id="{1070DF20-8AC9-49A6-9DCA-85B18B49670D}">
            <xm:f>NOT(ISERROR(SEARCH($A$269,A1)))</xm:f>
            <xm:f>$A$269</xm:f>
            <x14:dxf>
              <fill>
                <patternFill>
                  <bgColor rgb="FFFF0000"/>
                </patternFill>
              </fill>
            </x14:dxf>
          </x14:cfRule>
          <xm:sqref>A1:A280 A285:A1048576</xm:sqref>
        </x14:conditionalFormatting>
        <x14:conditionalFormatting xmlns:xm="http://schemas.microsoft.com/office/excel/2006/main">
          <x14:cfRule type="containsText" priority="11" operator="containsText" id="{96970DC2-F078-4FDB-AFA2-25C81A86F8FC}">
            <xm:f>NOT(ISERROR(SEARCH($A$269,A281)))</xm:f>
            <xm:f>$A$269</xm:f>
            <x14:dxf>
              <fill>
                <patternFill>
                  <bgColor rgb="FFFF0000"/>
                </patternFill>
              </fill>
            </x14:dxf>
          </x14:cfRule>
          <xm:sqref>A281</xm:sqref>
        </x14:conditionalFormatting>
        <x14:conditionalFormatting xmlns:xm="http://schemas.microsoft.com/office/excel/2006/main">
          <x14:cfRule type="containsText" priority="10" operator="containsText" id="{41DD44DF-F32B-46DB-BCF7-25A9DA89959D}">
            <xm:f>NOT(ISERROR(SEARCH($A$269,A282)))</xm:f>
            <xm:f>$A$269</xm:f>
            <x14:dxf>
              <fill>
                <patternFill>
                  <bgColor rgb="FFFF0000"/>
                </patternFill>
              </fill>
            </x14:dxf>
          </x14:cfRule>
          <xm:sqref>A282</xm:sqref>
        </x14:conditionalFormatting>
        <x14:conditionalFormatting xmlns:xm="http://schemas.microsoft.com/office/excel/2006/main">
          <x14:cfRule type="containsText" priority="6" operator="containsText" id="{169DFCFD-B6CC-4690-A202-5F79426EC3CE}">
            <xm:f>NOT(ISERROR(SEARCH($A$269,A283)))</xm:f>
            <xm:f>$A$269</xm:f>
            <x14:dxf>
              <fill>
                <patternFill>
                  <bgColor rgb="FFFF0000"/>
                </patternFill>
              </fill>
            </x14:dxf>
          </x14:cfRule>
          <xm:sqref>A283</xm:sqref>
        </x14:conditionalFormatting>
        <x14:conditionalFormatting xmlns:xm="http://schemas.microsoft.com/office/excel/2006/main">
          <x14:cfRule type="containsText" priority="4" operator="containsText" id="{65A6D81D-7BAC-4F65-AF6C-7690EF3D9C9A}">
            <xm:f>NOT(ISERROR(SEARCH($A$269,A284)))</xm:f>
            <xm:f>$A$269</xm:f>
            <x14:dxf>
              <fill>
                <patternFill>
                  <bgColor rgb="FFFF0000"/>
                </patternFill>
              </fill>
            </x14:dxf>
          </x14:cfRule>
          <xm:sqref>A284</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39997558519241921"/>
  </sheetPr>
  <dimension ref="A1:T168"/>
  <sheetViews>
    <sheetView zoomScale="80" zoomScaleNormal="80" workbookViewId="0">
      <selection activeCell="J37" sqref="J37"/>
    </sheetView>
  </sheetViews>
  <sheetFormatPr defaultRowHeight="15" x14ac:dyDescent="0.25"/>
  <cols>
    <col min="1" max="1" width="19.7109375" style="89" customWidth="1"/>
    <col min="2" max="2" width="11.85546875" customWidth="1"/>
    <col min="3" max="3" width="38.7109375" customWidth="1"/>
    <col min="4" max="4" width="11.5703125" bestFit="1" customWidth="1"/>
    <col min="5" max="5" width="10.7109375" customWidth="1"/>
    <col min="6" max="6" width="7.7109375" customWidth="1"/>
    <col min="7" max="7" width="23.42578125" customWidth="1"/>
    <col min="8" max="8" width="20.28515625" customWidth="1"/>
    <col min="9" max="9" width="19" bestFit="1" customWidth="1"/>
    <col min="10" max="10" width="14.7109375" bestFit="1" customWidth="1"/>
    <col min="11" max="11" width="17" customWidth="1"/>
    <col min="12" max="12" width="17.42578125" customWidth="1"/>
    <col min="13" max="13" width="13" style="106" customWidth="1"/>
    <col min="14" max="14" width="11.140625" customWidth="1"/>
    <col min="17" max="17" width="14.140625" customWidth="1"/>
    <col min="18" max="18" width="21.7109375" bestFit="1" customWidth="1"/>
    <col min="19" max="19" width="21.42578125" customWidth="1"/>
    <col min="20" max="20" width="21.5703125" bestFit="1" customWidth="1"/>
    <col min="21" max="21" width="6" customWidth="1"/>
    <col min="22" max="22" width="21.140625" bestFit="1" customWidth="1"/>
    <col min="23" max="23" width="6" customWidth="1"/>
    <col min="24" max="24" width="26.5703125" bestFit="1" customWidth="1"/>
    <col min="25" max="26" width="26.28515625" bestFit="1" customWidth="1"/>
  </cols>
  <sheetData>
    <row r="1" spans="1:20" s="97" customFormat="1" ht="30" x14ac:dyDescent="0.25">
      <c r="A1" s="284" t="s">
        <v>557</v>
      </c>
      <c r="B1" s="285" t="s">
        <v>1075</v>
      </c>
      <c r="C1" s="285" t="s">
        <v>553</v>
      </c>
      <c r="D1" s="285" t="s">
        <v>0</v>
      </c>
      <c r="E1" s="285" t="s">
        <v>2</v>
      </c>
      <c r="F1" s="285" t="s">
        <v>1076</v>
      </c>
      <c r="G1" s="285" t="s">
        <v>998</v>
      </c>
      <c r="H1" s="285" t="s">
        <v>999</v>
      </c>
      <c r="I1" s="285" t="s">
        <v>1000</v>
      </c>
      <c r="J1" s="285" t="s">
        <v>1077</v>
      </c>
      <c r="K1" s="285" t="s">
        <v>1079</v>
      </c>
      <c r="L1" s="285" t="s">
        <v>1078</v>
      </c>
      <c r="M1" s="286" t="s">
        <v>1086</v>
      </c>
      <c r="N1" s="287" t="s">
        <v>1083</v>
      </c>
      <c r="Q1" s="97">
        <f>SUM(N:N)</f>
        <v>0</v>
      </c>
      <c r="R1" s="97">
        <f>COUNTA(A:A)-1</f>
        <v>167</v>
      </c>
    </row>
    <row r="2" spans="1:20" x14ac:dyDescent="0.25">
      <c r="A2" s="234" t="s">
        <v>30</v>
      </c>
      <c r="B2" s="18" t="str">
        <f ca="1">OFFSET(CampList[Priority],MATCH(Table10[[#This Row],[Pcode]],CampList[CP_Pcode],0)-1,0,1,1)</f>
        <v>P1</v>
      </c>
      <c r="C2" s="18" t="str">
        <f ca="1">OFFSET(CampList[Camp],MATCH(Table10[[#This Row],[Pcode]],CampList[CP_Pcode],0)-1,0,1,1)</f>
        <v>Chipwi KBC camp</v>
      </c>
      <c r="D2" s="18" t="str">
        <f ca="1">OFFSET(CampList[Township],MATCH(Table10[[#This Row],[Pcode]],CampList[CP_Pcode],0)-1,0,1,1)</f>
        <v>Chipwi</v>
      </c>
      <c r="E2" s="18">
        <f ca="1">OFFSET(CampList[HH],MATCH(Table10[[#This Row],[Pcode]],CampList[CP_Pcode],0)-1,0,1,1)</f>
        <v>108</v>
      </c>
      <c r="F2" s="18">
        <f ca="1">OFFSET(CampList[Total],MATCH(Table10[[#This Row],[Pcode]],CampList[CP_Pcode],0)-1,0,1,1)</f>
        <v>529</v>
      </c>
      <c r="G2" s="251">
        <f>SUMIF('NFI Tracking'!AQ$11:AQ$1048576,Table10[[#This Row],[Pcode]],'NFI Tracking'!AI$11:AI$1048576)</f>
        <v>79</v>
      </c>
      <c r="H2" s="251">
        <f>SUMIF('NFI Tracking'!AQ$11:AQ$1048576,Table10[[#This Row],[Pcode]],'NFI Tracking'!AJ$11:AJ$1048576)</f>
        <v>152</v>
      </c>
      <c r="I2" s="251">
        <f>SUMIF('NFI Tracking'!AQ$11:AQ$1048576,Table10[[#This Row],[Pcode]],'NFI Tracking'!AK$11:AK$1048576)</f>
        <v>0</v>
      </c>
      <c r="J2" s="251">
        <f ca="1">MAX(Table10[[#This Row],[HH]]*VLOOKUP("Winter Clothes Adult",NFI,6)-Table10[[#This Row],[Winter Clothes Adult ]],0)</f>
        <v>137</v>
      </c>
      <c r="K2" s="251">
        <f ca="1">MAX(Table10[[#This Row],[HH]]*VLOOKUP("Winter Clothes Children ",NFI,6)-Table10[[#This Row],[Winter Clothes Children ]],0)</f>
        <v>0</v>
      </c>
      <c r="L2" s="251">
        <f ca="1">MAX(Table10[[#This Row],[HH]]*VLOOKUP("Winter Items Other ",NFI,6)-Table10[[#This Row],[Winter Items Other ]],0)</f>
        <v>108</v>
      </c>
      <c r="M2" s="279" t="str">
        <f>IF(OR(Table10[[#This Row],[Winter Clothes Adult ]]&lt;&gt;0,Table10[[#This Row],[Winter Clothes Children ]]&lt;&gt;0,Table10[[#This Row],[Winter Items Other ]]&lt;&gt;0),"No","")</f>
        <v>No</v>
      </c>
      <c r="N2" s="280">
        <f>COUNTIF(A:A,Table10[[#This Row],[Pcode]])-1</f>
        <v>0</v>
      </c>
    </row>
    <row r="3" spans="1:20" x14ac:dyDescent="0.25">
      <c r="A3" s="234" t="s">
        <v>31</v>
      </c>
      <c r="B3" s="18" t="str">
        <f ca="1">OFFSET(CampList[Priority],MATCH(Table10[[#This Row],[Pcode]],CampList[CP_Pcode],0)-1,0,1,1)</f>
        <v>P1</v>
      </c>
      <c r="C3" s="18" t="str">
        <f ca="1">OFFSET(CampList[Camp],MATCH(Table10[[#This Row],[Pcode]],CampList[CP_Pcode],0)-1,0,1,1)</f>
        <v>Gant Gwin</v>
      </c>
      <c r="D3" s="18" t="str">
        <f ca="1">OFFSET(CampList[Township],MATCH(Table10[[#This Row],[Pcode]],CampList[CP_Pcode],0)-1,0,1,1)</f>
        <v>Chipwi</v>
      </c>
      <c r="E3" s="18">
        <f ca="1">OFFSET(CampList[HH],MATCH(Table10[[#This Row],[Pcode]],CampList[CP_Pcode],0)-1,0,1,1)</f>
        <v>0</v>
      </c>
      <c r="F3" s="18">
        <f ca="1">OFFSET(CampList[Total],MATCH(Table10[[#This Row],[Pcode]],CampList[CP_Pcode],0)-1,0,1,1)</f>
        <v>0</v>
      </c>
      <c r="G3" s="251">
        <f>SUMIF('NFI Tracking'!AQ$11:AQ$1048576,Table10[[#This Row],[Pcode]],'NFI Tracking'!AI$11:AI$1048576)</f>
        <v>0</v>
      </c>
      <c r="H3" s="251">
        <f>SUMIF('NFI Tracking'!AQ$11:AQ$1048576,Table10[[#This Row],[Pcode]],'NFI Tracking'!AJ$11:AJ$1048576)</f>
        <v>0</v>
      </c>
      <c r="I3" s="251">
        <f>SUMIF('NFI Tracking'!AQ$11:AQ$1048576,Table10[[#This Row],[Pcode]],'NFI Tracking'!AK$11:AK$1048576)</f>
        <v>0</v>
      </c>
      <c r="J3" s="251">
        <f ca="1">MAX(Table10[[#This Row],[HH]]*VLOOKUP("Winter Clothes Adult",NFI,6)-Table10[[#This Row],[Winter Clothes Adult ]],0)</f>
        <v>0</v>
      </c>
      <c r="K3" s="251">
        <f ca="1">MAX(Table10[[#This Row],[HH]]*VLOOKUP("Winter Clothes Children ",NFI,6)-Table10[[#This Row],[Winter Clothes Children ]],0)</f>
        <v>0</v>
      </c>
      <c r="L3" s="251">
        <f ca="1">MAX(Table10[[#This Row],[HH]]*VLOOKUP("Winter Items Other ",NFI,6)-Table10[[#This Row],[Winter Items Other ]],0)</f>
        <v>0</v>
      </c>
      <c r="M3" s="279" t="str">
        <f>IF(OR(Table10[[#This Row],[Winter Clothes Adult ]]&lt;&gt;0,Table10[[#This Row],[Winter Clothes Children ]]&lt;&gt;0,Table10[[#This Row],[Winter Items Other ]]&lt;&gt;0),"No","")</f>
        <v/>
      </c>
      <c r="N3" s="280">
        <f>COUNTIF(A:A,Table10[[#This Row],[Pcode]])-1</f>
        <v>0</v>
      </c>
    </row>
    <row r="4" spans="1:20" x14ac:dyDescent="0.25">
      <c r="A4" s="234" t="s">
        <v>29</v>
      </c>
      <c r="B4" s="18" t="str">
        <f ca="1">OFFSET(CampList[Priority],MATCH(Table10[[#This Row],[Pcode]],CampList[CP_Pcode],0)-1,0,1,1)</f>
        <v>P1</v>
      </c>
      <c r="C4" s="18" t="str">
        <f ca="1">OFFSET(CampList[Camp],MATCH(Table10[[#This Row],[Pcode]],CampList[CP_Pcode],0)-1,0,1,1)</f>
        <v>Hpare Hkyer - BP6</v>
      </c>
      <c r="D4" s="18" t="str">
        <f ca="1">OFFSET(CampList[Township],MATCH(Table10[[#This Row],[Pcode]],CampList[CP_Pcode],0)-1,0,1,1)</f>
        <v>Chipwi</v>
      </c>
      <c r="E4" s="18">
        <f ca="1">OFFSET(CampList[HH],MATCH(Table10[[#This Row],[Pcode]],CampList[CP_Pcode],0)-1,0,1,1)</f>
        <v>158</v>
      </c>
      <c r="F4" s="18">
        <f ca="1">OFFSET(CampList[Total],MATCH(Table10[[#This Row],[Pcode]],CampList[CP_Pcode],0)-1,0,1,1)</f>
        <v>945</v>
      </c>
      <c r="G4" s="251">
        <f>SUMIF('NFI Tracking'!AQ$11:AQ$1048576,Table10[[#This Row],[Pcode]],'NFI Tracking'!AI$11:AI$1048576)</f>
        <v>0</v>
      </c>
      <c r="H4" s="251">
        <f>SUMIF('NFI Tracking'!AQ$11:AQ$1048576,Table10[[#This Row],[Pcode]],'NFI Tracking'!AJ$11:AJ$1048576)</f>
        <v>0</v>
      </c>
      <c r="I4" s="251">
        <f>SUMIF('NFI Tracking'!AQ$11:AQ$1048576,Table10[[#This Row],[Pcode]],'NFI Tracking'!AK$11:AK$1048576)</f>
        <v>0</v>
      </c>
      <c r="J4" s="251">
        <f ca="1">MAX(Table10[[#This Row],[HH]]*VLOOKUP("Winter Clothes Adult",NFI,6)-Table10[[#This Row],[Winter Clothes Adult ]],0)</f>
        <v>316</v>
      </c>
      <c r="K4" s="251">
        <f ca="1">MAX(Table10[[#This Row],[HH]]*VLOOKUP("Winter Clothes Children ",NFI,6)-Table10[[#This Row],[Winter Clothes Children ]],0)</f>
        <v>158</v>
      </c>
      <c r="L4" s="251">
        <f ca="1">MAX(Table10[[#This Row],[HH]]*VLOOKUP("Winter Items Other ",NFI,6)-Table10[[#This Row],[Winter Items Other ]],0)</f>
        <v>158</v>
      </c>
      <c r="M4" s="279" t="str">
        <f>IF(OR(Table10[[#This Row],[Winter Clothes Adult ]]&lt;&gt;0,Table10[[#This Row],[Winter Clothes Children ]]&lt;&gt;0,Table10[[#This Row],[Winter Items Other ]]&lt;&gt;0),"No","")</f>
        <v/>
      </c>
      <c r="N4" s="280">
        <f>COUNTIF(A:A,Table10[[#This Row],[Pcode]])-1</f>
        <v>0</v>
      </c>
    </row>
    <row r="5" spans="1:20" x14ac:dyDescent="0.25">
      <c r="A5" s="234" t="s">
        <v>33</v>
      </c>
      <c r="B5" s="18" t="str">
        <f ca="1">OFFSET(CampList[Priority],MATCH(Table10[[#This Row],[Pcode]],CampList[CP_Pcode],0)-1,0,1,1)</f>
        <v>P1</v>
      </c>
      <c r="C5" s="18" t="str">
        <f ca="1">OFFSET(CampList[Camp],MATCH(Table10[[#This Row],[Pcode]],CampList[CP_Pcode],0)-1,0,1,1)</f>
        <v xml:space="preserve">Lan Jaw </v>
      </c>
      <c r="D5" s="18" t="str">
        <f ca="1">OFFSET(CampList[Township],MATCH(Table10[[#This Row],[Pcode]],CampList[CP_Pcode],0)-1,0,1,1)</f>
        <v>Chipwi</v>
      </c>
      <c r="E5" s="18">
        <f ca="1">OFFSET(CampList[HH],MATCH(Table10[[#This Row],[Pcode]],CampList[CP_Pcode],0)-1,0,1,1)</f>
        <v>0</v>
      </c>
      <c r="F5" s="18">
        <f ca="1">OFFSET(CampList[Total],MATCH(Table10[[#This Row],[Pcode]],CampList[CP_Pcode],0)-1,0,1,1)</f>
        <v>0</v>
      </c>
      <c r="G5" s="251">
        <f>SUMIF('NFI Tracking'!AQ$11:AQ$1048576,Table10[[#This Row],[Pcode]],'NFI Tracking'!AI$11:AI$1048576)</f>
        <v>0</v>
      </c>
      <c r="H5" s="251">
        <f>SUMIF('NFI Tracking'!AQ$11:AQ$1048576,Table10[[#This Row],[Pcode]],'NFI Tracking'!AJ$11:AJ$1048576)</f>
        <v>0</v>
      </c>
      <c r="I5" s="251">
        <f>SUMIF('NFI Tracking'!AQ$11:AQ$1048576,Table10[[#This Row],[Pcode]],'NFI Tracking'!AK$11:AK$1048576)</f>
        <v>0</v>
      </c>
      <c r="J5" s="251">
        <f ca="1">MAX(Table10[[#This Row],[HH]]*VLOOKUP("Winter Clothes Adult",NFI,6)-Table10[[#This Row],[Winter Clothes Adult ]],0)</f>
        <v>0</v>
      </c>
      <c r="K5" s="251">
        <f ca="1">MAX(Table10[[#This Row],[HH]]*VLOOKUP("Winter Clothes Children ",NFI,6)-Table10[[#This Row],[Winter Clothes Children ]],0)</f>
        <v>0</v>
      </c>
      <c r="L5" s="251">
        <f ca="1">MAX(Table10[[#This Row],[HH]]*VLOOKUP("Winter Items Other ",NFI,6)-Table10[[#This Row],[Winter Items Other ]],0)</f>
        <v>0</v>
      </c>
      <c r="M5" s="279" t="str">
        <f>IF(OR(Table10[[#This Row],[Winter Clothes Adult ]]&lt;&gt;0,Table10[[#This Row],[Winter Clothes Children ]]&lt;&gt;0,Table10[[#This Row],[Winter Items Other ]]&lt;&gt;0),"No","")</f>
        <v/>
      </c>
      <c r="N5" s="280">
        <f>COUNTIF(A:A,Table10[[#This Row],[Pcode]])-1</f>
        <v>0</v>
      </c>
    </row>
    <row r="6" spans="1:20" x14ac:dyDescent="0.25">
      <c r="A6" s="234" t="s">
        <v>378</v>
      </c>
      <c r="B6" s="18" t="str">
        <f ca="1">OFFSET(CampList[Priority],MATCH(Table10[[#This Row],[Pcode]],CampList[CP_Pcode],0)-1,0,1,1)</f>
        <v>P1</v>
      </c>
      <c r="C6" s="18" t="str">
        <f ca="1">OFFSET(CampList[Camp],MATCH(Table10[[#This Row],[Pcode]],CampList[CP_Pcode],0)-1,0,1,1)</f>
        <v>Lhaovao Baptist Church (LBC)</v>
      </c>
      <c r="D6" s="18" t="str">
        <f ca="1">OFFSET(CampList[Township],MATCH(Table10[[#This Row],[Pcode]],CampList[CP_Pcode],0)-1,0,1,1)</f>
        <v>Chipwi</v>
      </c>
      <c r="E6" s="18">
        <f ca="1">OFFSET(CampList[HH],MATCH(Table10[[#This Row],[Pcode]],CampList[CP_Pcode],0)-1,0,1,1)</f>
        <v>144</v>
      </c>
      <c r="F6" s="18">
        <f ca="1">OFFSET(CampList[Total],MATCH(Table10[[#This Row],[Pcode]],CampList[CP_Pcode],0)-1,0,1,1)</f>
        <v>644</v>
      </c>
      <c r="G6" s="251">
        <f>SUMIF('NFI Tracking'!AQ$11:AQ$1048576,Table10[[#This Row],[Pcode]],'NFI Tracking'!AI$11:AI$1048576)</f>
        <v>97</v>
      </c>
      <c r="H6" s="251">
        <f>SUMIF('NFI Tracking'!AQ$11:AQ$1048576,Table10[[#This Row],[Pcode]],'NFI Tracking'!AJ$11:AJ$1048576)</f>
        <v>203</v>
      </c>
      <c r="I6" s="251">
        <f>SUMIF('NFI Tracking'!AQ$11:AQ$1048576,Table10[[#This Row],[Pcode]],'NFI Tracking'!AK$11:AK$1048576)</f>
        <v>0</v>
      </c>
      <c r="J6" s="251">
        <f ca="1">MAX(Table10[[#This Row],[HH]]*VLOOKUP("Winter Clothes Adult",NFI,6)-Table10[[#This Row],[Winter Clothes Adult ]],0)</f>
        <v>191</v>
      </c>
      <c r="K6" s="251">
        <f ca="1">MAX(Table10[[#This Row],[HH]]*VLOOKUP("Winter Clothes Children ",NFI,6)-Table10[[#This Row],[Winter Clothes Children ]],0)</f>
        <v>0</v>
      </c>
      <c r="L6" s="251">
        <f ca="1">MAX(Table10[[#This Row],[HH]]*VLOOKUP("Winter Items Other ",NFI,6)-Table10[[#This Row],[Winter Items Other ]],0)</f>
        <v>144</v>
      </c>
      <c r="M6" s="279" t="str">
        <f>IF(OR(Table10[[#This Row],[Winter Clothes Adult ]]&lt;&gt;0,Table10[[#This Row],[Winter Clothes Children ]]&lt;&gt;0,Table10[[#This Row],[Winter Items Other ]]&lt;&gt;0),"No","")</f>
        <v>No</v>
      </c>
      <c r="N6" s="280">
        <f>COUNTIF(A:A,Table10[[#This Row],[Pcode]])-1</f>
        <v>0</v>
      </c>
    </row>
    <row r="7" spans="1:20" x14ac:dyDescent="0.25">
      <c r="A7" s="234" t="s">
        <v>1018</v>
      </c>
      <c r="B7" s="18" t="str">
        <f ca="1">OFFSET(CampList[Priority],MATCH(Table10[[#This Row],[Pcode]],CampList[CP_Pcode],0)-1,0,1,1)</f>
        <v>P1</v>
      </c>
      <c r="C7" s="18" t="str">
        <f ca="1">OFFSET(CampList[Camp],MATCH(Table10[[#This Row],[Pcode]],CampList[CP_Pcode],0)-1,0,1,1)</f>
        <v>Saw Zam</v>
      </c>
      <c r="D7" s="18" t="str">
        <f ca="1">OFFSET(CampList[Township],MATCH(Table10[[#This Row],[Pcode]],CampList[CP_Pcode],0)-1,0,1,1)</f>
        <v>Chipwi</v>
      </c>
      <c r="E7" s="18">
        <f ca="1">OFFSET(CampList[HH],MATCH(Table10[[#This Row],[Pcode]],CampList[CP_Pcode],0)-1,0,1,1)</f>
        <v>31</v>
      </c>
      <c r="F7" s="18">
        <f ca="1">OFFSET(CampList[Total],MATCH(Table10[[#This Row],[Pcode]],CampList[CP_Pcode],0)-1,0,1,1)</f>
        <v>176</v>
      </c>
      <c r="G7" s="251">
        <f>SUMIF('NFI Tracking'!AQ$11:AQ$1048576,Table10[[#This Row],[Pcode]],'NFI Tracking'!AI$11:AI$1048576)</f>
        <v>0</v>
      </c>
      <c r="H7" s="251">
        <f>SUMIF('NFI Tracking'!AQ$11:AQ$1048576,Table10[[#This Row],[Pcode]],'NFI Tracking'!AJ$11:AJ$1048576)</f>
        <v>0</v>
      </c>
      <c r="I7" s="251">
        <f>SUMIF('NFI Tracking'!AQ$11:AQ$1048576,Table10[[#This Row],[Pcode]],'NFI Tracking'!AK$11:AK$1048576)</f>
        <v>0</v>
      </c>
      <c r="J7" s="251">
        <f ca="1">MAX(Table10[[#This Row],[HH]]*VLOOKUP("Winter Clothes Adult",NFI,6)-Table10[[#This Row],[Winter Clothes Adult ]],0)</f>
        <v>62</v>
      </c>
      <c r="K7" s="251">
        <f ca="1">MAX(Table10[[#This Row],[HH]]*VLOOKUP("Winter Clothes Children ",NFI,6)-Table10[[#This Row],[Winter Clothes Children ]],0)</f>
        <v>31</v>
      </c>
      <c r="L7" s="251">
        <f ca="1">MAX(Table10[[#This Row],[HH]]*VLOOKUP("Winter Items Other ",NFI,6)-Table10[[#This Row],[Winter Items Other ]],0)</f>
        <v>31</v>
      </c>
      <c r="M7" s="279" t="str">
        <f>IF(OR(Table10[[#This Row],[Winter Clothes Adult ]]&lt;&gt;0,Table10[[#This Row],[Winter Clothes Children ]]&lt;&gt;0,Table10[[#This Row],[Winter Items Other ]]&lt;&gt;0),"No","")</f>
        <v/>
      </c>
      <c r="N7" s="280">
        <f>COUNTIF(A:A,Table10[[#This Row],[Pcode]])-1</f>
        <v>0</v>
      </c>
    </row>
    <row r="8" spans="1:20" x14ac:dyDescent="0.25">
      <c r="A8" s="234" t="s">
        <v>862</v>
      </c>
      <c r="B8" s="18" t="str">
        <f ca="1">OFFSET(CampList[Priority],MATCH(Table10[[#This Row],[Pcode]],CampList[CP_Pcode],0)-1,0,1,1)</f>
        <v>P1</v>
      </c>
      <c r="C8" s="18" t="str">
        <f ca="1">OFFSET(CampList[Camp],MATCH(Table10[[#This Row],[Pcode]],CampList[CP_Pcode],0)-1,0,1,1)</f>
        <v>Pan Wa</v>
      </c>
      <c r="D8" s="18" t="str">
        <f ca="1">OFFSET(CampList[Township],MATCH(Table10[[#This Row],[Pcode]],CampList[CP_Pcode],0)-1,0,1,1)</f>
        <v>Chipwi</v>
      </c>
      <c r="E8" s="18">
        <f ca="1">OFFSET(CampList[HH],MATCH(Table10[[#This Row],[Pcode]],CampList[CP_Pcode],0)-1,0,1,1)</f>
        <v>57</v>
      </c>
      <c r="F8" s="18">
        <f ca="1">OFFSET(CampList[Total],MATCH(Table10[[#This Row],[Pcode]],CampList[CP_Pcode],0)-1,0,1,1)</f>
        <v>262</v>
      </c>
      <c r="G8" s="251">
        <f>SUMIF('NFI Tracking'!AQ$11:AQ$1048576,Table10[[#This Row],[Pcode]],'NFI Tracking'!AI$11:AI$1048576)</f>
        <v>0</v>
      </c>
      <c r="H8" s="251">
        <f>SUMIF('NFI Tracking'!AQ$11:AQ$1048576,Table10[[#This Row],[Pcode]],'NFI Tracking'!AJ$11:AJ$1048576)</f>
        <v>0</v>
      </c>
      <c r="I8" s="251">
        <f>SUMIF('NFI Tracking'!AQ$11:AQ$1048576,Table10[[#This Row],[Pcode]],'NFI Tracking'!AK$11:AK$1048576)</f>
        <v>0</v>
      </c>
      <c r="J8" s="251">
        <f ca="1">MAX(Table10[[#This Row],[HH]]*VLOOKUP("Winter Clothes Adult",NFI,6)-Table10[[#This Row],[Winter Clothes Adult ]],0)</f>
        <v>114</v>
      </c>
      <c r="K8" s="251">
        <f ca="1">MAX(Table10[[#This Row],[HH]]*VLOOKUP("Winter Clothes Children ",NFI,6)-Table10[[#This Row],[Winter Clothes Children ]],0)</f>
        <v>57</v>
      </c>
      <c r="L8" s="251">
        <f ca="1">MAX(Table10[[#This Row],[HH]]*VLOOKUP("Winter Items Other ",NFI,6)-Table10[[#This Row],[Winter Items Other ]],0)</f>
        <v>57</v>
      </c>
      <c r="M8" s="279" t="str">
        <f>IF(OR(Table10[[#This Row],[Winter Clothes Adult ]]&lt;&gt;0,Table10[[#This Row],[Winter Clothes Children ]]&lt;&gt;0,Table10[[#This Row],[Winter Items Other ]]&lt;&gt;0),"No","")</f>
        <v/>
      </c>
      <c r="N8" s="280">
        <f>COUNTIF(A:A,Table10[[#This Row],[Pcode]])-1</f>
        <v>0</v>
      </c>
    </row>
    <row r="9" spans="1:20" x14ac:dyDescent="0.25">
      <c r="A9" s="234" t="s">
        <v>335</v>
      </c>
      <c r="B9" s="18" t="str">
        <f ca="1">OFFSET(CampList[Priority],MATCH(Table10[[#This Row],[Pcode]],CampList[CP_Pcode],0)-1,0,1,1)</f>
        <v>P1</v>
      </c>
      <c r="C9" s="18" t="str">
        <f ca="1">OFFSET(CampList[Camp],MATCH(Table10[[#This Row],[Pcode]],CampList[CP_Pcode],0)-1,0,1,1)</f>
        <v>Hkau Shau (BP 12)</v>
      </c>
      <c r="D9" s="18" t="str">
        <f ca="1">OFFSET(CampList[Township],MATCH(Table10[[#This Row],[Pcode]],CampList[CP_Pcode],0)-1,0,1,1)</f>
        <v>Waingmaw</v>
      </c>
      <c r="E9" s="18">
        <f ca="1">OFFSET(CampList[HH],MATCH(Table10[[#This Row],[Pcode]],CampList[CP_Pcode],0)-1,0,1,1)</f>
        <v>149</v>
      </c>
      <c r="F9" s="18">
        <f ca="1">OFFSET(CampList[Total],MATCH(Table10[[#This Row],[Pcode]],CampList[CP_Pcode],0)-1,0,1,1)</f>
        <v>830</v>
      </c>
      <c r="G9" s="251">
        <f>SUMIF('NFI Tracking'!AQ$11:AQ$1048576,Table10[[#This Row],[Pcode]],'NFI Tracking'!AI$11:AI$1048576)</f>
        <v>0</v>
      </c>
      <c r="H9" s="251">
        <f>SUMIF('NFI Tracking'!AQ$11:AQ$1048576,Table10[[#This Row],[Pcode]],'NFI Tracking'!AJ$11:AJ$1048576)</f>
        <v>0</v>
      </c>
      <c r="I9" s="251">
        <f>SUMIF('NFI Tracking'!AQ$11:AQ$1048576,Table10[[#This Row],[Pcode]],'NFI Tracking'!AK$11:AK$1048576)</f>
        <v>0</v>
      </c>
      <c r="J9" s="251">
        <f ca="1">MAX(Table10[[#This Row],[HH]]*VLOOKUP("Winter Clothes Adult",NFI,6)-Table10[[#This Row],[Winter Clothes Adult ]],0)</f>
        <v>298</v>
      </c>
      <c r="K9" s="251">
        <f ca="1">MAX(Table10[[#This Row],[HH]]*VLOOKUP("Winter Clothes Children ",NFI,6)-Table10[[#This Row],[Winter Clothes Children ]],0)</f>
        <v>149</v>
      </c>
      <c r="L9" s="251">
        <f ca="1">MAX(Table10[[#This Row],[HH]]*VLOOKUP("Winter Items Other ",NFI,6)-Table10[[#This Row],[Winter Items Other ]],0)</f>
        <v>149</v>
      </c>
      <c r="M9" s="279" t="str">
        <f>IF(OR(Table10[[#This Row],[Winter Clothes Adult ]]&lt;&gt;0,Table10[[#This Row],[Winter Clothes Children ]]&lt;&gt;0,Table10[[#This Row],[Winter Items Other ]]&lt;&gt;0),"No","")</f>
        <v/>
      </c>
      <c r="N9" s="280">
        <f>COUNTIF(A:A,Table10[[#This Row],[Pcode]])-1</f>
        <v>0</v>
      </c>
    </row>
    <row r="10" spans="1:20" x14ac:dyDescent="0.25">
      <c r="A10" s="234" t="s">
        <v>345</v>
      </c>
      <c r="B10" s="18" t="str">
        <f ca="1">OFFSET(CampList[Priority],MATCH(Table10[[#This Row],[Pcode]],CampList[CP_Pcode],0)-1,0,1,1)</f>
        <v>P1</v>
      </c>
      <c r="C10" s="18" t="str">
        <f ca="1">OFFSET(CampList[Camp],MATCH(Table10[[#This Row],[Pcode]],CampList[CP_Pcode],0)-1,0,1,1)</f>
        <v>Pajau - Jan Mai</v>
      </c>
      <c r="D10" s="18" t="str">
        <f ca="1">OFFSET(CampList[Township],MATCH(Table10[[#This Row],[Pcode]],CampList[CP_Pcode],0)-1,0,1,1)</f>
        <v>Waingmaw</v>
      </c>
      <c r="E10" s="18">
        <f ca="1">OFFSET(CampList[HH],MATCH(Table10[[#This Row],[Pcode]],CampList[CP_Pcode],0)-1,0,1,1)</f>
        <v>186</v>
      </c>
      <c r="F10" s="18">
        <f ca="1">OFFSET(CampList[Total],MATCH(Table10[[#This Row],[Pcode]],CampList[CP_Pcode],0)-1,0,1,1)</f>
        <v>585</v>
      </c>
      <c r="G10" s="251">
        <f>SUMIF('NFI Tracking'!AQ$11:AQ$1048576,Table10[[#This Row],[Pcode]],'NFI Tracking'!AI$11:AI$1048576)</f>
        <v>0</v>
      </c>
      <c r="H10" s="251">
        <f>SUMIF('NFI Tracking'!AQ$11:AQ$1048576,Table10[[#This Row],[Pcode]],'NFI Tracking'!AJ$11:AJ$1048576)</f>
        <v>0</v>
      </c>
      <c r="I10" s="251">
        <f>SUMIF('NFI Tracking'!AQ$11:AQ$1048576,Table10[[#This Row],[Pcode]],'NFI Tracking'!AK$11:AK$1048576)</f>
        <v>0</v>
      </c>
      <c r="J10" s="251">
        <f ca="1">MAX(Table10[[#This Row],[HH]]*VLOOKUP("Winter Clothes Adult",NFI,6)-Table10[[#This Row],[Winter Clothes Adult ]],0)</f>
        <v>372</v>
      </c>
      <c r="K10" s="251">
        <f ca="1">MAX(Table10[[#This Row],[HH]]*VLOOKUP("Winter Clothes Children ",NFI,6)-Table10[[#This Row],[Winter Clothes Children ]],0)</f>
        <v>186</v>
      </c>
      <c r="L10" s="251">
        <f ca="1">MAX(Table10[[#This Row],[HH]]*VLOOKUP("Winter Items Other ",NFI,6)-Table10[[#This Row],[Winter Items Other ]],0)</f>
        <v>186</v>
      </c>
      <c r="M10" s="279" t="str">
        <f>IF(OR(Table10[[#This Row],[Winter Clothes Adult ]]&lt;&gt;0,Table10[[#This Row],[Winter Clothes Children ]]&lt;&gt;0,Table10[[#This Row],[Winter Items Other ]]&lt;&gt;0),"No","")</f>
        <v/>
      </c>
      <c r="N10" s="280">
        <f>COUNTIF(A:A,Table10[[#This Row],[Pcode]])-1</f>
        <v>0</v>
      </c>
    </row>
    <row r="11" spans="1:20" x14ac:dyDescent="0.25">
      <c r="A11" s="234" t="s">
        <v>354</v>
      </c>
      <c r="B11" s="18" t="str">
        <f ca="1">OFFSET(CampList[Priority],MATCH(Table10[[#This Row],[Pcode]],CampList[CP_Pcode],0)-1,0,1,1)</f>
        <v>P1</v>
      </c>
      <c r="C11" s="18" t="str">
        <f ca="1">OFFSET(CampList[Camp],MATCH(Table10[[#This Row],[Pcode]],CampList[CP_Pcode],0)-1,0,1,1)</f>
        <v>Post 6 Camp</v>
      </c>
      <c r="D11" s="18" t="str">
        <f ca="1">OFFSET(CampList[Township],MATCH(Table10[[#This Row],[Pcode]],CampList[CP_Pcode],0)-1,0,1,1)</f>
        <v>Waingmaw</v>
      </c>
      <c r="E11" s="18">
        <f ca="1">OFFSET(CampList[HH],MATCH(Table10[[#This Row],[Pcode]],CampList[CP_Pcode],0)-1,0,1,1)</f>
        <v>100</v>
      </c>
      <c r="F11" s="18">
        <f ca="1">OFFSET(CampList[Total],MATCH(Table10[[#This Row],[Pcode]],CampList[CP_Pcode],0)-1,0,1,1)</f>
        <v>612</v>
      </c>
      <c r="G11" s="251">
        <f>SUMIF('NFI Tracking'!AQ$11:AQ$1048576,Table10[[#This Row],[Pcode]],'NFI Tracking'!AI$11:AI$1048576)</f>
        <v>0</v>
      </c>
      <c r="H11" s="251">
        <f>SUMIF('NFI Tracking'!AQ$11:AQ$1048576,Table10[[#This Row],[Pcode]],'NFI Tracking'!AJ$11:AJ$1048576)</f>
        <v>0</v>
      </c>
      <c r="I11" s="251">
        <f>SUMIF('NFI Tracking'!AQ$11:AQ$1048576,Table10[[#This Row],[Pcode]],'NFI Tracking'!AK$11:AK$1048576)</f>
        <v>0</v>
      </c>
      <c r="J11" s="251">
        <f ca="1">MAX(Table10[[#This Row],[HH]]*VLOOKUP("Winter Clothes Adult",NFI,6)-Table10[[#This Row],[Winter Clothes Adult ]],0)</f>
        <v>200</v>
      </c>
      <c r="K11" s="251">
        <f ca="1">MAX(Table10[[#This Row],[HH]]*VLOOKUP("Winter Clothes Children ",NFI,6)-Table10[[#This Row],[Winter Clothes Children ]],0)</f>
        <v>100</v>
      </c>
      <c r="L11" s="251">
        <f ca="1">MAX(Table10[[#This Row],[HH]]*VLOOKUP("Winter Items Other ",NFI,6)-Table10[[#This Row],[Winter Items Other ]],0)</f>
        <v>100</v>
      </c>
      <c r="M11" s="279" t="str">
        <f>IF(OR(Table10[[#This Row],[Winter Clothes Adult ]]&lt;&gt;0,Table10[[#This Row],[Winter Clothes Children ]]&lt;&gt;0,Table10[[#This Row],[Winter Items Other ]]&lt;&gt;0),"No","")</f>
        <v/>
      </c>
      <c r="N11" s="280">
        <f>COUNTIF(A:A,Table10[[#This Row],[Pcode]])-1</f>
        <v>0</v>
      </c>
    </row>
    <row r="12" spans="1:20" x14ac:dyDescent="0.25">
      <c r="A12" s="234" t="s">
        <v>333</v>
      </c>
      <c r="B12" s="18" t="str">
        <f ca="1">OFFSET(CampList[Priority],MATCH(Table10[[#This Row],[Pcode]],CampList[CP_Pcode],0)-1,0,1,1)</f>
        <v>P1</v>
      </c>
      <c r="C12" s="18" t="str">
        <f ca="1">OFFSET(CampList[Camp],MATCH(Table10[[#This Row],[Pcode]],CampList[CP_Pcode],0)-1,0,1,1)</f>
        <v>Border Post 8</v>
      </c>
      <c r="D12" s="18" t="str">
        <f ca="1">OFFSET(CampList[Township],MATCH(Table10[[#This Row],[Pcode]],CampList[CP_Pcode],0)-1,0,1,1)</f>
        <v>Waingmaw</v>
      </c>
      <c r="E12" s="18">
        <f ca="1">OFFSET(CampList[HH],MATCH(Table10[[#This Row],[Pcode]],CampList[CP_Pcode],0)-1,0,1,1)</f>
        <v>152</v>
      </c>
      <c r="F12" s="18">
        <f ca="1">OFFSET(CampList[Total],MATCH(Table10[[#This Row],[Pcode]],CampList[CP_Pcode],0)-1,0,1,1)</f>
        <v>584</v>
      </c>
      <c r="G12" s="251">
        <f>SUMIF('NFI Tracking'!AQ$11:AQ$1048576,Table10[[#This Row],[Pcode]],'NFI Tracking'!AI$11:AI$1048576)</f>
        <v>0</v>
      </c>
      <c r="H12" s="251">
        <f>SUMIF('NFI Tracking'!AQ$11:AQ$1048576,Table10[[#This Row],[Pcode]],'NFI Tracking'!AJ$11:AJ$1048576)</f>
        <v>0</v>
      </c>
      <c r="I12" s="251">
        <f>SUMIF('NFI Tracking'!AQ$11:AQ$1048576,Table10[[#This Row],[Pcode]],'NFI Tracking'!AK$11:AK$1048576)</f>
        <v>0</v>
      </c>
      <c r="J12" s="251">
        <f ca="1">MAX(Table10[[#This Row],[HH]]*VLOOKUP("Winter Clothes Adult",NFI,6)-Table10[[#This Row],[Winter Clothes Adult ]],0)</f>
        <v>304</v>
      </c>
      <c r="K12" s="251">
        <f ca="1">MAX(Table10[[#This Row],[HH]]*VLOOKUP("Winter Clothes Children ",NFI,6)-Table10[[#This Row],[Winter Clothes Children ]],0)</f>
        <v>152</v>
      </c>
      <c r="L12" s="251">
        <f ca="1">MAX(Table10[[#This Row],[HH]]*VLOOKUP("Winter Items Other ",NFI,6)-Table10[[#This Row],[Winter Items Other ]],0)</f>
        <v>152</v>
      </c>
      <c r="M12" s="279" t="str">
        <f>IF(OR(Table10[[#This Row],[Winter Clothes Adult ]]&lt;&gt;0,Table10[[#This Row],[Winter Clothes Children ]]&lt;&gt;0,Table10[[#This Row],[Winter Items Other ]]&lt;&gt;0),"No","")</f>
        <v/>
      </c>
      <c r="N12" s="280">
        <f>COUNTIF(A:A,Table10[[#This Row],[Pcode]])-1</f>
        <v>0</v>
      </c>
    </row>
    <row r="13" spans="1:20" x14ac:dyDescent="0.25">
      <c r="A13" s="234" t="s">
        <v>346</v>
      </c>
      <c r="B13" s="18" t="str">
        <f ca="1">OFFSET(CampList[Priority],MATCH(Table10[[#This Row],[Pcode]],CampList[CP_Pcode],0)-1,0,1,1)</f>
        <v>P1</v>
      </c>
      <c r="C13" s="18" t="str">
        <f ca="1">OFFSET(CampList[Camp],MATCH(Table10[[#This Row],[Pcode]],CampList[CP_Pcode],0)-1,0,1,1)</f>
        <v>Shing Jai</v>
      </c>
      <c r="D13" s="18" t="str">
        <f ca="1">OFFSET(CampList[Township],MATCH(Table10[[#This Row],[Pcode]],CampList[CP_Pcode],0)-1,0,1,1)</f>
        <v>Waingmaw</v>
      </c>
      <c r="E13" s="18">
        <f ca="1">OFFSET(CampList[HH],MATCH(Table10[[#This Row],[Pcode]],CampList[CP_Pcode],0)-1,0,1,1)</f>
        <v>184</v>
      </c>
      <c r="F13" s="18">
        <f ca="1">OFFSET(CampList[Total],MATCH(Table10[[#This Row],[Pcode]],CampList[CP_Pcode],0)-1,0,1,1)</f>
        <v>966</v>
      </c>
      <c r="G13" s="251">
        <f>SUMIF('NFI Tracking'!AQ$11:AQ$1048576,Table10[[#This Row],[Pcode]],'NFI Tracking'!AI$11:AI$1048576)</f>
        <v>0</v>
      </c>
      <c r="H13" s="251">
        <f>SUMIF('NFI Tracking'!AQ$11:AQ$1048576,Table10[[#This Row],[Pcode]],'NFI Tracking'!AJ$11:AJ$1048576)</f>
        <v>0</v>
      </c>
      <c r="I13" s="251">
        <f>SUMIF('NFI Tracking'!AQ$11:AQ$1048576,Table10[[#This Row],[Pcode]],'NFI Tracking'!AK$11:AK$1048576)</f>
        <v>0</v>
      </c>
      <c r="J13" s="251">
        <f ca="1">MAX(Table10[[#This Row],[HH]]*VLOOKUP("Winter Clothes Adult",NFI,6)-Table10[[#This Row],[Winter Clothes Adult ]],0)</f>
        <v>368</v>
      </c>
      <c r="K13" s="251">
        <f ca="1">MAX(Table10[[#This Row],[HH]]*VLOOKUP("Winter Clothes Children ",NFI,6)-Table10[[#This Row],[Winter Clothes Children ]],0)</f>
        <v>184</v>
      </c>
      <c r="L13" s="251">
        <f ca="1">MAX(Table10[[#This Row],[HH]]*VLOOKUP("Winter Items Other ",NFI,6)-Table10[[#This Row],[Winter Items Other ]],0)</f>
        <v>184</v>
      </c>
      <c r="M13" s="279" t="str">
        <f>IF(OR(Table10[[#This Row],[Winter Clothes Adult ]]&lt;&gt;0,Table10[[#This Row],[Winter Clothes Children ]]&lt;&gt;0,Table10[[#This Row],[Winter Items Other ]]&lt;&gt;0),"No","")</f>
        <v/>
      </c>
      <c r="N13" s="280">
        <f>COUNTIF(A:A,Table10[[#This Row],[Pcode]])-1</f>
        <v>0</v>
      </c>
    </row>
    <row r="14" spans="1:20" x14ac:dyDescent="0.25">
      <c r="A14" s="234" t="s">
        <v>214</v>
      </c>
      <c r="B14" s="18" t="str">
        <f ca="1">OFFSET(CampList[Priority],MATCH(Table10[[#This Row],[Pcode]],CampList[CP_Pcode],0)-1,0,1,1)</f>
        <v>P1</v>
      </c>
      <c r="C14" s="18" t="str">
        <f ca="1">OFFSET(CampList[Camp],MATCH(Table10[[#This Row],[Pcode]],CampList[CP_Pcode],0)-1,0,1,1)</f>
        <v xml:space="preserve">Nhkawng Pa </v>
      </c>
      <c r="D14" s="18" t="str">
        <f ca="1">OFFSET(CampList[Township],MATCH(Table10[[#This Row],[Pcode]],CampList[CP_Pcode],0)-1,0,1,1)</f>
        <v>Momauk</v>
      </c>
      <c r="E14" s="18">
        <f ca="1">OFFSET(CampList[HH],MATCH(Table10[[#This Row],[Pcode]],CampList[CP_Pcode],0)-1,0,1,1)</f>
        <v>358</v>
      </c>
      <c r="F14" s="18">
        <f ca="1">OFFSET(CampList[Total],MATCH(Table10[[#This Row],[Pcode]],CampList[CP_Pcode],0)-1,0,1,1)</f>
        <v>1655</v>
      </c>
      <c r="G14" s="251">
        <f>SUMIF('NFI Tracking'!AQ$11:AQ$1048576,Table10[[#This Row],[Pcode]],'NFI Tracking'!AI$11:AI$1048576)</f>
        <v>0</v>
      </c>
      <c r="H14" s="251">
        <f>SUMIF('NFI Tracking'!AQ$11:AQ$1048576,Table10[[#This Row],[Pcode]],'NFI Tracking'!AJ$11:AJ$1048576)</f>
        <v>0</v>
      </c>
      <c r="I14" s="251">
        <f>SUMIF('NFI Tracking'!AQ$11:AQ$1048576,Table10[[#This Row],[Pcode]],'NFI Tracking'!AK$11:AK$1048576)</f>
        <v>0</v>
      </c>
      <c r="J14" s="251">
        <f ca="1">MAX(Table10[[#This Row],[HH]]*VLOOKUP("Winter Clothes Adult",NFI,6)-Table10[[#This Row],[Winter Clothes Adult ]],0)</f>
        <v>716</v>
      </c>
      <c r="K14" s="251">
        <f ca="1">MAX(Table10[[#This Row],[HH]]*VLOOKUP("Winter Clothes Children ",NFI,6)-Table10[[#This Row],[Winter Clothes Children ]],0)</f>
        <v>358</v>
      </c>
      <c r="L14" s="251">
        <f ca="1">MAX(Table10[[#This Row],[HH]]*VLOOKUP("Winter Items Other ",NFI,6)-Table10[[#This Row],[Winter Items Other ]],0)</f>
        <v>358</v>
      </c>
      <c r="M14" s="279" t="str">
        <f>IF(OR(Table10[[#This Row],[Winter Clothes Adult ]]&lt;&gt;0,Table10[[#This Row],[Winter Clothes Children ]]&lt;&gt;0,Table10[[#This Row],[Winter Items Other ]]&lt;&gt;0),"No","")</f>
        <v/>
      </c>
      <c r="N14" s="280">
        <f>COUNTIF(A:A,Table10[[#This Row],[Pcode]])-1</f>
        <v>0</v>
      </c>
    </row>
    <row r="15" spans="1:20" x14ac:dyDescent="0.25">
      <c r="A15" s="234" t="s">
        <v>147</v>
      </c>
      <c r="B15" s="18" t="str">
        <f ca="1">OFFSET(CampList[Priority],MATCH(Table10[[#This Row],[Pcode]],CampList[CP_Pcode],0)-1,0,1,1)</f>
        <v>P1</v>
      </c>
      <c r="C15" s="18" t="str">
        <f ca="1">OFFSET(CampList[Camp],MATCH(Table10[[#This Row],[Pcode]],CampList[CP_Pcode],0)-1,0,1,1)</f>
        <v xml:space="preserve">Mungji Pa Dabang (Baptist Church)         </v>
      </c>
      <c r="D15" s="18" t="str">
        <f ca="1">OFFSET(CampList[Township],MATCH(Table10[[#This Row],[Pcode]],CampList[CP_Pcode],0)-1,0,1,1)</f>
        <v>Kutkai</v>
      </c>
      <c r="E15" s="18">
        <f ca="1">OFFSET(CampList[HH],MATCH(Table10[[#This Row],[Pcode]],CampList[CP_Pcode],0)-1,0,1,1)</f>
        <v>46</v>
      </c>
      <c r="F15" s="18">
        <f ca="1">OFFSET(CampList[Total],MATCH(Table10[[#This Row],[Pcode]],CampList[CP_Pcode],0)-1,0,1,1)</f>
        <v>252</v>
      </c>
      <c r="G15" s="251">
        <f>SUMIF('NFI Tracking'!AQ$11:AQ$1048576,Table10[[#This Row],[Pcode]],'NFI Tracking'!AI$11:AI$1048576)</f>
        <v>0</v>
      </c>
      <c r="H15" s="251">
        <f>SUMIF('NFI Tracking'!AQ$11:AQ$1048576,Table10[[#This Row],[Pcode]],'NFI Tracking'!AJ$11:AJ$1048576)</f>
        <v>0</v>
      </c>
      <c r="I15" s="251">
        <f>SUMIF('NFI Tracking'!AQ$11:AQ$1048576,Table10[[#This Row],[Pcode]],'NFI Tracking'!AK$11:AK$1048576)</f>
        <v>0</v>
      </c>
      <c r="J15" s="251">
        <f ca="1">MAX(Table10[[#This Row],[HH]]*VLOOKUP("Winter Clothes Adult",NFI,6)-Table10[[#This Row],[Winter Clothes Adult ]],0)</f>
        <v>92</v>
      </c>
      <c r="K15" s="251">
        <f ca="1">MAX(Table10[[#This Row],[HH]]*VLOOKUP("Winter Clothes Children ",NFI,6)-Table10[[#This Row],[Winter Clothes Children ]],0)</f>
        <v>46</v>
      </c>
      <c r="L15" s="251">
        <f ca="1">MAX(Table10[[#This Row],[HH]]*VLOOKUP("Winter Items Other ",NFI,6)-Table10[[#This Row],[Winter Items Other ]],0)</f>
        <v>46</v>
      </c>
      <c r="M15" s="279" t="str">
        <f>IF(OR(Table10[[#This Row],[Winter Clothes Adult ]]&lt;&gt;0,Table10[[#This Row],[Winter Clothes Children ]]&lt;&gt;0,Table10[[#This Row],[Winter Items Other ]]&lt;&gt;0),"No","")</f>
        <v/>
      </c>
      <c r="N15" s="280">
        <f>COUNTIF(A:A,Table10[[#This Row],[Pcode]])-1</f>
        <v>0</v>
      </c>
    </row>
    <row r="16" spans="1:20" x14ac:dyDescent="0.25">
      <c r="A16" s="234" t="s">
        <v>234</v>
      </c>
      <c r="B16" s="18" t="str">
        <f ca="1">OFFSET(CampList[Priority],MATCH(Table10[[#This Row],[Pcode]],CampList[CP_Pcode],0)-1,0,1,1)</f>
        <v>P1</v>
      </c>
      <c r="C16" s="18" t="str">
        <f ca="1">OFFSET(CampList[Camp],MATCH(Table10[[#This Row],[Pcode]],CampList[CP_Pcode],0)-1,0,1,1)</f>
        <v xml:space="preserve">Mung Baw </v>
      </c>
      <c r="D16" s="18" t="str">
        <f ca="1">OFFSET(CampList[Township],MATCH(Table10[[#This Row],[Pcode]],CampList[CP_Pcode],0)-1,0,1,1)</f>
        <v>Muse</v>
      </c>
      <c r="E16" s="18">
        <f ca="1">OFFSET(CampList[HH],MATCH(Table10[[#This Row],[Pcode]],CampList[CP_Pcode],0)-1,0,1,1)</f>
        <v>0</v>
      </c>
      <c r="F16" s="18">
        <f ca="1">OFFSET(CampList[Total],MATCH(Table10[[#This Row],[Pcode]],CampList[CP_Pcode],0)-1,0,1,1)</f>
        <v>0</v>
      </c>
      <c r="G16" s="251">
        <f>SUMIF('NFI Tracking'!AQ$11:AQ$1048576,Table10[[#This Row],[Pcode]],'NFI Tracking'!AI$11:AI$1048576)</f>
        <v>0</v>
      </c>
      <c r="H16" s="251">
        <f>SUMIF('NFI Tracking'!AQ$11:AQ$1048576,Table10[[#This Row],[Pcode]],'NFI Tracking'!AJ$11:AJ$1048576)</f>
        <v>0</v>
      </c>
      <c r="I16" s="251">
        <f>SUMIF('NFI Tracking'!AQ$11:AQ$1048576,Table10[[#This Row],[Pcode]],'NFI Tracking'!AK$11:AK$1048576)</f>
        <v>0</v>
      </c>
      <c r="J16" s="251">
        <f ca="1">MAX(Table10[[#This Row],[HH]]*VLOOKUP("Winter Clothes Adult",NFI,6)-Table10[[#This Row],[Winter Clothes Adult ]],0)</f>
        <v>0</v>
      </c>
      <c r="K16" s="251">
        <f ca="1">MAX(Table10[[#This Row],[HH]]*VLOOKUP("Winter Clothes Children ",NFI,6)-Table10[[#This Row],[Winter Clothes Children ]],0)</f>
        <v>0</v>
      </c>
      <c r="L16" s="251">
        <f ca="1">MAX(Table10[[#This Row],[HH]]*VLOOKUP("Winter Items Other ",NFI,6)-Table10[[#This Row],[Winter Items Other ]],0)</f>
        <v>0</v>
      </c>
      <c r="M16" s="279" t="str">
        <f>IF(OR(Table10[[#This Row],[Winter Clothes Adult ]]&lt;&gt;0,Table10[[#This Row],[Winter Clothes Children ]]&lt;&gt;0,Table10[[#This Row],[Winter Items Other ]]&lt;&gt;0),"No","")</f>
        <v/>
      </c>
      <c r="N16" s="280">
        <f>COUNTIF(A:A,Table10[[#This Row],[Pcode]])-1</f>
        <v>0</v>
      </c>
      <c r="Q16" s="250" t="s">
        <v>414</v>
      </c>
      <c r="R16" s="752" t="s">
        <v>1080</v>
      </c>
      <c r="S16" s="752" t="s">
        <v>1081</v>
      </c>
      <c r="T16" s="752" t="s">
        <v>1082</v>
      </c>
    </row>
    <row r="17" spans="1:20" x14ac:dyDescent="0.25">
      <c r="A17" s="234" t="s">
        <v>232</v>
      </c>
      <c r="B17" s="18" t="str">
        <f ca="1">OFFSET(CampList[Priority],MATCH(Table10[[#This Row],[Pcode]],CampList[CP_Pcode],0)-1,0,1,1)</f>
        <v>P1</v>
      </c>
      <c r="C17" s="18" t="str">
        <f ca="1">OFFSET(CampList[Camp],MATCH(Table10[[#This Row],[Pcode]],CampList[CP_Pcode],0)-1,0,1,1)</f>
        <v xml:space="preserve">Munekoe Pa (Giwang) - Hka San (Mung  Go  Pa ) </v>
      </c>
      <c r="D17" s="18" t="str">
        <f ca="1">OFFSET(CampList[Township],MATCH(Table10[[#This Row],[Pcode]],CampList[CP_Pcode],0)-1,0,1,1)</f>
        <v>Muse</v>
      </c>
      <c r="E17" s="18">
        <f ca="1">OFFSET(CampList[HH],MATCH(Table10[[#This Row],[Pcode]],CampList[CP_Pcode],0)-1,0,1,1)</f>
        <v>0</v>
      </c>
      <c r="F17" s="18">
        <f ca="1">OFFSET(CampList[Total],MATCH(Table10[[#This Row],[Pcode]],CampList[CP_Pcode],0)-1,0,1,1)</f>
        <v>0</v>
      </c>
      <c r="G17" s="251">
        <f>SUMIF('NFI Tracking'!AQ$11:AQ$1048576,Table10[[#This Row],[Pcode]],'NFI Tracking'!AI$11:AI$1048576)</f>
        <v>0</v>
      </c>
      <c r="H17" s="251">
        <f>SUMIF('NFI Tracking'!AQ$11:AQ$1048576,Table10[[#This Row],[Pcode]],'NFI Tracking'!AJ$11:AJ$1048576)</f>
        <v>0</v>
      </c>
      <c r="I17" s="251">
        <f>SUMIF('NFI Tracking'!AQ$11:AQ$1048576,Table10[[#This Row],[Pcode]],'NFI Tracking'!AK$11:AK$1048576)</f>
        <v>0</v>
      </c>
      <c r="J17" s="251">
        <f ca="1">MAX(Table10[[#This Row],[HH]]*VLOOKUP("Winter Clothes Adult",NFI,6)-Table10[[#This Row],[Winter Clothes Adult ]],0)</f>
        <v>0</v>
      </c>
      <c r="K17" s="251">
        <f ca="1">MAX(Table10[[#This Row],[HH]]*VLOOKUP("Winter Clothes Children ",NFI,6)-Table10[[#This Row],[Winter Clothes Children ]],0)</f>
        <v>0</v>
      </c>
      <c r="L17" s="251">
        <f ca="1">MAX(Table10[[#This Row],[HH]]*VLOOKUP("Winter Items Other ",NFI,6)-Table10[[#This Row],[Winter Items Other ]],0)</f>
        <v>0</v>
      </c>
      <c r="M17" s="279" t="str">
        <f>IF(OR(Table10[[#This Row],[Winter Clothes Adult ]]&lt;&gt;0,Table10[[#This Row],[Winter Clothes Children ]]&lt;&gt;0,Table10[[#This Row],[Winter Items Other ]]&lt;&gt;0),"No","")</f>
        <v/>
      </c>
      <c r="N17" s="280">
        <f>COUNTIF(A:A,Table10[[#This Row],[Pcode]])-1</f>
        <v>0</v>
      </c>
      <c r="Q17" s="249" t="s">
        <v>1072</v>
      </c>
      <c r="R17" s="350">
        <v>3170</v>
      </c>
      <c r="S17" s="350">
        <v>1421</v>
      </c>
      <c r="T17" s="350">
        <v>1673</v>
      </c>
    </row>
    <row r="18" spans="1:20" x14ac:dyDescent="0.25">
      <c r="A18" s="234" t="s">
        <v>187</v>
      </c>
      <c r="B18" s="18" t="str">
        <f ca="1">OFFSET(CampList[Priority],MATCH(Table10[[#This Row],[Pcode]],CampList[CP_Pcode],0)-1,0,1,1)</f>
        <v>P2</v>
      </c>
      <c r="C18" s="18" t="str">
        <f ca="1">OFFSET(CampList[Camp],MATCH(Table10[[#This Row],[Pcode]],CampList[CP_Pcode],0)-1,0,1,1)</f>
        <v xml:space="preserve">Bum Tsit Pa </v>
      </c>
      <c r="D18" s="18" t="str">
        <f ca="1">OFFSET(CampList[Township],MATCH(Table10[[#This Row],[Pcode]],CampList[CP_Pcode],0)-1,0,1,1)</f>
        <v>Mansi</v>
      </c>
      <c r="E18" s="18">
        <f ca="1">OFFSET(CampList[HH],MATCH(Table10[[#This Row],[Pcode]],CampList[CP_Pcode],0)-1,0,1,1)</f>
        <v>386</v>
      </c>
      <c r="F18" s="18">
        <f ca="1">OFFSET(CampList[Total],MATCH(Table10[[#This Row],[Pcode]],CampList[CP_Pcode],0)-1,0,1,1)</f>
        <v>1902</v>
      </c>
      <c r="G18" s="251">
        <f>SUMIF('NFI Tracking'!AQ$11:AQ$1048576,Table10[[#This Row],[Pcode]],'NFI Tracking'!AI$11:AI$1048576)</f>
        <v>0</v>
      </c>
      <c r="H18" s="251">
        <f>SUMIF('NFI Tracking'!AQ$11:AQ$1048576,Table10[[#This Row],[Pcode]],'NFI Tracking'!AJ$11:AJ$1048576)</f>
        <v>0</v>
      </c>
      <c r="I18" s="251">
        <f>SUMIF('NFI Tracking'!AQ$11:AQ$1048576,Table10[[#This Row],[Pcode]],'NFI Tracking'!AK$11:AK$1048576)</f>
        <v>0</v>
      </c>
      <c r="J18" s="251">
        <f ca="1">MAX(Table10[[#This Row],[HH]]*VLOOKUP("Winter Clothes Adult",NFI,6)-Table10[[#This Row],[Winter Clothes Adult ]],0)</f>
        <v>772</v>
      </c>
      <c r="K18" s="251">
        <f ca="1">MAX(Table10[[#This Row],[HH]]*VLOOKUP("Winter Clothes Children ",NFI,6)-Table10[[#This Row],[Winter Clothes Children ]],0)</f>
        <v>386</v>
      </c>
      <c r="L18" s="251">
        <f ca="1">MAX(Table10[[#This Row],[HH]]*VLOOKUP("Winter Items Other ",NFI,6)-Table10[[#This Row],[Winter Items Other ]],0)</f>
        <v>386</v>
      </c>
      <c r="M18" s="279" t="str">
        <f>IF(OR(Table10[[#This Row],[Winter Clothes Adult ]]&lt;&gt;0,Table10[[#This Row],[Winter Clothes Children ]]&lt;&gt;0,Table10[[#This Row],[Winter Items Other ]]&lt;&gt;0),"No","")</f>
        <v/>
      </c>
      <c r="N18" s="280">
        <f>COUNTIF(A:A,Table10[[#This Row],[Pcode]])-1</f>
        <v>0</v>
      </c>
      <c r="Q18" s="249" t="s">
        <v>1073</v>
      </c>
      <c r="R18" s="350">
        <v>8744</v>
      </c>
      <c r="S18" s="350">
        <v>4372</v>
      </c>
      <c r="T18" s="350">
        <v>4372</v>
      </c>
    </row>
    <row r="19" spans="1:20" x14ac:dyDescent="0.25">
      <c r="A19" s="234" t="s">
        <v>1033</v>
      </c>
      <c r="B19" s="18" t="str">
        <f ca="1">OFFSET(CampList[Priority],MATCH(Table10[[#This Row],[Pcode]],CampList[CP_Pcode],0)-1,0,1,1)</f>
        <v>P2</v>
      </c>
      <c r="C19" s="18" t="str">
        <f ca="1">OFFSET(CampList[Camp],MATCH(Table10[[#This Row],[Pcode]],CampList[CP_Pcode],0)-1,0,1,1)</f>
        <v>Bum Tsit Pa Camp II</v>
      </c>
      <c r="D19" s="18" t="str">
        <f ca="1">OFFSET(CampList[Township],MATCH(Table10[[#This Row],[Pcode]],CampList[CP_Pcode],0)-1,0,1,1)</f>
        <v>Mansi</v>
      </c>
      <c r="E19" s="18">
        <f ca="1">OFFSET(CampList[HH],MATCH(Table10[[#This Row],[Pcode]],CampList[CP_Pcode],0)-1,0,1,1)</f>
        <v>0</v>
      </c>
      <c r="F19" s="18">
        <f ca="1">OFFSET(CampList[Total],MATCH(Table10[[#This Row],[Pcode]],CampList[CP_Pcode],0)-1,0,1,1)</f>
        <v>0</v>
      </c>
      <c r="G19" s="251">
        <f>SUMIF('NFI Tracking'!AQ$11:AQ$1048576,Table10[[#This Row],[Pcode]],'NFI Tracking'!AI$11:AI$1048576)</f>
        <v>0</v>
      </c>
      <c r="H19" s="251">
        <f>SUMIF('NFI Tracking'!AQ$11:AQ$1048576,Table10[[#This Row],[Pcode]],'NFI Tracking'!AJ$11:AJ$1048576)</f>
        <v>0</v>
      </c>
      <c r="I19" s="251">
        <f>SUMIF('NFI Tracking'!AQ$11:AQ$1048576,Table10[[#This Row],[Pcode]],'NFI Tracking'!AK$11:AK$1048576)</f>
        <v>0</v>
      </c>
      <c r="J19" s="251">
        <f ca="1">MAX(Table10[[#This Row],[HH]]*VLOOKUP("Winter Clothes Adult",NFI,6)-Table10[[#This Row],[Winter Clothes Adult ]],0)</f>
        <v>0</v>
      </c>
      <c r="K19" s="251">
        <f ca="1">MAX(Table10[[#This Row],[HH]]*VLOOKUP("Winter Clothes Children ",NFI,6)-Table10[[#This Row],[Winter Clothes Children ]],0)</f>
        <v>0</v>
      </c>
      <c r="L19" s="251">
        <f ca="1">MAX(Table10[[#This Row],[HH]]*VLOOKUP("Winter Items Other ",NFI,6)-Table10[[#This Row],[Winter Items Other ]],0)</f>
        <v>0</v>
      </c>
      <c r="M19" s="279" t="str">
        <f>IF(OR(Table10[[#This Row],[Winter Clothes Adult ]]&lt;&gt;0,Table10[[#This Row],[Winter Clothes Children ]]&lt;&gt;0,Table10[[#This Row],[Winter Items Other ]]&lt;&gt;0),"No","")</f>
        <v/>
      </c>
      <c r="N19" s="280">
        <f>COUNTIF(A:A,Table10[[#This Row],[Pcode]])-1</f>
        <v>0</v>
      </c>
      <c r="Q19" s="249" t="s">
        <v>1074</v>
      </c>
      <c r="R19" s="350">
        <v>2400</v>
      </c>
      <c r="S19" s="350">
        <v>1230</v>
      </c>
      <c r="T19" s="350">
        <v>1230</v>
      </c>
    </row>
    <row r="20" spans="1:20" x14ac:dyDescent="0.25">
      <c r="A20" s="234" t="s">
        <v>197</v>
      </c>
      <c r="B20" s="18" t="str">
        <f ca="1">OFFSET(CampList[Priority],MATCH(Table10[[#This Row],[Pcode]],CampList[CP_Pcode],0)-1,0,1,1)</f>
        <v>P2</v>
      </c>
      <c r="C20" s="18" t="str">
        <f ca="1">OFFSET(CampList[Camp],MATCH(Table10[[#This Row],[Pcode]],CampList[CP_Pcode],0)-1,0,1,1)</f>
        <v xml:space="preserve">Lana Zup Ja </v>
      </c>
      <c r="D20" s="18" t="str">
        <f ca="1">OFFSET(CampList[Township],MATCH(Table10[[#This Row],[Pcode]],CampList[CP_Pcode],0)-1,0,1,1)</f>
        <v>Mansi</v>
      </c>
      <c r="E20" s="18">
        <f ca="1">OFFSET(CampList[HH],MATCH(Table10[[#This Row],[Pcode]],CampList[CP_Pcode],0)-1,0,1,1)</f>
        <v>547</v>
      </c>
      <c r="F20" s="18">
        <f ca="1">OFFSET(CampList[Total],MATCH(Table10[[#This Row],[Pcode]],CampList[CP_Pcode],0)-1,0,1,1)</f>
        <v>2576</v>
      </c>
      <c r="G20" s="251">
        <f>SUMIF('NFI Tracking'!AQ$11:AQ$1048576,Table10[[#This Row],[Pcode]],'NFI Tracking'!AI$11:AI$1048576)</f>
        <v>0</v>
      </c>
      <c r="H20" s="251">
        <f>SUMIF('NFI Tracking'!AQ$11:AQ$1048576,Table10[[#This Row],[Pcode]],'NFI Tracking'!AJ$11:AJ$1048576)</f>
        <v>0</v>
      </c>
      <c r="I20" s="251">
        <f>SUMIF('NFI Tracking'!AQ$11:AQ$1048576,Table10[[#This Row],[Pcode]],'NFI Tracking'!AK$11:AK$1048576)</f>
        <v>0</v>
      </c>
      <c r="J20" s="251">
        <f ca="1">MAX(Table10[[#This Row],[HH]]*VLOOKUP("Winter Clothes Adult",NFI,6)-Table10[[#This Row],[Winter Clothes Adult ]],0)</f>
        <v>1094</v>
      </c>
      <c r="K20" s="251">
        <f ca="1">MAX(Table10[[#This Row],[HH]]*VLOOKUP("Winter Clothes Children ",NFI,6)-Table10[[#This Row],[Winter Clothes Children ]],0)</f>
        <v>547</v>
      </c>
      <c r="L20" s="251">
        <f ca="1">MAX(Table10[[#This Row],[HH]]*VLOOKUP("Winter Items Other ",NFI,6)-Table10[[#This Row],[Winter Items Other ]],0)</f>
        <v>547</v>
      </c>
      <c r="M20" s="279" t="str">
        <f>IF(OR(Table10[[#This Row],[Winter Clothes Adult ]]&lt;&gt;0,Table10[[#This Row],[Winter Clothes Children ]]&lt;&gt;0,Table10[[#This Row],[Winter Items Other ]]&lt;&gt;0),"No","")</f>
        <v/>
      </c>
      <c r="N20" s="280">
        <f>COUNTIF(A:A,Table10[[#This Row],[Pcode]])-1</f>
        <v>0</v>
      </c>
      <c r="Q20" s="249" t="s">
        <v>1088</v>
      </c>
      <c r="R20" s="350">
        <v>21216</v>
      </c>
      <c r="S20" s="350">
        <v>10680</v>
      </c>
      <c r="T20" s="350">
        <v>10680</v>
      </c>
    </row>
    <row r="21" spans="1:20" x14ac:dyDescent="0.25">
      <c r="A21" s="234" t="s">
        <v>157</v>
      </c>
      <c r="B21" s="18" t="str">
        <f ca="1">OFFSET(CampList[Priority],MATCH(Table10[[#This Row],[Pcode]],CampList[CP_Pcode],0)-1,0,1,1)</f>
        <v>P2</v>
      </c>
      <c r="C21" s="18" t="str">
        <f ca="1">OFFSET(CampList[Camp],MATCH(Table10[[#This Row],[Pcode]],CampList[CP_Pcode],0)-1,0,1,1)</f>
        <v>Lung Kawk  ( Hka Hkye Zup)</v>
      </c>
      <c r="D21" s="18" t="str">
        <f ca="1">OFFSET(CampList[Township],MATCH(Table10[[#This Row],[Pcode]],CampList[CP_Pcode],0)-1,0,1,1)</f>
        <v>Mansi</v>
      </c>
      <c r="E21" s="18">
        <f ca="1">OFFSET(CampList[HH],MATCH(Table10[[#This Row],[Pcode]],CampList[CP_Pcode],0)-1,0,1,1)</f>
        <v>0</v>
      </c>
      <c r="F21" s="18">
        <f ca="1">OFFSET(CampList[Total],MATCH(Table10[[#This Row],[Pcode]],CampList[CP_Pcode],0)-1,0,1,1)</f>
        <v>0</v>
      </c>
      <c r="G21" s="251">
        <f>SUMIF('NFI Tracking'!AQ$11:AQ$1048576,Table10[[#This Row],[Pcode]],'NFI Tracking'!AI$11:AI$1048576)</f>
        <v>0</v>
      </c>
      <c r="H21" s="251">
        <f>SUMIF('NFI Tracking'!AQ$11:AQ$1048576,Table10[[#This Row],[Pcode]],'NFI Tracking'!AJ$11:AJ$1048576)</f>
        <v>0</v>
      </c>
      <c r="I21" s="251">
        <f>SUMIF('NFI Tracking'!AQ$11:AQ$1048576,Table10[[#This Row],[Pcode]],'NFI Tracking'!AK$11:AK$1048576)</f>
        <v>0</v>
      </c>
      <c r="J21" s="251">
        <f ca="1">MAX(Table10[[#This Row],[HH]]*VLOOKUP("Winter Clothes Adult",NFI,6)-Table10[[#This Row],[Winter Clothes Adult ]],0)</f>
        <v>0</v>
      </c>
      <c r="K21" s="251">
        <f ca="1">MAX(Table10[[#This Row],[HH]]*VLOOKUP("Winter Clothes Children ",NFI,6)-Table10[[#This Row],[Winter Clothes Children ]],0)</f>
        <v>0</v>
      </c>
      <c r="L21" s="251">
        <f ca="1">MAX(Table10[[#This Row],[HH]]*VLOOKUP("Winter Items Other ",NFI,6)-Table10[[#This Row],[Winter Items Other ]],0)</f>
        <v>0</v>
      </c>
      <c r="M21" s="279" t="str">
        <f>IF(OR(Table10[[#This Row],[Winter Clothes Adult ]]&lt;&gt;0,Table10[[#This Row],[Winter Clothes Children ]]&lt;&gt;0,Table10[[#This Row],[Winter Items Other ]]&lt;&gt;0),"No","")</f>
        <v/>
      </c>
      <c r="N21" s="280">
        <f>COUNTIF(A:A,Table10[[#This Row],[Pcode]])-1</f>
        <v>0</v>
      </c>
      <c r="Q21" s="249" t="s">
        <v>415</v>
      </c>
      <c r="R21" s="350">
        <v>35530</v>
      </c>
      <c r="S21" s="350">
        <v>17703</v>
      </c>
      <c r="T21" s="350">
        <v>17955</v>
      </c>
    </row>
    <row r="22" spans="1:20" x14ac:dyDescent="0.25">
      <c r="A22" s="234" t="s">
        <v>193</v>
      </c>
      <c r="B22" s="18" t="str">
        <f ca="1">OFFSET(CampList[Priority],MATCH(Table10[[#This Row],[Pcode]],CampList[CP_Pcode],0)-1,0,1,1)</f>
        <v>P2</v>
      </c>
      <c r="C22" s="18" t="str">
        <f ca="1">OFFSET(CampList[Camp],MATCH(Table10[[#This Row],[Pcode]],CampList[CP_Pcode],0)-1,0,1,1)</f>
        <v xml:space="preserve">Hpun Lum Yang </v>
      </c>
      <c r="D22" s="18" t="str">
        <f ca="1">OFFSET(CampList[Township],MATCH(Table10[[#This Row],[Pcode]],CampList[CP_Pcode],0)-1,0,1,1)</f>
        <v>Momauk</v>
      </c>
      <c r="E22" s="18">
        <f ca="1">OFFSET(CampList[HH],MATCH(Table10[[#This Row],[Pcode]],CampList[CP_Pcode],0)-1,0,1,1)</f>
        <v>718</v>
      </c>
      <c r="F22" s="18">
        <f ca="1">OFFSET(CampList[Total],MATCH(Table10[[#This Row],[Pcode]],CampList[CP_Pcode],0)-1,0,1,1)</f>
        <v>3321</v>
      </c>
      <c r="G22" s="251">
        <f>SUMIF('NFI Tracking'!AQ$11:AQ$1048576,Table10[[#This Row],[Pcode]],'NFI Tracking'!AI$11:AI$1048576)</f>
        <v>0</v>
      </c>
      <c r="H22" s="251">
        <f>SUMIF('NFI Tracking'!AQ$11:AQ$1048576,Table10[[#This Row],[Pcode]],'NFI Tracking'!AJ$11:AJ$1048576)</f>
        <v>0</v>
      </c>
      <c r="I22" s="251">
        <f>SUMIF('NFI Tracking'!AQ$11:AQ$1048576,Table10[[#This Row],[Pcode]],'NFI Tracking'!AK$11:AK$1048576)</f>
        <v>0</v>
      </c>
      <c r="J22" s="251">
        <f ca="1">MAX(Table10[[#This Row],[HH]]*VLOOKUP("Winter Clothes Adult",NFI,6)-Table10[[#This Row],[Winter Clothes Adult ]],0)</f>
        <v>1436</v>
      </c>
      <c r="K22" s="251">
        <f ca="1">MAX(Table10[[#This Row],[HH]]*VLOOKUP("Winter Clothes Children ",NFI,6)-Table10[[#This Row],[Winter Clothes Children ]],0)</f>
        <v>718</v>
      </c>
      <c r="L22" s="251">
        <f ca="1">MAX(Table10[[#This Row],[HH]]*VLOOKUP("Winter Items Other ",NFI,6)-Table10[[#This Row],[Winter Items Other ]],0)</f>
        <v>718</v>
      </c>
      <c r="M22" s="279" t="str">
        <f>IF(OR(Table10[[#This Row],[Winter Clothes Adult ]]&lt;&gt;0,Table10[[#This Row],[Winter Clothes Children ]]&lt;&gt;0,Table10[[#This Row],[Winter Items Other ]]&lt;&gt;0),"No","")</f>
        <v/>
      </c>
      <c r="N22" s="280">
        <f>COUNTIF(A:A,Table10[[#This Row],[Pcode]])-1</f>
        <v>0</v>
      </c>
    </row>
    <row r="23" spans="1:20" x14ac:dyDescent="0.25">
      <c r="A23" s="234" t="s">
        <v>195</v>
      </c>
      <c r="B23" s="18" t="str">
        <f ca="1">OFFSET(CampList[Priority],MATCH(Table10[[#This Row],[Pcode]],CampList[CP_Pcode],0)-1,0,1,1)</f>
        <v>P2</v>
      </c>
      <c r="C23" s="18" t="str">
        <f ca="1">OFFSET(CampList[Camp],MATCH(Table10[[#This Row],[Pcode]],CampList[CP_Pcode],0)-1,0,1,1)</f>
        <v xml:space="preserve">Je Yang Hka </v>
      </c>
      <c r="D23" s="18" t="str">
        <f ca="1">OFFSET(CampList[Township],MATCH(Table10[[#This Row],[Pcode]],CampList[CP_Pcode],0)-1,0,1,1)</f>
        <v>Momauk</v>
      </c>
      <c r="E23" s="18">
        <f ca="1">OFFSET(CampList[HH],MATCH(Table10[[#This Row],[Pcode]],CampList[CP_Pcode],0)-1,0,1,1)</f>
        <v>1546</v>
      </c>
      <c r="F23" s="18">
        <f ca="1">OFFSET(CampList[Total],MATCH(Table10[[#This Row],[Pcode]],CampList[CP_Pcode],0)-1,0,1,1)</f>
        <v>8610</v>
      </c>
      <c r="G23" s="251">
        <f>SUMIF('NFI Tracking'!AQ$11:AQ$1048576,Table10[[#This Row],[Pcode]],'NFI Tracking'!AI$11:AI$1048576)</f>
        <v>0</v>
      </c>
      <c r="H23" s="251">
        <f>SUMIF('NFI Tracking'!AQ$11:AQ$1048576,Table10[[#This Row],[Pcode]],'NFI Tracking'!AJ$11:AJ$1048576)</f>
        <v>0</v>
      </c>
      <c r="I23" s="251">
        <f>SUMIF('NFI Tracking'!AQ$11:AQ$1048576,Table10[[#This Row],[Pcode]],'NFI Tracking'!AK$11:AK$1048576)</f>
        <v>0</v>
      </c>
      <c r="J23" s="251">
        <f ca="1">MAX(Table10[[#This Row],[HH]]*VLOOKUP("Winter Clothes Adult",NFI,6)-Table10[[#This Row],[Winter Clothes Adult ]],0)</f>
        <v>3092</v>
      </c>
      <c r="K23" s="251">
        <f ca="1">MAX(Table10[[#This Row],[HH]]*VLOOKUP("Winter Clothes Children ",NFI,6)-Table10[[#This Row],[Winter Clothes Children ]],0)</f>
        <v>1546</v>
      </c>
      <c r="L23" s="251">
        <f ca="1">MAX(Table10[[#This Row],[HH]]*VLOOKUP("Winter Items Other ",NFI,6)-Table10[[#This Row],[Winter Items Other ]],0)</f>
        <v>1546</v>
      </c>
      <c r="M23" s="279" t="str">
        <f>IF(OR(Table10[[#This Row],[Winter Clothes Adult ]]&lt;&gt;0,Table10[[#This Row],[Winter Clothes Children ]]&lt;&gt;0,Table10[[#This Row],[Winter Items Other ]]&lt;&gt;0),"No","")</f>
        <v/>
      </c>
      <c r="N23" s="280">
        <f>COUNTIF(A:A,Table10[[#This Row],[Pcode]])-1</f>
        <v>0</v>
      </c>
    </row>
    <row r="24" spans="1:20" x14ac:dyDescent="0.25">
      <c r="A24" s="234" t="s">
        <v>218</v>
      </c>
      <c r="B24" s="18" t="str">
        <f ca="1">OFFSET(CampList[Priority],MATCH(Table10[[#This Row],[Pcode]],CampList[CP_Pcode],0)-1,0,1,1)</f>
        <v>P2</v>
      </c>
      <c r="C24" s="18" t="str">
        <f ca="1">OFFSET(CampList[Camp],MATCH(Table10[[#This Row],[Pcode]],CampList[CP_Pcode],0)-1,0,1,1)</f>
        <v xml:space="preserve">Pa Kahtawng </v>
      </c>
      <c r="D24" s="18" t="str">
        <f ca="1">OFFSET(CampList[Township],MATCH(Table10[[#This Row],[Pcode]],CampList[CP_Pcode],0)-1,0,1,1)</f>
        <v>Momauk</v>
      </c>
      <c r="E24" s="18">
        <f ca="1">OFFSET(CampList[HH],MATCH(Table10[[#This Row],[Pcode]],CampList[CP_Pcode],0)-1,0,1,1)</f>
        <v>597</v>
      </c>
      <c r="F24" s="18">
        <f ca="1">OFFSET(CampList[Total],MATCH(Table10[[#This Row],[Pcode]],CampList[CP_Pcode],0)-1,0,1,1)</f>
        <v>3643</v>
      </c>
      <c r="G24" s="251">
        <f>SUMIF('NFI Tracking'!AQ$11:AQ$1048576,Table10[[#This Row],[Pcode]],'NFI Tracking'!AI$11:AI$1048576)</f>
        <v>0</v>
      </c>
      <c r="H24" s="251">
        <f>SUMIF('NFI Tracking'!AQ$11:AQ$1048576,Table10[[#This Row],[Pcode]],'NFI Tracking'!AJ$11:AJ$1048576)</f>
        <v>0</v>
      </c>
      <c r="I24" s="251">
        <f>SUMIF('NFI Tracking'!AQ$11:AQ$1048576,Table10[[#This Row],[Pcode]],'NFI Tracking'!AK$11:AK$1048576)</f>
        <v>0</v>
      </c>
      <c r="J24" s="251">
        <f ca="1">MAX(Table10[[#This Row],[HH]]*VLOOKUP("Winter Clothes Adult",NFI,6)-Table10[[#This Row],[Winter Clothes Adult ]],0)</f>
        <v>1194</v>
      </c>
      <c r="K24" s="251">
        <f ca="1">MAX(Table10[[#This Row],[HH]]*VLOOKUP("Winter Clothes Children ",NFI,6)-Table10[[#This Row],[Winter Clothes Children ]],0)</f>
        <v>597</v>
      </c>
      <c r="L24" s="251">
        <f ca="1">MAX(Table10[[#This Row],[HH]]*VLOOKUP("Winter Items Other ",NFI,6)-Table10[[#This Row],[Winter Items Other ]],0)</f>
        <v>597</v>
      </c>
      <c r="M24" s="279" t="str">
        <f>IF(OR(Table10[[#This Row],[Winter Clothes Adult ]]&lt;&gt;0,Table10[[#This Row],[Winter Clothes Children ]]&lt;&gt;0,Table10[[#This Row],[Winter Items Other ]]&lt;&gt;0),"No","")</f>
        <v/>
      </c>
      <c r="N24" s="280">
        <f>COUNTIF(A:A,Table10[[#This Row],[Pcode]])-1</f>
        <v>0</v>
      </c>
    </row>
    <row r="25" spans="1:20" x14ac:dyDescent="0.25">
      <c r="A25" s="234" t="s">
        <v>191</v>
      </c>
      <c r="B25" s="18" t="str">
        <f ca="1">OFFSET(CampList[Priority],MATCH(Table10[[#This Row],[Pcode]],CampList[CP_Pcode],0)-1,0,1,1)</f>
        <v>P2</v>
      </c>
      <c r="C25" s="18" t="str">
        <f ca="1">OFFSET(CampList[Camp],MATCH(Table10[[#This Row],[Pcode]],CampList[CP_Pcode],0)-1,0,1,1)</f>
        <v xml:space="preserve">Dum Bung </v>
      </c>
      <c r="D25" s="18" t="str">
        <f ca="1">OFFSET(CampList[Township],MATCH(Table10[[#This Row],[Pcode]],CampList[CP_Pcode],0)-1,0,1,1)</f>
        <v>Momauk</v>
      </c>
      <c r="E25" s="18">
        <f ca="1">OFFSET(CampList[HH],MATCH(Table10[[#This Row],[Pcode]],CampList[CP_Pcode],0)-1,0,1,1)</f>
        <v>103</v>
      </c>
      <c r="F25" s="18">
        <f ca="1">OFFSET(CampList[Total],MATCH(Table10[[#This Row],[Pcode]],CampList[CP_Pcode],0)-1,0,1,1)</f>
        <v>461</v>
      </c>
      <c r="G25" s="251">
        <f>SUMIF('NFI Tracking'!AQ$11:AQ$1048576,Table10[[#This Row],[Pcode]],'NFI Tracking'!AI$11:AI$1048576)</f>
        <v>0</v>
      </c>
      <c r="H25" s="251">
        <f>SUMIF('NFI Tracking'!AQ$11:AQ$1048576,Table10[[#This Row],[Pcode]],'NFI Tracking'!AJ$11:AJ$1048576)</f>
        <v>0</v>
      </c>
      <c r="I25" s="251">
        <f>SUMIF('NFI Tracking'!AQ$11:AQ$1048576,Table10[[#This Row],[Pcode]],'NFI Tracking'!AK$11:AK$1048576)</f>
        <v>0</v>
      </c>
      <c r="J25" s="251">
        <f ca="1">MAX(Table10[[#This Row],[HH]]*VLOOKUP("Winter Clothes Adult",NFI,6)-Table10[[#This Row],[Winter Clothes Adult ]],0)</f>
        <v>206</v>
      </c>
      <c r="K25" s="251">
        <f ca="1">MAX(Table10[[#This Row],[HH]]*VLOOKUP("Winter Clothes Children ",NFI,6)-Table10[[#This Row],[Winter Clothes Children ]],0)</f>
        <v>103</v>
      </c>
      <c r="L25" s="251">
        <f ca="1">MAX(Table10[[#This Row],[HH]]*VLOOKUP("Winter Items Other ",NFI,6)-Table10[[#This Row],[Winter Items Other ]],0)</f>
        <v>103</v>
      </c>
      <c r="M25" s="279" t="str">
        <f>IF(OR(Table10[[#This Row],[Winter Clothes Adult ]]&lt;&gt;0,Table10[[#This Row],[Winter Clothes Children ]]&lt;&gt;0,Table10[[#This Row],[Winter Items Other ]]&lt;&gt;0),"No","")</f>
        <v/>
      </c>
      <c r="N25" s="280">
        <f>COUNTIF(A:A,Table10[[#This Row],[Pcode]])-1</f>
        <v>0</v>
      </c>
    </row>
    <row r="26" spans="1:20" x14ac:dyDescent="0.25">
      <c r="A26" s="234" t="s">
        <v>813</v>
      </c>
      <c r="B26" s="18" t="str">
        <f ca="1">OFFSET(CampList[Priority],MATCH(Table10[[#This Row],[Pcode]],CampList[CP_Pcode],0)-1,0,1,1)</f>
        <v>P2</v>
      </c>
      <c r="C26" s="18" t="str">
        <f ca="1">OFFSET(CampList[Camp],MATCH(Table10[[#This Row],[Pcode]],CampList[CP_Pcode],0)-1,0,1,1)</f>
        <v>IDP Boarding School, A Len Bum</v>
      </c>
      <c r="D26" s="18" t="str">
        <f ca="1">OFFSET(CampList[Township],MATCH(Table10[[#This Row],[Pcode]],CampList[CP_Pcode],0)-1,0,1,1)</f>
        <v>Waingmaw</v>
      </c>
      <c r="E26" s="18">
        <f ca="1">OFFSET(CampList[HH],MATCH(Table10[[#This Row],[Pcode]],CampList[CP_Pcode],0)-1,0,1,1)</f>
        <v>0</v>
      </c>
      <c r="F26" s="18">
        <f ca="1">OFFSET(CampList[Total],MATCH(Table10[[#This Row],[Pcode]],CampList[CP_Pcode],0)-1,0,1,1)</f>
        <v>1047</v>
      </c>
      <c r="G26" s="251">
        <f>SUMIF('NFI Tracking'!AQ$11:AQ$1048576,Table10[[#This Row],[Pcode]],'NFI Tracking'!AI$11:AI$1048576)</f>
        <v>0</v>
      </c>
      <c r="H26" s="251">
        <f>SUMIF('NFI Tracking'!AQ$11:AQ$1048576,Table10[[#This Row],[Pcode]],'NFI Tracking'!AJ$11:AJ$1048576)</f>
        <v>0</v>
      </c>
      <c r="I26" s="251">
        <f>SUMIF('NFI Tracking'!AQ$11:AQ$1048576,Table10[[#This Row],[Pcode]],'NFI Tracking'!AK$11:AK$1048576)</f>
        <v>0</v>
      </c>
      <c r="J26" s="251">
        <f ca="1">MAX(Table10[[#This Row],[HH]]*VLOOKUP("Winter Clothes Adult",NFI,6)-Table10[[#This Row],[Winter Clothes Adult ]],0)</f>
        <v>0</v>
      </c>
      <c r="K26" s="251">
        <f ca="1">MAX(Table10[[#This Row],[HH]]*VLOOKUP("Winter Clothes Children ",NFI,6)-Table10[[#This Row],[Winter Clothes Children ]],0)</f>
        <v>0</v>
      </c>
      <c r="L26" s="251">
        <f ca="1">MAX(Table10[[#This Row],[HH]]*VLOOKUP("Winter Items Other ",NFI,6)-Table10[[#This Row],[Winter Items Other ]],0)</f>
        <v>0</v>
      </c>
      <c r="M26" s="279" t="str">
        <f>IF(OR(Table10[[#This Row],[Winter Clothes Adult ]]&lt;&gt;0,Table10[[#This Row],[Winter Clothes Children ]]&lt;&gt;0,Table10[[#This Row],[Winter Items Other ]]&lt;&gt;0),"No","")</f>
        <v/>
      </c>
      <c r="N26" s="280">
        <f>COUNTIF(A:A,Table10[[#This Row],[Pcode]])-1</f>
        <v>0</v>
      </c>
    </row>
    <row r="27" spans="1:20" x14ac:dyDescent="0.25">
      <c r="A27" s="234" t="s">
        <v>314</v>
      </c>
      <c r="B27" s="18" t="str">
        <f ca="1">OFFSET(CampList[Priority],MATCH(Table10[[#This Row],[Pcode]],CampList[CP_Pcode],0)-1,0,1,1)</f>
        <v>P2</v>
      </c>
      <c r="C27" s="18" t="str">
        <f ca="1">OFFSET(CampList[Camp],MATCH(Table10[[#This Row],[Pcode]],CampList[CP_Pcode],0)-1,0,1,1)</f>
        <v>Laiza Market 3 - Laiza Gat</v>
      </c>
      <c r="D27" s="18" t="str">
        <f ca="1">OFFSET(CampList[Township],MATCH(Table10[[#This Row],[Pcode]],CampList[CP_Pcode],0)-1,0,1,1)</f>
        <v>Waingmaw</v>
      </c>
      <c r="E27" s="18">
        <f ca="1">OFFSET(CampList[HH],MATCH(Table10[[#This Row],[Pcode]],CampList[CP_Pcode],0)-1,0,1,1)</f>
        <v>0</v>
      </c>
      <c r="F27" s="18">
        <f ca="1">OFFSET(CampList[Total],MATCH(Table10[[#This Row],[Pcode]],CampList[CP_Pcode],0)-1,0,1,1)</f>
        <v>0</v>
      </c>
      <c r="G27" s="251">
        <f>SUMIF('NFI Tracking'!AQ$11:AQ$1048576,Table10[[#This Row],[Pcode]],'NFI Tracking'!AI$11:AI$1048576)</f>
        <v>0</v>
      </c>
      <c r="H27" s="251">
        <f>SUMIF('NFI Tracking'!AQ$11:AQ$1048576,Table10[[#This Row],[Pcode]],'NFI Tracking'!AJ$11:AJ$1048576)</f>
        <v>0</v>
      </c>
      <c r="I27" s="251">
        <f>SUMIF('NFI Tracking'!AQ$11:AQ$1048576,Table10[[#This Row],[Pcode]],'NFI Tracking'!AK$11:AK$1048576)</f>
        <v>0</v>
      </c>
      <c r="J27" s="251">
        <f ca="1">MAX(Table10[[#This Row],[HH]]*VLOOKUP("Winter Clothes Adult",NFI,6)-Table10[[#This Row],[Winter Clothes Adult ]],0)</f>
        <v>0</v>
      </c>
      <c r="K27" s="251">
        <f ca="1">MAX(Table10[[#This Row],[HH]]*VLOOKUP("Winter Clothes Children ",NFI,6)-Table10[[#This Row],[Winter Clothes Children ]],0)</f>
        <v>0</v>
      </c>
      <c r="L27" s="251">
        <f ca="1">MAX(Table10[[#This Row],[HH]]*VLOOKUP("Winter Items Other ",NFI,6)-Table10[[#This Row],[Winter Items Other ]],0)</f>
        <v>0</v>
      </c>
      <c r="M27" s="279" t="str">
        <f>IF(OR(Table10[[#This Row],[Winter Clothes Adult ]]&lt;&gt;0,Table10[[#This Row],[Winter Clothes Children ]]&lt;&gt;0,Table10[[#This Row],[Winter Items Other ]]&lt;&gt;0),"No","")</f>
        <v/>
      </c>
      <c r="N27" s="280">
        <f>COUNTIF(A:A,Table10[[#This Row],[Pcode]])-1</f>
        <v>0</v>
      </c>
    </row>
    <row r="28" spans="1:20" x14ac:dyDescent="0.25">
      <c r="A28" s="234" t="s">
        <v>356</v>
      </c>
      <c r="B28" s="18" t="str">
        <f ca="1">OFFSET(CampList[Priority],MATCH(Table10[[#This Row],[Pcode]],CampList[CP_Pcode],0)-1,0,1,1)</f>
        <v>P2</v>
      </c>
      <c r="C28" s="18" t="str">
        <f ca="1">OFFSET(CampList[Camp],MATCH(Table10[[#This Row],[Pcode]],CampList[CP_Pcode],0)-1,0,1,1)</f>
        <v>Zai Awng - Mung Ga Zup</v>
      </c>
      <c r="D28" s="18" t="str">
        <f ca="1">OFFSET(CampList[Township],MATCH(Table10[[#This Row],[Pcode]],CampList[CP_Pcode],0)-1,0,1,1)</f>
        <v>Waingmaw</v>
      </c>
      <c r="E28" s="18">
        <f ca="1">OFFSET(CampList[HH],MATCH(Table10[[#This Row],[Pcode]],CampList[CP_Pcode],0)-1,0,1,1)</f>
        <v>0</v>
      </c>
      <c r="F28" s="18">
        <f ca="1">OFFSET(CampList[Total],MATCH(Table10[[#This Row],[Pcode]],CampList[CP_Pcode],0)-1,0,1,1)</f>
        <v>0</v>
      </c>
      <c r="G28" s="251">
        <f>SUMIF('NFI Tracking'!AQ$11:AQ$1048576,Table10[[#This Row],[Pcode]],'NFI Tracking'!AI$11:AI$1048576)</f>
        <v>0</v>
      </c>
      <c r="H28" s="251">
        <f>SUMIF('NFI Tracking'!AQ$11:AQ$1048576,Table10[[#This Row],[Pcode]],'NFI Tracking'!AJ$11:AJ$1048576)</f>
        <v>0</v>
      </c>
      <c r="I28" s="251">
        <f>SUMIF('NFI Tracking'!AQ$11:AQ$1048576,Table10[[#This Row],[Pcode]],'NFI Tracking'!AK$11:AK$1048576)</f>
        <v>0</v>
      </c>
      <c r="J28" s="251">
        <f ca="1">MAX(Table10[[#This Row],[HH]]*VLOOKUP("Winter Clothes Adult",NFI,6)-Table10[[#This Row],[Winter Clothes Adult ]],0)</f>
        <v>0</v>
      </c>
      <c r="K28" s="251">
        <f ca="1">MAX(Table10[[#This Row],[HH]]*VLOOKUP("Winter Clothes Children ",NFI,6)-Table10[[#This Row],[Winter Clothes Children ]],0)</f>
        <v>0</v>
      </c>
      <c r="L28" s="251">
        <f ca="1">MAX(Table10[[#This Row],[HH]]*VLOOKUP("Winter Items Other ",NFI,6)-Table10[[#This Row],[Winter Items Other ]],0)</f>
        <v>0</v>
      </c>
      <c r="M28" s="279" t="str">
        <f>IF(OR(Table10[[#This Row],[Winter Clothes Adult ]]&lt;&gt;0,Table10[[#This Row],[Winter Clothes Children ]]&lt;&gt;0,Table10[[#This Row],[Winter Items Other ]]&lt;&gt;0),"No","")</f>
        <v/>
      </c>
      <c r="N28" s="280">
        <f>COUNTIF(A:A,Table10[[#This Row],[Pcode]])-1</f>
        <v>0</v>
      </c>
    </row>
    <row r="29" spans="1:20" x14ac:dyDescent="0.25">
      <c r="A29" s="234" t="s">
        <v>321</v>
      </c>
      <c r="B29" s="18" t="str">
        <f ca="1">OFFSET(CampList[Priority],MATCH(Table10[[#This Row],[Pcode]],CampList[CP_Pcode],0)-1,0,1,1)</f>
        <v>P2</v>
      </c>
      <c r="C29" s="18" t="str">
        <f ca="1">OFFSET(CampList[Camp],MATCH(Table10[[#This Row],[Pcode]],CampList[CP_Pcode],0)-1,0,1,1)</f>
        <v xml:space="preserve">Maga Yang </v>
      </c>
      <c r="D29" s="18" t="str">
        <f ca="1">OFFSET(CampList[Township],MATCH(Table10[[#This Row],[Pcode]],CampList[CP_Pcode],0)-1,0,1,1)</f>
        <v>Waingmaw</v>
      </c>
      <c r="E29" s="18">
        <f ca="1">OFFSET(CampList[HH],MATCH(Table10[[#This Row],[Pcode]],CampList[CP_Pcode],0)-1,0,1,1)</f>
        <v>431</v>
      </c>
      <c r="F29" s="18">
        <f ca="1">OFFSET(CampList[Total],MATCH(Table10[[#This Row],[Pcode]],CampList[CP_Pcode],0)-1,0,1,1)</f>
        <v>1920</v>
      </c>
      <c r="G29" s="251">
        <f>SUMIF('NFI Tracking'!AQ$11:AQ$1048576,Table10[[#This Row],[Pcode]],'NFI Tracking'!AI$11:AI$1048576)</f>
        <v>0</v>
      </c>
      <c r="H29" s="251">
        <f>SUMIF('NFI Tracking'!AQ$11:AQ$1048576,Table10[[#This Row],[Pcode]],'NFI Tracking'!AJ$11:AJ$1048576)</f>
        <v>0</v>
      </c>
      <c r="I29" s="251">
        <f>SUMIF('NFI Tracking'!AQ$11:AQ$1048576,Table10[[#This Row],[Pcode]],'NFI Tracking'!AK$11:AK$1048576)</f>
        <v>0</v>
      </c>
      <c r="J29" s="251">
        <f ca="1">MAX(Table10[[#This Row],[HH]]*VLOOKUP("Winter Clothes Adult",NFI,6)-Table10[[#This Row],[Winter Clothes Adult ]],0)</f>
        <v>862</v>
      </c>
      <c r="K29" s="251">
        <f ca="1">MAX(Table10[[#This Row],[HH]]*VLOOKUP("Winter Clothes Children ",NFI,6)-Table10[[#This Row],[Winter Clothes Children ]],0)</f>
        <v>431</v>
      </c>
      <c r="L29" s="251">
        <f ca="1">MAX(Table10[[#This Row],[HH]]*VLOOKUP("Winter Items Other ",NFI,6)-Table10[[#This Row],[Winter Items Other ]],0)</f>
        <v>431</v>
      </c>
      <c r="M29" s="279" t="str">
        <f>IF(OR(Table10[[#This Row],[Winter Clothes Adult ]]&lt;&gt;0,Table10[[#This Row],[Winter Clothes Children ]]&lt;&gt;0,Table10[[#This Row],[Winter Items Other ]]&lt;&gt;0),"No","")</f>
        <v/>
      </c>
      <c r="N29" s="280">
        <f>COUNTIF(A:A,Table10[[#This Row],[Pcode]])-1</f>
        <v>0</v>
      </c>
    </row>
    <row r="30" spans="1:20" x14ac:dyDescent="0.25">
      <c r="A30" s="234" t="s">
        <v>165</v>
      </c>
      <c r="B30" s="18" t="str">
        <f ca="1">OFFSET(CampList[Priority],MATCH(Table10[[#This Row],[Pcode]],CampList[CP_Pcode],0)-1,0,1,1)</f>
        <v>P2</v>
      </c>
      <c r="C30" s="18" t="str">
        <f ca="1">OFFSET(CampList[Camp],MATCH(Table10[[#This Row],[Pcode]],CampList[CP_Pcode],0)-1,0,1,1)</f>
        <v>Mandung - Jinghpaw</v>
      </c>
      <c r="D30" s="18" t="str">
        <f ca="1">OFFSET(CampList[Township],MATCH(Table10[[#This Row],[Pcode]],CampList[CP_Pcode],0)-1,0,1,1)</f>
        <v>Manton</v>
      </c>
      <c r="E30" s="18">
        <f ca="1">OFFSET(CampList[HH],MATCH(Table10[[#This Row],[Pcode]],CampList[CP_Pcode],0)-1,0,1,1)</f>
        <v>35</v>
      </c>
      <c r="F30" s="18">
        <f ca="1">OFFSET(CampList[Total],MATCH(Table10[[#This Row],[Pcode]],CampList[CP_Pcode],0)-1,0,1,1)</f>
        <v>178</v>
      </c>
      <c r="G30" s="251">
        <f>SUMIF('NFI Tracking'!AQ$11:AQ$1048576,Table10[[#This Row],[Pcode]],'NFI Tracking'!AI$11:AI$1048576)</f>
        <v>0</v>
      </c>
      <c r="H30" s="251">
        <f>SUMIF('NFI Tracking'!AQ$11:AQ$1048576,Table10[[#This Row],[Pcode]],'NFI Tracking'!AJ$11:AJ$1048576)</f>
        <v>0</v>
      </c>
      <c r="I30" s="251">
        <f>SUMIF('NFI Tracking'!AQ$11:AQ$1048576,Table10[[#This Row],[Pcode]],'NFI Tracking'!AK$11:AK$1048576)</f>
        <v>0</v>
      </c>
      <c r="J30" s="251">
        <f ca="1">MAX(Table10[[#This Row],[HH]]*VLOOKUP("Winter Clothes Adult",NFI,6)-Table10[[#This Row],[Winter Clothes Adult ]],0)</f>
        <v>70</v>
      </c>
      <c r="K30" s="251">
        <f ca="1">MAX(Table10[[#This Row],[HH]]*VLOOKUP("Winter Clothes Children ",NFI,6)-Table10[[#This Row],[Winter Clothes Children ]],0)</f>
        <v>35</v>
      </c>
      <c r="L30" s="251">
        <f ca="1">MAX(Table10[[#This Row],[HH]]*VLOOKUP("Winter Items Other ",NFI,6)-Table10[[#This Row],[Winter Items Other ]],0)</f>
        <v>35</v>
      </c>
      <c r="M30" s="279" t="str">
        <f>IF(OR(Table10[[#This Row],[Winter Clothes Adult ]]&lt;&gt;0,Table10[[#This Row],[Winter Clothes Children ]]&lt;&gt;0,Table10[[#This Row],[Winter Items Other ]]&lt;&gt;0),"No","")</f>
        <v/>
      </c>
      <c r="N30" s="280">
        <f>COUNTIF(A:A,Table10[[#This Row],[Pcode]])-1</f>
        <v>0</v>
      </c>
    </row>
    <row r="31" spans="1:20" x14ac:dyDescent="0.25">
      <c r="A31" s="234" t="s">
        <v>836</v>
      </c>
      <c r="B31" s="18" t="str">
        <f ca="1">OFFSET(CampList[Priority],MATCH(Table10[[#This Row],[Pcode]],CampList[CP_Pcode],0)-1,0,1,1)</f>
        <v>P2</v>
      </c>
      <c r="C31" s="18" t="str">
        <f ca="1">OFFSET(CampList[Camp],MATCH(Table10[[#This Row],[Pcode]],CampList[CP_Pcode],0)-1,0,1,1)</f>
        <v>Nam Hkawng</v>
      </c>
      <c r="D31" s="18" t="str">
        <f ca="1">OFFSET(CampList[Township],MATCH(Table10[[#This Row],[Pcode]],CampList[CP_Pcode],0)-1,0,1,1)</f>
        <v>Muse</v>
      </c>
      <c r="E31" s="18">
        <f ca="1">OFFSET(CampList[HH],MATCH(Table10[[#This Row],[Pcode]],CampList[CP_Pcode],0)-1,0,1,1)</f>
        <v>9</v>
      </c>
      <c r="F31" s="18">
        <f ca="1">OFFSET(CampList[Total],MATCH(Table10[[#This Row],[Pcode]],CampList[CP_Pcode],0)-1,0,1,1)</f>
        <v>44</v>
      </c>
      <c r="G31" s="251">
        <f>SUMIF('NFI Tracking'!AQ$11:AQ$1048576,Table10[[#This Row],[Pcode]],'NFI Tracking'!AI$11:AI$1048576)</f>
        <v>0</v>
      </c>
      <c r="H31" s="251">
        <f>SUMIF('NFI Tracking'!AQ$11:AQ$1048576,Table10[[#This Row],[Pcode]],'NFI Tracking'!AJ$11:AJ$1048576)</f>
        <v>0</v>
      </c>
      <c r="I31" s="251">
        <f>SUMIF('NFI Tracking'!AQ$11:AQ$1048576,Table10[[#This Row],[Pcode]],'NFI Tracking'!AK$11:AK$1048576)</f>
        <v>0</v>
      </c>
      <c r="J31" s="251">
        <f ca="1">MAX(Table10[[#This Row],[HH]]*VLOOKUP("Winter Clothes Adult",NFI,6)-Table10[[#This Row],[Winter Clothes Adult ]],0)</f>
        <v>18</v>
      </c>
      <c r="K31" s="251">
        <f ca="1">MAX(Table10[[#This Row],[HH]]*VLOOKUP("Winter Clothes Children ",NFI,6)-Table10[[#This Row],[Winter Clothes Children ]],0)</f>
        <v>9</v>
      </c>
      <c r="L31" s="251">
        <f ca="1">MAX(Table10[[#This Row],[HH]]*VLOOKUP("Winter Items Other ",NFI,6)-Table10[[#This Row],[Winter Items Other ]],0)</f>
        <v>9</v>
      </c>
      <c r="M31" s="279" t="str">
        <f>IF(OR(Table10[[#This Row],[Winter Clothes Adult ]]&lt;&gt;0,Table10[[#This Row],[Winter Clothes Children ]]&lt;&gt;0,Table10[[#This Row],[Winter Items Other ]]&lt;&gt;0),"No","")</f>
        <v/>
      </c>
      <c r="N31" s="280">
        <f>COUNTIF(A:A,Table10[[#This Row],[Pcode]])-1</f>
        <v>0</v>
      </c>
    </row>
    <row r="32" spans="1:20" x14ac:dyDescent="0.25">
      <c r="A32" s="234" t="s">
        <v>184</v>
      </c>
      <c r="B32" s="18" t="str">
        <f ca="1">OFFSET(CampList[Priority],MATCH(Table10[[#This Row],[Pcode]],CampList[CP_Pcode],0)-1,0,1,1)</f>
        <v>P3</v>
      </c>
      <c r="C32" s="18" t="str">
        <f ca="1">OFFSET(CampList[Camp],MATCH(Table10[[#This Row],[Pcode]],CampList[CP_Pcode],0)-1,0,1,1)</f>
        <v>Loi Je Baptist Church</v>
      </c>
      <c r="D32" s="18" t="str">
        <f ca="1">OFFSET(CampList[Township],MATCH(Table10[[#This Row],[Pcode]],CampList[CP_Pcode],0)-1,0,1,1)</f>
        <v>Momauk</v>
      </c>
      <c r="E32" s="18">
        <f ca="1">OFFSET(CampList[HH],MATCH(Table10[[#This Row],[Pcode]],CampList[CP_Pcode],0)-1,0,1,1)</f>
        <v>39</v>
      </c>
      <c r="F32" s="18">
        <f ca="1">OFFSET(CampList[Total],MATCH(Table10[[#This Row],[Pcode]],CampList[CP_Pcode],0)-1,0,1,1)</f>
        <v>234</v>
      </c>
      <c r="G32" s="251">
        <f>SUMIF('NFI Tracking'!AQ$11:AQ$1048576,Table10[[#This Row],[Pcode]],'NFI Tracking'!AI$11:AI$1048576)</f>
        <v>0</v>
      </c>
      <c r="H32" s="251">
        <f>SUMIF('NFI Tracking'!AQ$11:AQ$1048576,Table10[[#This Row],[Pcode]],'NFI Tracking'!AJ$11:AJ$1048576)</f>
        <v>0</v>
      </c>
      <c r="I32" s="251">
        <f>SUMIF('NFI Tracking'!AQ$11:AQ$1048576,Table10[[#This Row],[Pcode]],'NFI Tracking'!AK$11:AK$1048576)</f>
        <v>0</v>
      </c>
      <c r="J32" s="251">
        <f ca="1">MAX(Table10[[#This Row],[HH]]*VLOOKUP("Winter Clothes Adult",NFI,6)-Table10[[#This Row],[Winter Clothes Adult ]],0)</f>
        <v>78</v>
      </c>
      <c r="K32" s="251">
        <f ca="1">MAX(Table10[[#This Row],[HH]]*VLOOKUP("Winter Clothes Children ",NFI,6)-Table10[[#This Row],[Winter Clothes Children ]],0)</f>
        <v>39</v>
      </c>
      <c r="L32" s="251">
        <f ca="1">MAX(Table10[[#This Row],[HH]]*VLOOKUP("Winter Items Other ",NFI,6)-Table10[[#This Row],[Winter Items Other ]],0)</f>
        <v>39</v>
      </c>
      <c r="M32" s="279" t="str">
        <f>IF(OR(Table10[[#This Row],[Winter Clothes Adult ]]&lt;&gt;0,Table10[[#This Row],[Winter Clothes Children ]]&lt;&gt;0,Table10[[#This Row],[Winter Items Other ]]&lt;&gt;0),"No","")</f>
        <v/>
      </c>
      <c r="N32" s="280">
        <f>COUNTIF(A:A,Table10[[#This Row],[Pcode]])-1</f>
        <v>0</v>
      </c>
    </row>
    <row r="33" spans="1:14" x14ac:dyDescent="0.25">
      <c r="A33" s="234" t="s">
        <v>222</v>
      </c>
      <c r="B33" s="18" t="str">
        <f ca="1">OFFSET(CampList[Priority],MATCH(Table10[[#This Row],[Pcode]],CampList[CP_Pcode],0)-1,0,1,1)</f>
        <v>P3</v>
      </c>
      <c r="C33" s="18" t="str">
        <f ca="1">OFFSET(CampList[Camp],MATCH(Table10[[#This Row],[Pcode]],CampList[CP_Pcode],0)-1,0,1,1)</f>
        <v>Loi Je Catholic Church</v>
      </c>
      <c r="D33" s="18" t="str">
        <f ca="1">OFFSET(CampList[Township],MATCH(Table10[[#This Row],[Pcode]],CampList[CP_Pcode],0)-1,0,1,1)</f>
        <v>Momauk</v>
      </c>
      <c r="E33" s="18">
        <f ca="1">OFFSET(CampList[HH],MATCH(Table10[[#This Row],[Pcode]],CampList[CP_Pcode],0)-1,0,1,1)</f>
        <v>103</v>
      </c>
      <c r="F33" s="18">
        <f ca="1">OFFSET(CampList[Total],MATCH(Table10[[#This Row],[Pcode]],CampList[CP_Pcode],0)-1,0,1,1)</f>
        <v>495</v>
      </c>
      <c r="G33" s="251">
        <f>SUMIF('NFI Tracking'!AQ$11:AQ$1048576,Table10[[#This Row],[Pcode]],'NFI Tracking'!AI$11:AI$1048576)</f>
        <v>0</v>
      </c>
      <c r="H33" s="251">
        <f>SUMIF('NFI Tracking'!AQ$11:AQ$1048576,Table10[[#This Row],[Pcode]],'NFI Tracking'!AJ$11:AJ$1048576)</f>
        <v>0</v>
      </c>
      <c r="I33" s="251">
        <f>SUMIF('NFI Tracking'!AQ$11:AQ$1048576,Table10[[#This Row],[Pcode]],'NFI Tracking'!AK$11:AK$1048576)</f>
        <v>0</v>
      </c>
      <c r="J33" s="251">
        <f ca="1">MAX(Table10[[#This Row],[HH]]*VLOOKUP("Winter Clothes Adult",NFI,6)-Table10[[#This Row],[Winter Clothes Adult ]],0)</f>
        <v>206</v>
      </c>
      <c r="K33" s="251">
        <f ca="1">MAX(Table10[[#This Row],[HH]]*VLOOKUP("Winter Clothes Children ",NFI,6)-Table10[[#This Row],[Winter Clothes Children ]],0)</f>
        <v>103</v>
      </c>
      <c r="L33" s="251">
        <f ca="1">MAX(Table10[[#This Row],[HH]]*VLOOKUP("Winter Items Other ",NFI,6)-Table10[[#This Row],[Winter Items Other ]],0)</f>
        <v>103</v>
      </c>
      <c r="M33" s="279" t="str">
        <f>IF(OR(Table10[[#This Row],[Winter Clothes Adult ]]&lt;&gt;0,Table10[[#This Row],[Winter Clothes Children ]]&lt;&gt;0,Table10[[#This Row],[Winter Items Other ]]&lt;&gt;0),"No","")</f>
        <v/>
      </c>
      <c r="N33" s="280">
        <f>COUNTIF(A:A,Table10[[#This Row],[Pcode]])-1</f>
        <v>0</v>
      </c>
    </row>
    <row r="34" spans="1:14" x14ac:dyDescent="0.25">
      <c r="A34" s="234" t="s">
        <v>189</v>
      </c>
      <c r="B34" s="18" t="str">
        <f ca="1">OFFSET(CampList[Priority],MATCH(Table10[[#This Row],[Pcode]],CampList[CP_Pcode],0)-1,0,1,1)</f>
        <v>P3</v>
      </c>
      <c r="C34" s="18" t="str">
        <f ca="1">OFFSET(CampList[Camp],MATCH(Table10[[#This Row],[Pcode]],CampList[CP_Pcode],0)-1,0,1,1)</f>
        <v>Loi Je Lisu Camp</v>
      </c>
      <c r="D34" s="18" t="str">
        <f ca="1">OFFSET(CampList[Township],MATCH(Table10[[#This Row],[Pcode]],CampList[CP_Pcode],0)-1,0,1,1)</f>
        <v>Momauk</v>
      </c>
      <c r="E34" s="18">
        <f ca="1">OFFSET(CampList[HH],MATCH(Table10[[#This Row],[Pcode]],CampList[CP_Pcode],0)-1,0,1,1)</f>
        <v>194</v>
      </c>
      <c r="F34" s="18">
        <f ca="1">OFFSET(CampList[Total],MATCH(Table10[[#This Row],[Pcode]],CampList[CP_Pcode],0)-1,0,1,1)</f>
        <v>1071</v>
      </c>
      <c r="G34" s="251">
        <f>SUMIF('NFI Tracking'!AQ$11:AQ$1048576,Table10[[#This Row],[Pcode]],'NFI Tracking'!AI$11:AI$1048576)</f>
        <v>0</v>
      </c>
      <c r="H34" s="251">
        <f>SUMIF('NFI Tracking'!AQ$11:AQ$1048576,Table10[[#This Row],[Pcode]],'NFI Tracking'!AJ$11:AJ$1048576)</f>
        <v>0</v>
      </c>
      <c r="I34" s="251">
        <f>SUMIF('NFI Tracking'!AQ$11:AQ$1048576,Table10[[#This Row],[Pcode]],'NFI Tracking'!AK$11:AK$1048576)</f>
        <v>0</v>
      </c>
      <c r="J34" s="251">
        <f ca="1">MAX(Table10[[#This Row],[HH]]*VLOOKUP("Winter Clothes Adult",NFI,6)-Table10[[#This Row],[Winter Clothes Adult ]],0)</f>
        <v>388</v>
      </c>
      <c r="K34" s="251">
        <f ca="1">MAX(Table10[[#This Row],[HH]]*VLOOKUP("Winter Clothes Children ",NFI,6)-Table10[[#This Row],[Winter Clothes Children ]],0)</f>
        <v>194</v>
      </c>
      <c r="L34" s="251">
        <f ca="1">MAX(Table10[[#This Row],[HH]]*VLOOKUP("Winter Items Other ",NFI,6)-Table10[[#This Row],[Winter Items Other ]],0)</f>
        <v>194</v>
      </c>
      <c r="M34" s="279" t="str">
        <f>IF(OR(Table10[[#This Row],[Winter Clothes Adult ]]&lt;&gt;0,Table10[[#This Row],[Winter Clothes Children ]]&lt;&gt;0,Table10[[#This Row],[Winter Items Other ]]&lt;&gt;0),"No","")</f>
        <v/>
      </c>
      <c r="N34" s="280">
        <f>COUNTIF(A:A,Table10[[#This Row],[Pcode]])-1</f>
        <v>0</v>
      </c>
    </row>
    <row r="35" spans="1:14" x14ac:dyDescent="0.25">
      <c r="A35" s="234" t="s">
        <v>224</v>
      </c>
      <c r="B35" s="18" t="str">
        <f ca="1">OFFSET(CampList[Priority],MATCH(Table10[[#This Row],[Pcode]],CampList[CP_Pcode],0)-1,0,1,1)</f>
        <v>P3</v>
      </c>
      <c r="C35" s="18" t="str">
        <f ca="1">OFFSET(CampList[Camp],MATCH(Table10[[#This Row],[Pcode]],CampList[CP_Pcode],0)-1,0,1,1)</f>
        <v xml:space="preserve">Seng Ja </v>
      </c>
      <c r="D35" s="18" t="str">
        <f ca="1">OFFSET(CampList[Township],MATCH(Table10[[#This Row],[Pcode]],CampList[CP_Pcode],0)-1,0,1,1)</f>
        <v>Momauk</v>
      </c>
      <c r="E35" s="18">
        <f ca="1">OFFSET(CampList[HH],MATCH(Table10[[#This Row],[Pcode]],CampList[CP_Pcode],0)-1,0,1,1)</f>
        <v>41</v>
      </c>
      <c r="F35" s="18">
        <f ca="1">OFFSET(CampList[Total],MATCH(Table10[[#This Row],[Pcode]],CampList[CP_Pcode],0)-1,0,1,1)</f>
        <v>245</v>
      </c>
      <c r="G35" s="251">
        <f>SUMIF('NFI Tracking'!AQ$11:AQ$1048576,Table10[[#This Row],[Pcode]],'NFI Tracking'!AI$11:AI$1048576)</f>
        <v>0</v>
      </c>
      <c r="H35" s="251">
        <f>SUMIF('NFI Tracking'!AQ$11:AQ$1048576,Table10[[#This Row],[Pcode]],'NFI Tracking'!AJ$11:AJ$1048576)</f>
        <v>0</v>
      </c>
      <c r="I35" s="251">
        <f>SUMIF('NFI Tracking'!AQ$11:AQ$1048576,Table10[[#This Row],[Pcode]],'NFI Tracking'!AK$11:AK$1048576)</f>
        <v>0</v>
      </c>
      <c r="J35" s="251">
        <f ca="1">MAX(Table10[[#This Row],[HH]]*VLOOKUP("Winter Clothes Adult",NFI,6)-Table10[[#This Row],[Winter Clothes Adult ]],0)</f>
        <v>82</v>
      </c>
      <c r="K35" s="251">
        <f ca="1">MAX(Table10[[#This Row],[HH]]*VLOOKUP("Winter Clothes Children ",NFI,6)-Table10[[#This Row],[Winter Clothes Children ]],0)</f>
        <v>41</v>
      </c>
      <c r="L35" s="251">
        <f ca="1">MAX(Table10[[#This Row],[HH]]*VLOOKUP("Winter Items Other ",NFI,6)-Table10[[#This Row],[Winter Items Other ]],0)</f>
        <v>41</v>
      </c>
      <c r="M35" s="279" t="str">
        <f>IF(OR(Table10[[#This Row],[Winter Clothes Adult ]]&lt;&gt;0,Table10[[#This Row],[Winter Clothes Children ]]&lt;&gt;0,Table10[[#This Row],[Winter Items Other ]]&lt;&gt;0),"No","")</f>
        <v/>
      </c>
      <c r="N35" s="280">
        <f>COUNTIF(A:A,Table10[[#This Row],[Pcode]])-1</f>
        <v>0</v>
      </c>
    </row>
    <row r="36" spans="1:14" x14ac:dyDescent="0.25">
      <c r="A36" s="234" t="s">
        <v>228</v>
      </c>
      <c r="B36" s="18" t="str">
        <f ca="1">OFFSET(CampList[Priority],MATCH(Table10[[#This Row],[Pcode]],CampList[CP_Pcode],0)-1,0,1,1)</f>
        <v>P3</v>
      </c>
      <c r="C36" s="18" t="str">
        <f ca="1">OFFSET(CampList[Camp],MATCH(Table10[[#This Row],[Pcode]],CampList[CP_Pcode],0)-1,0,1,1)</f>
        <v xml:space="preserve">Nyaung Na Pin </v>
      </c>
      <c r="D36" s="18" t="str">
        <f ca="1">OFFSET(CampList[Township],MATCH(Table10[[#This Row],[Pcode]],CampList[CP_Pcode],0)-1,0,1,1)</f>
        <v>Momauk</v>
      </c>
      <c r="E36" s="18">
        <f ca="1">OFFSET(CampList[HH],MATCH(Table10[[#This Row],[Pcode]],CampList[CP_Pcode],0)-1,0,1,1)</f>
        <v>49</v>
      </c>
      <c r="F36" s="18">
        <f ca="1">OFFSET(CampList[Total],MATCH(Table10[[#This Row],[Pcode]],CampList[CP_Pcode],0)-1,0,1,1)</f>
        <v>300</v>
      </c>
      <c r="G36" s="251">
        <f>SUMIF('NFI Tracking'!AQ$11:AQ$1048576,Table10[[#This Row],[Pcode]],'NFI Tracking'!AI$11:AI$1048576)</f>
        <v>0</v>
      </c>
      <c r="H36" s="251">
        <f>SUMIF('NFI Tracking'!AQ$11:AQ$1048576,Table10[[#This Row],[Pcode]],'NFI Tracking'!AJ$11:AJ$1048576)</f>
        <v>0</v>
      </c>
      <c r="I36" s="251">
        <f>SUMIF('NFI Tracking'!AQ$11:AQ$1048576,Table10[[#This Row],[Pcode]],'NFI Tracking'!AK$11:AK$1048576)</f>
        <v>0</v>
      </c>
      <c r="J36" s="251">
        <f ca="1">MAX(Table10[[#This Row],[HH]]*VLOOKUP("Winter Clothes Adult",NFI,6)-Table10[[#This Row],[Winter Clothes Adult ]],0)</f>
        <v>98</v>
      </c>
      <c r="K36" s="251">
        <f ca="1">MAX(Table10[[#This Row],[HH]]*VLOOKUP("Winter Clothes Children ",NFI,6)-Table10[[#This Row],[Winter Clothes Children ]],0)</f>
        <v>49</v>
      </c>
      <c r="L36" s="251">
        <f ca="1">MAX(Table10[[#This Row],[HH]]*VLOOKUP("Winter Items Other ",NFI,6)-Table10[[#This Row],[Winter Items Other ]],0)</f>
        <v>49</v>
      </c>
      <c r="M36" s="279" t="str">
        <f>IF(OR(Table10[[#This Row],[Winter Clothes Adult ]]&lt;&gt;0,Table10[[#This Row],[Winter Clothes Children ]]&lt;&gt;0,Table10[[#This Row],[Winter Items Other ]]&lt;&gt;0),"No","")</f>
        <v/>
      </c>
      <c r="N36" s="280">
        <f>COUNTIF(A:A,Table10[[#This Row],[Pcode]])-1</f>
        <v>0</v>
      </c>
    </row>
    <row r="37" spans="1:14" x14ac:dyDescent="0.25">
      <c r="A37" s="234" t="s">
        <v>894</v>
      </c>
      <c r="B37" s="18" t="str">
        <f ca="1">OFFSET(CampList[Priority],MATCH(Table10[[#This Row],[Pcode]],CampList[CP_Pcode],0)-1,0,1,1)</f>
        <v>P3</v>
      </c>
      <c r="C37" s="18" t="str">
        <f ca="1">OFFSET(CampList[Camp],MATCH(Table10[[#This Row],[Pcode]],CampList[CP_Pcode],0)-1,0,1,1)</f>
        <v>Machanbaw - KBC</v>
      </c>
      <c r="D37" s="18" t="str">
        <f ca="1">OFFSET(CampList[Township],MATCH(Table10[[#This Row],[Pcode]],CampList[CP_Pcode],0)-1,0,1,1)</f>
        <v>Machanbaw</v>
      </c>
      <c r="E37" s="18">
        <f ca="1">OFFSET(CampList[HH],MATCH(Table10[[#This Row],[Pcode]],CampList[CP_Pcode],0)-1,0,1,1)</f>
        <v>0</v>
      </c>
      <c r="F37" s="18">
        <f ca="1">OFFSET(CampList[Total],MATCH(Table10[[#This Row],[Pcode]],CampList[CP_Pcode],0)-1,0,1,1)</f>
        <v>0</v>
      </c>
      <c r="G37" s="251">
        <f>SUMIF('NFI Tracking'!AQ$11:AQ$1048576,Table10[[#This Row],[Pcode]],'NFI Tracking'!AI$11:AI$1048576)</f>
        <v>0</v>
      </c>
      <c r="H37" s="251">
        <f>SUMIF('NFI Tracking'!AQ$11:AQ$1048576,Table10[[#This Row],[Pcode]],'NFI Tracking'!AJ$11:AJ$1048576)</f>
        <v>0</v>
      </c>
      <c r="I37" s="251">
        <f>SUMIF('NFI Tracking'!AQ$11:AQ$1048576,Table10[[#This Row],[Pcode]],'NFI Tracking'!AK$11:AK$1048576)</f>
        <v>0</v>
      </c>
      <c r="J37" s="251">
        <f ca="1">MAX(Table10[[#This Row],[HH]]*VLOOKUP("Winter Clothes Adult",NFI,6)-Table10[[#This Row],[Winter Clothes Adult ]],0)</f>
        <v>0</v>
      </c>
      <c r="K37" s="251">
        <f ca="1">MAX(Table10[[#This Row],[HH]]*VLOOKUP("Winter Clothes Children ",NFI,6)-Table10[[#This Row],[Winter Clothes Children ]],0)</f>
        <v>0</v>
      </c>
      <c r="L37" s="251">
        <f ca="1">MAX(Table10[[#This Row],[HH]]*VLOOKUP("Winter Items Other ",NFI,6)-Table10[[#This Row],[Winter Items Other ]],0)</f>
        <v>0</v>
      </c>
      <c r="M37" s="279" t="str">
        <f>IF(OR(Table10[[#This Row],[Winter Clothes Adult ]]&lt;&gt;0,Table10[[#This Row],[Winter Clothes Children ]]&lt;&gt;0,Table10[[#This Row],[Winter Items Other ]]&lt;&gt;0),"No","")</f>
        <v/>
      </c>
      <c r="N37" s="280">
        <f>COUNTIF(A:A,Table10[[#This Row],[Pcode]])-1</f>
        <v>0</v>
      </c>
    </row>
    <row r="38" spans="1:14" x14ac:dyDescent="0.25">
      <c r="A38" s="234" t="s">
        <v>1039</v>
      </c>
      <c r="B38" s="18" t="str">
        <f ca="1">OFFSET(CampList[Priority],MATCH(Table10[[#This Row],[Pcode]],CampList[CP_Pcode],0)-1,0,1,1)</f>
        <v>P3</v>
      </c>
      <c r="C38" s="18" t="str">
        <f ca="1">OFFSET(CampList[Camp],MATCH(Table10[[#This Row],[Pcode]],CampList[CP_Pcode],0)-1,0,1,1)</f>
        <v>Inn Lel Yan - Host Families</v>
      </c>
      <c r="D38" s="18" t="str">
        <f ca="1">OFFSET(CampList[Township],MATCH(Table10[[#This Row],[Pcode]],CampList[CP_Pcode],0)-1,0,1,1)</f>
        <v>Puta-O</v>
      </c>
      <c r="E38" s="18">
        <f ca="1">OFFSET(CampList[HH],MATCH(Table10[[#This Row],[Pcode]],CampList[CP_Pcode],0)-1,0,1,1)</f>
        <v>10</v>
      </c>
      <c r="F38" s="18">
        <f ca="1">OFFSET(CampList[Total],MATCH(Table10[[#This Row],[Pcode]],CampList[CP_Pcode],0)-1,0,1,1)</f>
        <v>56</v>
      </c>
      <c r="G38" s="251">
        <f>SUMIF('NFI Tracking'!AQ$11:AQ$1048576,Table10[[#This Row],[Pcode]],'NFI Tracking'!AI$11:AI$1048576)</f>
        <v>0</v>
      </c>
      <c r="H38" s="251">
        <f>SUMIF('NFI Tracking'!AQ$11:AQ$1048576,Table10[[#This Row],[Pcode]],'NFI Tracking'!AJ$11:AJ$1048576)</f>
        <v>0</v>
      </c>
      <c r="I38" s="251">
        <f>SUMIF('NFI Tracking'!AQ$11:AQ$1048576,Table10[[#This Row],[Pcode]],'NFI Tracking'!AK$11:AK$1048576)</f>
        <v>0</v>
      </c>
      <c r="J38" s="251">
        <f ca="1">MAX(Table10[[#This Row],[HH]]*VLOOKUP("Winter Clothes Adult",NFI,6)-Table10[[#This Row],[Winter Clothes Adult ]],0)</f>
        <v>20</v>
      </c>
      <c r="K38" s="251">
        <f ca="1">MAX(Table10[[#This Row],[HH]]*VLOOKUP("Winter Clothes Children ",NFI,6)-Table10[[#This Row],[Winter Clothes Children ]],0)</f>
        <v>10</v>
      </c>
      <c r="L38" s="251">
        <f ca="1">MAX(Table10[[#This Row],[HH]]*VLOOKUP("Winter Items Other ",NFI,6)-Table10[[#This Row],[Winter Items Other ]],0)</f>
        <v>10</v>
      </c>
      <c r="M38" s="279" t="str">
        <f>IF(OR(Table10[[#This Row],[Winter Clothes Adult ]]&lt;&gt;0,Table10[[#This Row],[Winter Clothes Children ]]&lt;&gt;0,Table10[[#This Row],[Winter Items Other ]]&lt;&gt;0),"No","")</f>
        <v/>
      </c>
      <c r="N38" s="280">
        <f>COUNTIF(A:A,Table10[[#This Row],[Pcode]])-1</f>
        <v>0</v>
      </c>
    </row>
    <row r="39" spans="1:14" x14ac:dyDescent="0.25">
      <c r="A39" s="234" t="s">
        <v>890</v>
      </c>
      <c r="B39" s="18" t="str">
        <f ca="1">OFFSET(CampList[Priority],MATCH(Table10[[#This Row],[Pcode]],CampList[CP_Pcode],0)-1,0,1,1)</f>
        <v>P3</v>
      </c>
      <c r="C39" s="18" t="str">
        <f ca="1">OFFSET(CampList[Camp],MATCH(Table10[[#This Row],[Pcode]],CampList[CP_Pcode],0)-1,0,1,1)</f>
        <v>Naung Khaing</v>
      </c>
      <c r="D39" s="18" t="str">
        <f ca="1">OFFSET(CampList[Township],MATCH(Table10[[#This Row],[Pcode]],CampList[CP_Pcode],0)-1,0,1,1)</f>
        <v>Puta-O</v>
      </c>
      <c r="E39" s="18">
        <f ca="1">OFFSET(CampList[HH],MATCH(Table10[[#This Row],[Pcode]],CampList[CP_Pcode],0)-1,0,1,1)</f>
        <v>0</v>
      </c>
      <c r="F39" s="18">
        <f ca="1">OFFSET(CampList[Total],MATCH(Table10[[#This Row],[Pcode]],CampList[CP_Pcode],0)-1,0,1,1)</f>
        <v>0</v>
      </c>
      <c r="G39" s="251">
        <f>SUMIF('NFI Tracking'!AQ$11:AQ$1048576,Table10[[#This Row],[Pcode]],'NFI Tracking'!AI$11:AI$1048576)</f>
        <v>0</v>
      </c>
      <c r="H39" s="251">
        <f>SUMIF('NFI Tracking'!AQ$11:AQ$1048576,Table10[[#This Row],[Pcode]],'NFI Tracking'!AJ$11:AJ$1048576)</f>
        <v>0</v>
      </c>
      <c r="I39" s="251">
        <f>SUMIF('NFI Tracking'!AQ$11:AQ$1048576,Table10[[#This Row],[Pcode]],'NFI Tracking'!AK$11:AK$1048576)</f>
        <v>0</v>
      </c>
      <c r="J39" s="251">
        <f ca="1">MAX(Table10[[#This Row],[HH]]*VLOOKUP("Winter Clothes Adult",NFI,6)-Table10[[#This Row],[Winter Clothes Adult ]],0)</f>
        <v>0</v>
      </c>
      <c r="K39" s="251">
        <f ca="1">MAX(Table10[[#This Row],[HH]]*VLOOKUP("Winter Clothes Children ",NFI,6)-Table10[[#This Row],[Winter Clothes Children ]],0)</f>
        <v>0</v>
      </c>
      <c r="L39" s="251">
        <f ca="1">MAX(Table10[[#This Row],[HH]]*VLOOKUP("Winter Items Other ",NFI,6)-Table10[[#This Row],[Winter Items Other ]],0)</f>
        <v>0</v>
      </c>
      <c r="M39" s="279" t="str">
        <f>IF(OR(Table10[[#This Row],[Winter Clothes Adult ]]&lt;&gt;0,Table10[[#This Row],[Winter Clothes Children ]]&lt;&gt;0,Table10[[#This Row],[Winter Items Other ]]&lt;&gt;0),"No","")</f>
        <v/>
      </c>
      <c r="N39" s="280">
        <f>COUNTIF(A:A,Table10[[#This Row],[Pcode]])-1</f>
        <v>0</v>
      </c>
    </row>
    <row r="40" spans="1:14" x14ac:dyDescent="0.25">
      <c r="A40" s="234" t="s">
        <v>299</v>
      </c>
      <c r="B40" s="18" t="str">
        <f ca="1">OFFSET(CampList[Priority],MATCH(Table10[[#This Row],[Pcode]],CampList[CP_Pcode],0)-1,0,1,1)</f>
        <v>P3</v>
      </c>
      <c r="C40" s="18" t="str">
        <f ca="1">OFFSET(CampList[Camp],MATCH(Table10[[#This Row],[Pcode]],CampList[CP_Pcode],0)-1,0,1,1)</f>
        <v>Tote Tan Ward</v>
      </c>
      <c r="D40" s="18" t="str">
        <f ca="1">OFFSET(CampList[Township],MATCH(Table10[[#This Row],[Pcode]],CampList[CP_Pcode],0)-1,0,1,1)</f>
        <v>Puta-O</v>
      </c>
      <c r="E40" s="18">
        <f ca="1">OFFSET(CampList[HH],MATCH(Table10[[#This Row],[Pcode]],CampList[CP_Pcode],0)-1,0,1,1)</f>
        <v>14</v>
      </c>
      <c r="F40" s="18">
        <f ca="1">OFFSET(CampList[Total],MATCH(Table10[[#This Row],[Pcode]],CampList[CP_Pcode],0)-1,0,1,1)</f>
        <v>75</v>
      </c>
      <c r="G40" s="251">
        <f>SUMIF('NFI Tracking'!AQ$11:AQ$1048576,Table10[[#This Row],[Pcode]],'NFI Tracking'!AI$11:AI$1048576)</f>
        <v>0</v>
      </c>
      <c r="H40" s="251">
        <f>SUMIF('NFI Tracking'!AQ$11:AQ$1048576,Table10[[#This Row],[Pcode]],'NFI Tracking'!AJ$11:AJ$1048576)</f>
        <v>0</v>
      </c>
      <c r="I40" s="251">
        <f>SUMIF('NFI Tracking'!AQ$11:AQ$1048576,Table10[[#This Row],[Pcode]],'NFI Tracking'!AK$11:AK$1048576)</f>
        <v>0</v>
      </c>
      <c r="J40" s="251">
        <f ca="1">MAX(Table10[[#This Row],[HH]]*VLOOKUP("Winter Clothes Adult",NFI,6)-Table10[[#This Row],[Winter Clothes Adult ]],0)</f>
        <v>28</v>
      </c>
      <c r="K40" s="251">
        <f ca="1">MAX(Table10[[#This Row],[HH]]*VLOOKUP("Winter Clothes Children ",NFI,6)-Table10[[#This Row],[Winter Clothes Children ]],0)</f>
        <v>14</v>
      </c>
      <c r="L40" s="251">
        <f ca="1">MAX(Table10[[#This Row],[HH]]*VLOOKUP("Winter Items Other ",NFI,6)-Table10[[#This Row],[Winter Items Other ]],0)</f>
        <v>14</v>
      </c>
      <c r="M40" s="279" t="str">
        <f>IF(OR(Table10[[#This Row],[Winter Clothes Adult ]]&lt;&gt;0,Table10[[#This Row],[Winter Clothes Children ]]&lt;&gt;0,Table10[[#This Row],[Winter Items Other ]]&lt;&gt;0),"No","")</f>
        <v/>
      </c>
      <c r="N40" s="280">
        <f>COUNTIF(A:A,Table10[[#This Row],[Pcode]])-1</f>
        <v>0</v>
      </c>
    </row>
    <row r="41" spans="1:14" x14ac:dyDescent="0.25">
      <c r="A41" s="234" t="s">
        <v>382</v>
      </c>
      <c r="B41" s="18" t="str">
        <f ca="1">OFFSET(CampList[Priority],MATCH(Table10[[#This Row],[Pcode]],CampList[CP_Pcode],0)-1,0,1,1)</f>
        <v>P3</v>
      </c>
      <c r="C41" s="18" t="str">
        <f ca="1">OFFSET(CampList[Camp],MATCH(Table10[[#This Row],[Pcode]],CampList[CP_Pcode],0)-1,0,1,1)</f>
        <v>Kone Khem Camp</v>
      </c>
      <c r="D41" s="18" t="str">
        <f ca="1">OFFSET(CampList[Township],MATCH(Table10[[#This Row],[Pcode]],CampList[CP_Pcode],0)-1,0,1,1)</f>
        <v>Kutkai</v>
      </c>
      <c r="E41" s="18">
        <f ca="1">OFFSET(CampList[HH],MATCH(Table10[[#This Row],[Pcode]],CampList[CP_Pcode],0)-1,0,1,1)</f>
        <v>0</v>
      </c>
      <c r="F41" s="18">
        <f ca="1">OFFSET(CampList[Total],MATCH(Table10[[#This Row],[Pcode]],CampList[CP_Pcode],0)-1,0,1,1)</f>
        <v>0</v>
      </c>
      <c r="G41" s="251">
        <f>SUMIF('NFI Tracking'!AQ$11:AQ$1048576,Table10[[#This Row],[Pcode]],'NFI Tracking'!AI$11:AI$1048576)</f>
        <v>0</v>
      </c>
      <c r="H41" s="251">
        <f>SUMIF('NFI Tracking'!AQ$11:AQ$1048576,Table10[[#This Row],[Pcode]],'NFI Tracking'!AJ$11:AJ$1048576)</f>
        <v>0</v>
      </c>
      <c r="I41" s="251">
        <f>SUMIF('NFI Tracking'!AQ$11:AQ$1048576,Table10[[#This Row],[Pcode]],'NFI Tracking'!AK$11:AK$1048576)</f>
        <v>0</v>
      </c>
      <c r="J41" s="251">
        <f ca="1">MAX(Table10[[#This Row],[HH]]*VLOOKUP("Winter Clothes Adult",NFI,6)-Table10[[#This Row],[Winter Clothes Adult ]],0)</f>
        <v>0</v>
      </c>
      <c r="K41" s="251">
        <f ca="1">MAX(Table10[[#This Row],[HH]]*VLOOKUP("Winter Clothes Children ",NFI,6)-Table10[[#This Row],[Winter Clothes Children ]],0)</f>
        <v>0</v>
      </c>
      <c r="L41" s="251">
        <f ca="1">MAX(Table10[[#This Row],[HH]]*VLOOKUP("Winter Items Other ",NFI,6)-Table10[[#This Row],[Winter Items Other ]],0)</f>
        <v>0</v>
      </c>
      <c r="M41" s="279" t="str">
        <f>IF(OR(Table10[[#This Row],[Winter Clothes Adult ]]&lt;&gt;0,Table10[[#This Row],[Winter Clothes Children ]]&lt;&gt;0,Table10[[#This Row],[Winter Items Other ]]&lt;&gt;0),"No","")</f>
        <v/>
      </c>
      <c r="N41" s="280">
        <f>COUNTIF(A:A,Table10[[#This Row],[Pcode]])-1</f>
        <v>0</v>
      </c>
    </row>
    <row r="42" spans="1:14" x14ac:dyDescent="0.25">
      <c r="A42" s="234" t="s">
        <v>383</v>
      </c>
      <c r="B42" s="18" t="str">
        <f ca="1">OFFSET(CampList[Priority],MATCH(Table10[[#This Row],[Pcode]],CampList[CP_Pcode],0)-1,0,1,1)</f>
        <v>P3</v>
      </c>
      <c r="C42" s="18" t="str">
        <f ca="1">OFFSET(CampList[Camp],MATCH(Table10[[#This Row],[Pcode]],CampList[CP_Pcode],0)-1,0,1,1)</f>
        <v>Kutkai downtown (KBC Church)</v>
      </c>
      <c r="D42" s="18" t="str">
        <f ca="1">OFFSET(CampList[Township],MATCH(Table10[[#This Row],[Pcode]],CampList[CP_Pcode],0)-1,0,1,1)</f>
        <v>Kutkai</v>
      </c>
      <c r="E42" s="18">
        <f ca="1">OFFSET(CampList[HH],MATCH(Table10[[#This Row],[Pcode]],CampList[CP_Pcode],0)-1,0,1,1)</f>
        <v>57</v>
      </c>
      <c r="F42" s="18">
        <f ca="1">OFFSET(CampList[Total],MATCH(Table10[[#This Row],[Pcode]],CampList[CP_Pcode],0)-1,0,1,1)</f>
        <v>280</v>
      </c>
      <c r="G42" s="251">
        <f>SUMIF('NFI Tracking'!AQ$11:AQ$1048576,Table10[[#This Row],[Pcode]],'NFI Tracking'!AI$11:AI$1048576)</f>
        <v>0</v>
      </c>
      <c r="H42" s="251">
        <f>SUMIF('NFI Tracking'!AQ$11:AQ$1048576,Table10[[#This Row],[Pcode]],'NFI Tracking'!AJ$11:AJ$1048576)</f>
        <v>0</v>
      </c>
      <c r="I42" s="251">
        <f>SUMIF('NFI Tracking'!AQ$11:AQ$1048576,Table10[[#This Row],[Pcode]],'NFI Tracking'!AK$11:AK$1048576)</f>
        <v>0</v>
      </c>
      <c r="J42" s="251">
        <f ca="1">MAX(Table10[[#This Row],[HH]]*VLOOKUP("Winter Clothes Adult",NFI,6)-Table10[[#This Row],[Winter Clothes Adult ]],0)</f>
        <v>114</v>
      </c>
      <c r="K42" s="251">
        <f ca="1">MAX(Table10[[#This Row],[HH]]*VLOOKUP("Winter Clothes Children ",NFI,6)-Table10[[#This Row],[Winter Clothes Children ]],0)</f>
        <v>57</v>
      </c>
      <c r="L42" s="251">
        <f ca="1">MAX(Table10[[#This Row],[HH]]*VLOOKUP("Winter Items Other ",NFI,6)-Table10[[#This Row],[Winter Items Other ]],0)</f>
        <v>57</v>
      </c>
      <c r="M42" s="279" t="str">
        <f>IF(OR(Table10[[#This Row],[Winter Clothes Adult ]]&lt;&gt;0,Table10[[#This Row],[Winter Clothes Children ]]&lt;&gt;0,Table10[[#This Row],[Winter Items Other ]]&lt;&gt;0),"No","")</f>
        <v/>
      </c>
      <c r="N42" s="280">
        <f>COUNTIF(A:A,Table10[[#This Row],[Pcode]])-1</f>
        <v>0</v>
      </c>
    </row>
    <row r="43" spans="1:14" x14ac:dyDescent="0.25">
      <c r="A43" s="234" t="s">
        <v>384</v>
      </c>
      <c r="B43" s="18" t="str">
        <f ca="1">OFFSET(CampList[Priority],MATCH(Table10[[#This Row],[Pcode]],CampList[CP_Pcode],0)-1,0,1,1)</f>
        <v>P3</v>
      </c>
      <c r="C43" s="18" t="str">
        <f ca="1">OFFSET(CampList[Camp],MATCH(Table10[[#This Row],[Pcode]],CampList[CP_Pcode],0)-1,0,1,1)</f>
        <v>Kutkai downtown (RC Church)</v>
      </c>
      <c r="D43" s="18" t="str">
        <f ca="1">OFFSET(CampList[Township],MATCH(Table10[[#This Row],[Pcode]],CampList[CP_Pcode],0)-1,0,1,1)</f>
        <v>Kutkai</v>
      </c>
      <c r="E43" s="18">
        <f ca="1">OFFSET(CampList[HH],MATCH(Table10[[#This Row],[Pcode]],CampList[CP_Pcode],0)-1,0,1,1)</f>
        <v>30</v>
      </c>
      <c r="F43" s="18">
        <f ca="1">OFFSET(CampList[Total],MATCH(Table10[[#This Row],[Pcode]],CampList[CP_Pcode],0)-1,0,1,1)</f>
        <v>145</v>
      </c>
      <c r="G43" s="251">
        <f>SUMIF('NFI Tracking'!AQ$11:AQ$1048576,Table10[[#This Row],[Pcode]],'NFI Tracking'!AI$11:AI$1048576)</f>
        <v>540</v>
      </c>
      <c r="H43" s="251">
        <f>SUMIF('NFI Tracking'!AQ$11:AQ$1048576,Table10[[#This Row],[Pcode]],'NFI Tracking'!AJ$11:AJ$1048576)</f>
        <v>0</v>
      </c>
      <c r="I43" s="251">
        <f>SUMIF('NFI Tracking'!AQ$11:AQ$1048576,Table10[[#This Row],[Pcode]],'NFI Tracking'!AK$11:AK$1048576)</f>
        <v>0</v>
      </c>
      <c r="J43" s="251">
        <f ca="1">MAX(Table10[[#This Row],[HH]]*VLOOKUP("Winter Clothes Adult",NFI,6)-Table10[[#This Row],[Winter Clothes Adult ]],0)</f>
        <v>0</v>
      </c>
      <c r="K43" s="251">
        <f ca="1">MAX(Table10[[#This Row],[HH]]*VLOOKUP("Winter Clothes Children ",NFI,6)-Table10[[#This Row],[Winter Clothes Children ]],0)</f>
        <v>30</v>
      </c>
      <c r="L43" s="251">
        <f ca="1">MAX(Table10[[#This Row],[HH]]*VLOOKUP("Winter Items Other ",NFI,6)-Table10[[#This Row],[Winter Items Other ]],0)</f>
        <v>30</v>
      </c>
      <c r="M43" s="279" t="str">
        <f>IF(OR(Table10[[#This Row],[Winter Clothes Adult ]]&lt;&gt;0,Table10[[#This Row],[Winter Clothes Children ]]&lt;&gt;0,Table10[[#This Row],[Winter Items Other ]]&lt;&gt;0),"No","")</f>
        <v>No</v>
      </c>
      <c r="N43" s="280">
        <f>COUNTIF(A:A,Table10[[#This Row],[Pcode]])-1</f>
        <v>0</v>
      </c>
    </row>
    <row r="44" spans="1:14" x14ac:dyDescent="0.25">
      <c r="A44" s="234" t="s">
        <v>385</v>
      </c>
      <c r="B44" s="18" t="str">
        <f ca="1">OFFSET(CampList[Priority],MATCH(Table10[[#This Row],[Pcode]],CampList[CP_Pcode],0)-1,0,1,1)</f>
        <v>P3</v>
      </c>
      <c r="C44" s="18" t="str">
        <f ca="1">OFFSET(CampList[Camp],MATCH(Table10[[#This Row],[Pcode]],CampList[CP_Pcode],0)-1,0,1,1)</f>
        <v>Mine Yu Lay village</v>
      </c>
      <c r="D44" s="18" t="str">
        <f ca="1">OFFSET(CampList[Township],MATCH(Table10[[#This Row],[Pcode]],CampList[CP_Pcode],0)-1,0,1,1)</f>
        <v>Kutkai</v>
      </c>
      <c r="E44" s="18">
        <f ca="1">OFFSET(CampList[HH],MATCH(Table10[[#This Row],[Pcode]],CampList[CP_Pcode],0)-1,0,1,1)</f>
        <v>68</v>
      </c>
      <c r="F44" s="18">
        <f ca="1">OFFSET(CampList[Total],MATCH(Table10[[#This Row],[Pcode]],CampList[CP_Pcode],0)-1,0,1,1)</f>
        <v>305</v>
      </c>
      <c r="G44" s="251">
        <f>SUMIF('NFI Tracking'!AQ$11:AQ$1048576,Table10[[#This Row],[Pcode]],'NFI Tracking'!AI$11:AI$1048576)</f>
        <v>0</v>
      </c>
      <c r="H44" s="251">
        <f>SUMIF('NFI Tracking'!AQ$11:AQ$1048576,Table10[[#This Row],[Pcode]],'NFI Tracking'!AJ$11:AJ$1048576)</f>
        <v>0</v>
      </c>
      <c r="I44" s="251">
        <f>SUMIF('NFI Tracking'!AQ$11:AQ$1048576,Table10[[#This Row],[Pcode]],'NFI Tracking'!AK$11:AK$1048576)</f>
        <v>0</v>
      </c>
      <c r="J44" s="251">
        <f ca="1">MAX(Table10[[#This Row],[HH]]*VLOOKUP("Winter Clothes Adult",NFI,6)-Table10[[#This Row],[Winter Clothes Adult ]],0)</f>
        <v>136</v>
      </c>
      <c r="K44" s="251">
        <f ca="1">MAX(Table10[[#This Row],[HH]]*VLOOKUP("Winter Clothes Children ",NFI,6)-Table10[[#This Row],[Winter Clothes Children ]],0)</f>
        <v>68</v>
      </c>
      <c r="L44" s="251">
        <f ca="1">MAX(Table10[[#This Row],[HH]]*VLOOKUP("Winter Items Other ",NFI,6)-Table10[[#This Row],[Winter Items Other ]],0)</f>
        <v>68</v>
      </c>
      <c r="M44" s="279" t="str">
        <f>IF(OR(Table10[[#This Row],[Winter Clothes Adult ]]&lt;&gt;0,Table10[[#This Row],[Winter Clothes Children ]]&lt;&gt;0,Table10[[#This Row],[Winter Items Other ]]&lt;&gt;0),"No","")</f>
        <v/>
      </c>
      <c r="N44" s="280">
        <f>COUNTIF(A:A,Table10[[#This Row],[Pcode]])-1</f>
        <v>0</v>
      </c>
    </row>
    <row r="45" spans="1:14" x14ac:dyDescent="0.25">
      <c r="A45" s="234" t="s">
        <v>148</v>
      </c>
      <c r="B45" s="18" t="str">
        <f ca="1">OFFSET(CampList[Priority],MATCH(Table10[[#This Row],[Pcode]],CampList[CP_Pcode],0)-1,0,1,1)</f>
        <v>P3</v>
      </c>
      <c r="C45" s="18" t="str">
        <f ca="1">OFFSET(CampList[Camp],MATCH(Table10[[#This Row],[Pcode]],CampList[CP_Pcode],0)-1,0,1,1)</f>
        <v xml:space="preserve">Nam Hpak Ka Mare </v>
      </c>
      <c r="D45" s="18" t="str">
        <f ca="1">OFFSET(CampList[Township],MATCH(Table10[[#This Row],[Pcode]],CampList[CP_Pcode],0)-1,0,1,1)</f>
        <v>Kutkai</v>
      </c>
      <c r="E45" s="18">
        <f ca="1">OFFSET(CampList[HH],MATCH(Table10[[#This Row],[Pcode]],CampList[CP_Pcode],0)-1,0,1,1)</f>
        <v>63</v>
      </c>
      <c r="F45" s="18">
        <f ca="1">OFFSET(CampList[Total],MATCH(Table10[[#This Row],[Pcode]],CampList[CP_Pcode],0)-1,0,1,1)</f>
        <v>279</v>
      </c>
      <c r="G45" s="251">
        <f>SUMIF('NFI Tracking'!AQ$11:AQ$1048576,Table10[[#This Row],[Pcode]],'NFI Tracking'!AI$11:AI$1048576)</f>
        <v>0</v>
      </c>
      <c r="H45" s="251">
        <f>SUMIF('NFI Tracking'!AQ$11:AQ$1048576,Table10[[#This Row],[Pcode]],'NFI Tracking'!AJ$11:AJ$1048576)</f>
        <v>0</v>
      </c>
      <c r="I45" s="251">
        <f>SUMIF('NFI Tracking'!AQ$11:AQ$1048576,Table10[[#This Row],[Pcode]],'NFI Tracking'!AK$11:AK$1048576)</f>
        <v>0</v>
      </c>
      <c r="J45" s="251">
        <f ca="1">MAX(Table10[[#This Row],[HH]]*VLOOKUP("Winter Clothes Adult",NFI,6)-Table10[[#This Row],[Winter Clothes Adult ]],0)</f>
        <v>126</v>
      </c>
      <c r="K45" s="251">
        <f ca="1">MAX(Table10[[#This Row],[HH]]*VLOOKUP("Winter Clothes Children ",NFI,6)-Table10[[#This Row],[Winter Clothes Children ]],0)</f>
        <v>63</v>
      </c>
      <c r="L45" s="251">
        <f ca="1">MAX(Table10[[#This Row],[HH]]*VLOOKUP("Winter Items Other ",NFI,6)-Table10[[#This Row],[Winter Items Other ]],0)</f>
        <v>63</v>
      </c>
      <c r="M45" s="279" t="str">
        <f>IF(OR(Table10[[#This Row],[Winter Clothes Adult ]]&lt;&gt;0,Table10[[#This Row],[Winter Clothes Children ]]&lt;&gt;0,Table10[[#This Row],[Winter Items Other ]]&lt;&gt;0),"No","")</f>
        <v/>
      </c>
      <c r="N45" s="280">
        <f>COUNTIF(A:A,Table10[[#This Row],[Pcode]])-1</f>
        <v>0</v>
      </c>
    </row>
    <row r="46" spans="1:14" x14ac:dyDescent="0.25">
      <c r="A46" s="234" t="s">
        <v>387</v>
      </c>
      <c r="B46" s="18" t="str">
        <f ca="1">OFFSET(CampList[Priority],MATCH(Table10[[#This Row],[Pcode]],CampList[CP_Pcode],0)-1,0,1,1)</f>
        <v>P3</v>
      </c>
      <c r="C46" s="18" t="str">
        <f ca="1">OFFSET(CampList[Camp],MATCH(Table10[[#This Row],[Pcode]],CampList[CP_Pcode],0)-1,0,1,1)</f>
        <v>Zup Aung Camp</v>
      </c>
      <c r="D46" s="18" t="str">
        <f ca="1">OFFSET(CampList[Township],MATCH(Table10[[#This Row],[Pcode]],CampList[CP_Pcode],0)-1,0,1,1)</f>
        <v>Kutkai</v>
      </c>
      <c r="E46" s="18">
        <f ca="1">OFFSET(CampList[HH],MATCH(Table10[[#This Row],[Pcode]],CampList[CP_Pcode],0)-1,0,1,1)</f>
        <v>186</v>
      </c>
      <c r="F46" s="18">
        <f ca="1">OFFSET(CampList[Total],MATCH(Table10[[#This Row],[Pcode]],CampList[CP_Pcode],0)-1,0,1,1)</f>
        <v>951</v>
      </c>
      <c r="G46" s="251">
        <f>SUMIF('NFI Tracking'!AQ$11:AQ$1048576,Table10[[#This Row],[Pcode]],'NFI Tracking'!AI$11:AI$1048576)</f>
        <v>0</v>
      </c>
      <c r="H46" s="251">
        <f>SUMIF('NFI Tracking'!AQ$11:AQ$1048576,Table10[[#This Row],[Pcode]],'NFI Tracking'!AJ$11:AJ$1048576)</f>
        <v>0</v>
      </c>
      <c r="I46" s="251">
        <f>SUMIF('NFI Tracking'!AQ$11:AQ$1048576,Table10[[#This Row],[Pcode]],'NFI Tracking'!AK$11:AK$1048576)</f>
        <v>0</v>
      </c>
      <c r="J46" s="251">
        <f ca="1">MAX(Table10[[#This Row],[HH]]*VLOOKUP("Winter Clothes Adult",NFI,6)-Table10[[#This Row],[Winter Clothes Adult ]],0)</f>
        <v>372</v>
      </c>
      <c r="K46" s="251">
        <f ca="1">MAX(Table10[[#This Row],[HH]]*VLOOKUP("Winter Clothes Children ",NFI,6)-Table10[[#This Row],[Winter Clothes Children ]],0)</f>
        <v>186</v>
      </c>
      <c r="L46" s="251">
        <f ca="1">MAX(Table10[[#This Row],[HH]]*VLOOKUP("Winter Items Other ",NFI,6)-Table10[[#This Row],[Winter Items Other ]],0)</f>
        <v>186</v>
      </c>
      <c r="M46" s="279" t="str">
        <f>IF(OR(Table10[[#This Row],[Winter Clothes Adult ]]&lt;&gt;0,Table10[[#This Row],[Winter Clothes Children ]]&lt;&gt;0,Table10[[#This Row],[Winter Items Other ]]&lt;&gt;0),"No","")</f>
        <v/>
      </c>
      <c r="N46" s="280">
        <f>COUNTIF(A:A,Table10[[#This Row],[Pcode]])-1</f>
        <v>0</v>
      </c>
    </row>
    <row r="47" spans="1:14" x14ac:dyDescent="0.25">
      <c r="A47" s="234" t="s">
        <v>822</v>
      </c>
      <c r="B47" s="18" t="str">
        <f ca="1">OFFSET(CampList[Priority],MATCH(Table10[[#This Row],[Pcode]],CampList[CP_Pcode],0)-1,0,1,1)</f>
        <v>P3</v>
      </c>
      <c r="C47" s="18" t="str">
        <f ca="1">OFFSET(CampList[Camp],MATCH(Table10[[#This Row],[Pcode]],CampList[CP_Pcode],0)-1,0,1,1)</f>
        <v>Mandung - RC</v>
      </c>
      <c r="D47" s="18" t="str">
        <f ca="1">OFFSET(CampList[Township],MATCH(Table10[[#This Row],[Pcode]],CampList[CP_Pcode],0)-1,0,1,1)</f>
        <v>Manton</v>
      </c>
      <c r="E47" s="18">
        <f ca="1">OFFSET(CampList[HH],MATCH(Table10[[#This Row],[Pcode]],CampList[CP_Pcode],0)-1,0,1,1)</f>
        <v>29</v>
      </c>
      <c r="F47" s="18">
        <f ca="1">OFFSET(CampList[Total],MATCH(Table10[[#This Row],[Pcode]],CampList[CP_Pcode],0)-1,0,1,1)</f>
        <v>178</v>
      </c>
      <c r="G47" s="251">
        <f>SUMIF('NFI Tracking'!AQ$11:AQ$1048576,Table10[[#This Row],[Pcode]],'NFI Tracking'!AI$11:AI$1048576)</f>
        <v>0</v>
      </c>
      <c r="H47" s="251">
        <f>SUMIF('NFI Tracking'!AQ$11:AQ$1048576,Table10[[#This Row],[Pcode]],'NFI Tracking'!AJ$11:AJ$1048576)</f>
        <v>0</v>
      </c>
      <c r="I47" s="251">
        <f>SUMIF('NFI Tracking'!AQ$11:AQ$1048576,Table10[[#This Row],[Pcode]],'NFI Tracking'!AK$11:AK$1048576)</f>
        <v>0</v>
      </c>
      <c r="J47" s="251">
        <f ca="1">MAX(Table10[[#This Row],[HH]]*VLOOKUP("Winter Clothes Adult",NFI,6)-Table10[[#This Row],[Winter Clothes Adult ]],0)</f>
        <v>58</v>
      </c>
      <c r="K47" s="251">
        <f ca="1">MAX(Table10[[#This Row],[HH]]*VLOOKUP("Winter Clothes Children ",NFI,6)-Table10[[#This Row],[Winter Clothes Children ]],0)</f>
        <v>29</v>
      </c>
      <c r="L47" s="251">
        <f ca="1">MAX(Table10[[#This Row],[HH]]*VLOOKUP("Winter Items Other ",NFI,6)-Table10[[#This Row],[Winter Items Other ]],0)</f>
        <v>29</v>
      </c>
      <c r="M47" s="279" t="str">
        <f>IF(OR(Table10[[#This Row],[Winter Clothes Adult ]]&lt;&gt;0,Table10[[#This Row],[Winter Clothes Children ]]&lt;&gt;0,Table10[[#This Row],[Winter Items Other ]]&lt;&gt;0),"No","")</f>
        <v/>
      </c>
      <c r="N47" s="280">
        <f>COUNTIF(A:A,Table10[[#This Row],[Pcode]])-1</f>
        <v>0</v>
      </c>
    </row>
    <row r="48" spans="1:14" x14ac:dyDescent="0.25">
      <c r="A48" s="234" t="s">
        <v>168</v>
      </c>
      <c r="B48" s="18" t="str">
        <f ca="1">OFFSET(CampList[Priority],MATCH(Table10[[#This Row],[Pcode]],CampList[CP_Pcode],0)-1,0,1,1)</f>
        <v>P3</v>
      </c>
      <c r="C48" s="18" t="str">
        <f ca="1">OFFSET(CampList[Camp],MATCH(Table10[[#This Row],[Pcode]],CampList[CP_Pcode],0)-1,0,1,1)</f>
        <v>Howa</v>
      </c>
      <c r="D48" s="18" t="str">
        <f ca="1">OFFSET(CampList[Township],MATCH(Table10[[#This Row],[Pcode]],CampList[CP_Pcode],0)-1,0,1,1)</f>
        <v>Muse</v>
      </c>
      <c r="E48" s="18">
        <f ca="1">OFFSET(CampList[HH],MATCH(Table10[[#This Row],[Pcode]],CampList[CP_Pcode],0)-1,0,1,1)</f>
        <v>0</v>
      </c>
      <c r="F48" s="18">
        <f ca="1">OFFSET(CampList[Total],MATCH(Table10[[#This Row],[Pcode]],CampList[CP_Pcode],0)-1,0,1,1)</f>
        <v>0</v>
      </c>
      <c r="G48" s="251">
        <f>SUMIF('NFI Tracking'!AQ$11:AQ$1048576,Table10[[#This Row],[Pcode]],'NFI Tracking'!AI$11:AI$1048576)</f>
        <v>0</v>
      </c>
      <c r="H48" s="251">
        <f>SUMIF('NFI Tracking'!AQ$11:AQ$1048576,Table10[[#This Row],[Pcode]],'NFI Tracking'!AJ$11:AJ$1048576)</f>
        <v>0</v>
      </c>
      <c r="I48" s="251">
        <f>SUMIF('NFI Tracking'!AQ$11:AQ$1048576,Table10[[#This Row],[Pcode]],'NFI Tracking'!AK$11:AK$1048576)</f>
        <v>0</v>
      </c>
      <c r="J48" s="251">
        <f ca="1">MAX(Table10[[#This Row],[HH]]*VLOOKUP("Winter Clothes Adult",NFI,6)-Table10[[#This Row],[Winter Clothes Adult ]],0)</f>
        <v>0</v>
      </c>
      <c r="K48" s="251">
        <f ca="1">MAX(Table10[[#This Row],[HH]]*VLOOKUP("Winter Clothes Children ",NFI,6)-Table10[[#This Row],[Winter Clothes Children ]],0)</f>
        <v>0</v>
      </c>
      <c r="L48" s="251">
        <f ca="1">MAX(Table10[[#This Row],[HH]]*VLOOKUP("Winter Items Other ",NFI,6)-Table10[[#This Row],[Winter Items Other ]],0)</f>
        <v>0</v>
      </c>
      <c r="M48" s="279" t="str">
        <f>IF(OR(Table10[[#This Row],[Winter Clothes Adult ]]&lt;&gt;0,Table10[[#This Row],[Winter Clothes Children ]]&lt;&gt;0,Table10[[#This Row],[Winter Items Other ]]&lt;&gt;0),"No","")</f>
        <v/>
      </c>
      <c r="N48" s="280">
        <f>COUNTIF(A:A,Table10[[#This Row],[Pcode]])-1</f>
        <v>0</v>
      </c>
    </row>
    <row r="49" spans="1:14" x14ac:dyDescent="0.25">
      <c r="A49" s="234" t="s">
        <v>170</v>
      </c>
      <c r="B49" s="18" t="str">
        <f ca="1">OFFSET(CampList[Priority],MATCH(Table10[[#This Row],[Pcode]],CampList[CP_Pcode],0)-1,0,1,1)</f>
        <v>P3</v>
      </c>
      <c r="C49" s="18" t="str">
        <f ca="1">OFFSET(CampList[Camp],MATCH(Table10[[#This Row],[Pcode]],CampList[CP_Pcode],0)-1,0,1,1)</f>
        <v>Nam Hkyet</v>
      </c>
      <c r="D49" s="18" t="str">
        <f ca="1">OFFSET(CampList[Township],MATCH(Table10[[#This Row],[Pcode]],CampList[CP_Pcode],0)-1,0,1,1)</f>
        <v>Muse</v>
      </c>
      <c r="E49" s="18">
        <f ca="1">OFFSET(CampList[HH],MATCH(Table10[[#This Row],[Pcode]],CampList[CP_Pcode],0)-1,0,1,1)</f>
        <v>0</v>
      </c>
      <c r="F49" s="18">
        <f ca="1">OFFSET(CampList[Total],MATCH(Table10[[#This Row],[Pcode]],CampList[CP_Pcode],0)-1,0,1,1)</f>
        <v>0</v>
      </c>
      <c r="G49" s="251">
        <f>SUMIF('NFI Tracking'!AQ$11:AQ$1048576,Table10[[#This Row],[Pcode]],'NFI Tracking'!AI$11:AI$1048576)</f>
        <v>0</v>
      </c>
      <c r="H49" s="251">
        <f>SUMIF('NFI Tracking'!AQ$11:AQ$1048576,Table10[[#This Row],[Pcode]],'NFI Tracking'!AJ$11:AJ$1048576)</f>
        <v>0</v>
      </c>
      <c r="I49" s="251">
        <f>SUMIF('NFI Tracking'!AQ$11:AQ$1048576,Table10[[#This Row],[Pcode]],'NFI Tracking'!AK$11:AK$1048576)</f>
        <v>0</v>
      </c>
      <c r="J49" s="251">
        <f ca="1">MAX(Table10[[#This Row],[HH]]*VLOOKUP("Winter Clothes Adult",NFI,6)-Table10[[#This Row],[Winter Clothes Adult ]],0)</f>
        <v>0</v>
      </c>
      <c r="K49" s="251">
        <f ca="1">MAX(Table10[[#This Row],[HH]]*VLOOKUP("Winter Clothes Children ",NFI,6)-Table10[[#This Row],[Winter Clothes Children ]],0)</f>
        <v>0</v>
      </c>
      <c r="L49" s="251">
        <f ca="1">MAX(Table10[[#This Row],[HH]]*VLOOKUP("Winter Items Other ",NFI,6)-Table10[[#This Row],[Winter Items Other ]],0)</f>
        <v>0</v>
      </c>
      <c r="M49" s="279" t="str">
        <f>IF(OR(Table10[[#This Row],[Winter Clothes Adult ]]&lt;&gt;0,Table10[[#This Row],[Winter Clothes Children ]]&lt;&gt;0,Table10[[#This Row],[Winter Items Other ]]&lt;&gt;0),"No","")</f>
        <v/>
      </c>
      <c r="N49" s="280">
        <f>COUNTIF(A:A,Table10[[#This Row],[Pcode]])-1</f>
        <v>0</v>
      </c>
    </row>
    <row r="50" spans="1:14" x14ac:dyDescent="0.25">
      <c r="A50" s="234" t="s">
        <v>291</v>
      </c>
      <c r="B50" s="18" t="str">
        <f ca="1">OFFSET(CampList[Priority],MATCH(Table10[[#This Row],[Pcode]],CampList[CP_Pcode],0)-1,0,1,1)</f>
        <v>P3</v>
      </c>
      <c r="C50" s="18" t="str">
        <f ca="1">OFFSET(CampList[Camp],MATCH(Table10[[#This Row],[Pcode]],CampList[CP_Pcode],0)-1,0,1,1)</f>
        <v>Nam Hkam - Nay Win Ni (Palawng)</v>
      </c>
      <c r="D50" s="18" t="str">
        <f ca="1">OFFSET(CampList[Township],MATCH(Table10[[#This Row],[Pcode]],CampList[CP_Pcode],0)-1,0,1,1)</f>
        <v>Namhkan</v>
      </c>
      <c r="E50" s="18">
        <f ca="1">OFFSET(CampList[HH],MATCH(Table10[[#This Row],[Pcode]],CampList[CP_Pcode],0)-1,0,1,1)</f>
        <v>74</v>
      </c>
      <c r="F50" s="18">
        <f ca="1">OFFSET(CampList[Total],MATCH(Table10[[#This Row],[Pcode]],CampList[CP_Pcode],0)-1,0,1,1)</f>
        <v>387</v>
      </c>
      <c r="G50" s="251">
        <f>SUMIF('NFI Tracking'!AQ$11:AQ$1048576,Table10[[#This Row],[Pcode]],'NFI Tracking'!AI$11:AI$1048576)</f>
        <v>0</v>
      </c>
      <c r="H50" s="251">
        <f>SUMIF('NFI Tracking'!AQ$11:AQ$1048576,Table10[[#This Row],[Pcode]],'NFI Tracking'!AJ$11:AJ$1048576)</f>
        <v>0</v>
      </c>
      <c r="I50" s="251">
        <f>SUMIF('NFI Tracking'!AQ$11:AQ$1048576,Table10[[#This Row],[Pcode]],'NFI Tracking'!AK$11:AK$1048576)</f>
        <v>0</v>
      </c>
      <c r="J50" s="251">
        <f ca="1">MAX(Table10[[#This Row],[HH]]*VLOOKUP("Winter Clothes Adult",NFI,6)-Table10[[#This Row],[Winter Clothes Adult ]],0)</f>
        <v>148</v>
      </c>
      <c r="K50" s="251">
        <f ca="1">MAX(Table10[[#This Row],[HH]]*VLOOKUP("Winter Clothes Children ",NFI,6)-Table10[[#This Row],[Winter Clothes Children ]],0)</f>
        <v>74</v>
      </c>
      <c r="L50" s="251">
        <f ca="1">MAX(Table10[[#This Row],[HH]]*VLOOKUP("Winter Items Other ",NFI,6)-Table10[[#This Row],[Winter Items Other ]],0)</f>
        <v>74</v>
      </c>
      <c r="M50" s="279" t="str">
        <f>IF(OR(Table10[[#This Row],[Winter Clothes Adult ]]&lt;&gt;0,Table10[[#This Row],[Winter Clothes Children ]]&lt;&gt;0,Table10[[#This Row],[Winter Items Other ]]&lt;&gt;0),"No","")</f>
        <v/>
      </c>
      <c r="N50" s="280">
        <f>COUNTIF(A:A,Table10[[#This Row],[Pcode]])-1</f>
        <v>0</v>
      </c>
    </row>
    <row r="51" spans="1:14" x14ac:dyDescent="0.25">
      <c r="A51" s="234" t="s">
        <v>288</v>
      </c>
      <c r="B51" s="18" t="str">
        <f ca="1">OFFSET(CampList[Priority],MATCH(Table10[[#This Row],[Pcode]],CampList[CP_Pcode],0)-1,0,1,1)</f>
        <v>P3</v>
      </c>
      <c r="C51" s="18" t="str">
        <f ca="1">OFFSET(CampList[Camp],MATCH(Table10[[#This Row],[Pcode]],CampList[CP_Pcode],0)-1,0,1,1)</f>
        <v>Nam Hkam (KBC Jaw Wang)</v>
      </c>
      <c r="D51" s="18" t="str">
        <f ca="1">OFFSET(CampList[Township],MATCH(Table10[[#This Row],[Pcode]],CampList[CP_Pcode],0)-1,0,1,1)</f>
        <v>Namhkan</v>
      </c>
      <c r="E51" s="18">
        <f ca="1">OFFSET(CampList[HH],MATCH(Table10[[#This Row],[Pcode]],CampList[CP_Pcode],0)-1,0,1,1)</f>
        <v>67</v>
      </c>
      <c r="F51" s="18">
        <f ca="1">OFFSET(CampList[Total],MATCH(Table10[[#This Row],[Pcode]],CampList[CP_Pcode],0)-1,0,1,1)</f>
        <v>357</v>
      </c>
      <c r="G51" s="251">
        <f>SUMIF('NFI Tracking'!AQ$11:AQ$1048576,Table10[[#This Row],[Pcode]],'NFI Tracking'!AI$11:AI$1048576)</f>
        <v>0</v>
      </c>
      <c r="H51" s="251">
        <f>SUMIF('NFI Tracking'!AQ$11:AQ$1048576,Table10[[#This Row],[Pcode]],'NFI Tracking'!AJ$11:AJ$1048576)</f>
        <v>0</v>
      </c>
      <c r="I51" s="251">
        <f>SUMIF('NFI Tracking'!AQ$11:AQ$1048576,Table10[[#This Row],[Pcode]],'NFI Tracking'!AK$11:AK$1048576)</f>
        <v>0</v>
      </c>
      <c r="J51" s="251">
        <f ca="1">MAX(Table10[[#This Row],[HH]]*VLOOKUP("Winter Clothes Adult",NFI,6)-Table10[[#This Row],[Winter Clothes Adult ]],0)</f>
        <v>134</v>
      </c>
      <c r="K51" s="251">
        <f ca="1">MAX(Table10[[#This Row],[HH]]*VLOOKUP("Winter Clothes Children ",NFI,6)-Table10[[#This Row],[Winter Clothes Children ]],0)</f>
        <v>67</v>
      </c>
      <c r="L51" s="251">
        <f ca="1">MAX(Table10[[#This Row],[HH]]*VLOOKUP("Winter Items Other ",NFI,6)-Table10[[#This Row],[Winter Items Other ]],0)</f>
        <v>67</v>
      </c>
      <c r="M51" s="279" t="str">
        <f>IF(OR(Table10[[#This Row],[Winter Clothes Adult ]]&lt;&gt;0,Table10[[#This Row],[Winter Clothes Children ]]&lt;&gt;0,Table10[[#This Row],[Winter Items Other ]]&lt;&gt;0),"No","")</f>
        <v/>
      </c>
      <c r="N51" s="280">
        <f>COUNTIF(A:A,Table10[[#This Row],[Pcode]])-1</f>
        <v>0</v>
      </c>
    </row>
    <row r="52" spans="1:14" x14ac:dyDescent="0.25">
      <c r="A52" s="234" t="s">
        <v>295</v>
      </c>
      <c r="B52" s="18" t="str">
        <f ca="1">OFFSET(CampList[Priority],MATCH(Table10[[#This Row],[Pcode]],CampList[CP_Pcode],0)-1,0,1,1)</f>
        <v>P3</v>
      </c>
      <c r="C52" s="18" t="str">
        <f ca="1">OFFSET(CampList[Camp],MATCH(Table10[[#This Row],[Pcode]],CampList[CP_Pcode],0)-1,0,1,1)</f>
        <v>Nam Hkam Catholic Church ( St. Thomas I)</v>
      </c>
      <c r="D52" s="18" t="str">
        <f ca="1">OFFSET(CampList[Township],MATCH(Table10[[#This Row],[Pcode]],CampList[CP_Pcode],0)-1,0,1,1)</f>
        <v>Namhkan</v>
      </c>
      <c r="E52" s="18">
        <f ca="1">OFFSET(CampList[HH],MATCH(Table10[[#This Row],[Pcode]],CampList[CP_Pcode],0)-1,0,1,1)</f>
        <v>44</v>
      </c>
      <c r="F52" s="18">
        <f ca="1">OFFSET(CampList[Total],MATCH(Table10[[#This Row],[Pcode]],CampList[CP_Pcode],0)-1,0,1,1)</f>
        <v>214</v>
      </c>
      <c r="G52" s="251">
        <f>SUMIF('NFI Tracking'!AQ$11:AQ$1048576,Table10[[#This Row],[Pcode]],'NFI Tracking'!AI$11:AI$1048576)</f>
        <v>0</v>
      </c>
      <c r="H52" s="251">
        <f>SUMIF('NFI Tracking'!AQ$11:AQ$1048576,Table10[[#This Row],[Pcode]],'NFI Tracking'!AJ$11:AJ$1048576)</f>
        <v>0</v>
      </c>
      <c r="I52" s="251">
        <f>SUMIF('NFI Tracking'!AQ$11:AQ$1048576,Table10[[#This Row],[Pcode]],'NFI Tracking'!AK$11:AK$1048576)</f>
        <v>0</v>
      </c>
      <c r="J52" s="251">
        <f ca="1">MAX(Table10[[#This Row],[HH]]*VLOOKUP("Winter Clothes Adult",NFI,6)-Table10[[#This Row],[Winter Clothes Adult ]],0)</f>
        <v>88</v>
      </c>
      <c r="K52" s="251">
        <f ca="1">MAX(Table10[[#This Row],[HH]]*VLOOKUP("Winter Clothes Children ",NFI,6)-Table10[[#This Row],[Winter Clothes Children ]],0)</f>
        <v>44</v>
      </c>
      <c r="L52" s="251">
        <f ca="1">MAX(Table10[[#This Row],[HH]]*VLOOKUP("Winter Items Other ",NFI,6)-Table10[[#This Row],[Winter Items Other ]],0)</f>
        <v>44</v>
      </c>
      <c r="M52" s="279" t="str">
        <f>IF(OR(Table10[[#This Row],[Winter Clothes Adult ]]&lt;&gt;0,Table10[[#This Row],[Winter Clothes Children ]]&lt;&gt;0,Table10[[#This Row],[Winter Items Other ]]&lt;&gt;0),"No","")</f>
        <v/>
      </c>
      <c r="N52" s="280">
        <f>COUNTIF(A:A,Table10[[#This Row],[Pcode]])-1</f>
        <v>0</v>
      </c>
    </row>
    <row r="53" spans="1:14" x14ac:dyDescent="0.25">
      <c r="A53" s="234" t="s">
        <v>297</v>
      </c>
      <c r="B53" s="18" t="str">
        <f ca="1">OFFSET(CampList[Priority],MATCH(Table10[[#This Row],[Pcode]],CampList[CP_Pcode],0)-1,0,1,1)</f>
        <v>P3</v>
      </c>
      <c r="C53" s="18" t="str">
        <f ca="1">OFFSET(CampList[Camp],MATCH(Table10[[#This Row],[Pcode]],CampList[CP_Pcode],0)-1,0,1,1)</f>
        <v>Nam Tu Baptist</v>
      </c>
      <c r="D53" s="18" t="str">
        <f ca="1">OFFSET(CampList[Township],MATCH(Table10[[#This Row],[Pcode]],CampList[CP_Pcode],0)-1,0,1,1)</f>
        <v>Namtu</v>
      </c>
      <c r="E53" s="18">
        <f ca="1">OFFSET(CampList[HH],MATCH(Table10[[#This Row],[Pcode]],CampList[CP_Pcode],0)-1,0,1,1)</f>
        <v>44</v>
      </c>
      <c r="F53" s="18">
        <f ca="1">OFFSET(CampList[Total],MATCH(Table10[[#This Row],[Pcode]],CampList[CP_Pcode],0)-1,0,1,1)</f>
        <v>186</v>
      </c>
      <c r="G53" s="251">
        <f>SUMIF('NFI Tracking'!AQ$11:AQ$1048576,Table10[[#This Row],[Pcode]],'NFI Tracking'!AI$11:AI$1048576)</f>
        <v>0</v>
      </c>
      <c r="H53" s="251">
        <f>SUMIF('NFI Tracking'!AQ$11:AQ$1048576,Table10[[#This Row],[Pcode]],'NFI Tracking'!AJ$11:AJ$1048576)</f>
        <v>0</v>
      </c>
      <c r="I53" s="251">
        <f>SUMIF('NFI Tracking'!AQ$11:AQ$1048576,Table10[[#This Row],[Pcode]],'NFI Tracking'!AK$11:AK$1048576)</f>
        <v>0</v>
      </c>
      <c r="J53" s="251">
        <f ca="1">MAX(Table10[[#This Row],[HH]]*VLOOKUP("Winter Clothes Adult",NFI,6)-Table10[[#This Row],[Winter Clothes Adult ]],0)</f>
        <v>88</v>
      </c>
      <c r="K53" s="251">
        <f ca="1">MAX(Table10[[#This Row],[HH]]*VLOOKUP("Winter Clothes Children ",NFI,6)-Table10[[#This Row],[Winter Clothes Children ]],0)</f>
        <v>44</v>
      </c>
      <c r="L53" s="251">
        <f ca="1">MAX(Table10[[#This Row],[HH]]*VLOOKUP("Winter Items Other ",NFI,6)-Table10[[#This Row],[Winter Items Other ]],0)</f>
        <v>44</v>
      </c>
      <c r="M53" s="279" t="str">
        <f>IF(OR(Table10[[#This Row],[Winter Clothes Adult ]]&lt;&gt;0,Table10[[#This Row],[Winter Clothes Children ]]&lt;&gt;0,Table10[[#This Row],[Winter Items Other ]]&lt;&gt;0),"No","")</f>
        <v/>
      </c>
      <c r="N53" s="280">
        <f>COUNTIF(A:A,Table10[[#This Row],[Pcode]])-1</f>
        <v>0</v>
      </c>
    </row>
    <row r="54" spans="1:14" x14ac:dyDescent="0.25">
      <c r="A54" s="234" t="s">
        <v>823</v>
      </c>
      <c r="B54" s="18" t="str">
        <f ca="1">OFFSET(CampList[Priority],MATCH(Table10[[#This Row],[Pcode]],CampList[CP_Pcode],0)-1,0,1,1)</f>
        <v>P3</v>
      </c>
      <c r="C54" s="18" t="str">
        <f ca="1">OFFSET(CampList[Camp],MATCH(Table10[[#This Row],[Pcode]],CampList[CP_Pcode],0)-1,0,1,1)</f>
        <v>Nam Tu RC</v>
      </c>
      <c r="D54" s="18" t="str">
        <f ca="1">OFFSET(CampList[Township],MATCH(Table10[[#This Row],[Pcode]],CampList[CP_Pcode],0)-1,0,1,1)</f>
        <v>Namtu</v>
      </c>
      <c r="E54" s="18">
        <f ca="1">OFFSET(CampList[HH],MATCH(Table10[[#This Row],[Pcode]],CampList[CP_Pcode],0)-1,0,1,1)</f>
        <v>118</v>
      </c>
      <c r="F54" s="18">
        <f ca="1">OFFSET(CampList[Total],MATCH(Table10[[#This Row],[Pcode]],CampList[CP_Pcode],0)-1,0,1,1)</f>
        <v>520</v>
      </c>
      <c r="G54" s="251">
        <f>SUMIF('NFI Tracking'!AQ$11:AQ$1048576,Table10[[#This Row],[Pcode]],'NFI Tracking'!AI$11:AI$1048576)</f>
        <v>0</v>
      </c>
      <c r="H54" s="251">
        <f>SUMIF('NFI Tracking'!AQ$11:AQ$1048576,Table10[[#This Row],[Pcode]],'NFI Tracking'!AJ$11:AJ$1048576)</f>
        <v>0</v>
      </c>
      <c r="I54" s="251">
        <f>SUMIF('NFI Tracking'!AQ$11:AQ$1048576,Table10[[#This Row],[Pcode]],'NFI Tracking'!AK$11:AK$1048576)</f>
        <v>0</v>
      </c>
      <c r="J54" s="251">
        <f ca="1">MAX(Table10[[#This Row],[HH]]*VLOOKUP("Winter Clothes Adult",NFI,6)-Table10[[#This Row],[Winter Clothes Adult ]],0)</f>
        <v>236</v>
      </c>
      <c r="K54" s="251">
        <f ca="1">MAX(Table10[[#This Row],[HH]]*VLOOKUP("Winter Clothes Children ",NFI,6)-Table10[[#This Row],[Winter Clothes Children ]],0)</f>
        <v>118</v>
      </c>
      <c r="L54" s="251">
        <f ca="1">MAX(Table10[[#This Row],[HH]]*VLOOKUP("Winter Items Other ",NFI,6)-Table10[[#This Row],[Winter Items Other ]],0)</f>
        <v>118</v>
      </c>
      <c r="M54" s="279" t="str">
        <f>IF(OR(Table10[[#This Row],[Winter Clothes Adult ]]&lt;&gt;0,Table10[[#This Row],[Winter Clothes Children ]]&lt;&gt;0,Table10[[#This Row],[Winter Items Other ]]&lt;&gt;0),"No","")</f>
        <v/>
      </c>
      <c r="N54" s="280">
        <f>COUNTIF(A:A,Table10[[#This Row],[Pcode]])-1</f>
        <v>0</v>
      </c>
    </row>
    <row r="55" spans="1:14" x14ac:dyDescent="0.25">
      <c r="A55" s="234" t="s">
        <v>61</v>
      </c>
      <c r="B55" s="18" t="str">
        <f ca="1">OFFSET(CampList[Priority],MATCH(Table10[[#This Row],[Pcode]],CampList[CP_Pcode],0)-1,0,1,1)</f>
        <v>P4</v>
      </c>
      <c r="C55" s="18" t="str">
        <f ca="1">OFFSET(CampList[Camp],MATCH(Table10[[#This Row],[Pcode]],CampList[CP_Pcode],0)-1,0,1,1)</f>
        <v>5 Ward Baptist Church(lon Khin)</v>
      </c>
      <c r="D55" s="18" t="str">
        <f ca="1">OFFSET(CampList[Township],MATCH(Table10[[#This Row],[Pcode]],CampList[CP_Pcode],0)-1,0,1,1)</f>
        <v>Hpakant</v>
      </c>
      <c r="E55" s="251">
        <f ca="1">OFFSET(CampList[HH],MATCH(Table10[[#This Row],[Pcode]],CampList[CP_Pcode],0)-1,0,1,1)</f>
        <v>0</v>
      </c>
      <c r="F55" s="251">
        <f ca="1">OFFSET(CampList[Total],MATCH(Table10[[#This Row],[Pcode]],CampList[CP_Pcode],0)-1,0,1,1)</f>
        <v>0</v>
      </c>
      <c r="G55" s="251">
        <f>SUMIF('NFI Tracking'!AQ$11:AQ$1048576,Table10[[#This Row],[Pcode]],'NFI Tracking'!AI$11:AI$1048576)</f>
        <v>0</v>
      </c>
      <c r="H55" s="251">
        <f>SUMIF('NFI Tracking'!AQ$11:AQ$1048576,Table10[[#This Row],[Pcode]],'NFI Tracking'!AJ$11:AJ$1048576)</f>
        <v>0</v>
      </c>
      <c r="I55" s="251">
        <f>SUMIF('NFI Tracking'!AQ$11:AQ$1048576,Table10[[#This Row],[Pcode]],'NFI Tracking'!AK$11:AK$1048576)</f>
        <v>0</v>
      </c>
      <c r="J55" s="251">
        <f ca="1">MAX(Table10[[#This Row],[HH]]*VLOOKUP("Winter Clothes Adult",NFI,6)-Table10[[#This Row],[Winter Clothes Adult ]],0)</f>
        <v>0</v>
      </c>
      <c r="K55" s="251">
        <f ca="1">MAX(Table10[[#This Row],[HH]]*VLOOKUP("Winter Clothes Children ",NFI,6)-Table10[[#This Row],[Winter Clothes Children ]],0)</f>
        <v>0</v>
      </c>
      <c r="L55" s="251">
        <f ca="1">MAX(Table10[[#This Row],[HH]]*VLOOKUP("Winter Items Other ",NFI,6)-Table10[[#This Row],[Winter Items Other ]],0)</f>
        <v>0</v>
      </c>
      <c r="M55" s="279" t="str">
        <f>IF(OR(Table10[[#This Row],[Winter Clothes Adult ]]&lt;&gt;0,Table10[[#This Row],[Winter Clothes Children ]]&lt;&gt;0,Table10[[#This Row],[Winter Items Other ]]&lt;&gt;0),"No","")</f>
        <v/>
      </c>
      <c r="N55" s="280">
        <f>COUNTIF(A:A,Table10[[#This Row],[Pcode]])-1</f>
        <v>0</v>
      </c>
    </row>
    <row r="56" spans="1:14" x14ac:dyDescent="0.25">
      <c r="A56" s="234" t="s">
        <v>119</v>
      </c>
      <c r="B56" s="18" t="str">
        <f ca="1">OFFSET(CampList[Priority],MATCH(Table10[[#This Row],[Pcode]],CampList[CP_Pcode],0)-1,0,1,1)</f>
        <v>P4</v>
      </c>
      <c r="C56" s="18" t="str">
        <f ca="1">OFFSET(CampList[Camp],MATCH(Table10[[#This Row],[Pcode]],CampList[CP_Pcode],0)-1,0,1,1)</f>
        <v>5 Ward RC Church(lon Khin)</v>
      </c>
      <c r="D56" s="18" t="str">
        <f ca="1">OFFSET(CampList[Township],MATCH(Table10[[#This Row],[Pcode]],CampList[CP_Pcode],0)-1,0,1,1)</f>
        <v>Hpakant</v>
      </c>
      <c r="E56" s="251">
        <f ca="1">OFFSET(CampList[HH],MATCH(Table10[[#This Row],[Pcode]],CampList[CP_Pcode],0)-1,0,1,1)</f>
        <v>72</v>
      </c>
      <c r="F56" s="251">
        <f ca="1">OFFSET(CampList[Total],MATCH(Table10[[#This Row],[Pcode]],CampList[CP_Pcode],0)-1,0,1,1)</f>
        <v>347</v>
      </c>
      <c r="G56" s="251">
        <f>SUMIF('NFI Tracking'!AQ$11:AQ$1048576,Table10[[#This Row],[Pcode]],'NFI Tracking'!AI$11:AI$1048576)</f>
        <v>0</v>
      </c>
      <c r="H56" s="251">
        <f>SUMIF('NFI Tracking'!AQ$11:AQ$1048576,Table10[[#This Row],[Pcode]],'NFI Tracking'!AJ$11:AJ$1048576)</f>
        <v>0</v>
      </c>
      <c r="I56" s="251">
        <f>SUMIF('NFI Tracking'!AQ$11:AQ$1048576,Table10[[#This Row],[Pcode]],'NFI Tracking'!AK$11:AK$1048576)</f>
        <v>0</v>
      </c>
      <c r="J56" s="251">
        <f ca="1">MAX(Table10[[#This Row],[HH]]*VLOOKUP("Winter Clothes Adult",NFI,6)-Table10[[#This Row],[Winter Clothes Adult ]],0)</f>
        <v>144</v>
      </c>
      <c r="K56" s="251">
        <f ca="1">MAX(Table10[[#This Row],[HH]]*VLOOKUP("Winter Clothes Children ",NFI,6)-Table10[[#This Row],[Winter Clothes Children ]],0)</f>
        <v>72</v>
      </c>
      <c r="L56" s="251">
        <f ca="1">MAX(Table10[[#This Row],[HH]]*VLOOKUP("Winter Items Other ",NFI,6)-Table10[[#This Row],[Winter Items Other ]],0)</f>
        <v>72</v>
      </c>
      <c r="M56" s="279" t="str">
        <f>IF(OR(Table10[[#This Row],[Winter Clothes Adult ]]&lt;&gt;0,Table10[[#This Row],[Winter Clothes Children ]]&lt;&gt;0,Table10[[#This Row],[Winter Items Other ]]&lt;&gt;0),"No","")</f>
        <v/>
      </c>
      <c r="N56" s="280">
        <f>COUNTIF(A:A,Table10[[#This Row],[Pcode]])-1</f>
        <v>0</v>
      </c>
    </row>
    <row r="57" spans="1:14" x14ac:dyDescent="0.25">
      <c r="A57" s="234" t="s">
        <v>4</v>
      </c>
      <c r="B57" s="18" t="str">
        <f ca="1">OFFSET(CampList[Priority],MATCH(Table10[[#This Row],[Pcode]],CampList[CP_Pcode],0)-1,0,1,1)</f>
        <v>P4</v>
      </c>
      <c r="C57" s="18" t="str">
        <f ca="1">OFFSET(CampList[Camp],MATCH(Table10[[#This Row],[Pcode]],CampList[CP_Pcode],0)-1,0,1,1)</f>
        <v>AD-2000 Tharthana Compound</v>
      </c>
      <c r="D57" s="18" t="str">
        <f ca="1">OFFSET(CampList[Township],MATCH(Table10[[#This Row],[Pcode]],CampList[CP_Pcode],0)-1,0,1,1)</f>
        <v>Bhamo</v>
      </c>
      <c r="E57" s="251">
        <f ca="1">OFFSET(CampList[HH],MATCH(Table10[[#This Row],[Pcode]],CampList[CP_Pcode],0)-1,0,1,1)</f>
        <v>257</v>
      </c>
      <c r="F57" s="251">
        <f ca="1">OFFSET(CampList[Total],MATCH(Table10[[#This Row],[Pcode]],CampList[CP_Pcode],0)-1,0,1,1)</f>
        <v>1266</v>
      </c>
      <c r="G57" s="251">
        <f>SUMIF('NFI Tracking'!AQ$11:AQ$1048576,Table10[[#This Row],[Pcode]],'NFI Tracking'!AI$11:AI$1048576)</f>
        <v>0</v>
      </c>
      <c r="H57" s="251">
        <f>SUMIF('NFI Tracking'!AQ$11:AQ$1048576,Table10[[#This Row],[Pcode]],'NFI Tracking'!AJ$11:AJ$1048576)</f>
        <v>0</v>
      </c>
      <c r="I57" s="251">
        <f>SUMIF('NFI Tracking'!AQ$11:AQ$1048576,Table10[[#This Row],[Pcode]],'NFI Tracking'!AK$11:AK$1048576)</f>
        <v>0</v>
      </c>
      <c r="J57" s="251">
        <f ca="1">MAX(Table10[[#This Row],[HH]]*VLOOKUP("Winter Clothes Adult",NFI,6)-Table10[[#This Row],[Winter Clothes Adult ]],0)</f>
        <v>514</v>
      </c>
      <c r="K57" s="251">
        <f ca="1">MAX(Table10[[#This Row],[HH]]*VLOOKUP("Winter Clothes Children ",NFI,6)-Table10[[#This Row],[Winter Clothes Children ]],0)</f>
        <v>257</v>
      </c>
      <c r="L57" s="251">
        <f ca="1">MAX(Table10[[#This Row],[HH]]*VLOOKUP("Winter Items Other ",NFI,6)-Table10[[#This Row],[Winter Items Other ]],0)</f>
        <v>257</v>
      </c>
      <c r="M57" s="279" t="str">
        <f>IF(OR(Table10[[#This Row],[Winter Clothes Adult ]]&lt;&gt;0,Table10[[#This Row],[Winter Clothes Children ]]&lt;&gt;0,Table10[[#This Row],[Winter Items Other ]]&lt;&gt;0),"No","")</f>
        <v/>
      </c>
      <c r="N57" s="280">
        <f>COUNTIF(A:A,Table10[[#This Row],[Pcode]])-1</f>
        <v>0</v>
      </c>
    </row>
    <row r="58" spans="1:14" x14ac:dyDescent="0.25">
      <c r="A58" s="234" t="s">
        <v>40</v>
      </c>
      <c r="B58" s="18" t="str">
        <f ca="1">OFFSET(CampList[Priority],MATCH(Table10[[#This Row],[Pcode]],CampList[CP_Pcode],0)-1,0,1,1)</f>
        <v>P4</v>
      </c>
      <c r="C58" s="18" t="str">
        <f ca="1">OFFSET(CampList[Camp],MATCH(Table10[[#This Row],[Pcode]],CampList[CP_Pcode],0)-1,0,1,1)</f>
        <v>AG Church, Hmaw Si Sa</v>
      </c>
      <c r="D58" s="18" t="str">
        <f ca="1">OFFSET(CampList[Township],MATCH(Table10[[#This Row],[Pcode]],CampList[CP_Pcode],0)-1,0,1,1)</f>
        <v>Hpakant</v>
      </c>
      <c r="E58" s="251">
        <f ca="1">OFFSET(CampList[HH],MATCH(Table10[[#This Row],[Pcode]],CampList[CP_Pcode],0)-1,0,1,1)</f>
        <v>66</v>
      </c>
      <c r="F58" s="251">
        <f ca="1">OFFSET(CampList[Total],MATCH(Table10[[#This Row],[Pcode]],CampList[CP_Pcode],0)-1,0,1,1)</f>
        <v>356</v>
      </c>
      <c r="G58" s="251">
        <f>SUMIF('NFI Tracking'!AQ$11:AQ$1048576,Table10[[#This Row],[Pcode]],'NFI Tracking'!AI$11:AI$1048576)</f>
        <v>0</v>
      </c>
      <c r="H58" s="251">
        <f>SUMIF('NFI Tracking'!AQ$11:AQ$1048576,Table10[[#This Row],[Pcode]],'NFI Tracking'!AJ$11:AJ$1048576)</f>
        <v>0</v>
      </c>
      <c r="I58" s="251">
        <f>SUMIF('NFI Tracking'!AQ$11:AQ$1048576,Table10[[#This Row],[Pcode]],'NFI Tracking'!AK$11:AK$1048576)</f>
        <v>0</v>
      </c>
      <c r="J58" s="251">
        <f ca="1">MAX(Table10[[#This Row],[HH]]*VLOOKUP("Winter Clothes Adult",NFI,6)-Table10[[#This Row],[Winter Clothes Adult ]],0)</f>
        <v>132</v>
      </c>
      <c r="K58" s="251">
        <f ca="1">MAX(Table10[[#This Row],[HH]]*VLOOKUP("Winter Clothes Children ",NFI,6)-Table10[[#This Row],[Winter Clothes Children ]],0)</f>
        <v>66</v>
      </c>
      <c r="L58" s="251">
        <f ca="1">MAX(Table10[[#This Row],[HH]]*VLOOKUP("Winter Items Other ",NFI,6)-Table10[[#This Row],[Winter Items Other ]],0)</f>
        <v>66</v>
      </c>
      <c r="M58" s="279" t="str">
        <f>IF(OR(Table10[[#This Row],[Winter Clothes Adult ]]&lt;&gt;0,Table10[[#This Row],[Winter Clothes Children ]]&lt;&gt;0,Table10[[#This Row],[Winter Items Other ]]&lt;&gt;0),"No","")</f>
        <v/>
      </c>
      <c r="N58" s="280">
        <f>COUNTIF(A:A,Table10[[#This Row],[Pcode]])-1</f>
        <v>0</v>
      </c>
    </row>
    <row r="59" spans="1:14" x14ac:dyDescent="0.25">
      <c r="A59" s="234" t="s">
        <v>42</v>
      </c>
      <c r="B59" s="18" t="str">
        <f ca="1">OFFSET(CampList[Priority],MATCH(Table10[[#This Row],[Pcode]],CampList[CP_Pcode],0)-1,0,1,1)</f>
        <v>P4</v>
      </c>
      <c r="C59" s="18" t="str">
        <f ca="1">OFFSET(CampList[Camp],MATCH(Table10[[#This Row],[Pcode]],CampList[CP_Pcode],0)-1,0,1,1)</f>
        <v>AG Church, Maw Wan</v>
      </c>
      <c r="D59" s="18" t="str">
        <f ca="1">OFFSET(CampList[Township],MATCH(Table10[[#This Row],[Pcode]],CampList[CP_Pcode],0)-1,0,1,1)</f>
        <v>Hpakant</v>
      </c>
      <c r="E59" s="251">
        <f ca="1">OFFSET(CampList[HH],MATCH(Table10[[#This Row],[Pcode]],CampList[CP_Pcode],0)-1,0,1,1)</f>
        <v>14</v>
      </c>
      <c r="F59" s="251">
        <f ca="1">OFFSET(CampList[Total],MATCH(Table10[[#This Row],[Pcode]],CampList[CP_Pcode],0)-1,0,1,1)</f>
        <v>81</v>
      </c>
      <c r="G59" s="251">
        <f>SUMIF('NFI Tracking'!AQ$11:AQ$1048576,Table10[[#This Row],[Pcode]],'NFI Tracking'!AI$11:AI$1048576)</f>
        <v>0</v>
      </c>
      <c r="H59" s="251">
        <f>SUMIF('NFI Tracking'!AQ$11:AQ$1048576,Table10[[#This Row],[Pcode]],'NFI Tracking'!AJ$11:AJ$1048576)</f>
        <v>0</v>
      </c>
      <c r="I59" s="251">
        <f>SUMIF('NFI Tracking'!AQ$11:AQ$1048576,Table10[[#This Row],[Pcode]],'NFI Tracking'!AK$11:AK$1048576)</f>
        <v>0</v>
      </c>
      <c r="J59" s="251">
        <f ca="1">MAX(Table10[[#This Row],[HH]]*VLOOKUP("Winter Clothes Adult",NFI,6)-Table10[[#This Row],[Winter Clothes Adult ]],0)</f>
        <v>28</v>
      </c>
      <c r="K59" s="251">
        <f ca="1">MAX(Table10[[#This Row],[HH]]*VLOOKUP("Winter Clothes Children ",NFI,6)-Table10[[#This Row],[Winter Clothes Children ]],0)</f>
        <v>14</v>
      </c>
      <c r="L59" s="251">
        <f ca="1">MAX(Table10[[#This Row],[HH]]*VLOOKUP("Winter Items Other ",NFI,6)-Table10[[#This Row],[Winter Items Other ]],0)</f>
        <v>14</v>
      </c>
      <c r="M59" s="279" t="str">
        <f>IF(OR(Table10[[#This Row],[Winter Clothes Adult ]]&lt;&gt;0,Table10[[#This Row],[Winter Clothes Children ]]&lt;&gt;0,Table10[[#This Row],[Winter Items Other ]]&lt;&gt;0),"No","")</f>
        <v/>
      </c>
      <c r="N59" s="280">
        <f>COUNTIF(A:A,Table10[[#This Row],[Pcode]])-1</f>
        <v>0</v>
      </c>
    </row>
    <row r="60" spans="1:14" x14ac:dyDescent="0.25">
      <c r="A60" s="234" t="s">
        <v>377</v>
      </c>
      <c r="B60" s="18" t="str">
        <f ca="1">OFFSET(CampList[Priority],MATCH(Table10[[#This Row],[Pcode]],CampList[CP_Pcode],0)-1,0,1,1)</f>
        <v>P4</v>
      </c>
      <c r="C60" s="18" t="str">
        <f ca="1">OFFSET(CampList[Camp],MATCH(Table10[[#This Row],[Pcode]],CampList[CP_Pcode],0)-1,0,1,1)</f>
        <v>Aung Thar Church</v>
      </c>
      <c r="D60" s="18" t="str">
        <f ca="1">OFFSET(CampList[Township],MATCH(Table10[[#This Row],[Pcode]],CampList[CP_Pcode],0)-1,0,1,1)</f>
        <v>Bhamo</v>
      </c>
      <c r="E60" s="251">
        <f ca="1">OFFSET(CampList[HH],MATCH(Table10[[#This Row],[Pcode]],CampList[CP_Pcode],0)-1,0,1,1)</f>
        <v>12</v>
      </c>
      <c r="F60" s="251">
        <f ca="1">OFFSET(CampList[Total],MATCH(Table10[[#This Row],[Pcode]],CampList[CP_Pcode],0)-1,0,1,1)</f>
        <v>55</v>
      </c>
      <c r="G60" s="251">
        <f>SUMIF('NFI Tracking'!AQ$11:AQ$1048576,Table10[[#This Row],[Pcode]],'NFI Tracking'!AI$11:AI$1048576)</f>
        <v>0</v>
      </c>
      <c r="H60" s="251">
        <f>SUMIF('NFI Tracking'!AQ$11:AQ$1048576,Table10[[#This Row],[Pcode]],'NFI Tracking'!AJ$11:AJ$1048576)</f>
        <v>0</v>
      </c>
      <c r="I60" s="251">
        <f>SUMIF('NFI Tracking'!AQ$11:AQ$1048576,Table10[[#This Row],[Pcode]],'NFI Tracking'!AK$11:AK$1048576)</f>
        <v>0</v>
      </c>
      <c r="J60" s="251">
        <f ca="1">MAX(Table10[[#This Row],[HH]]*VLOOKUP("Winter Clothes Adult",NFI,6)-Table10[[#This Row],[Winter Clothes Adult ]],0)</f>
        <v>24</v>
      </c>
      <c r="K60" s="251">
        <f ca="1">MAX(Table10[[#This Row],[HH]]*VLOOKUP("Winter Clothes Children ",NFI,6)-Table10[[#This Row],[Winter Clothes Children ]],0)</f>
        <v>12</v>
      </c>
      <c r="L60" s="251">
        <f ca="1">MAX(Table10[[#This Row],[HH]]*VLOOKUP("Winter Items Other ",NFI,6)-Table10[[#This Row],[Winter Items Other ]],0)</f>
        <v>12</v>
      </c>
      <c r="M60" s="279" t="str">
        <f>IF(OR(Table10[[#This Row],[Winter Clothes Adult ]]&lt;&gt;0,Table10[[#This Row],[Winter Clothes Children ]]&lt;&gt;0,Table10[[#This Row],[Winter Items Other ]]&lt;&gt;0),"No","")</f>
        <v/>
      </c>
      <c r="N60" s="280">
        <f>COUNTIF(A:A,Table10[[#This Row],[Pcode]])-1</f>
        <v>0</v>
      </c>
    </row>
    <row r="61" spans="1:14" x14ac:dyDescent="0.25">
      <c r="A61" s="234" t="s">
        <v>880</v>
      </c>
      <c r="B61" s="18" t="str">
        <f ca="1">OFFSET(CampList[Priority],MATCH(Table10[[#This Row],[Pcode]],CampList[CP_Pcode],0)-1,0,1,1)</f>
        <v>P4</v>
      </c>
      <c r="C61" s="18" t="str">
        <f ca="1">OFFSET(CampList[Camp],MATCH(Table10[[#This Row],[Pcode]],CampList[CP_Pcode],0)-1,0,1,1)</f>
        <v>Ban Hkung Yang</v>
      </c>
      <c r="D61" s="18" t="str">
        <f ca="1">OFFSET(CampList[Township],MATCH(Table10[[#This Row],[Pcode]],CampList[CP_Pcode],0)-1,0,1,1)</f>
        <v>Mansi</v>
      </c>
      <c r="E61" s="251">
        <f ca="1">OFFSET(CampList[HH],MATCH(Table10[[#This Row],[Pcode]],CampList[CP_Pcode],0)-1,0,1,1)</f>
        <v>0</v>
      </c>
      <c r="F61" s="251">
        <f ca="1">OFFSET(CampList[Total],MATCH(Table10[[#This Row],[Pcode]],CampList[CP_Pcode],0)-1,0,1,1)</f>
        <v>0</v>
      </c>
      <c r="G61" s="251">
        <f>SUMIF('NFI Tracking'!AQ$11:AQ$1048576,Table10[[#This Row],[Pcode]],'NFI Tracking'!AI$11:AI$1048576)</f>
        <v>0</v>
      </c>
      <c r="H61" s="251">
        <f>SUMIF('NFI Tracking'!AQ$11:AQ$1048576,Table10[[#This Row],[Pcode]],'NFI Tracking'!AJ$11:AJ$1048576)</f>
        <v>0</v>
      </c>
      <c r="I61" s="251">
        <f>SUMIF('NFI Tracking'!AQ$11:AQ$1048576,Table10[[#This Row],[Pcode]],'NFI Tracking'!AK$11:AK$1048576)</f>
        <v>0</v>
      </c>
      <c r="J61" s="251">
        <f ca="1">MAX(Table10[[#This Row],[HH]]*VLOOKUP("Winter Clothes Adult",NFI,6)-Table10[[#This Row],[Winter Clothes Adult ]],0)</f>
        <v>0</v>
      </c>
      <c r="K61" s="251">
        <f ca="1">MAX(Table10[[#This Row],[HH]]*VLOOKUP("Winter Clothes Children ",NFI,6)-Table10[[#This Row],[Winter Clothes Children ]],0)</f>
        <v>0</v>
      </c>
      <c r="L61" s="251">
        <f ca="1">MAX(Table10[[#This Row],[HH]]*VLOOKUP("Winter Items Other ",NFI,6)-Table10[[#This Row],[Winter Items Other ]],0)</f>
        <v>0</v>
      </c>
      <c r="M61" s="279" t="str">
        <f>IF(OR(Table10[[#This Row],[Winter Clothes Adult ]]&lt;&gt;0,Table10[[#This Row],[Winter Clothes Children ]]&lt;&gt;0,Table10[[#This Row],[Winter Items Other ]]&lt;&gt;0),"No","")</f>
        <v/>
      </c>
      <c r="N61" s="280">
        <f>COUNTIF(A:A,Table10[[#This Row],[Pcode]])-1</f>
        <v>0</v>
      </c>
    </row>
    <row r="62" spans="1:14" x14ac:dyDescent="0.25">
      <c r="A62" s="234" t="s">
        <v>51</v>
      </c>
      <c r="B62" s="18" t="str">
        <f ca="1">OFFSET(CampList[Priority],MATCH(Table10[[#This Row],[Pcode]],CampList[CP_Pcode],0)-1,0,1,1)</f>
        <v>P4</v>
      </c>
      <c r="C62" s="18" t="str">
        <f ca="1">OFFSET(CampList[Camp],MATCH(Table10[[#This Row],[Pcode]],CampList[CP_Pcode],0)-1,0,1,1)</f>
        <v>Baptist Church, Hmaw Si Sar(Lon Khin)</v>
      </c>
      <c r="D62" s="18" t="str">
        <f ca="1">OFFSET(CampList[Township],MATCH(Table10[[#This Row],[Pcode]],CampList[CP_Pcode],0)-1,0,1,1)</f>
        <v>Hpakant</v>
      </c>
      <c r="E62" s="251">
        <f ca="1">OFFSET(CampList[HH],MATCH(Table10[[#This Row],[Pcode]],CampList[CP_Pcode],0)-1,0,1,1)</f>
        <v>38</v>
      </c>
      <c r="F62" s="251">
        <f ca="1">OFFSET(CampList[Total],MATCH(Table10[[#This Row],[Pcode]],CampList[CP_Pcode],0)-1,0,1,1)</f>
        <v>231</v>
      </c>
      <c r="G62" s="251">
        <f>SUMIF('NFI Tracking'!AQ$11:AQ$1048576,Table10[[#This Row],[Pcode]],'NFI Tracking'!AI$11:AI$1048576)</f>
        <v>0</v>
      </c>
      <c r="H62" s="251">
        <f>SUMIF('NFI Tracking'!AQ$11:AQ$1048576,Table10[[#This Row],[Pcode]],'NFI Tracking'!AJ$11:AJ$1048576)</f>
        <v>0</v>
      </c>
      <c r="I62" s="251">
        <f>SUMIF('NFI Tracking'!AQ$11:AQ$1048576,Table10[[#This Row],[Pcode]],'NFI Tracking'!AK$11:AK$1048576)</f>
        <v>0</v>
      </c>
      <c r="J62" s="251">
        <f ca="1">MAX(Table10[[#This Row],[HH]]*VLOOKUP("Winter Clothes Adult",NFI,6)-Table10[[#This Row],[Winter Clothes Adult ]],0)</f>
        <v>76</v>
      </c>
      <c r="K62" s="251">
        <f ca="1">MAX(Table10[[#This Row],[HH]]*VLOOKUP("Winter Clothes Children ",NFI,6)-Table10[[#This Row],[Winter Clothes Children ]],0)</f>
        <v>38</v>
      </c>
      <c r="L62" s="251">
        <f ca="1">MAX(Table10[[#This Row],[HH]]*VLOOKUP("Winter Items Other ",NFI,6)-Table10[[#This Row],[Winter Items Other ]],0)</f>
        <v>38</v>
      </c>
      <c r="M62" s="279" t="str">
        <f>IF(OR(Table10[[#This Row],[Winter Clothes Adult ]]&lt;&gt;0,Table10[[#This Row],[Winter Clothes Children ]]&lt;&gt;0,Table10[[#This Row],[Winter Items Other ]]&lt;&gt;0),"No","")</f>
        <v/>
      </c>
      <c r="N62" s="280">
        <f>COUNTIF(A:A,Table10[[#This Row],[Pcode]])-1</f>
        <v>0</v>
      </c>
    </row>
    <row r="63" spans="1:14" x14ac:dyDescent="0.25">
      <c r="A63" s="234" t="s">
        <v>57</v>
      </c>
      <c r="B63" s="18" t="str">
        <f ca="1">OFFSET(CampList[Priority],MATCH(Table10[[#This Row],[Pcode]],CampList[CP_Pcode],0)-1,0,1,1)</f>
        <v>P4</v>
      </c>
      <c r="C63" s="18" t="str">
        <f ca="1">OFFSET(CampList[Camp],MATCH(Table10[[#This Row],[Pcode]],CampList[CP_Pcode],0)-1,0,1,1)</f>
        <v>Baptist Church, Naung Hmee VT</v>
      </c>
      <c r="D63" s="18" t="str">
        <f ca="1">OFFSET(CampList[Township],MATCH(Table10[[#This Row],[Pcode]],CampList[CP_Pcode],0)-1,0,1,1)</f>
        <v>Hpakant</v>
      </c>
      <c r="E63" s="251">
        <f ca="1">OFFSET(CampList[HH],MATCH(Table10[[#This Row],[Pcode]],CampList[CP_Pcode],0)-1,0,1,1)</f>
        <v>0</v>
      </c>
      <c r="F63" s="251">
        <f ca="1">OFFSET(CampList[Total],MATCH(Table10[[#This Row],[Pcode]],CampList[CP_Pcode],0)-1,0,1,1)</f>
        <v>0</v>
      </c>
      <c r="G63" s="251">
        <f>SUMIF('NFI Tracking'!AQ$11:AQ$1048576,Table10[[#This Row],[Pcode]],'NFI Tracking'!AI$11:AI$1048576)</f>
        <v>0</v>
      </c>
      <c r="H63" s="251">
        <f>SUMIF('NFI Tracking'!AQ$11:AQ$1048576,Table10[[#This Row],[Pcode]],'NFI Tracking'!AJ$11:AJ$1048576)</f>
        <v>0</v>
      </c>
      <c r="I63" s="251">
        <f>SUMIF('NFI Tracking'!AQ$11:AQ$1048576,Table10[[#This Row],[Pcode]],'NFI Tracking'!AK$11:AK$1048576)</f>
        <v>0</v>
      </c>
      <c r="J63" s="251">
        <f ca="1">MAX(Table10[[#This Row],[HH]]*VLOOKUP("Winter Clothes Adult",NFI,6)-Table10[[#This Row],[Winter Clothes Adult ]],0)</f>
        <v>0</v>
      </c>
      <c r="K63" s="251">
        <f ca="1">MAX(Table10[[#This Row],[HH]]*VLOOKUP("Winter Clothes Children ",NFI,6)-Table10[[#This Row],[Winter Clothes Children ]],0)</f>
        <v>0</v>
      </c>
      <c r="L63" s="251">
        <f ca="1">MAX(Table10[[#This Row],[HH]]*VLOOKUP("Winter Items Other ",NFI,6)-Table10[[#This Row],[Winter Items Other ]],0)</f>
        <v>0</v>
      </c>
      <c r="M63" s="279" t="str">
        <f>IF(OR(Table10[[#This Row],[Winter Clothes Adult ]]&lt;&gt;0,Table10[[#This Row],[Winter Clothes Children ]]&lt;&gt;0,Table10[[#This Row],[Winter Items Other ]]&lt;&gt;0),"No","")</f>
        <v/>
      </c>
      <c r="N63" s="280">
        <f>COUNTIF(A:A,Table10[[#This Row],[Pcode]])-1</f>
        <v>0</v>
      </c>
    </row>
    <row r="64" spans="1:14" x14ac:dyDescent="0.25">
      <c r="A64" s="234" t="s">
        <v>71</v>
      </c>
      <c r="B64" s="18" t="str">
        <f ca="1">OFFSET(CampList[Priority],MATCH(Table10[[#This Row],[Pcode]],CampList[CP_Pcode],0)-1,0,1,1)</f>
        <v>P4</v>
      </c>
      <c r="C64" s="18" t="str">
        <f ca="1">OFFSET(CampList[Camp],MATCH(Table10[[#This Row],[Pcode]],CampList[CP_Pcode],0)-1,0,1,1)</f>
        <v>Chin Church, Seik Mu</v>
      </c>
      <c r="D64" s="18" t="str">
        <f ca="1">OFFSET(CampList[Township],MATCH(Table10[[#This Row],[Pcode]],CampList[CP_Pcode],0)-1,0,1,1)</f>
        <v>Hpakant</v>
      </c>
      <c r="E64" s="251">
        <f ca="1">OFFSET(CampList[HH],MATCH(Table10[[#This Row],[Pcode]],CampList[CP_Pcode],0)-1,0,1,1)</f>
        <v>6</v>
      </c>
      <c r="F64" s="251">
        <f ca="1">OFFSET(CampList[Total],MATCH(Table10[[#This Row],[Pcode]],CampList[CP_Pcode],0)-1,0,1,1)</f>
        <v>30</v>
      </c>
      <c r="G64" s="251">
        <f>SUMIF('NFI Tracking'!AQ$11:AQ$1048576,Table10[[#This Row],[Pcode]],'NFI Tracking'!AI$11:AI$1048576)</f>
        <v>0</v>
      </c>
      <c r="H64" s="251">
        <f>SUMIF('NFI Tracking'!AQ$11:AQ$1048576,Table10[[#This Row],[Pcode]],'NFI Tracking'!AJ$11:AJ$1048576)</f>
        <v>0</v>
      </c>
      <c r="I64" s="251">
        <f>SUMIF('NFI Tracking'!AQ$11:AQ$1048576,Table10[[#This Row],[Pcode]],'NFI Tracking'!AK$11:AK$1048576)</f>
        <v>0</v>
      </c>
      <c r="J64" s="251">
        <f ca="1">MAX(Table10[[#This Row],[HH]]*VLOOKUP("Winter Clothes Adult",NFI,6)-Table10[[#This Row],[Winter Clothes Adult ]],0)</f>
        <v>12</v>
      </c>
      <c r="K64" s="251">
        <f ca="1">MAX(Table10[[#This Row],[HH]]*VLOOKUP("Winter Clothes Children ",NFI,6)-Table10[[#This Row],[Winter Clothes Children ]],0)</f>
        <v>6</v>
      </c>
      <c r="L64" s="251">
        <f ca="1">MAX(Table10[[#This Row],[HH]]*VLOOKUP("Winter Items Other ",NFI,6)-Table10[[#This Row],[Winter Items Other ]],0)</f>
        <v>6</v>
      </c>
      <c r="M64" s="279" t="str">
        <f>IF(OR(Table10[[#This Row],[Winter Clothes Adult ]]&lt;&gt;0,Table10[[#This Row],[Winter Clothes Children ]]&lt;&gt;0,Table10[[#This Row],[Winter Items Other ]]&lt;&gt;0),"No","")</f>
        <v/>
      </c>
      <c r="N64" s="280">
        <f>COUNTIF(A:A,Table10[[#This Row],[Pcode]])-1</f>
        <v>0</v>
      </c>
    </row>
    <row r="65" spans="1:14" x14ac:dyDescent="0.25">
      <c r="A65" s="234" t="s">
        <v>75</v>
      </c>
      <c r="B65" s="18" t="str">
        <f ca="1">OFFSET(CampList[Priority],MATCH(Table10[[#This Row],[Pcode]],CampList[CP_Pcode],0)-1,0,1,1)</f>
        <v>P4</v>
      </c>
      <c r="C65" s="18" t="str">
        <f ca="1">OFFSET(CampList[Camp],MATCH(Table10[[#This Row],[Pcode]],CampList[CP_Pcode],0)-1,0,1,1)</f>
        <v>Dhama Rakhita, Nyein Chan Tar Yar Ward(Lon Khin)</v>
      </c>
      <c r="D65" s="18" t="str">
        <f ca="1">OFFSET(CampList[Township],MATCH(Table10[[#This Row],[Pcode]],CampList[CP_Pcode],0)-1,0,1,1)</f>
        <v>Hpakant</v>
      </c>
      <c r="E65" s="251">
        <f ca="1">OFFSET(CampList[HH],MATCH(Table10[[#This Row],[Pcode]],CampList[CP_Pcode],0)-1,0,1,1)</f>
        <v>70</v>
      </c>
      <c r="F65" s="251">
        <f ca="1">OFFSET(CampList[Total],MATCH(Table10[[#This Row],[Pcode]],CampList[CP_Pcode],0)-1,0,1,1)</f>
        <v>347</v>
      </c>
      <c r="G65" s="251">
        <f>SUMIF('NFI Tracking'!AQ$11:AQ$1048576,Table10[[#This Row],[Pcode]],'NFI Tracking'!AI$11:AI$1048576)</f>
        <v>0</v>
      </c>
      <c r="H65" s="251">
        <f>SUMIF('NFI Tracking'!AQ$11:AQ$1048576,Table10[[#This Row],[Pcode]],'NFI Tracking'!AJ$11:AJ$1048576)</f>
        <v>0</v>
      </c>
      <c r="I65" s="251">
        <f>SUMIF('NFI Tracking'!AQ$11:AQ$1048576,Table10[[#This Row],[Pcode]],'NFI Tracking'!AK$11:AK$1048576)</f>
        <v>0</v>
      </c>
      <c r="J65" s="251">
        <f ca="1">MAX(Table10[[#This Row],[HH]]*VLOOKUP("Winter Clothes Adult",NFI,6)-Table10[[#This Row],[Winter Clothes Adult ]],0)</f>
        <v>140</v>
      </c>
      <c r="K65" s="251">
        <f ca="1">MAX(Table10[[#This Row],[HH]]*VLOOKUP("Winter Clothes Children ",NFI,6)-Table10[[#This Row],[Winter Clothes Children ]],0)</f>
        <v>70</v>
      </c>
      <c r="L65" s="251">
        <f ca="1">MAX(Table10[[#This Row],[HH]]*VLOOKUP("Winter Items Other ",NFI,6)-Table10[[#This Row],[Winter Items Other ]],0)</f>
        <v>70</v>
      </c>
      <c r="M65" s="279" t="str">
        <f>IF(OR(Table10[[#This Row],[Winter Clothes Adult ]]&lt;&gt;0,Table10[[#This Row],[Winter Clothes Children ]]&lt;&gt;0,Table10[[#This Row],[Winter Items Other ]]&lt;&gt;0),"No","")</f>
        <v/>
      </c>
      <c r="N65" s="280">
        <f>COUNTIF(A:A,Table10[[#This Row],[Pcode]])-1</f>
        <v>0</v>
      </c>
    </row>
    <row r="66" spans="1:14" x14ac:dyDescent="0.25">
      <c r="A66" s="234" t="s">
        <v>242</v>
      </c>
      <c r="B66" s="18" t="str">
        <f ca="1">OFFSET(CampList[Priority],MATCH(Table10[[#This Row],[Pcode]],CampList[CP_Pcode],0)-1,0,1,1)</f>
        <v>P4</v>
      </c>
      <c r="C66" s="18" t="str">
        <f ca="1">OFFSET(CampList[Camp],MATCH(Table10[[#This Row],[Pcode]],CampList[CP_Pcode],0)-1,0,1,1)</f>
        <v>Du Kahtawng Qtr. 14</v>
      </c>
      <c r="D66" s="18" t="str">
        <f ca="1">OFFSET(CampList[Township],MATCH(Table10[[#This Row],[Pcode]],CampList[CP_Pcode],0)-1,0,1,1)</f>
        <v>Myitkyina</v>
      </c>
      <c r="E66" s="251">
        <f ca="1">OFFSET(CampList[HH],MATCH(Table10[[#This Row],[Pcode]],CampList[CP_Pcode],0)-1,0,1,1)</f>
        <v>6</v>
      </c>
      <c r="F66" s="251">
        <f ca="1">OFFSET(CampList[Total],MATCH(Table10[[#This Row],[Pcode]],CampList[CP_Pcode],0)-1,0,1,1)</f>
        <v>32</v>
      </c>
      <c r="G66" s="251">
        <f>SUMIF('NFI Tracking'!AQ$11:AQ$1048576,Table10[[#This Row],[Pcode]],'NFI Tracking'!AI$11:AI$1048576)</f>
        <v>0</v>
      </c>
      <c r="H66" s="251">
        <f>SUMIF('NFI Tracking'!AQ$11:AQ$1048576,Table10[[#This Row],[Pcode]],'NFI Tracking'!AJ$11:AJ$1048576)</f>
        <v>0</v>
      </c>
      <c r="I66" s="251">
        <f>SUMIF('NFI Tracking'!AQ$11:AQ$1048576,Table10[[#This Row],[Pcode]],'NFI Tracking'!AK$11:AK$1048576)</f>
        <v>0</v>
      </c>
      <c r="J66" s="251">
        <f ca="1">MAX(Table10[[#This Row],[HH]]*VLOOKUP("Winter Clothes Adult",NFI,6)-Table10[[#This Row],[Winter Clothes Adult ]],0)</f>
        <v>12</v>
      </c>
      <c r="K66" s="251">
        <f ca="1">MAX(Table10[[#This Row],[HH]]*VLOOKUP("Winter Clothes Children ",NFI,6)-Table10[[#This Row],[Winter Clothes Children ]],0)</f>
        <v>6</v>
      </c>
      <c r="L66" s="251">
        <f ca="1">MAX(Table10[[#This Row],[HH]]*VLOOKUP("Winter Items Other ",NFI,6)-Table10[[#This Row],[Winter Items Other ]],0)</f>
        <v>6</v>
      </c>
      <c r="M66" s="279" t="str">
        <f>IF(OR(Table10[[#This Row],[Winter Clothes Adult ]]&lt;&gt;0,Table10[[#This Row],[Winter Clothes Children ]]&lt;&gt;0,Table10[[#This Row],[Winter Items Other ]]&lt;&gt;0),"No","")</f>
        <v/>
      </c>
      <c r="N66" s="280">
        <f>COUNTIF(A:A,Table10[[#This Row],[Pcode]])-1</f>
        <v>0</v>
      </c>
    </row>
    <row r="67" spans="1:14" x14ac:dyDescent="0.25">
      <c r="A67" s="234" t="s">
        <v>244</v>
      </c>
      <c r="B67" s="18" t="str">
        <f ca="1">OFFSET(CampList[Priority],MATCH(Table10[[#This Row],[Pcode]],CampList[CP_Pcode],0)-1,0,1,1)</f>
        <v>P4</v>
      </c>
      <c r="C67" s="18" t="str">
        <f ca="1">OFFSET(CampList[Camp],MATCH(Table10[[#This Row],[Pcode]],CampList[CP_Pcode],0)-1,0,1,1)</f>
        <v>Du Kahtawng Qtr. 4</v>
      </c>
      <c r="D67" s="18" t="str">
        <f ca="1">OFFSET(CampList[Township],MATCH(Table10[[#This Row],[Pcode]],CampList[CP_Pcode],0)-1,0,1,1)</f>
        <v>Myitkyina</v>
      </c>
      <c r="E67" s="251">
        <f ca="1">OFFSET(CampList[HH],MATCH(Table10[[#This Row],[Pcode]],CampList[CP_Pcode],0)-1,0,1,1)</f>
        <v>7</v>
      </c>
      <c r="F67" s="251">
        <f ca="1">OFFSET(CampList[Total],MATCH(Table10[[#This Row],[Pcode]],CampList[CP_Pcode],0)-1,0,1,1)</f>
        <v>46</v>
      </c>
      <c r="G67" s="251">
        <f>SUMIF('NFI Tracking'!AQ$11:AQ$1048576,Table10[[#This Row],[Pcode]],'NFI Tracking'!AI$11:AI$1048576)</f>
        <v>0</v>
      </c>
      <c r="H67" s="251">
        <f>SUMIF('NFI Tracking'!AQ$11:AQ$1048576,Table10[[#This Row],[Pcode]],'NFI Tracking'!AJ$11:AJ$1048576)</f>
        <v>0</v>
      </c>
      <c r="I67" s="251">
        <f>SUMIF('NFI Tracking'!AQ$11:AQ$1048576,Table10[[#This Row],[Pcode]],'NFI Tracking'!AK$11:AK$1048576)</f>
        <v>0</v>
      </c>
      <c r="J67" s="251">
        <f ca="1">MAX(Table10[[#This Row],[HH]]*VLOOKUP("Winter Clothes Adult",NFI,6)-Table10[[#This Row],[Winter Clothes Adult ]],0)</f>
        <v>14</v>
      </c>
      <c r="K67" s="251">
        <f ca="1">MAX(Table10[[#This Row],[HH]]*VLOOKUP("Winter Clothes Children ",NFI,6)-Table10[[#This Row],[Winter Clothes Children ]],0)</f>
        <v>7</v>
      </c>
      <c r="L67" s="251">
        <f ca="1">MAX(Table10[[#This Row],[HH]]*VLOOKUP("Winter Items Other ",NFI,6)-Table10[[#This Row],[Winter Items Other ]],0)</f>
        <v>7</v>
      </c>
      <c r="M67" s="279" t="str">
        <f>IF(OR(Table10[[#This Row],[Winter Clothes Adult ]]&lt;&gt;0,Table10[[#This Row],[Winter Clothes Children ]]&lt;&gt;0,Table10[[#This Row],[Winter Items Other ]]&lt;&gt;0),"No","")</f>
        <v/>
      </c>
      <c r="N67" s="280">
        <f>COUNTIF(A:A,Table10[[#This Row],[Pcode]])-1</f>
        <v>0</v>
      </c>
    </row>
    <row r="68" spans="1:14" x14ac:dyDescent="0.25">
      <c r="A68" s="234" t="s">
        <v>246</v>
      </c>
      <c r="B68" s="18" t="str">
        <f ca="1">OFFSET(CampList[Priority],MATCH(Table10[[#This Row],[Pcode]],CampList[CP_Pcode],0)-1,0,1,1)</f>
        <v>P4</v>
      </c>
      <c r="C68" s="18" t="str">
        <f ca="1">OFFSET(CampList[Camp],MATCH(Table10[[#This Row],[Pcode]],CampList[CP_Pcode],0)-1,0,1,1)</f>
        <v>Du Kahtawng Qtr. 5</v>
      </c>
      <c r="D68" s="18" t="str">
        <f ca="1">OFFSET(CampList[Township],MATCH(Table10[[#This Row],[Pcode]],CampList[CP_Pcode],0)-1,0,1,1)</f>
        <v>Myitkyina</v>
      </c>
      <c r="E68" s="251">
        <f ca="1">OFFSET(CampList[HH],MATCH(Table10[[#This Row],[Pcode]],CampList[CP_Pcode],0)-1,0,1,1)</f>
        <v>31</v>
      </c>
      <c r="F68" s="251">
        <f ca="1">OFFSET(CampList[Total],MATCH(Table10[[#This Row],[Pcode]],CampList[CP_Pcode],0)-1,0,1,1)</f>
        <v>118</v>
      </c>
      <c r="G68" s="251">
        <f>SUMIF('NFI Tracking'!AQ$11:AQ$1048576,Table10[[#This Row],[Pcode]],'NFI Tracking'!AI$11:AI$1048576)</f>
        <v>0</v>
      </c>
      <c r="H68" s="251">
        <f>SUMIF('NFI Tracking'!AQ$11:AQ$1048576,Table10[[#This Row],[Pcode]],'NFI Tracking'!AJ$11:AJ$1048576)</f>
        <v>0</v>
      </c>
      <c r="I68" s="251">
        <f>SUMIF('NFI Tracking'!AQ$11:AQ$1048576,Table10[[#This Row],[Pcode]],'NFI Tracking'!AK$11:AK$1048576)</f>
        <v>0</v>
      </c>
      <c r="J68" s="251">
        <f ca="1">MAX(Table10[[#This Row],[HH]]*VLOOKUP("Winter Clothes Adult",NFI,6)-Table10[[#This Row],[Winter Clothes Adult ]],0)</f>
        <v>62</v>
      </c>
      <c r="K68" s="251">
        <f ca="1">MAX(Table10[[#This Row],[HH]]*VLOOKUP("Winter Clothes Children ",NFI,6)-Table10[[#This Row],[Winter Clothes Children ]],0)</f>
        <v>31</v>
      </c>
      <c r="L68" s="251">
        <f ca="1">MAX(Table10[[#This Row],[HH]]*VLOOKUP("Winter Items Other ",NFI,6)-Table10[[#This Row],[Winter Items Other ]],0)</f>
        <v>31</v>
      </c>
      <c r="M68" s="279" t="str">
        <f>IF(OR(Table10[[#This Row],[Winter Clothes Adult ]]&lt;&gt;0,Table10[[#This Row],[Winter Clothes Children ]]&lt;&gt;0,Table10[[#This Row],[Winter Items Other ]]&lt;&gt;0),"No","")</f>
        <v/>
      </c>
      <c r="N68" s="280">
        <f>COUNTIF(A:A,Table10[[#This Row],[Pcode]])-1</f>
        <v>0</v>
      </c>
    </row>
    <row r="69" spans="1:14" x14ac:dyDescent="0.25">
      <c r="A69" s="234" t="s">
        <v>312</v>
      </c>
      <c r="B69" s="18" t="str">
        <f ca="1">OFFSET(CampList[Priority],MATCH(Table10[[#This Row],[Pcode]],CampList[CP_Pcode],0)-1,0,1,1)</f>
        <v>P4</v>
      </c>
      <c r="C69" s="18" t="str">
        <f ca="1">OFFSET(CampList[Camp],MATCH(Table10[[#This Row],[Pcode]],CampList[CP_Pcode],0)-1,0,1,1)</f>
        <v xml:space="preserve">Hkat Cho </v>
      </c>
      <c r="D69" s="18" t="str">
        <f ca="1">OFFSET(CampList[Township],MATCH(Table10[[#This Row],[Pcode]],CampList[CP_Pcode],0)-1,0,1,1)</f>
        <v>Waingmaw</v>
      </c>
      <c r="E69" s="251">
        <f ca="1">OFFSET(CampList[HH],MATCH(Table10[[#This Row],[Pcode]],CampList[CP_Pcode],0)-1,0,1,1)</f>
        <v>102</v>
      </c>
      <c r="F69" s="251">
        <f ca="1">OFFSET(CampList[Total],MATCH(Table10[[#This Row],[Pcode]],CampList[CP_Pcode],0)-1,0,1,1)</f>
        <v>502</v>
      </c>
      <c r="G69" s="251">
        <f>SUMIF('NFI Tracking'!AQ$11:AQ$1048576,Table10[[#This Row],[Pcode]],'NFI Tracking'!AI$11:AI$1048576)</f>
        <v>0</v>
      </c>
      <c r="H69" s="251">
        <f>SUMIF('NFI Tracking'!AQ$11:AQ$1048576,Table10[[#This Row],[Pcode]],'NFI Tracking'!AJ$11:AJ$1048576)</f>
        <v>0</v>
      </c>
      <c r="I69" s="251">
        <f>SUMIF('NFI Tracking'!AQ$11:AQ$1048576,Table10[[#This Row],[Pcode]],'NFI Tracking'!AK$11:AK$1048576)</f>
        <v>0</v>
      </c>
      <c r="J69" s="251">
        <f ca="1">MAX(Table10[[#This Row],[HH]]*VLOOKUP("Winter Clothes Adult",NFI,6)-Table10[[#This Row],[Winter Clothes Adult ]],0)</f>
        <v>204</v>
      </c>
      <c r="K69" s="251">
        <f ca="1">MAX(Table10[[#This Row],[HH]]*VLOOKUP("Winter Clothes Children ",NFI,6)-Table10[[#This Row],[Winter Clothes Children ]],0)</f>
        <v>102</v>
      </c>
      <c r="L69" s="251">
        <f ca="1">MAX(Table10[[#This Row],[HH]]*VLOOKUP("Winter Items Other ",NFI,6)-Table10[[#This Row],[Winter Items Other ]],0)</f>
        <v>102</v>
      </c>
      <c r="M69" s="279" t="str">
        <f>IF(OR(Table10[[#This Row],[Winter Clothes Adult ]]&lt;&gt;0,Table10[[#This Row],[Winter Clothes Children ]]&lt;&gt;0,Table10[[#This Row],[Winter Items Other ]]&lt;&gt;0),"No","")</f>
        <v/>
      </c>
      <c r="N69" s="280">
        <f>COUNTIF(A:A,Table10[[#This Row],[Pcode]])-1</f>
        <v>0</v>
      </c>
    </row>
    <row r="70" spans="1:14" x14ac:dyDescent="0.25">
      <c r="A70" s="234" t="s">
        <v>87</v>
      </c>
      <c r="B70" s="18" t="str">
        <f ca="1">OFFSET(CampList[Priority],MATCH(Table10[[#This Row],[Pcode]],CampList[CP_Pcode],0)-1,0,1,1)</f>
        <v>P4</v>
      </c>
      <c r="C70" s="18" t="str">
        <f ca="1">OFFSET(CampList[Camp],MATCH(Table10[[#This Row],[Pcode]],CampList[CP_Pcode],0)-1,0,1,1)</f>
        <v>Hlaing Naung Baptist</v>
      </c>
      <c r="D70" s="18" t="str">
        <f ca="1">OFFSET(CampList[Township],MATCH(Table10[[#This Row],[Pcode]],CampList[CP_Pcode],0)-1,0,1,1)</f>
        <v>Hpakant</v>
      </c>
      <c r="E70" s="251">
        <f ca="1">OFFSET(CampList[HH],MATCH(Table10[[#This Row],[Pcode]],CampList[CP_Pcode],0)-1,0,1,1)</f>
        <v>13</v>
      </c>
      <c r="F70" s="251">
        <f ca="1">OFFSET(CampList[Total],MATCH(Table10[[#This Row],[Pcode]],CampList[CP_Pcode],0)-1,0,1,1)</f>
        <v>45</v>
      </c>
      <c r="G70" s="251">
        <f>SUMIF('NFI Tracking'!AQ$11:AQ$1048576,Table10[[#This Row],[Pcode]],'NFI Tracking'!AI$11:AI$1048576)</f>
        <v>0</v>
      </c>
      <c r="H70" s="251">
        <f>SUMIF('NFI Tracking'!AQ$11:AQ$1048576,Table10[[#This Row],[Pcode]],'NFI Tracking'!AJ$11:AJ$1048576)</f>
        <v>0</v>
      </c>
      <c r="I70" s="251">
        <f>SUMIF('NFI Tracking'!AQ$11:AQ$1048576,Table10[[#This Row],[Pcode]],'NFI Tracking'!AK$11:AK$1048576)</f>
        <v>0</v>
      </c>
      <c r="J70" s="251">
        <f ca="1">MAX(Table10[[#This Row],[HH]]*VLOOKUP("Winter Clothes Adult",NFI,6)-Table10[[#This Row],[Winter Clothes Adult ]],0)</f>
        <v>26</v>
      </c>
      <c r="K70" s="251">
        <f ca="1">MAX(Table10[[#This Row],[HH]]*VLOOKUP("Winter Clothes Children ",NFI,6)-Table10[[#This Row],[Winter Clothes Children ]],0)</f>
        <v>13</v>
      </c>
      <c r="L70" s="251">
        <f ca="1">MAX(Table10[[#This Row],[HH]]*VLOOKUP("Winter Items Other ",NFI,6)-Table10[[#This Row],[Winter Items Other ]],0)</f>
        <v>13</v>
      </c>
      <c r="M70" s="279" t="str">
        <f>IF(OR(Table10[[#This Row],[Winter Clothes Adult ]]&lt;&gt;0,Table10[[#This Row],[Winter Clothes Children ]]&lt;&gt;0,Table10[[#This Row],[Winter Items Other ]]&lt;&gt;0),"No","")</f>
        <v/>
      </c>
      <c r="N70" s="280">
        <f>COUNTIF(A:A,Table10[[#This Row],[Pcode]])-1</f>
        <v>0</v>
      </c>
    </row>
    <row r="71" spans="1:14" x14ac:dyDescent="0.25">
      <c r="A71" s="234" t="s">
        <v>45</v>
      </c>
      <c r="B71" s="18" t="str">
        <f ca="1">OFFSET(CampList[Priority],MATCH(Table10[[#This Row],[Pcode]],CampList[CP_Pcode],0)-1,0,1,1)</f>
        <v>P4</v>
      </c>
      <c r="C71" s="18" t="str">
        <f ca="1">OFFSET(CampList[Camp],MATCH(Table10[[#This Row],[Pcode]],CampList[CP_Pcode],0)-1,0,1,1)</f>
        <v>Hmaw Wan, Anglican</v>
      </c>
      <c r="D71" s="18" t="str">
        <f ca="1">OFFSET(CampList[Township],MATCH(Table10[[#This Row],[Pcode]],CampList[CP_Pcode],0)-1,0,1,1)</f>
        <v>Hpakant</v>
      </c>
      <c r="E71" s="251">
        <f ca="1">OFFSET(CampList[HH],MATCH(Table10[[#This Row],[Pcode]],CampList[CP_Pcode],0)-1,0,1,1)</f>
        <v>4</v>
      </c>
      <c r="F71" s="251">
        <f ca="1">OFFSET(CampList[Total],MATCH(Table10[[#This Row],[Pcode]],CampList[CP_Pcode],0)-1,0,1,1)</f>
        <v>26</v>
      </c>
      <c r="G71" s="251">
        <f>SUMIF('NFI Tracking'!AQ$11:AQ$1048576,Table10[[#This Row],[Pcode]],'NFI Tracking'!AI$11:AI$1048576)</f>
        <v>0</v>
      </c>
      <c r="H71" s="251">
        <f>SUMIF('NFI Tracking'!AQ$11:AQ$1048576,Table10[[#This Row],[Pcode]],'NFI Tracking'!AJ$11:AJ$1048576)</f>
        <v>0</v>
      </c>
      <c r="I71" s="251">
        <f>SUMIF('NFI Tracking'!AQ$11:AQ$1048576,Table10[[#This Row],[Pcode]],'NFI Tracking'!AK$11:AK$1048576)</f>
        <v>0</v>
      </c>
      <c r="J71" s="251">
        <f ca="1">MAX(Table10[[#This Row],[HH]]*VLOOKUP("Winter Clothes Adult",NFI,6)-Table10[[#This Row],[Winter Clothes Adult ]],0)</f>
        <v>8</v>
      </c>
      <c r="K71" s="251">
        <f ca="1">MAX(Table10[[#This Row],[HH]]*VLOOKUP("Winter Clothes Children ",NFI,6)-Table10[[#This Row],[Winter Clothes Children ]],0)</f>
        <v>4</v>
      </c>
      <c r="L71" s="251">
        <f ca="1">MAX(Table10[[#This Row],[HH]]*VLOOKUP("Winter Items Other ",NFI,6)-Table10[[#This Row],[Winter Items Other ]],0)</f>
        <v>4</v>
      </c>
      <c r="M71" s="279" t="str">
        <f>IF(OR(Table10[[#This Row],[Winter Clothes Adult ]]&lt;&gt;0,Table10[[#This Row],[Winter Clothes Children ]]&lt;&gt;0,Table10[[#This Row],[Winter Items Other ]]&lt;&gt;0),"No","")</f>
        <v/>
      </c>
      <c r="N71" s="280">
        <f>COUNTIF(A:A,Table10[[#This Row],[Pcode]])-1</f>
        <v>0</v>
      </c>
    </row>
    <row r="72" spans="1:14" x14ac:dyDescent="0.25">
      <c r="A72" s="234" t="s">
        <v>11</v>
      </c>
      <c r="B72" s="18" t="str">
        <f ca="1">OFFSET(CampList[Priority],MATCH(Table10[[#This Row],[Pcode]],CampList[CP_Pcode],0)-1,0,1,1)</f>
        <v>P4</v>
      </c>
      <c r="C72" s="18" t="str">
        <f ca="1">OFFSET(CampList[Camp],MATCH(Table10[[#This Row],[Pcode]],CampList[CP_Pcode],0)-1,0,1,1)</f>
        <v>Host Families</v>
      </c>
      <c r="D72" s="18" t="str">
        <f ca="1">OFFSET(CampList[Township],MATCH(Table10[[#This Row],[Pcode]],CampList[CP_Pcode],0)-1,0,1,1)</f>
        <v>Bhamo</v>
      </c>
      <c r="E72" s="251">
        <f ca="1">OFFSET(CampList[HH],MATCH(Table10[[#This Row],[Pcode]],CampList[CP_Pcode],0)-1,0,1,1)</f>
        <v>197</v>
      </c>
      <c r="F72" s="251">
        <f ca="1">OFFSET(CampList[Total],MATCH(Table10[[#This Row],[Pcode]],CampList[CP_Pcode],0)-1,0,1,1)</f>
        <v>957</v>
      </c>
      <c r="G72" s="251">
        <f>SUMIF('NFI Tracking'!AQ$11:AQ$1048576,Table10[[#This Row],[Pcode]],'NFI Tracking'!AI$11:AI$1048576)</f>
        <v>0</v>
      </c>
      <c r="H72" s="251">
        <f>SUMIF('NFI Tracking'!AQ$11:AQ$1048576,Table10[[#This Row],[Pcode]],'NFI Tracking'!AJ$11:AJ$1048576)</f>
        <v>0</v>
      </c>
      <c r="I72" s="251">
        <f>SUMIF('NFI Tracking'!AQ$11:AQ$1048576,Table10[[#This Row],[Pcode]],'NFI Tracking'!AK$11:AK$1048576)</f>
        <v>0</v>
      </c>
      <c r="J72" s="251">
        <f ca="1">MAX(Table10[[#This Row],[HH]]*VLOOKUP("Winter Clothes Adult",NFI,6)-Table10[[#This Row],[Winter Clothes Adult ]],0)</f>
        <v>394</v>
      </c>
      <c r="K72" s="251">
        <f ca="1">MAX(Table10[[#This Row],[HH]]*VLOOKUP("Winter Clothes Children ",NFI,6)-Table10[[#This Row],[Winter Clothes Children ]],0)</f>
        <v>197</v>
      </c>
      <c r="L72" s="251">
        <f ca="1">MAX(Table10[[#This Row],[HH]]*VLOOKUP("Winter Items Other ",NFI,6)-Table10[[#This Row],[Winter Items Other ]],0)</f>
        <v>197</v>
      </c>
      <c r="M72" s="279" t="str">
        <f>IF(OR(Table10[[#This Row],[Winter Clothes Adult ]]&lt;&gt;0,Table10[[#This Row],[Winter Clothes Children ]]&lt;&gt;0,Table10[[#This Row],[Winter Items Other ]]&lt;&gt;0),"No","")</f>
        <v/>
      </c>
      <c r="N72" s="280">
        <f>COUNTIF(A:A,Table10[[#This Row],[Pcode]])-1</f>
        <v>0</v>
      </c>
    </row>
    <row r="73" spans="1:14" x14ac:dyDescent="0.25">
      <c r="A73" s="234" t="s">
        <v>390</v>
      </c>
      <c r="B73" s="18" t="str">
        <f ca="1">OFFSET(CampList[Priority],MATCH(Table10[[#This Row],[Pcode]],CampList[CP_Pcode],0)-1,0,1,1)</f>
        <v>P4</v>
      </c>
      <c r="C73" s="18" t="str">
        <f ca="1">OFFSET(CampList[Camp],MATCH(Table10[[#This Row],[Pcode]],CampList[CP_Pcode],0)-1,0,1,1)</f>
        <v>Host Families</v>
      </c>
      <c r="D73" s="18" t="str">
        <f ca="1">OFFSET(CampList[Township],MATCH(Table10[[#This Row],[Pcode]],CampList[CP_Pcode],0)-1,0,1,1)</f>
        <v>Mansi</v>
      </c>
      <c r="E73" s="251">
        <f ca="1">OFFSET(CampList[HH],MATCH(Table10[[#This Row],[Pcode]],CampList[CP_Pcode],0)-1,0,1,1)</f>
        <v>73</v>
      </c>
      <c r="F73" s="251">
        <f ca="1">OFFSET(CampList[Total],MATCH(Table10[[#This Row],[Pcode]],CampList[CP_Pcode],0)-1,0,1,1)</f>
        <v>274</v>
      </c>
      <c r="G73" s="251">
        <f>SUMIF('NFI Tracking'!AQ$11:AQ$1048576,Table10[[#This Row],[Pcode]],'NFI Tracking'!AI$11:AI$1048576)</f>
        <v>0</v>
      </c>
      <c r="H73" s="251">
        <f>SUMIF('NFI Tracking'!AQ$11:AQ$1048576,Table10[[#This Row],[Pcode]],'NFI Tracking'!AJ$11:AJ$1048576)</f>
        <v>0</v>
      </c>
      <c r="I73" s="251">
        <f>SUMIF('NFI Tracking'!AQ$11:AQ$1048576,Table10[[#This Row],[Pcode]],'NFI Tracking'!AK$11:AK$1048576)</f>
        <v>0</v>
      </c>
      <c r="J73" s="251">
        <f ca="1">MAX(Table10[[#This Row],[HH]]*VLOOKUP("Winter Clothes Adult",NFI,6)-Table10[[#This Row],[Winter Clothes Adult ]],0)</f>
        <v>146</v>
      </c>
      <c r="K73" s="251">
        <f ca="1">MAX(Table10[[#This Row],[HH]]*VLOOKUP("Winter Clothes Children ",NFI,6)-Table10[[#This Row],[Winter Clothes Children ]],0)</f>
        <v>73</v>
      </c>
      <c r="L73" s="251">
        <f ca="1">MAX(Table10[[#This Row],[HH]]*VLOOKUP("Winter Items Other ",NFI,6)-Table10[[#This Row],[Winter Items Other ]],0)</f>
        <v>73</v>
      </c>
      <c r="M73" s="279" t="str">
        <f>IF(OR(Table10[[#This Row],[Winter Clothes Adult ]]&lt;&gt;0,Table10[[#This Row],[Winter Clothes Children ]]&lt;&gt;0,Table10[[#This Row],[Winter Items Other ]]&lt;&gt;0),"No","")</f>
        <v/>
      </c>
      <c r="N73" s="280">
        <f>COUNTIF(A:A,Table10[[#This Row],[Pcode]])-1</f>
        <v>0</v>
      </c>
    </row>
    <row r="74" spans="1:14" x14ac:dyDescent="0.25">
      <c r="A74" s="234" t="s">
        <v>391</v>
      </c>
      <c r="B74" s="18" t="str">
        <f ca="1">OFFSET(CampList[Priority],MATCH(Table10[[#This Row],[Pcode]],CampList[CP_Pcode],0)-1,0,1,1)</f>
        <v>P4</v>
      </c>
      <c r="C74" s="18" t="str">
        <f ca="1">OFFSET(CampList[Camp],MATCH(Table10[[#This Row],[Pcode]],CampList[CP_Pcode],0)-1,0,1,1)</f>
        <v>Host Families</v>
      </c>
      <c r="D74" s="18" t="str">
        <f ca="1">OFFSET(CampList[Township],MATCH(Table10[[#This Row],[Pcode]],CampList[CP_Pcode],0)-1,0,1,1)</f>
        <v>Momauk</v>
      </c>
      <c r="E74" s="251">
        <f ca="1">OFFSET(CampList[HH],MATCH(Table10[[#This Row],[Pcode]],CampList[CP_Pcode],0)-1,0,1,1)</f>
        <v>226</v>
      </c>
      <c r="F74" s="251">
        <f ca="1">OFFSET(CampList[Total],MATCH(Table10[[#This Row],[Pcode]],CampList[CP_Pcode],0)-1,0,1,1)</f>
        <v>1048</v>
      </c>
      <c r="G74" s="251">
        <f>SUMIF('NFI Tracking'!AQ$11:AQ$1048576,Table10[[#This Row],[Pcode]],'NFI Tracking'!AI$11:AI$1048576)</f>
        <v>0</v>
      </c>
      <c r="H74" s="251">
        <f>SUMIF('NFI Tracking'!AQ$11:AQ$1048576,Table10[[#This Row],[Pcode]],'NFI Tracking'!AJ$11:AJ$1048576)</f>
        <v>0</v>
      </c>
      <c r="I74" s="251">
        <f>SUMIF('NFI Tracking'!AQ$11:AQ$1048576,Table10[[#This Row],[Pcode]],'NFI Tracking'!AK$11:AK$1048576)</f>
        <v>0</v>
      </c>
      <c r="J74" s="251">
        <f ca="1">MAX(Table10[[#This Row],[HH]]*VLOOKUP("Winter Clothes Adult",NFI,6)-Table10[[#This Row],[Winter Clothes Adult ]],0)</f>
        <v>452</v>
      </c>
      <c r="K74" s="251">
        <f ca="1">MAX(Table10[[#This Row],[HH]]*VLOOKUP("Winter Clothes Children ",NFI,6)-Table10[[#This Row],[Winter Clothes Children ]],0)</f>
        <v>226</v>
      </c>
      <c r="L74" s="251">
        <f ca="1">MAX(Table10[[#This Row],[HH]]*VLOOKUP("Winter Items Other ",NFI,6)-Table10[[#This Row],[Winter Items Other ]],0)</f>
        <v>226</v>
      </c>
      <c r="M74" s="279" t="str">
        <f>IF(OR(Table10[[#This Row],[Winter Clothes Adult ]]&lt;&gt;0,Table10[[#This Row],[Winter Clothes Children ]]&lt;&gt;0,Table10[[#This Row],[Winter Items Other ]]&lt;&gt;0),"No","")</f>
        <v/>
      </c>
      <c r="N74" s="280">
        <f>COUNTIF(A:A,Table10[[#This Row],[Pcode]])-1</f>
        <v>0</v>
      </c>
    </row>
    <row r="75" spans="1:14" x14ac:dyDescent="0.25">
      <c r="A75" s="234" t="s">
        <v>393</v>
      </c>
      <c r="B75" s="18" t="str">
        <f ca="1">OFFSET(CampList[Priority],MATCH(Table10[[#This Row],[Pcode]],CampList[CP_Pcode],0)-1,0,1,1)</f>
        <v>P4</v>
      </c>
      <c r="C75" s="18" t="str">
        <f ca="1">OFFSET(CampList[Camp],MATCH(Table10[[#This Row],[Pcode]],CampList[CP_Pcode],0)-1,0,1,1)</f>
        <v>Host Families</v>
      </c>
      <c r="D75" s="18" t="str">
        <f ca="1">OFFSET(CampList[Township],MATCH(Table10[[#This Row],[Pcode]],CampList[CP_Pcode],0)-1,0,1,1)</f>
        <v>Shwegu</v>
      </c>
      <c r="E75" s="251">
        <f ca="1">OFFSET(CampList[HH],MATCH(Table10[[#This Row],[Pcode]],CampList[CP_Pcode],0)-1,0,1,1)</f>
        <v>0</v>
      </c>
      <c r="F75" s="251">
        <f ca="1">OFFSET(CampList[Total],MATCH(Table10[[#This Row],[Pcode]],CampList[CP_Pcode],0)-1,0,1,1)</f>
        <v>0</v>
      </c>
      <c r="G75" s="251">
        <f>SUMIF('NFI Tracking'!AQ$11:AQ$1048576,Table10[[#This Row],[Pcode]],'NFI Tracking'!AI$11:AI$1048576)</f>
        <v>0</v>
      </c>
      <c r="H75" s="251">
        <f>SUMIF('NFI Tracking'!AQ$11:AQ$1048576,Table10[[#This Row],[Pcode]],'NFI Tracking'!AJ$11:AJ$1048576)</f>
        <v>0</v>
      </c>
      <c r="I75" s="251">
        <f>SUMIF('NFI Tracking'!AQ$11:AQ$1048576,Table10[[#This Row],[Pcode]],'NFI Tracking'!AK$11:AK$1048576)</f>
        <v>0</v>
      </c>
      <c r="J75" s="251">
        <f ca="1">MAX(Table10[[#This Row],[HH]]*VLOOKUP("Winter Clothes Adult",NFI,6)-Table10[[#This Row],[Winter Clothes Adult ]],0)</f>
        <v>0</v>
      </c>
      <c r="K75" s="251">
        <f ca="1">MAX(Table10[[#This Row],[HH]]*VLOOKUP("Winter Clothes Children ",NFI,6)-Table10[[#This Row],[Winter Clothes Children ]],0)</f>
        <v>0</v>
      </c>
      <c r="L75" s="251">
        <f ca="1">MAX(Table10[[#This Row],[HH]]*VLOOKUP("Winter Items Other ",NFI,6)-Table10[[#This Row],[Winter Items Other ]],0)</f>
        <v>0</v>
      </c>
      <c r="M75" s="279" t="str">
        <f>IF(OR(Table10[[#This Row],[Winter Clothes Adult ]]&lt;&gt;0,Table10[[#This Row],[Winter Clothes Children ]]&lt;&gt;0,Table10[[#This Row],[Winter Items Other ]]&lt;&gt;0),"No","")</f>
        <v/>
      </c>
      <c r="N75" s="280">
        <f>COUNTIF(A:A,Table10[[#This Row],[Pcode]])-1</f>
        <v>0</v>
      </c>
    </row>
    <row r="76" spans="1:14" x14ac:dyDescent="0.25">
      <c r="A76" s="234" t="s">
        <v>388</v>
      </c>
      <c r="B76" s="18" t="str">
        <f ca="1">OFFSET(CampList[Priority],MATCH(Table10[[#This Row],[Pcode]],CampList[CP_Pcode],0)-1,0,1,1)</f>
        <v>P4</v>
      </c>
      <c r="C76" s="18" t="str">
        <f ca="1">OFFSET(CampList[Camp],MATCH(Table10[[#This Row],[Pcode]],CampList[CP_Pcode],0)-1,0,1,1)</f>
        <v>Hpai Kawng Mare</v>
      </c>
      <c r="D76" s="18" t="str">
        <f ca="1">OFFSET(CampList[Township],MATCH(Table10[[#This Row],[Pcode]],CampList[CP_Pcode],0)-1,0,1,1)</f>
        <v>Muse</v>
      </c>
      <c r="E76" s="251">
        <f ca="1">OFFSET(CampList[HH],MATCH(Table10[[#This Row],[Pcode]],CampList[CP_Pcode],0)-1,0,1,1)</f>
        <v>32</v>
      </c>
      <c r="F76" s="251">
        <f ca="1">OFFSET(CampList[Total],MATCH(Table10[[#This Row],[Pcode]],CampList[CP_Pcode],0)-1,0,1,1)</f>
        <v>187</v>
      </c>
      <c r="G76" s="251">
        <f>SUMIF('NFI Tracking'!AQ$11:AQ$1048576,Table10[[#This Row],[Pcode]],'NFI Tracking'!AI$11:AI$1048576)</f>
        <v>0</v>
      </c>
      <c r="H76" s="251">
        <f>SUMIF('NFI Tracking'!AQ$11:AQ$1048576,Table10[[#This Row],[Pcode]],'NFI Tracking'!AJ$11:AJ$1048576)</f>
        <v>0</v>
      </c>
      <c r="I76" s="251">
        <f>SUMIF('NFI Tracking'!AQ$11:AQ$1048576,Table10[[#This Row],[Pcode]],'NFI Tracking'!AK$11:AK$1048576)</f>
        <v>0</v>
      </c>
      <c r="J76" s="251">
        <f ca="1">MAX(Table10[[#This Row],[HH]]*VLOOKUP("Winter Clothes Adult",NFI,6)-Table10[[#This Row],[Winter Clothes Adult ]],0)</f>
        <v>64</v>
      </c>
      <c r="K76" s="251">
        <f ca="1">MAX(Table10[[#This Row],[HH]]*VLOOKUP("Winter Clothes Children ",NFI,6)-Table10[[#This Row],[Winter Clothes Children ]],0)</f>
        <v>32</v>
      </c>
      <c r="L76" s="251">
        <f ca="1">MAX(Table10[[#This Row],[HH]]*VLOOKUP("Winter Items Other ",NFI,6)-Table10[[#This Row],[Winter Items Other ]],0)</f>
        <v>32</v>
      </c>
      <c r="M76" s="279" t="str">
        <f>IF(OR(Table10[[#This Row],[Winter Clothes Adult ]]&lt;&gt;0,Table10[[#This Row],[Winter Clothes Children ]]&lt;&gt;0,Table10[[#This Row],[Winter Items Other ]]&lt;&gt;0),"No","")</f>
        <v/>
      </c>
      <c r="N76" s="280">
        <f>COUNTIF(A:A,Table10[[#This Row],[Pcode]])-1</f>
        <v>0</v>
      </c>
    </row>
    <row r="77" spans="1:14" x14ac:dyDescent="0.25">
      <c r="A77" s="234" t="s">
        <v>1062</v>
      </c>
      <c r="B77" s="18" t="str">
        <f ca="1">OFFSET(CampList[Priority],MATCH(Table10[[#This Row],[Pcode]],CampList[CP_Pcode],0)-1,0,1,1)</f>
        <v>P4</v>
      </c>
      <c r="C77" s="18" t="str">
        <f ca="1">OFFSET(CampList[Camp],MATCH(Table10[[#This Row],[Pcode]],CampList[CP_Pcode],0)-1,0,1,1)</f>
        <v>Hpakant Baptist Church, Nam Ma Hpit</v>
      </c>
      <c r="D77" s="18" t="str">
        <f ca="1">OFFSET(CampList[Township],MATCH(Table10[[#This Row],[Pcode]],CampList[CP_Pcode],0)-1,0,1,1)</f>
        <v>Hpakant</v>
      </c>
      <c r="E77" s="251">
        <f ca="1">OFFSET(CampList[HH],MATCH(Table10[[#This Row],[Pcode]],CampList[CP_Pcode],0)-1,0,1,1)</f>
        <v>103</v>
      </c>
      <c r="F77" s="251">
        <f ca="1">OFFSET(CampList[Total],MATCH(Table10[[#This Row],[Pcode]],CampList[CP_Pcode],0)-1,0,1,1)</f>
        <v>497</v>
      </c>
      <c r="G77" s="251">
        <f>SUMIF('NFI Tracking'!AQ$11:AQ$1048576,Table10[[#This Row],[Pcode]],'NFI Tracking'!AI$11:AI$1048576)</f>
        <v>0</v>
      </c>
      <c r="H77" s="251">
        <f>SUMIF('NFI Tracking'!AQ$11:AQ$1048576,Table10[[#This Row],[Pcode]],'NFI Tracking'!AJ$11:AJ$1048576)</f>
        <v>0</v>
      </c>
      <c r="I77" s="251">
        <f>SUMIF('NFI Tracking'!AQ$11:AQ$1048576,Table10[[#This Row],[Pcode]],'NFI Tracking'!AK$11:AK$1048576)</f>
        <v>0</v>
      </c>
      <c r="J77" s="251">
        <f ca="1">MAX(Table10[[#This Row],[HH]]*VLOOKUP("Winter Clothes Adult",NFI,6)-Table10[[#This Row],[Winter Clothes Adult ]],0)</f>
        <v>206</v>
      </c>
      <c r="K77" s="251">
        <f ca="1">MAX(Table10[[#This Row],[HH]]*VLOOKUP("Winter Clothes Children ",NFI,6)-Table10[[#This Row],[Winter Clothes Children ]],0)</f>
        <v>103</v>
      </c>
      <c r="L77" s="251">
        <f ca="1">MAX(Table10[[#This Row],[HH]]*VLOOKUP("Winter Items Other ",NFI,6)-Table10[[#This Row],[Winter Items Other ]],0)</f>
        <v>103</v>
      </c>
      <c r="M77" s="279" t="str">
        <f>IF(OR(Table10[[#This Row],[Winter Clothes Adult ]]&lt;&gt;0,Table10[[#This Row],[Winter Clothes Children ]]&lt;&gt;0,Table10[[#This Row],[Winter Items Other ]]&lt;&gt;0),"No","")</f>
        <v/>
      </c>
      <c r="N77" s="280">
        <f>COUNTIF(A:A,Table10[[#This Row],[Pcode]])-1</f>
        <v>0</v>
      </c>
    </row>
    <row r="78" spans="1:14" x14ac:dyDescent="0.25">
      <c r="A78" s="234" t="s">
        <v>13</v>
      </c>
      <c r="B78" s="18" t="str">
        <f ca="1">OFFSET(CampList[Priority],MATCH(Table10[[#This Row],[Pcode]],CampList[CP_Pcode],0)-1,0,1,1)</f>
        <v>P4</v>
      </c>
      <c r="C78" s="18" t="str">
        <f ca="1">OFFSET(CampList[Camp],MATCH(Table10[[#This Row],[Pcode]],CampList[CP_Pcode],0)-1,0,1,1)</f>
        <v>Htoi San Church</v>
      </c>
      <c r="D78" s="18" t="str">
        <f ca="1">OFFSET(CampList[Township],MATCH(Table10[[#This Row],[Pcode]],CampList[CP_Pcode],0)-1,0,1,1)</f>
        <v>Bhamo</v>
      </c>
      <c r="E78" s="251">
        <f ca="1">OFFSET(CampList[HH],MATCH(Table10[[#This Row],[Pcode]],CampList[CP_Pcode],0)-1,0,1,1)</f>
        <v>38</v>
      </c>
      <c r="F78" s="251">
        <f ca="1">OFFSET(CampList[Total],MATCH(Table10[[#This Row],[Pcode]],CampList[CP_Pcode],0)-1,0,1,1)</f>
        <v>214</v>
      </c>
      <c r="G78" s="251">
        <f>SUMIF('NFI Tracking'!AQ$11:AQ$1048576,Table10[[#This Row],[Pcode]],'NFI Tracking'!AI$11:AI$1048576)</f>
        <v>0</v>
      </c>
      <c r="H78" s="251">
        <f>SUMIF('NFI Tracking'!AQ$11:AQ$1048576,Table10[[#This Row],[Pcode]],'NFI Tracking'!AJ$11:AJ$1048576)</f>
        <v>0</v>
      </c>
      <c r="I78" s="251">
        <f>SUMIF('NFI Tracking'!AQ$11:AQ$1048576,Table10[[#This Row],[Pcode]],'NFI Tracking'!AK$11:AK$1048576)</f>
        <v>0</v>
      </c>
      <c r="J78" s="251">
        <f ca="1">MAX(Table10[[#This Row],[HH]]*VLOOKUP("Winter Clothes Adult",NFI,6)-Table10[[#This Row],[Winter Clothes Adult ]],0)</f>
        <v>76</v>
      </c>
      <c r="K78" s="251">
        <f ca="1">MAX(Table10[[#This Row],[HH]]*VLOOKUP("Winter Clothes Children ",NFI,6)-Table10[[#This Row],[Winter Clothes Children ]],0)</f>
        <v>38</v>
      </c>
      <c r="L78" s="251">
        <f ca="1">MAX(Table10[[#This Row],[HH]]*VLOOKUP("Winter Items Other ",NFI,6)-Table10[[#This Row],[Winter Items Other ]],0)</f>
        <v>38</v>
      </c>
      <c r="M78" s="279" t="str">
        <f>IF(OR(Table10[[#This Row],[Winter Clothes Adult ]]&lt;&gt;0,Table10[[#This Row],[Winter Clothes Children ]]&lt;&gt;0,Table10[[#This Row],[Winter Items Other ]]&lt;&gt;0),"No","")</f>
        <v/>
      </c>
      <c r="N78" s="280">
        <f>COUNTIF(A:A,Table10[[#This Row],[Pcode]])-1</f>
        <v>0</v>
      </c>
    </row>
    <row r="79" spans="1:14" x14ac:dyDescent="0.25">
      <c r="A79" s="234" t="s">
        <v>252</v>
      </c>
      <c r="B79" s="18" t="str">
        <f ca="1">OFFSET(CampList[Priority],MATCH(Table10[[#This Row],[Pcode]],CampList[CP_Pcode],0)-1,0,1,1)</f>
        <v>P4</v>
      </c>
      <c r="C79" s="18" t="str">
        <f ca="1">OFFSET(CampList[Camp],MATCH(Table10[[#This Row],[Pcode]],CampList[CP_Pcode],0)-1,0,1,1)</f>
        <v>Jan Mai Kawng Baptist Church</v>
      </c>
      <c r="D79" s="18" t="str">
        <f ca="1">OFFSET(CampList[Township],MATCH(Table10[[#This Row],[Pcode]],CampList[CP_Pcode],0)-1,0,1,1)</f>
        <v>Myitkyina</v>
      </c>
      <c r="E79" s="251">
        <f ca="1">OFFSET(CampList[HH],MATCH(Table10[[#This Row],[Pcode]],CampList[CP_Pcode],0)-1,0,1,1)</f>
        <v>200</v>
      </c>
      <c r="F79" s="251">
        <f ca="1">OFFSET(CampList[Total],MATCH(Table10[[#This Row],[Pcode]],CampList[CP_Pcode],0)-1,0,1,1)</f>
        <v>1112</v>
      </c>
      <c r="G79" s="251">
        <f>SUMIF('NFI Tracking'!AQ$11:AQ$1048576,Table10[[#This Row],[Pcode]],'NFI Tracking'!AI$11:AI$1048576)</f>
        <v>0</v>
      </c>
      <c r="H79" s="251">
        <f>SUMIF('NFI Tracking'!AQ$11:AQ$1048576,Table10[[#This Row],[Pcode]],'NFI Tracking'!AJ$11:AJ$1048576)</f>
        <v>0</v>
      </c>
      <c r="I79" s="251">
        <f>SUMIF('NFI Tracking'!AQ$11:AQ$1048576,Table10[[#This Row],[Pcode]],'NFI Tracking'!AK$11:AK$1048576)</f>
        <v>0</v>
      </c>
      <c r="J79" s="251">
        <f ca="1">MAX(Table10[[#This Row],[HH]]*VLOOKUP("Winter Clothes Adult",NFI,6)-Table10[[#This Row],[Winter Clothes Adult ]],0)</f>
        <v>400</v>
      </c>
      <c r="K79" s="251">
        <f ca="1">MAX(Table10[[#This Row],[HH]]*VLOOKUP("Winter Clothes Children ",NFI,6)-Table10[[#This Row],[Winter Clothes Children ]],0)</f>
        <v>200</v>
      </c>
      <c r="L79" s="251">
        <f ca="1">MAX(Table10[[#This Row],[HH]]*VLOOKUP("Winter Items Other ",NFI,6)-Table10[[#This Row],[Winter Items Other ]],0)</f>
        <v>200</v>
      </c>
      <c r="M79" s="279" t="str">
        <f>IF(OR(Table10[[#This Row],[Winter Clothes Adult ]]&lt;&gt;0,Table10[[#This Row],[Winter Clothes Children ]]&lt;&gt;0,Table10[[#This Row],[Winter Items Other ]]&lt;&gt;0),"No","")</f>
        <v/>
      </c>
      <c r="N79" s="280">
        <f>COUNTIF(A:A,Table10[[#This Row],[Pcode]])-1</f>
        <v>0</v>
      </c>
    </row>
    <row r="80" spans="1:14" x14ac:dyDescent="0.25">
      <c r="A80" s="234" t="s">
        <v>254</v>
      </c>
      <c r="B80" s="18" t="str">
        <f ca="1">OFFSET(CampList[Priority],MATCH(Table10[[#This Row],[Pcode]],CampList[CP_Pcode],0)-1,0,1,1)</f>
        <v>P4</v>
      </c>
      <c r="C80" s="18" t="str">
        <f ca="1">OFFSET(CampList[Camp],MATCH(Table10[[#This Row],[Pcode]],CampList[CP_Pcode],0)-1,0,1,1)</f>
        <v>Jan Mai Kawng Catholic Church</v>
      </c>
      <c r="D80" s="18" t="str">
        <f ca="1">OFFSET(CampList[Township],MATCH(Table10[[#This Row],[Pcode]],CampList[CP_Pcode],0)-1,0,1,1)</f>
        <v>Myitkyina</v>
      </c>
      <c r="E80" s="251">
        <f ca="1">OFFSET(CampList[HH],MATCH(Table10[[#This Row],[Pcode]],CampList[CP_Pcode],0)-1,0,1,1)</f>
        <v>122</v>
      </c>
      <c r="F80" s="251">
        <f ca="1">OFFSET(CampList[Total],MATCH(Table10[[#This Row],[Pcode]],CampList[CP_Pcode],0)-1,0,1,1)</f>
        <v>595</v>
      </c>
      <c r="G80" s="251">
        <f>SUMIF('NFI Tracking'!AQ$11:AQ$1048576,Table10[[#This Row],[Pcode]],'NFI Tracking'!AI$11:AI$1048576)</f>
        <v>0</v>
      </c>
      <c r="H80" s="251">
        <f>SUMIF('NFI Tracking'!AQ$11:AQ$1048576,Table10[[#This Row],[Pcode]],'NFI Tracking'!AJ$11:AJ$1048576)</f>
        <v>0</v>
      </c>
      <c r="I80" s="251">
        <f>SUMIF('NFI Tracking'!AQ$11:AQ$1048576,Table10[[#This Row],[Pcode]],'NFI Tracking'!AK$11:AK$1048576)</f>
        <v>0</v>
      </c>
      <c r="J80" s="251">
        <f ca="1">MAX(Table10[[#This Row],[HH]]*VLOOKUP("Winter Clothes Adult",NFI,6)-Table10[[#This Row],[Winter Clothes Adult ]],0)</f>
        <v>244</v>
      </c>
      <c r="K80" s="251">
        <f ca="1">MAX(Table10[[#This Row],[HH]]*VLOOKUP("Winter Clothes Children ",NFI,6)-Table10[[#This Row],[Winter Clothes Children ]],0)</f>
        <v>122</v>
      </c>
      <c r="L80" s="251">
        <f ca="1">MAX(Table10[[#This Row],[HH]]*VLOOKUP("Winter Items Other ",NFI,6)-Table10[[#This Row],[Winter Items Other ]],0)</f>
        <v>122</v>
      </c>
      <c r="M80" s="279" t="str">
        <f>IF(OR(Table10[[#This Row],[Winter Clothes Adult ]]&lt;&gt;0,Table10[[#This Row],[Winter Clothes Children ]]&lt;&gt;0,Table10[[#This Row],[Winter Items Other ]]&lt;&gt;0),"No","")</f>
        <v/>
      </c>
      <c r="N80" s="280">
        <f>COUNTIF(A:A,Table10[[#This Row],[Pcode]])-1</f>
        <v>0</v>
      </c>
    </row>
    <row r="81" spans="1:14" x14ac:dyDescent="0.25">
      <c r="A81" s="234" t="s">
        <v>521</v>
      </c>
      <c r="B81" s="18" t="str">
        <f ca="1">OFFSET(CampList[Priority],MATCH(Table10[[#This Row],[Pcode]],CampList[CP_Pcode],0)-1,0,1,1)</f>
        <v>P4</v>
      </c>
      <c r="C81" s="18" t="str">
        <f ca="1">OFFSET(CampList[Camp],MATCH(Table10[[#This Row],[Pcode]],CampList[CP_Pcode],0)-1,0,1,1)</f>
        <v>Khun Sint Village</v>
      </c>
      <c r="D81" s="18" t="str">
        <f ca="1">OFFSET(CampList[Township],MATCH(Table10[[#This Row],[Pcode]],CampList[CP_Pcode],0)-1,0,1,1)</f>
        <v>Momauk</v>
      </c>
      <c r="E81" s="251">
        <f ca="1">OFFSET(CampList[HH],MATCH(Table10[[#This Row],[Pcode]],CampList[CP_Pcode],0)-1,0,1,1)</f>
        <v>4</v>
      </c>
      <c r="F81" s="251">
        <f ca="1">OFFSET(CampList[Total],MATCH(Table10[[#This Row],[Pcode]],CampList[CP_Pcode],0)-1,0,1,1)</f>
        <v>26</v>
      </c>
      <c r="G81" s="251">
        <f>SUMIF('NFI Tracking'!AQ$11:AQ$1048576,Table10[[#This Row],[Pcode]],'NFI Tracking'!AI$11:AI$1048576)</f>
        <v>0</v>
      </c>
      <c r="H81" s="251">
        <f>SUMIF('NFI Tracking'!AQ$11:AQ$1048576,Table10[[#This Row],[Pcode]],'NFI Tracking'!AJ$11:AJ$1048576)</f>
        <v>0</v>
      </c>
      <c r="I81" s="251">
        <f>SUMIF('NFI Tracking'!AQ$11:AQ$1048576,Table10[[#This Row],[Pcode]],'NFI Tracking'!AK$11:AK$1048576)</f>
        <v>0</v>
      </c>
      <c r="J81" s="251">
        <f ca="1">MAX(Table10[[#This Row],[HH]]*VLOOKUP("Winter Clothes Adult",NFI,6)-Table10[[#This Row],[Winter Clothes Adult ]],0)</f>
        <v>8</v>
      </c>
      <c r="K81" s="251">
        <f ca="1">MAX(Table10[[#This Row],[HH]]*VLOOKUP("Winter Clothes Children ",NFI,6)-Table10[[#This Row],[Winter Clothes Children ]],0)</f>
        <v>4</v>
      </c>
      <c r="L81" s="251">
        <f ca="1">MAX(Table10[[#This Row],[HH]]*VLOOKUP("Winter Items Other ",NFI,6)-Table10[[#This Row],[Winter Items Other ]],0)</f>
        <v>4</v>
      </c>
      <c r="M81" s="279" t="str">
        <f>IF(OR(Table10[[#This Row],[Winter Clothes Adult ]]&lt;&gt;0,Table10[[#This Row],[Winter Clothes Children ]]&lt;&gt;0,Table10[[#This Row],[Winter Items Other ]]&lt;&gt;0),"No","")</f>
        <v/>
      </c>
      <c r="N81" s="280">
        <f>COUNTIF(A:A,Table10[[#This Row],[Pcode]])-1</f>
        <v>0</v>
      </c>
    </row>
    <row r="82" spans="1:14" x14ac:dyDescent="0.25">
      <c r="A82" s="234" t="s">
        <v>256</v>
      </c>
      <c r="B82" s="18" t="str">
        <f ca="1">OFFSET(CampList[Priority],MATCH(Table10[[#This Row],[Pcode]],CampList[CP_Pcode],0)-1,0,1,1)</f>
        <v>P4</v>
      </c>
      <c r="C82" s="18" t="str">
        <f ca="1">OFFSET(CampList[Camp],MATCH(Table10[[#This Row],[Pcode]],CampList[CP_Pcode],0)-1,0,1,1)</f>
        <v>Kyun Pin Thar Baptist Church</v>
      </c>
      <c r="D82" s="18" t="str">
        <f ca="1">OFFSET(CampList[Township],MATCH(Table10[[#This Row],[Pcode]],CampList[CP_Pcode],0)-1,0,1,1)</f>
        <v>Myitkyina</v>
      </c>
      <c r="E82" s="251">
        <f ca="1">OFFSET(CampList[HH],MATCH(Table10[[#This Row],[Pcode]],CampList[CP_Pcode],0)-1,0,1,1)</f>
        <v>42</v>
      </c>
      <c r="F82" s="251">
        <f ca="1">OFFSET(CampList[Total],MATCH(Table10[[#This Row],[Pcode]],CampList[CP_Pcode],0)-1,0,1,1)</f>
        <v>186</v>
      </c>
      <c r="G82" s="251">
        <f>SUMIF('NFI Tracking'!AQ$11:AQ$1048576,Table10[[#This Row],[Pcode]],'NFI Tracking'!AI$11:AI$1048576)</f>
        <v>0</v>
      </c>
      <c r="H82" s="251">
        <f>SUMIF('NFI Tracking'!AQ$11:AQ$1048576,Table10[[#This Row],[Pcode]],'NFI Tracking'!AJ$11:AJ$1048576)</f>
        <v>0</v>
      </c>
      <c r="I82" s="251">
        <f>SUMIF('NFI Tracking'!AQ$11:AQ$1048576,Table10[[#This Row],[Pcode]],'NFI Tracking'!AK$11:AK$1048576)</f>
        <v>0</v>
      </c>
      <c r="J82" s="251">
        <f ca="1">MAX(Table10[[#This Row],[HH]]*VLOOKUP("Winter Clothes Adult",NFI,6)-Table10[[#This Row],[Winter Clothes Adult ]],0)</f>
        <v>84</v>
      </c>
      <c r="K82" s="251">
        <f ca="1">MAX(Table10[[#This Row],[HH]]*VLOOKUP("Winter Clothes Children ",NFI,6)-Table10[[#This Row],[Winter Clothes Children ]],0)</f>
        <v>42</v>
      </c>
      <c r="L82" s="251">
        <f ca="1">MAX(Table10[[#This Row],[HH]]*VLOOKUP("Winter Items Other ",NFI,6)-Table10[[#This Row],[Winter Items Other ]],0)</f>
        <v>42</v>
      </c>
      <c r="M82" s="279" t="str">
        <f>IF(OR(Table10[[#This Row],[Winter Clothes Adult ]]&lt;&gt;0,Table10[[#This Row],[Winter Clothes Children ]]&lt;&gt;0,Table10[[#This Row],[Winter Items Other ]]&lt;&gt;0),"No","")</f>
        <v/>
      </c>
      <c r="N82" s="280">
        <f>COUNTIF(A:A,Table10[[#This Row],[Pcode]])-1</f>
        <v>0</v>
      </c>
    </row>
    <row r="83" spans="1:14" x14ac:dyDescent="0.25">
      <c r="A83" s="234" t="s">
        <v>172</v>
      </c>
      <c r="B83" s="18" t="str">
        <f ca="1">OFFSET(CampList[Priority],MATCH(Table10[[#This Row],[Pcode]],CampList[CP_Pcode],0)-1,0,1,1)</f>
        <v>P4</v>
      </c>
      <c r="C83" s="18" t="str">
        <f ca="1">OFFSET(CampList[Camp],MATCH(Table10[[#This Row],[Pcode]],CampList[CP_Pcode],0)-1,0,1,1)</f>
        <v xml:space="preserve">Kyun Taw Baptist Church </v>
      </c>
      <c r="D83" s="18" t="str">
        <f ca="1">OFFSET(CampList[Township],MATCH(Table10[[#This Row],[Pcode]],CampList[CP_Pcode],0)-1,0,1,1)</f>
        <v>Mogaung</v>
      </c>
      <c r="E83" s="251">
        <f ca="1">OFFSET(CampList[HH],MATCH(Table10[[#This Row],[Pcode]],CampList[CP_Pcode],0)-1,0,1,1)</f>
        <v>13</v>
      </c>
      <c r="F83" s="251">
        <f ca="1">OFFSET(CampList[Total],MATCH(Table10[[#This Row],[Pcode]],CampList[CP_Pcode],0)-1,0,1,1)</f>
        <v>66</v>
      </c>
      <c r="G83" s="251">
        <f>SUMIF('NFI Tracking'!AQ$11:AQ$1048576,Table10[[#This Row],[Pcode]],'NFI Tracking'!AI$11:AI$1048576)</f>
        <v>0</v>
      </c>
      <c r="H83" s="251">
        <f>SUMIF('NFI Tracking'!AQ$11:AQ$1048576,Table10[[#This Row],[Pcode]],'NFI Tracking'!AJ$11:AJ$1048576)</f>
        <v>0</v>
      </c>
      <c r="I83" s="251">
        <f>SUMIF('NFI Tracking'!AQ$11:AQ$1048576,Table10[[#This Row],[Pcode]],'NFI Tracking'!AK$11:AK$1048576)</f>
        <v>0</v>
      </c>
      <c r="J83" s="251">
        <f ca="1">MAX(Table10[[#This Row],[HH]]*VLOOKUP("Winter Clothes Adult",NFI,6)-Table10[[#This Row],[Winter Clothes Adult ]],0)</f>
        <v>26</v>
      </c>
      <c r="K83" s="251">
        <f ca="1">MAX(Table10[[#This Row],[HH]]*VLOOKUP("Winter Clothes Children ",NFI,6)-Table10[[#This Row],[Winter Clothes Children ]],0)</f>
        <v>13</v>
      </c>
      <c r="L83" s="251">
        <f ca="1">MAX(Table10[[#This Row],[HH]]*VLOOKUP("Winter Items Other ",NFI,6)-Table10[[#This Row],[Winter Items Other ]],0)</f>
        <v>13</v>
      </c>
      <c r="M83" s="279" t="str">
        <f>IF(OR(Table10[[#This Row],[Winter Clothes Adult ]]&lt;&gt;0,Table10[[#This Row],[Winter Clothes Children ]]&lt;&gt;0,Table10[[#This Row],[Winter Items Other ]]&lt;&gt;0),"No","")</f>
        <v/>
      </c>
      <c r="N83" s="280">
        <f>COUNTIF(A:A,Table10[[#This Row],[Pcode]])-1</f>
        <v>0</v>
      </c>
    </row>
    <row r="84" spans="1:14" x14ac:dyDescent="0.25">
      <c r="A84" s="234" t="s">
        <v>143</v>
      </c>
      <c r="B84" s="18" t="str">
        <f ca="1">OFFSET(CampList[Priority],MATCH(Table10[[#This Row],[Pcode]],CampList[CP_Pcode],0)-1,0,1,1)</f>
        <v>P4</v>
      </c>
      <c r="C84" s="18" t="str">
        <f ca="1">OFFSET(CampList[Camp],MATCH(Table10[[#This Row],[Pcode]],CampList[CP_Pcode],0)-1,0,1,1)</f>
        <v>La Ja</v>
      </c>
      <c r="D84" s="18" t="str">
        <f ca="1">OFFSET(CampList[Township],MATCH(Table10[[#This Row],[Pcode]],CampList[CP_Pcode],0)-1,0,1,1)</f>
        <v>Khaunglanhpu</v>
      </c>
      <c r="E84" s="251">
        <f ca="1">OFFSET(CampList[HH],MATCH(Table10[[#This Row],[Pcode]],CampList[CP_Pcode],0)-1,0,1,1)</f>
        <v>0</v>
      </c>
      <c r="F84" s="251">
        <f ca="1">OFFSET(CampList[Total],MATCH(Table10[[#This Row],[Pcode]],CampList[CP_Pcode],0)-1,0,1,1)</f>
        <v>0</v>
      </c>
      <c r="G84" s="251">
        <f>SUMIF('NFI Tracking'!AQ$11:AQ$1048576,Table10[[#This Row],[Pcode]],'NFI Tracking'!AI$11:AI$1048576)</f>
        <v>0</v>
      </c>
      <c r="H84" s="251">
        <f>SUMIF('NFI Tracking'!AQ$11:AQ$1048576,Table10[[#This Row],[Pcode]],'NFI Tracking'!AJ$11:AJ$1048576)</f>
        <v>0</v>
      </c>
      <c r="I84" s="251">
        <f>SUMIF('NFI Tracking'!AQ$11:AQ$1048576,Table10[[#This Row],[Pcode]],'NFI Tracking'!AK$11:AK$1048576)</f>
        <v>0</v>
      </c>
      <c r="J84" s="251">
        <f ca="1">MAX(Table10[[#This Row],[HH]]*VLOOKUP("Winter Clothes Adult",NFI,6)-Table10[[#This Row],[Winter Clothes Adult ]],0)</f>
        <v>0</v>
      </c>
      <c r="K84" s="251">
        <f ca="1">MAX(Table10[[#This Row],[HH]]*VLOOKUP("Winter Clothes Children ",NFI,6)-Table10[[#This Row],[Winter Clothes Children ]],0)</f>
        <v>0</v>
      </c>
      <c r="L84" s="251">
        <f ca="1">MAX(Table10[[#This Row],[HH]]*VLOOKUP("Winter Items Other ",NFI,6)-Table10[[#This Row],[Winter Items Other ]],0)</f>
        <v>0</v>
      </c>
      <c r="M84" s="279" t="str">
        <f>IF(OR(Table10[[#This Row],[Winter Clothes Adult ]]&lt;&gt;0,Table10[[#This Row],[Winter Clothes Children ]]&lt;&gt;0,Table10[[#This Row],[Winter Items Other ]]&lt;&gt;0),"No","")</f>
        <v/>
      </c>
      <c r="N84" s="280">
        <f>COUNTIF(A:A,Table10[[#This Row],[Pcode]])-1</f>
        <v>0</v>
      </c>
    </row>
    <row r="85" spans="1:14" x14ac:dyDescent="0.25">
      <c r="A85" s="234" t="s">
        <v>516</v>
      </c>
      <c r="B85" s="18" t="str">
        <f ca="1">OFFSET(CampList[Priority],MATCH(Table10[[#This Row],[Pcode]],CampList[CP_Pcode],0)-1,0,1,1)</f>
        <v>P4</v>
      </c>
      <c r="C85" s="18" t="str">
        <f ca="1">OFFSET(CampList[Camp],MATCH(Table10[[#This Row],[Pcode]],CampList[CP_Pcode],0)-1,0,1,1)</f>
        <v xml:space="preserve">Lagatyan </v>
      </c>
      <c r="D85" s="18" t="str">
        <f ca="1">OFFSET(CampList[Township],MATCH(Table10[[#This Row],[Pcode]],CampList[CP_Pcode],0)-1,0,1,1)</f>
        <v>Mansi</v>
      </c>
      <c r="E85" s="251">
        <f ca="1">OFFSET(CampList[HH],MATCH(Table10[[#This Row],[Pcode]],CampList[CP_Pcode],0)-1,0,1,1)</f>
        <v>0</v>
      </c>
      <c r="F85" s="251">
        <f ca="1">OFFSET(CampList[Total],MATCH(Table10[[#This Row],[Pcode]],CampList[CP_Pcode],0)-1,0,1,1)</f>
        <v>0</v>
      </c>
      <c r="G85" s="251">
        <f>SUMIF('NFI Tracking'!AQ$11:AQ$1048576,Table10[[#This Row],[Pcode]],'NFI Tracking'!AI$11:AI$1048576)</f>
        <v>0</v>
      </c>
      <c r="H85" s="251">
        <f>SUMIF('NFI Tracking'!AQ$11:AQ$1048576,Table10[[#This Row],[Pcode]],'NFI Tracking'!AJ$11:AJ$1048576)</f>
        <v>0</v>
      </c>
      <c r="I85" s="251">
        <f>SUMIF('NFI Tracking'!AQ$11:AQ$1048576,Table10[[#This Row],[Pcode]],'NFI Tracking'!AK$11:AK$1048576)</f>
        <v>0</v>
      </c>
      <c r="J85" s="251">
        <f ca="1">MAX(Table10[[#This Row],[HH]]*VLOOKUP("Winter Clothes Adult",NFI,6)-Table10[[#This Row],[Winter Clothes Adult ]],0)</f>
        <v>0</v>
      </c>
      <c r="K85" s="251">
        <f ca="1">MAX(Table10[[#This Row],[HH]]*VLOOKUP("Winter Clothes Children ",NFI,6)-Table10[[#This Row],[Winter Clothes Children ]],0)</f>
        <v>0</v>
      </c>
      <c r="L85" s="251">
        <f ca="1">MAX(Table10[[#This Row],[HH]]*VLOOKUP("Winter Items Other ",NFI,6)-Table10[[#This Row],[Winter Items Other ]],0)</f>
        <v>0</v>
      </c>
      <c r="M85" s="279" t="str">
        <f>IF(OR(Table10[[#This Row],[Winter Clothes Adult ]]&lt;&gt;0,Table10[[#This Row],[Winter Clothes Children ]]&lt;&gt;0,Table10[[#This Row],[Winter Items Other ]]&lt;&gt;0),"No","")</f>
        <v/>
      </c>
      <c r="N85" s="280">
        <f>COUNTIF(A:A,Table10[[#This Row],[Pcode]])-1</f>
        <v>0</v>
      </c>
    </row>
    <row r="86" spans="1:14" x14ac:dyDescent="0.25">
      <c r="A86" s="234" t="s">
        <v>339</v>
      </c>
      <c r="B86" s="18" t="str">
        <f ca="1">OFFSET(CampList[Priority],MATCH(Table10[[#This Row],[Pcode]],CampList[CP_Pcode],0)-1,0,1,1)</f>
        <v>P4</v>
      </c>
      <c r="C86" s="18" t="str">
        <f ca="1">OFFSET(CampList[Camp],MATCH(Table10[[#This Row],[Pcode]],CampList[CP_Pcode],0)-1,0,1,1)</f>
        <v>Laiza Muklum Hpyen  Yen Mungshawa ni</v>
      </c>
      <c r="D86" s="18" t="str">
        <f ca="1">OFFSET(CampList[Township],MATCH(Table10[[#This Row],[Pcode]],CampList[CP_Pcode],0)-1,0,1,1)</f>
        <v>Waingmaw</v>
      </c>
      <c r="E86" s="251">
        <f ca="1">OFFSET(CampList[HH],MATCH(Table10[[#This Row],[Pcode]],CampList[CP_Pcode],0)-1,0,1,1)</f>
        <v>355</v>
      </c>
      <c r="F86" s="251">
        <f ca="1">OFFSET(CampList[Total],MATCH(Table10[[#This Row],[Pcode]],CampList[CP_Pcode],0)-1,0,1,1)</f>
        <v>4450</v>
      </c>
      <c r="G86" s="251">
        <f>SUMIF('NFI Tracking'!AQ$11:AQ$1048576,Table10[[#This Row],[Pcode]],'NFI Tracking'!AI$11:AI$1048576)</f>
        <v>0</v>
      </c>
      <c r="H86" s="251">
        <f>SUMIF('NFI Tracking'!AQ$11:AQ$1048576,Table10[[#This Row],[Pcode]],'NFI Tracking'!AJ$11:AJ$1048576)</f>
        <v>0</v>
      </c>
      <c r="I86" s="251">
        <f>SUMIF('NFI Tracking'!AQ$11:AQ$1048576,Table10[[#This Row],[Pcode]],'NFI Tracking'!AK$11:AK$1048576)</f>
        <v>0</v>
      </c>
      <c r="J86" s="251">
        <f ca="1">MAX(Table10[[#This Row],[HH]]*VLOOKUP("Winter Clothes Adult",NFI,6)-Table10[[#This Row],[Winter Clothes Adult ]],0)</f>
        <v>710</v>
      </c>
      <c r="K86" s="251">
        <f ca="1">MAX(Table10[[#This Row],[HH]]*VLOOKUP("Winter Clothes Children ",NFI,6)-Table10[[#This Row],[Winter Clothes Children ]],0)</f>
        <v>355</v>
      </c>
      <c r="L86" s="251">
        <f ca="1">MAX(Table10[[#This Row],[HH]]*VLOOKUP("Winter Items Other ",NFI,6)-Table10[[#This Row],[Winter Items Other ]],0)</f>
        <v>355</v>
      </c>
      <c r="M86" s="279" t="str">
        <f>IF(OR(Table10[[#This Row],[Winter Clothes Adult ]]&lt;&gt;0,Table10[[#This Row],[Winter Clothes Children ]]&lt;&gt;0,Table10[[#This Row],[Winter Items Other ]]&lt;&gt;0),"No","")</f>
        <v/>
      </c>
      <c r="N86" s="280">
        <f>COUNTIF(A:A,Table10[[#This Row],[Pcode]])-1</f>
        <v>0</v>
      </c>
    </row>
    <row r="87" spans="1:14" x14ac:dyDescent="0.25">
      <c r="A87" s="234" t="s">
        <v>303</v>
      </c>
      <c r="B87" s="18" t="str">
        <f ca="1">OFFSET(CampList[Priority],MATCH(Table10[[#This Row],[Pcode]],CampList[CP_Pcode],0)-1,0,1,1)</f>
        <v>P4</v>
      </c>
      <c r="C87" s="18" t="str">
        <f ca="1">OFFSET(CampList[Camp],MATCH(Table10[[#This Row],[Pcode]],CampList[CP_Pcode],0)-1,0,1,1)</f>
        <v>Lawk Awng Mare D. (Sinbo Area)</v>
      </c>
      <c r="D87" s="18" t="str">
        <f ca="1">OFFSET(CampList[Township],MATCH(Table10[[#This Row],[Pcode]],CampList[CP_Pcode],0)-1,0,1,1)</f>
        <v>Shwegu</v>
      </c>
      <c r="E87" s="251">
        <f ca="1">OFFSET(CampList[HH],MATCH(Table10[[#This Row],[Pcode]],CampList[CP_Pcode],0)-1,0,1,1)</f>
        <v>375</v>
      </c>
      <c r="F87" s="251">
        <f ca="1">OFFSET(CampList[Total],MATCH(Table10[[#This Row],[Pcode]],CampList[CP_Pcode],0)-1,0,1,1)</f>
        <v>1691</v>
      </c>
      <c r="G87" s="251">
        <f>SUMIF('NFI Tracking'!AQ$11:AQ$1048576,Table10[[#This Row],[Pcode]],'NFI Tracking'!AI$11:AI$1048576)</f>
        <v>0</v>
      </c>
      <c r="H87" s="251">
        <f>SUMIF('NFI Tracking'!AQ$11:AQ$1048576,Table10[[#This Row],[Pcode]],'NFI Tracking'!AJ$11:AJ$1048576)</f>
        <v>0</v>
      </c>
      <c r="I87" s="251">
        <f>SUMIF('NFI Tracking'!AQ$11:AQ$1048576,Table10[[#This Row],[Pcode]],'NFI Tracking'!AK$11:AK$1048576)</f>
        <v>0</v>
      </c>
      <c r="J87" s="251">
        <f ca="1">MAX(Table10[[#This Row],[HH]]*VLOOKUP("Winter Clothes Adult",NFI,6)-Table10[[#This Row],[Winter Clothes Adult ]],0)</f>
        <v>750</v>
      </c>
      <c r="K87" s="251">
        <f ca="1">MAX(Table10[[#This Row],[HH]]*VLOOKUP("Winter Clothes Children ",NFI,6)-Table10[[#This Row],[Winter Clothes Children ]],0)</f>
        <v>375</v>
      </c>
      <c r="L87" s="251">
        <f ca="1">MAX(Table10[[#This Row],[HH]]*VLOOKUP("Winter Items Other ",NFI,6)-Table10[[#This Row],[Winter Items Other ]],0)</f>
        <v>375</v>
      </c>
      <c r="M87" s="279" t="str">
        <f>IF(OR(Table10[[#This Row],[Winter Clothes Adult ]]&lt;&gt;0,Table10[[#This Row],[Winter Clothes Children ]]&lt;&gt;0,Table10[[#This Row],[Winter Items Other ]]&lt;&gt;0),"No","")</f>
        <v/>
      </c>
      <c r="N87" s="280">
        <f>COUNTIF(A:A,Table10[[#This Row],[Pcode]])-1</f>
        <v>0</v>
      </c>
    </row>
    <row r="88" spans="1:14" x14ac:dyDescent="0.25">
      <c r="A88" s="234" t="s">
        <v>239</v>
      </c>
      <c r="B88" s="18" t="str">
        <f ca="1">OFFSET(CampList[Priority],MATCH(Table10[[#This Row],[Pcode]],CampList[CP_Pcode],0)-1,0,1,1)</f>
        <v>P4</v>
      </c>
      <c r="C88" s="18" t="str">
        <f ca="1">OFFSET(CampList[Camp],MATCH(Table10[[#This Row],[Pcode]],CampList[CP_Pcode],0)-1,0,1,1)</f>
        <v>Le Kone Bethlehem Church</v>
      </c>
      <c r="D88" s="18" t="str">
        <f ca="1">OFFSET(CampList[Township],MATCH(Table10[[#This Row],[Pcode]],CampList[CP_Pcode],0)-1,0,1,1)</f>
        <v>Myitkyina</v>
      </c>
      <c r="E88" s="251">
        <f ca="1">OFFSET(CampList[HH],MATCH(Table10[[#This Row],[Pcode]],CampList[CP_Pcode],0)-1,0,1,1)</f>
        <v>105</v>
      </c>
      <c r="F88" s="251">
        <f ca="1">OFFSET(CampList[Total],MATCH(Table10[[#This Row],[Pcode]],CampList[CP_Pcode],0)-1,0,1,1)</f>
        <v>580</v>
      </c>
      <c r="G88" s="251">
        <f>SUMIF('NFI Tracking'!AQ$11:AQ$1048576,Table10[[#This Row],[Pcode]],'NFI Tracking'!AI$11:AI$1048576)</f>
        <v>0</v>
      </c>
      <c r="H88" s="251">
        <f>SUMIF('NFI Tracking'!AQ$11:AQ$1048576,Table10[[#This Row],[Pcode]],'NFI Tracking'!AJ$11:AJ$1048576)</f>
        <v>0</v>
      </c>
      <c r="I88" s="251">
        <f>SUMIF('NFI Tracking'!AQ$11:AQ$1048576,Table10[[#This Row],[Pcode]],'NFI Tracking'!AK$11:AK$1048576)</f>
        <v>0</v>
      </c>
      <c r="J88" s="251">
        <f ca="1">MAX(Table10[[#This Row],[HH]]*VLOOKUP("Winter Clothes Adult",NFI,6)-Table10[[#This Row],[Winter Clothes Adult ]],0)</f>
        <v>210</v>
      </c>
      <c r="K88" s="251">
        <f ca="1">MAX(Table10[[#This Row],[HH]]*VLOOKUP("Winter Clothes Children ",NFI,6)-Table10[[#This Row],[Winter Clothes Children ]],0)</f>
        <v>105</v>
      </c>
      <c r="L88" s="251">
        <f ca="1">MAX(Table10[[#This Row],[HH]]*VLOOKUP("Winter Items Other ",NFI,6)-Table10[[#This Row],[Winter Items Other ]],0)</f>
        <v>105</v>
      </c>
      <c r="M88" s="279" t="str">
        <f>IF(OR(Table10[[#This Row],[Winter Clothes Adult ]]&lt;&gt;0,Table10[[#This Row],[Winter Clothes Children ]]&lt;&gt;0,Table10[[#This Row],[Winter Items Other ]]&lt;&gt;0),"No","")</f>
        <v/>
      </c>
      <c r="N88" s="280">
        <f>COUNTIF(A:A,Table10[[#This Row],[Pcode]])-1</f>
        <v>0</v>
      </c>
    </row>
    <row r="89" spans="1:14" x14ac:dyDescent="0.25">
      <c r="A89" s="234" t="s">
        <v>284</v>
      </c>
      <c r="B89" s="18" t="str">
        <f ca="1">OFFSET(CampList[Priority],MATCH(Table10[[#This Row],[Pcode]],CampList[CP_Pcode],0)-1,0,1,1)</f>
        <v>P4</v>
      </c>
      <c r="C89" s="18" t="str">
        <f ca="1">OFFSET(CampList[Camp],MATCH(Table10[[#This Row],[Pcode]],CampList[CP_Pcode],0)-1,0,1,1)</f>
        <v xml:space="preserve">Le Kone Ziun Baptist Church </v>
      </c>
      <c r="D89" s="18" t="str">
        <f ca="1">OFFSET(CampList[Township],MATCH(Table10[[#This Row],[Pcode]],CampList[CP_Pcode],0)-1,0,1,1)</f>
        <v>Myitkyina</v>
      </c>
      <c r="E89" s="251">
        <f ca="1">OFFSET(CampList[HH],MATCH(Table10[[#This Row],[Pcode]],CampList[CP_Pcode],0)-1,0,1,1)</f>
        <v>139</v>
      </c>
      <c r="F89" s="251">
        <f ca="1">OFFSET(CampList[Total],MATCH(Table10[[#This Row],[Pcode]],CampList[CP_Pcode],0)-1,0,1,1)</f>
        <v>705</v>
      </c>
      <c r="G89" s="251">
        <f>SUMIF('NFI Tracking'!AQ$11:AQ$1048576,Table10[[#This Row],[Pcode]],'NFI Tracking'!AI$11:AI$1048576)</f>
        <v>0</v>
      </c>
      <c r="H89" s="251">
        <f>SUMIF('NFI Tracking'!AQ$11:AQ$1048576,Table10[[#This Row],[Pcode]],'NFI Tracking'!AJ$11:AJ$1048576)</f>
        <v>0</v>
      </c>
      <c r="I89" s="251">
        <f>SUMIF('NFI Tracking'!AQ$11:AQ$1048576,Table10[[#This Row],[Pcode]],'NFI Tracking'!AK$11:AK$1048576)</f>
        <v>0</v>
      </c>
      <c r="J89" s="251">
        <f ca="1">MAX(Table10[[#This Row],[HH]]*VLOOKUP("Winter Clothes Adult",NFI,6)-Table10[[#This Row],[Winter Clothes Adult ]],0)</f>
        <v>278</v>
      </c>
      <c r="K89" s="251">
        <f ca="1">MAX(Table10[[#This Row],[HH]]*VLOOKUP("Winter Clothes Children ",NFI,6)-Table10[[#This Row],[Winter Clothes Children ]],0)</f>
        <v>139</v>
      </c>
      <c r="L89" s="251">
        <f ca="1">MAX(Table10[[#This Row],[HH]]*VLOOKUP("Winter Items Other ",NFI,6)-Table10[[#This Row],[Winter Items Other ]],0)</f>
        <v>139</v>
      </c>
      <c r="M89" s="279" t="str">
        <f>IF(OR(Table10[[#This Row],[Winter Clothes Adult ]]&lt;&gt;0,Table10[[#This Row],[Winter Clothes Children ]]&lt;&gt;0,Table10[[#This Row],[Winter Items Other ]]&lt;&gt;0),"No","")</f>
        <v/>
      </c>
      <c r="N89" s="280">
        <f>COUNTIF(A:A,Table10[[#This Row],[Pcode]])-1</f>
        <v>0</v>
      </c>
    </row>
    <row r="90" spans="1:14" x14ac:dyDescent="0.25">
      <c r="A90" s="234" t="s">
        <v>89</v>
      </c>
      <c r="B90" s="18" t="str">
        <f ca="1">OFFSET(CampList[Priority],MATCH(Table10[[#This Row],[Pcode]],CampList[CP_Pcode],0)-1,0,1,1)</f>
        <v>P4</v>
      </c>
      <c r="C90" s="18" t="str">
        <f ca="1">OFFSET(CampList[Camp],MATCH(Table10[[#This Row],[Pcode]],CampList[CP_Pcode],0)-1,0,1,1)</f>
        <v>Lisu Baptist Church, Maw Shan Vil,. Seik Mu</v>
      </c>
      <c r="D90" s="18" t="str">
        <f ca="1">OFFSET(CampList[Township],MATCH(Table10[[#This Row],[Pcode]],CampList[CP_Pcode],0)-1,0,1,1)</f>
        <v>Hpakant</v>
      </c>
      <c r="E90" s="251">
        <f ca="1">OFFSET(CampList[HH],MATCH(Table10[[#This Row],[Pcode]],CampList[CP_Pcode],0)-1,0,1,1)</f>
        <v>20</v>
      </c>
      <c r="F90" s="251">
        <f ca="1">OFFSET(CampList[Total],MATCH(Table10[[#This Row],[Pcode]],CampList[CP_Pcode],0)-1,0,1,1)</f>
        <v>109</v>
      </c>
      <c r="G90" s="251">
        <f>SUMIF('NFI Tracking'!AQ$11:AQ$1048576,Table10[[#This Row],[Pcode]],'NFI Tracking'!AI$11:AI$1048576)</f>
        <v>0</v>
      </c>
      <c r="H90" s="251">
        <f>SUMIF('NFI Tracking'!AQ$11:AQ$1048576,Table10[[#This Row],[Pcode]],'NFI Tracking'!AJ$11:AJ$1048576)</f>
        <v>0</v>
      </c>
      <c r="I90" s="251">
        <f>SUMIF('NFI Tracking'!AQ$11:AQ$1048576,Table10[[#This Row],[Pcode]],'NFI Tracking'!AK$11:AK$1048576)</f>
        <v>0</v>
      </c>
      <c r="J90" s="251">
        <f ca="1">MAX(Table10[[#This Row],[HH]]*VLOOKUP("Winter Clothes Adult",NFI,6)-Table10[[#This Row],[Winter Clothes Adult ]],0)</f>
        <v>40</v>
      </c>
      <c r="K90" s="251">
        <f ca="1">MAX(Table10[[#This Row],[HH]]*VLOOKUP("Winter Clothes Children ",NFI,6)-Table10[[#This Row],[Winter Clothes Children ]],0)</f>
        <v>20</v>
      </c>
      <c r="L90" s="251">
        <f ca="1">MAX(Table10[[#This Row],[HH]]*VLOOKUP("Winter Items Other ",NFI,6)-Table10[[#This Row],[Winter Items Other ]],0)</f>
        <v>20</v>
      </c>
      <c r="M90" s="279" t="str">
        <f>IF(OR(Table10[[#This Row],[Winter Clothes Adult ]]&lt;&gt;0,Table10[[#This Row],[Winter Clothes Children ]]&lt;&gt;0,Table10[[#This Row],[Winter Items Other ]]&lt;&gt;0),"No","")</f>
        <v/>
      </c>
      <c r="N90" s="280">
        <f>COUNTIF(A:A,Table10[[#This Row],[Pcode]])-1</f>
        <v>0</v>
      </c>
    </row>
    <row r="91" spans="1:14" x14ac:dyDescent="0.25">
      <c r="A91" s="234" t="s">
        <v>91</v>
      </c>
      <c r="B91" s="18" t="str">
        <f ca="1">OFFSET(CampList[Priority],MATCH(Table10[[#This Row],[Pcode]],CampList[CP_Pcode],0)-1,0,1,1)</f>
        <v>P4</v>
      </c>
      <c r="C91" s="18" t="str">
        <f ca="1">OFFSET(CampList[Camp],MATCH(Table10[[#This Row],[Pcode]],CampList[CP_Pcode],0)-1,0,1,1)</f>
        <v>Lisu Baptist Church, Maw Wan Ward</v>
      </c>
      <c r="D91" s="18" t="str">
        <f ca="1">OFFSET(CampList[Township],MATCH(Table10[[#This Row],[Pcode]],CampList[CP_Pcode],0)-1,0,1,1)</f>
        <v>Hpakant</v>
      </c>
      <c r="E91" s="251">
        <f ca="1">OFFSET(CampList[HH],MATCH(Table10[[#This Row],[Pcode]],CampList[CP_Pcode],0)-1,0,1,1)</f>
        <v>12</v>
      </c>
      <c r="F91" s="251">
        <f ca="1">OFFSET(CampList[Total],MATCH(Table10[[#This Row],[Pcode]],CampList[CP_Pcode],0)-1,0,1,1)</f>
        <v>62</v>
      </c>
      <c r="G91" s="251">
        <f>SUMIF('NFI Tracking'!AQ$11:AQ$1048576,Table10[[#This Row],[Pcode]],'NFI Tracking'!AI$11:AI$1048576)</f>
        <v>0</v>
      </c>
      <c r="H91" s="251">
        <f>SUMIF('NFI Tracking'!AQ$11:AQ$1048576,Table10[[#This Row],[Pcode]],'NFI Tracking'!AJ$11:AJ$1048576)</f>
        <v>0</v>
      </c>
      <c r="I91" s="251">
        <f>SUMIF('NFI Tracking'!AQ$11:AQ$1048576,Table10[[#This Row],[Pcode]],'NFI Tracking'!AK$11:AK$1048576)</f>
        <v>0</v>
      </c>
      <c r="J91" s="251">
        <f ca="1">MAX(Table10[[#This Row],[HH]]*VLOOKUP("Winter Clothes Adult",NFI,6)-Table10[[#This Row],[Winter Clothes Adult ]],0)</f>
        <v>24</v>
      </c>
      <c r="K91" s="251">
        <f ca="1">MAX(Table10[[#This Row],[HH]]*VLOOKUP("Winter Clothes Children ",NFI,6)-Table10[[#This Row],[Winter Clothes Children ]],0)</f>
        <v>12</v>
      </c>
      <c r="L91" s="251">
        <f ca="1">MAX(Table10[[#This Row],[HH]]*VLOOKUP("Winter Items Other ",NFI,6)-Table10[[#This Row],[Winter Items Other ]],0)</f>
        <v>12</v>
      </c>
      <c r="M91" s="279" t="str">
        <f>IF(OR(Table10[[#This Row],[Winter Clothes Adult ]]&lt;&gt;0,Table10[[#This Row],[Winter Clothes Children ]]&lt;&gt;0,Table10[[#This Row],[Winter Items Other ]]&lt;&gt;0),"No","")</f>
        <v/>
      </c>
      <c r="N91" s="280">
        <f>COUNTIF(A:A,Table10[[#This Row],[Pcode]])-1</f>
        <v>0</v>
      </c>
    </row>
    <row r="92" spans="1:14" x14ac:dyDescent="0.25">
      <c r="A92" s="234" t="s">
        <v>17</v>
      </c>
      <c r="B92" s="18" t="str">
        <f ca="1">OFFSET(CampList[Priority],MATCH(Table10[[#This Row],[Pcode]],CampList[CP_Pcode],0)-1,0,1,1)</f>
        <v>P4</v>
      </c>
      <c r="C92" s="18" t="str">
        <f ca="1">OFFSET(CampList[Camp],MATCH(Table10[[#This Row],[Pcode]],CampList[CP_Pcode],0)-1,0,1,1)</f>
        <v>Lisu Boarding-House</v>
      </c>
      <c r="D92" s="18" t="str">
        <f ca="1">OFFSET(CampList[Township],MATCH(Table10[[#This Row],[Pcode]],CampList[CP_Pcode],0)-1,0,1,1)</f>
        <v>Bhamo</v>
      </c>
      <c r="E92" s="251">
        <f ca="1">OFFSET(CampList[HH],MATCH(Table10[[#This Row],[Pcode]],CampList[CP_Pcode],0)-1,0,1,1)</f>
        <v>130</v>
      </c>
      <c r="F92" s="251">
        <f ca="1">OFFSET(CampList[Total],MATCH(Table10[[#This Row],[Pcode]],CampList[CP_Pcode],0)-1,0,1,1)</f>
        <v>747</v>
      </c>
      <c r="G92" s="251">
        <f>SUMIF('NFI Tracking'!AQ$11:AQ$1048576,Table10[[#This Row],[Pcode]],'NFI Tracking'!AI$11:AI$1048576)</f>
        <v>0</v>
      </c>
      <c r="H92" s="251">
        <f>SUMIF('NFI Tracking'!AQ$11:AQ$1048576,Table10[[#This Row],[Pcode]],'NFI Tracking'!AJ$11:AJ$1048576)</f>
        <v>0</v>
      </c>
      <c r="I92" s="251">
        <f>SUMIF('NFI Tracking'!AQ$11:AQ$1048576,Table10[[#This Row],[Pcode]],'NFI Tracking'!AK$11:AK$1048576)</f>
        <v>0</v>
      </c>
      <c r="J92" s="251">
        <f ca="1">MAX(Table10[[#This Row],[HH]]*VLOOKUP("Winter Clothes Adult",NFI,6)-Table10[[#This Row],[Winter Clothes Adult ]],0)</f>
        <v>260</v>
      </c>
      <c r="K92" s="251">
        <f ca="1">MAX(Table10[[#This Row],[HH]]*VLOOKUP("Winter Clothes Children ",NFI,6)-Table10[[#This Row],[Winter Clothes Children ]],0)</f>
        <v>130</v>
      </c>
      <c r="L92" s="251">
        <f ca="1">MAX(Table10[[#This Row],[HH]]*VLOOKUP("Winter Items Other ",NFI,6)-Table10[[#This Row],[Winter Items Other ]],0)</f>
        <v>130</v>
      </c>
      <c r="M92" s="279" t="str">
        <f>IF(OR(Table10[[#This Row],[Winter Clothes Adult ]]&lt;&gt;0,Table10[[#This Row],[Winter Clothes Children ]]&lt;&gt;0,Table10[[#This Row],[Winter Items Other ]]&lt;&gt;0),"No","")</f>
        <v/>
      </c>
      <c r="N92" s="280">
        <f>COUNTIF(A:A,Table10[[#This Row],[Pcode]])-1</f>
        <v>0</v>
      </c>
    </row>
    <row r="93" spans="1:14" x14ac:dyDescent="0.25">
      <c r="A93" s="234" t="s">
        <v>319</v>
      </c>
      <c r="B93" s="18" t="str">
        <f ca="1">OFFSET(CampList[Priority],MATCH(Table10[[#This Row],[Pcode]],CampList[CP_Pcode],0)-1,0,1,1)</f>
        <v>P4</v>
      </c>
      <c r="C93" s="18" t="str">
        <f ca="1">OFFSET(CampList[Camp],MATCH(Table10[[#This Row],[Pcode]],CampList[CP_Pcode],0)-1,0,1,1)</f>
        <v>Mading Baptist Church</v>
      </c>
      <c r="D93" s="18" t="str">
        <f ca="1">OFFSET(CampList[Township],MATCH(Table10[[#This Row],[Pcode]],CampList[CP_Pcode],0)-1,0,1,1)</f>
        <v>Waingmaw</v>
      </c>
      <c r="E93" s="251">
        <f ca="1">OFFSET(CampList[HH],MATCH(Table10[[#This Row],[Pcode]],CampList[CP_Pcode],0)-1,0,1,1)</f>
        <v>30</v>
      </c>
      <c r="F93" s="251">
        <f ca="1">OFFSET(CampList[Total],MATCH(Table10[[#This Row],[Pcode]],CampList[CP_Pcode],0)-1,0,1,1)</f>
        <v>261</v>
      </c>
      <c r="G93" s="251">
        <f>SUMIF('NFI Tracking'!AQ$11:AQ$1048576,Table10[[#This Row],[Pcode]],'NFI Tracking'!AI$11:AI$1048576)</f>
        <v>0</v>
      </c>
      <c r="H93" s="251">
        <f>SUMIF('NFI Tracking'!AQ$11:AQ$1048576,Table10[[#This Row],[Pcode]],'NFI Tracking'!AJ$11:AJ$1048576)</f>
        <v>0</v>
      </c>
      <c r="I93" s="251">
        <f>SUMIF('NFI Tracking'!AQ$11:AQ$1048576,Table10[[#This Row],[Pcode]],'NFI Tracking'!AK$11:AK$1048576)</f>
        <v>0</v>
      </c>
      <c r="J93" s="251">
        <f ca="1">MAX(Table10[[#This Row],[HH]]*VLOOKUP("Winter Clothes Adult",NFI,6)-Table10[[#This Row],[Winter Clothes Adult ]],0)</f>
        <v>60</v>
      </c>
      <c r="K93" s="251">
        <f ca="1">MAX(Table10[[#This Row],[HH]]*VLOOKUP("Winter Clothes Children ",NFI,6)-Table10[[#This Row],[Winter Clothes Children ]],0)</f>
        <v>30</v>
      </c>
      <c r="L93" s="251">
        <f ca="1">MAX(Table10[[#This Row],[HH]]*VLOOKUP("Winter Items Other ",NFI,6)-Table10[[#This Row],[Winter Items Other ]],0)</f>
        <v>30</v>
      </c>
      <c r="M93" s="279" t="str">
        <f>IF(OR(Table10[[#This Row],[Winter Clothes Adult ]]&lt;&gt;0,Table10[[#This Row],[Winter Clothes Children ]]&lt;&gt;0,Table10[[#This Row],[Winter Items Other ]]&lt;&gt;0),"No","")</f>
        <v/>
      </c>
      <c r="N93" s="280">
        <f>COUNTIF(A:A,Table10[[#This Row],[Pcode]])-1</f>
        <v>0</v>
      </c>
    </row>
    <row r="94" spans="1:14" x14ac:dyDescent="0.25">
      <c r="A94" s="234" t="s">
        <v>199</v>
      </c>
      <c r="B94" s="18" t="str">
        <f ca="1">OFFSET(CampList[Priority],MATCH(Table10[[#This Row],[Pcode]],CampList[CP_Pcode],0)-1,0,1,1)</f>
        <v>P4</v>
      </c>
      <c r="C94" s="18" t="str">
        <f ca="1">OFFSET(CampList[Camp],MATCH(Table10[[#This Row],[Pcode]],CampList[CP_Pcode],0)-1,0,1,1)</f>
        <v xml:space="preserve">Mai Khat </v>
      </c>
      <c r="D94" s="18" t="str">
        <f ca="1">OFFSET(CampList[Township],MATCH(Table10[[#This Row],[Pcode]],CampList[CP_Pcode],0)-1,0,1,1)</f>
        <v>Momauk</v>
      </c>
      <c r="E94" s="251">
        <f ca="1">OFFSET(CampList[HH],MATCH(Table10[[#This Row],[Pcode]],CampList[CP_Pcode],0)-1,0,1,1)</f>
        <v>0</v>
      </c>
      <c r="F94" s="251">
        <f ca="1">OFFSET(CampList[Total],MATCH(Table10[[#This Row],[Pcode]],CampList[CP_Pcode],0)-1,0,1,1)</f>
        <v>0</v>
      </c>
      <c r="G94" s="251">
        <f>SUMIF('NFI Tracking'!AQ$11:AQ$1048576,Table10[[#This Row],[Pcode]],'NFI Tracking'!AI$11:AI$1048576)</f>
        <v>0</v>
      </c>
      <c r="H94" s="251">
        <f>SUMIF('NFI Tracking'!AQ$11:AQ$1048576,Table10[[#This Row],[Pcode]],'NFI Tracking'!AJ$11:AJ$1048576)</f>
        <v>0</v>
      </c>
      <c r="I94" s="251">
        <f>SUMIF('NFI Tracking'!AQ$11:AQ$1048576,Table10[[#This Row],[Pcode]],'NFI Tracking'!AK$11:AK$1048576)</f>
        <v>0</v>
      </c>
      <c r="J94" s="251">
        <f ca="1">MAX(Table10[[#This Row],[HH]]*VLOOKUP("Winter Clothes Adult",NFI,6)-Table10[[#This Row],[Winter Clothes Adult ]],0)</f>
        <v>0</v>
      </c>
      <c r="K94" s="251">
        <f ca="1">MAX(Table10[[#This Row],[HH]]*VLOOKUP("Winter Clothes Children ",NFI,6)-Table10[[#This Row],[Winter Clothes Children ]],0)</f>
        <v>0</v>
      </c>
      <c r="L94" s="251">
        <f ca="1">MAX(Table10[[#This Row],[HH]]*VLOOKUP("Winter Items Other ",NFI,6)-Table10[[#This Row],[Winter Items Other ]],0)</f>
        <v>0</v>
      </c>
      <c r="M94" s="279" t="str">
        <f>IF(OR(Table10[[#This Row],[Winter Clothes Adult ]]&lt;&gt;0,Table10[[#This Row],[Winter Clothes Children ]]&lt;&gt;0,Table10[[#This Row],[Winter Items Other ]]&lt;&gt;0),"No","")</f>
        <v/>
      </c>
      <c r="N94" s="280">
        <f>COUNTIF(A:A,Table10[[#This Row],[Pcode]])-1</f>
        <v>0</v>
      </c>
    </row>
    <row r="95" spans="1:14" x14ac:dyDescent="0.25">
      <c r="A95" s="234" t="s">
        <v>327</v>
      </c>
      <c r="B95" s="18" t="str">
        <f ca="1">OFFSET(CampList[Priority],MATCH(Table10[[#This Row],[Pcode]],CampList[CP_Pcode],0)-1,0,1,1)</f>
        <v>P4</v>
      </c>
      <c r="C95" s="18" t="str">
        <f ca="1">OFFSET(CampList[Camp],MATCH(Table10[[#This Row],[Pcode]],CampList[CP_Pcode],0)-1,0,1,1)</f>
        <v>Maina AG Church</v>
      </c>
      <c r="D95" s="18" t="str">
        <f ca="1">OFFSET(CampList[Township],MATCH(Table10[[#This Row],[Pcode]],CampList[CP_Pcode],0)-1,0,1,1)</f>
        <v>Waingmaw</v>
      </c>
      <c r="E95" s="251">
        <f ca="1">OFFSET(CampList[HH],MATCH(Table10[[#This Row],[Pcode]],CampList[CP_Pcode],0)-1,0,1,1)</f>
        <v>289</v>
      </c>
      <c r="F95" s="251">
        <f ca="1">OFFSET(CampList[Total],MATCH(Table10[[#This Row],[Pcode]],CampList[CP_Pcode],0)-1,0,1,1)</f>
        <v>1584</v>
      </c>
      <c r="G95" s="251">
        <f>SUMIF('NFI Tracking'!AQ$11:AQ$1048576,Table10[[#This Row],[Pcode]],'NFI Tracking'!AI$11:AI$1048576)</f>
        <v>0</v>
      </c>
      <c r="H95" s="251">
        <f>SUMIF('NFI Tracking'!AQ$11:AQ$1048576,Table10[[#This Row],[Pcode]],'NFI Tracking'!AJ$11:AJ$1048576)</f>
        <v>0</v>
      </c>
      <c r="I95" s="251">
        <f>SUMIF('NFI Tracking'!AQ$11:AQ$1048576,Table10[[#This Row],[Pcode]],'NFI Tracking'!AK$11:AK$1048576)</f>
        <v>0</v>
      </c>
      <c r="J95" s="251">
        <f ca="1">MAX(Table10[[#This Row],[HH]]*VLOOKUP("Winter Clothes Adult",NFI,6)-Table10[[#This Row],[Winter Clothes Adult ]],0)</f>
        <v>578</v>
      </c>
      <c r="K95" s="251">
        <f ca="1">MAX(Table10[[#This Row],[HH]]*VLOOKUP("Winter Clothes Children ",NFI,6)-Table10[[#This Row],[Winter Clothes Children ]],0)</f>
        <v>289</v>
      </c>
      <c r="L95" s="251">
        <f ca="1">MAX(Table10[[#This Row],[HH]]*VLOOKUP("Winter Items Other ",NFI,6)-Table10[[#This Row],[Winter Items Other ]],0)</f>
        <v>289</v>
      </c>
      <c r="M95" s="279" t="str">
        <f>IF(OR(Table10[[#This Row],[Winter Clothes Adult ]]&lt;&gt;0,Table10[[#This Row],[Winter Clothes Children ]]&lt;&gt;0,Table10[[#This Row],[Winter Items Other ]]&lt;&gt;0),"No","")</f>
        <v/>
      </c>
      <c r="N95" s="280">
        <f>COUNTIF(A:A,Table10[[#This Row],[Pcode]])-1</f>
        <v>0</v>
      </c>
    </row>
    <row r="96" spans="1:14" x14ac:dyDescent="0.25">
      <c r="A96" s="234" t="s">
        <v>329</v>
      </c>
      <c r="B96" s="18" t="str">
        <f ca="1">OFFSET(CampList[Priority],MATCH(Table10[[#This Row],[Pcode]],CampList[CP_Pcode],0)-1,0,1,1)</f>
        <v>P4</v>
      </c>
      <c r="C96" s="18" t="str">
        <f ca="1">OFFSET(CampList[Camp],MATCH(Table10[[#This Row],[Pcode]],CampList[CP_Pcode],0)-1,0,1,1)</f>
        <v>Maina Catholic Church (St. Joseph)</v>
      </c>
      <c r="D96" s="18" t="str">
        <f ca="1">OFFSET(CampList[Township],MATCH(Table10[[#This Row],[Pcode]],CampList[CP_Pcode],0)-1,0,1,1)</f>
        <v>Waingmaw</v>
      </c>
      <c r="E96" s="251">
        <f ca="1">OFFSET(CampList[HH],MATCH(Table10[[#This Row],[Pcode]],CampList[CP_Pcode],0)-1,0,1,1)</f>
        <v>282</v>
      </c>
      <c r="F96" s="251">
        <f ca="1">OFFSET(CampList[Total],MATCH(Table10[[#This Row],[Pcode]],CampList[CP_Pcode],0)-1,0,1,1)</f>
        <v>1466</v>
      </c>
      <c r="G96" s="251">
        <f>SUMIF('NFI Tracking'!AQ$11:AQ$1048576,Table10[[#This Row],[Pcode]],'NFI Tracking'!AI$11:AI$1048576)</f>
        <v>0</v>
      </c>
      <c r="H96" s="251">
        <f>SUMIF('NFI Tracking'!AQ$11:AQ$1048576,Table10[[#This Row],[Pcode]],'NFI Tracking'!AJ$11:AJ$1048576)</f>
        <v>0</v>
      </c>
      <c r="I96" s="251">
        <f>SUMIF('NFI Tracking'!AQ$11:AQ$1048576,Table10[[#This Row],[Pcode]],'NFI Tracking'!AK$11:AK$1048576)</f>
        <v>0</v>
      </c>
      <c r="J96" s="251">
        <f ca="1">MAX(Table10[[#This Row],[HH]]*VLOOKUP("Winter Clothes Adult",NFI,6)-Table10[[#This Row],[Winter Clothes Adult ]],0)</f>
        <v>564</v>
      </c>
      <c r="K96" s="251">
        <f ca="1">MAX(Table10[[#This Row],[HH]]*VLOOKUP("Winter Clothes Children ",NFI,6)-Table10[[#This Row],[Winter Clothes Children ]],0)</f>
        <v>282</v>
      </c>
      <c r="L96" s="251">
        <f ca="1">MAX(Table10[[#This Row],[HH]]*VLOOKUP("Winter Items Other ",NFI,6)-Table10[[#This Row],[Winter Items Other ]],0)</f>
        <v>282</v>
      </c>
      <c r="M96" s="279" t="str">
        <f>IF(OR(Table10[[#This Row],[Winter Clothes Adult ]]&lt;&gt;0,Table10[[#This Row],[Winter Clothes Children ]]&lt;&gt;0,Table10[[#This Row],[Winter Items Other ]]&lt;&gt;0),"No","")</f>
        <v/>
      </c>
      <c r="N96" s="280">
        <f>COUNTIF(A:A,Table10[[#This Row],[Pcode]])-1</f>
        <v>0</v>
      </c>
    </row>
    <row r="97" spans="1:14" x14ac:dyDescent="0.25">
      <c r="A97" s="234" t="s">
        <v>323</v>
      </c>
      <c r="B97" s="18" t="str">
        <f ca="1">OFFSET(CampList[Priority],MATCH(Table10[[#This Row],[Pcode]],CampList[CP_Pcode],0)-1,0,1,1)</f>
        <v>P4</v>
      </c>
      <c r="C97" s="18" t="str">
        <f ca="1">OFFSET(CampList[Camp],MATCH(Table10[[#This Row],[Pcode]],CampList[CP_Pcode],0)-1,0,1,1)</f>
        <v>Maina KBC (Bawng Ring)</v>
      </c>
      <c r="D97" s="18" t="str">
        <f ca="1">OFFSET(CampList[Township],MATCH(Table10[[#This Row],[Pcode]],CampList[CP_Pcode],0)-1,0,1,1)</f>
        <v>Waingmaw</v>
      </c>
      <c r="E97" s="251">
        <f ca="1">OFFSET(CampList[HH],MATCH(Table10[[#This Row],[Pcode]],CampList[CP_Pcode],0)-1,0,1,1)</f>
        <v>498</v>
      </c>
      <c r="F97" s="251">
        <f ca="1">OFFSET(CampList[Total],MATCH(Table10[[#This Row],[Pcode]],CampList[CP_Pcode],0)-1,0,1,1)</f>
        <v>2531</v>
      </c>
      <c r="G97" s="251">
        <f>SUMIF('NFI Tracking'!AQ$11:AQ$1048576,Table10[[#This Row],[Pcode]],'NFI Tracking'!AI$11:AI$1048576)</f>
        <v>0</v>
      </c>
      <c r="H97" s="251">
        <f>SUMIF('NFI Tracking'!AQ$11:AQ$1048576,Table10[[#This Row],[Pcode]],'NFI Tracking'!AJ$11:AJ$1048576)</f>
        <v>0</v>
      </c>
      <c r="I97" s="251">
        <f>SUMIF('NFI Tracking'!AQ$11:AQ$1048576,Table10[[#This Row],[Pcode]],'NFI Tracking'!AK$11:AK$1048576)</f>
        <v>0</v>
      </c>
      <c r="J97" s="251">
        <f ca="1">MAX(Table10[[#This Row],[HH]]*VLOOKUP("Winter Clothes Adult",NFI,6)-Table10[[#This Row],[Winter Clothes Adult ]],0)</f>
        <v>996</v>
      </c>
      <c r="K97" s="251">
        <f ca="1">MAX(Table10[[#This Row],[HH]]*VLOOKUP("Winter Clothes Children ",NFI,6)-Table10[[#This Row],[Winter Clothes Children ]],0)</f>
        <v>498</v>
      </c>
      <c r="L97" s="251">
        <f ca="1">MAX(Table10[[#This Row],[HH]]*VLOOKUP("Winter Items Other ",NFI,6)-Table10[[#This Row],[Winter Items Other ]],0)</f>
        <v>498</v>
      </c>
      <c r="M97" s="279" t="str">
        <f>IF(OR(Table10[[#This Row],[Winter Clothes Adult ]]&lt;&gt;0,Table10[[#This Row],[Winter Clothes Children ]]&lt;&gt;0,Table10[[#This Row],[Winter Items Other ]]&lt;&gt;0),"No","")</f>
        <v/>
      </c>
      <c r="N97" s="280">
        <f>COUNTIF(A:A,Table10[[#This Row],[Pcode]])-1</f>
        <v>0</v>
      </c>
    </row>
    <row r="98" spans="1:14" x14ac:dyDescent="0.25">
      <c r="A98" s="234" t="s">
        <v>325</v>
      </c>
      <c r="B98" s="18" t="str">
        <f ca="1">OFFSET(CampList[Priority],MATCH(Table10[[#This Row],[Pcode]],CampList[CP_Pcode],0)-1,0,1,1)</f>
        <v>P4</v>
      </c>
      <c r="C98" s="18" t="str">
        <f ca="1">OFFSET(CampList[Camp],MATCH(Table10[[#This Row],[Pcode]],CampList[CP_Pcode],0)-1,0,1,1)</f>
        <v>Maina Lawang Baptist Church</v>
      </c>
      <c r="D98" s="18" t="str">
        <f ca="1">OFFSET(CampList[Township],MATCH(Table10[[#This Row],[Pcode]],CampList[CP_Pcode],0)-1,0,1,1)</f>
        <v>Waingmaw</v>
      </c>
      <c r="E98" s="251">
        <f ca="1">OFFSET(CampList[HH],MATCH(Table10[[#This Row],[Pcode]],CampList[CP_Pcode],0)-1,0,1,1)</f>
        <v>45</v>
      </c>
      <c r="F98" s="251">
        <f ca="1">OFFSET(CampList[Total],MATCH(Table10[[#This Row],[Pcode]],CampList[CP_Pcode],0)-1,0,1,1)</f>
        <v>190</v>
      </c>
      <c r="G98" s="251">
        <f>SUMIF('NFI Tracking'!AQ$11:AQ$1048576,Table10[[#This Row],[Pcode]],'NFI Tracking'!AI$11:AI$1048576)</f>
        <v>0</v>
      </c>
      <c r="H98" s="251">
        <f>SUMIF('NFI Tracking'!AQ$11:AQ$1048576,Table10[[#This Row],[Pcode]],'NFI Tracking'!AJ$11:AJ$1048576)</f>
        <v>0</v>
      </c>
      <c r="I98" s="251">
        <f>SUMIF('NFI Tracking'!AQ$11:AQ$1048576,Table10[[#This Row],[Pcode]],'NFI Tracking'!AK$11:AK$1048576)</f>
        <v>0</v>
      </c>
      <c r="J98" s="251">
        <f ca="1">MAX(Table10[[#This Row],[HH]]*VLOOKUP("Winter Clothes Adult",NFI,6)-Table10[[#This Row],[Winter Clothes Adult ]],0)</f>
        <v>90</v>
      </c>
      <c r="K98" s="251">
        <f ca="1">MAX(Table10[[#This Row],[HH]]*VLOOKUP("Winter Clothes Children ",NFI,6)-Table10[[#This Row],[Winter Clothes Children ]],0)</f>
        <v>45</v>
      </c>
      <c r="L98" s="251">
        <f ca="1">MAX(Table10[[#This Row],[HH]]*VLOOKUP("Winter Items Other ",NFI,6)-Table10[[#This Row],[Winter Items Other ]],0)</f>
        <v>45</v>
      </c>
      <c r="M98" s="279" t="str">
        <f>IF(OR(Table10[[#This Row],[Winter Clothes Adult ]]&lt;&gt;0,Table10[[#This Row],[Winter Clothes Children ]]&lt;&gt;0,Table10[[#This Row],[Winter Items Other ]]&lt;&gt;0),"No","")</f>
        <v/>
      </c>
      <c r="N98" s="280">
        <f>COUNTIF(A:A,Table10[[#This Row],[Pcode]])-1</f>
        <v>0</v>
      </c>
    </row>
    <row r="99" spans="1:14" x14ac:dyDescent="0.25">
      <c r="A99" s="234" t="s">
        <v>885</v>
      </c>
      <c r="B99" s="18" t="str">
        <f ca="1">OFFSET(CampList[Priority],MATCH(Table10[[#This Row],[Pcode]],CampList[CP_Pcode],0)-1,0,1,1)</f>
        <v>P4</v>
      </c>
      <c r="C99" s="18" t="str">
        <f ca="1">OFFSET(CampList[Camp],MATCH(Table10[[#This Row],[Pcode]],CampList[CP_Pcode],0)-1,0,1,1)</f>
        <v>Maing Khaung</v>
      </c>
      <c r="D99" s="18" t="str">
        <f ca="1">OFFSET(CampList[Township],MATCH(Table10[[#This Row],[Pcode]],CampList[CP_Pcode],0)-1,0,1,1)</f>
        <v>Mansi</v>
      </c>
      <c r="E99" s="251">
        <f ca="1">OFFSET(CampList[HH],MATCH(Table10[[#This Row],[Pcode]],CampList[CP_Pcode],0)-1,0,1,1)</f>
        <v>403</v>
      </c>
      <c r="F99" s="251">
        <f ca="1">OFFSET(CampList[Total],MATCH(Table10[[#This Row],[Pcode]],CampList[CP_Pcode],0)-1,0,1,1)</f>
        <v>1855</v>
      </c>
      <c r="G99" s="251">
        <f>SUMIF('NFI Tracking'!AQ$11:AQ$1048576,Table10[[#This Row],[Pcode]],'NFI Tracking'!AI$11:AI$1048576)</f>
        <v>0</v>
      </c>
      <c r="H99" s="251">
        <f>SUMIF('NFI Tracking'!AQ$11:AQ$1048576,Table10[[#This Row],[Pcode]],'NFI Tracking'!AJ$11:AJ$1048576)</f>
        <v>0</v>
      </c>
      <c r="I99" s="251">
        <f>SUMIF('NFI Tracking'!AQ$11:AQ$1048576,Table10[[#This Row],[Pcode]],'NFI Tracking'!AK$11:AK$1048576)</f>
        <v>0</v>
      </c>
      <c r="J99" s="251">
        <f ca="1">MAX(Table10[[#This Row],[HH]]*VLOOKUP("Winter Clothes Adult",NFI,6)-Table10[[#This Row],[Winter Clothes Adult ]],0)</f>
        <v>806</v>
      </c>
      <c r="K99" s="251">
        <f ca="1">MAX(Table10[[#This Row],[HH]]*VLOOKUP("Winter Clothes Children ",NFI,6)-Table10[[#This Row],[Winter Clothes Children ]],0)</f>
        <v>403</v>
      </c>
      <c r="L99" s="251">
        <f ca="1">MAX(Table10[[#This Row],[HH]]*VLOOKUP("Winter Items Other ",NFI,6)-Table10[[#This Row],[Winter Items Other ]],0)</f>
        <v>403</v>
      </c>
      <c r="M99" s="279" t="str">
        <f>IF(OR(Table10[[#This Row],[Winter Clothes Adult ]]&lt;&gt;0,Table10[[#This Row],[Winter Clothes Children ]]&lt;&gt;0,Table10[[#This Row],[Winter Items Other ]]&lt;&gt;0),"No","")</f>
        <v/>
      </c>
      <c r="N99" s="280">
        <f>COUNTIF(A:A,Table10[[#This Row],[Pcode]])-1</f>
        <v>0</v>
      </c>
    </row>
    <row r="100" spans="1:14" x14ac:dyDescent="0.25">
      <c r="A100" s="234" t="s">
        <v>940</v>
      </c>
      <c r="B100" s="18" t="str">
        <f ca="1">OFFSET(CampList[Priority],MATCH(Table10[[#This Row],[Pcode]],CampList[CP_Pcode],0)-1,0,1,1)</f>
        <v>P4</v>
      </c>
      <c r="C100" s="18" t="str">
        <f ca="1">OFFSET(CampList[Camp],MATCH(Table10[[#This Row],[Pcode]],CampList[CP_Pcode],0)-1,0,1,1)</f>
        <v>Maing Khaung Catholic Church</v>
      </c>
      <c r="D100" s="18" t="str">
        <f ca="1">OFFSET(CampList[Township],MATCH(Table10[[#This Row],[Pcode]],CampList[CP_Pcode],0)-1,0,1,1)</f>
        <v>Mansi</v>
      </c>
      <c r="E100" s="251">
        <f ca="1">OFFSET(CampList[HH],MATCH(Table10[[#This Row],[Pcode]],CampList[CP_Pcode],0)-1,0,1,1)</f>
        <v>174</v>
      </c>
      <c r="F100" s="251">
        <f ca="1">OFFSET(CampList[Total],MATCH(Table10[[#This Row],[Pcode]],CampList[CP_Pcode],0)-1,0,1,1)</f>
        <v>779</v>
      </c>
      <c r="G100" s="251">
        <f>SUMIF('NFI Tracking'!AQ$11:AQ$1048576,Table10[[#This Row],[Pcode]],'NFI Tracking'!AI$11:AI$1048576)</f>
        <v>144</v>
      </c>
      <c r="H100" s="251">
        <f>SUMIF('NFI Tracking'!AQ$11:AQ$1048576,Table10[[#This Row],[Pcode]],'NFI Tracking'!AJ$11:AJ$1048576)</f>
        <v>0</v>
      </c>
      <c r="I100" s="251">
        <f>SUMIF('NFI Tracking'!AQ$11:AQ$1048576,Table10[[#This Row],[Pcode]],'NFI Tracking'!AK$11:AK$1048576)</f>
        <v>0</v>
      </c>
      <c r="J100" s="251">
        <f ca="1">MAX(Table10[[#This Row],[HH]]*VLOOKUP("Winter Clothes Adult",NFI,6)-Table10[[#This Row],[Winter Clothes Adult ]],0)</f>
        <v>204</v>
      </c>
      <c r="K100" s="251">
        <f ca="1">MAX(Table10[[#This Row],[HH]]*VLOOKUP("Winter Clothes Children ",NFI,6)-Table10[[#This Row],[Winter Clothes Children ]],0)</f>
        <v>174</v>
      </c>
      <c r="L100" s="251">
        <f ca="1">MAX(Table10[[#This Row],[HH]]*VLOOKUP("Winter Items Other ",NFI,6)-Table10[[#This Row],[Winter Items Other ]],0)</f>
        <v>174</v>
      </c>
      <c r="M100" s="279" t="str">
        <f>IF(OR(Table10[[#This Row],[Winter Clothes Adult ]]&lt;&gt;0,Table10[[#This Row],[Winter Clothes Children ]]&lt;&gt;0,Table10[[#This Row],[Winter Items Other ]]&lt;&gt;0),"No","")</f>
        <v>No</v>
      </c>
      <c r="N100" s="280">
        <f>COUNTIF(A:A,Table10[[#This Row],[Pcode]])-1</f>
        <v>0</v>
      </c>
    </row>
    <row r="101" spans="1:14" x14ac:dyDescent="0.25">
      <c r="A101" s="234" t="s">
        <v>258</v>
      </c>
      <c r="B101" s="18" t="str">
        <f ca="1">OFFSET(CampList[Priority],MATCH(Table10[[#This Row],[Pcode]],CampList[CP_Pcode],0)-1,0,1,1)</f>
        <v>P4</v>
      </c>
      <c r="C101" s="18" t="str">
        <f ca="1">OFFSET(CampList[Camp],MATCH(Table10[[#This Row],[Pcode]],CampList[CP_Pcode],0)-1,0,1,1)</f>
        <v>Maliyang Baptist Church</v>
      </c>
      <c r="D101" s="18" t="str">
        <f ca="1">OFFSET(CampList[Township],MATCH(Table10[[#This Row],[Pcode]],CampList[CP_Pcode],0)-1,0,1,1)</f>
        <v>Myitkyina</v>
      </c>
      <c r="E101" s="251">
        <f ca="1">OFFSET(CampList[HH],MATCH(Table10[[#This Row],[Pcode]],CampList[CP_Pcode],0)-1,0,1,1)</f>
        <v>62</v>
      </c>
      <c r="F101" s="251">
        <f ca="1">OFFSET(CampList[Total],MATCH(Table10[[#This Row],[Pcode]],CampList[CP_Pcode],0)-1,0,1,1)</f>
        <v>309</v>
      </c>
      <c r="G101" s="251">
        <f>SUMIF('NFI Tracking'!AQ$11:AQ$1048576,Table10[[#This Row],[Pcode]],'NFI Tracking'!AI$11:AI$1048576)</f>
        <v>0</v>
      </c>
      <c r="H101" s="251">
        <f>SUMIF('NFI Tracking'!AQ$11:AQ$1048576,Table10[[#This Row],[Pcode]],'NFI Tracking'!AJ$11:AJ$1048576)</f>
        <v>0</v>
      </c>
      <c r="I101" s="251">
        <f>SUMIF('NFI Tracking'!AQ$11:AQ$1048576,Table10[[#This Row],[Pcode]],'NFI Tracking'!AK$11:AK$1048576)</f>
        <v>0</v>
      </c>
      <c r="J101" s="251">
        <f ca="1">MAX(Table10[[#This Row],[HH]]*VLOOKUP("Winter Clothes Adult",NFI,6)-Table10[[#This Row],[Winter Clothes Adult ]],0)</f>
        <v>124</v>
      </c>
      <c r="K101" s="251">
        <f ca="1">MAX(Table10[[#This Row],[HH]]*VLOOKUP("Winter Clothes Children ",NFI,6)-Table10[[#This Row],[Winter Clothes Children ]],0)</f>
        <v>62</v>
      </c>
      <c r="L101" s="251">
        <f ca="1">MAX(Table10[[#This Row],[HH]]*VLOOKUP("Winter Items Other ",NFI,6)-Table10[[#This Row],[Winter Items Other ]],0)</f>
        <v>62</v>
      </c>
      <c r="M101" s="279" t="str">
        <f>IF(OR(Table10[[#This Row],[Winter Clothes Adult ]]&lt;&gt;0,Table10[[#This Row],[Winter Clothes Children ]]&lt;&gt;0,Table10[[#This Row],[Winter Items Other ]]&lt;&gt;0),"No","")</f>
        <v/>
      </c>
      <c r="N101" s="280">
        <f>COUNTIF(A:A,Table10[[#This Row],[Pcode]])-1</f>
        <v>0</v>
      </c>
    </row>
    <row r="102" spans="1:14" x14ac:dyDescent="0.25">
      <c r="A102" s="234" t="s">
        <v>201</v>
      </c>
      <c r="B102" s="18" t="str">
        <f ca="1">OFFSET(CampList[Priority],MATCH(Table10[[#This Row],[Pcode]],CampList[CP_Pcode],0)-1,0,1,1)</f>
        <v>P4</v>
      </c>
      <c r="C102" s="18" t="str">
        <f ca="1">OFFSET(CampList[Camp],MATCH(Table10[[#This Row],[Pcode]],CampList[CP_Pcode],0)-1,0,1,1)</f>
        <v>Man Bung Catholic compound</v>
      </c>
      <c r="D102" s="18" t="str">
        <f ca="1">OFFSET(CampList[Township],MATCH(Table10[[#This Row],[Pcode]],CampList[CP_Pcode],0)-1,0,1,1)</f>
        <v>Momauk</v>
      </c>
      <c r="E102" s="251">
        <f ca="1">OFFSET(CampList[HH],MATCH(Table10[[#This Row],[Pcode]],CampList[CP_Pcode],0)-1,0,1,1)</f>
        <v>265</v>
      </c>
      <c r="F102" s="251">
        <f ca="1">OFFSET(CampList[Total],MATCH(Table10[[#This Row],[Pcode]],CampList[CP_Pcode],0)-1,0,1,1)</f>
        <v>1183</v>
      </c>
      <c r="G102" s="251">
        <f>SUMIF('NFI Tracking'!AQ$11:AQ$1048576,Table10[[#This Row],[Pcode]],'NFI Tracking'!AI$11:AI$1048576)</f>
        <v>0</v>
      </c>
      <c r="H102" s="251">
        <f>SUMIF('NFI Tracking'!AQ$11:AQ$1048576,Table10[[#This Row],[Pcode]],'NFI Tracking'!AJ$11:AJ$1048576)</f>
        <v>0</v>
      </c>
      <c r="I102" s="251">
        <f>SUMIF('NFI Tracking'!AQ$11:AQ$1048576,Table10[[#This Row],[Pcode]],'NFI Tracking'!AK$11:AK$1048576)</f>
        <v>0</v>
      </c>
      <c r="J102" s="251">
        <f ca="1">MAX(Table10[[#This Row],[HH]]*VLOOKUP("Winter Clothes Adult",NFI,6)-Table10[[#This Row],[Winter Clothes Adult ]],0)</f>
        <v>530</v>
      </c>
      <c r="K102" s="251">
        <f ca="1">MAX(Table10[[#This Row],[HH]]*VLOOKUP("Winter Clothes Children ",NFI,6)-Table10[[#This Row],[Winter Clothes Children ]],0)</f>
        <v>265</v>
      </c>
      <c r="L102" s="251">
        <f ca="1">MAX(Table10[[#This Row],[HH]]*VLOOKUP("Winter Items Other ",NFI,6)-Table10[[#This Row],[Winter Items Other ]],0)</f>
        <v>265</v>
      </c>
      <c r="M102" s="279" t="str">
        <f>IF(OR(Table10[[#This Row],[Winter Clothes Adult ]]&lt;&gt;0,Table10[[#This Row],[Winter Clothes Children ]]&lt;&gt;0,Table10[[#This Row],[Winter Items Other ]]&lt;&gt;0),"No","")</f>
        <v/>
      </c>
      <c r="N102" s="280">
        <f>COUNTIF(A:A,Table10[[#This Row],[Pcode]])-1</f>
        <v>0</v>
      </c>
    </row>
    <row r="103" spans="1:14" x14ac:dyDescent="0.25">
      <c r="A103" s="234" t="s">
        <v>260</v>
      </c>
      <c r="B103" s="18" t="str">
        <f ca="1">OFFSET(CampList[Priority],MATCH(Table10[[#This Row],[Pcode]],CampList[CP_Pcode],0)-1,0,1,1)</f>
        <v>P4</v>
      </c>
      <c r="C103" s="18" t="str">
        <f ca="1">OFFSET(CampList[Camp],MATCH(Table10[[#This Row],[Pcode]],CampList[CP_Pcode],0)-1,0,1,1)</f>
        <v>Man Hkring Baptist Church</v>
      </c>
      <c r="D103" s="18" t="str">
        <f ca="1">OFFSET(CampList[Township],MATCH(Table10[[#This Row],[Pcode]],CampList[CP_Pcode],0)-1,0,1,1)</f>
        <v>Myitkyina</v>
      </c>
      <c r="E103" s="251">
        <f ca="1">OFFSET(CampList[HH],MATCH(Table10[[#This Row],[Pcode]],CampList[CP_Pcode],0)-1,0,1,1)</f>
        <v>104</v>
      </c>
      <c r="F103" s="251">
        <f ca="1">OFFSET(CampList[Total],MATCH(Table10[[#This Row],[Pcode]],CampList[CP_Pcode],0)-1,0,1,1)</f>
        <v>574</v>
      </c>
      <c r="G103" s="251">
        <f>SUMIF('NFI Tracking'!AQ$11:AQ$1048576,Table10[[#This Row],[Pcode]],'NFI Tracking'!AI$11:AI$1048576)</f>
        <v>0</v>
      </c>
      <c r="H103" s="251">
        <f>SUMIF('NFI Tracking'!AQ$11:AQ$1048576,Table10[[#This Row],[Pcode]],'NFI Tracking'!AJ$11:AJ$1048576)</f>
        <v>0</v>
      </c>
      <c r="I103" s="251">
        <f>SUMIF('NFI Tracking'!AQ$11:AQ$1048576,Table10[[#This Row],[Pcode]],'NFI Tracking'!AK$11:AK$1048576)</f>
        <v>0</v>
      </c>
      <c r="J103" s="251">
        <f ca="1">MAX(Table10[[#This Row],[HH]]*VLOOKUP("Winter Clothes Adult",NFI,6)-Table10[[#This Row],[Winter Clothes Adult ]],0)</f>
        <v>208</v>
      </c>
      <c r="K103" s="251">
        <f ca="1">MAX(Table10[[#This Row],[HH]]*VLOOKUP("Winter Clothes Children ",NFI,6)-Table10[[#This Row],[Winter Clothes Children ]],0)</f>
        <v>104</v>
      </c>
      <c r="L103" s="251">
        <f ca="1">MAX(Table10[[#This Row],[HH]]*VLOOKUP("Winter Items Other ",NFI,6)-Table10[[#This Row],[Winter Items Other ]],0)</f>
        <v>104</v>
      </c>
      <c r="M103" s="279" t="str">
        <f>IF(OR(Table10[[#This Row],[Winter Clothes Adult ]]&lt;&gt;0,Table10[[#This Row],[Winter Clothes Children ]]&lt;&gt;0,Table10[[#This Row],[Winter Items Other ]]&lt;&gt;0),"No","")</f>
        <v/>
      </c>
      <c r="N103" s="280">
        <f>COUNTIF(A:A,Table10[[#This Row],[Pcode]])-1</f>
        <v>0</v>
      </c>
    </row>
    <row r="104" spans="1:14" x14ac:dyDescent="0.25">
      <c r="A104" s="234" t="s">
        <v>203</v>
      </c>
      <c r="B104" s="18" t="str">
        <f ca="1">OFFSET(CampList[Priority],MATCH(Table10[[#This Row],[Pcode]],CampList[CP_Pcode],0)-1,0,1,1)</f>
        <v>P4</v>
      </c>
      <c r="C104" s="18" t="str">
        <f ca="1">OFFSET(CampList[Camp],MATCH(Table10[[#This Row],[Pcode]],CampList[CP_Pcode],0)-1,0,1,1)</f>
        <v xml:space="preserve">Man Nawng </v>
      </c>
      <c r="D104" s="18" t="str">
        <f ca="1">OFFSET(CampList[Township],MATCH(Table10[[#This Row],[Pcode]],CampList[CP_Pcode],0)-1,0,1,1)</f>
        <v>Momauk</v>
      </c>
      <c r="E104" s="251">
        <f ca="1">OFFSET(CampList[HH],MATCH(Table10[[#This Row],[Pcode]],CampList[CP_Pcode],0)-1,0,1,1)</f>
        <v>0</v>
      </c>
      <c r="F104" s="251">
        <f ca="1">OFFSET(CampList[Total],MATCH(Table10[[#This Row],[Pcode]],CampList[CP_Pcode],0)-1,0,1,1)</f>
        <v>0</v>
      </c>
      <c r="G104" s="251">
        <f>SUMIF('NFI Tracking'!AQ$11:AQ$1048576,Table10[[#This Row],[Pcode]],'NFI Tracking'!AI$11:AI$1048576)</f>
        <v>0</v>
      </c>
      <c r="H104" s="251">
        <f>SUMIF('NFI Tracking'!AQ$11:AQ$1048576,Table10[[#This Row],[Pcode]],'NFI Tracking'!AJ$11:AJ$1048576)</f>
        <v>0</v>
      </c>
      <c r="I104" s="251">
        <f>SUMIF('NFI Tracking'!AQ$11:AQ$1048576,Table10[[#This Row],[Pcode]],'NFI Tracking'!AK$11:AK$1048576)</f>
        <v>0</v>
      </c>
      <c r="J104" s="251">
        <f ca="1">MAX(Table10[[#This Row],[HH]]*VLOOKUP("Winter Clothes Adult",NFI,6)-Table10[[#This Row],[Winter Clothes Adult ]],0)</f>
        <v>0</v>
      </c>
      <c r="K104" s="251">
        <f ca="1">MAX(Table10[[#This Row],[HH]]*VLOOKUP("Winter Clothes Children ",NFI,6)-Table10[[#This Row],[Winter Clothes Children ]],0)</f>
        <v>0</v>
      </c>
      <c r="L104" s="251">
        <f ca="1">MAX(Table10[[#This Row],[HH]]*VLOOKUP("Winter Items Other ",NFI,6)-Table10[[#This Row],[Winter Items Other ]],0)</f>
        <v>0</v>
      </c>
      <c r="M104" s="279" t="str">
        <f>IF(OR(Table10[[#This Row],[Winter Clothes Adult ]]&lt;&gt;0,Table10[[#This Row],[Winter Clothes Children ]]&lt;&gt;0,Table10[[#This Row],[Winter Items Other ]]&lt;&gt;0),"No","")</f>
        <v/>
      </c>
      <c r="N104" s="280">
        <f>COUNTIF(A:A,Table10[[#This Row],[Pcode]])-1</f>
        <v>0</v>
      </c>
    </row>
    <row r="105" spans="1:14" x14ac:dyDescent="0.25">
      <c r="A105" s="234" t="s">
        <v>392</v>
      </c>
      <c r="B105" s="18" t="str">
        <f ca="1">OFFSET(CampList[Priority],MATCH(Table10[[#This Row],[Pcode]],CampList[CP_Pcode],0)-1,0,1,1)</f>
        <v>P4</v>
      </c>
      <c r="C105" s="18" t="str">
        <f ca="1">OFFSET(CampList[Camp],MATCH(Table10[[#This Row],[Pcode]],CampList[CP_Pcode],0)-1,0,1,1)</f>
        <v>Man Ting</v>
      </c>
      <c r="D105" s="18" t="str">
        <f ca="1">OFFSET(CampList[Township],MATCH(Table10[[#This Row],[Pcode]],CampList[CP_Pcode],0)-1,0,1,1)</f>
        <v>Momauk</v>
      </c>
      <c r="E105" s="251">
        <f ca="1">OFFSET(CampList[HH],MATCH(Table10[[#This Row],[Pcode]],CampList[CP_Pcode],0)-1,0,1,1)</f>
        <v>0</v>
      </c>
      <c r="F105" s="251">
        <f ca="1">OFFSET(CampList[Total],MATCH(Table10[[#This Row],[Pcode]],CampList[CP_Pcode],0)-1,0,1,1)</f>
        <v>0</v>
      </c>
      <c r="G105" s="251">
        <f>SUMIF('NFI Tracking'!AQ$11:AQ$1048576,Table10[[#This Row],[Pcode]],'NFI Tracking'!AI$11:AI$1048576)</f>
        <v>0</v>
      </c>
      <c r="H105" s="251">
        <f>SUMIF('NFI Tracking'!AQ$11:AQ$1048576,Table10[[#This Row],[Pcode]],'NFI Tracking'!AJ$11:AJ$1048576)</f>
        <v>0</v>
      </c>
      <c r="I105" s="251">
        <f>SUMIF('NFI Tracking'!AQ$11:AQ$1048576,Table10[[#This Row],[Pcode]],'NFI Tracking'!AK$11:AK$1048576)</f>
        <v>0</v>
      </c>
      <c r="J105" s="251">
        <f ca="1">MAX(Table10[[#This Row],[HH]]*VLOOKUP("Winter Clothes Adult",NFI,6)-Table10[[#This Row],[Winter Clothes Adult ]],0)</f>
        <v>0</v>
      </c>
      <c r="K105" s="251">
        <f ca="1">MAX(Table10[[#This Row],[HH]]*VLOOKUP("Winter Clothes Children ",NFI,6)-Table10[[#This Row],[Winter Clothes Children ]],0)</f>
        <v>0</v>
      </c>
      <c r="L105" s="251">
        <f ca="1">MAX(Table10[[#This Row],[HH]]*VLOOKUP("Winter Items Other ",NFI,6)-Table10[[#This Row],[Winter Items Other ]],0)</f>
        <v>0</v>
      </c>
      <c r="M105" s="279" t="str">
        <f>IF(OR(Table10[[#This Row],[Winter Clothes Adult ]]&lt;&gt;0,Table10[[#This Row],[Winter Clothes Children ]]&lt;&gt;0,Table10[[#This Row],[Winter Items Other ]]&lt;&gt;0),"No","")</f>
        <v/>
      </c>
      <c r="N105" s="280">
        <f>COUNTIF(A:A,Table10[[#This Row],[Pcode]])-1</f>
        <v>0</v>
      </c>
    </row>
    <row r="106" spans="1:14" x14ac:dyDescent="0.25">
      <c r="A106" s="234" t="s">
        <v>159</v>
      </c>
      <c r="B106" s="18" t="str">
        <f ca="1">OFFSET(CampList[Priority],MATCH(Table10[[#This Row],[Pcode]],CampList[CP_Pcode],0)-1,0,1,1)</f>
        <v>P4</v>
      </c>
      <c r="C106" s="18" t="str">
        <f ca="1">OFFSET(CampList[Camp],MATCH(Table10[[#This Row],[Pcode]],CampList[CP_Pcode],0)-1,0,1,1)</f>
        <v>Man Wing Baptist Church</v>
      </c>
      <c r="D106" s="18" t="str">
        <f ca="1">OFFSET(CampList[Township],MATCH(Table10[[#This Row],[Pcode]],CampList[CP_Pcode],0)-1,0,1,1)</f>
        <v>Mansi</v>
      </c>
      <c r="E106" s="251">
        <f ca="1">OFFSET(CampList[HH],MATCH(Table10[[#This Row],[Pcode]],CampList[CP_Pcode],0)-1,0,1,1)</f>
        <v>98</v>
      </c>
      <c r="F106" s="251">
        <f ca="1">OFFSET(CampList[Total],MATCH(Table10[[#This Row],[Pcode]],CampList[CP_Pcode],0)-1,0,1,1)</f>
        <v>524</v>
      </c>
      <c r="G106" s="251">
        <f>SUMIF('NFI Tracking'!AQ$11:AQ$1048576,Table10[[#This Row],[Pcode]],'NFI Tracking'!AI$11:AI$1048576)</f>
        <v>0</v>
      </c>
      <c r="H106" s="251">
        <f>SUMIF('NFI Tracking'!AQ$11:AQ$1048576,Table10[[#This Row],[Pcode]],'NFI Tracking'!AJ$11:AJ$1048576)</f>
        <v>0</v>
      </c>
      <c r="I106" s="251">
        <f>SUMIF('NFI Tracking'!AQ$11:AQ$1048576,Table10[[#This Row],[Pcode]],'NFI Tracking'!AK$11:AK$1048576)</f>
        <v>0</v>
      </c>
      <c r="J106" s="251">
        <f ca="1">MAX(Table10[[#This Row],[HH]]*VLOOKUP("Winter Clothes Adult",NFI,6)-Table10[[#This Row],[Winter Clothes Adult ]],0)</f>
        <v>196</v>
      </c>
      <c r="K106" s="251">
        <f ca="1">MAX(Table10[[#This Row],[HH]]*VLOOKUP("Winter Clothes Children ",NFI,6)-Table10[[#This Row],[Winter Clothes Children ]],0)</f>
        <v>98</v>
      </c>
      <c r="L106" s="251">
        <f ca="1">MAX(Table10[[#This Row],[HH]]*VLOOKUP("Winter Items Other ",NFI,6)-Table10[[#This Row],[Winter Items Other ]],0)</f>
        <v>98</v>
      </c>
      <c r="M106" s="279" t="str">
        <f>IF(OR(Table10[[#This Row],[Winter Clothes Adult ]]&lt;&gt;0,Table10[[#This Row],[Winter Clothes Children ]]&lt;&gt;0,Table10[[#This Row],[Winter Items Other ]]&lt;&gt;0),"No","")</f>
        <v/>
      </c>
      <c r="N106" s="280">
        <f>COUNTIF(A:A,Table10[[#This Row],[Pcode]])-1</f>
        <v>0</v>
      </c>
    </row>
    <row r="107" spans="1:14" x14ac:dyDescent="0.25">
      <c r="A107" s="234" t="s">
        <v>153</v>
      </c>
      <c r="B107" s="18" t="str">
        <f ca="1">OFFSET(CampList[Priority],MATCH(Table10[[#This Row],[Pcode]],CampList[CP_Pcode],0)-1,0,1,1)</f>
        <v>P4</v>
      </c>
      <c r="C107" s="18" t="str">
        <f ca="1">OFFSET(CampList[Camp],MATCH(Table10[[#This Row],[Pcode]],CampList[CP_Pcode],0)-1,0,1,1)</f>
        <v>Man Wing Catholic Church</v>
      </c>
      <c r="D107" s="18" t="str">
        <f ca="1">OFFSET(CampList[Township],MATCH(Table10[[#This Row],[Pcode]],CampList[CP_Pcode],0)-1,0,1,1)</f>
        <v>Mansi</v>
      </c>
      <c r="E107" s="251">
        <f ca="1">OFFSET(CampList[HH],MATCH(Table10[[#This Row],[Pcode]],CampList[CP_Pcode],0)-1,0,1,1)</f>
        <v>449</v>
      </c>
      <c r="F107" s="251">
        <f ca="1">OFFSET(CampList[Total],MATCH(Table10[[#This Row],[Pcode]],CampList[CP_Pcode],0)-1,0,1,1)</f>
        <v>2252</v>
      </c>
      <c r="G107" s="251">
        <f>SUMIF('NFI Tracking'!AQ$11:AQ$1048576,Table10[[#This Row],[Pcode]],'NFI Tracking'!AI$11:AI$1048576)</f>
        <v>0</v>
      </c>
      <c r="H107" s="251">
        <f>SUMIF('NFI Tracking'!AQ$11:AQ$1048576,Table10[[#This Row],[Pcode]],'NFI Tracking'!AJ$11:AJ$1048576)</f>
        <v>0</v>
      </c>
      <c r="I107" s="251">
        <f>SUMIF('NFI Tracking'!AQ$11:AQ$1048576,Table10[[#This Row],[Pcode]],'NFI Tracking'!AK$11:AK$1048576)</f>
        <v>0</v>
      </c>
      <c r="J107" s="251">
        <f ca="1">MAX(Table10[[#This Row],[HH]]*VLOOKUP("Winter Clothes Adult",NFI,6)-Table10[[#This Row],[Winter Clothes Adult ]],0)</f>
        <v>898</v>
      </c>
      <c r="K107" s="251">
        <f ca="1">MAX(Table10[[#This Row],[HH]]*VLOOKUP("Winter Clothes Children ",NFI,6)-Table10[[#This Row],[Winter Clothes Children ]],0)</f>
        <v>449</v>
      </c>
      <c r="L107" s="251">
        <f ca="1">MAX(Table10[[#This Row],[HH]]*VLOOKUP("Winter Items Other ",NFI,6)-Table10[[#This Row],[Winter Items Other ]],0)</f>
        <v>449</v>
      </c>
      <c r="M107" s="279" t="str">
        <f>IF(OR(Table10[[#This Row],[Winter Clothes Adult ]]&lt;&gt;0,Table10[[#This Row],[Winter Clothes Children ]]&lt;&gt;0,Table10[[#This Row],[Winter Items Other ]]&lt;&gt;0),"No","")</f>
        <v/>
      </c>
      <c r="N107" s="280">
        <f>COUNTIF(A:A,Table10[[#This Row],[Pcode]])-1</f>
        <v>0</v>
      </c>
    </row>
    <row r="108" spans="1:14" x14ac:dyDescent="0.25">
      <c r="A108" s="234" t="s">
        <v>1058</v>
      </c>
      <c r="B108" s="18" t="str">
        <f ca="1">OFFSET(CampList[Priority],MATCH(Table10[[#This Row],[Pcode]],CampList[CP_Pcode],0)-1,0,1,1)</f>
        <v>P4</v>
      </c>
      <c r="C108" s="18" t="str">
        <f ca="1">OFFSET(CampList[Camp],MATCH(Table10[[#This Row],[Pcode]],CampList[CP_Pcode],0)-1,0,1,1)</f>
        <v>Man Wing Catholic Church II</v>
      </c>
      <c r="D108" s="18" t="str">
        <f ca="1">OFFSET(CampList[Township],MATCH(Table10[[#This Row],[Pcode]],CampList[CP_Pcode],0)-1,0,1,1)</f>
        <v>Mansi</v>
      </c>
      <c r="E108" s="251">
        <f ca="1">OFFSET(CampList[HH],MATCH(Table10[[#This Row],[Pcode]],CampList[CP_Pcode],0)-1,0,1,1)</f>
        <v>145</v>
      </c>
      <c r="F108" s="251">
        <f ca="1">OFFSET(CampList[Total],MATCH(Table10[[#This Row],[Pcode]],CampList[CP_Pcode],0)-1,0,1,1)</f>
        <v>654</v>
      </c>
      <c r="G108" s="251">
        <f>SUMIF('NFI Tracking'!AQ$11:AQ$1048576,Table10[[#This Row],[Pcode]],'NFI Tracking'!AI$11:AI$1048576)</f>
        <v>0</v>
      </c>
      <c r="H108" s="251">
        <f>SUMIF('NFI Tracking'!AQ$11:AQ$1048576,Table10[[#This Row],[Pcode]],'NFI Tracking'!AJ$11:AJ$1048576)</f>
        <v>0</v>
      </c>
      <c r="I108" s="251">
        <f>SUMIF('NFI Tracking'!AQ$11:AQ$1048576,Table10[[#This Row],[Pcode]],'NFI Tracking'!AK$11:AK$1048576)</f>
        <v>0</v>
      </c>
      <c r="J108" s="251">
        <f ca="1">MAX(Table10[[#This Row],[HH]]*VLOOKUP("Winter Clothes Adult",NFI,6)-Table10[[#This Row],[Winter Clothes Adult ]],0)</f>
        <v>290</v>
      </c>
      <c r="K108" s="251">
        <f ca="1">MAX(Table10[[#This Row],[HH]]*VLOOKUP("Winter Clothes Children ",NFI,6)-Table10[[#This Row],[Winter Clothes Children ]],0)</f>
        <v>145</v>
      </c>
      <c r="L108" s="251">
        <f ca="1">MAX(Table10[[#This Row],[HH]]*VLOOKUP("Winter Items Other ",NFI,6)-Table10[[#This Row],[Winter Items Other ]],0)</f>
        <v>145</v>
      </c>
      <c r="M108" s="279" t="str">
        <f>IF(OR(Table10[[#This Row],[Winter Clothes Adult ]]&lt;&gt;0,Table10[[#This Row],[Winter Clothes Children ]]&lt;&gt;0,Table10[[#This Row],[Winter Items Other ]]&lt;&gt;0),"No","")</f>
        <v/>
      </c>
      <c r="N108" s="280">
        <f>COUNTIF(A:A,Table10[[#This Row],[Pcode]])-1</f>
        <v>0</v>
      </c>
    </row>
    <row r="109" spans="1:14" x14ac:dyDescent="0.25">
      <c r="A109" s="234" t="s">
        <v>155</v>
      </c>
      <c r="B109" s="18" t="str">
        <f ca="1">OFFSET(CampList[Priority],MATCH(Table10[[#This Row],[Pcode]],CampList[CP_Pcode],0)-1,0,1,1)</f>
        <v>P4</v>
      </c>
      <c r="C109" s="18" t="str">
        <f ca="1">OFFSET(CampList[Camp],MATCH(Table10[[#This Row],[Pcode]],CampList[CP_Pcode],0)-1,0,1,1)</f>
        <v>Man Wing Host Families</v>
      </c>
      <c r="D109" s="18" t="str">
        <f ca="1">OFFSET(CampList[Township],MATCH(Table10[[#This Row],[Pcode]],CampList[CP_Pcode],0)-1,0,1,1)</f>
        <v>Mansi</v>
      </c>
      <c r="E109" s="251">
        <f ca="1">OFFSET(CampList[HH],MATCH(Table10[[#This Row],[Pcode]],CampList[CP_Pcode],0)-1,0,1,1)</f>
        <v>175</v>
      </c>
      <c r="F109" s="251">
        <f ca="1">OFFSET(CampList[Total],MATCH(Table10[[#This Row],[Pcode]],CampList[CP_Pcode],0)-1,0,1,1)</f>
        <v>834</v>
      </c>
      <c r="G109" s="251">
        <f>SUMIF('NFI Tracking'!AQ$11:AQ$1048576,Table10[[#This Row],[Pcode]],'NFI Tracking'!AI$11:AI$1048576)</f>
        <v>0</v>
      </c>
      <c r="H109" s="251">
        <f>SUMIF('NFI Tracking'!AQ$11:AQ$1048576,Table10[[#This Row],[Pcode]],'NFI Tracking'!AJ$11:AJ$1048576)</f>
        <v>0</v>
      </c>
      <c r="I109" s="251">
        <f>SUMIF('NFI Tracking'!AQ$11:AQ$1048576,Table10[[#This Row],[Pcode]],'NFI Tracking'!AK$11:AK$1048576)</f>
        <v>0</v>
      </c>
      <c r="J109" s="251">
        <f ca="1">MAX(Table10[[#This Row],[HH]]*VLOOKUP("Winter Clothes Adult",NFI,6)-Table10[[#This Row],[Winter Clothes Adult ]],0)</f>
        <v>350</v>
      </c>
      <c r="K109" s="251">
        <f ca="1">MAX(Table10[[#This Row],[HH]]*VLOOKUP("Winter Clothes Children ",NFI,6)-Table10[[#This Row],[Winter Clothes Children ]],0)</f>
        <v>175</v>
      </c>
      <c r="L109" s="251">
        <f ca="1">MAX(Table10[[#This Row],[HH]]*VLOOKUP("Winter Items Other ",NFI,6)-Table10[[#This Row],[Winter Items Other ]],0)</f>
        <v>175</v>
      </c>
      <c r="M109" s="279" t="str">
        <f>IF(OR(Table10[[#This Row],[Winter Clothes Adult ]]&lt;&gt;0,Table10[[#This Row],[Winter Clothes Children ]]&lt;&gt;0,Table10[[#This Row],[Winter Items Other ]]&lt;&gt;0),"No","")</f>
        <v/>
      </c>
      <c r="N109" s="280">
        <f>COUNTIF(A:A,Table10[[#This Row],[Pcode]])-1</f>
        <v>0</v>
      </c>
    </row>
    <row r="110" spans="1:14" x14ac:dyDescent="0.25">
      <c r="A110" s="234" t="s">
        <v>206</v>
      </c>
      <c r="B110" s="18" t="str">
        <f ca="1">OFFSET(CampList[Priority],MATCH(Table10[[#This Row],[Pcode]],CampList[CP_Pcode],0)-1,0,1,1)</f>
        <v>P4</v>
      </c>
      <c r="C110" s="18" t="str">
        <f ca="1">OFFSET(CampList[Camp],MATCH(Table10[[#This Row],[Pcode]],CampList[CP_Pcode],0)-1,0,1,1)</f>
        <v>Mandalay Monestry</v>
      </c>
      <c r="D110" s="18" t="str">
        <f ca="1">OFFSET(CampList[Township],MATCH(Table10[[#This Row],[Pcode]],CampList[CP_Pcode],0)-1,0,1,1)</f>
        <v>Momauk</v>
      </c>
      <c r="E110" s="251">
        <f ca="1">OFFSET(CampList[HH],MATCH(Table10[[#This Row],[Pcode]],CampList[CP_Pcode],0)-1,0,1,1)</f>
        <v>0</v>
      </c>
      <c r="F110" s="251">
        <f ca="1">OFFSET(CampList[Total],MATCH(Table10[[#This Row],[Pcode]],CampList[CP_Pcode],0)-1,0,1,1)</f>
        <v>0</v>
      </c>
      <c r="G110" s="251">
        <f>SUMIF('NFI Tracking'!AQ$11:AQ$1048576,Table10[[#This Row],[Pcode]],'NFI Tracking'!AI$11:AI$1048576)</f>
        <v>0</v>
      </c>
      <c r="H110" s="251">
        <f>SUMIF('NFI Tracking'!AQ$11:AQ$1048576,Table10[[#This Row],[Pcode]],'NFI Tracking'!AJ$11:AJ$1048576)</f>
        <v>0</v>
      </c>
      <c r="I110" s="251">
        <f>SUMIF('NFI Tracking'!AQ$11:AQ$1048576,Table10[[#This Row],[Pcode]],'NFI Tracking'!AK$11:AK$1048576)</f>
        <v>0</v>
      </c>
      <c r="J110" s="251">
        <f ca="1">MAX(Table10[[#This Row],[HH]]*VLOOKUP("Winter Clothes Adult",NFI,6)-Table10[[#This Row],[Winter Clothes Adult ]],0)</f>
        <v>0</v>
      </c>
      <c r="K110" s="251">
        <f ca="1">MAX(Table10[[#This Row],[HH]]*VLOOKUP("Winter Clothes Children ",NFI,6)-Table10[[#This Row],[Winter Clothes Children ]],0)</f>
        <v>0</v>
      </c>
      <c r="L110" s="251">
        <f ca="1">MAX(Table10[[#This Row],[HH]]*VLOOKUP("Winter Items Other ",NFI,6)-Table10[[#This Row],[Winter Items Other ]],0)</f>
        <v>0</v>
      </c>
      <c r="M110" s="279" t="str">
        <f>IF(OR(Table10[[#This Row],[Winter Clothes Adult ]]&lt;&gt;0,Table10[[#This Row],[Winter Clothes Children ]]&lt;&gt;0,Table10[[#This Row],[Winter Items Other ]]&lt;&gt;0),"No","")</f>
        <v/>
      </c>
      <c r="N110" s="280">
        <f>COUNTIF(A:A,Table10[[#This Row],[Pcode]])-1</f>
        <v>0</v>
      </c>
    </row>
    <row r="111" spans="1:14" x14ac:dyDescent="0.25">
      <c r="A111" s="234" t="s">
        <v>175</v>
      </c>
      <c r="B111" s="18" t="str">
        <f ca="1">OFFSET(CampList[Priority],MATCH(Table10[[#This Row],[Pcode]],CampList[CP_Pcode],0)-1,0,1,1)</f>
        <v>P4</v>
      </c>
      <c r="C111" s="18" t="str">
        <f ca="1">OFFSET(CampList[Camp],MATCH(Table10[[#This Row],[Pcode]],CampList[CP_Pcode],0)-1,0,1,1)</f>
        <v>Mang Hawng Baptist Church</v>
      </c>
      <c r="D111" s="18" t="str">
        <f ca="1">OFFSET(CampList[Township],MATCH(Table10[[#This Row],[Pcode]],CampList[CP_Pcode],0)-1,0,1,1)</f>
        <v>Mogaung</v>
      </c>
      <c r="E111" s="251">
        <f ca="1">OFFSET(CampList[HH],MATCH(Table10[[#This Row],[Pcode]],CampList[CP_Pcode],0)-1,0,1,1)</f>
        <v>15</v>
      </c>
      <c r="F111" s="251">
        <f ca="1">OFFSET(CampList[Total],MATCH(Table10[[#This Row],[Pcode]],CampList[CP_Pcode],0)-1,0,1,1)</f>
        <v>72</v>
      </c>
      <c r="G111" s="251">
        <f>SUMIF('NFI Tracking'!AQ$11:AQ$1048576,Table10[[#This Row],[Pcode]],'NFI Tracking'!AI$11:AI$1048576)</f>
        <v>0</v>
      </c>
      <c r="H111" s="251">
        <f>SUMIF('NFI Tracking'!AQ$11:AQ$1048576,Table10[[#This Row],[Pcode]],'NFI Tracking'!AJ$11:AJ$1048576)</f>
        <v>0</v>
      </c>
      <c r="I111" s="251">
        <f>SUMIF('NFI Tracking'!AQ$11:AQ$1048576,Table10[[#This Row],[Pcode]],'NFI Tracking'!AK$11:AK$1048576)</f>
        <v>0</v>
      </c>
      <c r="J111" s="251">
        <f ca="1">MAX(Table10[[#This Row],[HH]]*VLOOKUP("Winter Clothes Adult",NFI,6)-Table10[[#This Row],[Winter Clothes Adult ]],0)</f>
        <v>30</v>
      </c>
      <c r="K111" s="251">
        <f ca="1">MAX(Table10[[#This Row],[HH]]*VLOOKUP("Winter Clothes Children ",NFI,6)-Table10[[#This Row],[Winter Clothes Children ]],0)</f>
        <v>15</v>
      </c>
      <c r="L111" s="251">
        <f ca="1">MAX(Table10[[#This Row],[HH]]*VLOOKUP("Winter Items Other ",NFI,6)-Table10[[#This Row],[Winter Items Other ]],0)</f>
        <v>15</v>
      </c>
      <c r="M111" s="279" t="str">
        <f>IF(OR(Table10[[#This Row],[Winter Clothes Adult ]]&lt;&gt;0,Table10[[#This Row],[Winter Clothes Children ]]&lt;&gt;0,Table10[[#This Row],[Winter Items Other ]]&lt;&gt;0),"No","")</f>
        <v/>
      </c>
      <c r="N111" s="280">
        <f>COUNTIF(A:A,Table10[[#This Row],[Pcode]])-1</f>
        <v>0</v>
      </c>
    </row>
    <row r="112" spans="1:14" x14ac:dyDescent="0.25">
      <c r="A112" s="234" t="s">
        <v>150</v>
      </c>
      <c r="B112" s="18" t="str">
        <f ca="1">OFFSET(CampList[Priority],MATCH(Table10[[#This Row],[Pcode]],CampList[CP_Pcode],0)-1,0,1,1)</f>
        <v>P4</v>
      </c>
      <c r="C112" s="18" t="str">
        <f ca="1">OFFSET(CampList[Camp],MATCH(Table10[[#This Row],[Pcode]],CampList[CP_Pcode],0)-1,0,1,1)</f>
        <v>Mansi Baptist Church</v>
      </c>
      <c r="D112" s="18" t="str">
        <f ca="1">OFFSET(CampList[Township],MATCH(Table10[[#This Row],[Pcode]],CampList[CP_Pcode],0)-1,0,1,1)</f>
        <v>Mansi</v>
      </c>
      <c r="E112" s="251">
        <f ca="1">OFFSET(CampList[HH],MATCH(Table10[[#This Row],[Pcode]],CampList[CP_Pcode],0)-1,0,1,1)</f>
        <v>194</v>
      </c>
      <c r="F112" s="251">
        <f ca="1">OFFSET(CampList[Total],MATCH(Table10[[#This Row],[Pcode]],CampList[CP_Pcode],0)-1,0,1,1)</f>
        <v>874</v>
      </c>
      <c r="G112" s="251">
        <f>SUMIF('NFI Tracking'!AQ$11:AQ$1048576,Table10[[#This Row],[Pcode]],'NFI Tracking'!AI$11:AI$1048576)</f>
        <v>0</v>
      </c>
      <c r="H112" s="251">
        <f>SUMIF('NFI Tracking'!AQ$11:AQ$1048576,Table10[[#This Row],[Pcode]],'NFI Tracking'!AJ$11:AJ$1048576)</f>
        <v>0</v>
      </c>
      <c r="I112" s="251">
        <f>SUMIF('NFI Tracking'!AQ$11:AQ$1048576,Table10[[#This Row],[Pcode]],'NFI Tracking'!AK$11:AK$1048576)</f>
        <v>0</v>
      </c>
      <c r="J112" s="251">
        <f ca="1">MAX(Table10[[#This Row],[HH]]*VLOOKUP("Winter Clothes Adult",NFI,6)-Table10[[#This Row],[Winter Clothes Adult ]],0)</f>
        <v>388</v>
      </c>
      <c r="K112" s="251">
        <f ca="1">MAX(Table10[[#This Row],[HH]]*VLOOKUP("Winter Clothes Children ",NFI,6)-Table10[[#This Row],[Winter Clothes Children ]],0)</f>
        <v>194</v>
      </c>
      <c r="L112" s="251">
        <f ca="1">MAX(Table10[[#This Row],[HH]]*VLOOKUP("Winter Items Other ",NFI,6)-Table10[[#This Row],[Winter Items Other ]],0)</f>
        <v>194</v>
      </c>
      <c r="M112" s="279" t="str">
        <f>IF(OR(Table10[[#This Row],[Winter Clothes Adult ]]&lt;&gt;0,Table10[[#This Row],[Winter Clothes Children ]]&lt;&gt;0,Table10[[#This Row],[Winter Items Other ]]&lt;&gt;0),"No","")</f>
        <v/>
      </c>
      <c r="N112" s="280">
        <f>COUNTIF(A:A,Table10[[#This Row],[Pcode]])-1</f>
        <v>0</v>
      </c>
    </row>
    <row r="113" spans="1:14" x14ac:dyDescent="0.25">
      <c r="A113" s="234" t="s">
        <v>262</v>
      </c>
      <c r="B113" s="18" t="str">
        <f ca="1">OFFSET(CampList[Priority],MATCH(Table10[[#This Row],[Pcode]],CampList[CP_Pcode],0)-1,0,1,1)</f>
        <v>P4</v>
      </c>
      <c r="C113" s="18" t="str">
        <f ca="1">OFFSET(CampList[Camp],MATCH(Table10[[#This Row],[Pcode]],CampList[CP_Pcode],0)-1,0,1,1)</f>
        <v>Maw Hpawng Hka Nan Baptist Church</v>
      </c>
      <c r="D113" s="18" t="str">
        <f ca="1">OFFSET(CampList[Township],MATCH(Table10[[#This Row],[Pcode]],CampList[CP_Pcode],0)-1,0,1,1)</f>
        <v>Myitkyina</v>
      </c>
      <c r="E113" s="251">
        <f ca="1">OFFSET(CampList[HH],MATCH(Table10[[#This Row],[Pcode]],CampList[CP_Pcode],0)-1,0,1,1)</f>
        <v>23</v>
      </c>
      <c r="F113" s="251">
        <f ca="1">OFFSET(CampList[Total],MATCH(Table10[[#This Row],[Pcode]],CampList[CP_Pcode],0)-1,0,1,1)</f>
        <v>93</v>
      </c>
      <c r="G113" s="251">
        <f>SUMIF('NFI Tracking'!AQ$11:AQ$1048576,Table10[[#This Row],[Pcode]],'NFI Tracking'!AI$11:AI$1048576)</f>
        <v>0</v>
      </c>
      <c r="H113" s="251">
        <f>SUMIF('NFI Tracking'!AQ$11:AQ$1048576,Table10[[#This Row],[Pcode]],'NFI Tracking'!AJ$11:AJ$1048576)</f>
        <v>0</v>
      </c>
      <c r="I113" s="251">
        <f>SUMIF('NFI Tracking'!AQ$11:AQ$1048576,Table10[[#This Row],[Pcode]],'NFI Tracking'!AK$11:AK$1048576)</f>
        <v>0</v>
      </c>
      <c r="J113" s="251">
        <f ca="1">MAX(Table10[[#This Row],[HH]]*VLOOKUP("Winter Clothes Adult",NFI,6)-Table10[[#This Row],[Winter Clothes Adult ]],0)</f>
        <v>46</v>
      </c>
      <c r="K113" s="251">
        <f ca="1">MAX(Table10[[#This Row],[HH]]*VLOOKUP("Winter Clothes Children ",NFI,6)-Table10[[#This Row],[Winter Clothes Children ]],0)</f>
        <v>23</v>
      </c>
      <c r="L113" s="251">
        <f ca="1">MAX(Table10[[#This Row],[HH]]*VLOOKUP("Winter Items Other ",NFI,6)-Table10[[#This Row],[Winter Items Other ]],0)</f>
        <v>23</v>
      </c>
      <c r="M113" s="279" t="str">
        <f>IF(OR(Table10[[#This Row],[Winter Clothes Adult ]]&lt;&gt;0,Table10[[#This Row],[Winter Clothes Children ]]&lt;&gt;0,Table10[[#This Row],[Winter Items Other ]]&lt;&gt;0),"No","")</f>
        <v/>
      </c>
      <c r="N113" s="280">
        <f>COUNTIF(A:A,Table10[[#This Row],[Pcode]])-1</f>
        <v>0</v>
      </c>
    </row>
    <row r="114" spans="1:14" x14ac:dyDescent="0.25">
      <c r="A114" s="234" t="s">
        <v>264</v>
      </c>
      <c r="B114" s="18" t="str">
        <f ca="1">OFFSET(CampList[Priority],MATCH(Table10[[#This Row],[Pcode]],CampList[CP_Pcode],0)-1,0,1,1)</f>
        <v>P4</v>
      </c>
      <c r="C114" s="18" t="str">
        <f ca="1">OFFSET(CampList[Camp],MATCH(Table10[[#This Row],[Pcode]],CampList[CP_Pcode],0)-1,0,1,1)</f>
        <v>Maw Hpawng Lhaovo Baptist Church</v>
      </c>
      <c r="D114" s="18" t="str">
        <f ca="1">OFFSET(CampList[Township],MATCH(Table10[[#This Row],[Pcode]],CampList[CP_Pcode],0)-1,0,1,1)</f>
        <v>Myitkyina</v>
      </c>
      <c r="E114" s="251">
        <f ca="1">OFFSET(CampList[HH],MATCH(Table10[[#This Row],[Pcode]],CampList[CP_Pcode],0)-1,0,1,1)</f>
        <v>15</v>
      </c>
      <c r="F114" s="251">
        <f ca="1">OFFSET(CampList[Total],MATCH(Table10[[#This Row],[Pcode]],CampList[CP_Pcode],0)-1,0,1,1)</f>
        <v>78</v>
      </c>
      <c r="G114" s="251">
        <f>SUMIF('NFI Tracking'!AQ$11:AQ$1048576,Table10[[#This Row],[Pcode]],'NFI Tracking'!AI$11:AI$1048576)</f>
        <v>0</v>
      </c>
      <c r="H114" s="251">
        <f>SUMIF('NFI Tracking'!AQ$11:AQ$1048576,Table10[[#This Row],[Pcode]],'NFI Tracking'!AJ$11:AJ$1048576)</f>
        <v>0</v>
      </c>
      <c r="I114" s="251">
        <f>SUMIF('NFI Tracking'!AQ$11:AQ$1048576,Table10[[#This Row],[Pcode]],'NFI Tracking'!AK$11:AK$1048576)</f>
        <v>0</v>
      </c>
      <c r="J114" s="251">
        <f ca="1">MAX(Table10[[#This Row],[HH]]*VLOOKUP("Winter Clothes Adult",NFI,6)-Table10[[#This Row],[Winter Clothes Adult ]],0)</f>
        <v>30</v>
      </c>
      <c r="K114" s="251">
        <f ca="1">MAX(Table10[[#This Row],[HH]]*VLOOKUP("Winter Clothes Children ",NFI,6)-Table10[[#This Row],[Winter Clothes Children ]],0)</f>
        <v>15</v>
      </c>
      <c r="L114" s="251">
        <f ca="1">MAX(Table10[[#This Row],[HH]]*VLOOKUP("Winter Items Other ",NFI,6)-Table10[[#This Row],[Winter Items Other ]],0)</f>
        <v>15</v>
      </c>
      <c r="M114" s="279" t="str">
        <f>IF(OR(Table10[[#This Row],[Winter Clothes Adult ]]&lt;&gt;0,Table10[[#This Row],[Winter Clothes Children ]]&lt;&gt;0,Table10[[#This Row],[Winter Items Other ]]&lt;&gt;0),"No","")</f>
        <v/>
      </c>
      <c r="N114" s="280">
        <f>COUNTIF(A:A,Table10[[#This Row],[Pcode]])-1</f>
        <v>0</v>
      </c>
    </row>
    <row r="115" spans="1:14" x14ac:dyDescent="0.25">
      <c r="A115" s="234" t="s">
        <v>99</v>
      </c>
      <c r="B115" s="18" t="str">
        <f ca="1">OFFSET(CampList[Priority],MATCH(Table10[[#This Row],[Pcode]],CampList[CP_Pcode],0)-1,0,1,1)</f>
        <v>P4</v>
      </c>
      <c r="C115" s="18" t="str">
        <f ca="1">OFFSET(CampList[Camp],MATCH(Table10[[#This Row],[Pcode]],CampList[CP_Pcode],0)-1,0,1,1)</f>
        <v>Maw Wan, Mu-yin Baptist Church</v>
      </c>
      <c r="D115" s="18" t="str">
        <f ca="1">OFFSET(CampList[Township],MATCH(Table10[[#This Row],[Pcode]],CampList[CP_Pcode],0)-1,0,1,1)</f>
        <v>Hpakant</v>
      </c>
      <c r="E115" s="251">
        <f ca="1">OFFSET(CampList[HH],MATCH(Table10[[#This Row],[Pcode]],CampList[CP_Pcode],0)-1,0,1,1)</f>
        <v>4</v>
      </c>
      <c r="F115" s="251">
        <f ca="1">OFFSET(CampList[Total],MATCH(Table10[[#This Row],[Pcode]],CampList[CP_Pcode],0)-1,0,1,1)</f>
        <v>14</v>
      </c>
      <c r="G115" s="251">
        <f>SUMIF('NFI Tracking'!AQ$11:AQ$1048576,Table10[[#This Row],[Pcode]],'NFI Tracking'!AI$11:AI$1048576)</f>
        <v>0</v>
      </c>
      <c r="H115" s="251">
        <f>SUMIF('NFI Tracking'!AQ$11:AQ$1048576,Table10[[#This Row],[Pcode]],'NFI Tracking'!AJ$11:AJ$1048576)</f>
        <v>0</v>
      </c>
      <c r="I115" s="251">
        <f>SUMIF('NFI Tracking'!AQ$11:AQ$1048576,Table10[[#This Row],[Pcode]],'NFI Tracking'!AK$11:AK$1048576)</f>
        <v>0</v>
      </c>
      <c r="J115" s="251">
        <f ca="1">MAX(Table10[[#This Row],[HH]]*VLOOKUP("Winter Clothes Adult",NFI,6)-Table10[[#This Row],[Winter Clothes Adult ]],0)</f>
        <v>8</v>
      </c>
      <c r="K115" s="251">
        <f ca="1">MAX(Table10[[#This Row],[HH]]*VLOOKUP("Winter Clothes Children ",NFI,6)-Table10[[#This Row],[Winter Clothes Children ]],0)</f>
        <v>4</v>
      </c>
      <c r="L115" s="251">
        <f ca="1">MAX(Table10[[#This Row],[HH]]*VLOOKUP("Winter Items Other ",NFI,6)-Table10[[#This Row],[Winter Items Other ]],0)</f>
        <v>4</v>
      </c>
      <c r="M115" s="279" t="str">
        <f>IF(OR(Table10[[#This Row],[Winter Clothes Adult ]]&lt;&gt;0,Table10[[#This Row],[Winter Clothes Children ]]&lt;&gt;0,Table10[[#This Row],[Winter Items Other ]]&lt;&gt;0),"No","")</f>
        <v/>
      </c>
      <c r="N115" s="280">
        <f>COUNTIF(A:A,Table10[[#This Row],[Pcode]])-1</f>
        <v>0</v>
      </c>
    </row>
    <row r="116" spans="1:14" x14ac:dyDescent="0.25">
      <c r="A116" s="234" t="s">
        <v>208</v>
      </c>
      <c r="B116" s="18" t="str">
        <f ca="1">OFFSET(CampList[Priority],MATCH(Table10[[#This Row],[Pcode]],CampList[CP_Pcode],0)-1,0,1,1)</f>
        <v>P4</v>
      </c>
      <c r="C116" s="18" t="str">
        <f ca="1">OFFSET(CampList[Camp],MATCH(Table10[[#This Row],[Pcode]],CampList[CP_Pcode],0)-1,0,1,1)</f>
        <v>Momauk Baptist Church</v>
      </c>
      <c r="D116" s="18" t="str">
        <f ca="1">OFFSET(CampList[Township],MATCH(Table10[[#This Row],[Pcode]],CampList[CP_Pcode],0)-1,0,1,1)</f>
        <v>Momauk</v>
      </c>
      <c r="E116" s="251">
        <f ca="1">OFFSET(CampList[HH],MATCH(Table10[[#This Row],[Pcode]],CampList[CP_Pcode],0)-1,0,1,1)</f>
        <v>387</v>
      </c>
      <c r="F116" s="251">
        <f ca="1">OFFSET(CampList[Total],MATCH(Table10[[#This Row],[Pcode]],CampList[CP_Pcode],0)-1,0,1,1)</f>
        <v>1874</v>
      </c>
      <c r="G116" s="251">
        <f>SUMIF('NFI Tracking'!AQ$11:AQ$1048576,Table10[[#This Row],[Pcode]],'NFI Tracking'!AI$11:AI$1048576)</f>
        <v>0</v>
      </c>
      <c r="H116" s="251">
        <f>SUMIF('NFI Tracking'!AQ$11:AQ$1048576,Table10[[#This Row],[Pcode]],'NFI Tracking'!AJ$11:AJ$1048576)</f>
        <v>0</v>
      </c>
      <c r="I116" s="251">
        <f>SUMIF('NFI Tracking'!AQ$11:AQ$1048576,Table10[[#This Row],[Pcode]],'NFI Tracking'!AK$11:AK$1048576)</f>
        <v>0</v>
      </c>
      <c r="J116" s="251">
        <f ca="1">MAX(Table10[[#This Row],[HH]]*VLOOKUP("Winter Clothes Adult",NFI,6)-Table10[[#This Row],[Winter Clothes Adult ]],0)</f>
        <v>774</v>
      </c>
      <c r="K116" s="251">
        <f ca="1">MAX(Table10[[#This Row],[HH]]*VLOOKUP("Winter Clothes Children ",NFI,6)-Table10[[#This Row],[Winter Clothes Children ]],0)</f>
        <v>387</v>
      </c>
      <c r="L116" s="251">
        <f ca="1">MAX(Table10[[#This Row],[HH]]*VLOOKUP("Winter Items Other ",NFI,6)-Table10[[#This Row],[Winter Items Other ]],0)</f>
        <v>387</v>
      </c>
      <c r="M116" s="279" t="str">
        <f>IF(OR(Table10[[#This Row],[Winter Clothes Adult ]]&lt;&gt;0,Table10[[#This Row],[Winter Clothes Children ]]&lt;&gt;0,Table10[[#This Row],[Winter Items Other ]]&lt;&gt;0),"No","")</f>
        <v/>
      </c>
      <c r="N116" s="280">
        <f>COUNTIF(A:A,Table10[[#This Row],[Pcode]])-1</f>
        <v>0</v>
      </c>
    </row>
    <row r="117" spans="1:14" x14ac:dyDescent="0.25">
      <c r="A117" s="234" t="s">
        <v>210</v>
      </c>
      <c r="B117" s="18" t="str">
        <f ca="1">OFFSET(CampList[Priority],MATCH(Table10[[#This Row],[Pcode]],CampList[CP_Pcode],0)-1,0,1,1)</f>
        <v>P4</v>
      </c>
      <c r="C117" s="18" t="str">
        <f ca="1">OFFSET(CampList[Camp],MATCH(Table10[[#This Row],[Pcode]],CampList[CP_Pcode],0)-1,0,1,1)</f>
        <v>Momauk Catholic Church (St. Patrick)</v>
      </c>
      <c r="D117" s="18" t="str">
        <f ca="1">OFFSET(CampList[Township],MATCH(Table10[[#This Row],[Pcode]],CampList[CP_Pcode],0)-1,0,1,1)</f>
        <v>Momauk</v>
      </c>
      <c r="E117" s="251">
        <f ca="1">OFFSET(CampList[HH],MATCH(Table10[[#This Row],[Pcode]],CampList[CP_Pcode],0)-1,0,1,1)</f>
        <v>0</v>
      </c>
      <c r="F117" s="251">
        <f ca="1">OFFSET(CampList[Total],MATCH(Table10[[#This Row],[Pcode]],CampList[CP_Pcode],0)-1,0,1,1)</f>
        <v>0</v>
      </c>
      <c r="G117" s="251">
        <f>SUMIF('NFI Tracking'!AQ$11:AQ$1048576,Table10[[#This Row],[Pcode]],'NFI Tracking'!AI$11:AI$1048576)</f>
        <v>0</v>
      </c>
      <c r="H117" s="251">
        <f>SUMIF('NFI Tracking'!AQ$11:AQ$1048576,Table10[[#This Row],[Pcode]],'NFI Tracking'!AJ$11:AJ$1048576)</f>
        <v>0</v>
      </c>
      <c r="I117" s="251">
        <f>SUMIF('NFI Tracking'!AQ$11:AQ$1048576,Table10[[#This Row],[Pcode]],'NFI Tracking'!AK$11:AK$1048576)</f>
        <v>0</v>
      </c>
      <c r="J117" s="251">
        <f ca="1">MAX(Table10[[#This Row],[HH]]*VLOOKUP("Winter Clothes Adult",NFI,6)-Table10[[#This Row],[Winter Clothes Adult ]],0)</f>
        <v>0</v>
      </c>
      <c r="K117" s="251">
        <f ca="1">MAX(Table10[[#This Row],[HH]]*VLOOKUP("Winter Clothes Children ",NFI,6)-Table10[[#This Row],[Winter Clothes Children ]],0)</f>
        <v>0</v>
      </c>
      <c r="L117" s="251">
        <f ca="1">MAX(Table10[[#This Row],[HH]]*VLOOKUP("Winter Items Other ",NFI,6)-Table10[[#This Row],[Winter Items Other ]],0)</f>
        <v>0</v>
      </c>
      <c r="M117" s="279" t="str">
        <f>IF(OR(Table10[[#This Row],[Winter Clothes Adult ]]&lt;&gt;0,Table10[[#This Row],[Winter Clothes Children ]]&lt;&gt;0,Table10[[#This Row],[Winter Items Other ]]&lt;&gt;0),"No","")</f>
        <v/>
      </c>
      <c r="N117" s="280">
        <f>COUNTIF(A:A,Table10[[#This Row],[Pcode]])-1</f>
        <v>0</v>
      </c>
    </row>
    <row r="118" spans="1:14" x14ac:dyDescent="0.25">
      <c r="A118" s="234" t="s">
        <v>1050</v>
      </c>
      <c r="B118" s="18" t="str">
        <f ca="1">OFFSET(CampList[Priority],MATCH(Table10[[#This Row],[Pcode]],CampList[CP_Pcode],0)-1,0,1,1)</f>
        <v>P4</v>
      </c>
      <c r="C118" s="18" t="str">
        <f ca="1">OFFSET(CampList[Camp],MATCH(Table10[[#This Row],[Pcode]],CampList[CP_Pcode],0)-1,0,1,1)</f>
        <v>Muse Baptist Church</v>
      </c>
      <c r="D118" s="18" t="str">
        <f ca="1">OFFSET(CampList[Township],MATCH(Table10[[#This Row],[Pcode]],CampList[CP_Pcode],0)-1,0,1,1)</f>
        <v>Muse</v>
      </c>
      <c r="E118" s="251">
        <f ca="1">OFFSET(CampList[HH],MATCH(Table10[[#This Row],[Pcode]],CampList[CP_Pcode],0)-1,0,1,1)</f>
        <v>44</v>
      </c>
      <c r="F118" s="251">
        <f ca="1">OFFSET(CampList[Total],MATCH(Table10[[#This Row],[Pcode]],CampList[CP_Pcode],0)-1,0,1,1)</f>
        <v>214</v>
      </c>
      <c r="G118" s="251">
        <f>SUMIF('NFI Tracking'!AQ$11:AQ$1048576,Table10[[#This Row],[Pcode]],'NFI Tracking'!AI$11:AI$1048576)</f>
        <v>0</v>
      </c>
      <c r="H118" s="251">
        <f>SUMIF('NFI Tracking'!AQ$11:AQ$1048576,Table10[[#This Row],[Pcode]],'NFI Tracking'!AJ$11:AJ$1048576)</f>
        <v>0</v>
      </c>
      <c r="I118" s="251">
        <f>SUMIF('NFI Tracking'!AQ$11:AQ$1048576,Table10[[#This Row],[Pcode]],'NFI Tracking'!AK$11:AK$1048576)</f>
        <v>0</v>
      </c>
      <c r="J118" s="251">
        <f ca="1">MAX(Table10[[#This Row],[HH]]*VLOOKUP("Winter Clothes Adult",NFI,6)-Table10[[#This Row],[Winter Clothes Adult ]],0)</f>
        <v>88</v>
      </c>
      <c r="K118" s="251">
        <f ca="1">MAX(Table10[[#This Row],[HH]]*VLOOKUP("Winter Clothes Children ",NFI,6)-Table10[[#This Row],[Winter Clothes Children ]],0)</f>
        <v>44</v>
      </c>
      <c r="L118" s="251">
        <f ca="1">MAX(Table10[[#This Row],[HH]]*VLOOKUP("Winter Items Other ",NFI,6)-Table10[[#This Row],[Winter Items Other ]],0)</f>
        <v>44</v>
      </c>
      <c r="M118" s="279" t="str">
        <f>IF(OR(Table10[[#This Row],[Winter Clothes Adult ]]&lt;&gt;0,Table10[[#This Row],[Winter Clothes Children ]]&lt;&gt;0,Table10[[#This Row],[Winter Items Other ]]&lt;&gt;0),"No","")</f>
        <v/>
      </c>
      <c r="N118" s="280">
        <f>COUNTIF(A:A,Table10[[#This Row],[Pcode]])-1</f>
        <v>0</v>
      </c>
    </row>
    <row r="119" spans="1:14" x14ac:dyDescent="0.25">
      <c r="A119" s="234" t="s">
        <v>1060</v>
      </c>
      <c r="B119" s="18" t="str">
        <f ca="1">OFFSET(CampList[Priority],MATCH(Table10[[#This Row],[Pcode]],CampList[CP_Pcode],0)-1,0,1,1)</f>
        <v>P4</v>
      </c>
      <c r="C119" s="18" t="str">
        <f ca="1">OFFSET(CampList[Camp],MATCH(Table10[[#This Row],[Pcode]],CampList[CP_Pcode],0)-1,0,1,1)</f>
        <v>Muse Catholic Church</v>
      </c>
      <c r="D119" s="18" t="str">
        <f ca="1">OFFSET(CampList[Township],MATCH(Table10[[#This Row],[Pcode]],CampList[CP_Pcode],0)-1,0,1,1)</f>
        <v>Muse</v>
      </c>
      <c r="E119" s="251">
        <f ca="1">OFFSET(CampList[HH],MATCH(Table10[[#This Row],[Pcode]],CampList[CP_Pcode],0)-1,0,1,1)</f>
        <v>25</v>
      </c>
      <c r="F119" s="251">
        <f ca="1">OFFSET(CampList[Total],MATCH(Table10[[#This Row],[Pcode]],CampList[CP_Pcode],0)-1,0,1,1)</f>
        <v>113</v>
      </c>
      <c r="G119" s="251">
        <f>SUMIF('NFI Tracking'!AQ$11:AQ$1048576,Table10[[#This Row],[Pcode]],'NFI Tracking'!AI$11:AI$1048576)</f>
        <v>0</v>
      </c>
      <c r="H119" s="251">
        <f>SUMIF('NFI Tracking'!AQ$11:AQ$1048576,Table10[[#This Row],[Pcode]],'NFI Tracking'!AJ$11:AJ$1048576)</f>
        <v>0</v>
      </c>
      <c r="I119" s="251">
        <f>SUMIF('NFI Tracking'!AQ$11:AQ$1048576,Table10[[#This Row],[Pcode]],'NFI Tracking'!AK$11:AK$1048576)</f>
        <v>0</v>
      </c>
      <c r="J119" s="251">
        <f ca="1">MAX(Table10[[#This Row],[HH]]*VLOOKUP("Winter Clothes Adult",NFI,6)-Table10[[#This Row],[Winter Clothes Adult ]],0)</f>
        <v>50</v>
      </c>
      <c r="K119" s="251">
        <f ca="1">MAX(Table10[[#This Row],[HH]]*VLOOKUP("Winter Clothes Children ",NFI,6)-Table10[[#This Row],[Winter Clothes Children ]],0)</f>
        <v>25</v>
      </c>
      <c r="L119" s="251">
        <f ca="1">MAX(Table10[[#This Row],[HH]]*VLOOKUP("Winter Items Other ",NFI,6)-Table10[[#This Row],[Winter Items Other ]],0)</f>
        <v>25</v>
      </c>
      <c r="M119" s="279" t="str">
        <f>IF(OR(Table10[[#This Row],[Winter Clothes Adult ]]&lt;&gt;0,Table10[[#This Row],[Winter Clothes Children ]]&lt;&gt;0,Table10[[#This Row],[Winter Items Other ]]&lt;&gt;0),"No","")</f>
        <v/>
      </c>
      <c r="N119" s="280">
        <f>COUNTIF(A:A,Table10[[#This Row],[Pcode]])-1</f>
        <v>0</v>
      </c>
    </row>
    <row r="120" spans="1:14" x14ac:dyDescent="0.25">
      <c r="A120" s="234" t="s">
        <v>7</v>
      </c>
      <c r="B120" s="18" t="str">
        <f ca="1">OFFSET(CampList[Priority],MATCH(Table10[[#This Row],[Pcode]],CampList[CP_Pcode],0)-1,0,1,1)</f>
        <v>P4</v>
      </c>
      <c r="C120" s="18" t="str">
        <f ca="1">OFFSET(CampList[Camp],MATCH(Table10[[#This Row],[Pcode]],CampList[CP_Pcode],0)-1,0,1,1)</f>
        <v>Mu-yin Baptist Church</v>
      </c>
      <c r="D120" s="18" t="str">
        <f ca="1">OFFSET(CampList[Township],MATCH(Table10[[#This Row],[Pcode]],CampList[CP_Pcode],0)-1,0,1,1)</f>
        <v>Bhamo</v>
      </c>
      <c r="E120" s="251">
        <f ca="1">OFFSET(CampList[HH],MATCH(Table10[[#This Row],[Pcode]],CampList[CP_Pcode],0)-1,0,1,1)</f>
        <v>13</v>
      </c>
      <c r="F120" s="251">
        <f ca="1">OFFSET(CampList[Total],MATCH(Table10[[#This Row],[Pcode]],CampList[CP_Pcode],0)-1,0,1,1)</f>
        <v>56</v>
      </c>
      <c r="G120" s="251">
        <f>SUMIF('NFI Tracking'!AQ$11:AQ$1048576,Table10[[#This Row],[Pcode]],'NFI Tracking'!AI$11:AI$1048576)</f>
        <v>0</v>
      </c>
      <c r="H120" s="251">
        <f>SUMIF('NFI Tracking'!AQ$11:AQ$1048576,Table10[[#This Row],[Pcode]],'NFI Tracking'!AJ$11:AJ$1048576)</f>
        <v>0</v>
      </c>
      <c r="I120" s="251">
        <f>SUMIF('NFI Tracking'!AQ$11:AQ$1048576,Table10[[#This Row],[Pcode]],'NFI Tracking'!AK$11:AK$1048576)</f>
        <v>0</v>
      </c>
      <c r="J120" s="251">
        <f ca="1">MAX(Table10[[#This Row],[HH]]*VLOOKUP("Winter Clothes Adult",NFI,6)-Table10[[#This Row],[Winter Clothes Adult ]],0)</f>
        <v>26</v>
      </c>
      <c r="K120" s="251">
        <f ca="1">MAX(Table10[[#This Row],[HH]]*VLOOKUP("Winter Clothes Children ",NFI,6)-Table10[[#This Row],[Winter Clothes Children ]],0)</f>
        <v>13</v>
      </c>
      <c r="L120" s="251">
        <f ca="1">MAX(Table10[[#This Row],[HH]]*VLOOKUP("Winter Items Other ",NFI,6)-Table10[[#This Row],[Winter Items Other ]],0)</f>
        <v>13</v>
      </c>
      <c r="M120" s="279" t="str">
        <f>IF(OR(Table10[[#This Row],[Winter Clothes Adult ]]&lt;&gt;0,Table10[[#This Row],[Winter Clothes Children ]]&lt;&gt;0,Table10[[#This Row],[Winter Items Other ]]&lt;&gt;0),"No","")</f>
        <v/>
      </c>
      <c r="N120" s="280">
        <f>COUNTIF(A:A,Table10[[#This Row],[Pcode]])-1</f>
        <v>0</v>
      </c>
    </row>
    <row r="121" spans="1:14" x14ac:dyDescent="0.25">
      <c r="A121" s="234" t="s">
        <v>266</v>
      </c>
      <c r="B121" s="18" t="str">
        <f ca="1">OFFSET(CampList[Priority],MATCH(Table10[[#This Row],[Pcode]],CampList[CP_Pcode],0)-1,0,1,1)</f>
        <v>P4</v>
      </c>
      <c r="C121" s="18" t="str">
        <f ca="1">OFFSET(CampList[Camp],MATCH(Table10[[#This Row],[Pcode]],CampList[CP_Pcode],0)-1,0,1,1)</f>
        <v>Myay Myint Baptist Church</v>
      </c>
      <c r="D121" s="18" t="str">
        <f ca="1">OFFSET(CampList[Township],MATCH(Table10[[#This Row],[Pcode]],CampList[CP_Pcode],0)-1,0,1,1)</f>
        <v>Myitkyina</v>
      </c>
      <c r="E121" s="251">
        <f ca="1">OFFSET(CampList[HH],MATCH(Table10[[#This Row],[Pcode]],CampList[CP_Pcode],0)-1,0,1,1)</f>
        <v>0</v>
      </c>
      <c r="F121" s="251">
        <f ca="1">OFFSET(CampList[Total],MATCH(Table10[[#This Row],[Pcode]],CampList[CP_Pcode],0)-1,0,1,1)</f>
        <v>0</v>
      </c>
      <c r="G121" s="251">
        <f>SUMIF('NFI Tracking'!AQ$11:AQ$1048576,Table10[[#This Row],[Pcode]],'NFI Tracking'!AI$11:AI$1048576)</f>
        <v>0</v>
      </c>
      <c r="H121" s="251">
        <f>SUMIF('NFI Tracking'!AQ$11:AQ$1048576,Table10[[#This Row],[Pcode]],'NFI Tracking'!AJ$11:AJ$1048576)</f>
        <v>0</v>
      </c>
      <c r="I121" s="251">
        <f>SUMIF('NFI Tracking'!AQ$11:AQ$1048576,Table10[[#This Row],[Pcode]],'NFI Tracking'!AK$11:AK$1048576)</f>
        <v>0</v>
      </c>
      <c r="J121" s="251">
        <f ca="1">MAX(Table10[[#This Row],[HH]]*VLOOKUP("Winter Clothes Adult",NFI,6)-Table10[[#This Row],[Winter Clothes Adult ]],0)</f>
        <v>0</v>
      </c>
      <c r="K121" s="251">
        <f ca="1">MAX(Table10[[#This Row],[HH]]*VLOOKUP("Winter Clothes Children ",NFI,6)-Table10[[#This Row],[Winter Clothes Children ]],0)</f>
        <v>0</v>
      </c>
      <c r="L121" s="251">
        <f ca="1">MAX(Table10[[#This Row],[HH]]*VLOOKUP("Winter Items Other ",NFI,6)-Table10[[#This Row],[Winter Items Other ]],0)</f>
        <v>0</v>
      </c>
      <c r="M121" s="279" t="str">
        <f>IF(OR(Table10[[#This Row],[Winter Clothes Adult ]]&lt;&gt;0,Table10[[#This Row],[Winter Clothes Children ]]&lt;&gt;0,Table10[[#This Row],[Winter Items Other ]]&lt;&gt;0),"No","")</f>
        <v/>
      </c>
      <c r="N121" s="280">
        <f>COUNTIF(A:A,Table10[[#This Row],[Pcode]])-1</f>
        <v>0</v>
      </c>
    </row>
    <row r="122" spans="1:14" x14ac:dyDescent="0.25">
      <c r="A122" s="234" t="s">
        <v>212</v>
      </c>
      <c r="B122" s="18" t="str">
        <f ca="1">OFFSET(CampList[Priority],MATCH(Table10[[#This Row],[Pcode]],CampList[CP_Pcode],0)-1,0,1,1)</f>
        <v>P4</v>
      </c>
      <c r="C122" s="18" t="str">
        <f ca="1">OFFSET(CampList[Camp],MATCH(Table10[[#This Row],[Pcode]],CampList[CP_Pcode],0)-1,0,1,1)</f>
        <v xml:space="preserve">Myo Thit </v>
      </c>
      <c r="D122" s="18" t="str">
        <f ca="1">OFFSET(CampList[Township],MATCH(Table10[[#This Row],[Pcode]],CampList[CP_Pcode],0)-1,0,1,1)</f>
        <v>Momauk</v>
      </c>
      <c r="E122" s="251">
        <f ca="1">OFFSET(CampList[HH],MATCH(Table10[[#This Row],[Pcode]],CampList[CP_Pcode],0)-1,0,1,1)</f>
        <v>44</v>
      </c>
      <c r="F122" s="251">
        <f ca="1">OFFSET(CampList[Total],MATCH(Table10[[#This Row],[Pcode]],CampList[CP_Pcode],0)-1,0,1,1)</f>
        <v>143</v>
      </c>
      <c r="G122" s="251">
        <f>SUMIF('NFI Tracking'!AQ$11:AQ$1048576,Table10[[#This Row],[Pcode]],'NFI Tracking'!AI$11:AI$1048576)</f>
        <v>0</v>
      </c>
      <c r="H122" s="251">
        <f>SUMIF('NFI Tracking'!AQ$11:AQ$1048576,Table10[[#This Row],[Pcode]],'NFI Tracking'!AJ$11:AJ$1048576)</f>
        <v>0</v>
      </c>
      <c r="I122" s="251">
        <f>SUMIF('NFI Tracking'!AQ$11:AQ$1048576,Table10[[#This Row],[Pcode]],'NFI Tracking'!AK$11:AK$1048576)</f>
        <v>0</v>
      </c>
      <c r="J122" s="251">
        <f ca="1">MAX(Table10[[#This Row],[HH]]*VLOOKUP("Winter Clothes Adult",NFI,6)-Table10[[#This Row],[Winter Clothes Adult ]],0)</f>
        <v>88</v>
      </c>
      <c r="K122" s="251">
        <f ca="1">MAX(Table10[[#This Row],[HH]]*VLOOKUP("Winter Clothes Children ",NFI,6)-Table10[[#This Row],[Winter Clothes Children ]],0)</f>
        <v>44</v>
      </c>
      <c r="L122" s="251">
        <f ca="1">MAX(Table10[[#This Row],[HH]]*VLOOKUP("Winter Items Other ",NFI,6)-Table10[[#This Row],[Winter Items Other ]],0)</f>
        <v>44</v>
      </c>
      <c r="M122" s="279" t="str">
        <f>IF(OR(Table10[[#This Row],[Winter Clothes Adult ]]&lt;&gt;0,Table10[[#This Row],[Winter Clothes Children ]]&lt;&gt;0,Table10[[#This Row],[Winter Items Other ]]&lt;&gt;0),"No","")</f>
        <v/>
      </c>
      <c r="N122" s="280">
        <f>COUNTIF(A:A,Table10[[#This Row],[Pcode]])-1</f>
        <v>0</v>
      </c>
    </row>
    <row r="123" spans="1:14" x14ac:dyDescent="0.25">
      <c r="A123" s="234" t="s">
        <v>1052</v>
      </c>
      <c r="B123" s="18" t="str">
        <f ca="1">OFFSET(CampList[Priority],MATCH(Table10[[#This Row],[Pcode]],CampList[CP_Pcode],0)-1,0,1,1)</f>
        <v>P4</v>
      </c>
      <c r="C123" s="18" t="str">
        <f ca="1">OFFSET(CampList[Camp],MATCH(Table10[[#This Row],[Pcode]],CampList[CP_Pcode],0)-1,0,1,1)</f>
        <v>Nam Hkam (KBC Jaw Wang) II</v>
      </c>
      <c r="D123" s="18" t="str">
        <f ca="1">OFFSET(CampList[Township],MATCH(Table10[[#This Row],[Pcode]],CampList[CP_Pcode],0)-1,0,1,1)</f>
        <v>Namhkan</v>
      </c>
      <c r="E123" s="251">
        <f ca="1">OFFSET(CampList[HH],MATCH(Table10[[#This Row],[Pcode]],CampList[CP_Pcode],0)-1,0,1,1)</f>
        <v>36</v>
      </c>
      <c r="F123" s="251">
        <f ca="1">OFFSET(CampList[Total],MATCH(Table10[[#This Row],[Pcode]],CampList[CP_Pcode],0)-1,0,1,1)</f>
        <v>179</v>
      </c>
      <c r="G123" s="251">
        <f>SUMIF('NFI Tracking'!AQ$11:AQ$1048576,Table10[[#This Row],[Pcode]],'NFI Tracking'!AI$11:AI$1048576)</f>
        <v>0</v>
      </c>
      <c r="H123" s="251">
        <f>SUMIF('NFI Tracking'!AQ$11:AQ$1048576,Table10[[#This Row],[Pcode]],'NFI Tracking'!AJ$11:AJ$1048576)</f>
        <v>0</v>
      </c>
      <c r="I123" s="251">
        <f>SUMIF('NFI Tracking'!AQ$11:AQ$1048576,Table10[[#This Row],[Pcode]],'NFI Tracking'!AK$11:AK$1048576)</f>
        <v>0</v>
      </c>
      <c r="J123" s="251">
        <f ca="1">MAX(Table10[[#This Row],[HH]]*VLOOKUP("Winter Clothes Adult",NFI,6)-Table10[[#This Row],[Winter Clothes Adult ]],0)</f>
        <v>72</v>
      </c>
      <c r="K123" s="251">
        <f ca="1">MAX(Table10[[#This Row],[HH]]*VLOOKUP("Winter Clothes Children ",NFI,6)-Table10[[#This Row],[Winter Clothes Children ]],0)</f>
        <v>36</v>
      </c>
      <c r="L123" s="251">
        <f ca="1">MAX(Table10[[#This Row],[HH]]*VLOOKUP("Winter Items Other ",NFI,6)-Table10[[#This Row],[Winter Items Other ]],0)</f>
        <v>36</v>
      </c>
      <c r="M123" s="279" t="str">
        <f>IF(OR(Table10[[#This Row],[Winter Clothes Adult ]]&lt;&gt;0,Table10[[#This Row],[Winter Clothes Children ]]&lt;&gt;0,Table10[[#This Row],[Winter Items Other ]]&lt;&gt;0),"No","")</f>
        <v/>
      </c>
      <c r="N123" s="280">
        <f>COUNTIF(A:A,Table10[[#This Row],[Pcode]])-1</f>
        <v>0</v>
      </c>
    </row>
    <row r="124" spans="1:14" x14ac:dyDescent="0.25">
      <c r="A124" s="234" t="s">
        <v>46</v>
      </c>
      <c r="B124" s="18" t="str">
        <f ca="1">OFFSET(CampList[Priority],MATCH(Table10[[#This Row],[Pcode]],CampList[CP_Pcode],0)-1,0,1,1)</f>
        <v>P4</v>
      </c>
      <c r="C124" s="18" t="str">
        <f ca="1">OFFSET(CampList[Camp],MATCH(Table10[[#This Row],[Pcode]],CampList[CP_Pcode],0)-1,0,1,1)</f>
        <v>Nam Ma Phyit, COC</v>
      </c>
      <c r="D124" s="18" t="str">
        <f ca="1">OFFSET(CampList[Township],MATCH(Table10[[#This Row],[Pcode]],CampList[CP_Pcode],0)-1,0,1,1)</f>
        <v>Hpakant</v>
      </c>
      <c r="E124" s="251">
        <f ca="1">OFFSET(CampList[HH],MATCH(Table10[[#This Row],[Pcode]],CampList[CP_Pcode],0)-1,0,1,1)</f>
        <v>12</v>
      </c>
      <c r="F124" s="251">
        <f ca="1">OFFSET(CampList[Total],MATCH(Table10[[#This Row],[Pcode]],CampList[CP_Pcode],0)-1,0,1,1)</f>
        <v>55</v>
      </c>
      <c r="G124" s="251">
        <f>SUMIF('NFI Tracking'!AQ$11:AQ$1048576,Table10[[#This Row],[Pcode]],'NFI Tracking'!AI$11:AI$1048576)</f>
        <v>0</v>
      </c>
      <c r="H124" s="251">
        <f>SUMIF('NFI Tracking'!AQ$11:AQ$1048576,Table10[[#This Row],[Pcode]],'NFI Tracking'!AJ$11:AJ$1048576)</f>
        <v>0</v>
      </c>
      <c r="I124" s="251">
        <f>SUMIF('NFI Tracking'!AQ$11:AQ$1048576,Table10[[#This Row],[Pcode]],'NFI Tracking'!AK$11:AK$1048576)</f>
        <v>0</v>
      </c>
      <c r="J124" s="251">
        <f ca="1">MAX(Table10[[#This Row],[HH]]*VLOOKUP("Winter Clothes Adult",NFI,6)-Table10[[#This Row],[Winter Clothes Adult ]],0)</f>
        <v>24</v>
      </c>
      <c r="K124" s="251">
        <f ca="1">MAX(Table10[[#This Row],[HH]]*VLOOKUP("Winter Clothes Children ",NFI,6)-Table10[[#This Row],[Winter Clothes Children ]],0)</f>
        <v>12</v>
      </c>
      <c r="L124" s="251">
        <f ca="1">MAX(Table10[[#This Row],[HH]]*VLOOKUP("Winter Items Other ",NFI,6)-Table10[[#This Row],[Winter Items Other ]],0)</f>
        <v>12</v>
      </c>
      <c r="M124" s="279" t="str">
        <f>IF(OR(Table10[[#This Row],[Winter Clothes Adult ]]&lt;&gt;0,Table10[[#This Row],[Winter Clothes Children ]]&lt;&gt;0,Table10[[#This Row],[Winter Items Other ]]&lt;&gt;0),"No","")</f>
        <v/>
      </c>
      <c r="N124" s="280">
        <f>COUNTIF(A:A,Table10[[#This Row],[Pcode]])-1</f>
        <v>0</v>
      </c>
    </row>
    <row r="125" spans="1:14" x14ac:dyDescent="0.25">
      <c r="A125" s="234" t="s">
        <v>1056</v>
      </c>
      <c r="B125" s="18" t="str">
        <f ca="1">OFFSET(CampList[Priority],MATCH(Table10[[#This Row],[Pcode]],CampList[CP_Pcode],0)-1,0,1,1)</f>
        <v>P4</v>
      </c>
      <c r="C125" s="18" t="str">
        <f ca="1">OFFSET(CampList[Camp],MATCH(Table10[[#This Row],[Pcode]],CampList[CP_Pcode],0)-1,0,1,1)</f>
        <v>Namhkan - Pang Long KBC</v>
      </c>
      <c r="D125" s="18" t="str">
        <f ca="1">OFFSET(CampList[Township],MATCH(Table10[[#This Row],[Pcode]],CampList[CP_Pcode],0)-1,0,1,1)</f>
        <v>Namhkan</v>
      </c>
      <c r="E125" s="251">
        <f ca="1">OFFSET(CampList[HH],MATCH(Table10[[#This Row],[Pcode]],CampList[CP_Pcode],0)-1,0,1,1)</f>
        <v>120</v>
      </c>
      <c r="F125" s="251">
        <f ca="1">OFFSET(CampList[Total],MATCH(Table10[[#This Row],[Pcode]],CampList[CP_Pcode],0)-1,0,1,1)</f>
        <v>563</v>
      </c>
      <c r="G125" s="251">
        <f>SUMIF('NFI Tracking'!AQ$11:AQ$1048576,Table10[[#This Row],[Pcode]],'NFI Tracking'!AI$11:AI$1048576)</f>
        <v>0</v>
      </c>
      <c r="H125" s="251">
        <f>SUMIF('NFI Tracking'!AQ$11:AQ$1048576,Table10[[#This Row],[Pcode]],'NFI Tracking'!AJ$11:AJ$1048576)</f>
        <v>0</v>
      </c>
      <c r="I125" s="251">
        <f>SUMIF('NFI Tracking'!AQ$11:AQ$1048576,Table10[[#This Row],[Pcode]],'NFI Tracking'!AK$11:AK$1048576)</f>
        <v>0</v>
      </c>
      <c r="J125" s="251">
        <f ca="1">MAX(Table10[[#This Row],[HH]]*VLOOKUP("Winter Clothes Adult",NFI,6)-Table10[[#This Row],[Winter Clothes Adult ]],0)</f>
        <v>240</v>
      </c>
      <c r="K125" s="251">
        <f ca="1">MAX(Table10[[#This Row],[HH]]*VLOOKUP("Winter Clothes Children ",NFI,6)-Table10[[#This Row],[Winter Clothes Children ]],0)</f>
        <v>120</v>
      </c>
      <c r="L125" s="251">
        <f ca="1">MAX(Table10[[#This Row],[HH]]*VLOOKUP("Winter Items Other ",NFI,6)-Table10[[#This Row],[Winter Items Other ]],0)</f>
        <v>120</v>
      </c>
      <c r="M125" s="279" t="str">
        <f>IF(OR(Table10[[#This Row],[Winter Clothes Adult ]]&lt;&gt;0,Table10[[#This Row],[Winter Clothes Children ]]&lt;&gt;0,Table10[[#This Row],[Winter Items Other ]]&lt;&gt;0),"No","")</f>
        <v/>
      </c>
      <c r="N125" s="280">
        <f>COUNTIF(A:A,Table10[[#This Row],[Pcode]])-1</f>
        <v>0</v>
      </c>
    </row>
    <row r="126" spans="1:14" x14ac:dyDescent="0.25">
      <c r="A126" s="234" t="s">
        <v>270</v>
      </c>
      <c r="B126" s="18" t="str">
        <f ca="1">OFFSET(CampList[Priority],MATCH(Table10[[#This Row],[Pcode]],CampList[CP_Pcode],0)-1,0,1,1)</f>
        <v>P4</v>
      </c>
      <c r="C126" s="18" t="str">
        <f ca="1">OFFSET(CampList[Camp],MATCH(Table10[[#This Row],[Pcode]],CampList[CP_Pcode],0)-1,0,1,1)</f>
        <v>Nan Kway St. John Catholic Church</v>
      </c>
      <c r="D126" s="18" t="str">
        <f ca="1">OFFSET(CampList[Township],MATCH(Table10[[#This Row],[Pcode]],CampList[CP_Pcode],0)-1,0,1,1)</f>
        <v>Myitkyina</v>
      </c>
      <c r="E126" s="251">
        <f ca="1">OFFSET(CampList[HH],MATCH(Table10[[#This Row],[Pcode]],CampList[CP_Pcode],0)-1,0,1,1)</f>
        <v>63</v>
      </c>
      <c r="F126" s="251">
        <f ca="1">OFFSET(CampList[Total],MATCH(Table10[[#This Row],[Pcode]],CampList[CP_Pcode],0)-1,0,1,1)</f>
        <v>322</v>
      </c>
      <c r="G126" s="251">
        <f>SUMIF('NFI Tracking'!AQ$11:AQ$1048576,Table10[[#This Row],[Pcode]],'NFI Tracking'!AI$11:AI$1048576)</f>
        <v>0</v>
      </c>
      <c r="H126" s="251">
        <f>SUMIF('NFI Tracking'!AQ$11:AQ$1048576,Table10[[#This Row],[Pcode]],'NFI Tracking'!AJ$11:AJ$1048576)</f>
        <v>0</v>
      </c>
      <c r="I126" s="251">
        <f>SUMIF('NFI Tracking'!AQ$11:AQ$1048576,Table10[[#This Row],[Pcode]],'NFI Tracking'!AK$11:AK$1048576)</f>
        <v>0</v>
      </c>
      <c r="J126" s="251">
        <f ca="1">MAX(Table10[[#This Row],[HH]]*VLOOKUP("Winter Clothes Adult",NFI,6)-Table10[[#This Row],[Winter Clothes Adult ]],0)</f>
        <v>126</v>
      </c>
      <c r="K126" s="251">
        <f ca="1">MAX(Table10[[#This Row],[HH]]*VLOOKUP("Winter Clothes Children ",NFI,6)-Table10[[#This Row],[Winter Clothes Children ]],0)</f>
        <v>63</v>
      </c>
      <c r="L126" s="251">
        <f ca="1">MAX(Table10[[#This Row],[HH]]*VLOOKUP("Winter Items Other ",NFI,6)-Table10[[#This Row],[Winter Items Other ]],0)</f>
        <v>63</v>
      </c>
      <c r="M126" s="279" t="str">
        <f>IF(OR(Table10[[#This Row],[Winter Clothes Adult ]]&lt;&gt;0,Table10[[#This Row],[Winter Clothes Children ]]&lt;&gt;0,Table10[[#This Row],[Winter Items Other ]]&lt;&gt;0),"No","")</f>
        <v/>
      </c>
      <c r="N126" s="280">
        <f>COUNTIF(A:A,Table10[[#This Row],[Pcode]])-1</f>
        <v>0</v>
      </c>
    </row>
    <row r="127" spans="1:14" x14ac:dyDescent="0.25">
      <c r="A127" s="234" t="s">
        <v>19</v>
      </c>
      <c r="B127" s="18" t="str">
        <f ca="1">OFFSET(CampList[Priority],MATCH(Table10[[#This Row],[Pcode]],CampList[CP_Pcode],0)-1,0,1,1)</f>
        <v>P4</v>
      </c>
      <c r="C127" s="18" t="str">
        <f ca="1">OFFSET(CampList[Camp],MATCH(Table10[[#This Row],[Pcode]],CampList[CP_Pcode],0)-1,0,1,1)</f>
        <v>Nant Hlaing Church</v>
      </c>
      <c r="D127" s="18" t="str">
        <f ca="1">OFFSET(CampList[Township],MATCH(Table10[[#This Row],[Pcode]],CampList[CP_Pcode],0)-1,0,1,1)</f>
        <v>Bhamo</v>
      </c>
      <c r="E127" s="251">
        <f ca="1">OFFSET(CampList[HH],MATCH(Table10[[#This Row],[Pcode]],CampList[CP_Pcode],0)-1,0,1,1)</f>
        <v>21</v>
      </c>
      <c r="F127" s="251">
        <f ca="1">OFFSET(CampList[Total],MATCH(Table10[[#This Row],[Pcode]],CampList[CP_Pcode],0)-1,0,1,1)</f>
        <v>111</v>
      </c>
      <c r="G127" s="251">
        <f>SUMIF('NFI Tracking'!AQ$11:AQ$1048576,Table10[[#This Row],[Pcode]],'NFI Tracking'!AI$11:AI$1048576)</f>
        <v>0</v>
      </c>
      <c r="H127" s="251">
        <f>SUMIF('NFI Tracking'!AQ$11:AQ$1048576,Table10[[#This Row],[Pcode]],'NFI Tracking'!AJ$11:AJ$1048576)</f>
        <v>0</v>
      </c>
      <c r="I127" s="251">
        <f>SUMIF('NFI Tracking'!AQ$11:AQ$1048576,Table10[[#This Row],[Pcode]],'NFI Tracking'!AK$11:AK$1048576)</f>
        <v>0</v>
      </c>
      <c r="J127" s="251">
        <f ca="1">MAX(Table10[[#This Row],[HH]]*VLOOKUP("Winter Clothes Adult",NFI,6)-Table10[[#This Row],[Winter Clothes Adult ]],0)</f>
        <v>42</v>
      </c>
      <c r="K127" s="251">
        <f ca="1">MAX(Table10[[#This Row],[HH]]*VLOOKUP("Winter Clothes Children ",NFI,6)-Table10[[#This Row],[Winter Clothes Children ]],0)</f>
        <v>21</v>
      </c>
      <c r="L127" s="251">
        <f ca="1">MAX(Table10[[#This Row],[HH]]*VLOOKUP("Winter Items Other ",NFI,6)-Table10[[#This Row],[Winter Items Other ]],0)</f>
        <v>21</v>
      </c>
      <c r="M127" s="279" t="str">
        <f>IF(OR(Table10[[#This Row],[Winter Clothes Adult ]]&lt;&gt;0,Table10[[#This Row],[Winter Clothes Children ]]&lt;&gt;0,Table10[[#This Row],[Winter Items Other ]]&lt;&gt;0),"No","")</f>
        <v/>
      </c>
      <c r="N127" s="280">
        <f>COUNTIF(A:A,Table10[[#This Row],[Pcode]])-1</f>
        <v>0</v>
      </c>
    </row>
    <row r="128" spans="1:14" x14ac:dyDescent="0.25">
      <c r="A128" s="234" t="s">
        <v>107</v>
      </c>
      <c r="B128" s="18" t="str">
        <f ca="1">OFFSET(CampList[Priority],MATCH(Table10[[#This Row],[Pcode]],CampList[CP_Pcode],0)-1,0,1,1)</f>
        <v>P4</v>
      </c>
      <c r="C128" s="18" t="str">
        <f ca="1">OFFSET(CampList[Camp],MATCH(Table10[[#This Row],[Pcode]],CampList[CP_Pcode],0)-1,0,1,1)</f>
        <v>Nant Ma Hpit Catholic Church</v>
      </c>
      <c r="D128" s="18" t="str">
        <f ca="1">OFFSET(CampList[Township],MATCH(Table10[[#This Row],[Pcode]],CampList[CP_Pcode],0)-1,0,1,1)</f>
        <v>Hpakant</v>
      </c>
      <c r="E128" s="251">
        <f ca="1">OFFSET(CampList[HH],MATCH(Table10[[#This Row],[Pcode]],CampList[CP_Pcode],0)-1,0,1,1)</f>
        <v>50</v>
      </c>
      <c r="F128" s="251">
        <f ca="1">OFFSET(CampList[Total],MATCH(Table10[[#This Row],[Pcode]],CampList[CP_Pcode],0)-1,0,1,1)</f>
        <v>218</v>
      </c>
      <c r="G128" s="251">
        <f>SUMIF('NFI Tracking'!AQ$11:AQ$1048576,Table10[[#This Row],[Pcode]],'NFI Tracking'!AI$11:AI$1048576)</f>
        <v>0</v>
      </c>
      <c r="H128" s="251">
        <f>SUMIF('NFI Tracking'!AQ$11:AQ$1048576,Table10[[#This Row],[Pcode]],'NFI Tracking'!AJ$11:AJ$1048576)</f>
        <v>0</v>
      </c>
      <c r="I128" s="251">
        <f>SUMIF('NFI Tracking'!AQ$11:AQ$1048576,Table10[[#This Row],[Pcode]],'NFI Tracking'!AK$11:AK$1048576)</f>
        <v>0</v>
      </c>
      <c r="J128" s="251">
        <f ca="1">MAX(Table10[[#This Row],[HH]]*VLOOKUP("Winter Clothes Adult",NFI,6)-Table10[[#This Row],[Winter Clothes Adult ]],0)</f>
        <v>100</v>
      </c>
      <c r="K128" s="251">
        <f ca="1">MAX(Table10[[#This Row],[HH]]*VLOOKUP("Winter Clothes Children ",NFI,6)-Table10[[#This Row],[Winter Clothes Children ]],0)</f>
        <v>50</v>
      </c>
      <c r="L128" s="251">
        <f ca="1">MAX(Table10[[#This Row],[HH]]*VLOOKUP("Winter Items Other ",NFI,6)-Table10[[#This Row],[Winter Items Other ]],0)</f>
        <v>50</v>
      </c>
      <c r="M128" s="279" t="str">
        <f>IF(OR(Table10[[#This Row],[Winter Clothes Adult ]]&lt;&gt;0,Table10[[#This Row],[Winter Clothes Children ]]&lt;&gt;0,Table10[[#This Row],[Winter Items Other ]]&lt;&gt;0),"No","")</f>
        <v/>
      </c>
      <c r="N128" s="280">
        <f>COUNTIF(A:A,Table10[[#This Row],[Pcode]])-1</f>
        <v>0</v>
      </c>
    </row>
    <row r="129" spans="1:14" x14ac:dyDescent="0.25">
      <c r="A129" s="234" t="s">
        <v>182</v>
      </c>
      <c r="B129" s="18" t="str">
        <f ca="1">OFFSET(CampList[Priority],MATCH(Table10[[#This Row],[Pcode]],CampList[CP_Pcode],0)-1,0,1,1)</f>
        <v>P4</v>
      </c>
      <c r="C129" s="18" t="str">
        <f ca="1">OFFSET(CampList[Camp],MATCH(Table10[[#This Row],[Pcode]],CampList[CP_Pcode],0)-1,0,1,1)</f>
        <v>Nant Mun</v>
      </c>
      <c r="D129" s="18" t="str">
        <f ca="1">OFFSET(CampList[Township],MATCH(Table10[[#This Row],[Pcode]],CampList[CP_Pcode],0)-1,0,1,1)</f>
        <v>Mohnyin</v>
      </c>
      <c r="E129" s="251">
        <f ca="1">OFFSET(CampList[HH],MATCH(Table10[[#This Row],[Pcode]],CampList[CP_Pcode],0)-1,0,1,1)</f>
        <v>0</v>
      </c>
      <c r="F129" s="251">
        <f ca="1">OFFSET(CampList[Total],MATCH(Table10[[#This Row],[Pcode]],CampList[CP_Pcode],0)-1,0,1,1)</f>
        <v>0</v>
      </c>
      <c r="G129" s="251">
        <f>SUMIF('NFI Tracking'!AQ$11:AQ$1048576,Table10[[#This Row],[Pcode]],'NFI Tracking'!AI$11:AI$1048576)</f>
        <v>0</v>
      </c>
      <c r="H129" s="251">
        <f>SUMIF('NFI Tracking'!AQ$11:AQ$1048576,Table10[[#This Row],[Pcode]],'NFI Tracking'!AJ$11:AJ$1048576)</f>
        <v>0</v>
      </c>
      <c r="I129" s="251">
        <f>SUMIF('NFI Tracking'!AQ$11:AQ$1048576,Table10[[#This Row],[Pcode]],'NFI Tracking'!AK$11:AK$1048576)</f>
        <v>0</v>
      </c>
      <c r="J129" s="251">
        <f ca="1">MAX(Table10[[#This Row],[HH]]*VLOOKUP("Winter Clothes Adult",NFI,6)-Table10[[#This Row],[Winter Clothes Adult ]],0)</f>
        <v>0</v>
      </c>
      <c r="K129" s="251">
        <f ca="1">MAX(Table10[[#This Row],[HH]]*VLOOKUP("Winter Clothes Children ",NFI,6)-Table10[[#This Row],[Winter Clothes Children ]],0)</f>
        <v>0</v>
      </c>
      <c r="L129" s="251">
        <f ca="1">MAX(Table10[[#This Row],[HH]]*VLOOKUP("Winter Items Other ",NFI,6)-Table10[[#This Row],[Winter Items Other ]],0)</f>
        <v>0</v>
      </c>
      <c r="M129" s="279" t="str">
        <f>IF(OR(Table10[[#This Row],[Winter Clothes Adult ]]&lt;&gt;0,Table10[[#This Row],[Winter Clothes Children ]]&lt;&gt;0,Table10[[#This Row],[Winter Items Other ]]&lt;&gt;0),"No","")</f>
        <v/>
      </c>
      <c r="N129" s="280">
        <f>COUNTIF(A:A,Table10[[#This Row],[Pcode]])-1</f>
        <v>0</v>
      </c>
    </row>
    <row r="130" spans="1:14" x14ac:dyDescent="0.25">
      <c r="A130" s="234" t="s">
        <v>837</v>
      </c>
      <c r="B130" s="18" t="str">
        <f ca="1">OFFSET(CampList[Priority],MATCH(Table10[[#This Row],[Pcode]],CampList[CP_Pcode],0)-1,0,1,1)</f>
        <v>P4</v>
      </c>
      <c r="C130" s="18" t="str">
        <f ca="1">OFFSET(CampList[Camp],MATCH(Table10[[#This Row],[Pcode]],CampList[CP_Pcode],0)-1,0,1,1)</f>
        <v>Narte</v>
      </c>
      <c r="D130" s="18" t="str">
        <f ca="1">OFFSET(CampList[Township],MATCH(Table10[[#This Row],[Pcode]],CampList[CP_Pcode],0)-1,0,1,1)</f>
        <v>Hseni</v>
      </c>
      <c r="E130" s="251">
        <f ca="1">OFFSET(CampList[HH],MATCH(Table10[[#This Row],[Pcode]],CampList[CP_Pcode],0)-1,0,1,1)</f>
        <v>67</v>
      </c>
      <c r="F130" s="251">
        <f ca="1">OFFSET(CampList[Total],MATCH(Table10[[#This Row],[Pcode]],CampList[CP_Pcode],0)-1,0,1,1)</f>
        <v>392</v>
      </c>
      <c r="G130" s="251">
        <f>SUMIF('NFI Tracking'!AQ$11:AQ$1048576,Table10[[#This Row],[Pcode]],'NFI Tracking'!AI$11:AI$1048576)</f>
        <v>0</v>
      </c>
      <c r="H130" s="251">
        <f>SUMIF('NFI Tracking'!AQ$11:AQ$1048576,Table10[[#This Row],[Pcode]],'NFI Tracking'!AJ$11:AJ$1048576)</f>
        <v>0</v>
      </c>
      <c r="I130" s="251">
        <f>SUMIF('NFI Tracking'!AQ$11:AQ$1048576,Table10[[#This Row],[Pcode]],'NFI Tracking'!AK$11:AK$1048576)</f>
        <v>0</v>
      </c>
      <c r="J130" s="251">
        <f ca="1">MAX(Table10[[#This Row],[HH]]*VLOOKUP("Winter Clothes Adult",NFI,6)-Table10[[#This Row],[Winter Clothes Adult ]],0)</f>
        <v>134</v>
      </c>
      <c r="K130" s="251">
        <f ca="1">MAX(Table10[[#This Row],[HH]]*VLOOKUP("Winter Clothes Children ",NFI,6)-Table10[[#This Row],[Winter Clothes Children ]],0)</f>
        <v>67</v>
      </c>
      <c r="L130" s="251">
        <f ca="1">MAX(Table10[[#This Row],[HH]]*VLOOKUP("Winter Items Other ",NFI,6)-Table10[[#This Row],[Winter Items Other ]],0)</f>
        <v>67</v>
      </c>
      <c r="M130" s="279" t="str">
        <f>IF(OR(Table10[[#This Row],[Winter Clothes Adult ]]&lt;&gt;0,Table10[[#This Row],[Winter Clothes Children ]]&lt;&gt;0,Table10[[#This Row],[Winter Items Other ]]&lt;&gt;0),"No","")</f>
        <v/>
      </c>
      <c r="N130" s="280">
        <f>COUNTIF(A:A,Table10[[#This Row],[Pcode]])-1</f>
        <v>0</v>
      </c>
    </row>
    <row r="131" spans="1:14" x14ac:dyDescent="0.25">
      <c r="A131" s="234" t="s">
        <v>177</v>
      </c>
      <c r="B131" s="18" t="str">
        <f ca="1">OFFSET(CampList[Priority],MATCH(Table10[[#This Row],[Pcode]],CampList[CP_Pcode],0)-1,0,1,1)</f>
        <v>P4</v>
      </c>
      <c r="C131" s="18" t="str">
        <f ca="1">OFFSET(CampList[Camp],MATCH(Table10[[#This Row],[Pcode]],CampList[CP_Pcode],0)-1,0,1,1)</f>
        <v xml:space="preserve">Nat Gyi Kone Baptist Church </v>
      </c>
      <c r="D131" s="18" t="str">
        <f ca="1">OFFSET(CampList[Township],MATCH(Table10[[#This Row],[Pcode]],CampList[CP_Pcode],0)-1,0,1,1)</f>
        <v>Mogaung</v>
      </c>
      <c r="E131" s="251">
        <f ca="1">OFFSET(CampList[HH],MATCH(Table10[[#This Row],[Pcode]],CampList[CP_Pcode],0)-1,0,1,1)</f>
        <v>12</v>
      </c>
      <c r="F131" s="251">
        <f ca="1">OFFSET(CampList[Total],MATCH(Table10[[#This Row],[Pcode]],CampList[CP_Pcode],0)-1,0,1,1)</f>
        <v>47</v>
      </c>
      <c r="G131" s="251">
        <f>SUMIF('NFI Tracking'!AQ$11:AQ$1048576,Table10[[#This Row],[Pcode]],'NFI Tracking'!AI$11:AI$1048576)</f>
        <v>0</v>
      </c>
      <c r="H131" s="251">
        <f>SUMIF('NFI Tracking'!AQ$11:AQ$1048576,Table10[[#This Row],[Pcode]],'NFI Tracking'!AJ$11:AJ$1048576)</f>
        <v>0</v>
      </c>
      <c r="I131" s="251">
        <f>SUMIF('NFI Tracking'!AQ$11:AQ$1048576,Table10[[#This Row],[Pcode]],'NFI Tracking'!AK$11:AK$1048576)</f>
        <v>0</v>
      </c>
      <c r="J131" s="251">
        <f ca="1">MAX(Table10[[#This Row],[HH]]*VLOOKUP("Winter Clothes Adult",NFI,6)-Table10[[#This Row],[Winter Clothes Adult ]],0)</f>
        <v>24</v>
      </c>
      <c r="K131" s="251">
        <f ca="1">MAX(Table10[[#This Row],[HH]]*VLOOKUP("Winter Clothes Children ",NFI,6)-Table10[[#This Row],[Winter Clothes Children ]],0)</f>
        <v>12</v>
      </c>
      <c r="L131" s="251">
        <f ca="1">MAX(Table10[[#This Row],[HH]]*VLOOKUP("Winter Items Other ",NFI,6)-Table10[[#This Row],[Winter Items Other ]],0)</f>
        <v>12</v>
      </c>
      <c r="M131" s="279" t="str">
        <f>IF(OR(Table10[[#This Row],[Winter Clothes Adult ]]&lt;&gt;0,Table10[[#This Row],[Winter Clothes Children ]]&lt;&gt;0,Table10[[#This Row],[Winter Items Other ]]&lt;&gt;0),"No","")</f>
        <v/>
      </c>
      <c r="N131" s="280">
        <f>COUNTIF(A:A,Table10[[#This Row],[Pcode]])-1</f>
        <v>0</v>
      </c>
    </row>
    <row r="132" spans="1:14" x14ac:dyDescent="0.25">
      <c r="A132" s="234" t="s">
        <v>343</v>
      </c>
      <c r="B132" s="18" t="str">
        <f ca="1">OFFSET(CampList[Priority],MATCH(Table10[[#This Row],[Pcode]],CampList[CP_Pcode],0)-1,0,1,1)</f>
        <v>P4</v>
      </c>
      <c r="C132" s="18" t="str">
        <f ca="1">OFFSET(CampList[Camp],MATCH(Table10[[#This Row],[Pcode]],CampList[CP_Pcode],0)-1,0,1,1)</f>
        <v>Nawng Hee Village</v>
      </c>
      <c r="D132" s="18" t="str">
        <f ca="1">OFFSET(CampList[Township],MATCH(Table10[[#This Row],[Pcode]],CampList[CP_Pcode],0)-1,0,1,1)</f>
        <v>Waingmaw</v>
      </c>
      <c r="E132" s="251">
        <f ca="1">OFFSET(CampList[HH],MATCH(Table10[[#This Row],[Pcode]],CampList[CP_Pcode],0)-1,0,1,1)</f>
        <v>20</v>
      </c>
      <c r="F132" s="251">
        <f ca="1">OFFSET(CampList[Total],MATCH(Table10[[#This Row],[Pcode]],CampList[CP_Pcode],0)-1,0,1,1)</f>
        <v>86</v>
      </c>
      <c r="G132" s="251">
        <f>SUMIF('NFI Tracking'!AQ$11:AQ$1048576,Table10[[#This Row],[Pcode]],'NFI Tracking'!AI$11:AI$1048576)</f>
        <v>0</v>
      </c>
      <c r="H132" s="251">
        <f>SUMIF('NFI Tracking'!AQ$11:AQ$1048576,Table10[[#This Row],[Pcode]],'NFI Tracking'!AJ$11:AJ$1048576)</f>
        <v>0</v>
      </c>
      <c r="I132" s="251">
        <f>SUMIF('NFI Tracking'!AQ$11:AQ$1048576,Table10[[#This Row],[Pcode]],'NFI Tracking'!AK$11:AK$1048576)</f>
        <v>0</v>
      </c>
      <c r="J132" s="251">
        <f ca="1">MAX(Table10[[#This Row],[HH]]*VLOOKUP("Winter Clothes Adult",NFI,6)-Table10[[#This Row],[Winter Clothes Adult ]],0)</f>
        <v>40</v>
      </c>
      <c r="K132" s="251">
        <f ca="1">MAX(Table10[[#This Row],[HH]]*VLOOKUP("Winter Clothes Children ",NFI,6)-Table10[[#This Row],[Winter Clothes Children ]],0)</f>
        <v>20</v>
      </c>
      <c r="L132" s="251">
        <f ca="1">MAX(Table10[[#This Row],[HH]]*VLOOKUP("Winter Items Other ",NFI,6)-Table10[[#This Row],[Winter Items Other ]],0)</f>
        <v>20</v>
      </c>
      <c r="M132" s="279" t="str">
        <f>IF(OR(Table10[[#This Row],[Winter Clothes Adult ]]&lt;&gt;0,Table10[[#This Row],[Winter Clothes Children ]]&lt;&gt;0,Table10[[#This Row],[Winter Items Other ]]&lt;&gt;0),"No","")</f>
        <v/>
      </c>
      <c r="N132" s="280">
        <f>COUNTIF(A:A,Table10[[#This Row],[Pcode]])-1</f>
        <v>0</v>
      </c>
    </row>
    <row r="133" spans="1:14" x14ac:dyDescent="0.25">
      <c r="A133" s="234" t="s">
        <v>286</v>
      </c>
      <c r="B133" s="18" t="str">
        <f ca="1">OFFSET(CampList[Priority],MATCH(Table10[[#This Row],[Pcode]],CampList[CP_Pcode],0)-1,0,1,1)</f>
        <v>P4</v>
      </c>
      <c r="C133" s="18" t="str">
        <f ca="1">OFFSET(CampList[Camp],MATCH(Table10[[#This Row],[Pcode]],CampList[CP_Pcode],0)-1,0,1,1)</f>
        <v xml:space="preserve">Nawng Ing (Indawgyi) Baptist Church  </v>
      </c>
      <c r="D133" s="18" t="str">
        <f ca="1">OFFSET(CampList[Township],MATCH(Table10[[#This Row],[Pcode]],CampList[CP_Pcode],0)-1,0,1,1)</f>
        <v>Mohnyin</v>
      </c>
      <c r="E133" s="251">
        <f ca="1">OFFSET(CampList[HH],MATCH(Table10[[#This Row],[Pcode]],CampList[CP_Pcode],0)-1,0,1,1)</f>
        <v>19</v>
      </c>
      <c r="F133" s="251">
        <f ca="1">OFFSET(CampList[Total],MATCH(Table10[[#This Row],[Pcode]],CampList[CP_Pcode],0)-1,0,1,1)</f>
        <v>103</v>
      </c>
      <c r="G133" s="251">
        <f>SUMIF('NFI Tracking'!AQ$11:AQ$1048576,Table10[[#This Row],[Pcode]],'NFI Tracking'!AI$11:AI$1048576)</f>
        <v>0</v>
      </c>
      <c r="H133" s="251">
        <f>SUMIF('NFI Tracking'!AQ$11:AQ$1048576,Table10[[#This Row],[Pcode]],'NFI Tracking'!AJ$11:AJ$1048576)</f>
        <v>0</v>
      </c>
      <c r="I133" s="251">
        <f>SUMIF('NFI Tracking'!AQ$11:AQ$1048576,Table10[[#This Row],[Pcode]],'NFI Tracking'!AK$11:AK$1048576)</f>
        <v>0</v>
      </c>
      <c r="J133" s="251">
        <f ca="1">MAX(Table10[[#This Row],[HH]]*VLOOKUP("Winter Clothes Adult",NFI,6)-Table10[[#This Row],[Winter Clothes Adult ]],0)</f>
        <v>38</v>
      </c>
      <c r="K133" s="251">
        <f ca="1">MAX(Table10[[#This Row],[HH]]*VLOOKUP("Winter Clothes Children ",NFI,6)-Table10[[#This Row],[Winter Clothes Children ]],0)</f>
        <v>19</v>
      </c>
      <c r="L133" s="251">
        <f ca="1">MAX(Table10[[#This Row],[HH]]*VLOOKUP("Winter Items Other ",NFI,6)-Table10[[#This Row],[Winter Items Other ]],0)</f>
        <v>19</v>
      </c>
      <c r="M133" s="279" t="str">
        <f>IF(OR(Table10[[#This Row],[Winter Clothes Adult ]]&lt;&gt;0,Table10[[#This Row],[Winter Clothes Children ]]&lt;&gt;0,Table10[[#This Row],[Winter Items Other ]]&lt;&gt;0),"No","")</f>
        <v/>
      </c>
      <c r="N133" s="280">
        <f>COUNTIF(A:A,Table10[[#This Row],[Pcode]])-1</f>
        <v>0</v>
      </c>
    </row>
    <row r="134" spans="1:14" x14ac:dyDescent="0.25">
      <c r="A134" s="234" t="s">
        <v>216</v>
      </c>
      <c r="B134" s="18" t="str">
        <f ca="1">OFFSET(CampList[Priority],MATCH(Table10[[#This Row],[Pcode]],CampList[CP_Pcode],0)-1,0,1,1)</f>
        <v>P4</v>
      </c>
      <c r="C134" s="18" t="str">
        <f ca="1">OFFSET(CampList[Camp],MATCH(Table10[[#This Row],[Pcode]],CampList[CP_Pcode],0)-1,0,1,1)</f>
        <v>Ni Thaw Ka Monestry</v>
      </c>
      <c r="D134" s="18" t="str">
        <f ca="1">OFFSET(CampList[Township],MATCH(Table10[[#This Row],[Pcode]],CampList[CP_Pcode],0)-1,0,1,1)</f>
        <v>Momauk</v>
      </c>
      <c r="E134" s="251">
        <f ca="1">OFFSET(CampList[HH],MATCH(Table10[[#This Row],[Pcode]],CampList[CP_Pcode],0)-1,0,1,1)</f>
        <v>0</v>
      </c>
      <c r="F134" s="251">
        <f ca="1">OFFSET(CampList[Total],MATCH(Table10[[#This Row],[Pcode]],CampList[CP_Pcode],0)-1,0,1,1)</f>
        <v>0</v>
      </c>
      <c r="G134" s="251">
        <f>SUMIF('NFI Tracking'!AQ$11:AQ$1048576,Table10[[#This Row],[Pcode]],'NFI Tracking'!AI$11:AI$1048576)</f>
        <v>0</v>
      </c>
      <c r="H134" s="251">
        <f>SUMIF('NFI Tracking'!AQ$11:AQ$1048576,Table10[[#This Row],[Pcode]],'NFI Tracking'!AJ$11:AJ$1048576)</f>
        <v>0</v>
      </c>
      <c r="I134" s="251">
        <f>SUMIF('NFI Tracking'!AQ$11:AQ$1048576,Table10[[#This Row],[Pcode]],'NFI Tracking'!AK$11:AK$1048576)</f>
        <v>0</v>
      </c>
      <c r="J134" s="251">
        <f ca="1">MAX(Table10[[#This Row],[HH]]*VLOOKUP("Winter Clothes Adult",NFI,6)-Table10[[#This Row],[Winter Clothes Adult ]],0)</f>
        <v>0</v>
      </c>
      <c r="K134" s="251">
        <f ca="1">MAX(Table10[[#This Row],[HH]]*VLOOKUP("Winter Clothes Children ",NFI,6)-Table10[[#This Row],[Winter Clothes Children ]],0)</f>
        <v>0</v>
      </c>
      <c r="L134" s="251">
        <f ca="1">MAX(Table10[[#This Row],[HH]]*VLOOKUP("Winter Items Other ",NFI,6)-Table10[[#This Row],[Winter Items Other ]],0)</f>
        <v>0</v>
      </c>
      <c r="M134" s="279" t="str">
        <f>IF(OR(Table10[[#This Row],[Winter Clothes Adult ]]&lt;&gt;0,Table10[[#This Row],[Winter Clothes Children ]]&lt;&gt;0,Table10[[#This Row],[Winter Items Other ]]&lt;&gt;0),"No","")</f>
        <v/>
      </c>
      <c r="N134" s="280">
        <f>COUNTIF(A:A,Table10[[#This Row],[Pcode]])-1</f>
        <v>0</v>
      </c>
    </row>
    <row r="135" spans="1:14" x14ac:dyDescent="0.25">
      <c r="A135" s="234" t="s">
        <v>268</v>
      </c>
      <c r="B135" s="18" t="str">
        <f ca="1">OFFSET(CampList[Priority],MATCH(Table10[[#This Row],[Pcode]],CampList[CP_Pcode],0)-1,0,1,1)</f>
        <v>P4</v>
      </c>
      <c r="C135" s="18" t="str">
        <f ca="1">OFFSET(CampList[Camp],MATCH(Table10[[#This Row],[Pcode]],CampList[CP_Pcode],0)-1,0,1,1)</f>
        <v xml:space="preserve">Njang Dung Baptist Church </v>
      </c>
      <c r="D135" s="18" t="str">
        <f ca="1">OFFSET(CampList[Township],MATCH(Table10[[#This Row],[Pcode]],CampList[CP_Pcode],0)-1,0,1,1)</f>
        <v>Myitkyina</v>
      </c>
      <c r="E135" s="251">
        <f ca="1">OFFSET(CampList[HH],MATCH(Table10[[#This Row],[Pcode]],CampList[CP_Pcode],0)-1,0,1,1)</f>
        <v>65</v>
      </c>
      <c r="F135" s="251">
        <f ca="1">OFFSET(CampList[Total],MATCH(Table10[[#This Row],[Pcode]],CampList[CP_Pcode],0)-1,0,1,1)</f>
        <v>292</v>
      </c>
      <c r="G135" s="251">
        <f>SUMIF('NFI Tracking'!AQ$11:AQ$1048576,Table10[[#This Row],[Pcode]],'NFI Tracking'!AI$11:AI$1048576)</f>
        <v>0</v>
      </c>
      <c r="H135" s="251">
        <f>SUMIF('NFI Tracking'!AQ$11:AQ$1048576,Table10[[#This Row],[Pcode]],'NFI Tracking'!AJ$11:AJ$1048576)</f>
        <v>0</v>
      </c>
      <c r="I135" s="251">
        <f>SUMIF('NFI Tracking'!AQ$11:AQ$1048576,Table10[[#This Row],[Pcode]],'NFI Tracking'!AK$11:AK$1048576)</f>
        <v>0</v>
      </c>
      <c r="J135" s="251">
        <f ca="1">MAX(Table10[[#This Row],[HH]]*VLOOKUP("Winter Clothes Adult",NFI,6)-Table10[[#This Row],[Winter Clothes Adult ]],0)</f>
        <v>130</v>
      </c>
      <c r="K135" s="251">
        <f ca="1">MAX(Table10[[#This Row],[HH]]*VLOOKUP("Winter Clothes Children ",NFI,6)-Table10[[#This Row],[Winter Clothes Children ]],0)</f>
        <v>65</v>
      </c>
      <c r="L135" s="251">
        <f ca="1">MAX(Table10[[#This Row],[HH]]*VLOOKUP("Winter Items Other ",NFI,6)-Table10[[#This Row],[Winter Items Other ]],0)</f>
        <v>65</v>
      </c>
      <c r="M135" s="279" t="str">
        <f>IF(OR(Table10[[#This Row],[Winter Clothes Adult ]]&lt;&gt;0,Table10[[#This Row],[Winter Clothes Children ]]&lt;&gt;0,Table10[[#This Row],[Winter Items Other ]]&lt;&gt;0),"No","")</f>
        <v/>
      </c>
      <c r="N135" s="280">
        <f>COUNTIF(A:A,Table10[[#This Row],[Pcode]])-1</f>
        <v>0</v>
      </c>
    </row>
    <row r="136" spans="1:14" x14ac:dyDescent="0.25">
      <c r="A136" s="234" t="s">
        <v>272</v>
      </c>
      <c r="B136" s="18" t="str">
        <f ca="1">OFFSET(CampList[Priority],MATCH(Table10[[#This Row],[Pcode]],CampList[CP_Pcode],0)-1,0,1,1)</f>
        <v>P4</v>
      </c>
      <c r="C136" s="18" t="str">
        <f ca="1">OFFSET(CampList[Camp],MATCH(Table10[[#This Row],[Pcode]],CampList[CP_Pcode],0)-1,0,1,1)</f>
        <v>Pa Dauk Myaing(Pa La Na)</v>
      </c>
      <c r="D136" s="18" t="str">
        <f ca="1">OFFSET(CampList[Township],MATCH(Table10[[#This Row],[Pcode]],CampList[CP_Pcode],0)-1,0,1,1)</f>
        <v>Myitkyina</v>
      </c>
      <c r="E136" s="251">
        <f ca="1">OFFSET(CampList[HH],MATCH(Table10[[#This Row],[Pcode]],CampList[CP_Pcode],0)-1,0,1,1)</f>
        <v>49</v>
      </c>
      <c r="F136" s="251">
        <f ca="1">OFFSET(CampList[Total],MATCH(Table10[[#This Row],[Pcode]],CampList[CP_Pcode],0)-1,0,1,1)</f>
        <v>290</v>
      </c>
      <c r="G136" s="251">
        <f>SUMIF('NFI Tracking'!AQ$11:AQ$1048576,Table10[[#This Row],[Pcode]],'NFI Tracking'!AI$11:AI$1048576)</f>
        <v>0</v>
      </c>
      <c r="H136" s="251">
        <f>SUMIF('NFI Tracking'!AQ$11:AQ$1048576,Table10[[#This Row],[Pcode]],'NFI Tracking'!AJ$11:AJ$1048576)</f>
        <v>0</v>
      </c>
      <c r="I136" s="251">
        <f>SUMIF('NFI Tracking'!AQ$11:AQ$1048576,Table10[[#This Row],[Pcode]],'NFI Tracking'!AK$11:AK$1048576)</f>
        <v>0</v>
      </c>
      <c r="J136" s="251">
        <f ca="1">MAX(Table10[[#This Row],[HH]]*VLOOKUP("Winter Clothes Adult",NFI,6)-Table10[[#This Row],[Winter Clothes Adult ]],0)</f>
        <v>98</v>
      </c>
      <c r="K136" s="251">
        <f ca="1">MAX(Table10[[#This Row],[HH]]*VLOOKUP("Winter Clothes Children ",NFI,6)-Table10[[#This Row],[Winter Clothes Children ]],0)</f>
        <v>49</v>
      </c>
      <c r="L136" s="251">
        <f ca="1">MAX(Table10[[#This Row],[HH]]*VLOOKUP("Winter Items Other ",NFI,6)-Table10[[#This Row],[Winter Items Other ]],0)</f>
        <v>49</v>
      </c>
      <c r="M136" s="279" t="str">
        <f>IF(OR(Table10[[#This Row],[Winter Clothes Adult ]]&lt;&gt;0,Table10[[#This Row],[Winter Clothes Children ]]&lt;&gt;0,Table10[[#This Row],[Winter Items Other ]]&lt;&gt;0),"No","")</f>
        <v/>
      </c>
      <c r="N136" s="280">
        <f>COUNTIF(A:A,Table10[[#This Row],[Pcode]])-1</f>
        <v>0</v>
      </c>
    </row>
    <row r="137" spans="1:14" x14ac:dyDescent="0.25">
      <c r="A137" s="234" t="s">
        <v>376</v>
      </c>
      <c r="B137" s="18" t="str">
        <f ca="1">OFFSET(CampList[Priority],MATCH(Table10[[#This Row],[Pcode]],CampList[CP_Pcode],0)-1,0,1,1)</f>
        <v>P4</v>
      </c>
      <c r="C137" s="18" t="str">
        <f ca="1">OFFSET(CampList[Camp],MATCH(Table10[[#This Row],[Pcode]],CampList[CP_Pcode],0)-1,0,1,1)</f>
        <v>Phan Khar Kone</v>
      </c>
      <c r="D137" s="18" t="str">
        <f ca="1">OFFSET(CampList[Township],MATCH(Table10[[#This Row],[Pcode]],CampList[CP_Pcode],0)-1,0,1,1)</f>
        <v>Bhamo</v>
      </c>
      <c r="E137" s="251">
        <f ca="1">OFFSET(CampList[HH],MATCH(Table10[[#This Row],[Pcode]],CampList[CP_Pcode],0)-1,0,1,1)</f>
        <v>153</v>
      </c>
      <c r="F137" s="251">
        <f ca="1">OFFSET(CampList[Total],MATCH(Table10[[#This Row],[Pcode]],CampList[CP_Pcode],0)-1,0,1,1)</f>
        <v>773</v>
      </c>
      <c r="G137" s="251">
        <f>SUMIF('NFI Tracking'!AQ$11:AQ$1048576,Table10[[#This Row],[Pcode]],'NFI Tracking'!AI$11:AI$1048576)</f>
        <v>0</v>
      </c>
      <c r="H137" s="251">
        <f>SUMIF('NFI Tracking'!AQ$11:AQ$1048576,Table10[[#This Row],[Pcode]],'NFI Tracking'!AJ$11:AJ$1048576)</f>
        <v>0</v>
      </c>
      <c r="I137" s="251">
        <f>SUMIF('NFI Tracking'!AQ$11:AQ$1048576,Table10[[#This Row],[Pcode]],'NFI Tracking'!AK$11:AK$1048576)</f>
        <v>0</v>
      </c>
      <c r="J137" s="251">
        <f ca="1">MAX(Table10[[#This Row],[HH]]*VLOOKUP("Winter Clothes Adult",NFI,6)-Table10[[#This Row],[Winter Clothes Adult ]],0)</f>
        <v>306</v>
      </c>
      <c r="K137" s="251">
        <f ca="1">MAX(Table10[[#This Row],[HH]]*VLOOKUP("Winter Clothes Children ",NFI,6)-Table10[[#This Row],[Winter Clothes Children ]],0)</f>
        <v>153</v>
      </c>
      <c r="L137" s="251">
        <f ca="1">MAX(Table10[[#This Row],[HH]]*VLOOKUP("Winter Items Other ",NFI,6)-Table10[[#This Row],[Winter Items Other ]],0)</f>
        <v>153</v>
      </c>
      <c r="M137" s="279" t="str">
        <f>IF(OR(Table10[[#This Row],[Winter Clothes Adult ]]&lt;&gt;0,Table10[[#This Row],[Winter Clothes Children ]]&lt;&gt;0,Table10[[#This Row],[Winter Items Other ]]&lt;&gt;0),"No","")</f>
        <v/>
      </c>
      <c r="N137" s="280">
        <f>COUNTIF(A:A,Table10[[#This Row],[Pcode]])-1</f>
        <v>0</v>
      </c>
    </row>
    <row r="138" spans="1:14" x14ac:dyDescent="0.25">
      <c r="A138" s="234" t="s">
        <v>220</v>
      </c>
      <c r="B138" s="18" t="str">
        <f ca="1">OFFSET(CampList[Priority],MATCH(Table10[[#This Row],[Pcode]],CampList[CP_Pcode],0)-1,0,1,1)</f>
        <v>P4</v>
      </c>
      <c r="C138" s="18" t="str">
        <f ca="1">OFFSET(CampList[Camp],MATCH(Table10[[#This Row],[Pcode]],CampList[CP_Pcode],0)-1,0,1,1)</f>
        <v xml:space="preserve">Phar Kay/Nant Waing </v>
      </c>
      <c r="D138" s="18" t="str">
        <f ca="1">OFFSET(CampList[Township],MATCH(Table10[[#This Row],[Pcode]],CampList[CP_Pcode],0)-1,0,1,1)</f>
        <v>Momauk</v>
      </c>
      <c r="E138" s="251">
        <f ca="1">OFFSET(CampList[HH],MATCH(Table10[[#This Row],[Pcode]],CampList[CP_Pcode],0)-1,0,1,1)</f>
        <v>0</v>
      </c>
      <c r="F138" s="251">
        <f ca="1">OFFSET(CampList[Total],MATCH(Table10[[#This Row],[Pcode]],CampList[CP_Pcode],0)-1,0,1,1)</f>
        <v>0</v>
      </c>
      <c r="G138" s="251">
        <f>SUMIF('NFI Tracking'!AQ$11:AQ$1048576,Table10[[#This Row],[Pcode]],'NFI Tracking'!AI$11:AI$1048576)</f>
        <v>0</v>
      </c>
      <c r="H138" s="251">
        <f>SUMIF('NFI Tracking'!AQ$11:AQ$1048576,Table10[[#This Row],[Pcode]],'NFI Tracking'!AJ$11:AJ$1048576)</f>
        <v>0</v>
      </c>
      <c r="I138" s="251">
        <f>SUMIF('NFI Tracking'!AQ$11:AQ$1048576,Table10[[#This Row],[Pcode]],'NFI Tracking'!AK$11:AK$1048576)</f>
        <v>0</v>
      </c>
      <c r="J138" s="251">
        <f ca="1">MAX(Table10[[#This Row],[HH]]*VLOOKUP("Winter Clothes Adult",NFI,6)-Table10[[#This Row],[Winter Clothes Adult ]],0)</f>
        <v>0</v>
      </c>
      <c r="K138" s="251">
        <f ca="1">MAX(Table10[[#This Row],[HH]]*VLOOKUP("Winter Clothes Children ",NFI,6)-Table10[[#This Row],[Winter Clothes Children ]],0)</f>
        <v>0</v>
      </c>
      <c r="L138" s="251">
        <f ca="1">MAX(Table10[[#This Row],[HH]]*VLOOKUP("Winter Items Other ",NFI,6)-Table10[[#This Row],[Winter Items Other ]],0)</f>
        <v>0</v>
      </c>
      <c r="M138" s="279" t="str">
        <f>IF(OR(Table10[[#This Row],[Winter Clothes Adult ]]&lt;&gt;0,Table10[[#This Row],[Winter Clothes Children ]]&lt;&gt;0,Table10[[#This Row],[Winter Items Other ]]&lt;&gt;0),"No","")</f>
        <v/>
      </c>
      <c r="N138" s="280">
        <f>COUNTIF(A:A,Table10[[#This Row],[Pcode]])-1</f>
        <v>0</v>
      </c>
    </row>
    <row r="139" spans="1:14" x14ac:dyDescent="0.25">
      <c r="A139" s="234" t="s">
        <v>317</v>
      </c>
      <c r="B139" s="18" t="str">
        <f ca="1">OFFSET(CampList[Priority],MATCH(Table10[[#This Row],[Pcode]],CampList[CP_Pcode],0)-1,0,1,1)</f>
        <v>P4</v>
      </c>
      <c r="C139" s="18" t="str">
        <f ca="1">OFFSET(CampList[Camp],MATCH(Table10[[#This Row],[Pcode]],CampList[CP_Pcode],0)-1,0,1,1)</f>
        <v>Qtr. 2 Lhaovo Baptist Church</v>
      </c>
      <c r="D139" s="18" t="str">
        <f ca="1">OFFSET(CampList[Township],MATCH(Table10[[#This Row],[Pcode]],CampList[CP_Pcode],0)-1,0,1,1)</f>
        <v>Waingmaw</v>
      </c>
      <c r="E139" s="251">
        <f ca="1">OFFSET(CampList[HH],MATCH(Table10[[#This Row],[Pcode]],CampList[CP_Pcode],0)-1,0,1,1)</f>
        <v>111</v>
      </c>
      <c r="F139" s="251">
        <f ca="1">OFFSET(CampList[Total],MATCH(Table10[[#This Row],[Pcode]],CampList[CP_Pcode],0)-1,0,1,1)</f>
        <v>445</v>
      </c>
      <c r="G139" s="251">
        <f>SUMIF('NFI Tracking'!AQ$11:AQ$1048576,Table10[[#This Row],[Pcode]],'NFI Tracking'!AI$11:AI$1048576)</f>
        <v>0</v>
      </c>
      <c r="H139" s="251">
        <f>SUMIF('NFI Tracking'!AQ$11:AQ$1048576,Table10[[#This Row],[Pcode]],'NFI Tracking'!AJ$11:AJ$1048576)</f>
        <v>0</v>
      </c>
      <c r="I139" s="251">
        <f>SUMIF('NFI Tracking'!AQ$11:AQ$1048576,Table10[[#This Row],[Pcode]],'NFI Tracking'!AK$11:AK$1048576)</f>
        <v>0</v>
      </c>
      <c r="J139" s="251">
        <f ca="1">MAX(Table10[[#This Row],[HH]]*VLOOKUP("Winter Clothes Adult",NFI,6)-Table10[[#This Row],[Winter Clothes Adult ]],0)</f>
        <v>222</v>
      </c>
      <c r="K139" s="251">
        <f ca="1">MAX(Table10[[#This Row],[HH]]*VLOOKUP("Winter Clothes Children ",NFI,6)-Table10[[#This Row],[Winter Clothes Children ]],0)</f>
        <v>111</v>
      </c>
      <c r="L139" s="251">
        <f ca="1">MAX(Table10[[#This Row],[HH]]*VLOOKUP("Winter Items Other ",NFI,6)-Table10[[#This Row],[Winter Items Other ]],0)</f>
        <v>111</v>
      </c>
      <c r="M139" s="279" t="str">
        <f>IF(OR(Table10[[#This Row],[Winter Clothes Adult ]]&lt;&gt;0,Table10[[#This Row],[Winter Clothes Children ]]&lt;&gt;0,Table10[[#This Row],[Winter Items Other ]]&lt;&gt;0),"No","")</f>
        <v/>
      </c>
      <c r="N139" s="280">
        <f>COUNTIF(A:A,Table10[[#This Row],[Pcode]])-1</f>
        <v>0</v>
      </c>
    </row>
    <row r="140" spans="1:14" x14ac:dyDescent="0.25">
      <c r="A140" s="234" t="s">
        <v>341</v>
      </c>
      <c r="B140" s="18" t="str">
        <f ca="1">OFFSET(CampList[Priority],MATCH(Table10[[#This Row],[Pcode]],CampList[CP_Pcode],0)-1,0,1,1)</f>
        <v>P4</v>
      </c>
      <c r="C140" s="18" t="str">
        <f ca="1">OFFSET(CampList[Camp],MATCH(Table10[[#This Row],[Pcode]],CampList[CP_Pcode],0)-1,0,1,1)</f>
        <v>Qtr. 2 Myoma Baptist Church</v>
      </c>
      <c r="D140" s="18" t="str">
        <f ca="1">OFFSET(CampList[Township],MATCH(Table10[[#This Row],[Pcode]],CampList[CP_Pcode],0)-1,0,1,1)</f>
        <v>Waingmaw</v>
      </c>
      <c r="E140" s="251">
        <f ca="1">OFFSET(CampList[HH],MATCH(Table10[[#This Row],[Pcode]],CampList[CP_Pcode],0)-1,0,1,1)</f>
        <v>65</v>
      </c>
      <c r="F140" s="251">
        <f ca="1">OFFSET(CampList[Total],MATCH(Table10[[#This Row],[Pcode]],CampList[CP_Pcode],0)-1,0,1,1)</f>
        <v>323</v>
      </c>
      <c r="G140" s="251">
        <f>SUMIF('NFI Tracking'!AQ$11:AQ$1048576,Table10[[#This Row],[Pcode]],'NFI Tracking'!AI$11:AI$1048576)</f>
        <v>0</v>
      </c>
      <c r="H140" s="251">
        <f>SUMIF('NFI Tracking'!AQ$11:AQ$1048576,Table10[[#This Row],[Pcode]],'NFI Tracking'!AJ$11:AJ$1048576)</f>
        <v>0</v>
      </c>
      <c r="I140" s="251">
        <f>SUMIF('NFI Tracking'!AQ$11:AQ$1048576,Table10[[#This Row],[Pcode]],'NFI Tracking'!AK$11:AK$1048576)</f>
        <v>0</v>
      </c>
      <c r="J140" s="251">
        <f ca="1">MAX(Table10[[#This Row],[HH]]*VLOOKUP("Winter Clothes Adult",NFI,6)-Table10[[#This Row],[Winter Clothes Adult ]],0)</f>
        <v>130</v>
      </c>
      <c r="K140" s="251">
        <f ca="1">MAX(Table10[[#This Row],[HH]]*VLOOKUP("Winter Clothes Children ",NFI,6)-Table10[[#This Row],[Winter Clothes Children ]],0)</f>
        <v>65</v>
      </c>
      <c r="L140" s="251">
        <f ca="1">MAX(Table10[[#This Row],[HH]]*VLOOKUP("Winter Items Other ",NFI,6)-Table10[[#This Row],[Winter Items Other ]],0)</f>
        <v>65</v>
      </c>
      <c r="M140" s="279" t="str">
        <f>IF(OR(Table10[[#This Row],[Winter Clothes Adult ]]&lt;&gt;0,Table10[[#This Row],[Winter Clothes Children ]]&lt;&gt;0,Table10[[#This Row],[Winter Items Other ]]&lt;&gt;0),"No","")</f>
        <v/>
      </c>
      <c r="N140" s="280">
        <f>COUNTIF(A:A,Table10[[#This Row],[Pcode]])-1</f>
        <v>0</v>
      </c>
    </row>
    <row r="141" spans="1:14" x14ac:dyDescent="0.25">
      <c r="A141" s="234" t="s">
        <v>337</v>
      </c>
      <c r="B141" s="18" t="str">
        <f ca="1">OFFSET(CampList[Priority],MATCH(Table10[[#This Row],[Pcode]],CampList[CP_Pcode],0)-1,0,1,1)</f>
        <v>P4</v>
      </c>
      <c r="C141" s="18" t="str">
        <f ca="1">OFFSET(CampList[Camp],MATCH(Table10[[#This Row],[Pcode]],CampList[CP_Pcode],0)-1,0,1,1)</f>
        <v>Qtr. 3 Mu-yin  Baptist Church</v>
      </c>
      <c r="D141" s="18" t="str">
        <f ca="1">OFFSET(CampList[Township],MATCH(Table10[[#This Row],[Pcode]],CampList[CP_Pcode],0)-1,0,1,1)</f>
        <v>Waingmaw</v>
      </c>
      <c r="E141" s="251">
        <f ca="1">OFFSET(CampList[HH],MATCH(Table10[[#This Row],[Pcode]],CampList[CP_Pcode],0)-1,0,1,1)</f>
        <v>31</v>
      </c>
      <c r="F141" s="251">
        <f ca="1">OFFSET(CampList[Total],MATCH(Table10[[#This Row],[Pcode]],CampList[CP_Pcode],0)-1,0,1,1)</f>
        <v>171</v>
      </c>
      <c r="G141" s="251">
        <f>SUMIF('NFI Tracking'!AQ$11:AQ$1048576,Table10[[#This Row],[Pcode]],'NFI Tracking'!AI$11:AI$1048576)</f>
        <v>0</v>
      </c>
      <c r="H141" s="251">
        <f>SUMIF('NFI Tracking'!AQ$11:AQ$1048576,Table10[[#This Row],[Pcode]],'NFI Tracking'!AJ$11:AJ$1048576)</f>
        <v>0</v>
      </c>
      <c r="I141" s="251">
        <f>SUMIF('NFI Tracking'!AQ$11:AQ$1048576,Table10[[#This Row],[Pcode]],'NFI Tracking'!AK$11:AK$1048576)</f>
        <v>0</v>
      </c>
      <c r="J141" s="251">
        <f ca="1">MAX(Table10[[#This Row],[HH]]*VLOOKUP("Winter Clothes Adult",NFI,6)-Table10[[#This Row],[Winter Clothes Adult ]],0)</f>
        <v>62</v>
      </c>
      <c r="K141" s="251">
        <f ca="1">MAX(Table10[[#This Row],[HH]]*VLOOKUP("Winter Clothes Children ",NFI,6)-Table10[[#This Row],[Winter Clothes Children ]],0)</f>
        <v>31</v>
      </c>
      <c r="L141" s="251">
        <f ca="1">MAX(Table10[[#This Row],[HH]]*VLOOKUP("Winter Items Other ",NFI,6)-Table10[[#This Row],[Winter Items Other ]],0)</f>
        <v>31</v>
      </c>
      <c r="M141" s="279" t="str">
        <f>IF(OR(Table10[[#This Row],[Winter Clothes Adult ]]&lt;&gt;0,Table10[[#This Row],[Winter Clothes Children ]]&lt;&gt;0,Table10[[#This Row],[Winter Items Other ]]&lt;&gt;0),"No","")</f>
        <v/>
      </c>
      <c r="N141" s="280">
        <f>COUNTIF(A:A,Table10[[#This Row],[Pcode]])-1</f>
        <v>0</v>
      </c>
    </row>
    <row r="142" spans="1:14" x14ac:dyDescent="0.25">
      <c r="A142" s="234" t="s">
        <v>350</v>
      </c>
      <c r="B142" s="18" t="str">
        <f ca="1">OFFSET(CampList[Priority],MATCH(Table10[[#This Row],[Pcode]],CampList[CP_Pcode],0)-1,0,1,1)</f>
        <v>P4</v>
      </c>
      <c r="C142" s="18" t="str">
        <f ca="1">OFFSET(CampList[Camp],MATCH(Table10[[#This Row],[Pcode]],CampList[CP_Pcode],0)-1,0,1,1)</f>
        <v>Qtr. 4 Monestry (Thargaya Thayett Taw)</v>
      </c>
      <c r="D142" s="18" t="str">
        <f ca="1">OFFSET(CampList[Township],MATCH(Table10[[#This Row],[Pcode]],CampList[CP_Pcode],0)-1,0,1,1)</f>
        <v>Waingmaw</v>
      </c>
      <c r="E142" s="251">
        <f ca="1">OFFSET(CampList[HH],MATCH(Table10[[#This Row],[Pcode]],CampList[CP_Pcode],0)-1,0,1,1)</f>
        <v>92</v>
      </c>
      <c r="F142" s="251">
        <f ca="1">OFFSET(CampList[Total],MATCH(Table10[[#This Row],[Pcode]],CampList[CP_Pcode],0)-1,0,1,1)</f>
        <v>493</v>
      </c>
      <c r="G142" s="251">
        <f>SUMIF('NFI Tracking'!AQ$11:AQ$1048576,Table10[[#This Row],[Pcode]],'NFI Tracking'!AI$11:AI$1048576)</f>
        <v>0</v>
      </c>
      <c r="H142" s="251">
        <f>SUMIF('NFI Tracking'!AQ$11:AQ$1048576,Table10[[#This Row],[Pcode]],'NFI Tracking'!AJ$11:AJ$1048576)</f>
        <v>0</v>
      </c>
      <c r="I142" s="251">
        <f>SUMIF('NFI Tracking'!AQ$11:AQ$1048576,Table10[[#This Row],[Pcode]],'NFI Tracking'!AK$11:AK$1048576)</f>
        <v>0</v>
      </c>
      <c r="J142" s="251">
        <f ca="1">MAX(Table10[[#This Row],[HH]]*VLOOKUP("Winter Clothes Adult",NFI,6)-Table10[[#This Row],[Winter Clothes Adult ]],0)</f>
        <v>184</v>
      </c>
      <c r="K142" s="251">
        <f ca="1">MAX(Table10[[#This Row],[HH]]*VLOOKUP("Winter Clothes Children ",NFI,6)-Table10[[#This Row],[Winter Clothes Children ]],0)</f>
        <v>92</v>
      </c>
      <c r="L142" s="251">
        <f ca="1">MAX(Table10[[#This Row],[HH]]*VLOOKUP("Winter Items Other ",NFI,6)-Table10[[#This Row],[Winter Items Other ]],0)</f>
        <v>92</v>
      </c>
      <c r="M142" s="279" t="str">
        <f>IF(OR(Table10[[#This Row],[Winter Clothes Adult ]]&lt;&gt;0,Table10[[#This Row],[Winter Clothes Children ]]&lt;&gt;0,Table10[[#This Row],[Winter Items Other ]]&lt;&gt;0),"No","")</f>
        <v/>
      </c>
      <c r="N142" s="280">
        <f>COUNTIF(A:A,Table10[[#This Row],[Pcode]])-1</f>
        <v>0</v>
      </c>
    </row>
    <row r="143" spans="1:14" x14ac:dyDescent="0.25">
      <c r="A143" s="234" t="s">
        <v>117</v>
      </c>
      <c r="B143" s="18" t="str">
        <f ca="1">OFFSET(CampList[Priority],MATCH(Table10[[#This Row],[Pcode]],CampList[CP_Pcode],0)-1,0,1,1)</f>
        <v>P4</v>
      </c>
      <c r="C143" s="18" t="str">
        <f ca="1">OFFSET(CampList[Camp],MATCH(Table10[[#This Row],[Pcode]],CampList[CP_Pcode],0)-1,0,1,1)</f>
        <v>Rawan Baptist Church, Maw Shan Vil., Seik Mu</v>
      </c>
      <c r="D143" s="18" t="str">
        <f ca="1">OFFSET(CampList[Township],MATCH(Table10[[#This Row],[Pcode]],CampList[CP_Pcode],0)-1,0,1,1)</f>
        <v>Hpakant</v>
      </c>
      <c r="E143" s="251">
        <f ca="1">OFFSET(CampList[HH],MATCH(Table10[[#This Row],[Pcode]],CampList[CP_Pcode],0)-1,0,1,1)</f>
        <v>9</v>
      </c>
      <c r="F143" s="251">
        <f ca="1">OFFSET(CampList[Total],MATCH(Table10[[#This Row],[Pcode]],CampList[CP_Pcode],0)-1,0,1,1)</f>
        <v>37</v>
      </c>
      <c r="G143" s="251">
        <f>SUMIF('NFI Tracking'!AQ$11:AQ$1048576,Table10[[#This Row],[Pcode]],'NFI Tracking'!AI$11:AI$1048576)</f>
        <v>0</v>
      </c>
      <c r="H143" s="251">
        <f>SUMIF('NFI Tracking'!AQ$11:AQ$1048576,Table10[[#This Row],[Pcode]],'NFI Tracking'!AJ$11:AJ$1048576)</f>
        <v>0</v>
      </c>
      <c r="I143" s="251">
        <f>SUMIF('NFI Tracking'!AQ$11:AQ$1048576,Table10[[#This Row],[Pcode]],'NFI Tracking'!AK$11:AK$1048576)</f>
        <v>0</v>
      </c>
      <c r="J143" s="251">
        <f ca="1">MAX(Table10[[#This Row],[HH]]*VLOOKUP("Winter Clothes Adult",NFI,6)-Table10[[#This Row],[Winter Clothes Adult ]],0)</f>
        <v>18</v>
      </c>
      <c r="K143" s="251">
        <f ca="1">MAX(Table10[[#This Row],[HH]]*VLOOKUP("Winter Clothes Children ",NFI,6)-Table10[[#This Row],[Winter Clothes Children ]],0)</f>
        <v>9</v>
      </c>
      <c r="L143" s="251">
        <f ca="1">MAX(Table10[[#This Row],[HH]]*VLOOKUP("Winter Items Other ",NFI,6)-Table10[[#This Row],[Winter Items Other ]],0)</f>
        <v>9</v>
      </c>
      <c r="M143" s="279" t="str">
        <f>IF(OR(Table10[[#This Row],[Winter Clothes Adult ]]&lt;&gt;0,Table10[[#This Row],[Winter Clothes Children ]]&lt;&gt;0,Table10[[#This Row],[Winter Items Other ]]&lt;&gt;0),"No","")</f>
        <v/>
      </c>
      <c r="N143" s="280">
        <f>COUNTIF(A:A,Table10[[#This Row],[Pcode]])-1</f>
        <v>0</v>
      </c>
    </row>
    <row r="144" spans="1:14" x14ac:dyDescent="0.25">
      <c r="A144" s="234" t="s">
        <v>21</v>
      </c>
      <c r="B144" s="18" t="str">
        <f ca="1">OFFSET(CampList[Priority],MATCH(Table10[[#This Row],[Pcode]],CampList[CP_Pcode],0)-1,0,1,1)</f>
        <v>P4</v>
      </c>
      <c r="C144" s="18" t="str">
        <f ca="1">OFFSET(CampList[Camp],MATCH(Table10[[#This Row],[Pcode]],CampList[CP_Pcode],0)-1,0,1,1)</f>
        <v>Robert Church</v>
      </c>
      <c r="D144" s="18" t="str">
        <f ca="1">OFFSET(CampList[Township],MATCH(Table10[[#This Row],[Pcode]],CampList[CP_Pcode],0)-1,0,1,1)</f>
        <v>Bhamo</v>
      </c>
      <c r="E144" s="251">
        <f ca="1">OFFSET(CampList[HH],MATCH(Table10[[#This Row],[Pcode]],CampList[CP_Pcode],0)-1,0,1,1)</f>
        <v>638</v>
      </c>
      <c r="F144" s="251">
        <f ca="1">OFFSET(CampList[Total],MATCH(Table10[[#This Row],[Pcode]],CampList[CP_Pcode],0)-1,0,1,1)</f>
        <v>4050</v>
      </c>
      <c r="G144" s="251">
        <f>SUMIF('NFI Tracking'!AQ$11:AQ$1048576,Table10[[#This Row],[Pcode]],'NFI Tracking'!AI$11:AI$1048576)</f>
        <v>0</v>
      </c>
      <c r="H144" s="251">
        <f>SUMIF('NFI Tracking'!AQ$11:AQ$1048576,Table10[[#This Row],[Pcode]],'NFI Tracking'!AJ$11:AJ$1048576)</f>
        <v>0</v>
      </c>
      <c r="I144" s="251">
        <f>SUMIF('NFI Tracking'!AQ$11:AQ$1048576,Table10[[#This Row],[Pcode]],'NFI Tracking'!AK$11:AK$1048576)</f>
        <v>0</v>
      </c>
      <c r="J144" s="251">
        <f ca="1">MAX(Table10[[#This Row],[HH]]*VLOOKUP("Winter Clothes Adult",NFI,6)-Table10[[#This Row],[Winter Clothes Adult ]],0)</f>
        <v>1276</v>
      </c>
      <c r="K144" s="251">
        <f ca="1">MAX(Table10[[#This Row],[HH]]*VLOOKUP("Winter Clothes Children ",NFI,6)-Table10[[#This Row],[Winter Clothes Children ]],0)</f>
        <v>638</v>
      </c>
      <c r="L144" s="251">
        <f ca="1">MAX(Table10[[#This Row],[HH]]*VLOOKUP("Winter Items Other ",NFI,6)-Table10[[#This Row],[Winter Items Other ]],0)</f>
        <v>638</v>
      </c>
      <c r="M144" s="279" t="str">
        <f>IF(OR(Table10[[#This Row],[Winter Clothes Adult ]]&lt;&gt;0,Table10[[#This Row],[Winter Clothes Children ]]&lt;&gt;0,Table10[[#This Row],[Winter Items Other ]]&lt;&gt;0),"No","")</f>
        <v/>
      </c>
      <c r="N144" s="280">
        <f>COUNTIF(A:A,Table10[[#This Row],[Pcode]])-1</f>
        <v>0</v>
      </c>
    </row>
    <row r="145" spans="1:14" x14ac:dyDescent="0.25">
      <c r="A145" s="234" t="s">
        <v>123</v>
      </c>
      <c r="B145" s="18" t="str">
        <f ca="1">OFFSET(CampList[Priority],MATCH(Table10[[#This Row],[Pcode]],CampList[CP_Pcode],0)-1,0,1,1)</f>
        <v>P4</v>
      </c>
      <c r="C145" s="18" t="str">
        <f ca="1">OFFSET(CampList[Camp],MATCH(Table10[[#This Row],[Pcode]],CampList[CP_Pcode],0)-1,0,1,1)</f>
        <v>Sai Nai Baptish Church, Maw Shan Vil., Seki Mu</v>
      </c>
      <c r="D145" s="18" t="str">
        <f ca="1">OFFSET(CampList[Township],MATCH(Table10[[#This Row],[Pcode]],CampList[CP_Pcode],0)-1,0,1,1)</f>
        <v>Hpakant</v>
      </c>
      <c r="E145" s="251">
        <f ca="1">OFFSET(CampList[HH],MATCH(Table10[[#This Row],[Pcode]],CampList[CP_Pcode],0)-1,0,1,1)</f>
        <v>8</v>
      </c>
      <c r="F145" s="251">
        <f ca="1">OFFSET(CampList[Total],MATCH(Table10[[#This Row],[Pcode]],CampList[CP_Pcode],0)-1,0,1,1)</f>
        <v>36</v>
      </c>
      <c r="G145" s="251">
        <f>SUMIF('NFI Tracking'!AQ$11:AQ$1048576,Table10[[#This Row],[Pcode]],'NFI Tracking'!AI$11:AI$1048576)</f>
        <v>0</v>
      </c>
      <c r="H145" s="251">
        <f>SUMIF('NFI Tracking'!AQ$11:AQ$1048576,Table10[[#This Row],[Pcode]],'NFI Tracking'!AJ$11:AJ$1048576)</f>
        <v>0</v>
      </c>
      <c r="I145" s="251">
        <f>SUMIF('NFI Tracking'!AQ$11:AQ$1048576,Table10[[#This Row],[Pcode]],'NFI Tracking'!AK$11:AK$1048576)</f>
        <v>0</v>
      </c>
      <c r="J145" s="251">
        <f ca="1">MAX(Table10[[#This Row],[HH]]*VLOOKUP("Winter Clothes Adult",NFI,6)-Table10[[#This Row],[Winter Clothes Adult ]],0)</f>
        <v>16</v>
      </c>
      <c r="K145" s="251">
        <f ca="1">MAX(Table10[[#This Row],[HH]]*VLOOKUP("Winter Clothes Children ",NFI,6)-Table10[[#This Row],[Winter Clothes Children ]],0)</f>
        <v>8</v>
      </c>
      <c r="L145" s="251">
        <f ca="1">MAX(Table10[[#This Row],[HH]]*VLOOKUP("Winter Items Other ",NFI,6)-Table10[[#This Row],[Winter Items Other ]],0)</f>
        <v>8</v>
      </c>
      <c r="M145" s="279" t="str">
        <f>IF(OR(Table10[[#This Row],[Winter Clothes Adult ]]&lt;&gt;0,Table10[[#This Row],[Winter Clothes Children ]]&lt;&gt;0,Table10[[#This Row],[Winter Items Other ]]&lt;&gt;0),"No","")</f>
        <v/>
      </c>
      <c r="N145" s="280">
        <f>COUNTIF(A:A,Table10[[#This Row],[Pcode]])-1</f>
        <v>0</v>
      </c>
    </row>
    <row r="146" spans="1:14" x14ac:dyDescent="0.25">
      <c r="A146" s="234" t="s">
        <v>276</v>
      </c>
      <c r="B146" s="18" t="str">
        <f ca="1">OFFSET(CampList[Priority],MATCH(Table10[[#This Row],[Pcode]],CampList[CP_Pcode],0)-1,0,1,1)</f>
        <v>P4</v>
      </c>
      <c r="C146" s="18" t="str">
        <f ca="1">OFFSET(CampList[Camp],MATCH(Table10[[#This Row],[Pcode]],CampList[CP_Pcode],0)-1,0,1,1)</f>
        <v>Shatapru Sut Ngai Tawng</v>
      </c>
      <c r="D146" s="18" t="str">
        <f ca="1">OFFSET(CampList[Township],MATCH(Table10[[#This Row],[Pcode]],CampList[CP_Pcode],0)-1,0,1,1)</f>
        <v>Myitkyina</v>
      </c>
      <c r="E146" s="251">
        <f ca="1">OFFSET(CampList[HH],MATCH(Table10[[#This Row],[Pcode]],CampList[CP_Pcode],0)-1,0,1,1)</f>
        <v>118</v>
      </c>
      <c r="F146" s="251">
        <f ca="1">OFFSET(CampList[Total],MATCH(Table10[[#This Row],[Pcode]],CampList[CP_Pcode],0)-1,0,1,1)</f>
        <v>529</v>
      </c>
      <c r="G146" s="251">
        <f>SUMIF('NFI Tracking'!AQ$11:AQ$1048576,Table10[[#This Row],[Pcode]],'NFI Tracking'!AI$11:AI$1048576)</f>
        <v>0</v>
      </c>
      <c r="H146" s="251">
        <f>SUMIF('NFI Tracking'!AQ$11:AQ$1048576,Table10[[#This Row],[Pcode]],'NFI Tracking'!AJ$11:AJ$1048576)</f>
        <v>0</v>
      </c>
      <c r="I146" s="251">
        <f>SUMIF('NFI Tracking'!AQ$11:AQ$1048576,Table10[[#This Row],[Pcode]],'NFI Tracking'!AK$11:AK$1048576)</f>
        <v>0</v>
      </c>
      <c r="J146" s="251">
        <f ca="1">MAX(Table10[[#This Row],[HH]]*VLOOKUP("Winter Clothes Adult",NFI,6)-Table10[[#This Row],[Winter Clothes Adult ]],0)</f>
        <v>236</v>
      </c>
      <c r="K146" s="251">
        <f ca="1">MAX(Table10[[#This Row],[HH]]*VLOOKUP("Winter Clothes Children ",NFI,6)-Table10[[#This Row],[Winter Clothes Children ]],0)</f>
        <v>118</v>
      </c>
      <c r="L146" s="251">
        <f ca="1">MAX(Table10[[#This Row],[HH]]*VLOOKUP("Winter Items Other ",NFI,6)-Table10[[#This Row],[Winter Items Other ]],0)</f>
        <v>118</v>
      </c>
      <c r="M146" s="279" t="str">
        <f>IF(OR(Table10[[#This Row],[Winter Clothes Adult ]]&lt;&gt;0,Table10[[#This Row],[Winter Clothes Children ]]&lt;&gt;0,Table10[[#This Row],[Winter Items Other ]]&lt;&gt;0),"No","")</f>
        <v/>
      </c>
      <c r="N146" s="280">
        <f>COUNTIF(A:A,Table10[[#This Row],[Pcode]])-1</f>
        <v>0</v>
      </c>
    </row>
    <row r="147" spans="1:14" x14ac:dyDescent="0.25">
      <c r="A147" s="234" t="s">
        <v>278</v>
      </c>
      <c r="B147" s="18" t="str">
        <f ca="1">OFFSET(CampList[Priority],MATCH(Table10[[#This Row],[Pcode]],CampList[CP_Pcode],0)-1,0,1,1)</f>
        <v>P4</v>
      </c>
      <c r="C147" s="18" t="str">
        <f ca="1">OFFSET(CampList[Camp],MATCH(Table10[[#This Row],[Pcode]],CampList[CP_Pcode],0)-1,0,1,1)</f>
        <v>Shatapru Thida Aye Baptist Church</v>
      </c>
      <c r="D147" s="18" t="str">
        <f ca="1">OFFSET(CampList[Township],MATCH(Table10[[#This Row],[Pcode]],CampList[CP_Pcode],0)-1,0,1,1)</f>
        <v>Myitkyina</v>
      </c>
      <c r="E147" s="251">
        <f ca="1">OFFSET(CampList[HH],MATCH(Table10[[#This Row],[Pcode]],CampList[CP_Pcode],0)-1,0,1,1)</f>
        <v>22</v>
      </c>
      <c r="F147" s="251">
        <f ca="1">OFFSET(CampList[Total],MATCH(Table10[[#This Row],[Pcode]],CampList[CP_Pcode],0)-1,0,1,1)</f>
        <v>111</v>
      </c>
      <c r="G147" s="251">
        <f>SUMIF('NFI Tracking'!AQ$11:AQ$1048576,Table10[[#This Row],[Pcode]],'NFI Tracking'!AI$11:AI$1048576)</f>
        <v>0</v>
      </c>
      <c r="H147" s="251">
        <f>SUMIF('NFI Tracking'!AQ$11:AQ$1048576,Table10[[#This Row],[Pcode]],'NFI Tracking'!AJ$11:AJ$1048576)</f>
        <v>0</v>
      </c>
      <c r="I147" s="251">
        <f>SUMIF('NFI Tracking'!AQ$11:AQ$1048576,Table10[[#This Row],[Pcode]],'NFI Tracking'!AK$11:AK$1048576)</f>
        <v>0</v>
      </c>
      <c r="J147" s="251">
        <f ca="1">MAX(Table10[[#This Row],[HH]]*VLOOKUP("Winter Clothes Adult",NFI,6)-Table10[[#This Row],[Winter Clothes Adult ]],0)</f>
        <v>44</v>
      </c>
      <c r="K147" s="251">
        <f ca="1">MAX(Table10[[#This Row],[HH]]*VLOOKUP("Winter Clothes Children ",NFI,6)-Table10[[#This Row],[Winter Clothes Children ]],0)</f>
        <v>22</v>
      </c>
      <c r="L147" s="251">
        <f ca="1">MAX(Table10[[#This Row],[HH]]*VLOOKUP("Winter Items Other ",NFI,6)-Table10[[#This Row],[Winter Items Other ]],0)</f>
        <v>22</v>
      </c>
      <c r="M147" s="279" t="str">
        <f>IF(OR(Table10[[#This Row],[Winter Clothes Adult ]]&lt;&gt;0,Table10[[#This Row],[Winter Clothes Children ]]&lt;&gt;0,Table10[[#This Row],[Winter Items Other ]]&lt;&gt;0),"No","")</f>
        <v/>
      </c>
      <c r="N147" s="280">
        <f>COUNTIF(A:A,Table10[[#This Row],[Pcode]])-1</f>
        <v>0</v>
      </c>
    </row>
    <row r="148" spans="1:14" x14ac:dyDescent="0.25">
      <c r="A148" s="234" t="s">
        <v>305</v>
      </c>
      <c r="B148" s="18" t="str">
        <f ca="1">OFFSET(CampList[Priority],MATCH(Table10[[#This Row],[Pcode]],CampList[CP_Pcode],0)-1,0,1,1)</f>
        <v>P4</v>
      </c>
      <c r="C148" s="18" t="str">
        <f ca="1">OFFSET(CampList[Camp],MATCH(Table10[[#This Row],[Pcode]],CampList[CP_Pcode],0)-1,0,1,1)</f>
        <v>Shwe Gu Baptist Church</v>
      </c>
      <c r="D148" s="18" t="str">
        <f ca="1">OFFSET(CampList[Township],MATCH(Table10[[#This Row],[Pcode]],CampList[CP_Pcode],0)-1,0,1,1)</f>
        <v>Shwegu</v>
      </c>
      <c r="E148" s="251">
        <f ca="1">OFFSET(CampList[HH],MATCH(Table10[[#This Row],[Pcode]],CampList[CP_Pcode],0)-1,0,1,1)</f>
        <v>86</v>
      </c>
      <c r="F148" s="251">
        <f ca="1">OFFSET(CampList[Total],MATCH(Table10[[#This Row],[Pcode]],CampList[CP_Pcode],0)-1,0,1,1)</f>
        <v>314</v>
      </c>
      <c r="G148" s="251">
        <f>SUMIF('NFI Tracking'!AQ$11:AQ$1048576,Table10[[#This Row],[Pcode]],'NFI Tracking'!AI$11:AI$1048576)</f>
        <v>0</v>
      </c>
      <c r="H148" s="251">
        <f>SUMIF('NFI Tracking'!AQ$11:AQ$1048576,Table10[[#This Row],[Pcode]],'NFI Tracking'!AJ$11:AJ$1048576)</f>
        <v>0</v>
      </c>
      <c r="I148" s="251">
        <f>SUMIF('NFI Tracking'!AQ$11:AQ$1048576,Table10[[#This Row],[Pcode]],'NFI Tracking'!AK$11:AK$1048576)</f>
        <v>0</v>
      </c>
      <c r="J148" s="251">
        <f ca="1">MAX(Table10[[#This Row],[HH]]*VLOOKUP("Winter Clothes Adult",NFI,6)-Table10[[#This Row],[Winter Clothes Adult ]],0)</f>
        <v>172</v>
      </c>
      <c r="K148" s="251">
        <f ca="1">MAX(Table10[[#This Row],[HH]]*VLOOKUP("Winter Clothes Children ",NFI,6)-Table10[[#This Row],[Winter Clothes Children ]],0)</f>
        <v>86</v>
      </c>
      <c r="L148" s="251">
        <f ca="1">MAX(Table10[[#This Row],[HH]]*VLOOKUP("Winter Items Other ",NFI,6)-Table10[[#This Row],[Winter Items Other ]],0)</f>
        <v>86</v>
      </c>
      <c r="M148" s="279" t="str">
        <f>IF(OR(Table10[[#This Row],[Winter Clothes Adult ]]&lt;&gt;0,Table10[[#This Row],[Winter Clothes Children ]]&lt;&gt;0,Table10[[#This Row],[Winter Items Other ]]&lt;&gt;0),"No","")</f>
        <v/>
      </c>
      <c r="N148" s="280">
        <f>COUNTIF(A:A,Table10[[#This Row],[Pcode]])-1</f>
        <v>0</v>
      </c>
    </row>
    <row r="149" spans="1:14" x14ac:dyDescent="0.25">
      <c r="A149" s="234" t="s">
        <v>307</v>
      </c>
      <c r="B149" s="18" t="str">
        <f ca="1">OFFSET(CampList[Priority],MATCH(Table10[[#This Row],[Pcode]],CampList[CP_Pcode],0)-1,0,1,1)</f>
        <v>P4</v>
      </c>
      <c r="C149" s="18" t="str">
        <f ca="1">OFFSET(CampList[Camp],MATCH(Table10[[#This Row],[Pcode]],CampList[CP_Pcode],0)-1,0,1,1)</f>
        <v>Shwe Gu Catholic Church</v>
      </c>
      <c r="D149" s="18" t="str">
        <f ca="1">OFFSET(CampList[Township],MATCH(Table10[[#This Row],[Pcode]],CampList[CP_Pcode],0)-1,0,1,1)</f>
        <v>Shwegu</v>
      </c>
      <c r="E149" s="251">
        <f ca="1">OFFSET(CampList[HH],MATCH(Table10[[#This Row],[Pcode]],CampList[CP_Pcode],0)-1,0,1,1)</f>
        <v>43</v>
      </c>
      <c r="F149" s="251">
        <f ca="1">OFFSET(CampList[Total],MATCH(Table10[[#This Row],[Pcode]],CampList[CP_Pcode],0)-1,0,1,1)</f>
        <v>159</v>
      </c>
      <c r="G149" s="251">
        <f>SUMIF('NFI Tracking'!AQ$11:AQ$1048576,Table10[[#This Row],[Pcode]],'NFI Tracking'!AI$11:AI$1048576)</f>
        <v>0</v>
      </c>
      <c r="H149" s="251">
        <f>SUMIF('NFI Tracking'!AQ$11:AQ$1048576,Table10[[#This Row],[Pcode]],'NFI Tracking'!AJ$11:AJ$1048576)</f>
        <v>0</v>
      </c>
      <c r="I149" s="251">
        <f>SUMIF('NFI Tracking'!AQ$11:AQ$1048576,Table10[[#This Row],[Pcode]],'NFI Tracking'!AK$11:AK$1048576)</f>
        <v>0</v>
      </c>
      <c r="J149" s="251">
        <f ca="1">MAX(Table10[[#This Row],[HH]]*VLOOKUP("Winter Clothes Adult",NFI,6)-Table10[[#This Row],[Winter Clothes Adult ]],0)</f>
        <v>86</v>
      </c>
      <c r="K149" s="251">
        <f ca="1">MAX(Table10[[#This Row],[HH]]*VLOOKUP("Winter Clothes Children ",NFI,6)-Table10[[#This Row],[Winter Clothes Children ]],0)</f>
        <v>43</v>
      </c>
      <c r="L149" s="251">
        <f ca="1">MAX(Table10[[#This Row],[HH]]*VLOOKUP("Winter Items Other ",NFI,6)-Table10[[#This Row],[Winter Items Other ]],0)</f>
        <v>43</v>
      </c>
      <c r="M149" s="279" t="str">
        <f>IF(OR(Table10[[#This Row],[Winter Clothes Adult ]]&lt;&gt;0,Table10[[#This Row],[Winter Clothes Children ]]&lt;&gt;0,Table10[[#This Row],[Winter Items Other ]]&lt;&gt;0),"No","")</f>
        <v/>
      </c>
      <c r="N149" s="280">
        <f>COUNTIF(A:A,Table10[[#This Row],[Pcode]])-1</f>
        <v>0</v>
      </c>
    </row>
    <row r="150" spans="1:14" x14ac:dyDescent="0.25">
      <c r="A150" s="234" t="s">
        <v>280</v>
      </c>
      <c r="B150" s="18" t="str">
        <f ca="1">OFFSET(CampList[Priority],MATCH(Table10[[#This Row],[Pcode]],CampList[CP_Pcode],0)-1,0,1,1)</f>
        <v>P4</v>
      </c>
      <c r="C150" s="18" t="str">
        <f ca="1">OFFSET(CampList[Camp],MATCH(Table10[[#This Row],[Pcode]],CampList[CP_Pcode],0)-1,0,1,1)</f>
        <v>Shwe Zet Baptist Church</v>
      </c>
      <c r="D150" s="18" t="str">
        <f ca="1">OFFSET(CampList[Township],MATCH(Table10[[#This Row],[Pcode]],CampList[CP_Pcode],0)-1,0,1,1)</f>
        <v>Myitkyina</v>
      </c>
      <c r="E150" s="251">
        <f ca="1">OFFSET(CampList[HH],MATCH(Table10[[#This Row],[Pcode]],CampList[CP_Pcode],0)-1,0,1,1)</f>
        <v>92</v>
      </c>
      <c r="F150" s="251">
        <f ca="1">OFFSET(CampList[Total],MATCH(Table10[[#This Row],[Pcode]],CampList[CP_Pcode],0)-1,0,1,1)</f>
        <v>499</v>
      </c>
      <c r="G150" s="251">
        <f>SUMIF('NFI Tracking'!AQ$11:AQ$1048576,Table10[[#This Row],[Pcode]],'NFI Tracking'!AI$11:AI$1048576)</f>
        <v>0</v>
      </c>
      <c r="H150" s="251">
        <f>SUMIF('NFI Tracking'!AQ$11:AQ$1048576,Table10[[#This Row],[Pcode]],'NFI Tracking'!AJ$11:AJ$1048576)</f>
        <v>0</v>
      </c>
      <c r="I150" s="251">
        <f>SUMIF('NFI Tracking'!AQ$11:AQ$1048576,Table10[[#This Row],[Pcode]],'NFI Tracking'!AK$11:AK$1048576)</f>
        <v>0</v>
      </c>
      <c r="J150" s="251">
        <f ca="1">MAX(Table10[[#This Row],[HH]]*VLOOKUP("Winter Clothes Adult",NFI,6)-Table10[[#This Row],[Winter Clothes Adult ]],0)</f>
        <v>184</v>
      </c>
      <c r="K150" s="251">
        <f ca="1">MAX(Table10[[#This Row],[HH]]*VLOOKUP("Winter Clothes Children ",NFI,6)-Table10[[#This Row],[Winter Clothes Children ]],0)</f>
        <v>92</v>
      </c>
      <c r="L150" s="251">
        <f ca="1">MAX(Table10[[#This Row],[HH]]*VLOOKUP("Winter Items Other ",NFI,6)-Table10[[#This Row],[Winter Items Other ]],0)</f>
        <v>92</v>
      </c>
      <c r="M150" s="279" t="str">
        <f>IF(OR(Table10[[#This Row],[Winter Clothes Adult ]]&lt;&gt;0,Table10[[#This Row],[Winter Clothes Children ]]&lt;&gt;0,Table10[[#This Row],[Winter Items Other ]]&lt;&gt;0),"No","")</f>
        <v/>
      </c>
      <c r="N150" s="280">
        <f>COUNTIF(A:A,Table10[[#This Row],[Pcode]])-1</f>
        <v>0</v>
      </c>
    </row>
    <row r="151" spans="1:14" x14ac:dyDescent="0.25">
      <c r="A151" s="234" t="s">
        <v>179</v>
      </c>
      <c r="B151" s="18" t="str">
        <f ca="1">OFFSET(CampList[Priority],MATCH(Table10[[#This Row],[Pcode]],CampList[CP_Pcode],0)-1,0,1,1)</f>
        <v>P4</v>
      </c>
      <c r="C151" s="18" t="str">
        <f ca="1">OFFSET(CampList[Camp],MATCH(Table10[[#This Row],[Pcode]],CampList[CP_Pcode],0)-1,0,1,1)</f>
        <v xml:space="preserve">St. Patrick Catholic Church </v>
      </c>
      <c r="D151" s="18" t="str">
        <f ca="1">OFFSET(CampList[Township],MATCH(Table10[[#This Row],[Pcode]],CampList[CP_Pcode],0)-1,0,1,1)</f>
        <v>Mohnyin</v>
      </c>
      <c r="E151" s="251">
        <f ca="1">OFFSET(CampList[HH],MATCH(Table10[[#This Row],[Pcode]],CampList[CP_Pcode],0)-1,0,1,1)</f>
        <v>11</v>
      </c>
      <c r="F151" s="251">
        <f ca="1">OFFSET(CampList[Total],MATCH(Table10[[#This Row],[Pcode]],CampList[CP_Pcode],0)-1,0,1,1)</f>
        <v>57</v>
      </c>
      <c r="G151" s="251">
        <f>SUMIF('NFI Tracking'!AQ$11:AQ$1048576,Table10[[#This Row],[Pcode]],'NFI Tracking'!AI$11:AI$1048576)</f>
        <v>0</v>
      </c>
      <c r="H151" s="251">
        <f>SUMIF('NFI Tracking'!AQ$11:AQ$1048576,Table10[[#This Row],[Pcode]],'NFI Tracking'!AJ$11:AJ$1048576)</f>
        <v>0</v>
      </c>
      <c r="I151" s="251">
        <f>SUMIF('NFI Tracking'!AQ$11:AQ$1048576,Table10[[#This Row],[Pcode]],'NFI Tracking'!AK$11:AK$1048576)</f>
        <v>0</v>
      </c>
      <c r="J151" s="251">
        <f ca="1">MAX(Table10[[#This Row],[HH]]*VLOOKUP("Winter Clothes Adult",NFI,6)-Table10[[#This Row],[Winter Clothes Adult ]],0)</f>
        <v>22</v>
      </c>
      <c r="K151" s="251">
        <f ca="1">MAX(Table10[[#This Row],[HH]]*VLOOKUP("Winter Clothes Children ",NFI,6)-Table10[[#This Row],[Winter Clothes Children ]],0)</f>
        <v>11</v>
      </c>
      <c r="L151" s="251">
        <f ca="1">MAX(Table10[[#This Row],[HH]]*VLOOKUP("Winter Items Other ",NFI,6)-Table10[[#This Row],[Winter Items Other ]],0)</f>
        <v>11</v>
      </c>
      <c r="M151" s="279" t="str">
        <f>IF(OR(Table10[[#This Row],[Winter Clothes Adult ]]&lt;&gt;0,Table10[[#This Row],[Winter Clothes Children ]]&lt;&gt;0,Table10[[#This Row],[Winter Items Other ]]&lt;&gt;0),"No","")</f>
        <v/>
      </c>
      <c r="N151" s="280">
        <f>COUNTIF(A:A,Table10[[#This Row],[Pcode]])-1</f>
        <v>0</v>
      </c>
    </row>
    <row r="152" spans="1:14" x14ac:dyDescent="0.25">
      <c r="A152" s="234" t="s">
        <v>811</v>
      </c>
      <c r="B152" s="18" t="str">
        <f ca="1">OFFSET(CampList[Priority],MATCH(Table10[[#This Row],[Pcode]],CampList[CP_Pcode],0)-1,0,1,1)</f>
        <v>P4</v>
      </c>
      <c r="C152" s="18" t="str">
        <f ca="1">OFFSET(CampList[Camp],MATCH(Table10[[#This Row],[Pcode]],CampList[CP_Pcode],0)-1,0,1,1)</f>
        <v>Sumprabum</v>
      </c>
      <c r="D152" s="18" t="str">
        <f ca="1">OFFSET(CampList[Township],MATCH(Table10[[#This Row],[Pcode]],CampList[CP_Pcode],0)-1,0,1,1)</f>
        <v>Sumprabum</v>
      </c>
      <c r="E152" s="251">
        <f ca="1">OFFSET(CampList[HH],MATCH(Table10[[#This Row],[Pcode]],CampList[CP_Pcode],0)-1,0,1,1)</f>
        <v>5</v>
      </c>
      <c r="F152" s="251">
        <f ca="1">OFFSET(CampList[Total],MATCH(Table10[[#This Row],[Pcode]],CampList[CP_Pcode],0)-1,0,1,1)</f>
        <v>32</v>
      </c>
      <c r="G152" s="251">
        <f>SUMIF('NFI Tracking'!AQ$11:AQ$1048576,Table10[[#This Row],[Pcode]],'NFI Tracking'!AI$11:AI$1048576)</f>
        <v>0</v>
      </c>
      <c r="H152" s="251">
        <f>SUMIF('NFI Tracking'!AQ$11:AQ$1048576,Table10[[#This Row],[Pcode]],'NFI Tracking'!AJ$11:AJ$1048576)</f>
        <v>0</v>
      </c>
      <c r="I152" s="251">
        <f>SUMIF('NFI Tracking'!AQ$11:AQ$1048576,Table10[[#This Row],[Pcode]],'NFI Tracking'!AK$11:AK$1048576)</f>
        <v>0</v>
      </c>
      <c r="J152" s="251">
        <f ca="1">MAX(Table10[[#This Row],[HH]]*VLOOKUP("Winter Clothes Adult",NFI,6)-Table10[[#This Row],[Winter Clothes Adult ]],0)</f>
        <v>10</v>
      </c>
      <c r="K152" s="251">
        <f ca="1">MAX(Table10[[#This Row],[HH]]*VLOOKUP("Winter Clothes Children ",NFI,6)-Table10[[#This Row],[Winter Clothes Children ]],0)</f>
        <v>5</v>
      </c>
      <c r="L152" s="251">
        <f ca="1">MAX(Table10[[#This Row],[HH]]*VLOOKUP("Winter Items Other ",NFI,6)-Table10[[#This Row],[Winter Items Other ]],0)</f>
        <v>5</v>
      </c>
      <c r="M152" s="279" t="str">
        <f>IF(OR(Table10[[#This Row],[Winter Clothes Adult ]]&lt;&gt;0,Table10[[#This Row],[Winter Clothes Children ]]&lt;&gt;0,Table10[[#This Row],[Winter Items Other ]]&lt;&gt;0),"No","")</f>
        <v/>
      </c>
      <c r="N152" s="280">
        <f>COUNTIF(A:A,Table10[[#This Row],[Pcode]])-1</f>
        <v>0</v>
      </c>
    </row>
    <row r="153" spans="1:14" x14ac:dyDescent="0.25">
      <c r="A153" s="234" t="s">
        <v>23</v>
      </c>
      <c r="B153" s="18" t="str">
        <f ca="1">OFFSET(CampList[Priority],MATCH(Table10[[#This Row],[Pcode]],CampList[CP_Pcode],0)-1,0,1,1)</f>
        <v>P4</v>
      </c>
      <c r="C153" s="18" t="str">
        <f ca="1">OFFSET(CampList[Camp],MATCH(Table10[[#This Row],[Pcode]],CampList[CP_Pcode],0)-1,0,1,1)</f>
        <v>Ta Gun Taing Monastery (Shwe Kyi Na)</v>
      </c>
      <c r="D153" s="18" t="str">
        <f ca="1">OFFSET(CampList[Township],MATCH(Table10[[#This Row],[Pcode]],CampList[CP_Pcode],0)-1,0,1,1)</f>
        <v>Bhamo</v>
      </c>
      <c r="E153" s="251">
        <f ca="1">OFFSET(CampList[HH],MATCH(Table10[[#This Row],[Pcode]],CampList[CP_Pcode],0)-1,0,1,1)</f>
        <v>20</v>
      </c>
      <c r="F153" s="251">
        <f ca="1">OFFSET(CampList[Total],MATCH(Table10[[#This Row],[Pcode]],CampList[CP_Pcode],0)-1,0,1,1)</f>
        <v>95</v>
      </c>
      <c r="G153" s="251">
        <f>SUMIF('NFI Tracking'!AQ$11:AQ$1048576,Table10[[#This Row],[Pcode]],'NFI Tracking'!AI$11:AI$1048576)</f>
        <v>0</v>
      </c>
      <c r="H153" s="251">
        <f>SUMIF('NFI Tracking'!AQ$11:AQ$1048576,Table10[[#This Row],[Pcode]],'NFI Tracking'!AJ$11:AJ$1048576)</f>
        <v>0</v>
      </c>
      <c r="I153" s="251">
        <f>SUMIF('NFI Tracking'!AQ$11:AQ$1048576,Table10[[#This Row],[Pcode]],'NFI Tracking'!AK$11:AK$1048576)</f>
        <v>0</v>
      </c>
      <c r="J153" s="251">
        <f ca="1">MAX(Table10[[#This Row],[HH]]*VLOOKUP("Winter Clothes Adult",NFI,6)-Table10[[#This Row],[Winter Clothes Adult ]],0)</f>
        <v>40</v>
      </c>
      <c r="K153" s="251">
        <f ca="1">MAX(Table10[[#This Row],[HH]]*VLOOKUP("Winter Clothes Children ",NFI,6)-Table10[[#This Row],[Winter Clothes Children ]],0)</f>
        <v>20</v>
      </c>
      <c r="L153" s="251">
        <f ca="1">MAX(Table10[[#This Row],[HH]]*VLOOKUP("Winter Items Other ",NFI,6)-Table10[[#This Row],[Winter Items Other ]],0)</f>
        <v>20</v>
      </c>
      <c r="M153" s="279" t="str">
        <f>IF(OR(Table10[[#This Row],[Winter Clothes Adult ]]&lt;&gt;0,Table10[[#This Row],[Winter Clothes Children ]]&lt;&gt;0,Table10[[#This Row],[Winter Items Other ]]&lt;&gt;0),"No","")</f>
        <v/>
      </c>
      <c r="N153" s="280">
        <f>COUNTIF(A:A,Table10[[#This Row],[Pcode]])-1</f>
        <v>0</v>
      </c>
    </row>
    <row r="154" spans="1:14" x14ac:dyDescent="0.25">
      <c r="A154" s="234" t="s">
        <v>226</v>
      </c>
      <c r="B154" s="18" t="str">
        <f ca="1">OFFSET(CampList[Priority],MATCH(Table10[[#This Row],[Pcode]],CampList[CP_Pcode],0)-1,0,1,1)</f>
        <v>P4</v>
      </c>
      <c r="C154" s="18" t="str">
        <f ca="1">OFFSET(CampList[Camp],MATCH(Table10[[#This Row],[Pcode]],CampList[CP_Pcode],0)-1,0,1,1)</f>
        <v xml:space="preserve">Tarli </v>
      </c>
      <c r="D154" s="18" t="str">
        <f ca="1">OFFSET(CampList[Township],MATCH(Table10[[#This Row],[Pcode]],CampList[CP_Pcode],0)-1,0,1,1)</f>
        <v>Momauk</v>
      </c>
      <c r="E154" s="251">
        <f ca="1">OFFSET(CampList[HH],MATCH(Table10[[#This Row],[Pcode]],CampList[CP_Pcode],0)-1,0,1,1)</f>
        <v>0</v>
      </c>
      <c r="F154" s="251">
        <f ca="1">OFFSET(CampList[Total],MATCH(Table10[[#This Row],[Pcode]],CampList[CP_Pcode],0)-1,0,1,1)</f>
        <v>0</v>
      </c>
      <c r="G154" s="251">
        <f>SUMIF('NFI Tracking'!AQ$11:AQ$1048576,Table10[[#This Row],[Pcode]],'NFI Tracking'!AI$11:AI$1048576)</f>
        <v>0</v>
      </c>
      <c r="H154" s="251">
        <f>SUMIF('NFI Tracking'!AQ$11:AQ$1048576,Table10[[#This Row],[Pcode]],'NFI Tracking'!AJ$11:AJ$1048576)</f>
        <v>0</v>
      </c>
      <c r="I154" s="251">
        <f>SUMIF('NFI Tracking'!AQ$11:AQ$1048576,Table10[[#This Row],[Pcode]],'NFI Tracking'!AK$11:AK$1048576)</f>
        <v>0</v>
      </c>
      <c r="J154" s="251">
        <f ca="1">MAX(Table10[[#This Row],[HH]]*VLOOKUP("Winter Clothes Adult",NFI,6)-Table10[[#This Row],[Winter Clothes Adult ]],0)</f>
        <v>0</v>
      </c>
      <c r="K154" s="251">
        <f ca="1">MAX(Table10[[#This Row],[HH]]*VLOOKUP("Winter Clothes Children ",NFI,6)-Table10[[#This Row],[Winter Clothes Children ]],0)</f>
        <v>0</v>
      </c>
      <c r="L154" s="251">
        <f ca="1">MAX(Table10[[#This Row],[HH]]*VLOOKUP("Winter Items Other ",NFI,6)-Table10[[#This Row],[Winter Items Other ]],0)</f>
        <v>0</v>
      </c>
      <c r="M154" s="279" t="str">
        <f>IF(OR(Table10[[#This Row],[Winter Clothes Adult ]]&lt;&gt;0,Table10[[#This Row],[Winter Clothes Children ]]&lt;&gt;0,Table10[[#This Row],[Winter Items Other ]]&lt;&gt;0),"No","")</f>
        <v/>
      </c>
      <c r="N154" s="280">
        <f>COUNTIF(A:A,Table10[[#This Row],[Pcode]])-1</f>
        <v>0</v>
      </c>
    </row>
    <row r="155" spans="1:14" x14ac:dyDescent="0.25">
      <c r="A155" s="234" t="s">
        <v>236</v>
      </c>
      <c r="B155" s="18" t="str">
        <f ca="1">OFFSET(CampList[Priority],MATCH(Table10[[#This Row],[Pcode]],CampList[CP_Pcode],0)-1,0,1,1)</f>
        <v>P4</v>
      </c>
      <c r="C155" s="18" t="str">
        <f ca="1">OFFSET(CampList[Camp],MATCH(Table10[[#This Row],[Pcode]],CampList[CP_Pcode],0)-1,0,1,1)</f>
        <v>Tat Kone Baptist Church</v>
      </c>
      <c r="D155" s="18" t="str">
        <f ca="1">OFFSET(CampList[Township],MATCH(Table10[[#This Row],[Pcode]],CampList[CP_Pcode],0)-1,0,1,1)</f>
        <v>Myitkyina</v>
      </c>
      <c r="E155" s="251">
        <f ca="1">OFFSET(CampList[HH],MATCH(Table10[[#This Row],[Pcode]],CampList[CP_Pcode],0)-1,0,1,1)</f>
        <v>66</v>
      </c>
      <c r="F155" s="251">
        <f ca="1">OFFSET(CampList[Total],MATCH(Table10[[#This Row],[Pcode]],CampList[CP_Pcode],0)-1,0,1,1)</f>
        <v>344</v>
      </c>
      <c r="G155" s="251">
        <f>SUMIF('NFI Tracking'!AQ$11:AQ$1048576,Table10[[#This Row],[Pcode]],'NFI Tracking'!AI$11:AI$1048576)</f>
        <v>0</v>
      </c>
      <c r="H155" s="251">
        <f>SUMIF('NFI Tracking'!AQ$11:AQ$1048576,Table10[[#This Row],[Pcode]],'NFI Tracking'!AJ$11:AJ$1048576)</f>
        <v>0</v>
      </c>
      <c r="I155" s="251">
        <f>SUMIF('NFI Tracking'!AQ$11:AQ$1048576,Table10[[#This Row],[Pcode]],'NFI Tracking'!AK$11:AK$1048576)</f>
        <v>0</v>
      </c>
      <c r="J155" s="251">
        <f ca="1">MAX(Table10[[#This Row],[HH]]*VLOOKUP("Winter Clothes Adult",NFI,6)-Table10[[#This Row],[Winter Clothes Adult ]],0)</f>
        <v>132</v>
      </c>
      <c r="K155" s="251">
        <f ca="1">MAX(Table10[[#This Row],[HH]]*VLOOKUP("Winter Clothes Children ",NFI,6)-Table10[[#This Row],[Winter Clothes Children ]],0)</f>
        <v>66</v>
      </c>
      <c r="L155" s="251">
        <f ca="1">MAX(Table10[[#This Row],[HH]]*VLOOKUP("Winter Items Other ",NFI,6)-Table10[[#This Row],[Winter Items Other ]],0)</f>
        <v>66</v>
      </c>
      <c r="M155" s="279" t="str">
        <f>IF(OR(Table10[[#This Row],[Winter Clothes Adult ]]&lt;&gt;0,Table10[[#This Row],[Winter Clothes Children ]]&lt;&gt;0,Table10[[#This Row],[Winter Items Other ]]&lt;&gt;0),"No","")</f>
        <v/>
      </c>
      <c r="N155" s="280">
        <f>COUNTIF(A:A,Table10[[#This Row],[Pcode]])-1</f>
        <v>0</v>
      </c>
    </row>
    <row r="156" spans="1:14" x14ac:dyDescent="0.25">
      <c r="A156" s="234" t="s">
        <v>241</v>
      </c>
      <c r="B156" s="18" t="str">
        <f ca="1">OFFSET(CampList[Priority],MATCH(Table10[[#This Row],[Pcode]],CampList[CP_Pcode],0)-1,0,1,1)</f>
        <v>P4</v>
      </c>
      <c r="C156" s="18" t="str">
        <f ca="1">OFFSET(CampList[Camp],MATCH(Table10[[#This Row],[Pcode]],CampList[CP_Pcode],0)-1,0,1,1)</f>
        <v>Tat Kone COC Baptist - Tat Kone Htoi San</v>
      </c>
      <c r="D156" s="18" t="str">
        <f ca="1">OFFSET(CampList[Township],MATCH(Table10[[#This Row],[Pcode]],CampList[CP_Pcode],0)-1,0,1,1)</f>
        <v>Myitkyina</v>
      </c>
      <c r="E156" s="251">
        <f ca="1">OFFSET(CampList[HH],MATCH(Table10[[#This Row],[Pcode]],CampList[CP_Pcode],0)-1,0,1,1)</f>
        <v>54</v>
      </c>
      <c r="F156" s="251">
        <f ca="1">OFFSET(CampList[Total],MATCH(Table10[[#This Row],[Pcode]],CampList[CP_Pcode],0)-1,0,1,1)</f>
        <v>262</v>
      </c>
      <c r="G156" s="251">
        <f>SUMIF('NFI Tracking'!AQ$11:AQ$1048576,Table10[[#This Row],[Pcode]],'NFI Tracking'!AI$11:AI$1048576)</f>
        <v>0</v>
      </c>
      <c r="H156" s="251">
        <f>SUMIF('NFI Tracking'!AQ$11:AQ$1048576,Table10[[#This Row],[Pcode]],'NFI Tracking'!AJ$11:AJ$1048576)</f>
        <v>0</v>
      </c>
      <c r="I156" s="251">
        <f>SUMIF('NFI Tracking'!AQ$11:AQ$1048576,Table10[[#This Row],[Pcode]],'NFI Tracking'!AK$11:AK$1048576)</f>
        <v>0</v>
      </c>
      <c r="J156" s="251">
        <f ca="1">MAX(Table10[[#This Row],[HH]]*VLOOKUP("Winter Clothes Adult",NFI,6)-Table10[[#This Row],[Winter Clothes Adult ]],0)</f>
        <v>108</v>
      </c>
      <c r="K156" s="251">
        <f ca="1">MAX(Table10[[#This Row],[HH]]*VLOOKUP("Winter Clothes Children ",NFI,6)-Table10[[#This Row],[Winter Clothes Children ]],0)</f>
        <v>54</v>
      </c>
      <c r="L156" s="251">
        <f ca="1">MAX(Table10[[#This Row],[HH]]*VLOOKUP("Winter Items Other ",NFI,6)-Table10[[#This Row],[Winter Items Other ]],0)</f>
        <v>54</v>
      </c>
      <c r="M156" s="279" t="str">
        <f>IF(OR(Table10[[#This Row],[Winter Clothes Adult ]]&lt;&gt;0,Table10[[#This Row],[Winter Clothes Children ]]&lt;&gt;0,Table10[[#This Row],[Winter Items Other ]]&lt;&gt;0),"No","")</f>
        <v/>
      </c>
      <c r="N156" s="280">
        <f>COUNTIF(A:A,Table10[[#This Row],[Pcode]])-1</f>
        <v>0</v>
      </c>
    </row>
    <row r="157" spans="1:14" x14ac:dyDescent="0.25">
      <c r="A157" s="234" t="s">
        <v>248</v>
      </c>
      <c r="B157" s="18" t="str">
        <f ca="1">OFFSET(CampList[Priority],MATCH(Table10[[#This Row],[Pcode]],CampList[CP_Pcode],0)-1,0,1,1)</f>
        <v>P4</v>
      </c>
      <c r="C157" s="18" t="str">
        <f ca="1">OFFSET(CampList[Camp],MATCH(Table10[[#This Row],[Pcode]],CampList[CP_Pcode],0)-1,0,1,1)</f>
        <v>Tat Kone Emanuel Church</v>
      </c>
      <c r="D157" s="18" t="str">
        <f ca="1">OFFSET(CampList[Township],MATCH(Table10[[#This Row],[Pcode]],CampList[CP_Pcode],0)-1,0,1,1)</f>
        <v>Myitkyina</v>
      </c>
      <c r="E157" s="251">
        <f ca="1">OFFSET(CampList[HH],MATCH(Table10[[#This Row],[Pcode]],CampList[CP_Pcode],0)-1,0,1,1)</f>
        <v>4</v>
      </c>
      <c r="F157" s="251">
        <f ca="1">OFFSET(CampList[Total],MATCH(Table10[[#This Row],[Pcode]],CampList[CP_Pcode],0)-1,0,1,1)</f>
        <v>22</v>
      </c>
      <c r="G157" s="251">
        <f>SUMIF('NFI Tracking'!AQ$11:AQ$1048576,Table10[[#This Row],[Pcode]],'NFI Tracking'!AI$11:AI$1048576)</f>
        <v>0</v>
      </c>
      <c r="H157" s="251">
        <f>SUMIF('NFI Tracking'!AQ$11:AQ$1048576,Table10[[#This Row],[Pcode]],'NFI Tracking'!AJ$11:AJ$1048576)</f>
        <v>0</v>
      </c>
      <c r="I157" s="251">
        <f>SUMIF('NFI Tracking'!AQ$11:AQ$1048576,Table10[[#This Row],[Pcode]],'NFI Tracking'!AK$11:AK$1048576)</f>
        <v>0</v>
      </c>
      <c r="J157" s="251">
        <f ca="1">MAX(Table10[[#This Row],[HH]]*VLOOKUP("Winter Clothes Adult",NFI,6)-Table10[[#This Row],[Winter Clothes Adult ]],0)</f>
        <v>8</v>
      </c>
      <c r="K157" s="251">
        <f ca="1">MAX(Table10[[#This Row],[HH]]*VLOOKUP("Winter Clothes Children ",NFI,6)-Table10[[#This Row],[Winter Clothes Children ]],0)</f>
        <v>4</v>
      </c>
      <c r="L157" s="251">
        <f ca="1">MAX(Table10[[#This Row],[HH]]*VLOOKUP("Winter Items Other ",NFI,6)-Table10[[#This Row],[Winter Items Other ]],0)</f>
        <v>4</v>
      </c>
      <c r="M157" s="279" t="str">
        <f>IF(OR(Table10[[#This Row],[Winter Clothes Adult ]]&lt;&gt;0,Table10[[#This Row],[Winter Clothes Children ]]&lt;&gt;0,Table10[[#This Row],[Winter Items Other ]]&lt;&gt;0),"No","")</f>
        <v/>
      </c>
      <c r="N157" s="280">
        <f>COUNTIF(A:A,Table10[[#This Row],[Pcode]])-1</f>
        <v>0</v>
      </c>
    </row>
    <row r="158" spans="1:14" x14ac:dyDescent="0.25">
      <c r="A158" s="234" t="s">
        <v>250</v>
      </c>
      <c r="B158" s="18" t="str">
        <f ca="1">OFFSET(CampList[Priority],MATCH(Table10[[#This Row],[Pcode]],CampList[CP_Pcode],0)-1,0,1,1)</f>
        <v>P4</v>
      </c>
      <c r="C158" s="18" t="str">
        <f ca="1">OFFSET(CampList[Camp],MATCH(Table10[[#This Row],[Pcode]],CampList[CP_Pcode],0)-1,0,1,1)</f>
        <v>Tat Kone Galile Baptist Church</v>
      </c>
      <c r="D158" s="18" t="str">
        <f ca="1">OFFSET(CampList[Township],MATCH(Table10[[#This Row],[Pcode]],CampList[CP_Pcode],0)-1,0,1,1)</f>
        <v>Myitkyina</v>
      </c>
      <c r="E158" s="251">
        <f ca="1">OFFSET(CampList[HH],MATCH(Table10[[#This Row],[Pcode]],CampList[CP_Pcode],0)-1,0,1,1)</f>
        <v>31</v>
      </c>
      <c r="F158" s="251">
        <f ca="1">OFFSET(CampList[Total],MATCH(Table10[[#This Row],[Pcode]],CampList[CP_Pcode],0)-1,0,1,1)</f>
        <v>170</v>
      </c>
      <c r="G158" s="251">
        <f>SUMIF('NFI Tracking'!AQ$11:AQ$1048576,Table10[[#This Row],[Pcode]],'NFI Tracking'!AI$11:AI$1048576)</f>
        <v>0</v>
      </c>
      <c r="H158" s="251">
        <f>SUMIF('NFI Tracking'!AQ$11:AQ$1048576,Table10[[#This Row],[Pcode]],'NFI Tracking'!AJ$11:AJ$1048576)</f>
        <v>0</v>
      </c>
      <c r="I158" s="251">
        <f>SUMIF('NFI Tracking'!AQ$11:AQ$1048576,Table10[[#This Row],[Pcode]],'NFI Tracking'!AK$11:AK$1048576)</f>
        <v>0</v>
      </c>
      <c r="J158" s="251">
        <f ca="1">MAX(Table10[[#This Row],[HH]]*VLOOKUP("Winter Clothes Adult",NFI,6)-Table10[[#This Row],[Winter Clothes Adult ]],0)</f>
        <v>62</v>
      </c>
      <c r="K158" s="251">
        <f ca="1">MAX(Table10[[#This Row],[HH]]*VLOOKUP("Winter Clothes Children ",NFI,6)-Table10[[#This Row],[Winter Clothes Children ]],0)</f>
        <v>31</v>
      </c>
      <c r="L158" s="251">
        <f ca="1">MAX(Table10[[#This Row],[HH]]*VLOOKUP("Winter Items Other ",NFI,6)-Table10[[#This Row],[Winter Items Other ]],0)</f>
        <v>31</v>
      </c>
      <c r="M158" s="279" t="str">
        <f>IF(OR(Table10[[#This Row],[Winter Clothes Adult ]]&lt;&gt;0,Table10[[#This Row],[Winter Clothes Children ]]&lt;&gt;0,Table10[[#This Row],[Winter Items Other ]]&lt;&gt;0),"No","")</f>
        <v/>
      </c>
      <c r="N158" s="280">
        <f>COUNTIF(A:A,Table10[[#This Row],[Pcode]])-1</f>
        <v>0</v>
      </c>
    </row>
    <row r="159" spans="1:14" x14ac:dyDescent="0.25">
      <c r="A159" s="234" t="s">
        <v>274</v>
      </c>
      <c r="B159" s="18" t="str">
        <f ca="1">OFFSET(CampList[Priority],MATCH(Table10[[#This Row],[Pcode]],CampList[CP_Pcode],0)-1,0,1,1)</f>
        <v>P4</v>
      </c>
      <c r="C159" s="18" t="str">
        <f ca="1">OFFSET(CampList[Camp],MATCH(Table10[[#This Row],[Pcode]],CampList[CP_Pcode],0)-1,0,1,1)</f>
        <v>Tat Kone San Pya Baptist Church</v>
      </c>
      <c r="D159" s="18" t="str">
        <f ca="1">OFFSET(CampList[Township],MATCH(Table10[[#This Row],[Pcode]],CampList[CP_Pcode],0)-1,0,1,1)</f>
        <v>Myitkyina</v>
      </c>
      <c r="E159" s="251">
        <f ca="1">OFFSET(CampList[HH],MATCH(Table10[[#This Row],[Pcode]],CampList[CP_Pcode],0)-1,0,1,1)</f>
        <v>46</v>
      </c>
      <c r="F159" s="251">
        <f ca="1">OFFSET(CampList[Total],MATCH(Table10[[#This Row],[Pcode]],CampList[CP_Pcode],0)-1,0,1,1)</f>
        <v>238</v>
      </c>
      <c r="G159" s="251">
        <f>SUMIF('NFI Tracking'!AQ$11:AQ$1048576,Table10[[#This Row],[Pcode]],'NFI Tracking'!AI$11:AI$1048576)</f>
        <v>0</v>
      </c>
      <c r="H159" s="251">
        <f>SUMIF('NFI Tracking'!AQ$11:AQ$1048576,Table10[[#This Row],[Pcode]],'NFI Tracking'!AJ$11:AJ$1048576)</f>
        <v>0</v>
      </c>
      <c r="I159" s="251">
        <f>SUMIF('NFI Tracking'!AQ$11:AQ$1048576,Table10[[#This Row],[Pcode]],'NFI Tracking'!AK$11:AK$1048576)</f>
        <v>0</v>
      </c>
      <c r="J159" s="251">
        <f ca="1">MAX(Table10[[#This Row],[HH]]*VLOOKUP("Winter Clothes Adult",NFI,6)-Table10[[#This Row],[Winter Clothes Adult ]],0)</f>
        <v>92</v>
      </c>
      <c r="K159" s="251">
        <f ca="1">MAX(Table10[[#This Row],[HH]]*VLOOKUP("Winter Clothes Children ",NFI,6)-Table10[[#This Row],[Winter Clothes Children ]],0)</f>
        <v>46</v>
      </c>
      <c r="L159" s="251">
        <f ca="1">MAX(Table10[[#This Row],[HH]]*VLOOKUP("Winter Items Other ",NFI,6)-Table10[[#This Row],[Winter Items Other ]],0)</f>
        <v>46</v>
      </c>
      <c r="M159" s="279" t="str">
        <f>IF(OR(Table10[[#This Row],[Winter Clothes Adult ]]&lt;&gt;0,Table10[[#This Row],[Winter Clothes Children ]]&lt;&gt;0,Table10[[#This Row],[Winter Items Other ]]&lt;&gt;0),"No","")</f>
        <v/>
      </c>
      <c r="N159" s="280">
        <f>COUNTIF(A:A,Table10[[#This Row],[Pcode]])-1</f>
        <v>0</v>
      </c>
    </row>
    <row r="160" spans="1:14" x14ac:dyDescent="0.25">
      <c r="A160" s="234" t="s">
        <v>348</v>
      </c>
      <c r="B160" s="18" t="str">
        <f ca="1">OFFSET(CampList[Priority],MATCH(Table10[[#This Row],[Pcode]],CampList[CP_Pcode],0)-1,0,1,1)</f>
        <v>P4</v>
      </c>
      <c r="C160" s="18" t="str">
        <f ca="1">OFFSET(CampList[Camp],MATCH(Table10[[#This Row],[Pcode]],CampList[CP_Pcode],0)-1,0,1,1)</f>
        <v>Thargaya Lisu Baptist Church</v>
      </c>
      <c r="D160" s="18" t="str">
        <f ca="1">OFFSET(CampList[Township],MATCH(Table10[[#This Row],[Pcode]],CampList[CP_Pcode],0)-1,0,1,1)</f>
        <v>Waingmaw</v>
      </c>
      <c r="E160" s="251">
        <f ca="1">OFFSET(CampList[HH],MATCH(Table10[[#This Row],[Pcode]],CampList[CP_Pcode],0)-1,0,1,1)</f>
        <v>46</v>
      </c>
      <c r="F160" s="251">
        <f ca="1">OFFSET(CampList[Total],MATCH(Table10[[#This Row],[Pcode]],CampList[CP_Pcode],0)-1,0,1,1)</f>
        <v>190</v>
      </c>
      <c r="G160" s="251">
        <f>SUMIF('NFI Tracking'!AQ$11:AQ$1048576,Table10[[#This Row],[Pcode]],'NFI Tracking'!AI$11:AI$1048576)</f>
        <v>0</v>
      </c>
      <c r="H160" s="251">
        <f>SUMIF('NFI Tracking'!AQ$11:AQ$1048576,Table10[[#This Row],[Pcode]],'NFI Tracking'!AJ$11:AJ$1048576)</f>
        <v>0</v>
      </c>
      <c r="I160" s="251">
        <f>SUMIF('NFI Tracking'!AQ$11:AQ$1048576,Table10[[#This Row],[Pcode]],'NFI Tracking'!AK$11:AK$1048576)</f>
        <v>0</v>
      </c>
      <c r="J160" s="251">
        <f ca="1">MAX(Table10[[#This Row],[HH]]*VLOOKUP("Winter Clothes Adult",NFI,6)-Table10[[#This Row],[Winter Clothes Adult ]],0)</f>
        <v>92</v>
      </c>
      <c r="K160" s="251">
        <f ca="1">MAX(Table10[[#This Row],[HH]]*VLOOKUP("Winter Clothes Children ",NFI,6)-Table10[[#This Row],[Winter Clothes Children ]],0)</f>
        <v>46</v>
      </c>
      <c r="L160" s="251">
        <f ca="1">MAX(Table10[[#This Row],[HH]]*VLOOKUP("Winter Items Other ",NFI,6)-Table10[[#This Row],[Winter Items Other ]],0)</f>
        <v>46</v>
      </c>
      <c r="M160" s="279" t="str">
        <f>IF(OR(Table10[[#This Row],[Winter Clothes Adult ]]&lt;&gt;0,Table10[[#This Row],[Winter Clothes Children ]]&lt;&gt;0,Table10[[#This Row],[Winter Items Other ]]&lt;&gt;0),"No","")</f>
        <v/>
      </c>
      <c r="N160" s="280">
        <f>COUNTIF(A:A,Table10[[#This Row],[Pcode]])-1</f>
        <v>0</v>
      </c>
    </row>
    <row r="161" spans="1:14" x14ac:dyDescent="0.25">
      <c r="A161" s="234" t="s">
        <v>1016</v>
      </c>
      <c r="B161" s="18" t="str">
        <f ca="1">OFFSET(CampList[Priority],MATCH(Table10[[#This Row],[Pcode]],CampList[CP_Pcode],0)-1,0,1,1)</f>
        <v>P4</v>
      </c>
      <c r="C161" s="18" t="str">
        <f ca="1">OFFSET(CampList[Camp],MATCH(Table10[[#This Row],[Pcode]],CampList[CP_Pcode],0)-1,0,1,1)</f>
        <v>Tharthana Ahlin Yaung New Monastery</v>
      </c>
      <c r="D161" s="18" t="str">
        <f ca="1">OFFSET(CampList[Township],MATCH(Table10[[#This Row],[Pcode]],CampList[CP_Pcode],0)-1,0,1,1)</f>
        <v>Bhamo</v>
      </c>
      <c r="E161" s="251">
        <f ca="1">OFFSET(CampList[HH],MATCH(Table10[[#This Row],[Pcode]],CampList[CP_Pcode],0)-1,0,1,1)</f>
        <v>0</v>
      </c>
      <c r="F161" s="251">
        <f ca="1">OFFSET(CampList[Total],MATCH(Table10[[#This Row],[Pcode]],CampList[CP_Pcode],0)-1,0,1,1)</f>
        <v>0</v>
      </c>
      <c r="G161" s="251">
        <f>SUMIF('NFI Tracking'!AQ$11:AQ$1048576,Table10[[#This Row],[Pcode]],'NFI Tracking'!AI$11:AI$1048576)</f>
        <v>0</v>
      </c>
      <c r="H161" s="251">
        <f>SUMIF('NFI Tracking'!AQ$11:AQ$1048576,Table10[[#This Row],[Pcode]],'NFI Tracking'!AJ$11:AJ$1048576)</f>
        <v>0</v>
      </c>
      <c r="I161" s="251">
        <f>SUMIF('NFI Tracking'!AQ$11:AQ$1048576,Table10[[#This Row],[Pcode]],'NFI Tracking'!AK$11:AK$1048576)</f>
        <v>0</v>
      </c>
      <c r="J161" s="251">
        <f ca="1">MAX(Table10[[#This Row],[HH]]*VLOOKUP("Winter Clothes Adult",NFI,6)-Table10[[#This Row],[Winter Clothes Adult ]],0)</f>
        <v>0</v>
      </c>
      <c r="K161" s="251">
        <f ca="1">MAX(Table10[[#This Row],[HH]]*VLOOKUP("Winter Clothes Children ",NFI,6)-Table10[[#This Row],[Winter Clothes Children ]],0)</f>
        <v>0</v>
      </c>
      <c r="L161" s="251">
        <f ca="1">MAX(Table10[[#This Row],[HH]]*VLOOKUP("Winter Items Other ",NFI,6)-Table10[[#This Row],[Winter Items Other ]],0)</f>
        <v>0</v>
      </c>
      <c r="M161" s="279" t="str">
        <f>IF(OR(Table10[[#This Row],[Winter Clothes Adult ]]&lt;&gt;0,Table10[[#This Row],[Winter Clothes Children ]]&lt;&gt;0,Table10[[#This Row],[Winter Items Other ]]&lt;&gt;0),"No","")</f>
        <v/>
      </c>
      <c r="N161" s="280">
        <f>COUNTIF(A:A,Table10[[#This Row],[Pcode]])-1</f>
        <v>0</v>
      </c>
    </row>
    <row r="162" spans="1:14" x14ac:dyDescent="0.25">
      <c r="A162" s="234" t="s">
        <v>315</v>
      </c>
      <c r="B162" s="18" t="str">
        <f ca="1">OFFSET(CampList[Priority],MATCH(Table10[[#This Row],[Pcode]],CampList[CP_Pcode],0)-1,0,1,1)</f>
        <v>P4</v>
      </c>
      <c r="C162" s="18" t="str">
        <f ca="1">OFFSET(CampList[Camp],MATCH(Table10[[#This Row],[Pcode]],CampList[CP_Pcode],0)-1,0,1,1)</f>
        <v>Waingmaw AG Church</v>
      </c>
      <c r="D162" s="18" t="str">
        <f ca="1">OFFSET(CampList[Township],MATCH(Table10[[#This Row],[Pcode]],CampList[CP_Pcode],0)-1,0,1,1)</f>
        <v>Waingmaw</v>
      </c>
      <c r="E162" s="251">
        <f ca="1">OFFSET(CampList[HH],MATCH(Table10[[#This Row],[Pcode]],CampList[CP_Pcode],0)-1,0,1,1)</f>
        <v>65</v>
      </c>
      <c r="F162" s="251">
        <f ca="1">OFFSET(CampList[Total],MATCH(Table10[[#This Row],[Pcode]],CampList[CP_Pcode],0)-1,0,1,1)</f>
        <v>275</v>
      </c>
      <c r="G162" s="251">
        <f>SUMIF('NFI Tracking'!AQ$11:AQ$1048576,Table10[[#This Row],[Pcode]],'NFI Tracking'!AI$11:AI$1048576)</f>
        <v>0</v>
      </c>
      <c r="H162" s="251">
        <f>SUMIF('NFI Tracking'!AQ$11:AQ$1048576,Table10[[#This Row],[Pcode]],'NFI Tracking'!AJ$11:AJ$1048576)</f>
        <v>0</v>
      </c>
      <c r="I162" s="251">
        <f>SUMIF('NFI Tracking'!AQ$11:AQ$1048576,Table10[[#This Row],[Pcode]],'NFI Tracking'!AK$11:AK$1048576)</f>
        <v>0</v>
      </c>
      <c r="J162" s="251">
        <f ca="1">MAX(Table10[[#This Row],[HH]]*VLOOKUP("Winter Clothes Adult",NFI,6)-Table10[[#This Row],[Winter Clothes Adult ]],0)</f>
        <v>130</v>
      </c>
      <c r="K162" s="251">
        <f ca="1">MAX(Table10[[#This Row],[HH]]*VLOOKUP("Winter Clothes Children ",NFI,6)-Table10[[#This Row],[Winter Clothes Children ]],0)</f>
        <v>65</v>
      </c>
      <c r="L162" s="251">
        <f ca="1">MAX(Table10[[#This Row],[HH]]*VLOOKUP("Winter Items Other ",NFI,6)-Table10[[#This Row],[Winter Items Other ]],0)</f>
        <v>65</v>
      </c>
      <c r="M162" s="279" t="str">
        <f>IF(OR(Table10[[#This Row],[Winter Clothes Adult ]]&lt;&gt;0,Table10[[#This Row],[Winter Clothes Children ]]&lt;&gt;0,Table10[[#This Row],[Winter Items Other ]]&lt;&gt;0),"No","")</f>
        <v/>
      </c>
      <c r="N162" s="280">
        <f>COUNTIF(A:A,Table10[[#This Row],[Pcode]])-1</f>
        <v>0</v>
      </c>
    </row>
    <row r="163" spans="1:14" x14ac:dyDescent="0.25">
      <c r="A163" s="234" t="s">
        <v>309</v>
      </c>
      <c r="B163" s="18" t="str">
        <f ca="1">OFFSET(CampList[Priority],MATCH(Table10[[#This Row],[Pcode]],CampList[CP_Pcode],0)-1,0,1,1)</f>
        <v>P4</v>
      </c>
      <c r="C163" s="18" t="str">
        <f ca="1">OFFSET(CampList[Camp],MATCH(Table10[[#This Row],[Pcode]],CampList[CP_Pcode],0)-1,0,1,1)</f>
        <v>Waingmaw Baptist Zonal Office</v>
      </c>
      <c r="D163" s="18" t="str">
        <f ca="1">OFFSET(CampList[Township],MATCH(Table10[[#This Row],[Pcode]],CampList[CP_Pcode],0)-1,0,1,1)</f>
        <v>Waingmaw</v>
      </c>
      <c r="E163" s="251">
        <f ca="1">OFFSET(CampList[HH],MATCH(Table10[[#This Row],[Pcode]],CampList[CP_Pcode],0)-1,0,1,1)</f>
        <v>0</v>
      </c>
      <c r="F163" s="251">
        <f ca="1">OFFSET(CampList[Total],MATCH(Table10[[#This Row],[Pcode]],CampList[CP_Pcode],0)-1,0,1,1)</f>
        <v>0</v>
      </c>
      <c r="G163" s="251">
        <f>SUMIF('NFI Tracking'!AQ$11:AQ$1048576,Table10[[#This Row],[Pcode]],'NFI Tracking'!AI$11:AI$1048576)</f>
        <v>0</v>
      </c>
      <c r="H163" s="251">
        <f>SUMIF('NFI Tracking'!AQ$11:AQ$1048576,Table10[[#This Row],[Pcode]],'NFI Tracking'!AJ$11:AJ$1048576)</f>
        <v>0</v>
      </c>
      <c r="I163" s="251">
        <f>SUMIF('NFI Tracking'!AQ$11:AQ$1048576,Table10[[#This Row],[Pcode]],'NFI Tracking'!AK$11:AK$1048576)</f>
        <v>0</v>
      </c>
      <c r="J163" s="251">
        <f ca="1">MAX(Table10[[#This Row],[HH]]*VLOOKUP("Winter Clothes Adult",NFI,6)-Table10[[#This Row],[Winter Clothes Adult ]],0)</f>
        <v>0</v>
      </c>
      <c r="K163" s="251">
        <f ca="1">MAX(Table10[[#This Row],[HH]]*VLOOKUP("Winter Clothes Children ",NFI,6)-Table10[[#This Row],[Winter Clothes Children ]],0)</f>
        <v>0</v>
      </c>
      <c r="L163" s="251">
        <f ca="1">MAX(Table10[[#This Row],[HH]]*VLOOKUP("Winter Items Other ",NFI,6)-Table10[[#This Row],[Winter Items Other ]],0)</f>
        <v>0</v>
      </c>
      <c r="M163" s="279" t="str">
        <f>IF(OR(Table10[[#This Row],[Winter Clothes Adult ]]&lt;&gt;0,Table10[[#This Row],[Winter Clothes Children ]]&lt;&gt;0,Table10[[#This Row],[Winter Items Other ]]&lt;&gt;0),"No","")</f>
        <v/>
      </c>
      <c r="N163" s="280">
        <f>COUNTIF(A:A,Table10[[#This Row],[Pcode]])-1</f>
        <v>0</v>
      </c>
    </row>
    <row r="164" spans="1:14" x14ac:dyDescent="0.25">
      <c r="A164" s="234" t="s">
        <v>125</v>
      </c>
      <c r="B164" s="18" t="str">
        <f ca="1">OFFSET(CampList[Priority],MATCH(Table10[[#This Row],[Pcode]],CampList[CP_Pcode],0)-1,0,1,1)</f>
        <v>P4</v>
      </c>
      <c r="C164" s="18" t="str">
        <f ca="1">OFFSET(CampList[Camp],MATCH(Table10[[#This Row],[Pcode]],CampList[CP_Pcode],0)-1,0,1,1)</f>
        <v xml:space="preserve">Ward 2 Sai Taung Baptist Church, Seik Mu </v>
      </c>
      <c r="D164" s="18" t="str">
        <f ca="1">OFFSET(CampList[Township],MATCH(Table10[[#This Row],[Pcode]],CampList[CP_Pcode],0)-1,0,1,1)</f>
        <v>Hpakant</v>
      </c>
      <c r="E164" s="251">
        <f ca="1">OFFSET(CampList[HH],MATCH(Table10[[#This Row],[Pcode]],CampList[CP_Pcode],0)-1,0,1,1)</f>
        <v>33</v>
      </c>
      <c r="F164" s="251">
        <f ca="1">OFFSET(CampList[Total],MATCH(Table10[[#This Row],[Pcode]],CampList[CP_Pcode],0)-1,0,1,1)</f>
        <v>171</v>
      </c>
      <c r="G164" s="251">
        <f>SUMIF('NFI Tracking'!AQ$11:AQ$1048576,Table10[[#This Row],[Pcode]],'NFI Tracking'!AI$11:AI$1048576)</f>
        <v>0</v>
      </c>
      <c r="H164" s="251">
        <f>SUMIF('NFI Tracking'!AQ$11:AQ$1048576,Table10[[#This Row],[Pcode]],'NFI Tracking'!AJ$11:AJ$1048576)</f>
        <v>0</v>
      </c>
      <c r="I164" s="251">
        <f>SUMIF('NFI Tracking'!AQ$11:AQ$1048576,Table10[[#This Row],[Pcode]],'NFI Tracking'!AK$11:AK$1048576)</f>
        <v>0</v>
      </c>
      <c r="J164" s="251">
        <f ca="1">MAX(Table10[[#This Row],[HH]]*VLOOKUP("Winter Clothes Adult",NFI,6)-Table10[[#This Row],[Winter Clothes Adult ]],0)</f>
        <v>66</v>
      </c>
      <c r="K164" s="251">
        <f ca="1">MAX(Table10[[#This Row],[HH]]*VLOOKUP("Winter Clothes Children ",NFI,6)-Table10[[#This Row],[Winter Clothes Children ]],0)</f>
        <v>33</v>
      </c>
      <c r="L164" s="251">
        <f ca="1">MAX(Table10[[#This Row],[HH]]*VLOOKUP("Winter Items Other ",NFI,6)-Table10[[#This Row],[Winter Items Other ]],0)</f>
        <v>33</v>
      </c>
      <c r="M164" s="279" t="str">
        <f>IF(OR(Table10[[#This Row],[Winter Clothes Adult ]]&lt;&gt;0,Table10[[#This Row],[Winter Clothes Children ]]&lt;&gt;0,Table10[[#This Row],[Winter Items Other ]]&lt;&gt;0),"No","")</f>
        <v/>
      </c>
      <c r="N164" s="280">
        <f>COUNTIF(A:A,Table10[[#This Row],[Pcode]])-1</f>
        <v>0</v>
      </c>
    </row>
    <row r="165" spans="1:14" x14ac:dyDescent="0.25">
      <c r="A165" s="234" t="s">
        <v>352</v>
      </c>
      <c r="B165" s="18" t="str">
        <f ca="1">OFFSET(CampList[Priority],MATCH(Table10[[#This Row],[Pcode]],CampList[CP_Pcode],0)-1,0,1,1)</f>
        <v>P4</v>
      </c>
      <c r="C165" s="18" t="str">
        <f ca="1">OFFSET(CampList[Camp],MATCH(Table10[[#This Row],[Pcode]],CampList[CP_Pcode],0)-1,0,1,1)</f>
        <v xml:space="preserve">Woi Chyai </v>
      </c>
      <c r="D165" s="18" t="str">
        <f ca="1">OFFSET(CampList[Township],MATCH(Table10[[#This Row],[Pcode]],CampList[CP_Pcode],0)-1,0,1,1)</f>
        <v>Waingmaw</v>
      </c>
      <c r="E165" s="251">
        <f ca="1">OFFSET(CampList[HH],MATCH(Table10[[#This Row],[Pcode]],CampList[CP_Pcode],0)-1,0,1,1)</f>
        <v>1396</v>
      </c>
      <c r="F165" s="251">
        <f ca="1">OFFSET(CampList[Total],MATCH(Table10[[#This Row],[Pcode]],CampList[CP_Pcode],0)-1,0,1,1)</f>
        <v>6821</v>
      </c>
      <c r="G165" s="251">
        <f>SUMIF('NFI Tracking'!AQ$11:AQ$1048576,Table10[[#This Row],[Pcode]],'NFI Tracking'!AI$11:AI$1048576)</f>
        <v>0</v>
      </c>
      <c r="H165" s="251">
        <f>SUMIF('NFI Tracking'!AQ$11:AQ$1048576,Table10[[#This Row],[Pcode]],'NFI Tracking'!AJ$11:AJ$1048576)</f>
        <v>0</v>
      </c>
      <c r="I165" s="251">
        <f>SUMIF('NFI Tracking'!AQ$11:AQ$1048576,Table10[[#This Row],[Pcode]],'NFI Tracking'!AK$11:AK$1048576)</f>
        <v>0</v>
      </c>
      <c r="J165" s="251">
        <f ca="1">MAX(Table10[[#This Row],[HH]]*VLOOKUP("Winter Clothes Adult",NFI,6)-Table10[[#This Row],[Winter Clothes Adult ]],0)</f>
        <v>2792</v>
      </c>
      <c r="K165" s="251">
        <f ca="1">MAX(Table10[[#This Row],[HH]]*VLOOKUP("Winter Clothes Children ",NFI,6)-Table10[[#This Row],[Winter Clothes Children ]],0)</f>
        <v>1396</v>
      </c>
      <c r="L165" s="251">
        <f ca="1">MAX(Table10[[#This Row],[HH]]*VLOOKUP("Winter Items Other ",NFI,6)-Table10[[#This Row],[Winter Items Other ]],0)</f>
        <v>1396</v>
      </c>
      <c r="M165" s="279" t="str">
        <f>IF(OR(Table10[[#This Row],[Winter Clothes Adult ]]&lt;&gt;0,Table10[[#This Row],[Winter Clothes Children ]]&lt;&gt;0,Table10[[#This Row],[Winter Items Other ]]&lt;&gt;0),"No","")</f>
        <v/>
      </c>
      <c r="N165" s="280">
        <f>COUNTIF(A:A,Table10[[#This Row],[Pcode]])-1</f>
        <v>0</v>
      </c>
    </row>
    <row r="166" spans="1:14" x14ac:dyDescent="0.25">
      <c r="A166" s="234" t="s">
        <v>282</v>
      </c>
      <c r="B166" s="18" t="str">
        <f ca="1">OFFSET(CampList[Priority],MATCH(Table10[[#This Row],[Pcode]],CampList[CP_Pcode],0)-1,0,1,1)</f>
        <v>P4</v>
      </c>
      <c r="C166" s="18" t="str">
        <f ca="1">OFFSET(CampList[Camp],MATCH(Table10[[#This Row],[Pcode]],CampList[CP_Pcode],0)-1,0,1,1)</f>
        <v>Wun Tho Buddhist Monastery</v>
      </c>
      <c r="D166" s="18" t="str">
        <f ca="1">OFFSET(CampList[Township],MATCH(Table10[[#This Row],[Pcode]],CampList[CP_Pcode],0)-1,0,1,1)</f>
        <v>Myitkyina</v>
      </c>
      <c r="E166" s="251">
        <f ca="1">OFFSET(CampList[HH],MATCH(Table10[[#This Row],[Pcode]],CampList[CP_Pcode],0)-1,0,1,1)</f>
        <v>7</v>
      </c>
      <c r="F166" s="251">
        <f ca="1">OFFSET(CampList[Total],MATCH(Table10[[#This Row],[Pcode]],CampList[CP_Pcode],0)-1,0,1,1)</f>
        <v>37</v>
      </c>
      <c r="G166" s="251">
        <f>SUMIF('NFI Tracking'!AQ$11:AQ$1048576,Table10[[#This Row],[Pcode]],'NFI Tracking'!AI$11:AI$1048576)</f>
        <v>0</v>
      </c>
      <c r="H166" s="251">
        <f>SUMIF('NFI Tracking'!AQ$11:AQ$1048576,Table10[[#This Row],[Pcode]],'NFI Tracking'!AJ$11:AJ$1048576)</f>
        <v>0</v>
      </c>
      <c r="I166" s="251">
        <f>SUMIF('NFI Tracking'!AQ$11:AQ$1048576,Table10[[#This Row],[Pcode]],'NFI Tracking'!AK$11:AK$1048576)</f>
        <v>0</v>
      </c>
      <c r="J166" s="251">
        <f ca="1">MAX(Table10[[#This Row],[HH]]*VLOOKUP("Winter Clothes Adult",NFI,6)-Table10[[#This Row],[Winter Clothes Adult ]],0)</f>
        <v>14</v>
      </c>
      <c r="K166" s="251">
        <f ca="1">MAX(Table10[[#This Row],[HH]]*VLOOKUP("Winter Clothes Children ",NFI,6)-Table10[[#This Row],[Winter Clothes Children ]],0)</f>
        <v>7</v>
      </c>
      <c r="L166" s="251">
        <f ca="1">MAX(Table10[[#This Row],[HH]]*VLOOKUP("Winter Items Other ",NFI,6)-Table10[[#This Row],[Winter Items Other ]],0)</f>
        <v>7</v>
      </c>
      <c r="M166" s="279" t="str">
        <f>IF(OR(Table10[[#This Row],[Winter Clothes Adult ]]&lt;&gt;0,Table10[[#This Row],[Winter Clothes Children ]]&lt;&gt;0,Table10[[#This Row],[Winter Items Other ]]&lt;&gt;0),"No","")</f>
        <v/>
      </c>
      <c r="N166" s="280">
        <f>COUNTIF(A:A,Table10[[#This Row],[Pcode]])-1</f>
        <v>0</v>
      </c>
    </row>
    <row r="167" spans="1:14" x14ac:dyDescent="0.25">
      <c r="A167" s="234" t="s">
        <v>25</v>
      </c>
      <c r="B167" s="18" t="str">
        <f ca="1">OFFSET(CampList[Priority],MATCH(Table10[[#This Row],[Pcode]],CampList[CP_Pcode],0)-1,0,1,1)</f>
        <v>P4</v>
      </c>
      <c r="C167" s="18" t="str">
        <f ca="1">OFFSET(CampList[Camp],MATCH(Table10[[#This Row],[Pcode]],CampList[CP_Pcode],0)-1,0,1,1)</f>
        <v>Yoe Kyi Monastery</v>
      </c>
      <c r="D167" s="18" t="str">
        <f ca="1">OFFSET(CampList[Township],MATCH(Table10[[#This Row],[Pcode]],CampList[CP_Pcode],0)-1,0,1,1)</f>
        <v>Bhamo</v>
      </c>
      <c r="E167" s="251">
        <f ca="1">OFFSET(CampList[HH],MATCH(Table10[[#This Row],[Pcode]],CampList[CP_Pcode],0)-1,0,1,1)</f>
        <v>15</v>
      </c>
      <c r="F167" s="251">
        <f ca="1">OFFSET(CampList[Total],MATCH(Table10[[#This Row],[Pcode]],CampList[CP_Pcode],0)-1,0,1,1)</f>
        <v>79</v>
      </c>
      <c r="G167" s="251">
        <f>SUMIF('NFI Tracking'!AQ$11:AQ$1048576,Table10[[#This Row],[Pcode]],'NFI Tracking'!AI$11:AI$1048576)</f>
        <v>0</v>
      </c>
      <c r="H167" s="251">
        <f>SUMIF('NFI Tracking'!AQ$11:AQ$1048576,Table10[[#This Row],[Pcode]],'NFI Tracking'!AJ$11:AJ$1048576)</f>
        <v>0</v>
      </c>
      <c r="I167" s="251">
        <f>SUMIF('NFI Tracking'!AQ$11:AQ$1048576,Table10[[#This Row],[Pcode]],'NFI Tracking'!AK$11:AK$1048576)</f>
        <v>0</v>
      </c>
      <c r="J167" s="251">
        <f ca="1">MAX(Table10[[#This Row],[HH]]*VLOOKUP("Winter Clothes Adult",NFI,6)-Table10[[#This Row],[Winter Clothes Adult ]],0)</f>
        <v>30</v>
      </c>
      <c r="K167" s="251">
        <f ca="1">MAX(Table10[[#This Row],[HH]]*VLOOKUP("Winter Clothes Children ",NFI,6)-Table10[[#This Row],[Winter Clothes Children ]],0)</f>
        <v>15</v>
      </c>
      <c r="L167" s="251">
        <f ca="1">MAX(Table10[[#This Row],[HH]]*VLOOKUP("Winter Items Other ",NFI,6)-Table10[[#This Row],[Winter Items Other ]],0)</f>
        <v>15</v>
      </c>
      <c r="M167" s="279" t="str">
        <f>IF(OR(Table10[[#This Row],[Winter Clothes Adult ]]&lt;&gt;0,Table10[[#This Row],[Winter Clothes Children ]]&lt;&gt;0,Table10[[#This Row],[Winter Items Other ]]&lt;&gt;0),"No","")</f>
        <v/>
      </c>
      <c r="N167" s="280">
        <f>COUNTIF(A:A,Table10[[#This Row],[Pcode]])-1</f>
        <v>0</v>
      </c>
    </row>
    <row r="168" spans="1:14" x14ac:dyDescent="0.25">
      <c r="A168" s="232" t="s">
        <v>139</v>
      </c>
      <c r="B168" s="253" t="str">
        <f ca="1">OFFSET(CampList[Priority],MATCH(Table10[[#This Row],[Pcode]],CampList[CP_Pcode],0)-1,0,1,1)</f>
        <v>P4</v>
      </c>
      <c r="C168" s="253" t="str">
        <f ca="1">OFFSET(CampList[Camp],MATCH(Table10[[#This Row],[Pcode]],CampList[CP_Pcode],0)-1,0,1,1)</f>
        <v>Yumar Baptist Church</v>
      </c>
      <c r="D168" s="253" t="str">
        <f ca="1">OFFSET(CampList[Township],MATCH(Table10[[#This Row],[Pcode]],CampList[CP_Pcode],0)-1,0,1,1)</f>
        <v>Hpakant</v>
      </c>
      <c r="E168" s="281">
        <f ca="1">OFFSET(CampList[HH],MATCH(Table10[[#This Row],[Pcode]],CampList[CP_Pcode],0)-1,0,1,1)</f>
        <v>11</v>
      </c>
      <c r="F168" s="281">
        <f ca="1">OFFSET(CampList[Total],MATCH(Table10[[#This Row],[Pcode]],CampList[CP_Pcode],0)-1,0,1,1)</f>
        <v>48</v>
      </c>
      <c r="G168" s="281">
        <f>SUMIF('NFI Tracking'!AQ$11:AQ$1048576,Table10[[#This Row],[Pcode]],'NFI Tracking'!AI$11:AI$1048576)</f>
        <v>0</v>
      </c>
      <c r="H168" s="281">
        <f>SUMIF('NFI Tracking'!AQ$11:AQ$1048576,Table10[[#This Row],[Pcode]],'NFI Tracking'!AJ$11:AJ$1048576)</f>
        <v>0</v>
      </c>
      <c r="I168" s="281">
        <f>SUMIF('NFI Tracking'!AQ$11:AQ$1048576,Table10[[#This Row],[Pcode]],'NFI Tracking'!AK$11:AK$1048576)</f>
        <v>0</v>
      </c>
      <c r="J168" s="281">
        <f ca="1">MAX(Table10[[#This Row],[HH]]*VLOOKUP("Winter Clothes Adult",NFI,6)-Table10[[#This Row],[Winter Clothes Adult ]],0)</f>
        <v>22</v>
      </c>
      <c r="K168" s="281">
        <f ca="1">MAX(Table10[[#This Row],[HH]]*VLOOKUP("Winter Clothes Children ",NFI,6)-Table10[[#This Row],[Winter Clothes Children ]],0)</f>
        <v>11</v>
      </c>
      <c r="L168" s="281">
        <f ca="1">MAX(Table10[[#This Row],[HH]]*VLOOKUP("Winter Items Other ",NFI,6)-Table10[[#This Row],[Winter Items Other ]],0)</f>
        <v>11</v>
      </c>
      <c r="M168" s="282" t="str">
        <f>IF(OR(Table10[[#This Row],[Winter Clothes Adult ]]&lt;&gt;0,Table10[[#This Row],[Winter Clothes Children ]]&lt;&gt;0,Table10[[#This Row],[Winter Items Other ]]&lt;&gt;0),"No","")</f>
        <v/>
      </c>
      <c r="N168" s="283">
        <f>COUNTIF(A:A,Table10[[#This Row],[Pcode]])-1</f>
        <v>0</v>
      </c>
    </row>
  </sheetData>
  <printOptions horizontalCentered="1"/>
  <pageMargins left="0" right="0" top="0" bottom="0" header="0.3" footer="0.3"/>
  <pageSetup paperSize="9" orientation="landscape"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tint="0.59999389629810485"/>
  </sheetPr>
  <dimension ref="A1:VW2789"/>
  <sheetViews>
    <sheetView showZeros="0" zoomScaleNormal="100" zoomScaleSheetLayoutView="80" workbookViewId="0">
      <selection activeCell="AH31" sqref="AH31"/>
    </sheetView>
  </sheetViews>
  <sheetFormatPr defaultColWidth="11.42578125" defaultRowHeight="15" x14ac:dyDescent="0.25"/>
  <cols>
    <col min="1" max="1" width="2.42578125" style="89" customWidth="1"/>
    <col min="2" max="2" width="1.5703125" style="89" customWidth="1"/>
    <col min="3" max="3" width="13.42578125" style="26" customWidth="1"/>
    <col min="4" max="4" width="13.5703125" style="26" customWidth="1"/>
    <col min="5" max="5" width="9.7109375" style="26" customWidth="1"/>
    <col min="6" max="6" width="8.140625" style="26" customWidth="1"/>
    <col min="7" max="7" width="11.42578125" style="26" customWidth="1"/>
    <col min="8" max="8" width="13.7109375" style="26" customWidth="1"/>
    <col min="9" max="9" width="11.140625" style="26" customWidth="1"/>
    <col min="10" max="10" width="6" style="26" customWidth="1"/>
    <col min="11" max="11" width="2" style="89" customWidth="1"/>
    <col min="12" max="12" width="14.85546875" style="26" customWidth="1"/>
    <col min="13" max="13" width="7.42578125" style="26" customWidth="1"/>
    <col min="14" max="14" width="9.85546875" style="26" customWidth="1"/>
    <col min="15" max="16" width="9.140625" style="26" customWidth="1"/>
    <col min="17" max="17" width="5.7109375" style="27" customWidth="1"/>
    <col min="18" max="19" width="5.7109375" style="89" customWidth="1"/>
    <col min="20" max="20" width="1.28515625" style="89" customWidth="1"/>
    <col min="21" max="21" width="5" style="89" customWidth="1"/>
    <col min="22" max="22" width="7.7109375" style="89" hidden="1" customWidth="1"/>
    <col min="23" max="23" width="7.5703125" style="89" hidden="1" customWidth="1"/>
    <col min="24" max="24" width="4.28515625" style="89" hidden="1" customWidth="1"/>
    <col min="25" max="25" width="7.140625" style="89" hidden="1" customWidth="1"/>
    <col min="26" max="27" width="10.140625" style="89" hidden="1" customWidth="1"/>
    <col min="28" max="28" width="9.5703125" style="89" hidden="1" customWidth="1"/>
    <col min="29" max="29" width="9.28515625" style="89" hidden="1" customWidth="1"/>
    <col min="30" max="30" width="9.85546875" style="89" hidden="1" customWidth="1"/>
    <col min="31" max="31" width="10.28515625" style="89" hidden="1" customWidth="1"/>
    <col min="32" max="32" width="8.85546875" style="26" hidden="1" customWidth="1"/>
    <col min="33" max="33" width="12.28515625" style="26" customWidth="1"/>
    <col min="34" max="34" width="23.5703125" style="26" customWidth="1"/>
    <col min="35" max="259" width="11.42578125" style="26"/>
    <col min="260" max="260" width="5.28515625" style="26" customWidth="1"/>
    <col min="261" max="261" width="15.28515625" style="26" customWidth="1"/>
    <col min="262" max="262" width="14.42578125" style="26" bestFit="1" customWidth="1"/>
    <col min="263" max="263" width="10.42578125" style="26" bestFit="1" customWidth="1"/>
    <col min="264" max="264" width="12.28515625" style="26" customWidth="1"/>
    <col min="265" max="269" width="11.42578125" style="26" customWidth="1"/>
    <col min="270" max="271" width="10.5703125" style="26" bestFit="1" customWidth="1"/>
    <col min="272" max="273" width="11.42578125" style="26" customWidth="1"/>
    <col min="274" max="274" width="6.140625" style="26" customWidth="1"/>
    <col min="275" max="285" width="11.42578125" style="26" customWidth="1"/>
    <col min="286" max="515" width="11.42578125" style="26"/>
    <col min="516" max="516" width="5.28515625" style="26" customWidth="1"/>
    <col min="517" max="517" width="15.28515625" style="26" customWidth="1"/>
    <col min="518" max="518" width="14.42578125" style="26" bestFit="1" customWidth="1"/>
    <col min="519" max="519" width="10.42578125" style="26" bestFit="1" customWidth="1"/>
    <col min="520" max="520" width="12.28515625" style="26" customWidth="1"/>
    <col min="521" max="525" width="11.42578125" style="26" customWidth="1"/>
    <col min="526" max="527" width="10.5703125" style="26" bestFit="1" customWidth="1"/>
    <col min="528" max="529" width="11.42578125" style="26" customWidth="1"/>
    <col min="530" max="530" width="6.140625" style="26" customWidth="1"/>
    <col min="531" max="541" width="11.42578125" style="26" customWidth="1"/>
    <col min="542" max="594" width="11.42578125" style="26"/>
    <col min="595" max="595" width="11.42578125" style="34"/>
    <col min="596" max="771" width="11.42578125" style="26"/>
    <col min="772" max="772" width="5.28515625" style="26" customWidth="1"/>
    <col min="773" max="773" width="15.28515625" style="26" customWidth="1"/>
    <col min="774" max="774" width="14.42578125" style="26" bestFit="1" customWidth="1"/>
    <col min="775" max="775" width="10.42578125" style="26" bestFit="1" customWidth="1"/>
    <col min="776" max="776" width="12.28515625" style="26" customWidth="1"/>
    <col min="777" max="781" width="11.42578125" style="26" customWidth="1"/>
    <col min="782" max="783" width="10.5703125" style="26" bestFit="1" customWidth="1"/>
    <col min="784" max="785" width="11.42578125" style="26" customWidth="1"/>
    <col min="786" max="786" width="6.140625" style="26" customWidth="1"/>
    <col min="787" max="797" width="11.42578125" style="26" customWidth="1"/>
    <col min="798" max="1027" width="11.42578125" style="26"/>
    <col min="1028" max="1028" width="5.28515625" style="26" customWidth="1"/>
    <col min="1029" max="1029" width="15.28515625" style="26" customWidth="1"/>
    <col min="1030" max="1030" width="14.42578125" style="26" bestFit="1" customWidth="1"/>
    <col min="1031" max="1031" width="10.42578125" style="26" bestFit="1" customWidth="1"/>
    <col min="1032" max="1032" width="12.28515625" style="26" customWidth="1"/>
    <col min="1033" max="1037" width="11.42578125" style="26" customWidth="1"/>
    <col min="1038" max="1039" width="10.5703125" style="26" bestFit="1" customWidth="1"/>
    <col min="1040" max="1041" width="11.42578125" style="26" customWidth="1"/>
    <col min="1042" max="1042" width="6.140625" style="26" customWidth="1"/>
    <col min="1043" max="1053" width="11.42578125" style="26" customWidth="1"/>
    <col min="1054" max="1283" width="11.42578125" style="26"/>
    <col min="1284" max="1284" width="5.28515625" style="26" customWidth="1"/>
    <col min="1285" max="1285" width="15.28515625" style="26" customWidth="1"/>
    <col min="1286" max="1286" width="14.42578125" style="26" bestFit="1" customWidth="1"/>
    <col min="1287" max="1287" width="10.42578125" style="26" bestFit="1" customWidth="1"/>
    <col min="1288" max="1288" width="12.28515625" style="26" customWidth="1"/>
    <col min="1289" max="1293" width="11.42578125" style="26" customWidth="1"/>
    <col min="1294" max="1295" width="10.5703125" style="26" bestFit="1" customWidth="1"/>
    <col min="1296" max="1297" width="11.42578125" style="26" customWidth="1"/>
    <col min="1298" max="1298" width="6.140625" style="26" customWidth="1"/>
    <col min="1299" max="1309" width="11.42578125" style="26" customWidth="1"/>
    <col min="1310" max="1539" width="11.42578125" style="26"/>
    <col min="1540" max="1540" width="5.28515625" style="26" customWidth="1"/>
    <col min="1541" max="1541" width="15.28515625" style="26" customWidth="1"/>
    <col min="1542" max="1542" width="14.42578125" style="26" bestFit="1" customWidth="1"/>
    <col min="1543" max="1543" width="10.42578125" style="26" bestFit="1" customWidth="1"/>
    <col min="1544" max="1544" width="12.28515625" style="26" customWidth="1"/>
    <col min="1545" max="1549" width="11.42578125" style="26" customWidth="1"/>
    <col min="1550" max="1551" width="10.5703125" style="26" bestFit="1" customWidth="1"/>
    <col min="1552" max="1553" width="11.42578125" style="26" customWidth="1"/>
    <col min="1554" max="1554" width="6.140625" style="26" customWidth="1"/>
    <col min="1555" max="1565" width="11.42578125" style="26" customWidth="1"/>
    <col min="1566" max="1795" width="11.42578125" style="26"/>
    <col min="1796" max="1796" width="5.28515625" style="26" customWidth="1"/>
    <col min="1797" max="1797" width="15.28515625" style="26" customWidth="1"/>
    <col min="1798" max="1798" width="14.42578125" style="26" bestFit="1" customWidth="1"/>
    <col min="1799" max="1799" width="10.42578125" style="26" bestFit="1" customWidth="1"/>
    <col min="1800" max="1800" width="12.28515625" style="26" customWidth="1"/>
    <col min="1801" max="1805" width="11.42578125" style="26" customWidth="1"/>
    <col min="1806" max="1807" width="10.5703125" style="26" bestFit="1" customWidth="1"/>
    <col min="1808" max="1809" width="11.42578125" style="26" customWidth="1"/>
    <col min="1810" max="1810" width="6.140625" style="26" customWidth="1"/>
    <col min="1811" max="1821" width="11.42578125" style="26" customWidth="1"/>
    <col min="1822" max="2051" width="11.42578125" style="26"/>
    <col min="2052" max="2052" width="5.28515625" style="26" customWidth="1"/>
    <col min="2053" max="2053" width="15.28515625" style="26" customWidth="1"/>
    <col min="2054" max="2054" width="14.42578125" style="26" bestFit="1" customWidth="1"/>
    <col min="2055" max="2055" width="10.42578125" style="26" bestFit="1" customWidth="1"/>
    <col min="2056" max="2056" width="12.28515625" style="26" customWidth="1"/>
    <col min="2057" max="2061" width="11.42578125" style="26" customWidth="1"/>
    <col min="2062" max="2063" width="10.5703125" style="26" bestFit="1" customWidth="1"/>
    <col min="2064" max="2065" width="11.42578125" style="26" customWidth="1"/>
    <col min="2066" max="2066" width="6.140625" style="26" customWidth="1"/>
    <col min="2067" max="2077" width="11.42578125" style="26" customWidth="1"/>
    <col min="2078" max="2307" width="11.42578125" style="26"/>
    <col min="2308" max="2308" width="5.28515625" style="26" customWidth="1"/>
    <col min="2309" max="2309" width="15.28515625" style="26" customWidth="1"/>
    <col min="2310" max="2310" width="14.42578125" style="26" bestFit="1" customWidth="1"/>
    <col min="2311" max="2311" width="10.42578125" style="26" bestFit="1" customWidth="1"/>
    <col min="2312" max="2312" width="12.28515625" style="26" customWidth="1"/>
    <col min="2313" max="2317" width="11.42578125" style="26" customWidth="1"/>
    <col min="2318" max="2319" width="10.5703125" style="26" bestFit="1" customWidth="1"/>
    <col min="2320" max="2321" width="11.42578125" style="26" customWidth="1"/>
    <col min="2322" max="2322" width="6.140625" style="26" customWidth="1"/>
    <col min="2323" max="2333" width="11.42578125" style="26" customWidth="1"/>
    <col min="2334" max="2563" width="11.42578125" style="26"/>
    <col min="2564" max="2564" width="5.28515625" style="26" customWidth="1"/>
    <col min="2565" max="2565" width="15.28515625" style="26" customWidth="1"/>
    <col min="2566" max="2566" width="14.42578125" style="26" bestFit="1" customWidth="1"/>
    <col min="2567" max="2567" width="10.42578125" style="26" bestFit="1" customWidth="1"/>
    <col min="2568" max="2568" width="12.28515625" style="26" customWidth="1"/>
    <col min="2569" max="2573" width="11.42578125" style="26" customWidth="1"/>
    <col min="2574" max="2575" width="10.5703125" style="26" bestFit="1" customWidth="1"/>
    <col min="2576" max="2577" width="11.42578125" style="26" customWidth="1"/>
    <col min="2578" max="2578" width="6.140625" style="26" customWidth="1"/>
    <col min="2579" max="2589" width="11.42578125" style="26" customWidth="1"/>
    <col min="2590" max="2819" width="11.42578125" style="26"/>
    <col min="2820" max="2820" width="5.28515625" style="26" customWidth="1"/>
    <col min="2821" max="2821" width="15.28515625" style="26" customWidth="1"/>
    <col min="2822" max="2822" width="14.42578125" style="26" bestFit="1" customWidth="1"/>
    <col min="2823" max="2823" width="10.42578125" style="26" bestFit="1" customWidth="1"/>
    <col min="2824" max="2824" width="12.28515625" style="26" customWidth="1"/>
    <col min="2825" max="2829" width="11.42578125" style="26" customWidth="1"/>
    <col min="2830" max="2831" width="10.5703125" style="26" bestFit="1" customWidth="1"/>
    <col min="2832" max="2833" width="11.42578125" style="26" customWidth="1"/>
    <col min="2834" max="2834" width="6.140625" style="26" customWidth="1"/>
    <col min="2835" max="2845" width="11.42578125" style="26" customWidth="1"/>
    <col min="2846" max="3075" width="11.42578125" style="26"/>
    <col min="3076" max="3076" width="5.28515625" style="26" customWidth="1"/>
    <col min="3077" max="3077" width="15.28515625" style="26" customWidth="1"/>
    <col min="3078" max="3078" width="14.42578125" style="26" bestFit="1" customWidth="1"/>
    <col min="3079" max="3079" width="10.42578125" style="26" bestFit="1" customWidth="1"/>
    <col min="3080" max="3080" width="12.28515625" style="26" customWidth="1"/>
    <col min="3081" max="3085" width="11.42578125" style="26" customWidth="1"/>
    <col min="3086" max="3087" width="10.5703125" style="26" bestFit="1" customWidth="1"/>
    <col min="3088" max="3089" width="11.42578125" style="26" customWidth="1"/>
    <col min="3090" max="3090" width="6.140625" style="26" customWidth="1"/>
    <col min="3091" max="3101" width="11.42578125" style="26" customWidth="1"/>
    <col min="3102" max="3331" width="11.42578125" style="26"/>
    <col min="3332" max="3332" width="5.28515625" style="26" customWidth="1"/>
    <col min="3333" max="3333" width="15.28515625" style="26" customWidth="1"/>
    <col min="3334" max="3334" width="14.42578125" style="26" bestFit="1" customWidth="1"/>
    <col min="3335" max="3335" width="10.42578125" style="26" bestFit="1" customWidth="1"/>
    <col min="3336" max="3336" width="12.28515625" style="26" customWidth="1"/>
    <col min="3337" max="3341" width="11.42578125" style="26" customWidth="1"/>
    <col min="3342" max="3343" width="10.5703125" style="26" bestFit="1" customWidth="1"/>
    <col min="3344" max="3345" width="11.42578125" style="26" customWidth="1"/>
    <col min="3346" max="3346" width="6.140625" style="26" customWidth="1"/>
    <col min="3347" max="3357" width="11.42578125" style="26" customWidth="1"/>
    <col min="3358" max="3587" width="11.42578125" style="26"/>
    <col min="3588" max="3588" width="5.28515625" style="26" customWidth="1"/>
    <col min="3589" max="3589" width="15.28515625" style="26" customWidth="1"/>
    <col min="3590" max="3590" width="14.42578125" style="26" bestFit="1" customWidth="1"/>
    <col min="3591" max="3591" width="10.42578125" style="26" bestFit="1" customWidth="1"/>
    <col min="3592" max="3592" width="12.28515625" style="26" customWidth="1"/>
    <col min="3593" max="3597" width="11.42578125" style="26" customWidth="1"/>
    <col min="3598" max="3599" width="10.5703125" style="26" bestFit="1" customWidth="1"/>
    <col min="3600" max="3601" width="11.42578125" style="26" customWidth="1"/>
    <col min="3602" max="3602" width="6.140625" style="26" customWidth="1"/>
    <col min="3603" max="3613" width="11.42578125" style="26" customWidth="1"/>
    <col min="3614" max="3843" width="11.42578125" style="26"/>
    <col min="3844" max="3844" width="5.28515625" style="26" customWidth="1"/>
    <col min="3845" max="3845" width="15.28515625" style="26" customWidth="1"/>
    <col min="3846" max="3846" width="14.42578125" style="26" bestFit="1" customWidth="1"/>
    <col min="3847" max="3847" width="10.42578125" style="26" bestFit="1" customWidth="1"/>
    <col min="3848" max="3848" width="12.28515625" style="26" customWidth="1"/>
    <col min="3849" max="3853" width="11.42578125" style="26" customWidth="1"/>
    <col min="3854" max="3855" width="10.5703125" style="26" bestFit="1" customWidth="1"/>
    <col min="3856" max="3857" width="11.42578125" style="26" customWidth="1"/>
    <col min="3858" max="3858" width="6.140625" style="26" customWidth="1"/>
    <col min="3859" max="3869" width="11.42578125" style="26" customWidth="1"/>
    <col min="3870" max="4099" width="11.42578125" style="26"/>
    <col min="4100" max="4100" width="5.28515625" style="26" customWidth="1"/>
    <col min="4101" max="4101" width="15.28515625" style="26" customWidth="1"/>
    <col min="4102" max="4102" width="14.42578125" style="26" bestFit="1" customWidth="1"/>
    <col min="4103" max="4103" width="10.42578125" style="26" bestFit="1" customWidth="1"/>
    <col min="4104" max="4104" width="12.28515625" style="26" customWidth="1"/>
    <col min="4105" max="4109" width="11.42578125" style="26" customWidth="1"/>
    <col min="4110" max="4111" width="10.5703125" style="26" bestFit="1" customWidth="1"/>
    <col min="4112" max="4113" width="11.42578125" style="26" customWidth="1"/>
    <col min="4114" max="4114" width="6.140625" style="26" customWidth="1"/>
    <col min="4115" max="4125" width="11.42578125" style="26" customWidth="1"/>
    <col min="4126" max="4355" width="11.42578125" style="26"/>
    <col min="4356" max="4356" width="5.28515625" style="26" customWidth="1"/>
    <col min="4357" max="4357" width="15.28515625" style="26" customWidth="1"/>
    <col min="4358" max="4358" width="14.42578125" style="26" bestFit="1" customWidth="1"/>
    <col min="4359" max="4359" width="10.42578125" style="26" bestFit="1" customWidth="1"/>
    <col min="4360" max="4360" width="12.28515625" style="26" customWidth="1"/>
    <col min="4361" max="4365" width="11.42578125" style="26" customWidth="1"/>
    <col min="4366" max="4367" width="10.5703125" style="26" bestFit="1" customWidth="1"/>
    <col min="4368" max="4369" width="11.42578125" style="26" customWidth="1"/>
    <col min="4370" max="4370" width="6.140625" style="26" customWidth="1"/>
    <col min="4371" max="4381" width="11.42578125" style="26" customWidth="1"/>
    <col min="4382" max="4611" width="11.42578125" style="26"/>
    <col min="4612" max="4612" width="5.28515625" style="26" customWidth="1"/>
    <col min="4613" max="4613" width="15.28515625" style="26" customWidth="1"/>
    <col min="4614" max="4614" width="14.42578125" style="26" bestFit="1" customWidth="1"/>
    <col min="4615" max="4615" width="10.42578125" style="26" bestFit="1" customWidth="1"/>
    <col min="4616" max="4616" width="12.28515625" style="26" customWidth="1"/>
    <col min="4617" max="4621" width="11.42578125" style="26" customWidth="1"/>
    <col min="4622" max="4623" width="10.5703125" style="26" bestFit="1" customWidth="1"/>
    <col min="4624" max="4625" width="11.42578125" style="26" customWidth="1"/>
    <col min="4626" max="4626" width="6.140625" style="26" customWidth="1"/>
    <col min="4627" max="4637" width="11.42578125" style="26" customWidth="1"/>
    <col min="4638" max="4867" width="11.42578125" style="26"/>
    <col min="4868" max="4868" width="5.28515625" style="26" customWidth="1"/>
    <col min="4869" max="4869" width="15.28515625" style="26" customWidth="1"/>
    <col min="4870" max="4870" width="14.42578125" style="26" bestFit="1" customWidth="1"/>
    <col min="4871" max="4871" width="10.42578125" style="26" bestFit="1" customWidth="1"/>
    <col min="4872" max="4872" width="12.28515625" style="26" customWidth="1"/>
    <col min="4873" max="4877" width="11.42578125" style="26" customWidth="1"/>
    <col min="4878" max="4879" width="10.5703125" style="26" bestFit="1" customWidth="1"/>
    <col min="4880" max="4881" width="11.42578125" style="26" customWidth="1"/>
    <col min="4882" max="4882" width="6.140625" style="26" customWidth="1"/>
    <col min="4883" max="4893" width="11.42578125" style="26" customWidth="1"/>
    <col min="4894" max="5123" width="11.42578125" style="26"/>
    <col min="5124" max="5124" width="5.28515625" style="26" customWidth="1"/>
    <col min="5125" max="5125" width="15.28515625" style="26" customWidth="1"/>
    <col min="5126" max="5126" width="14.42578125" style="26" bestFit="1" customWidth="1"/>
    <col min="5127" max="5127" width="10.42578125" style="26" bestFit="1" customWidth="1"/>
    <col min="5128" max="5128" width="12.28515625" style="26" customWidth="1"/>
    <col min="5129" max="5133" width="11.42578125" style="26" customWidth="1"/>
    <col min="5134" max="5135" width="10.5703125" style="26" bestFit="1" customWidth="1"/>
    <col min="5136" max="5137" width="11.42578125" style="26" customWidth="1"/>
    <col min="5138" max="5138" width="6.140625" style="26" customWidth="1"/>
    <col min="5139" max="5149" width="11.42578125" style="26" customWidth="1"/>
    <col min="5150" max="5379" width="11.42578125" style="26"/>
    <col min="5380" max="5380" width="5.28515625" style="26" customWidth="1"/>
    <col min="5381" max="5381" width="15.28515625" style="26" customWidth="1"/>
    <col min="5382" max="5382" width="14.42578125" style="26" bestFit="1" customWidth="1"/>
    <col min="5383" max="5383" width="10.42578125" style="26" bestFit="1" customWidth="1"/>
    <col min="5384" max="5384" width="12.28515625" style="26" customWidth="1"/>
    <col min="5385" max="5389" width="11.42578125" style="26" customWidth="1"/>
    <col min="5390" max="5391" width="10.5703125" style="26" bestFit="1" customWidth="1"/>
    <col min="5392" max="5393" width="11.42578125" style="26" customWidth="1"/>
    <col min="5394" max="5394" width="6.140625" style="26" customWidth="1"/>
    <col min="5395" max="5405" width="11.42578125" style="26" customWidth="1"/>
    <col min="5406" max="5635" width="11.42578125" style="26"/>
    <col min="5636" max="5636" width="5.28515625" style="26" customWidth="1"/>
    <col min="5637" max="5637" width="15.28515625" style="26" customWidth="1"/>
    <col min="5638" max="5638" width="14.42578125" style="26" bestFit="1" customWidth="1"/>
    <col min="5639" max="5639" width="10.42578125" style="26" bestFit="1" customWidth="1"/>
    <col min="5640" max="5640" width="12.28515625" style="26" customWidth="1"/>
    <col min="5641" max="5645" width="11.42578125" style="26" customWidth="1"/>
    <col min="5646" max="5647" width="10.5703125" style="26" bestFit="1" customWidth="1"/>
    <col min="5648" max="5649" width="11.42578125" style="26" customWidth="1"/>
    <col min="5650" max="5650" width="6.140625" style="26" customWidth="1"/>
    <col min="5651" max="5661" width="11.42578125" style="26" customWidth="1"/>
    <col min="5662" max="5891" width="11.42578125" style="26"/>
    <col min="5892" max="5892" width="5.28515625" style="26" customWidth="1"/>
    <col min="5893" max="5893" width="15.28515625" style="26" customWidth="1"/>
    <col min="5894" max="5894" width="14.42578125" style="26" bestFit="1" customWidth="1"/>
    <col min="5895" max="5895" width="10.42578125" style="26" bestFit="1" customWidth="1"/>
    <col min="5896" max="5896" width="12.28515625" style="26" customWidth="1"/>
    <col min="5897" max="5901" width="11.42578125" style="26" customWidth="1"/>
    <col min="5902" max="5903" width="10.5703125" style="26" bestFit="1" customWidth="1"/>
    <col min="5904" max="5905" width="11.42578125" style="26" customWidth="1"/>
    <col min="5906" max="5906" width="6.140625" style="26" customWidth="1"/>
    <col min="5907" max="5917" width="11.42578125" style="26" customWidth="1"/>
    <col min="5918" max="6147" width="11.42578125" style="26"/>
    <col min="6148" max="6148" width="5.28515625" style="26" customWidth="1"/>
    <col min="6149" max="6149" width="15.28515625" style="26" customWidth="1"/>
    <col min="6150" max="6150" width="14.42578125" style="26" bestFit="1" customWidth="1"/>
    <col min="6151" max="6151" width="10.42578125" style="26" bestFit="1" customWidth="1"/>
    <col min="6152" max="6152" width="12.28515625" style="26" customWidth="1"/>
    <col min="6153" max="6157" width="11.42578125" style="26" customWidth="1"/>
    <col min="6158" max="6159" width="10.5703125" style="26" bestFit="1" customWidth="1"/>
    <col min="6160" max="6161" width="11.42578125" style="26" customWidth="1"/>
    <col min="6162" max="6162" width="6.140625" style="26" customWidth="1"/>
    <col min="6163" max="6173" width="11.42578125" style="26" customWidth="1"/>
    <col min="6174" max="6403" width="11.42578125" style="26"/>
    <col min="6404" max="6404" width="5.28515625" style="26" customWidth="1"/>
    <col min="6405" max="6405" width="15.28515625" style="26" customWidth="1"/>
    <col min="6406" max="6406" width="14.42578125" style="26" bestFit="1" customWidth="1"/>
    <col min="6407" max="6407" width="10.42578125" style="26" bestFit="1" customWidth="1"/>
    <col min="6408" max="6408" width="12.28515625" style="26" customWidth="1"/>
    <col min="6409" max="6413" width="11.42578125" style="26" customWidth="1"/>
    <col min="6414" max="6415" width="10.5703125" style="26" bestFit="1" customWidth="1"/>
    <col min="6416" max="6417" width="11.42578125" style="26" customWidth="1"/>
    <col min="6418" max="6418" width="6.140625" style="26" customWidth="1"/>
    <col min="6419" max="6429" width="11.42578125" style="26" customWidth="1"/>
    <col min="6430" max="6659" width="11.42578125" style="26"/>
    <col min="6660" max="6660" width="5.28515625" style="26" customWidth="1"/>
    <col min="6661" max="6661" width="15.28515625" style="26" customWidth="1"/>
    <col min="6662" max="6662" width="14.42578125" style="26" bestFit="1" customWidth="1"/>
    <col min="6663" max="6663" width="10.42578125" style="26" bestFit="1" customWidth="1"/>
    <col min="6664" max="6664" width="12.28515625" style="26" customWidth="1"/>
    <col min="6665" max="6669" width="11.42578125" style="26" customWidth="1"/>
    <col min="6670" max="6671" width="10.5703125" style="26" bestFit="1" customWidth="1"/>
    <col min="6672" max="6673" width="11.42578125" style="26" customWidth="1"/>
    <col min="6674" max="6674" width="6.140625" style="26" customWidth="1"/>
    <col min="6675" max="6685" width="11.42578125" style="26" customWidth="1"/>
    <col min="6686" max="6915" width="11.42578125" style="26"/>
    <col min="6916" max="6916" width="5.28515625" style="26" customWidth="1"/>
    <col min="6917" max="6917" width="15.28515625" style="26" customWidth="1"/>
    <col min="6918" max="6918" width="14.42578125" style="26" bestFit="1" customWidth="1"/>
    <col min="6919" max="6919" width="10.42578125" style="26" bestFit="1" customWidth="1"/>
    <col min="6920" max="6920" width="12.28515625" style="26" customWidth="1"/>
    <col min="6921" max="6925" width="11.42578125" style="26" customWidth="1"/>
    <col min="6926" max="6927" width="10.5703125" style="26" bestFit="1" customWidth="1"/>
    <col min="6928" max="6929" width="11.42578125" style="26" customWidth="1"/>
    <col min="6930" max="6930" width="6.140625" style="26" customWidth="1"/>
    <col min="6931" max="6941" width="11.42578125" style="26" customWidth="1"/>
    <col min="6942" max="7171" width="11.42578125" style="26"/>
    <col min="7172" max="7172" width="5.28515625" style="26" customWidth="1"/>
    <col min="7173" max="7173" width="15.28515625" style="26" customWidth="1"/>
    <col min="7174" max="7174" width="14.42578125" style="26" bestFit="1" customWidth="1"/>
    <col min="7175" max="7175" width="10.42578125" style="26" bestFit="1" customWidth="1"/>
    <col min="7176" max="7176" width="12.28515625" style="26" customWidth="1"/>
    <col min="7177" max="7181" width="11.42578125" style="26" customWidth="1"/>
    <col min="7182" max="7183" width="10.5703125" style="26" bestFit="1" customWidth="1"/>
    <col min="7184" max="7185" width="11.42578125" style="26" customWidth="1"/>
    <col min="7186" max="7186" width="6.140625" style="26" customWidth="1"/>
    <col min="7187" max="7197" width="11.42578125" style="26" customWidth="1"/>
    <col min="7198" max="7427" width="11.42578125" style="26"/>
    <col min="7428" max="7428" width="5.28515625" style="26" customWidth="1"/>
    <col min="7429" max="7429" width="15.28515625" style="26" customWidth="1"/>
    <col min="7430" max="7430" width="14.42578125" style="26" bestFit="1" customWidth="1"/>
    <col min="7431" max="7431" width="10.42578125" style="26" bestFit="1" customWidth="1"/>
    <col min="7432" max="7432" width="12.28515625" style="26" customWidth="1"/>
    <col min="7433" max="7437" width="11.42578125" style="26" customWidth="1"/>
    <col min="7438" max="7439" width="10.5703125" style="26" bestFit="1" customWidth="1"/>
    <col min="7440" max="7441" width="11.42578125" style="26" customWidth="1"/>
    <col min="7442" max="7442" width="6.140625" style="26" customWidth="1"/>
    <col min="7443" max="7453" width="11.42578125" style="26" customWidth="1"/>
    <col min="7454" max="7683" width="11.42578125" style="26"/>
    <col min="7684" max="7684" width="5.28515625" style="26" customWidth="1"/>
    <col min="7685" max="7685" width="15.28515625" style="26" customWidth="1"/>
    <col min="7686" max="7686" width="14.42578125" style="26" bestFit="1" customWidth="1"/>
    <col min="7687" max="7687" width="10.42578125" style="26" bestFit="1" customWidth="1"/>
    <col min="7688" max="7688" width="12.28515625" style="26" customWidth="1"/>
    <col min="7689" max="7693" width="11.42578125" style="26" customWidth="1"/>
    <col min="7694" max="7695" width="10.5703125" style="26" bestFit="1" customWidth="1"/>
    <col min="7696" max="7697" width="11.42578125" style="26" customWidth="1"/>
    <col min="7698" max="7698" width="6.140625" style="26" customWidth="1"/>
    <col min="7699" max="7709" width="11.42578125" style="26" customWidth="1"/>
    <col min="7710" max="7939" width="11.42578125" style="26"/>
    <col min="7940" max="7940" width="5.28515625" style="26" customWidth="1"/>
    <col min="7941" max="7941" width="15.28515625" style="26" customWidth="1"/>
    <col min="7942" max="7942" width="14.42578125" style="26" bestFit="1" customWidth="1"/>
    <col min="7943" max="7943" width="10.42578125" style="26" bestFit="1" customWidth="1"/>
    <col min="7944" max="7944" width="12.28515625" style="26" customWidth="1"/>
    <col min="7945" max="7949" width="11.42578125" style="26" customWidth="1"/>
    <col min="7950" max="7951" width="10.5703125" style="26" bestFit="1" customWidth="1"/>
    <col min="7952" max="7953" width="11.42578125" style="26" customWidth="1"/>
    <col min="7954" max="7954" width="6.140625" style="26" customWidth="1"/>
    <col min="7955" max="7965" width="11.42578125" style="26" customWidth="1"/>
    <col min="7966" max="8195" width="11.42578125" style="26"/>
    <col min="8196" max="8196" width="5.28515625" style="26" customWidth="1"/>
    <col min="8197" max="8197" width="15.28515625" style="26" customWidth="1"/>
    <col min="8198" max="8198" width="14.42578125" style="26" bestFit="1" customWidth="1"/>
    <col min="8199" max="8199" width="10.42578125" style="26" bestFit="1" customWidth="1"/>
    <col min="8200" max="8200" width="12.28515625" style="26" customWidth="1"/>
    <col min="8201" max="8205" width="11.42578125" style="26" customWidth="1"/>
    <col min="8206" max="8207" width="10.5703125" style="26" bestFit="1" customWidth="1"/>
    <col min="8208" max="8209" width="11.42578125" style="26" customWidth="1"/>
    <col min="8210" max="8210" width="6.140625" style="26" customWidth="1"/>
    <col min="8211" max="8221" width="11.42578125" style="26" customWidth="1"/>
    <col min="8222" max="8451" width="11.42578125" style="26"/>
    <col min="8452" max="8452" width="5.28515625" style="26" customWidth="1"/>
    <col min="8453" max="8453" width="15.28515625" style="26" customWidth="1"/>
    <col min="8454" max="8454" width="14.42578125" style="26" bestFit="1" customWidth="1"/>
    <col min="8455" max="8455" width="10.42578125" style="26" bestFit="1" customWidth="1"/>
    <col min="8456" max="8456" width="12.28515625" style="26" customWidth="1"/>
    <col min="8457" max="8461" width="11.42578125" style="26" customWidth="1"/>
    <col min="8462" max="8463" width="10.5703125" style="26" bestFit="1" customWidth="1"/>
    <col min="8464" max="8465" width="11.42578125" style="26" customWidth="1"/>
    <col min="8466" max="8466" width="6.140625" style="26" customWidth="1"/>
    <col min="8467" max="8477" width="11.42578125" style="26" customWidth="1"/>
    <col min="8478" max="8707" width="11.42578125" style="26"/>
    <col min="8708" max="8708" width="5.28515625" style="26" customWidth="1"/>
    <col min="8709" max="8709" width="15.28515625" style="26" customWidth="1"/>
    <col min="8710" max="8710" width="14.42578125" style="26" bestFit="1" customWidth="1"/>
    <col min="8711" max="8711" width="10.42578125" style="26" bestFit="1" customWidth="1"/>
    <col min="8712" max="8712" width="12.28515625" style="26" customWidth="1"/>
    <col min="8713" max="8717" width="11.42578125" style="26" customWidth="1"/>
    <col min="8718" max="8719" width="10.5703125" style="26" bestFit="1" customWidth="1"/>
    <col min="8720" max="8721" width="11.42578125" style="26" customWidth="1"/>
    <col min="8722" max="8722" width="6.140625" style="26" customWidth="1"/>
    <col min="8723" max="8733" width="11.42578125" style="26" customWidth="1"/>
    <col min="8734" max="8963" width="11.42578125" style="26"/>
    <col min="8964" max="8964" width="5.28515625" style="26" customWidth="1"/>
    <col min="8965" max="8965" width="15.28515625" style="26" customWidth="1"/>
    <col min="8966" max="8966" width="14.42578125" style="26" bestFit="1" customWidth="1"/>
    <col min="8967" max="8967" width="10.42578125" style="26" bestFit="1" customWidth="1"/>
    <col min="8968" max="8968" width="12.28515625" style="26" customWidth="1"/>
    <col min="8969" max="8973" width="11.42578125" style="26" customWidth="1"/>
    <col min="8974" max="8975" width="10.5703125" style="26" bestFit="1" customWidth="1"/>
    <col min="8976" max="8977" width="11.42578125" style="26" customWidth="1"/>
    <col min="8978" max="8978" width="6.140625" style="26" customWidth="1"/>
    <col min="8979" max="8989" width="11.42578125" style="26" customWidth="1"/>
    <col min="8990" max="9219" width="11.42578125" style="26"/>
    <col min="9220" max="9220" width="5.28515625" style="26" customWidth="1"/>
    <col min="9221" max="9221" width="15.28515625" style="26" customWidth="1"/>
    <col min="9222" max="9222" width="14.42578125" style="26" bestFit="1" customWidth="1"/>
    <col min="9223" max="9223" width="10.42578125" style="26" bestFit="1" customWidth="1"/>
    <col min="9224" max="9224" width="12.28515625" style="26" customWidth="1"/>
    <col min="9225" max="9229" width="11.42578125" style="26" customWidth="1"/>
    <col min="9230" max="9231" width="10.5703125" style="26" bestFit="1" customWidth="1"/>
    <col min="9232" max="9233" width="11.42578125" style="26" customWidth="1"/>
    <col min="9234" max="9234" width="6.140625" style="26" customWidth="1"/>
    <col min="9235" max="9245" width="11.42578125" style="26" customWidth="1"/>
    <col min="9246" max="9475" width="11.42578125" style="26"/>
    <col min="9476" max="9476" width="5.28515625" style="26" customWidth="1"/>
    <col min="9477" max="9477" width="15.28515625" style="26" customWidth="1"/>
    <col min="9478" max="9478" width="14.42578125" style="26" bestFit="1" customWidth="1"/>
    <col min="9479" max="9479" width="10.42578125" style="26" bestFit="1" customWidth="1"/>
    <col min="9480" max="9480" width="12.28515625" style="26" customWidth="1"/>
    <col min="9481" max="9485" width="11.42578125" style="26" customWidth="1"/>
    <col min="9486" max="9487" width="10.5703125" style="26" bestFit="1" customWidth="1"/>
    <col min="9488" max="9489" width="11.42578125" style="26" customWidth="1"/>
    <col min="9490" max="9490" width="6.140625" style="26" customWidth="1"/>
    <col min="9491" max="9501" width="11.42578125" style="26" customWidth="1"/>
    <col min="9502" max="9731" width="11.42578125" style="26"/>
    <col min="9732" max="9732" width="5.28515625" style="26" customWidth="1"/>
    <col min="9733" max="9733" width="15.28515625" style="26" customWidth="1"/>
    <col min="9734" max="9734" width="14.42578125" style="26" bestFit="1" customWidth="1"/>
    <col min="9735" max="9735" width="10.42578125" style="26" bestFit="1" customWidth="1"/>
    <col min="9736" max="9736" width="12.28515625" style="26" customWidth="1"/>
    <col min="9737" max="9741" width="11.42578125" style="26" customWidth="1"/>
    <col min="9742" max="9743" width="10.5703125" style="26" bestFit="1" customWidth="1"/>
    <col min="9744" max="9745" width="11.42578125" style="26" customWidth="1"/>
    <col min="9746" max="9746" width="6.140625" style="26" customWidth="1"/>
    <col min="9747" max="9757" width="11.42578125" style="26" customWidth="1"/>
    <col min="9758" max="9987" width="11.42578125" style="26"/>
    <col min="9988" max="9988" width="5.28515625" style="26" customWidth="1"/>
    <col min="9989" max="9989" width="15.28515625" style="26" customWidth="1"/>
    <col min="9990" max="9990" width="14.42578125" style="26" bestFit="1" customWidth="1"/>
    <col min="9991" max="9991" width="10.42578125" style="26" bestFit="1" customWidth="1"/>
    <col min="9992" max="9992" width="12.28515625" style="26" customWidth="1"/>
    <col min="9993" max="9997" width="11.42578125" style="26" customWidth="1"/>
    <col min="9998" max="9999" width="10.5703125" style="26" bestFit="1" customWidth="1"/>
    <col min="10000" max="10001" width="11.42578125" style="26" customWidth="1"/>
    <col min="10002" max="10002" width="6.140625" style="26" customWidth="1"/>
    <col min="10003" max="10013" width="11.42578125" style="26" customWidth="1"/>
    <col min="10014" max="10243" width="11.42578125" style="26"/>
    <col min="10244" max="10244" width="5.28515625" style="26" customWidth="1"/>
    <col min="10245" max="10245" width="15.28515625" style="26" customWidth="1"/>
    <col min="10246" max="10246" width="14.42578125" style="26" bestFit="1" customWidth="1"/>
    <col min="10247" max="10247" width="10.42578125" style="26" bestFit="1" customWidth="1"/>
    <col min="10248" max="10248" width="12.28515625" style="26" customWidth="1"/>
    <col min="10249" max="10253" width="11.42578125" style="26" customWidth="1"/>
    <col min="10254" max="10255" width="10.5703125" style="26" bestFit="1" customWidth="1"/>
    <col min="10256" max="10257" width="11.42578125" style="26" customWidth="1"/>
    <col min="10258" max="10258" width="6.140625" style="26" customWidth="1"/>
    <col min="10259" max="10269" width="11.42578125" style="26" customWidth="1"/>
    <col min="10270" max="10499" width="11.42578125" style="26"/>
    <col min="10500" max="10500" width="5.28515625" style="26" customWidth="1"/>
    <col min="10501" max="10501" width="15.28515625" style="26" customWidth="1"/>
    <col min="10502" max="10502" width="14.42578125" style="26" bestFit="1" customWidth="1"/>
    <col min="10503" max="10503" width="10.42578125" style="26" bestFit="1" customWidth="1"/>
    <col min="10504" max="10504" width="12.28515625" style="26" customWidth="1"/>
    <col min="10505" max="10509" width="11.42578125" style="26" customWidth="1"/>
    <col min="10510" max="10511" width="10.5703125" style="26" bestFit="1" customWidth="1"/>
    <col min="10512" max="10513" width="11.42578125" style="26" customWidth="1"/>
    <col min="10514" max="10514" width="6.140625" style="26" customWidth="1"/>
    <col min="10515" max="10525" width="11.42578125" style="26" customWidth="1"/>
    <col min="10526" max="10755" width="11.42578125" style="26"/>
    <col min="10756" max="10756" width="5.28515625" style="26" customWidth="1"/>
    <col min="10757" max="10757" width="15.28515625" style="26" customWidth="1"/>
    <col min="10758" max="10758" width="14.42578125" style="26" bestFit="1" customWidth="1"/>
    <col min="10759" max="10759" width="10.42578125" style="26" bestFit="1" customWidth="1"/>
    <col min="10760" max="10760" width="12.28515625" style="26" customWidth="1"/>
    <col min="10761" max="10765" width="11.42578125" style="26" customWidth="1"/>
    <col min="10766" max="10767" width="10.5703125" style="26" bestFit="1" customWidth="1"/>
    <col min="10768" max="10769" width="11.42578125" style="26" customWidth="1"/>
    <col min="10770" max="10770" width="6.140625" style="26" customWidth="1"/>
    <col min="10771" max="10781" width="11.42578125" style="26" customWidth="1"/>
    <col min="10782" max="11011" width="11.42578125" style="26"/>
    <col min="11012" max="11012" width="5.28515625" style="26" customWidth="1"/>
    <col min="11013" max="11013" width="15.28515625" style="26" customWidth="1"/>
    <col min="11014" max="11014" width="14.42578125" style="26" bestFit="1" customWidth="1"/>
    <col min="11015" max="11015" width="10.42578125" style="26" bestFit="1" customWidth="1"/>
    <col min="11016" max="11016" width="12.28515625" style="26" customWidth="1"/>
    <col min="11017" max="11021" width="11.42578125" style="26" customWidth="1"/>
    <col min="11022" max="11023" width="10.5703125" style="26" bestFit="1" customWidth="1"/>
    <col min="11024" max="11025" width="11.42578125" style="26" customWidth="1"/>
    <col min="11026" max="11026" width="6.140625" style="26" customWidth="1"/>
    <col min="11027" max="11037" width="11.42578125" style="26" customWidth="1"/>
    <col min="11038" max="11267" width="11.42578125" style="26"/>
    <col min="11268" max="11268" width="5.28515625" style="26" customWidth="1"/>
    <col min="11269" max="11269" width="15.28515625" style="26" customWidth="1"/>
    <col min="11270" max="11270" width="14.42578125" style="26" bestFit="1" customWidth="1"/>
    <col min="11271" max="11271" width="10.42578125" style="26" bestFit="1" customWidth="1"/>
    <col min="11272" max="11272" width="12.28515625" style="26" customWidth="1"/>
    <col min="11273" max="11277" width="11.42578125" style="26" customWidth="1"/>
    <col min="11278" max="11279" width="10.5703125" style="26" bestFit="1" customWidth="1"/>
    <col min="11280" max="11281" width="11.42578125" style="26" customWidth="1"/>
    <col min="11282" max="11282" width="6.140625" style="26" customWidth="1"/>
    <col min="11283" max="11293" width="11.42578125" style="26" customWidth="1"/>
    <col min="11294" max="11523" width="11.42578125" style="26"/>
    <col min="11524" max="11524" width="5.28515625" style="26" customWidth="1"/>
    <col min="11525" max="11525" width="15.28515625" style="26" customWidth="1"/>
    <col min="11526" max="11526" width="14.42578125" style="26" bestFit="1" customWidth="1"/>
    <col min="11527" max="11527" width="10.42578125" style="26" bestFit="1" customWidth="1"/>
    <col min="11528" max="11528" width="12.28515625" style="26" customWidth="1"/>
    <col min="11529" max="11533" width="11.42578125" style="26" customWidth="1"/>
    <col min="11534" max="11535" width="10.5703125" style="26" bestFit="1" customWidth="1"/>
    <col min="11536" max="11537" width="11.42578125" style="26" customWidth="1"/>
    <col min="11538" max="11538" width="6.140625" style="26" customWidth="1"/>
    <col min="11539" max="11549" width="11.42578125" style="26" customWidth="1"/>
    <col min="11550" max="11779" width="11.42578125" style="26"/>
    <col min="11780" max="11780" width="5.28515625" style="26" customWidth="1"/>
    <col min="11781" max="11781" width="15.28515625" style="26" customWidth="1"/>
    <col min="11782" max="11782" width="14.42578125" style="26" bestFit="1" customWidth="1"/>
    <col min="11783" max="11783" width="10.42578125" style="26" bestFit="1" customWidth="1"/>
    <col min="11784" max="11784" width="12.28515625" style="26" customWidth="1"/>
    <col min="11785" max="11789" width="11.42578125" style="26" customWidth="1"/>
    <col min="11790" max="11791" width="10.5703125" style="26" bestFit="1" customWidth="1"/>
    <col min="11792" max="11793" width="11.42578125" style="26" customWidth="1"/>
    <col min="11794" max="11794" width="6.140625" style="26" customWidth="1"/>
    <col min="11795" max="11805" width="11.42578125" style="26" customWidth="1"/>
    <col min="11806" max="12035" width="11.42578125" style="26"/>
    <col min="12036" max="12036" width="5.28515625" style="26" customWidth="1"/>
    <col min="12037" max="12037" width="15.28515625" style="26" customWidth="1"/>
    <col min="12038" max="12038" width="14.42578125" style="26" bestFit="1" customWidth="1"/>
    <col min="12039" max="12039" width="10.42578125" style="26" bestFit="1" customWidth="1"/>
    <col min="12040" max="12040" width="12.28515625" style="26" customWidth="1"/>
    <col min="12041" max="12045" width="11.42578125" style="26" customWidth="1"/>
    <col min="12046" max="12047" width="10.5703125" style="26" bestFit="1" customWidth="1"/>
    <col min="12048" max="12049" width="11.42578125" style="26" customWidth="1"/>
    <col min="12050" max="12050" width="6.140625" style="26" customWidth="1"/>
    <col min="12051" max="12061" width="11.42578125" style="26" customWidth="1"/>
    <col min="12062" max="12291" width="11.42578125" style="26"/>
    <col min="12292" max="12292" width="5.28515625" style="26" customWidth="1"/>
    <col min="12293" max="12293" width="15.28515625" style="26" customWidth="1"/>
    <col min="12294" max="12294" width="14.42578125" style="26" bestFit="1" customWidth="1"/>
    <col min="12295" max="12295" width="10.42578125" style="26" bestFit="1" customWidth="1"/>
    <col min="12296" max="12296" width="12.28515625" style="26" customWidth="1"/>
    <col min="12297" max="12301" width="11.42578125" style="26" customWidth="1"/>
    <col min="12302" max="12303" width="10.5703125" style="26" bestFit="1" customWidth="1"/>
    <col min="12304" max="12305" width="11.42578125" style="26" customWidth="1"/>
    <col min="12306" max="12306" width="6.140625" style="26" customWidth="1"/>
    <col min="12307" max="12317" width="11.42578125" style="26" customWidth="1"/>
    <col min="12318" max="12547" width="11.42578125" style="26"/>
    <col min="12548" max="12548" width="5.28515625" style="26" customWidth="1"/>
    <col min="12549" max="12549" width="15.28515625" style="26" customWidth="1"/>
    <col min="12550" max="12550" width="14.42578125" style="26" bestFit="1" customWidth="1"/>
    <col min="12551" max="12551" width="10.42578125" style="26" bestFit="1" customWidth="1"/>
    <col min="12552" max="12552" width="12.28515625" style="26" customWidth="1"/>
    <col min="12553" max="12557" width="11.42578125" style="26" customWidth="1"/>
    <col min="12558" max="12559" width="10.5703125" style="26" bestFit="1" customWidth="1"/>
    <col min="12560" max="12561" width="11.42578125" style="26" customWidth="1"/>
    <col min="12562" max="12562" width="6.140625" style="26" customWidth="1"/>
    <col min="12563" max="12573" width="11.42578125" style="26" customWidth="1"/>
    <col min="12574" max="12803" width="11.42578125" style="26"/>
    <col min="12804" max="12804" width="5.28515625" style="26" customWidth="1"/>
    <col min="12805" max="12805" width="15.28515625" style="26" customWidth="1"/>
    <col min="12806" max="12806" width="14.42578125" style="26" bestFit="1" customWidth="1"/>
    <col min="12807" max="12807" width="10.42578125" style="26" bestFit="1" customWidth="1"/>
    <col min="12808" max="12808" width="12.28515625" style="26" customWidth="1"/>
    <col min="12809" max="12813" width="11.42578125" style="26" customWidth="1"/>
    <col min="12814" max="12815" width="10.5703125" style="26" bestFit="1" customWidth="1"/>
    <col min="12816" max="12817" width="11.42578125" style="26" customWidth="1"/>
    <col min="12818" max="12818" width="6.140625" style="26" customWidth="1"/>
    <col min="12819" max="12829" width="11.42578125" style="26" customWidth="1"/>
    <col min="12830" max="13059" width="11.42578125" style="26"/>
    <col min="13060" max="13060" width="5.28515625" style="26" customWidth="1"/>
    <col min="13061" max="13061" width="15.28515625" style="26" customWidth="1"/>
    <col min="13062" max="13062" width="14.42578125" style="26" bestFit="1" customWidth="1"/>
    <col min="13063" max="13063" width="10.42578125" style="26" bestFit="1" customWidth="1"/>
    <col min="13064" max="13064" width="12.28515625" style="26" customWidth="1"/>
    <col min="13065" max="13069" width="11.42578125" style="26" customWidth="1"/>
    <col min="13070" max="13071" width="10.5703125" style="26" bestFit="1" customWidth="1"/>
    <col min="13072" max="13073" width="11.42578125" style="26" customWidth="1"/>
    <col min="13074" max="13074" width="6.140625" style="26" customWidth="1"/>
    <col min="13075" max="13085" width="11.42578125" style="26" customWidth="1"/>
    <col min="13086" max="13315" width="11.42578125" style="26"/>
    <col min="13316" max="13316" width="5.28515625" style="26" customWidth="1"/>
    <col min="13317" max="13317" width="15.28515625" style="26" customWidth="1"/>
    <col min="13318" max="13318" width="14.42578125" style="26" bestFit="1" customWidth="1"/>
    <col min="13319" max="13319" width="10.42578125" style="26" bestFit="1" customWidth="1"/>
    <col min="13320" max="13320" width="12.28515625" style="26" customWidth="1"/>
    <col min="13321" max="13325" width="11.42578125" style="26" customWidth="1"/>
    <col min="13326" max="13327" width="10.5703125" style="26" bestFit="1" customWidth="1"/>
    <col min="13328" max="13329" width="11.42578125" style="26" customWidth="1"/>
    <col min="13330" max="13330" width="6.140625" style="26" customWidth="1"/>
    <col min="13331" max="13341" width="11.42578125" style="26" customWidth="1"/>
    <col min="13342" max="13571" width="11.42578125" style="26"/>
    <col min="13572" max="13572" width="5.28515625" style="26" customWidth="1"/>
    <col min="13573" max="13573" width="15.28515625" style="26" customWidth="1"/>
    <col min="13574" max="13574" width="14.42578125" style="26" bestFit="1" customWidth="1"/>
    <col min="13575" max="13575" width="10.42578125" style="26" bestFit="1" customWidth="1"/>
    <col min="13576" max="13576" width="12.28515625" style="26" customWidth="1"/>
    <col min="13577" max="13581" width="11.42578125" style="26" customWidth="1"/>
    <col min="13582" max="13583" width="10.5703125" style="26" bestFit="1" customWidth="1"/>
    <col min="13584" max="13585" width="11.42578125" style="26" customWidth="1"/>
    <col min="13586" max="13586" width="6.140625" style="26" customWidth="1"/>
    <col min="13587" max="13597" width="11.42578125" style="26" customWidth="1"/>
    <col min="13598" max="13827" width="11.42578125" style="26"/>
    <col min="13828" max="13828" width="5.28515625" style="26" customWidth="1"/>
    <col min="13829" max="13829" width="15.28515625" style="26" customWidth="1"/>
    <col min="13830" max="13830" width="14.42578125" style="26" bestFit="1" customWidth="1"/>
    <col min="13831" max="13831" width="10.42578125" style="26" bestFit="1" customWidth="1"/>
    <col min="13832" max="13832" width="12.28515625" style="26" customWidth="1"/>
    <col min="13833" max="13837" width="11.42578125" style="26" customWidth="1"/>
    <col min="13838" max="13839" width="10.5703125" style="26" bestFit="1" customWidth="1"/>
    <col min="13840" max="13841" width="11.42578125" style="26" customWidth="1"/>
    <col min="13842" max="13842" width="6.140625" style="26" customWidth="1"/>
    <col min="13843" max="13853" width="11.42578125" style="26" customWidth="1"/>
    <col min="13854" max="14083" width="11.42578125" style="26"/>
    <col min="14084" max="14084" width="5.28515625" style="26" customWidth="1"/>
    <col min="14085" max="14085" width="15.28515625" style="26" customWidth="1"/>
    <col min="14086" max="14086" width="14.42578125" style="26" bestFit="1" customWidth="1"/>
    <col min="14087" max="14087" width="10.42578125" style="26" bestFit="1" customWidth="1"/>
    <col min="14088" max="14088" width="12.28515625" style="26" customWidth="1"/>
    <col min="14089" max="14093" width="11.42578125" style="26" customWidth="1"/>
    <col min="14094" max="14095" width="10.5703125" style="26" bestFit="1" customWidth="1"/>
    <col min="14096" max="14097" width="11.42578125" style="26" customWidth="1"/>
    <col min="14098" max="14098" width="6.140625" style="26" customWidth="1"/>
    <col min="14099" max="14109" width="11.42578125" style="26" customWidth="1"/>
    <col min="14110" max="14339" width="11.42578125" style="26"/>
    <col min="14340" max="14340" width="5.28515625" style="26" customWidth="1"/>
    <col min="14341" max="14341" width="15.28515625" style="26" customWidth="1"/>
    <col min="14342" max="14342" width="14.42578125" style="26" bestFit="1" customWidth="1"/>
    <col min="14343" max="14343" width="10.42578125" style="26" bestFit="1" customWidth="1"/>
    <col min="14344" max="14344" width="12.28515625" style="26" customWidth="1"/>
    <col min="14345" max="14349" width="11.42578125" style="26" customWidth="1"/>
    <col min="14350" max="14351" width="10.5703125" style="26" bestFit="1" customWidth="1"/>
    <col min="14352" max="14353" width="11.42578125" style="26" customWidth="1"/>
    <col min="14354" max="14354" width="6.140625" style="26" customWidth="1"/>
    <col min="14355" max="14365" width="11.42578125" style="26" customWidth="1"/>
    <col min="14366" max="14595" width="11.42578125" style="26"/>
    <col min="14596" max="14596" width="5.28515625" style="26" customWidth="1"/>
    <col min="14597" max="14597" width="15.28515625" style="26" customWidth="1"/>
    <col min="14598" max="14598" width="14.42578125" style="26" bestFit="1" customWidth="1"/>
    <col min="14599" max="14599" width="10.42578125" style="26" bestFit="1" customWidth="1"/>
    <col min="14600" max="14600" width="12.28515625" style="26" customWidth="1"/>
    <col min="14601" max="14605" width="11.42578125" style="26" customWidth="1"/>
    <col min="14606" max="14607" width="10.5703125" style="26" bestFit="1" customWidth="1"/>
    <col min="14608" max="14609" width="11.42578125" style="26" customWidth="1"/>
    <col min="14610" max="14610" width="6.140625" style="26" customWidth="1"/>
    <col min="14611" max="14621" width="11.42578125" style="26" customWidth="1"/>
    <col min="14622" max="14851" width="11.42578125" style="26"/>
    <col min="14852" max="14852" width="5.28515625" style="26" customWidth="1"/>
    <col min="14853" max="14853" width="15.28515625" style="26" customWidth="1"/>
    <col min="14854" max="14854" width="14.42578125" style="26" bestFit="1" customWidth="1"/>
    <col min="14855" max="14855" width="10.42578125" style="26" bestFit="1" customWidth="1"/>
    <col min="14856" max="14856" width="12.28515625" style="26" customWidth="1"/>
    <col min="14857" max="14861" width="11.42578125" style="26" customWidth="1"/>
    <col min="14862" max="14863" width="10.5703125" style="26" bestFit="1" customWidth="1"/>
    <col min="14864" max="14865" width="11.42578125" style="26" customWidth="1"/>
    <col min="14866" max="14866" width="6.140625" style="26" customWidth="1"/>
    <col min="14867" max="14877" width="11.42578125" style="26" customWidth="1"/>
    <col min="14878" max="15107" width="11.42578125" style="26"/>
    <col min="15108" max="15108" width="5.28515625" style="26" customWidth="1"/>
    <col min="15109" max="15109" width="15.28515625" style="26" customWidth="1"/>
    <col min="15110" max="15110" width="14.42578125" style="26" bestFit="1" customWidth="1"/>
    <col min="15111" max="15111" width="10.42578125" style="26" bestFit="1" customWidth="1"/>
    <col min="15112" max="15112" width="12.28515625" style="26" customWidth="1"/>
    <col min="15113" max="15117" width="11.42578125" style="26" customWidth="1"/>
    <col min="15118" max="15119" width="10.5703125" style="26" bestFit="1" customWidth="1"/>
    <col min="15120" max="15121" width="11.42578125" style="26" customWidth="1"/>
    <col min="15122" max="15122" width="6.140625" style="26" customWidth="1"/>
    <col min="15123" max="15133" width="11.42578125" style="26" customWidth="1"/>
    <col min="15134" max="15363" width="11.42578125" style="26"/>
    <col min="15364" max="15364" width="5.28515625" style="26" customWidth="1"/>
    <col min="15365" max="15365" width="15.28515625" style="26" customWidth="1"/>
    <col min="15366" max="15366" width="14.42578125" style="26" bestFit="1" customWidth="1"/>
    <col min="15367" max="15367" width="10.42578125" style="26" bestFit="1" customWidth="1"/>
    <col min="15368" max="15368" width="12.28515625" style="26" customWidth="1"/>
    <col min="15369" max="15373" width="11.42578125" style="26" customWidth="1"/>
    <col min="15374" max="15375" width="10.5703125" style="26" bestFit="1" customWidth="1"/>
    <col min="15376" max="15377" width="11.42578125" style="26" customWidth="1"/>
    <col min="15378" max="15378" width="6.140625" style="26" customWidth="1"/>
    <col min="15379" max="15389" width="11.42578125" style="26" customWidth="1"/>
    <col min="15390" max="15619" width="11.42578125" style="26"/>
    <col min="15620" max="15620" width="5.28515625" style="26" customWidth="1"/>
    <col min="15621" max="15621" width="15.28515625" style="26" customWidth="1"/>
    <col min="15622" max="15622" width="14.42578125" style="26" bestFit="1" customWidth="1"/>
    <col min="15623" max="15623" width="10.42578125" style="26" bestFit="1" customWidth="1"/>
    <col min="15624" max="15624" width="12.28515625" style="26" customWidth="1"/>
    <col min="15625" max="15629" width="11.42578125" style="26" customWidth="1"/>
    <col min="15630" max="15631" width="10.5703125" style="26" bestFit="1" customWidth="1"/>
    <col min="15632" max="15633" width="11.42578125" style="26" customWidth="1"/>
    <col min="15634" max="15634" width="6.140625" style="26" customWidth="1"/>
    <col min="15635" max="15645" width="11.42578125" style="26" customWidth="1"/>
    <col min="15646" max="15875" width="11.42578125" style="26"/>
    <col min="15876" max="15876" width="5.28515625" style="26" customWidth="1"/>
    <col min="15877" max="15877" width="15.28515625" style="26" customWidth="1"/>
    <col min="15878" max="15878" width="14.42578125" style="26" bestFit="1" customWidth="1"/>
    <col min="15879" max="15879" width="10.42578125" style="26" bestFit="1" customWidth="1"/>
    <col min="15880" max="15880" width="12.28515625" style="26" customWidth="1"/>
    <col min="15881" max="15885" width="11.42578125" style="26" customWidth="1"/>
    <col min="15886" max="15887" width="10.5703125" style="26" bestFit="1" customWidth="1"/>
    <col min="15888" max="15889" width="11.42578125" style="26" customWidth="1"/>
    <col min="15890" max="15890" width="6.140625" style="26" customWidth="1"/>
    <col min="15891" max="15901" width="11.42578125" style="26" customWidth="1"/>
    <col min="15902" max="16131" width="11.42578125" style="26"/>
    <col min="16132" max="16132" width="5.28515625" style="26" customWidth="1"/>
    <col min="16133" max="16133" width="15.28515625" style="26" customWidth="1"/>
    <col min="16134" max="16134" width="14.42578125" style="26" bestFit="1" customWidth="1"/>
    <col min="16135" max="16135" width="10.42578125" style="26" bestFit="1" customWidth="1"/>
    <col min="16136" max="16136" width="12.28515625" style="26" customWidth="1"/>
    <col min="16137" max="16141" width="11.42578125" style="26" customWidth="1"/>
    <col min="16142" max="16143" width="10.5703125" style="26" bestFit="1" customWidth="1"/>
    <col min="16144" max="16145" width="11.42578125" style="26" customWidth="1"/>
    <col min="16146" max="16146" width="6.140625" style="26" customWidth="1"/>
    <col min="16147" max="16157" width="11.42578125" style="26" customWidth="1"/>
    <col min="16158" max="16384" width="11.42578125" style="26"/>
  </cols>
  <sheetData>
    <row r="1" spans="1:595" s="89" customFormat="1" ht="10.5" customHeight="1" thickBot="1" x14ac:dyDescent="0.3">
      <c r="Q1" s="27"/>
      <c r="VW1" s="34"/>
    </row>
    <row r="2" spans="1:595" s="89" customFormat="1" ht="6" customHeight="1" x14ac:dyDescent="0.25">
      <c r="B2" s="184"/>
      <c r="C2" s="185"/>
      <c r="D2" s="185"/>
      <c r="E2" s="185"/>
      <c r="F2" s="185"/>
      <c r="G2" s="185"/>
      <c r="H2" s="185"/>
      <c r="I2" s="185"/>
      <c r="J2" s="185"/>
      <c r="K2" s="185"/>
      <c r="L2" s="185"/>
      <c r="M2" s="185"/>
      <c r="N2" s="185"/>
      <c r="O2" s="185"/>
      <c r="P2" s="185"/>
      <c r="Q2" s="185"/>
      <c r="R2" s="185"/>
      <c r="S2" s="185"/>
      <c r="T2" s="186"/>
      <c r="VW2" s="34"/>
    </row>
    <row r="3" spans="1:595" s="1" customFormat="1" ht="33" customHeight="1" x14ac:dyDescent="0.25">
      <c r="B3" s="187"/>
      <c r="C3" s="193"/>
      <c r="D3" s="193"/>
      <c r="E3" s="193"/>
      <c r="F3" s="193"/>
      <c r="G3" s="193"/>
      <c r="H3" s="193"/>
      <c r="I3" s="193"/>
      <c r="J3" s="193"/>
      <c r="K3" s="193"/>
      <c r="L3" s="193"/>
      <c r="M3" s="193"/>
      <c r="N3" s="193"/>
      <c r="O3" s="193"/>
      <c r="P3" s="193"/>
      <c r="Q3" s="193"/>
      <c r="R3" s="193"/>
      <c r="S3" s="193"/>
      <c r="T3" s="188"/>
      <c r="U3" s="89"/>
      <c r="V3" s="1" t="s">
        <v>1219</v>
      </c>
      <c r="W3" s="137">
        <v>1</v>
      </c>
      <c r="X3" s="89"/>
      <c r="Y3" s="89"/>
      <c r="Z3" s="89"/>
      <c r="AA3" s="89"/>
      <c r="AB3" s="89"/>
      <c r="AC3" s="89"/>
      <c r="AD3" s="89"/>
      <c r="AE3" s="89"/>
      <c r="BI3" s="44"/>
      <c r="BJ3" s="44"/>
      <c r="VW3" s="372"/>
    </row>
    <row r="4" spans="1:595" s="1" customFormat="1" ht="25.15" customHeight="1" x14ac:dyDescent="0.25">
      <c r="B4" s="187"/>
      <c r="C4" s="201" t="s">
        <v>590</v>
      </c>
      <c r="D4" s="201"/>
      <c r="E4" s="201"/>
      <c r="F4" s="201"/>
      <c r="G4" s="201"/>
      <c r="H4" s="201"/>
      <c r="I4" s="201"/>
      <c r="J4" s="177"/>
      <c r="K4" s="177"/>
      <c r="L4" s="177"/>
      <c r="M4" s="177"/>
      <c r="N4" s="177"/>
      <c r="O4" s="177"/>
      <c r="P4" s="177"/>
      <c r="Q4" s="177"/>
      <c r="R4" s="177"/>
      <c r="S4" s="177"/>
      <c r="T4" s="188"/>
      <c r="V4" s="89" t="s">
        <v>1217</v>
      </c>
      <c r="W4" s="135">
        <f>SUMIFS(CampList[HH],CampList[Status],"open",CampList[Opening Date],"&gt;=" &amp; NFI_Monitor_Date)</f>
        <v>2213</v>
      </c>
      <c r="X4" s="89"/>
      <c r="Y4" s="89"/>
      <c r="Z4" s="89"/>
      <c r="AA4" s="89"/>
      <c r="AB4" s="89"/>
      <c r="AC4" s="89"/>
      <c r="AD4" s="89"/>
      <c r="AE4" s="89"/>
      <c r="AF4" s="62"/>
      <c r="AG4" s="62"/>
      <c r="AH4" s="62"/>
      <c r="AI4" s="62"/>
      <c r="AJ4" s="62"/>
      <c r="AK4" s="62"/>
      <c r="AL4" s="62"/>
      <c r="AM4" s="62"/>
      <c r="AN4" s="62"/>
      <c r="AO4" s="62"/>
      <c r="AP4" s="62"/>
      <c r="AQ4" s="62"/>
      <c r="AR4" s="62"/>
      <c r="AS4" s="62"/>
      <c r="BC4" s="44"/>
      <c r="BD4" s="44"/>
      <c r="VW4" s="372"/>
    </row>
    <row r="5" spans="1:595" s="15" customFormat="1" ht="12.75" customHeight="1" x14ac:dyDescent="0.25">
      <c r="B5" s="187"/>
      <c r="C5" s="1004">
        <f>Definition!B23</f>
        <v>42856</v>
      </c>
      <c r="D5" s="1004"/>
      <c r="E5" s="1004"/>
      <c r="F5" s="1004"/>
      <c r="G5" s="1004"/>
      <c r="H5" s="1004"/>
      <c r="I5" s="202"/>
      <c r="J5" s="177"/>
      <c r="K5" s="177"/>
      <c r="L5" s="177"/>
      <c r="M5" s="177"/>
      <c r="N5" s="177"/>
      <c r="O5" s="177"/>
      <c r="P5" s="177"/>
      <c r="Q5" s="177"/>
      <c r="R5" s="177"/>
      <c r="S5" s="177"/>
      <c r="T5" s="188"/>
      <c r="V5" s="89" t="s">
        <v>1218</v>
      </c>
      <c r="W5" s="135">
        <f>SUMIFS(CampList[HH],CampList[Status],"open",CampList[Priority],"P1")</f>
        <v>1673</v>
      </c>
      <c r="X5" s="135"/>
      <c r="Y5" s="89"/>
      <c r="Z5" s="89"/>
      <c r="AA5" s="89"/>
      <c r="AB5" s="89"/>
      <c r="AC5" s="89"/>
      <c r="AD5" s="89"/>
      <c r="AE5" s="89"/>
      <c r="AF5" s="62"/>
      <c r="AG5" s="62"/>
      <c r="AH5" s="62"/>
      <c r="AI5" s="62"/>
      <c r="AJ5" s="62"/>
      <c r="AK5" s="62"/>
      <c r="AL5" s="62"/>
      <c r="AM5" s="62"/>
      <c r="AN5" s="62"/>
      <c r="AO5" s="62"/>
      <c r="AP5" s="62"/>
      <c r="AQ5" s="62"/>
      <c r="AR5" s="62"/>
      <c r="AS5" s="62"/>
      <c r="BC5" s="45"/>
      <c r="BD5" s="45"/>
      <c r="VW5" s="373"/>
    </row>
    <row r="6" spans="1:595" s="34" customFormat="1" ht="45.75" customHeight="1" x14ac:dyDescent="0.55000000000000004">
      <c r="B6" s="206"/>
      <c r="C6" s="203"/>
      <c r="D6" s="204"/>
      <c r="E6" s="204"/>
      <c r="F6" s="204"/>
      <c r="G6" s="204"/>
      <c r="H6" s="204"/>
      <c r="I6" s="204"/>
      <c r="J6" s="204"/>
      <c r="K6" s="204"/>
      <c r="L6" s="204"/>
      <c r="M6" s="204"/>
      <c r="N6" s="204"/>
      <c r="O6" s="204"/>
      <c r="P6" s="204"/>
      <c r="Q6" s="205"/>
      <c r="R6" s="204"/>
      <c r="S6" s="204"/>
      <c r="T6" s="207"/>
      <c r="V6" s="34" t="s">
        <v>1504</v>
      </c>
    </row>
    <row r="7" spans="1:595" s="34" customFormat="1" ht="4.5" customHeight="1" x14ac:dyDescent="0.55000000000000004">
      <c r="B7" s="288"/>
      <c r="C7" s="289"/>
      <c r="D7" s="290"/>
      <c r="E7" s="290"/>
      <c r="F7" s="290"/>
      <c r="G7" s="290"/>
      <c r="H7" s="290"/>
      <c r="I7" s="290"/>
      <c r="J7" s="290"/>
      <c r="K7" s="290"/>
      <c r="L7" s="290"/>
      <c r="M7" s="290"/>
      <c r="N7" s="290"/>
      <c r="O7" s="290"/>
      <c r="P7" s="290"/>
      <c r="Q7" s="291"/>
      <c r="R7" s="290"/>
      <c r="S7" s="290"/>
      <c r="T7" s="292"/>
    </row>
    <row r="8" spans="1:595" s="62" customFormat="1" ht="12.75" customHeight="1" x14ac:dyDescent="0.35">
      <c r="A8" s="89"/>
      <c r="B8" s="196"/>
      <c r="C8" s="28"/>
      <c r="D8" s="28"/>
      <c r="E8" s="28"/>
      <c r="F8" s="28"/>
      <c r="G8" s="28"/>
      <c r="H8" s="28"/>
      <c r="I8" s="28"/>
      <c r="J8" s="28"/>
      <c r="K8" s="28"/>
      <c r="L8" s="28"/>
      <c r="M8" s="28"/>
      <c r="N8" s="28"/>
      <c r="O8" s="28"/>
      <c r="P8" s="28"/>
      <c r="Q8" s="293"/>
      <c r="R8" s="28"/>
      <c r="S8" s="28"/>
      <c r="T8" s="194"/>
      <c r="U8" s="89"/>
      <c r="V8" s="89"/>
      <c r="W8" s="89"/>
      <c r="X8" s="89"/>
      <c r="Y8" s="89"/>
      <c r="Z8" s="89"/>
      <c r="AA8" s="89"/>
      <c r="AB8" s="89"/>
      <c r="AC8" s="89"/>
      <c r="AD8" s="89"/>
      <c r="AE8" s="89"/>
      <c r="VW8" s="34"/>
    </row>
    <row r="9" spans="1:595" s="62" customFormat="1" ht="7.5" customHeight="1" x14ac:dyDescent="0.25">
      <c r="A9" s="89"/>
      <c r="B9" s="196"/>
      <c r="C9" s="28"/>
      <c r="D9" s="28"/>
      <c r="E9" s="28"/>
      <c r="F9" s="28"/>
      <c r="G9" s="28"/>
      <c r="H9" s="28"/>
      <c r="I9" s="28"/>
      <c r="J9" s="28"/>
      <c r="K9" s="28"/>
      <c r="L9" s="28"/>
      <c r="M9" s="28"/>
      <c r="N9" s="28"/>
      <c r="O9" s="28"/>
      <c r="P9" s="28"/>
      <c r="Q9" s="28"/>
      <c r="R9" s="28"/>
      <c r="S9" s="28"/>
      <c r="T9" s="194"/>
      <c r="U9" s="89"/>
      <c r="V9" s="89"/>
      <c r="W9" s="89"/>
      <c r="X9" s="89"/>
      <c r="Y9" s="89"/>
      <c r="Z9" s="89"/>
      <c r="AA9" s="89"/>
      <c r="AB9" s="89"/>
      <c r="AC9" s="89"/>
      <c r="AD9" s="89"/>
      <c r="AE9" s="89"/>
      <c r="VW9" s="34"/>
    </row>
    <row r="10" spans="1:595" ht="17.25" customHeight="1" x14ac:dyDescent="0.25">
      <c r="B10" s="196"/>
      <c r="C10" s="28"/>
      <c r="D10" s="28"/>
      <c r="E10" s="28"/>
      <c r="F10" s="28"/>
      <c r="G10" s="28"/>
      <c r="H10" s="28"/>
      <c r="I10" s="28"/>
      <c r="J10" s="28"/>
      <c r="K10" s="28"/>
      <c r="L10" s="28"/>
      <c r="M10" s="28"/>
      <c r="N10" s="28"/>
      <c r="O10" s="28"/>
      <c r="P10" s="28"/>
      <c r="Q10" s="28"/>
      <c r="R10" s="28"/>
      <c r="S10" s="28"/>
      <c r="T10" s="194"/>
      <c r="Y10" s="1"/>
    </row>
    <row r="11" spans="1:595" ht="24" customHeight="1" x14ac:dyDescent="0.25">
      <c r="B11" s="196"/>
      <c r="C11" s="148" t="s">
        <v>584</v>
      </c>
      <c r="D11" s="149" t="s">
        <v>453</v>
      </c>
      <c r="E11" s="150" t="s">
        <v>830</v>
      </c>
      <c r="F11" s="151" t="s">
        <v>826</v>
      </c>
      <c r="G11" s="151" t="s">
        <v>827</v>
      </c>
      <c r="H11" s="152" t="s">
        <v>828</v>
      </c>
      <c r="I11" s="152" t="s">
        <v>829</v>
      </c>
      <c r="J11" s="153" t="s">
        <v>1220</v>
      </c>
      <c r="K11" s="28"/>
      <c r="L11" s="148" t="s">
        <v>584</v>
      </c>
      <c r="M11" s="149" t="s">
        <v>453</v>
      </c>
      <c r="N11" s="150" t="s">
        <v>830</v>
      </c>
      <c r="O11" s="151" t="s">
        <v>826</v>
      </c>
      <c r="P11" s="151" t="s">
        <v>827</v>
      </c>
      <c r="Q11" s="152" t="s">
        <v>828</v>
      </c>
      <c r="R11" s="152" t="s">
        <v>829</v>
      </c>
      <c r="S11" s="153" t="s">
        <v>1220</v>
      </c>
      <c r="T11" s="194"/>
      <c r="W11" s="35"/>
      <c r="X11" s="1"/>
      <c r="Y11" s="196"/>
      <c r="Z11" s="294" t="s">
        <v>830</v>
      </c>
      <c r="AA11" s="294" t="s">
        <v>831</v>
      </c>
      <c r="AB11" s="100" t="s">
        <v>832</v>
      </c>
      <c r="AC11" s="100" t="s">
        <v>833</v>
      </c>
      <c r="AD11" s="101" t="s">
        <v>834</v>
      </c>
      <c r="AE11" s="101" t="s">
        <v>835</v>
      </c>
      <c r="AF11" s="194"/>
    </row>
    <row r="12" spans="1:595" ht="13.5" customHeight="1" x14ac:dyDescent="0.25">
      <c r="B12" s="196"/>
      <c r="C12" s="154" t="s">
        <v>594</v>
      </c>
      <c r="D12" s="155">
        <f t="shared" ref="D12:D18" si="0">VLOOKUP($C12,NFI,6,0)</f>
        <v>2</v>
      </c>
      <c r="E12" s="156">
        <f>$W$4*D12</f>
        <v>4426</v>
      </c>
      <c r="F12" s="157">
        <f ca="1">SUMIFS(Table_NFI[Mosquito net_LS],Table_NFI[opening_date],1,Table_NFI[Status],"open")</f>
        <v>405</v>
      </c>
      <c r="G12" s="158">
        <f ca="1">IF((F12/E12)&gt;100%,100%,(F12/E12))</f>
        <v>9.1504744690465434E-2</v>
      </c>
      <c r="H12" s="157">
        <f ca="1">SUM(INDIRECT(VLOOKUP($C12,NFI,3,0)))</f>
        <v>2617</v>
      </c>
      <c r="I12" s="159">
        <f ca="1">H12/E12</f>
        <v>0.5912788070492544</v>
      </c>
      <c r="J12" s="160">
        <f ca="1">MAX(0,1-G12-I12)</f>
        <v>0.31721644826028017</v>
      </c>
      <c r="K12" s="28"/>
      <c r="L12" s="154" t="s">
        <v>986</v>
      </c>
      <c r="M12" s="155">
        <f>VLOOKUP($L12,NFI,6,0)</f>
        <v>2</v>
      </c>
      <c r="N12" s="156">
        <f>$W$5*M12</f>
        <v>3346</v>
      </c>
      <c r="O12" s="157">
        <f ca="1">SUMIFS(Table_NFI[Winter Clothes Adult_LS],Table_NFI[Priority],"P1",Table_NFI[Status],"open")</f>
        <v>176</v>
      </c>
      <c r="P12" s="158">
        <f t="shared" ref="P12:P13" ca="1" si="1">IF((O12/N12)&gt;100%,100%,(O12/N12))</f>
        <v>5.2600119545726243E-2</v>
      </c>
      <c r="Q12" s="157">
        <f ca="1">SUM(INDIRECT(VLOOKUP($L12,NFI,3,0)))</f>
        <v>0</v>
      </c>
      <c r="R12" s="159">
        <f t="shared" ref="R12:R13" ca="1" si="2">Q12/N12</f>
        <v>0</v>
      </c>
      <c r="S12" s="160">
        <f ca="1">MAX(0,1-P12-R12)</f>
        <v>0.94739988045427381</v>
      </c>
      <c r="T12" s="194"/>
      <c r="W12" s="35"/>
      <c r="X12" s="1"/>
      <c r="Y12" s="196"/>
      <c r="Z12" s="66">
        <f ca="1">IF((E12-(SUM(F12:H12)))&lt;0,0,(E12-(SUM(F12:H12))))</f>
        <v>1403.9084952553094</v>
      </c>
      <c r="AA12" s="295">
        <f t="shared" ref="AA12:AA18" ca="1" si="3">Z12/E12</f>
        <v>0.31719577389410514</v>
      </c>
      <c r="AB12" s="66">
        <f t="shared" ref="AB12:AB18" ca="1" si="4">SUMIFS(INDIRECT(VLOOKUP($C12,NFI,4,0)),NFI_Pipeline_State,$C$6)</f>
        <v>0</v>
      </c>
      <c r="AC12" s="65">
        <f t="shared" ref="AC12:AC18" ca="1" si="5">AB12/E12</f>
        <v>0</v>
      </c>
      <c r="AD12" s="67">
        <f ca="1">IF((E12-(F12+H12+AB12))&lt;0,0,(E12-(F12+H12+AB12)))</f>
        <v>1404</v>
      </c>
      <c r="AE12" s="68">
        <f t="shared" ref="AE12:AE18" ca="1" si="6">AD12/E12</f>
        <v>0.31721644826028017</v>
      </c>
      <c r="AF12" s="194"/>
    </row>
    <row r="13" spans="1:595" ht="13.5" customHeight="1" x14ac:dyDescent="0.25">
      <c r="B13" s="196"/>
      <c r="C13" s="154" t="s">
        <v>456</v>
      </c>
      <c r="D13" s="155">
        <f t="shared" si="0"/>
        <v>1</v>
      </c>
      <c r="E13" s="156">
        <f>$W$4*D13</f>
        <v>2213</v>
      </c>
      <c r="F13" s="157">
        <f ca="1">SUMIFS(Table_NFI[Tarpaulin_LS],Table_NFI[opening_date],1,Table_NFI[Status],"open")</f>
        <v>122</v>
      </c>
      <c r="G13" s="158">
        <f t="shared" ref="G13:G17" ca="1" si="7">IF((F13/E13)&gt;100%,100%,(F13/E13))</f>
        <v>5.5128784455490284E-2</v>
      </c>
      <c r="H13" s="157">
        <f ca="1">SUM(INDIRECT(VLOOKUP($C13,NFI,3,0)))</f>
        <v>1499</v>
      </c>
      <c r="I13" s="159">
        <f ca="1">H13/E13</f>
        <v>0.67736104835065525</v>
      </c>
      <c r="J13" s="160">
        <f t="shared" ref="J13:J18" ca="1" si="8">MAX(0,1-G13-I13)</f>
        <v>0.26751016719385445</v>
      </c>
      <c r="K13" s="28"/>
      <c r="L13" s="1005" t="s">
        <v>990</v>
      </c>
      <c r="M13" s="1007">
        <f>VLOOKUP($L13,NFI,6,0)</f>
        <v>3</v>
      </c>
      <c r="N13" s="1008">
        <f>$W$5*M13</f>
        <v>5019</v>
      </c>
      <c r="O13" s="1011">
        <f ca="1">SUMIFS(Table_NFI[Winter Clothes Children_LS],Table_NFI[Priority],"P1",Table_NFI[Status],"open")</f>
        <v>355</v>
      </c>
      <c r="P13" s="1012">
        <f t="shared" ca="1" si="1"/>
        <v>7.0731221358836416E-2</v>
      </c>
      <c r="Q13" s="1011">
        <f ca="1">SUM(INDIRECT(VLOOKUP($L13,NFI,3,0)))</f>
        <v>465</v>
      </c>
      <c r="R13" s="1010">
        <f t="shared" ca="1" si="2"/>
        <v>9.2647937836222355E-2</v>
      </c>
      <c r="S13" s="1009">
        <f ca="1">MAX(0,1-P13-R13)</f>
        <v>0.83662084080494115</v>
      </c>
      <c r="T13" s="194"/>
      <c r="W13" s="35"/>
      <c r="X13" s="1"/>
      <c r="Y13" s="196"/>
      <c r="Z13" s="66">
        <f ca="1">IF((E13-(SUM(F13:H13)))&lt;0,0,(E13-(SUM(F13:H13))))</f>
        <v>591.94487121554448</v>
      </c>
      <c r="AA13" s="295">
        <f t="shared" ca="1" si="3"/>
        <v>0.26748525585880906</v>
      </c>
      <c r="AB13" s="66">
        <f t="shared" ca="1" si="4"/>
        <v>0</v>
      </c>
      <c r="AC13" s="65">
        <f t="shared" ca="1" si="5"/>
        <v>0</v>
      </c>
      <c r="AD13" s="67">
        <f t="shared" ref="AD13:AD18" ca="1" si="9">IF((E13-(F13+H13+AB13))&lt;0,0,(E13-(F13+H13+AB13)))</f>
        <v>592</v>
      </c>
      <c r="AE13" s="68">
        <f t="shared" ca="1" si="6"/>
        <v>0.26751016719385451</v>
      </c>
      <c r="AF13" s="194"/>
    </row>
    <row r="14" spans="1:595" ht="13.5" customHeight="1" x14ac:dyDescent="0.25">
      <c r="B14" s="196"/>
      <c r="C14" s="154" t="s">
        <v>434</v>
      </c>
      <c r="D14" s="155">
        <f t="shared" si="0"/>
        <v>2</v>
      </c>
      <c r="E14" s="156">
        <f t="shared" ref="E14:E18" si="10">$W$4*D14</f>
        <v>4426</v>
      </c>
      <c r="F14" s="157">
        <f ca="1">SUMIFS(Table_NFI[Blanket_LS],Table_NFI[opening_date],1,Table_NFI[Status],"open")</f>
        <v>965</v>
      </c>
      <c r="G14" s="158">
        <f t="shared" ca="1" si="7"/>
        <v>0.21802982376863986</v>
      </c>
      <c r="H14" s="157">
        <f t="shared" ref="H14:H18" ca="1" si="11">SUM(INDIRECT(VLOOKUP($C14,NFI,3,0)))</f>
        <v>3927</v>
      </c>
      <c r="I14" s="159">
        <f ca="1">H14/E14</f>
        <v>0.8872571170356981</v>
      </c>
      <c r="J14" s="160">
        <f t="shared" ca="1" si="8"/>
        <v>0</v>
      </c>
      <c r="K14" s="28"/>
      <c r="L14" s="1006"/>
      <c r="M14" s="1007"/>
      <c r="N14" s="1008"/>
      <c r="O14" s="1011"/>
      <c r="P14" s="1012"/>
      <c r="Q14" s="1011"/>
      <c r="R14" s="1010"/>
      <c r="S14" s="1009"/>
      <c r="T14" s="194"/>
      <c r="W14" s="35"/>
      <c r="X14" s="1"/>
      <c r="Y14" s="196"/>
      <c r="Z14" s="66">
        <f t="shared" ref="Z14" ca="1" si="12">IF((E14-(SUM(F14:H14)))&lt;0,0,(E14-(SUM(F14:H14))))</f>
        <v>0</v>
      </c>
      <c r="AA14" s="295">
        <f t="shared" ca="1" si="3"/>
        <v>0</v>
      </c>
      <c r="AB14" s="66">
        <f t="shared" ca="1" si="4"/>
        <v>0</v>
      </c>
      <c r="AC14" s="65">
        <f t="shared" ca="1" si="5"/>
        <v>0</v>
      </c>
      <c r="AD14" s="67">
        <f t="shared" ca="1" si="9"/>
        <v>0</v>
      </c>
      <c r="AE14" s="68">
        <f t="shared" ca="1" si="6"/>
        <v>0</v>
      </c>
      <c r="AF14" s="194"/>
    </row>
    <row r="15" spans="1:595" ht="13.5" customHeight="1" x14ac:dyDescent="0.25">
      <c r="B15" s="196"/>
      <c r="C15" s="154" t="s">
        <v>435</v>
      </c>
      <c r="D15" s="155">
        <f t="shared" si="0"/>
        <v>1</v>
      </c>
      <c r="E15" s="156">
        <f t="shared" si="10"/>
        <v>2213</v>
      </c>
      <c r="F15" s="157">
        <f ca="1">SUMIFS(Table_NFI[Kitchen Set_LS],Table_NFI[opening_date],1,Table_NFI[Status],"open")</f>
        <v>329</v>
      </c>
      <c r="G15" s="158">
        <f t="shared" ca="1" si="7"/>
        <v>0.14866696791685494</v>
      </c>
      <c r="H15" s="157">
        <f t="shared" ca="1" si="11"/>
        <v>962</v>
      </c>
      <c r="I15" s="159">
        <f ca="1">H15/E15</f>
        <v>0.43470402169001354</v>
      </c>
      <c r="J15" s="160">
        <f t="shared" ca="1" si="8"/>
        <v>0.41662901039313149</v>
      </c>
      <c r="K15" s="28"/>
      <c r="L15" s="783" t="s">
        <v>1106</v>
      </c>
      <c r="M15" s="782">
        <f>VLOOKUP(L15,NFI,6,0)</f>
        <v>2</v>
      </c>
      <c r="N15" s="156">
        <f>$W$5*M15</f>
        <v>3346</v>
      </c>
      <c r="O15" s="157">
        <f ca="1">SUMIFS(Table_NFI[Winter Blanket_LS],Table_NFI[Priority],"P1",Table_NFI[Status],"open")</f>
        <v>0</v>
      </c>
      <c r="P15" s="158">
        <f ca="1">IF((O15/N15)&gt;100%,100%,(O15/N15))</f>
        <v>0</v>
      </c>
      <c r="Q15" s="157">
        <f ca="1">SUM(INDIRECT(VLOOKUP($L15,NFI,3,0)))</f>
        <v>4604</v>
      </c>
      <c r="R15" s="159">
        <f t="shared" ref="R15" ca="1" si="13">Q15/N15</f>
        <v>1.3759713090257024</v>
      </c>
      <c r="S15" s="160">
        <f ca="1">MAX(0,1-P15-R15)</f>
        <v>0</v>
      </c>
      <c r="T15" s="194"/>
      <c r="W15" s="35"/>
      <c r="X15" s="1"/>
      <c r="Y15" s="196"/>
      <c r="Z15" s="66">
        <f ca="1">IF((E15-(SUM(F15:H15)))&lt;0,0,(E15-(SUM(F15:H15))))</f>
        <v>921.85133303208318</v>
      </c>
      <c r="AA15" s="295">
        <f t="shared" ca="1" si="3"/>
        <v>0.41656183146501724</v>
      </c>
      <c r="AB15" s="66">
        <f t="shared" ca="1" si="4"/>
        <v>0</v>
      </c>
      <c r="AC15" s="65">
        <f t="shared" ca="1" si="5"/>
        <v>0</v>
      </c>
      <c r="AD15" s="67">
        <f t="shared" ca="1" si="9"/>
        <v>922</v>
      </c>
      <c r="AE15" s="68">
        <f t="shared" ca="1" si="6"/>
        <v>0.41662901039313149</v>
      </c>
      <c r="AF15" s="194"/>
    </row>
    <row r="16" spans="1:595" ht="13.5" customHeight="1" x14ac:dyDescent="0.25">
      <c r="B16" s="196"/>
      <c r="C16" s="154" t="s">
        <v>1207</v>
      </c>
      <c r="D16" s="155">
        <f t="shared" si="0"/>
        <v>1</v>
      </c>
      <c r="E16" s="156">
        <f t="shared" si="10"/>
        <v>2213</v>
      </c>
      <c r="F16" s="157">
        <f ca="1">SUMIFS(Table_NFI[Clothes Kit_LS],Table_NFI[opening_date],1,Table_NFI[Status],"open")</f>
        <v>0</v>
      </c>
      <c r="G16" s="158">
        <f t="shared" ca="1" si="7"/>
        <v>0</v>
      </c>
      <c r="H16" s="157">
        <f t="shared" ca="1" si="11"/>
        <v>0</v>
      </c>
      <c r="I16" s="159">
        <f t="shared" ref="I16:I18" ca="1" si="14">H16/E16</f>
        <v>0</v>
      </c>
      <c r="J16" s="160">
        <f ca="1">MAX(0,1-G16-I16)</f>
        <v>1</v>
      </c>
      <c r="K16" s="28"/>
      <c r="L16" s="28"/>
      <c r="M16" s="28"/>
      <c r="N16" s="28"/>
      <c r="O16" s="28"/>
      <c r="P16" s="28"/>
      <c r="Q16" s="28"/>
      <c r="R16" s="28"/>
      <c r="S16" s="28"/>
      <c r="T16" s="194"/>
      <c r="W16" s="35"/>
      <c r="X16" s="1"/>
      <c r="Y16" s="196"/>
      <c r="Z16" s="66">
        <f ca="1">IF((E16-(SUM(F16:H16)))&lt;0,0,(E16-(SUM(F16:H16))))</f>
        <v>2213</v>
      </c>
      <c r="AA16" s="295">
        <f t="shared" ca="1" si="3"/>
        <v>1</v>
      </c>
      <c r="AB16" s="66">
        <f t="shared" ca="1" si="4"/>
        <v>0</v>
      </c>
      <c r="AC16" s="65">
        <f t="shared" ca="1" si="5"/>
        <v>0</v>
      </c>
      <c r="AD16" s="67">
        <f t="shared" ca="1" si="9"/>
        <v>2213</v>
      </c>
      <c r="AE16" s="68">
        <f t="shared" ca="1" si="6"/>
        <v>1</v>
      </c>
      <c r="AF16" s="194"/>
    </row>
    <row r="17" spans="2:595" ht="13.5" customHeight="1" x14ac:dyDescent="0.25">
      <c r="B17" s="196"/>
      <c r="C17" s="154" t="s">
        <v>576</v>
      </c>
      <c r="D17" s="155">
        <f t="shared" si="0"/>
        <v>1</v>
      </c>
      <c r="E17" s="156">
        <f t="shared" si="10"/>
        <v>2213</v>
      </c>
      <c r="F17" s="157">
        <f ca="1">SUMIFS(Table_NFI[Plastic Bucket _LS],Table_NFI[opening_date],1,Table_NFI[Status],"open")</f>
        <v>45</v>
      </c>
      <c r="G17" s="158">
        <f t="shared" ca="1" si="7"/>
        <v>2.0334387708992319E-2</v>
      </c>
      <c r="H17" s="157">
        <f ca="1">SUM(INDIRECT(VLOOKUP($C17,NFI,3,0)))</f>
        <v>1083</v>
      </c>
      <c r="I17" s="159">
        <f t="shared" ca="1" si="14"/>
        <v>0.48938093086308176</v>
      </c>
      <c r="J17" s="160">
        <f t="shared" ca="1" si="8"/>
        <v>0.49028468142792592</v>
      </c>
      <c r="K17" s="28"/>
      <c r="L17" s="28"/>
      <c r="M17" s="28"/>
      <c r="N17" s="28"/>
      <c r="O17" s="28"/>
      <c r="P17" s="28"/>
      <c r="Q17" s="28"/>
      <c r="R17" s="28"/>
      <c r="S17" s="28"/>
      <c r="T17" s="194"/>
      <c r="W17" s="35"/>
      <c r="X17" s="1"/>
      <c r="Y17" s="196"/>
      <c r="Z17" s="66">
        <f ca="1">IF((E17-(SUM(F17:H17)))&lt;0,0,(E17-(SUM(F17:H17))))</f>
        <v>1084.979665612291</v>
      </c>
      <c r="AA17" s="295">
        <f t="shared" ca="1" si="3"/>
        <v>0.49027549282073701</v>
      </c>
      <c r="AB17" s="66">
        <f t="shared" ca="1" si="4"/>
        <v>0</v>
      </c>
      <c r="AC17" s="65">
        <f t="shared" ca="1" si="5"/>
        <v>0</v>
      </c>
      <c r="AD17" s="67">
        <f t="shared" ca="1" si="9"/>
        <v>1085</v>
      </c>
      <c r="AE17" s="68">
        <f t="shared" ca="1" si="6"/>
        <v>0.49028468142792592</v>
      </c>
      <c r="AF17" s="194"/>
    </row>
    <row r="18" spans="2:595" ht="13.5" customHeight="1" x14ac:dyDescent="0.25">
      <c r="B18" s="196"/>
      <c r="C18" s="154" t="s">
        <v>577</v>
      </c>
      <c r="D18" s="155">
        <f t="shared" si="0"/>
        <v>5</v>
      </c>
      <c r="E18" s="156">
        <f t="shared" si="10"/>
        <v>11065</v>
      </c>
      <c r="F18" s="157">
        <f ca="1">SUMIFS(Table_NFI[Plastic  Mat_LS],Table_NFI[opening_date],1,Table_NFI[Status],"open")</f>
        <v>1117.5</v>
      </c>
      <c r="G18" s="158">
        <f ca="1">IF((F18/E18)&gt;100%,100%,(F18/E18))</f>
        <v>0.10099412562132851</v>
      </c>
      <c r="H18" s="157">
        <f t="shared" ca="1" si="11"/>
        <v>5032</v>
      </c>
      <c r="I18" s="159">
        <f t="shared" ca="1" si="14"/>
        <v>0.45476728422955265</v>
      </c>
      <c r="J18" s="160">
        <f t="shared" ca="1" si="8"/>
        <v>0.44423859014911887</v>
      </c>
      <c r="K18" s="28"/>
      <c r="L18" s="28"/>
      <c r="M18" s="28"/>
      <c r="N18" s="28"/>
      <c r="O18" s="28"/>
      <c r="P18" s="28"/>
      <c r="Q18" s="28"/>
      <c r="R18" s="28"/>
      <c r="S18" s="28"/>
      <c r="T18" s="194"/>
      <c r="W18" s="35"/>
      <c r="X18" s="1"/>
      <c r="Y18" s="196"/>
      <c r="Z18" s="66">
        <f ca="1">IF((E18-(SUM(F18:H18)))&lt;0,0,(E18-(SUM(F18:H18))))</f>
        <v>4915.3990058743784</v>
      </c>
      <c r="AA18" s="295">
        <f t="shared" ca="1" si="3"/>
        <v>0.44422946279931119</v>
      </c>
      <c r="AB18" s="66">
        <f t="shared" ca="1" si="4"/>
        <v>0</v>
      </c>
      <c r="AC18" s="65">
        <f t="shared" ca="1" si="5"/>
        <v>0</v>
      </c>
      <c r="AD18" s="67">
        <f t="shared" ca="1" si="9"/>
        <v>4915.5</v>
      </c>
      <c r="AE18" s="68">
        <f t="shared" ca="1" si="6"/>
        <v>0.44423859014911882</v>
      </c>
      <c r="AF18" s="194"/>
    </row>
    <row r="19" spans="2:595" s="89" customFormat="1" ht="14.25" customHeight="1" x14ac:dyDescent="0.25">
      <c r="B19" s="196"/>
      <c r="C19" s="28"/>
      <c r="D19" s="28"/>
      <c r="E19" s="28"/>
      <c r="F19" s="28"/>
      <c r="G19" s="28"/>
      <c r="H19" s="28"/>
      <c r="I19" s="28"/>
      <c r="J19" s="28"/>
      <c r="K19" s="28"/>
      <c r="L19" s="28"/>
      <c r="M19" s="28"/>
      <c r="N19" s="28"/>
      <c r="O19" s="28"/>
      <c r="P19" s="28"/>
      <c r="Q19" s="28"/>
      <c r="R19" s="28"/>
      <c r="S19" s="28"/>
      <c r="T19" s="194"/>
      <c r="W19" s="35"/>
      <c r="X19" s="1"/>
      <c r="Y19" s="196"/>
      <c r="Z19" s="66">
        <f ca="1">IF((N12-(SUM(O12:Q12)))&lt;0,0,(N12-(SUM(O12:Q12))))</f>
        <v>3169.9473998804542</v>
      </c>
      <c r="AA19" s="295">
        <f ca="1">Z19/N12</f>
        <v>0.94738416015554516</v>
      </c>
      <c r="AB19" s="66">
        <f ca="1">SUMIFS(INDIRECT(VLOOKUP($L12,NFI,4,0)),NFI_Pipeline_State,$C$6)</f>
        <v>0</v>
      </c>
      <c r="AC19" s="65">
        <f ca="1">AB19/N12</f>
        <v>0</v>
      </c>
      <c r="AD19" s="67">
        <f ca="1">IF((N12-(O12+Q12+AB19))&lt;0,0,(N12-(O12+Q12+AB19)))</f>
        <v>3170</v>
      </c>
      <c r="AE19" s="68">
        <f ca="1">AD19/N12</f>
        <v>0.94739988045427381</v>
      </c>
      <c r="AF19" s="194"/>
      <c r="VW19" s="34"/>
    </row>
    <row r="20" spans="2:595" s="89" customFormat="1" ht="12.75" customHeight="1" x14ac:dyDescent="0.25">
      <c r="B20" s="196"/>
      <c r="C20" s="28"/>
      <c r="D20" s="28"/>
      <c r="E20" s="28"/>
      <c r="F20" s="28"/>
      <c r="G20" s="28"/>
      <c r="H20" s="28"/>
      <c r="I20" s="28"/>
      <c r="J20" s="28"/>
      <c r="K20" s="28"/>
      <c r="L20" s="28"/>
      <c r="M20" s="28"/>
      <c r="N20" s="28"/>
      <c r="O20" s="28"/>
      <c r="P20" s="28"/>
      <c r="Q20" s="28"/>
      <c r="R20" s="28"/>
      <c r="S20" s="28"/>
      <c r="T20" s="194"/>
      <c r="W20" s="35"/>
      <c r="X20" s="1"/>
      <c r="Y20" s="196"/>
      <c r="Z20" s="66">
        <f ca="1">IF((N13-(SUM(O13:Q13)))&lt;0,0,(N13-(SUM(O13:Q13))))</f>
        <v>4198.929268778641</v>
      </c>
      <c r="AA20" s="295">
        <f ca="1">Z20/N13</f>
        <v>0.83660674811289915</v>
      </c>
      <c r="AB20" s="66">
        <f ca="1">SUMIFS(INDIRECT(VLOOKUP($L13,NFI,4,0)),NFI_Pipeline_State,$C$6)</f>
        <v>0</v>
      </c>
      <c r="AC20" s="65">
        <f ca="1">AB20/N13</f>
        <v>0</v>
      </c>
      <c r="AD20" s="67">
        <f ca="1">IF((N13-(O13+Q13+AB20))&lt;0,0,(N13-(O13+Q13+AB20)))</f>
        <v>4199</v>
      </c>
      <c r="AE20" s="68">
        <f ca="1">AD20/N13</f>
        <v>0.83662084080494126</v>
      </c>
      <c r="AF20" s="194"/>
      <c r="VW20" s="34"/>
    </row>
    <row r="21" spans="2:595" ht="12.75" customHeight="1" x14ac:dyDescent="0.25">
      <c r="B21" s="196"/>
      <c r="C21" s="28"/>
      <c r="D21" s="28"/>
      <c r="E21" s="28"/>
      <c r="F21" s="28"/>
      <c r="G21" s="28"/>
      <c r="H21" s="28"/>
      <c r="I21" s="28"/>
      <c r="J21" s="28"/>
      <c r="K21" s="28"/>
      <c r="L21" s="28"/>
      <c r="M21" s="28"/>
      <c r="N21" s="28"/>
      <c r="O21" s="28"/>
      <c r="P21" s="28"/>
      <c r="Q21" s="28"/>
      <c r="R21" s="28"/>
      <c r="S21" s="28"/>
      <c r="T21" s="194"/>
      <c r="W21" s="35"/>
      <c r="X21" s="1"/>
      <c r="Y21" s="196"/>
      <c r="Z21" s="66">
        <f ca="1">IF((N15-(SUM(O15:Q15)))&lt;0,0,(N15-(SUM(O15:Q15))))</f>
        <v>0</v>
      </c>
      <c r="AA21" s="295">
        <f ca="1">Z21/N15</f>
        <v>0</v>
      </c>
      <c r="AB21" s="66">
        <f ca="1">SUMIFS(INDIRECT(VLOOKUP($L15,NFI,4,0)),NFI_Pipeline_State,$C$6)</f>
        <v>0</v>
      </c>
      <c r="AC21" s="65">
        <f ca="1">AB21/N15</f>
        <v>0</v>
      </c>
      <c r="AD21" s="67">
        <f ca="1">IF((N15-(O15+Q15+AB21))&lt;0,0,(N15-(O15+Q15+AB21)))</f>
        <v>0</v>
      </c>
      <c r="AE21" s="68">
        <f ca="1">AD21/N15</f>
        <v>0</v>
      </c>
      <c r="AF21" s="194"/>
    </row>
    <row r="22" spans="2:595" ht="12.75" customHeight="1" thickBot="1" x14ac:dyDescent="0.3">
      <c r="B22" s="196"/>
      <c r="C22" s="28"/>
      <c r="D22" s="28"/>
      <c r="E22" s="28"/>
      <c r="F22" s="28"/>
      <c r="G22" s="28"/>
      <c r="H22" s="28"/>
      <c r="I22" s="28"/>
      <c r="J22" s="28"/>
      <c r="K22" s="28"/>
      <c r="L22" s="28"/>
      <c r="M22" s="28"/>
      <c r="N22" s="28"/>
      <c r="O22" s="28"/>
      <c r="P22" s="28"/>
      <c r="Q22" s="28"/>
      <c r="R22" s="28"/>
      <c r="S22" s="28"/>
      <c r="T22" s="194"/>
      <c r="W22" s="189"/>
      <c r="X22" s="190"/>
      <c r="Y22" s="197"/>
      <c r="Z22" s="191"/>
      <c r="AA22" s="191"/>
      <c r="AB22" s="191"/>
      <c r="AC22" s="191"/>
      <c r="AD22" s="191"/>
      <c r="AE22" s="191"/>
      <c r="AF22" s="195"/>
    </row>
    <row r="23" spans="2:595" ht="12.75" customHeight="1" x14ac:dyDescent="0.25">
      <c r="B23" s="196"/>
      <c r="C23" s="28"/>
      <c r="D23" s="28"/>
      <c r="E23" s="28"/>
      <c r="F23" s="28"/>
      <c r="G23" s="28"/>
      <c r="H23" s="28"/>
      <c r="I23" s="28"/>
      <c r="J23" s="28"/>
      <c r="K23" s="28"/>
      <c r="L23" s="28"/>
      <c r="M23" s="28"/>
      <c r="N23" s="28"/>
      <c r="O23" s="28"/>
      <c r="P23" s="28"/>
      <c r="Q23" s="28"/>
      <c r="R23" s="28"/>
      <c r="S23" s="28"/>
      <c r="T23" s="194"/>
      <c r="Y23" s="1"/>
    </row>
    <row r="24" spans="2:595" ht="12.75" customHeight="1" x14ac:dyDescent="0.25">
      <c r="B24" s="196"/>
      <c r="C24" s="28"/>
      <c r="D24" s="28"/>
      <c r="E24" s="28"/>
      <c r="F24" s="28"/>
      <c r="G24" s="28"/>
      <c r="H24" s="28"/>
      <c r="I24" s="28"/>
      <c r="J24" s="28"/>
      <c r="K24" s="28"/>
      <c r="L24" s="28"/>
      <c r="M24" s="28"/>
      <c r="N24" s="28"/>
      <c r="O24" s="28"/>
      <c r="P24" s="28"/>
      <c r="Q24" s="28"/>
      <c r="R24" s="28"/>
      <c r="S24" s="28"/>
      <c r="T24" s="194"/>
      <c r="Y24" s="1"/>
    </row>
    <row r="25" spans="2:595" ht="12.75" customHeight="1" x14ac:dyDescent="0.25">
      <c r="B25" s="196"/>
      <c r="C25" s="28"/>
      <c r="D25" s="28"/>
      <c r="E25" s="28"/>
      <c r="F25" s="28"/>
      <c r="G25" s="28"/>
      <c r="H25" s="28"/>
      <c r="I25" s="28"/>
      <c r="J25" s="28"/>
      <c r="K25" s="28"/>
      <c r="L25" s="28"/>
      <c r="M25" s="28"/>
      <c r="N25" s="28"/>
      <c r="O25" s="28"/>
      <c r="P25" s="28"/>
      <c r="Q25" s="28"/>
      <c r="R25" s="28"/>
      <c r="S25" s="28"/>
      <c r="T25" s="194"/>
    </row>
    <row r="26" spans="2:595" ht="12.75" customHeight="1" x14ac:dyDescent="0.25">
      <c r="B26" s="196"/>
      <c r="C26" s="28"/>
      <c r="D26" s="28"/>
      <c r="E26" s="28"/>
      <c r="F26" s="28"/>
      <c r="G26" s="28"/>
      <c r="H26" s="28"/>
      <c r="I26" s="28"/>
      <c r="J26" s="28"/>
      <c r="K26" s="28"/>
      <c r="L26" s="28"/>
      <c r="M26" s="28"/>
      <c r="N26" s="28"/>
      <c r="O26" s="28"/>
      <c r="P26" s="28"/>
      <c r="Q26" s="28"/>
      <c r="R26" s="28"/>
      <c r="S26" s="28"/>
      <c r="T26" s="194"/>
    </row>
    <row r="27" spans="2:595" x14ac:dyDescent="0.25">
      <c r="B27" s="196"/>
      <c r="C27" s="28"/>
      <c r="D27" s="28"/>
      <c r="E27" s="28"/>
      <c r="F27" s="28"/>
      <c r="G27" s="28"/>
      <c r="H27" s="28"/>
      <c r="I27" s="28"/>
      <c r="J27" s="28"/>
      <c r="K27" s="28"/>
      <c r="L27" s="28"/>
      <c r="M27" s="28"/>
      <c r="N27" s="28"/>
      <c r="O27" s="28"/>
      <c r="P27" s="28"/>
      <c r="Q27" s="28"/>
      <c r="R27" s="28"/>
      <c r="S27" s="28"/>
      <c r="T27" s="194"/>
    </row>
    <row r="28" spans="2:595" x14ac:dyDescent="0.25">
      <c r="B28" s="196"/>
      <c r="C28" s="28"/>
      <c r="D28" s="28"/>
      <c r="E28" s="28"/>
      <c r="F28" s="28"/>
      <c r="G28" s="28"/>
      <c r="H28" s="28"/>
      <c r="I28" s="28"/>
      <c r="J28" s="28"/>
      <c r="K28" s="28"/>
      <c r="L28" s="28"/>
      <c r="M28" s="28"/>
      <c r="N28" s="28"/>
      <c r="O28" s="28"/>
      <c r="P28" s="28"/>
      <c r="Q28" s="28"/>
      <c r="R28" s="28"/>
      <c r="S28" s="28"/>
      <c r="T28" s="194"/>
    </row>
    <row r="29" spans="2:595" x14ac:dyDescent="0.25">
      <c r="B29" s="196"/>
      <c r="C29" s="28"/>
      <c r="D29" s="28"/>
      <c r="E29" s="28"/>
      <c r="F29" s="28"/>
      <c r="G29" s="28"/>
      <c r="H29" s="28"/>
      <c r="I29" s="28"/>
      <c r="J29" s="28"/>
      <c r="K29" s="28"/>
      <c r="L29" s="28"/>
      <c r="M29" s="28"/>
      <c r="N29" s="28"/>
      <c r="O29" s="28"/>
      <c r="P29" s="28"/>
      <c r="Q29" s="28"/>
      <c r="R29" s="28"/>
      <c r="S29" s="28"/>
      <c r="T29" s="194"/>
    </row>
    <row r="30" spans="2:595" x14ac:dyDescent="0.25">
      <c r="B30" s="196"/>
      <c r="C30" s="28"/>
      <c r="D30" s="28"/>
      <c r="E30" s="28"/>
      <c r="F30" s="28"/>
      <c r="G30" s="28"/>
      <c r="H30" s="28"/>
      <c r="I30" s="28"/>
      <c r="J30" s="28"/>
      <c r="K30" s="28"/>
      <c r="L30" s="28"/>
      <c r="M30" s="28"/>
      <c r="N30" s="28"/>
      <c r="O30" s="28"/>
      <c r="P30" s="28"/>
      <c r="Q30" s="28"/>
      <c r="R30" s="28"/>
      <c r="S30" s="28"/>
      <c r="T30" s="194"/>
    </row>
    <row r="31" spans="2:595" s="89" customFormat="1" x14ac:dyDescent="0.25">
      <c r="B31" s="196"/>
      <c r="C31" s="28"/>
      <c r="D31" s="28"/>
      <c r="E31" s="28"/>
      <c r="F31" s="28"/>
      <c r="G31" s="28"/>
      <c r="H31" s="28"/>
      <c r="I31" s="28"/>
      <c r="J31" s="28"/>
      <c r="K31" s="28"/>
      <c r="L31" s="28"/>
      <c r="M31" s="28"/>
      <c r="N31" s="28"/>
      <c r="O31" s="28"/>
      <c r="P31" s="28"/>
      <c r="Q31" s="28"/>
      <c r="R31" s="28"/>
      <c r="S31" s="28"/>
      <c r="T31" s="194"/>
      <c r="VW31" s="34"/>
    </row>
    <row r="32" spans="2:595" s="89" customFormat="1" x14ac:dyDescent="0.25">
      <c r="B32" s="196"/>
      <c r="C32" s="28"/>
      <c r="D32" s="28"/>
      <c r="E32" s="28"/>
      <c r="F32" s="28"/>
      <c r="G32" s="28"/>
      <c r="H32" s="28"/>
      <c r="I32" s="28"/>
      <c r="J32" s="28"/>
      <c r="K32" s="28"/>
      <c r="L32" s="28"/>
      <c r="M32" s="28"/>
      <c r="N32" s="28"/>
      <c r="O32" s="28"/>
      <c r="P32" s="28"/>
      <c r="Q32" s="28"/>
      <c r="R32" s="28"/>
      <c r="S32" s="28"/>
      <c r="T32" s="194"/>
      <c r="VW32" s="34"/>
    </row>
    <row r="33" spans="2:595" x14ac:dyDescent="0.25">
      <c r="B33" s="196"/>
      <c r="C33" s="28"/>
      <c r="D33" s="28"/>
      <c r="E33" s="28"/>
      <c r="F33" s="28"/>
      <c r="G33" s="28"/>
      <c r="H33" s="28"/>
      <c r="I33" s="28"/>
      <c r="J33" s="28"/>
      <c r="K33" s="28"/>
      <c r="L33" s="28"/>
      <c r="M33" s="28"/>
      <c r="N33" s="28"/>
      <c r="O33" s="28"/>
      <c r="P33" s="28"/>
      <c r="Q33" s="28"/>
      <c r="R33" s="28"/>
      <c r="S33" s="28"/>
      <c r="T33" s="194"/>
    </row>
    <row r="34" spans="2:595" x14ac:dyDescent="0.25">
      <c r="B34" s="196"/>
      <c r="C34" s="28"/>
      <c r="D34" s="28"/>
      <c r="E34" s="28"/>
      <c r="F34" s="28"/>
      <c r="G34" s="28"/>
      <c r="H34" s="28"/>
      <c r="I34" s="28"/>
      <c r="J34" s="28"/>
      <c r="K34" s="28"/>
      <c r="L34" s="28"/>
      <c r="M34" s="28"/>
      <c r="N34" s="28"/>
      <c r="O34" s="28"/>
      <c r="P34" s="28"/>
      <c r="Q34" s="28"/>
      <c r="R34" s="28"/>
      <c r="S34" s="28"/>
      <c r="T34" s="194"/>
    </row>
    <row r="35" spans="2:595" x14ac:dyDescent="0.25">
      <c r="B35" s="196"/>
      <c r="C35" s="28"/>
      <c r="D35" s="28"/>
      <c r="E35" s="28"/>
      <c r="F35" s="28"/>
      <c r="G35" s="28"/>
      <c r="H35" s="28"/>
      <c r="I35" s="28"/>
      <c r="J35" s="28"/>
      <c r="K35" s="28"/>
      <c r="L35" s="28"/>
      <c r="M35" s="28"/>
      <c r="N35" s="28"/>
      <c r="O35" s="28"/>
      <c r="P35" s="28"/>
      <c r="Q35" s="28"/>
      <c r="R35" s="28"/>
      <c r="S35" s="28"/>
      <c r="T35" s="194"/>
    </row>
    <row r="36" spans="2:595" s="89" customFormat="1" ht="4.1500000000000004" customHeight="1" x14ac:dyDescent="0.25">
      <c r="B36" s="196"/>
      <c r="C36" s="28"/>
      <c r="D36" s="28"/>
      <c r="E36" s="28"/>
      <c r="F36" s="28"/>
      <c r="G36" s="28"/>
      <c r="H36" s="28"/>
      <c r="I36" s="28"/>
      <c r="J36" s="28"/>
      <c r="K36" s="28"/>
      <c r="L36" s="28"/>
      <c r="M36" s="28"/>
      <c r="N36" s="28"/>
      <c r="O36" s="28"/>
      <c r="P36" s="28"/>
      <c r="Q36" s="28"/>
      <c r="R36" s="28"/>
      <c r="S36" s="28"/>
      <c r="T36" s="194"/>
      <c r="VW36" s="34"/>
    </row>
    <row r="37" spans="2:595" s="89" customFormat="1" x14ac:dyDescent="0.25">
      <c r="B37" s="196"/>
      <c r="C37" s="28"/>
      <c r="D37" s="28"/>
      <c r="E37" s="28"/>
      <c r="F37" s="28"/>
      <c r="G37" s="28"/>
      <c r="H37" s="28"/>
      <c r="I37" s="28"/>
      <c r="J37" s="28"/>
      <c r="K37" s="28"/>
      <c r="L37" s="28"/>
      <c r="M37" s="28"/>
      <c r="N37" s="28"/>
      <c r="O37" s="28"/>
      <c r="P37" s="28"/>
      <c r="Q37" s="28"/>
      <c r="R37" s="28"/>
      <c r="S37" s="28"/>
      <c r="T37" s="194"/>
      <c r="VW37" s="34"/>
    </row>
    <row r="38" spans="2:595" ht="19.5" customHeight="1" x14ac:dyDescent="0.25">
      <c r="B38" s="196"/>
      <c r="C38" s="28"/>
      <c r="D38" s="28"/>
      <c r="E38" s="28"/>
      <c r="F38" s="28"/>
      <c r="G38" s="28"/>
      <c r="H38" s="28"/>
      <c r="I38" s="28"/>
      <c r="J38" s="28"/>
      <c r="K38" s="28"/>
      <c r="L38" s="28"/>
      <c r="M38" s="28"/>
      <c r="N38" s="28"/>
      <c r="O38" s="28"/>
      <c r="P38" s="28"/>
      <c r="Q38" s="28"/>
      <c r="R38" s="28"/>
      <c r="S38" s="28"/>
      <c r="T38" s="194"/>
    </row>
    <row r="39" spans="2:595" ht="7.5" customHeight="1" thickBot="1" x14ac:dyDescent="0.3">
      <c r="B39" s="197"/>
      <c r="C39" s="191"/>
      <c r="D39" s="191"/>
      <c r="E39" s="191"/>
      <c r="F39" s="191"/>
      <c r="G39" s="191"/>
      <c r="H39" s="191"/>
      <c r="I39" s="191"/>
      <c r="J39" s="191"/>
      <c r="K39" s="191"/>
      <c r="L39" s="191"/>
      <c r="M39" s="191"/>
      <c r="N39" s="191"/>
      <c r="O39" s="191"/>
      <c r="P39" s="191"/>
      <c r="Q39" s="191"/>
      <c r="R39" s="191"/>
      <c r="S39" s="191"/>
      <c r="T39" s="195"/>
    </row>
    <row r="40" spans="2:595" hidden="1" x14ac:dyDescent="0.25">
      <c r="C40" s="5"/>
      <c r="D40" s="5"/>
      <c r="E40" s="5"/>
      <c r="F40" s="5"/>
      <c r="N40" s="5"/>
      <c r="O40" s="5"/>
      <c r="P40" s="5"/>
      <c r="Q40" s="5"/>
    </row>
    <row r="41" spans="2:595" ht="15.75" hidden="1" thickBot="1" x14ac:dyDescent="0.3">
      <c r="G41" s="305" t="s">
        <v>497</v>
      </c>
      <c r="H41" s="758" t="s">
        <v>499</v>
      </c>
      <c r="I41" s="191"/>
      <c r="J41" s="191"/>
      <c r="K41" s="191"/>
      <c r="L41" s="191"/>
      <c r="M41" s="191"/>
    </row>
    <row r="42" spans="2:595" ht="28.5" hidden="1" customHeight="1" x14ac:dyDescent="0.25">
      <c r="G42" s="305" t="s">
        <v>1128</v>
      </c>
      <c r="H42" s="758" t="s">
        <v>1117</v>
      </c>
      <c r="I42" s="5"/>
      <c r="J42" s="5"/>
      <c r="K42" s="5"/>
      <c r="L42" s="5"/>
      <c r="M42" s="5"/>
    </row>
    <row r="43" spans="2:595" hidden="1" x14ac:dyDescent="0.25"/>
    <row r="44" spans="2:595" hidden="1" x14ac:dyDescent="0.25">
      <c r="G44" s="305" t="s">
        <v>414</v>
      </c>
      <c r="H44" s="758" t="s">
        <v>1214</v>
      </c>
      <c r="I44" s="758" t="s">
        <v>1508</v>
      </c>
      <c r="J44" s="758" t="s">
        <v>1509</v>
      </c>
      <c r="K44" s="758" t="s">
        <v>1510</v>
      </c>
      <c r="L44" s="758" t="s">
        <v>1215</v>
      </c>
      <c r="M44" s="758" t="s">
        <v>1216</v>
      </c>
    </row>
    <row r="45" spans="2:595" hidden="1" x14ac:dyDescent="0.25">
      <c r="G45" s="17" t="s">
        <v>904</v>
      </c>
      <c r="H45" s="299"/>
      <c r="I45" s="299"/>
      <c r="J45" s="299"/>
      <c r="K45" s="299"/>
      <c r="L45" s="299"/>
      <c r="M45" s="299"/>
    </row>
    <row r="46" spans="2:595" hidden="1" x14ac:dyDescent="0.25">
      <c r="C46" s="305" t="s">
        <v>1128</v>
      </c>
      <c r="D46" s="758"/>
      <c r="G46" s="17" t="s">
        <v>451</v>
      </c>
      <c r="H46" s="299">
        <v>997</v>
      </c>
      <c r="I46" s="299">
        <v>543</v>
      </c>
      <c r="J46" s="299">
        <v>1571</v>
      </c>
      <c r="K46" s="299">
        <v>305</v>
      </c>
      <c r="L46" s="299">
        <v>343</v>
      </c>
      <c r="M46" s="299">
        <v>1310</v>
      </c>
    </row>
    <row r="47" spans="2:595" hidden="1" x14ac:dyDescent="0.25">
      <c r="C47" s="305" t="s">
        <v>497</v>
      </c>
      <c r="D47" s="758" t="s">
        <v>499</v>
      </c>
      <c r="G47" s="17" t="s">
        <v>1562</v>
      </c>
      <c r="H47" s="299">
        <v>322</v>
      </c>
      <c r="I47" s="299">
        <v>77</v>
      </c>
      <c r="J47" s="299">
        <v>454</v>
      </c>
      <c r="K47" s="299">
        <v>322</v>
      </c>
      <c r="L47" s="299"/>
      <c r="M47" s="299">
        <v>322</v>
      </c>
    </row>
    <row r="48" spans="2:595" hidden="1" x14ac:dyDescent="0.25">
      <c r="C48"/>
      <c r="D48"/>
      <c r="E48"/>
      <c r="F48"/>
      <c r="G48" s="17" t="s">
        <v>415</v>
      </c>
      <c r="H48" s="299">
        <v>1319</v>
      </c>
      <c r="I48" s="299">
        <v>620</v>
      </c>
      <c r="J48" s="299">
        <v>2025</v>
      </c>
      <c r="K48" s="299">
        <v>627</v>
      </c>
      <c r="L48" s="299">
        <v>343</v>
      </c>
      <c r="M48" s="299">
        <v>1632</v>
      </c>
    </row>
    <row r="49" spans="3:13" hidden="1" x14ac:dyDescent="0.25">
      <c r="C49" s="305" t="s">
        <v>414</v>
      </c>
      <c r="D49" s="758" t="s">
        <v>1507</v>
      </c>
      <c r="E49" s="758" t="s">
        <v>1508</v>
      </c>
      <c r="F49" s="758" t="s">
        <v>1509</v>
      </c>
      <c r="G49" s="758" t="s">
        <v>1510</v>
      </c>
      <c r="H49" s="758" t="s">
        <v>1215</v>
      </c>
      <c r="I49" s="758" t="s">
        <v>1216</v>
      </c>
      <c r="J49"/>
      <c r="K49"/>
      <c r="L49"/>
      <c r="M49"/>
    </row>
    <row r="50" spans="3:13" hidden="1" x14ac:dyDescent="0.25">
      <c r="C50" s="17" t="s">
        <v>415</v>
      </c>
      <c r="D50" s="299"/>
      <c r="E50" s="299"/>
      <c r="F50" s="299"/>
      <c r="G50" s="299"/>
      <c r="H50" s="299"/>
      <c r="I50" s="299"/>
      <c r="J50"/>
      <c r="K50"/>
      <c r="L50"/>
      <c r="M50"/>
    </row>
    <row r="51" spans="3:13" hidden="1" x14ac:dyDescent="0.25">
      <c r="C51"/>
      <c r="D51"/>
      <c r="E51"/>
      <c r="F51"/>
      <c r="G51"/>
      <c r="H51"/>
      <c r="I51"/>
      <c r="J51"/>
      <c r="K51"/>
      <c r="L51"/>
      <c r="M51"/>
    </row>
    <row r="52" spans="3:13" hidden="1" x14ac:dyDescent="0.25">
      <c r="C52"/>
      <c r="D52"/>
      <c r="E52"/>
      <c r="F52"/>
      <c r="G52"/>
      <c r="H52"/>
      <c r="I52"/>
      <c r="J52"/>
      <c r="K52"/>
      <c r="L52"/>
      <c r="M52"/>
    </row>
    <row r="53" spans="3:13" hidden="1" x14ac:dyDescent="0.25">
      <c r="C53"/>
      <c r="D53"/>
      <c r="E53"/>
      <c r="F53"/>
      <c r="G53"/>
      <c r="H53"/>
      <c r="I53"/>
      <c r="J53"/>
      <c r="K53"/>
      <c r="L53"/>
      <c r="M53"/>
    </row>
    <row r="54" spans="3:13" hidden="1" x14ac:dyDescent="0.25">
      <c r="C54"/>
      <c r="D54"/>
      <c r="E54"/>
      <c r="F54"/>
      <c r="G54"/>
      <c r="H54"/>
      <c r="I54"/>
      <c r="J54"/>
      <c r="K54"/>
      <c r="L54"/>
      <c r="M54"/>
    </row>
    <row r="55" spans="3:13" hidden="1" x14ac:dyDescent="0.25">
      <c r="C55"/>
      <c r="D55"/>
      <c r="E55"/>
      <c r="F55"/>
      <c r="G55"/>
      <c r="H55"/>
      <c r="I55"/>
      <c r="J55"/>
      <c r="K55"/>
      <c r="L55"/>
      <c r="M55"/>
    </row>
    <row r="56" spans="3:13" hidden="1" x14ac:dyDescent="0.25">
      <c r="C56"/>
      <c r="D56"/>
      <c r="E56"/>
      <c r="F56"/>
      <c r="G56"/>
      <c r="H56"/>
      <c r="I56"/>
      <c r="J56"/>
      <c r="K56"/>
      <c r="L56"/>
      <c r="M56"/>
    </row>
    <row r="57" spans="3:13" hidden="1" x14ac:dyDescent="0.25">
      <c r="C57"/>
      <c r="D57"/>
      <c r="E57"/>
      <c r="F57"/>
      <c r="G57"/>
      <c r="H57"/>
      <c r="I57"/>
      <c r="J57"/>
      <c r="K57"/>
      <c r="L57"/>
      <c r="M57"/>
    </row>
    <row r="58" spans="3:13" hidden="1" x14ac:dyDescent="0.25">
      <c r="C58"/>
      <c r="D58"/>
      <c r="E58"/>
      <c r="F58"/>
      <c r="G58"/>
      <c r="H58"/>
      <c r="I58"/>
      <c r="J58"/>
      <c r="K58"/>
      <c r="L58"/>
      <c r="M58"/>
    </row>
    <row r="59" spans="3:13" hidden="1" x14ac:dyDescent="0.25">
      <c r="C59"/>
      <c r="D59"/>
      <c r="E59"/>
      <c r="F59"/>
      <c r="G59"/>
      <c r="H59"/>
      <c r="I59"/>
      <c r="J59"/>
      <c r="K59"/>
      <c r="L59"/>
      <c r="M59"/>
    </row>
    <row r="60" spans="3:13" hidden="1" x14ac:dyDescent="0.25">
      <c r="C60"/>
      <c r="D60"/>
      <c r="E60"/>
      <c r="F60"/>
      <c r="G60"/>
      <c r="H60"/>
      <c r="I60"/>
      <c r="J60"/>
      <c r="K60"/>
      <c r="L60"/>
    </row>
    <row r="61" spans="3:13" hidden="1" x14ac:dyDescent="0.25">
      <c r="C61"/>
      <c r="D61"/>
      <c r="E61"/>
      <c r="F61"/>
      <c r="G61"/>
      <c r="H61"/>
      <c r="I61"/>
      <c r="J61"/>
      <c r="K61"/>
      <c r="L61"/>
    </row>
    <row r="62" spans="3:13" hidden="1" x14ac:dyDescent="0.25">
      <c r="C62"/>
      <c r="D62"/>
      <c r="E62"/>
      <c r="F62"/>
      <c r="G62"/>
      <c r="H62"/>
      <c r="I62"/>
      <c r="J62"/>
      <c r="K62"/>
      <c r="L62"/>
    </row>
    <row r="63" spans="3:13" hidden="1" x14ac:dyDescent="0.25">
      <c r="C63"/>
      <c r="D63"/>
      <c r="E63"/>
      <c r="F63"/>
      <c r="G63"/>
      <c r="H63"/>
      <c r="I63"/>
      <c r="J63"/>
      <c r="K63"/>
      <c r="L63"/>
    </row>
    <row r="64" spans="3:13" hidden="1" x14ac:dyDescent="0.25">
      <c r="C64"/>
      <c r="D64"/>
      <c r="E64"/>
      <c r="F64"/>
      <c r="G64"/>
      <c r="H64"/>
      <c r="I64"/>
      <c r="J64"/>
      <c r="K64"/>
      <c r="L64"/>
    </row>
    <row r="65" spans="3:12" hidden="1" x14ac:dyDescent="0.25">
      <c r="C65"/>
      <c r="D65"/>
      <c r="E65"/>
      <c r="F65"/>
      <c r="G65"/>
      <c r="H65"/>
      <c r="I65"/>
      <c r="J65"/>
      <c r="K65"/>
      <c r="L65"/>
    </row>
    <row r="66" spans="3:12" hidden="1" x14ac:dyDescent="0.25">
      <c r="C66"/>
      <c r="D66"/>
      <c r="E66"/>
      <c r="G66"/>
      <c r="H66"/>
      <c r="I66"/>
      <c r="J66"/>
      <c r="K66"/>
      <c r="L66"/>
    </row>
    <row r="67" spans="3:12" hidden="1" x14ac:dyDescent="0.25">
      <c r="G67"/>
      <c r="H67"/>
      <c r="I67"/>
      <c r="J67"/>
      <c r="K67"/>
      <c r="L67"/>
    </row>
    <row r="68" spans="3:12" hidden="1" x14ac:dyDescent="0.25">
      <c r="G68"/>
      <c r="H68"/>
      <c r="I68"/>
      <c r="J68"/>
      <c r="K68"/>
      <c r="L68"/>
    </row>
    <row r="69" spans="3:12" hidden="1" x14ac:dyDescent="0.25">
      <c r="G69"/>
      <c r="H69"/>
      <c r="I69"/>
      <c r="J69"/>
      <c r="K69"/>
      <c r="L69"/>
    </row>
    <row r="70" spans="3:12" hidden="1" x14ac:dyDescent="0.25">
      <c r="G70"/>
      <c r="H70"/>
      <c r="I70"/>
      <c r="J70"/>
      <c r="K70"/>
      <c r="L70"/>
    </row>
    <row r="71" spans="3:12" hidden="1" x14ac:dyDescent="0.25">
      <c r="G71"/>
      <c r="H71"/>
      <c r="I71"/>
      <c r="J71"/>
      <c r="K71"/>
      <c r="L71"/>
    </row>
    <row r="72" spans="3:12" hidden="1" x14ac:dyDescent="0.25">
      <c r="G72"/>
      <c r="H72"/>
      <c r="I72"/>
      <c r="J72"/>
      <c r="K72"/>
      <c r="L72"/>
    </row>
    <row r="73" spans="3:12" hidden="1" x14ac:dyDescent="0.25">
      <c r="G73"/>
      <c r="H73"/>
      <c r="I73"/>
      <c r="J73"/>
      <c r="K73"/>
      <c r="L73"/>
    </row>
    <row r="74" spans="3:12" x14ac:dyDescent="0.25">
      <c r="G74"/>
      <c r="H74"/>
      <c r="I74"/>
      <c r="J74"/>
      <c r="K74"/>
      <c r="L74"/>
    </row>
    <row r="75" spans="3:12" x14ac:dyDescent="0.25">
      <c r="G75"/>
      <c r="H75"/>
      <c r="I75"/>
      <c r="J75"/>
      <c r="K75"/>
      <c r="L75"/>
    </row>
    <row r="76" spans="3:12" x14ac:dyDescent="0.25">
      <c r="G76"/>
      <c r="H76"/>
      <c r="I76"/>
      <c r="J76"/>
      <c r="K76"/>
      <c r="L76"/>
    </row>
    <row r="77" spans="3:12" x14ac:dyDescent="0.25">
      <c r="G77"/>
      <c r="H77"/>
      <c r="I77"/>
      <c r="J77"/>
      <c r="K77"/>
      <c r="L77"/>
    </row>
    <row r="78" spans="3:12" x14ac:dyDescent="0.25">
      <c r="G78"/>
      <c r="H78"/>
      <c r="I78"/>
      <c r="J78"/>
      <c r="K78"/>
      <c r="L78"/>
    </row>
    <row r="79" spans="3:12" x14ac:dyDescent="0.25">
      <c r="C79"/>
      <c r="D79"/>
      <c r="E79"/>
      <c r="F79"/>
      <c r="G79"/>
      <c r="H79"/>
      <c r="I79"/>
      <c r="J79"/>
      <c r="K79"/>
      <c r="L79"/>
    </row>
    <row r="80" spans="3:12" x14ac:dyDescent="0.25">
      <c r="C80"/>
      <c r="D80"/>
      <c r="E80"/>
      <c r="F80"/>
      <c r="G80"/>
      <c r="H80"/>
      <c r="I80"/>
      <c r="J80"/>
      <c r="K80"/>
      <c r="L80"/>
    </row>
    <row r="81" spans="3:12" x14ac:dyDescent="0.25">
      <c r="C81"/>
      <c r="D81"/>
      <c r="E81"/>
      <c r="F81"/>
      <c r="G81"/>
      <c r="H81"/>
      <c r="I81"/>
      <c r="J81"/>
      <c r="K81"/>
      <c r="L81"/>
    </row>
    <row r="82" spans="3:12" x14ac:dyDescent="0.25">
      <c r="C82"/>
      <c r="D82"/>
      <c r="E82"/>
      <c r="F82"/>
      <c r="G82"/>
      <c r="H82"/>
      <c r="I82"/>
      <c r="J82"/>
      <c r="K82"/>
      <c r="L82"/>
    </row>
    <row r="83" spans="3:12" x14ac:dyDescent="0.25">
      <c r="C83"/>
      <c r="D83"/>
      <c r="E83"/>
      <c r="F83"/>
      <c r="G83"/>
      <c r="H83"/>
      <c r="I83"/>
      <c r="J83"/>
      <c r="K83"/>
      <c r="L83"/>
    </row>
    <row r="84" spans="3:12" x14ac:dyDescent="0.25">
      <c r="C84"/>
      <c r="D84"/>
      <c r="E84"/>
      <c r="F84"/>
      <c r="G84"/>
      <c r="H84"/>
      <c r="I84"/>
      <c r="J84"/>
      <c r="K84"/>
      <c r="L84"/>
    </row>
    <row r="85" spans="3:12" x14ac:dyDescent="0.25">
      <c r="C85"/>
      <c r="D85"/>
      <c r="E85"/>
      <c r="F85"/>
      <c r="G85"/>
      <c r="H85"/>
      <c r="I85"/>
      <c r="J85"/>
      <c r="K85"/>
      <c r="L85"/>
    </row>
    <row r="86" spans="3:12" x14ac:dyDescent="0.25">
      <c r="C86"/>
      <c r="D86"/>
      <c r="E86"/>
      <c r="F86"/>
      <c r="G86"/>
      <c r="H86"/>
      <c r="I86"/>
      <c r="J86"/>
      <c r="K86"/>
      <c r="L86"/>
    </row>
    <row r="87" spans="3:12" x14ac:dyDescent="0.25">
      <c r="C87"/>
      <c r="D87"/>
      <c r="E87"/>
      <c r="F87"/>
      <c r="G87"/>
      <c r="H87"/>
      <c r="I87"/>
      <c r="J87"/>
      <c r="K87"/>
      <c r="L87"/>
    </row>
    <row r="88" spans="3:12" x14ac:dyDescent="0.25">
      <c r="C88"/>
      <c r="D88"/>
      <c r="E88"/>
      <c r="F88"/>
      <c r="G88"/>
      <c r="H88"/>
      <c r="I88"/>
      <c r="J88"/>
      <c r="K88"/>
      <c r="L88"/>
    </row>
    <row r="89" spans="3:12" x14ac:dyDescent="0.25">
      <c r="C89"/>
      <c r="D89"/>
      <c r="E89"/>
      <c r="F89"/>
      <c r="G89"/>
      <c r="H89"/>
      <c r="I89"/>
      <c r="J89"/>
      <c r="K89"/>
      <c r="L89"/>
    </row>
    <row r="90" spans="3:12" x14ac:dyDescent="0.25">
      <c r="C90"/>
      <c r="D90"/>
      <c r="E90"/>
      <c r="F90"/>
      <c r="G90"/>
      <c r="H90"/>
      <c r="I90"/>
      <c r="J90"/>
      <c r="K90"/>
      <c r="L90"/>
    </row>
    <row r="91" spans="3:12" x14ac:dyDescent="0.25">
      <c r="C91"/>
      <c r="D91"/>
      <c r="E91"/>
      <c r="F91"/>
      <c r="G91"/>
      <c r="H91"/>
      <c r="I91"/>
      <c r="J91"/>
      <c r="K91"/>
      <c r="L91"/>
    </row>
    <row r="92" spans="3:12" x14ac:dyDescent="0.25">
      <c r="C92"/>
      <c r="D92"/>
      <c r="E92"/>
      <c r="F92"/>
      <c r="G92"/>
      <c r="H92"/>
      <c r="I92"/>
      <c r="J92"/>
      <c r="K92"/>
      <c r="L92"/>
    </row>
    <row r="93" spans="3:12" x14ac:dyDescent="0.25">
      <c r="C93"/>
      <c r="D93"/>
      <c r="E93"/>
      <c r="F93"/>
      <c r="G93"/>
      <c r="H93"/>
      <c r="I93"/>
      <c r="J93"/>
      <c r="K93"/>
      <c r="L93"/>
    </row>
    <row r="94" spans="3:12" x14ac:dyDescent="0.25">
      <c r="C94"/>
      <c r="D94"/>
      <c r="E94"/>
      <c r="F94"/>
      <c r="G94"/>
      <c r="H94"/>
      <c r="I94"/>
      <c r="J94"/>
      <c r="K94"/>
      <c r="L94"/>
    </row>
    <row r="95" spans="3:12" x14ac:dyDescent="0.25">
      <c r="C95"/>
      <c r="D95"/>
      <c r="E95"/>
      <c r="F95"/>
      <c r="G95"/>
      <c r="H95"/>
      <c r="I95"/>
      <c r="J95"/>
      <c r="K95"/>
      <c r="L95"/>
    </row>
    <row r="96" spans="3:12" x14ac:dyDescent="0.25">
      <c r="C96"/>
      <c r="D96"/>
      <c r="E96"/>
      <c r="F96"/>
      <c r="G96"/>
      <c r="H96"/>
      <c r="I96"/>
      <c r="J96"/>
      <c r="K96"/>
      <c r="L96"/>
    </row>
    <row r="97" spans="3:12" x14ac:dyDescent="0.25">
      <c r="C97"/>
      <c r="D97"/>
      <c r="E97"/>
      <c r="F97"/>
      <c r="G97"/>
      <c r="H97"/>
      <c r="I97"/>
      <c r="J97"/>
      <c r="K97"/>
      <c r="L97"/>
    </row>
    <row r="98" spans="3:12" x14ac:dyDescent="0.25">
      <c r="C98"/>
      <c r="D98"/>
      <c r="E98"/>
      <c r="F98"/>
      <c r="G98"/>
      <c r="H98"/>
      <c r="I98"/>
      <c r="J98"/>
      <c r="K98"/>
      <c r="L98"/>
    </row>
    <row r="99" spans="3:12" x14ac:dyDescent="0.25">
      <c r="C99"/>
      <c r="D99"/>
      <c r="E99"/>
      <c r="F99"/>
      <c r="G99"/>
      <c r="H99"/>
      <c r="I99"/>
      <c r="J99"/>
      <c r="K99"/>
      <c r="L99"/>
    </row>
    <row r="100" spans="3:12" x14ac:dyDescent="0.25">
      <c r="C100"/>
      <c r="D100"/>
      <c r="E100"/>
      <c r="F100"/>
      <c r="G100"/>
      <c r="H100"/>
      <c r="I100"/>
      <c r="J100"/>
      <c r="K100"/>
      <c r="L100"/>
    </row>
    <row r="101" spans="3:12" x14ac:dyDescent="0.25">
      <c r="C101"/>
      <c r="D101"/>
      <c r="E101"/>
      <c r="F101"/>
      <c r="G101"/>
      <c r="H101"/>
      <c r="I101"/>
      <c r="J101"/>
      <c r="K101"/>
      <c r="L101"/>
    </row>
    <row r="102" spans="3:12" x14ac:dyDescent="0.25">
      <c r="G102"/>
      <c r="H102"/>
      <c r="I102"/>
      <c r="J102"/>
      <c r="K102"/>
      <c r="L102"/>
    </row>
    <row r="103" spans="3:12" x14ac:dyDescent="0.25">
      <c r="G103"/>
      <c r="H103"/>
      <c r="I103"/>
      <c r="J103"/>
      <c r="K103"/>
      <c r="L103"/>
    </row>
    <row r="104" spans="3:12" x14ac:dyDescent="0.25">
      <c r="G104"/>
      <c r="H104"/>
      <c r="I104"/>
      <c r="J104"/>
      <c r="K104"/>
      <c r="L104"/>
    </row>
    <row r="105" spans="3:12" x14ac:dyDescent="0.25">
      <c r="G105"/>
      <c r="H105"/>
      <c r="I105"/>
      <c r="J105"/>
      <c r="K105"/>
      <c r="L105"/>
    </row>
    <row r="106" spans="3:12" x14ac:dyDescent="0.25">
      <c r="G106"/>
      <c r="H106"/>
      <c r="I106"/>
      <c r="J106"/>
      <c r="K106"/>
      <c r="L106"/>
    </row>
    <row r="107" spans="3:12" x14ac:dyDescent="0.25">
      <c r="G107"/>
      <c r="H107"/>
      <c r="I107"/>
      <c r="J107"/>
      <c r="K107"/>
      <c r="L107"/>
    </row>
    <row r="108" spans="3:12" x14ac:dyDescent="0.25">
      <c r="G108"/>
      <c r="H108"/>
      <c r="I108"/>
      <c r="J108"/>
      <c r="K108"/>
      <c r="L108"/>
    </row>
    <row r="109" spans="3:12" x14ac:dyDescent="0.25">
      <c r="G109"/>
      <c r="H109"/>
      <c r="I109"/>
      <c r="J109"/>
      <c r="K109"/>
      <c r="L109"/>
    </row>
    <row r="110" spans="3:12" x14ac:dyDescent="0.25">
      <c r="G110"/>
      <c r="H110"/>
      <c r="I110"/>
      <c r="J110"/>
      <c r="K110"/>
      <c r="L110"/>
    </row>
    <row r="111" spans="3:12" x14ac:dyDescent="0.25">
      <c r="G111"/>
      <c r="H111"/>
      <c r="I111"/>
      <c r="J111"/>
      <c r="K111"/>
      <c r="L111"/>
    </row>
    <row r="112" spans="3:12" x14ac:dyDescent="0.25">
      <c r="G112"/>
      <c r="H112"/>
      <c r="I112"/>
      <c r="J112"/>
      <c r="K112"/>
      <c r="L112"/>
    </row>
    <row r="113" spans="7:12" x14ac:dyDescent="0.25">
      <c r="G113"/>
      <c r="H113"/>
      <c r="I113"/>
      <c r="J113"/>
      <c r="K113"/>
      <c r="L113"/>
    </row>
    <row r="114" spans="7:12" x14ac:dyDescent="0.25">
      <c r="G114"/>
      <c r="H114"/>
      <c r="I114"/>
      <c r="J114"/>
      <c r="K114"/>
      <c r="L114"/>
    </row>
    <row r="115" spans="7:12" x14ac:dyDescent="0.25">
      <c r="G115"/>
      <c r="H115"/>
      <c r="I115"/>
      <c r="J115"/>
      <c r="K115"/>
      <c r="L115"/>
    </row>
    <row r="116" spans="7:12" x14ac:dyDescent="0.25">
      <c r="G116"/>
      <c r="H116"/>
      <c r="I116"/>
      <c r="J116"/>
      <c r="K116"/>
      <c r="L116"/>
    </row>
    <row r="117" spans="7:12" x14ac:dyDescent="0.25">
      <c r="G117"/>
      <c r="H117"/>
      <c r="I117"/>
      <c r="J117"/>
      <c r="K117"/>
      <c r="L117"/>
    </row>
    <row r="118" spans="7:12" x14ac:dyDescent="0.25">
      <c r="G118"/>
      <c r="H118"/>
      <c r="I118"/>
      <c r="J118"/>
      <c r="K118"/>
      <c r="L118"/>
    </row>
    <row r="119" spans="7:12" x14ac:dyDescent="0.25">
      <c r="G119"/>
      <c r="H119"/>
      <c r="I119"/>
      <c r="J119"/>
      <c r="K119"/>
      <c r="L119"/>
    </row>
    <row r="120" spans="7:12" x14ac:dyDescent="0.25">
      <c r="G120"/>
      <c r="H120"/>
      <c r="I120"/>
      <c r="J120"/>
      <c r="K120"/>
      <c r="L120"/>
    </row>
    <row r="121" spans="7:12" x14ac:dyDescent="0.25">
      <c r="G121"/>
      <c r="H121"/>
      <c r="I121"/>
      <c r="J121"/>
      <c r="K121"/>
      <c r="L121"/>
    </row>
    <row r="122" spans="7:12" x14ac:dyDescent="0.25">
      <c r="G122"/>
      <c r="H122"/>
      <c r="I122"/>
      <c r="J122"/>
      <c r="K122"/>
      <c r="L122"/>
    </row>
    <row r="123" spans="7:12" x14ac:dyDescent="0.25">
      <c r="G123"/>
      <c r="H123"/>
      <c r="I123"/>
      <c r="J123"/>
      <c r="K123"/>
      <c r="L123"/>
    </row>
    <row r="124" spans="7:12" x14ac:dyDescent="0.25">
      <c r="G124"/>
      <c r="H124"/>
      <c r="I124"/>
      <c r="J124"/>
      <c r="K124"/>
      <c r="L124"/>
    </row>
    <row r="125" spans="7:12" x14ac:dyDescent="0.25">
      <c r="G125"/>
      <c r="H125"/>
      <c r="I125"/>
      <c r="J125"/>
      <c r="K125"/>
      <c r="L125"/>
    </row>
    <row r="126" spans="7:12" x14ac:dyDescent="0.25">
      <c r="G126"/>
      <c r="H126"/>
      <c r="I126"/>
      <c r="J126"/>
      <c r="K126"/>
      <c r="L126"/>
    </row>
    <row r="127" spans="7:12" x14ac:dyDescent="0.25">
      <c r="G127"/>
      <c r="H127"/>
      <c r="I127"/>
      <c r="J127"/>
      <c r="K127"/>
      <c r="L127"/>
    </row>
    <row r="128" spans="7:12" x14ac:dyDescent="0.25">
      <c r="G128"/>
      <c r="H128"/>
      <c r="I128"/>
      <c r="J128"/>
      <c r="K128"/>
      <c r="L128"/>
    </row>
    <row r="129" spans="7:12" x14ac:dyDescent="0.25">
      <c r="G129"/>
      <c r="H129"/>
      <c r="I129"/>
      <c r="J129"/>
      <c r="K129"/>
      <c r="L129"/>
    </row>
    <row r="130" spans="7:12" x14ac:dyDescent="0.25">
      <c r="G130"/>
      <c r="H130"/>
      <c r="I130"/>
      <c r="J130"/>
      <c r="K130"/>
      <c r="L130"/>
    </row>
    <row r="131" spans="7:12" x14ac:dyDescent="0.25">
      <c r="G131"/>
      <c r="H131"/>
      <c r="I131"/>
      <c r="J131"/>
      <c r="K131"/>
      <c r="L131"/>
    </row>
    <row r="132" spans="7:12" x14ac:dyDescent="0.25">
      <c r="G132"/>
      <c r="H132"/>
      <c r="I132"/>
      <c r="J132"/>
      <c r="K132"/>
      <c r="L132"/>
    </row>
    <row r="133" spans="7:12" x14ac:dyDescent="0.25">
      <c r="G133"/>
      <c r="H133"/>
      <c r="I133"/>
      <c r="J133"/>
      <c r="K133"/>
      <c r="L133"/>
    </row>
    <row r="134" spans="7:12" x14ac:dyDescent="0.25">
      <c r="G134"/>
      <c r="H134"/>
      <c r="I134"/>
      <c r="J134"/>
      <c r="K134"/>
      <c r="L134"/>
    </row>
    <row r="135" spans="7:12" x14ac:dyDescent="0.25">
      <c r="G135"/>
      <c r="H135"/>
      <c r="I135"/>
      <c r="J135"/>
      <c r="K135"/>
      <c r="L135"/>
    </row>
    <row r="136" spans="7:12" x14ac:dyDescent="0.25">
      <c r="G136"/>
      <c r="H136"/>
      <c r="I136"/>
      <c r="J136"/>
      <c r="K136"/>
      <c r="L136"/>
    </row>
    <row r="137" spans="7:12" x14ac:dyDescent="0.25">
      <c r="G137"/>
      <c r="H137"/>
      <c r="I137"/>
      <c r="J137"/>
      <c r="K137"/>
      <c r="L137"/>
    </row>
    <row r="138" spans="7:12" x14ac:dyDescent="0.25">
      <c r="G138"/>
      <c r="H138"/>
      <c r="I138"/>
      <c r="J138"/>
      <c r="K138"/>
      <c r="L138"/>
    </row>
    <row r="139" spans="7:12" x14ac:dyDescent="0.25">
      <c r="G139"/>
      <c r="H139"/>
      <c r="I139"/>
      <c r="J139"/>
      <c r="K139"/>
      <c r="L139"/>
    </row>
    <row r="140" spans="7:12" x14ac:dyDescent="0.25">
      <c r="G140"/>
      <c r="H140"/>
      <c r="I140"/>
      <c r="J140"/>
      <c r="K140"/>
      <c r="L140"/>
    </row>
    <row r="141" spans="7:12" x14ac:dyDescent="0.25">
      <c r="G141"/>
      <c r="H141"/>
      <c r="I141"/>
      <c r="J141"/>
      <c r="K141"/>
      <c r="L141"/>
    </row>
    <row r="142" spans="7:12" x14ac:dyDescent="0.25">
      <c r="G142"/>
      <c r="H142"/>
      <c r="I142"/>
      <c r="J142"/>
      <c r="K142"/>
      <c r="L142"/>
    </row>
    <row r="143" spans="7:12" x14ac:dyDescent="0.25">
      <c r="G143"/>
      <c r="H143"/>
      <c r="I143"/>
      <c r="J143"/>
      <c r="K143"/>
      <c r="L143"/>
    </row>
    <row r="144" spans="7:12" x14ac:dyDescent="0.25">
      <c r="G144"/>
      <c r="H144"/>
      <c r="I144"/>
      <c r="J144"/>
      <c r="K144"/>
      <c r="L144"/>
    </row>
    <row r="145" spans="7:12" x14ac:dyDescent="0.25">
      <c r="G145"/>
      <c r="H145"/>
      <c r="I145"/>
      <c r="J145"/>
      <c r="K145"/>
      <c r="L145"/>
    </row>
    <row r="146" spans="7:12" x14ac:dyDescent="0.25">
      <c r="G146"/>
      <c r="H146"/>
      <c r="I146"/>
      <c r="J146"/>
      <c r="K146"/>
      <c r="L146"/>
    </row>
    <row r="147" spans="7:12" x14ac:dyDescent="0.25">
      <c r="G147"/>
      <c r="H147"/>
      <c r="I147"/>
      <c r="J147"/>
      <c r="K147"/>
      <c r="L147"/>
    </row>
    <row r="148" spans="7:12" x14ac:dyDescent="0.25">
      <c r="G148"/>
      <c r="H148"/>
      <c r="I148"/>
      <c r="J148"/>
      <c r="K148"/>
      <c r="L148"/>
    </row>
    <row r="149" spans="7:12" x14ac:dyDescent="0.25">
      <c r="G149"/>
      <c r="H149"/>
      <c r="I149"/>
      <c r="J149"/>
      <c r="K149"/>
      <c r="L149"/>
    </row>
    <row r="150" spans="7:12" x14ac:dyDescent="0.25">
      <c r="G150"/>
      <c r="H150"/>
      <c r="I150"/>
      <c r="J150"/>
      <c r="K150"/>
      <c r="L150"/>
    </row>
    <row r="151" spans="7:12" x14ac:dyDescent="0.25">
      <c r="G151"/>
      <c r="H151"/>
      <c r="I151"/>
      <c r="J151"/>
      <c r="K151"/>
      <c r="L151"/>
    </row>
    <row r="152" spans="7:12" x14ac:dyDescent="0.25">
      <c r="G152"/>
      <c r="H152"/>
      <c r="I152"/>
      <c r="J152"/>
      <c r="K152"/>
      <c r="L152"/>
    </row>
    <row r="153" spans="7:12" x14ac:dyDescent="0.25">
      <c r="G153"/>
      <c r="H153"/>
      <c r="I153"/>
      <c r="J153"/>
      <c r="K153"/>
      <c r="L153"/>
    </row>
    <row r="154" spans="7:12" x14ac:dyDescent="0.25">
      <c r="G154"/>
      <c r="H154"/>
      <c r="I154"/>
      <c r="J154"/>
      <c r="K154"/>
      <c r="L154"/>
    </row>
    <row r="155" spans="7:12" x14ac:dyDescent="0.25">
      <c r="G155"/>
      <c r="H155"/>
      <c r="I155"/>
      <c r="J155"/>
      <c r="K155"/>
      <c r="L155"/>
    </row>
    <row r="156" spans="7:12" x14ac:dyDescent="0.25">
      <c r="G156"/>
      <c r="H156"/>
      <c r="I156"/>
      <c r="J156"/>
      <c r="K156"/>
      <c r="L156"/>
    </row>
    <row r="157" spans="7:12" x14ac:dyDescent="0.25">
      <c r="G157"/>
      <c r="H157"/>
      <c r="I157"/>
      <c r="J157"/>
      <c r="K157"/>
      <c r="L157"/>
    </row>
    <row r="158" spans="7:12" x14ac:dyDescent="0.25">
      <c r="G158"/>
      <c r="H158"/>
      <c r="I158"/>
      <c r="J158"/>
      <c r="K158"/>
      <c r="L158"/>
    </row>
    <row r="159" spans="7:12" x14ac:dyDescent="0.25">
      <c r="G159"/>
      <c r="H159"/>
      <c r="I159"/>
      <c r="J159"/>
      <c r="K159"/>
      <c r="L159"/>
    </row>
    <row r="160" spans="7:12" x14ac:dyDescent="0.25">
      <c r="G160"/>
      <c r="H160"/>
      <c r="I160"/>
      <c r="J160"/>
      <c r="K160"/>
      <c r="L160"/>
    </row>
    <row r="161" spans="7:12" x14ac:dyDescent="0.25">
      <c r="G161"/>
      <c r="H161"/>
      <c r="I161"/>
      <c r="J161"/>
      <c r="K161"/>
      <c r="L161"/>
    </row>
    <row r="162" spans="7:12" x14ac:dyDescent="0.25">
      <c r="G162"/>
      <c r="H162"/>
      <c r="I162"/>
      <c r="J162"/>
      <c r="K162"/>
      <c r="L162"/>
    </row>
    <row r="163" spans="7:12" x14ac:dyDescent="0.25">
      <c r="G163"/>
      <c r="H163"/>
      <c r="I163"/>
      <c r="J163"/>
      <c r="K163"/>
      <c r="L163"/>
    </row>
    <row r="164" spans="7:12" x14ac:dyDescent="0.25">
      <c r="G164"/>
      <c r="H164"/>
      <c r="I164"/>
      <c r="J164"/>
      <c r="K164"/>
      <c r="L164"/>
    </row>
    <row r="165" spans="7:12" x14ac:dyDescent="0.25">
      <c r="G165"/>
      <c r="H165"/>
      <c r="I165"/>
      <c r="J165"/>
      <c r="K165"/>
      <c r="L165"/>
    </row>
    <row r="166" spans="7:12" x14ac:dyDescent="0.25">
      <c r="G166"/>
      <c r="H166"/>
      <c r="I166"/>
      <c r="J166"/>
      <c r="K166"/>
      <c r="L166"/>
    </row>
    <row r="167" spans="7:12" x14ac:dyDescent="0.25">
      <c r="G167"/>
      <c r="H167"/>
      <c r="I167"/>
      <c r="J167"/>
      <c r="K167"/>
      <c r="L167"/>
    </row>
    <row r="168" spans="7:12" x14ac:dyDescent="0.25">
      <c r="G168"/>
      <c r="H168"/>
      <c r="I168"/>
      <c r="J168"/>
      <c r="K168"/>
      <c r="L168"/>
    </row>
    <row r="169" spans="7:12" x14ac:dyDescent="0.25">
      <c r="G169"/>
      <c r="H169"/>
      <c r="I169"/>
      <c r="J169"/>
      <c r="K169"/>
      <c r="L169"/>
    </row>
    <row r="170" spans="7:12" x14ac:dyDescent="0.25">
      <c r="G170"/>
      <c r="H170"/>
      <c r="I170"/>
      <c r="J170"/>
      <c r="K170"/>
      <c r="L170"/>
    </row>
    <row r="171" spans="7:12" x14ac:dyDescent="0.25">
      <c r="G171"/>
      <c r="H171"/>
      <c r="I171"/>
      <c r="J171"/>
      <c r="K171"/>
      <c r="L171"/>
    </row>
    <row r="172" spans="7:12" x14ac:dyDescent="0.25">
      <c r="G172"/>
      <c r="H172"/>
      <c r="I172"/>
      <c r="J172"/>
      <c r="K172"/>
      <c r="L172"/>
    </row>
    <row r="173" spans="7:12" x14ac:dyDescent="0.25">
      <c r="G173"/>
      <c r="H173"/>
      <c r="I173"/>
      <c r="J173"/>
      <c r="K173"/>
      <c r="L173"/>
    </row>
    <row r="174" spans="7:12" x14ac:dyDescent="0.25">
      <c r="G174"/>
      <c r="H174"/>
      <c r="I174"/>
      <c r="J174"/>
      <c r="K174"/>
      <c r="L174"/>
    </row>
    <row r="175" spans="7:12" x14ac:dyDescent="0.25">
      <c r="G175"/>
      <c r="H175"/>
      <c r="I175"/>
      <c r="J175"/>
      <c r="K175"/>
      <c r="L175"/>
    </row>
    <row r="176" spans="7:12" x14ac:dyDescent="0.25">
      <c r="G176"/>
      <c r="H176"/>
      <c r="I176"/>
      <c r="J176"/>
      <c r="K176"/>
      <c r="L176"/>
    </row>
    <row r="177" spans="7:12" x14ac:dyDescent="0.25">
      <c r="G177"/>
      <c r="H177"/>
      <c r="I177"/>
      <c r="J177"/>
      <c r="K177"/>
      <c r="L177"/>
    </row>
    <row r="178" spans="7:12" x14ac:dyDescent="0.25">
      <c r="G178"/>
      <c r="H178"/>
      <c r="I178"/>
      <c r="J178"/>
      <c r="K178"/>
      <c r="L178"/>
    </row>
    <row r="179" spans="7:12" x14ac:dyDescent="0.25">
      <c r="G179"/>
      <c r="H179"/>
      <c r="I179"/>
      <c r="J179"/>
      <c r="K179"/>
      <c r="L179"/>
    </row>
    <row r="180" spans="7:12" x14ac:dyDescent="0.25">
      <c r="G180"/>
      <c r="H180"/>
      <c r="I180"/>
      <c r="J180"/>
      <c r="K180"/>
      <c r="L180"/>
    </row>
    <row r="181" spans="7:12" x14ac:dyDescent="0.25">
      <c r="G181"/>
      <c r="H181"/>
      <c r="I181"/>
      <c r="J181"/>
      <c r="K181"/>
      <c r="L181"/>
    </row>
    <row r="182" spans="7:12" x14ac:dyDescent="0.25">
      <c r="G182"/>
      <c r="H182"/>
      <c r="I182"/>
      <c r="J182"/>
      <c r="K182"/>
      <c r="L182"/>
    </row>
    <row r="183" spans="7:12" x14ac:dyDescent="0.25">
      <c r="G183"/>
      <c r="H183"/>
      <c r="I183"/>
      <c r="J183"/>
      <c r="K183"/>
      <c r="L183"/>
    </row>
    <row r="184" spans="7:12" x14ac:dyDescent="0.25">
      <c r="G184"/>
      <c r="H184"/>
      <c r="I184"/>
      <c r="J184"/>
      <c r="K184"/>
      <c r="L184"/>
    </row>
    <row r="185" spans="7:12" x14ac:dyDescent="0.25">
      <c r="G185"/>
      <c r="H185"/>
      <c r="I185"/>
      <c r="J185"/>
      <c r="K185"/>
      <c r="L185"/>
    </row>
    <row r="186" spans="7:12" x14ac:dyDescent="0.25">
      <c r="G186"/>
      <c r="H186"/>
      <c r="I186"/>
      <c r="J186"/>
      <c r="K186"/>
      <c r="L186"/>
    </row>
    <row r="187" spans="7:12" x14ac:dyDescent="0.25">
      <c r="G187"/>
      <c r="H187"/>
      <c r="I187"/>
      <c r="J187"/>
      <c r="K187"/>
      <c r="L187"/>
    </row>
    <row r="188" spans="7:12" x14ac:dyDescent="0.25">
      <c r="G188"/>
      <c r="H188"/>
      <c r="I188"/>
      <c r="J188"/>
      <c r="K188"/>
      <c r="L188"/>
    </row>
    <row r="189" spans="7:12" x14ac:dyDescent="0.25">
      <c r="G189"/>
      <c r="H189"/>
      <c r="I189"/>
      <c r="J189"/>
      <c r="K189"/>
      <c r="L189"/>
    </row>
    <row r="190" spans="7:12" x14ac:dyDescent="0.25">
      <c r="G190"/>
      <c r="H190"/>
      <c r="I190"/>
      <c r="J190"/>
      <c r="K190"/>
      <c r="L190"/>
    </row>
    <row r="191" spans="7:12" x14ac:dyDescent="0.25">
      <c r="G191"/>
      <c r="H191"/>
      <c r="I191"/>
      <c r="J191"/>
      <c r="K191"/>
      <c r="L191"/>
    </row>
    <row r="192" spans="7:12" x14ac:dyDescent="0.25">
      <c r="G192"/>
      <c r="H192"/>
      <c r="I192"/>
      <c r="J192"/>
      <c r="K192"/>
      <c r="L192"/>
    </row>
    <row r="193" spans="7:12" x14ac:dyDescent="0.25">
      <c r="G193"/>
      <c r="H193"/>
      <c r="I193"/>
      <c r="J193"/>
      <c r="K193"/>
      <c r="L193"/>
    </row>
    <row r="194" spans="7:12" x14ac:dyDescent="0.25">
      <c r="G194"/>
      <c r="H194"/>
      <c r="I194"/>
      <c r="J194"/>
      <c r="K194"/>
      <c r="L194"/>
    </row>
    <row r="195" spans="7:12" x14ac:dyDescent="0.25">
      <c r="G195"/>
      <c r="H195"/>
      <c r="I195"/>
      <c r="J195"/>
      <c r="K195"/>
      <c r="L195"/>
    </row>
    <row r="196" spans="7:12" x14ac:dyDescent="0.25">
      <c r="G196"/>
      <c r="H196"/>
      <c r="I196"/>
      <c r="J196"/>
      <c r="K196"/>
      <c r="L196"/>
    </row>
    <row r="197" spans="7:12" x14ac:dyDescent="0.25">
      <c r="G197"/>
      <c r="H197"/>
      <c r="I197"/>
      <c r="J197"/>
      <c r="K197"/>
      <c r="L197"/>
    </row>
    <row r="198" spans="7:12" x14ac:dyDescent="0.25">
      <c r="G198"/>
      <c r="H198"/>
      <c r="I198"/>
      <c r="J198"/>
      <c r="K198"/>
      <c r="L198"/>
    </row>
    <row r="199" spans="7:12" x14ac:dyDescent="0.25">
      <c r="G199"/>
      <c r="H199"/>
      <c r="I199"/>
      <c r="J199"/>
      <c r="K199"/>
      <c r="L199"/>
    </row>
    <row r="200" spans="7:12" x14ac:dyDescent="0.25">
      <c r="G200"/>
      <c r="H200"/>
      <c r="I200"/>
      <c r="J200"/>
      <c r="K200"/>
      <c r="L200"/>
    </row>
    <row r="201" spans="7:12" x14ac:dyDescent="0.25">
      <c r="G201"/>
      <c r="H201"/>
      <c r="I201"/>
      <c r="J201"/>
      <c r="K201"/>
      <c r="L201"/>
    </row>
    <row r="202" spans="7:12" x14ac:dyDescent="0.25">
      <c r="G202"/>
      <c r="H202"/>
      <c r="I202"/>
      <c r="J202"/>
      <c r="K202"/>
      <c r="L202"/>
    </row>
    <row r="203" spans="7:12" x14ac:dyDescent="0.25">
      <c r="G203"/>
      <c r="H203"/>
      <c r="I203"/>
      <c r="J203"/>
      <c r="K203"/>
      <c r="L203"/>
    </row>
    <row r="204" spans="7:12" x14ac:dyDescent="0.25">
      <c r="G204"/>
      <c r="H204"/>
      <c r="I204"/>
      <c r="J204"/>
      <c r="K204"/>
      <c r="L204"/>
    </row>
    <row r="205" spans="7:12" x14ac:dyDescent="0.25">
      <c r="G205"/>
      <c r="H205"/>
      <c r="I205"/>
      <c r="J205"/>
      <c r="K205"/>
      <c r="L205"/>
    </row>
    <row r="206" spans="7:12" x14ac:dyDescent="0.25">
      <c r="G206"/>
      <c r="H206"/>
      <c r="I206"/>
      <c r="J206"/>
      <c r="K206"/>
      <c r="L206"/>
    </row>
    <row r="207" spans="7:12" x14ac:dyDescent="0.25">
      <c r="G207"/>
      <c r="H207"/>
      <c r="I207"/>
      <c r="J207"/>
      <c r="K207"/>
      <c r="L207"/>
    </row>
    <row r="208" spans="7:12" x14ac:dyDescent="0.25">
      <c r="G208"/>
      <c r="H208"/>
      <c r="I208"/>
      <c r="J208"/>
      <c r="K208"/>
      <c r="L208"/>
    </row>
    <row r="209" spans="7:12" x14ac:dyDescent="0.25">
      <c r="G209"/>
      <c r="H209"/>
      <c r="I209"/>
      <c r="J209"/>
      <c r="K209"/>
      <c r="L209"/>
    </row>
    <row r="210" spans="7:12" x14ac:dyDescent="0.25">
      <c r="G210"/>
      <c r="H210"/>
      <c r="I210"/>
      <c r="J210"/>
      <c r="K210"/>
      <c r="L210"/>
    </row>
    <row r="211" spans="7:12" x14ac:dyDescent="0.25">
      <c r="G211"/>
      <c r="H211"/>
      <c r="I211"/>
      <c r="J211"/>
      <c r="K211"/>
    </row>
    <row r="212" spans="7:12" x14ac:dyDescent="0.25">
      <c r="G212"/>
      <c r="H212"/>
      <c r="I212"/>
      <c r="J212"/>
      <c r="K212"/>
    </row>
    <row r="213" spans="7:12" x14ac:dyDescent="0.25">
      <c r="G213"/>
      <c r="H213"/>
      <c r="I213"/>
      <c r="J213"/>
      <c r="K213"/>
    </row>
    <row r="214" spans="7:12" x14ac:dyDescent="0.25">
      <c r="G214"/>
      <c r="H214"/>
      <c r="I214"/>
      <c r="J214"/>
      <c r="K214"/>
    </row>
    <row r="215" spans="7:12" x14ac:dyDescent="0.25">
      <c r="G215"/>
      <c r="H215"/>
      <c r="I215"/>
      <c r="J215"/>
      <c r="K215"/>
    </row>
    <row r="216" spans="7:12" x14ac:dyDescent="0.25">
      <c r="G216"/>
      <c r="H216"/>
      <c r="I216"/>
      <c r="J216"/>
      <c r="K216"/>
    </row>
    <row r="217" spans="7:12" x14ac:dyDescent="0.25">
      <c r="G217"/>
      <c r="H217"/>
      <c r="I217"/>
      <c r="J217"/>
      <c r="K217"/>
    </row>
    <row r="218" spans="7:12" x14ac:dyDescent="0.25">
      <c r="G218"/>
      <c r="H218"/>
      <c r="I218"/>
      <c r="J218"/>
      <c r="K218"/>
    </row>
    <row r="219" spans="7:12" x14ac:dyDescent="0.25">
      <c r="G219"/>
      <c r="H219"/>
      <c r="I219"/>
      <c r="J219"/>
      <c r="K219"/>
    </row>
    <row r="220" spans="7:12" x14ac:dyDescent="0.25">
      <c r="G220"/>
      <c r="H220"/>
      <c r="I220"/>
      <c r="J220"/>
      <c r="K220"/>
    </row>
    <row r="221" spans="7:12" x14ac:dyDescent="0.25">
      <c r="G221"/>
      <c r="H221"/>
      <c r="I221"/>
      <c r="J221"/>
      <c r="K221"/>
    </row>
    <row r="222" spans="7:12" x14ac:dyDescent="0.25">
      <c r="G222"/>
      <c r="H222"/>
      <c r="I222"/>
      <c r="J222"/>
      <c r="K222"/>
    </row>
    <row r="223" spans="7:12" x14ac:dyDescent="0.25">
      <c r="G223"/>
      <c r="H223"/>
      <c r="I223"/>
      <c r="J223"/>
      <c r="K223"/>
    </row>
    <row r="224" spans="7:12" x14ac:dyDescent="0.25">
      <c r="G224"/>
      <c r="H224"/>
      <c r="I224"/>
      <c r="J224"/>
      <c r="K224"/>
    </row>
    <row r="225" spans="7:11" x14ac:dyDescent="0.25">
      <c r="G225"/>
      <c r="H225"/>
      <c r="I225"/>
      <c r="J225"/>
      <c r="K225"/>
    </row>
    <row r="226" spans="7:11" x14ac:dyDescent="0.25">
      <c r="G226"/>
      <c r="H226"/>
      <c r="I226"/>
      <c r="J226"/>
      <c r="K226"/>
    </row>
    <row r="227" spans="7:11" x14ac:dyDescent="0.25">
      <c r="G227"/>
      <c r="H227"/>
      <c r="I227"/>
      <c r="J227"/>
      <c r="K227"/>
    </row>
    <row r="228" spans="7:11" x14ac:dyDescent="0.25">
      <c r="G228"/>
      <c r="H228"/>
      <c r="I228"/>
      <c r="J228"/>
      <c r="K228"/>
    </row>
    <row r="229" spans="7:11" x14ac:dyDescent="0.25">
      <c r="G229"/>
      <c r="H229"/>
      <c r="I229"/>
      <c r="J229"/>
      <c r="K229"/>
    </row>
    <row r="230" spans="7:11" x14ac:dyDescent="0.25">
      <c r="G230"/>
      <c r="H230"/>
      <c r="I230"/>
      <c r="J230"/>
      <c r="K230"/>
    </row>
    <row r="231" spans="7:11" x14ac:dyDescent="0.25">
      <c r="G231"/>
      <c r="H231"/>
      <c r="I231"/>
      <c r="J231"/>
      <c r="K231"/>
    </row>
    <row r="232" spans="7:11" x14ac:dyDescent="0.25">
      <c r="G232"/>
      <c r="H232"/>
      <c r="I232"/>
      <c r="J232"/>
      <c r="K232"/>
    </row>
    <row r="233" spans="7:11" x14ac:dyDescent="0.25">
      <c r="G233"/>
      <c r="H233"/>
      <c r="I233"/>
      <c r="J233"/>
      <c r="K233"/>
    </row>
    <row r="234" spans="7:11" x14ac:dyDescent="0.25">
      <c r="G234"/>
      <c r="H234"/>
      <c r="I234"/>
      <c r="J234"/>
      <c r="K234"/>
    </row>
    <row r="235" spans="7:11" x14ac:dyDescent="0.25">
      <c r="G235"/>
      <c r="H235"/>
      <c r="I235"/>
      <c r="J235"/>
      <c r="K235"/>
    </row>
    <row r="236" spans="7:11" x14ac:dyDescent="0.25">
      <c r="G236"/>
      <c r="H236"/>
      <c r="I236"/>
      <c r="J236"/>
      <c r="K236"/>
    </row>
    <row r="237" spans="7:11" x14ac:dyDescent="0.25">
      <c r="G237"/>
      <c r="H237"/>
      <c r="I237"/>
      <c r="J237"/>
      <c r="K237"/>
    </row>
    <row r="238" spans="7:11" x14ac:dyDescent="0.25">
      <c r="G238"/>
      <c r="H238"/>
      <c r="I238"/>
      <c r="J238"/>
      <c r="K238"/>
    </row>
    <row r="239" spans="7:11" x14ac:dyDescent="0.25">
      <c r="G239"/>
      <c r="H239"/>
      <c r="I239"/>
      <c r="J239"/>
      <c r="K239"/>
    </row>
    <row r="240" spans="7:11" x14ac:dyDescent="0.25">
      <c r="G240"/>
      <c r="H240"/>
      <c r="I240"/>
      <c r="J240"/>
      <c r="K240"/>
    </row>
    <row r="241" spans="7:11" x14ac:dyDescent="0.25">
      <c r="G241"/>
      <c r="H241"/>
      <c r="I241"/>
      <c r="J241"/>
      <c r="K241"/>
    </row>
    <row r="242" spans="7:11" x14ac:dyDescent="0.25">
      <c r="G242"/>
      <c r="H242"/>
      <c r="I242"/>
      <c r="J242"/>
      <c r="K242"/>
    </row>
    <row r="243" spans="7:11" x14ac:dyDescent="0.25">
      <c r="G243"/>
      <c r="H243"/>
      <c r="I243"/>
      <c r="J243"/>
      <c r="K243"/>
    </row>
    <row r="244" spans="7:11" x14ac:dyDescent="0.25">
      <c r="G244"/>
      <c r="H244"/>
      <c r="I244"/>
      <c r="J244"/>
      <c r="K244"/>
    </row>
    <row r="245" spans="7:11" x14ac:dyDescent="0.25">
      <c r="G245"/>
      <c r="H245"/>
      <c r="I245"/>
      <c r="J245"/>
      <c r="K245"/>
    </row>
    <row r="246" spans="7:11" x14ac:dyDescent="0.25">
      <c r="G246"/>
      <c r="H246"/>
      <c r="I246"/>
      <c r="J246"/>
      <c r="K246"/>
    </row>
    <row r="247" spans="7:11" x14ac:dyDescent="0.25">
      <c r="G247"/>
      <c r="H247"/>
      <c r="I247"/>
      <c r="J247"/>
      <c r="K247"/>
    </row>
    <row r="248" spans="7:11" x14ac:dyDescent="0.25">
      <c r="G248"/>
      <c r="H248"/>
      <c r="I248"/>
      <c r="J248"/>
      <c r="K248"/>
    </row>
    <row r="249" spans="7:11" x14ac:dyDescent="0.25">
      <c r="G249"/>
      <c r="H249"/>
      <c r="I249"/>
      <c r="J249"/>
      <c r="K249"/>
    </row>
    <row r="250" spans="7:11" x14ac:dyDescent="0.25">
      <c r="G250"/>
      <c r="H250"/>
      <c r="I250"/>
      <c r="J250"/>
      <c r="K250"/>
    </row>
    <row r="251" spans="7:11" x14ac:dyDescent="0.25">
      <c r="G251"/>
      <c r="H251"/>
      <c r="I251"/>
      <c r="J251"/>
      <c r="K251"/>
    </row>
    <row r="252" spans="7:11" x14ac:dyDescent="0.25">
      <c r="G252"/>
      <c r="H252"/>
      <c r="I252"/>
      <c r="J252"/>
      <c r="K252"/>
    </row>
    <row r="253" spans="7:11" x14ac:dyDescent="0.25">
      <c r="G253"/>
      <c r="H253"/>
      <c r="I253"/>
      <c r="J253"/>
      <c r="K253"/>
    </row>
    <row r="254" spans="7:11" x14ac:dyDescent="0.25">
      <c r="G254"/>
      <c r="H254"/>
      <c r="I254"/>
      <c r="J254"/>
      <c r="K254"/>
    </row>
    <row r="255" spans="7:11" x14ac:dyDescent="0.25">
      <c r="G255"/>
      <c r="H255"/>
      <c r="I255"/>
      <c r="J255"/>
      <c r="K255"/>
    </row>
    <row r="256" spans="7:11" x14ac:dyDescent="0.25">
      <c r="G256"/>
      <c r="H256"/>
      <c r="I256"/>
      <c r="J256"/>
      <c r="K256"/>
    </row>
    <row r="257" spans="7:11" x14ac:dyDescent="0.25">
      <c r="G257"/>
      <c r="H257"/>
      <c r="I257"/>
      <c r="J257"/>
      <c r="K257"/>
    </row>
    <row r="258" spans="7:11" x14ac:dyDescent="0.25">
      <c r="G258"/>
      <c r="H258"/>
      <c r="I258"/>
      <c r="J258"/>
      <c r="K258"/>
    </row>
    <row r="259" spans="7:11" x14ac:dyDescent="0.25">
      <c r="G259"/>
      <c r="H259"/>
      <c r="I259"/>
      <c r="J259"/>
      <c r="K259"/>
    </row>
    <row r="260" spans="7:11" x14ac:dyDescent="0.25">
      <c r="G260"/>
      <c r="H260"/>
      <c r="I260"/>
      <c r="J260"/>
      <c r="K260"/>
    </row>
    <row r="261" spans="7:11" x14ac:dyDescent="0.25">
      <c r="G261"/>
      <c r="H261"/>
      <c r="I261"/>
      <c r="J261"/>
      <c r="K261"/>
    </row>
    <row r="262" spans="7:11" x14ac:dyDescent="0.25">
      <c r="G262"/>
      <c r="H262"/>
      <c r="I262"/>
      <c r="J262"/>
      <c r="K262"/>
    </row>
    <row r="263" spans="7:11" x14ac:dyDescent="0.25">
      <c r="G263"/>
      <c r="H263"/>
      <c r="I263"/>
      <c r="J263"/>
      <c r="K263"/>
    </row>
    <row r="264" spans="7:11" x14ac:dyDescent="0.25">
      <c r="G264"/>
      <c r="H264"/>
      <c r="I264"/>
      <c r="J264"/>
      <c r="K264"/>
    </row>
    <row r="265" spans="7:11" x14ac:dyDescent="0.25">
      <c r="G265"/>
      <c r="H265"/>
      <c r="I265"/>
      <c r="J265"/>
      <c r="K265"/>
    </row>
    <row r="266" spans="7:11" x14ac:dyDescent="0.25">
      <c r="G266"/>
      <c r="H266"/>
      <c r="I266"/>
      <c r="J266"/>
      <c r="K266"/>
    </row>
    <row r="267" spans="7:11" x14ac:dyDescent="0.25">
      <c r="G267"/>
      <c r="H267"/>
      <c r="I267"/>
      <c r="J267"/>
      <c r="K267"/>
    </row>
    <row r="268" spans="7:11" x14ac:dyDescent="0.25">
      <c r="G268"/>
      <c r="H268"/>
      <c r="I268"/>
      <c r="J268"/>
      <c r="K268"/>
    </row>
    <row r="269" spans="7:11" x14ac:dyDescent="0.25">
      <c r="G269"/>
      <c r="H269"/>
      <c r="I269"/>
      <c r="J269"/>
      <c r="K269"/>
    </row>
    <row r="270" spans="7:11" x14ac:dyDescent="0.25">
      <c r="G270"/>
      <c r="H270"/>
      <c r="I270"/>
      <c r="J270"/>
      <c r="K270"/>
    </row>
    <row r="271" spans="7:11" x14ac:dyDescent="0.25">
      <c r="G271"/>
      <c r="H271"/>
      <c r="I271"/>
      <c r="J271"/>
      <c r="K271"/>
    </row>
    <row r="272" spans="7:11" x14ac:dyDescent="0.25">
      <c r="G272"/>
      <c r="H272"/>
      <c r="I272"/>
      <c r="J272"/>
      <c r="K272"/>
    </row>
    <row r="273" spans="7:11" x14ac:dyDescent="0.25">
      <c r="G273"/>
      <c r="H273"/>
      <c r="I273"/>
      <c r="J273"/>
      <c r="K273"/>
    </row>
    <row r="274" spans="7:11" x14ac:dyDescent="0.25">
      <c r="G274"/>
      <c r="H274"/>
      <c r="I274"/>
      <c r="J274"/>
      <c r="K274"/>
    </row>
    <row r="275" spans="7:11" x14ac:dyDescent="0.25">
      <c r="G275"/>
      <c r="H275"/>
      <c r="I275"/>
      <c r="J275"/>
      <c r="K275"/>
    </row>
    <row r="276" spans="7:11" x14ac:dyDescent="0.25">
      <c r="G276"/>
      <c r="H276"/>
      <c r="I276"/>
      <c r="J276"/>
      <c r="K276"/>
    </row>
    <row r="277" spans="7:11" x14ac:dyDescent="0.25">
      <c r="G277"/>
      <c r="H277"/>
      <c r="I277"/>
      <c r="J277"/>
      <c r="K277"/>
    </row>
    <row r="278" spans="7:11" x14ac:dyDescent="0.25">
      <c r="G278"/>
      <c r="H278"/>
      <c r="I278"/>
      <c r="J278"/>
      <c r="K278"/>
    </row>
    <row r="279" spans="7:11" x14ac:dyDescent="0.25">
      <c r="G279"/>
      <c r="H279"/>
      <c r="I279"/>
      <c r="J279"/>
      <c r="K279"/>
    </row>
    <row r="280" spans="7:11" x14ac:dyDescent="0.25">
      <c r="G280"/>
      <c r="H280"/>
      <c r="I280"/>
      <c r="J280"/>
      <c r="K280"/>
    </row>
    <row r="281" spans="7:11" x14ac:dyDescent="0.25">
      <c r="G281"/>
      <c r="H281"/>
      <c r="I281"/>
      <c r="J281"/>
      <c r="K281"/>
    </row>
    <row r="282" spans="7:11" x14ac:dyDescent="0.25">
      <c r="G282"/>
      <c r="H282"/>
      <c r="I282"/>
      <c r="J282"/>
      <c r="K282"/>
    </row>
    <row r="283" spans="7:11" x14ac:dyDescent="0.25">
      <c r="G283"/>
      <c r="H283"/>
      <c r="I283"/>
      <c r="J283"/>
      <c r="K283"/>
    </row>
    <row r="284" spans="7:11" x14ac:dyDescent="0.25">
      <c r="G284"/>
      <c r="H284"/>
      <c r="I284"/>
      <c r="J284"/>
      <c r="K284"/>
    </row>
    <row r="285" spans="7:11" x14ac:dyDescent="0.25">
      <c r="G285"/>
      <c r="H285"/>
      <c r="I285"/>
      <c r="J285"/>
      <c r="K285"/>
    </row>
    <row r="286" spans="7:11" x14ac:dyDescent="0.25">
      <c r="G286"/>
      <c r="H286"/>
      <c r="I286"/>
      <c r="J286"/>
      <c r="K286"/>
    </row>
    <row r="287" spans="7:11" x14ac:dyDescent="0.25">
      <c r="G287"/>
      <c r="H287"/>
      <c r="I287"/>
      <c r="J287"/>
      <c r="K287"/>
    </row>
    <row r="288" spans="7:11" x14ac:dyDescent="0.25">
      <c r="G288"/>
      <c r="H288"/>
      <c r="I288"/>
      <c r="J288"/>
      <c r="K288"/>
    </row>
    <row r="289" spans="7:11" x14ac:dyDescent="0.25">
      <c r="G289"/>
      <c r="H289"/>
      <c r="I289"/>
      <c r="J289"/>
      <c r="K289"/>
    </row>
    <row r="290" spans="7:11" x14ac:dyDescent="0.25">
      <c r="G290"/>
      <c r="H290"/>
      <c r="I290"/>
      <c r="J290"/>
      <c r="K290"/>
    </row>
    <row r="291" spans="7:11" x14ac:dyDescent="0.25">
      <c r="G291"/>
      <c r="H291"/>
      <c r="I291"/>
      <c r="J291"/>
      <c r="K291"/>
    </row>
    <row r="292" spans="7:11" x14ac:dyDescent="0.25">
      <c r="G292"/>
      <c r="H292"/>
      <c r="I292"/>
      <c r="J292"/>
      <c r="K292"/>
    </row>
    <row r="293" spans="7:11" x14ac:dyDescent="0.25">
      <c r="G293"/>
      <c r="H293"/>
      <c r="I293"/>
      <c r="J293"/>
      <c r="K293"/>
    </row>
    <row r="294" spans="7:11" x14ac:dyDescent="0.25">
      <c r="G294"/>
      <c r="H294"/>
      <c r="I294"/>
      <c r="J294"/>
      <c r="K294"/>
    </row>
    <row r="295" spans="7:11" x14ac:dyDescent="0.25">
      <c r="G295"/>
      <c r="H295"/>
      <c r="I295"/>
      <c r="J295"/>
      <c r="K295"/>
    </row>
    <row r="296" spans="7:11" x14ac:dyDescent="0.25">
      <c r="G296"/>
      <c r="H296"/>
      <c r="I296"/>
      <c r="J296"/>
      <c r="K296"/>
    </row>
    <row r="297" spans="7:11" x14ac:dyDescent="0.25">
      <c r="G297"/>
      <c r="H297"/>
      <c r="I297"/>
      <c r="J297"/>
      <c r="K297"/>
    </row>
    <row r="298" spans="7:11" x14ac:dyDescent="0.25">
      <c r="G298"/>
      <c r="H298"/>
      <c r="I298"/>
      <c r="J298"/>
      <c r="K298"/>
    </row>
    <row r="299" spans="7:11" x14ac:dyDescent="0.25">
      <c r="G299"/>
      <c r="H299"/>
      <c r="I299"/>
      <c r="J299"/>
      <c r="K299"/>
    </row>
    <row r="300" spans="7:11" x14ac:dyDescent="0.25">
      <c r="G300"/>
      <c r="H300"/>
      <c r="I300"/>
      <c r="J300"/>
      <c r="K300"/>
    </row>
    <row r="301" spans="7:11" x14ac:dyDescent="0.25">
      <c r="G301"/>
      <c r="H301"/>
      <c r="I301"/>
      <c r="J301"/>
      <c r="K301"/>
    </row>
    <row r="302" spans="7:11" x14ac:dyDescent="0.25">
      <c r="G302"/>
      <c r="H302"/>
      <c r="I302"/>
      <c r="J302"/>
      <c r="K302"/>
    </row>
    <row r="303" spans="7:11" x14ac:dyDescent="0.25">
      <c r="G303"/>
      <c r="H303"/>
      <c r="I303"/>
      <c r="J303"/>
      <c r="K303"/>
    </row>
    <row r="304" spans="7:11" x14ac:dyDescent="0.25">
      <c r="G304"/>
      <c r="H304"/>
      <c r="I304"/>
      <c r="J304"/>
      <c r="K304"/>
    </row>
    <row r="305" spans="7:11" x14ac:dyDescent="0.25">
      <c r="G305"/>
      <c r="H305"/>
      <c r="I305"/>
      <c r="J305"/>
      <c r="K305"/>
    </row>
    <row r="306" spans="7:11" x14ac:dyDescent="0.25">
      <c r="G306"/>
      <c r="H306"/>
      <c r="I306"/>
      <c r="J306"/>
      <c r="K306"/>
    </row>
    <row r="307" spans="7:11" x14ac:dyDescent="0.25">
      <c r="G307"/>
      <c r="H307"/>
      <c r="I307"/>
      <c r="J307"/>
      <c r="K307"/>
    </row>
    <row r="308" spans="7:11" x14ac:dyDescent="0.25">
      <c r="G308"/>
      <c r="H308"/>
      <c r="I308"/>
      <c r="J308"/>
      <c r="K308"/>
    </row>
    <row r="309" spans="7:11" x14ac:dyDescent="0.25">
      <c r="G309"/>
      <c r="H309"/>
      <c r="I309"/>
      <c r="J309"/>
      <c r="K309"/>
    </row>
    <row r="310" spans="7:11" x14ac:dyDescent="0.25">
      <c r="G310"/>
      <c r="H310"/>
      <c r="I310"/>
      <c r="J310"/>
      <c r="K310"/>
    </row>
    <row r="311" spans="7:11" x14ac:dyDescent="0.25">
      <c r="G311"/>
      <c r="H311"/>
      <c r="I311"/>
      <c r="J311"/>
      <c r="K311"/>
    </row>
    <row r="312" spans="7:11" x14ac:dyDescent="0.25">
      <c r="G312"/>
      <c r="H312"/>
      <c r="I312"/>
      <c r="J312"/>
      <c r="K312"/>
    </row>
    <row r="313" spans="7:11" x14ac:dyDescent="0.25">
      <c r="G313"/>
      <c r="H313"/>
      <c r="I313"/>
      <c r="J313"/>
      <c r="K313"/>
    </row>
    <row r="314" spans="7:11" x14ac:dyDescent="0.25">
      <c r="G314"/>
      <c r="H314"/>
      <c r="I314"/>
      <c r="J314"/>
      <c r="K314"/>
    </row>
    <row r="315" spans="7:11" x14ac:dyDescent="0.25">
      <c r="G315"/>
      <c r="H315"/>
      <c r="I315"/>
      <c r="J315"/>
      <c r="K315"/>
    </row>
    <row r="316" spans="7:11" x14ac:dyDescent="0.25">
      <c r="G316"/>
      <c r="H316"/>
      <c r="I316"/>
      <c r="J316"/>
      <c r="K316"/>
    </row>
    <row r="317" spans="7:11" x14ac:dyDescent="0.25">
      <c r="G317"/>
      <c r="H317"/>
      <c r="I317"/>
      <c r="J317"/>
      <c r="K317"/>
    </row>
    <row r="318" spans="7:11" x14ac:dyDescent="0.25">
      <c r="G318"/>
      <c r="H318"/>
      <c r="I318"/>
      <c r="J318"/>
      <c r="K318"/>
    </row>
    <row r="319" spans="7:11" x14ac:dyDescent="0.25">
      <c r="G319"/>
      <c r="H319"/>
      <c r="I319"/>
      <c r="J319"/>
      <c r="K319"/>
    </row>
    <row r="320" spans="7:11" x14ac:dyDescent="0.25">
      <c r="G320"/>
      <c r="H320"/>
      <c r="I320"/>
      <c r="J320"/>
      <c r="K320"/>
    </row>
    <row r="321" spans="7:11" x14ac:dyDescent="0.25">
      <c r="G321"/>
      <c r="H321"/>
      <c r="I321"/>
      <c r="J321"/>
      <c r="K321"/>
    </row>
    <row r="322" spans="7:11" x14ac:dyDescent="0.25">
      <c r="G322"/>
      <c r="H322"/>
      <c r="I322"/>
      <c r="J322"/>
      <c r="K322"/>
    </row>
    <row r="323" spans="7:11" x14ac:dyDescent="0.25">
      <c r="G323"/>
      <c r="H323"/>
      <c r="I323"/>
      <c r="J323"/>
      <c r="K323"/>
    </row>
    <row r="324" spans="7:11" x14ac:dyDescent="0.25">
      <c r="G324"/>
      <c r="H324"/>
      <c r="I324"/>
      <c r="J324"/>
      <c r="K324"/>
    </row>
    <row r="325" spans="7:11" x14ac:dyDescent="0.25">
      <c r="G325"/>
      <c r="H325"/>
      <c r="I325"/>
      <c r="J325"/>
      <c r="K325"/>
    </row>
    <row r="326" spans="7:11" x14ac:dyDescent="0.25">
      <c r="G326"/>
      <c r="H326"/>
      <c r="I326"/>
      <c r="J326"/>
      <c r="K326"/>
    </row>
    <row r="327" spans="7:11" x14ac:dyDescent="0.25">
      <c r="G327"/>
      <c r="H327"/>
      <c r="I327"/>
      <c r="J327"/>
      <c r="K327"/>
    </row>
    <row r="328" spans="7:11" x14ac:dyDescent="0.25">
      <c r="G328"/>
      <c r="H328"/>
      <c r="I328"/>
      <c r="J328"/>
      <c r="K328"/>
    </row>
    <row r="329" spans="7:11" x14ac:dyDescent="0.25">
      <c r="G329"/>
      <c r="H329"/>
      <c r="I329"/>
      <c r="J329"/>
      <c r="K329"/>
    </row>
    <row r="330" spans="7:11" x14ac:dyDescent="0.25">
      <c r="G330"/>
      <c r="H330"/>
      <c r="I330"/>
      <c r="J330"/>
      <c r="K330"/>
    </row>
    <row r="331" spans="7:11" x14ac:dyDescent="0.25">
      <c r="G331"/>
      <c r="H331"/>
      <c r="I331"/>
      <c r="J331"/>
      <c r="K331"/>
    </row>
    <row r="332" spans="7:11" x14ac:dyDescent="0.25">
      <c r="G332"/>
      <c r="H332"/>
      <c r="I332"/>
      <c r="J332"/>
      <c r="K332"/>
    </row>
    <row r="333" spans="7:11" x14ac:dyDescent="0.25">
      <c r="G333"/>
      <c r="H333"/>
      <c r="I333"/>
      <c r="J333"/>
      <c r="K333"/>
    </row>
    <row r="334" spans="7:11" x14ac:dyDescent="0.25">
      <c r="G334"/>
      <c r="H334"/>
      <c r="I334"/>
      <c r="J334"/>
      <c r="K334"/>
    </row>
    <row r="335" spans="7:11" x14ac:dyDescent="0.25">
      <c r="G335"/>
      <c r="H335"/>
      <c r="I335"/>
      <c r="J335"/>
      <c r="K335"/>
    </row>
    <row r="336" spans="7:11" x14ac:dyDescent="0.25">
      <c r="G336"/>
      <c r="H336"/>
      <c r="I336"/>
      <c r="J336"/>
      <c r="K336"/>
    </row>
    <row r="337" spans="7:11" x14ac:dyDescent="0.25">
      <c r="G337"/>
      <c r="H337"/>
      <c r="I337"/>
      <c r="J337"/>
      <c r="K337"/>
    </row>
    <row r="338" spans="7:11" x14ac:dyDescent="0.25">
      <c r="G338"/>
      <c r="H338"/>
      <c r="I338"/>
      <c r="J338"/>
      <c r="K338"/>
    </row>
    <row r="339" spans="7:11" x14ac:dyDescent="0.25">
      <c r="G339"/>
      <c r="H339"/>
      <c r="I339"/>
      <c r="J339"/>
      <c r="K339"/>
    </row>
    <row r="340" spans="7:11" x14ac:dyDescent="0.25">
      <c r="G340"/>
      <c r="H340"/>
      <c r="I340"/>
      <c r="J340"/>
      <c r="K340"/>
    </row>
    <row r="341" spans="7:11" x14ac:dyDescent="0.25">
      <c r="G341"/>
      <c r="H341"/>
      <c r="I341"/>
      <c r="J341"/>
      <c r="K341"/>
    </row>
    <row r="342" spans="7:11" x14ac:dyDescent="0.25">
      <c r="G342"/>
      <c r="H342"/>
      <c r="I342"/>
      <c r="J342"/>
      <c r="K342"/>
    </row>
    <row r="343" spans="7:11" x14ac:dyDescent="0.25">
      <c r="G343"/>
      <c r="H343"/>
      <c r="I343"/>
      <c r="J343"/>
      <c r="K343"/>
    </row>
    <row r="344" spans="7:11" x14ac:dyDescent="0.25">
      <c r="G344"/>
      <c r="H344"/>
      <c r="I344"/>
      <c r="J344"/>
      <c r="K344"/>
    </row>
    <row r="345" spans="7:11" x14ac:dyDescent="0.25">
      <c r="G345"/>
      <c r="H345"/>
      <c r="I345"/>
      <c r="J345"/>
      <c r="K345"/>
    </row>
    <row r="346" spans="7:11" x14ac:dyDescent="0.25">
      <c r="G346"/>
      <c r="H346"/>
      <c r="I346"/>
      <c r="J346"/>
      <c r="K346"/>
    </row>
    <row r="347" spans="7:11" x14ac:dyDescent="0.25">
      <c r="G347"/>
      <c r="H347"/>
      <c r="I347"/>
      <c r="J347"/>
      <c r="K347"/>
    </row>
    <row r="348" spans="7:11" x14ac:dyDescent="0.25">
      <c r="G348"/>
      <c r="H348"/>
      <c r="I348"/>
      <c r="J348"/>
      <c r="K348"/>
    </row>
    <row r="349" spans="7:11" x14ac:dyDescent="0.25">
      <c r="G349"/>
      <c r="H349"/>
      <c r="I349"/>
      <c r="J349"/>
      <c r="K349"/>
    </row>
    <row r="350" spans="7:11" x14ac:dyDescent="0.25">
      <c r="G350"/>
      <c r="H350"/>
      <c r="I350"/>
      <c r="J350"/>
      <c r="K350"/>
    </row>
    <row r="351" spans="7:11" x14ac:dyDescent="0.25">
      <c r="G351"/>
      <c r="H351"/>
      <c r="I351"/>
      <c r="J351"/>
      <c r="K351"/>
    </row>
    <row r="352" spans="7:11" x14ac:dyDescent="0.25">
      <c r="G352"/>
      <c r="H352"/>
      <c r="I352"/>
      <c r="J352"/>
      <c r="K352"/>
    </row>
    <row r="353" spans="7:11" x14ac:dyDescent="0.25">
      <c r="G353"/>
      <c r="H353"/>
      <c r="I353"/>
      <c r="J353"/>
      <c r="K353"/>
    </row>
    <row r="354" spans="7:11" x14ac:dyDescent="0.25">
      <c r="G354"/>
      <c r="H354"/>
      <c r="I354"/>
      <c r="J354"/>
      <c r="K354"/>
    </row>
    <row r="355" spans="7:11" x14ac:dyDescent="0.25">
      <c r="G355"/>
      <c r="H355"/>
      <c r="I355"/>
      <c r="J355"/>
      <c r="K355"/>
    </row>
    <row r="356" spans="7:11" x14ac:dyDescent="0.25">
      <c r="G356"/>
      <c r="H356"/>
      <c r="I356"/>
      <c r="J356"/>
      <c r="K356"/>
    </row>
    <row r="357" spans="7:11" x14ac:dyDescent="0.25">
      <c r="G357"/>
      <c r="H357"/>
      <c r="I357"/>
      <c r="J357"/>
      <c r="K357"/>
    </row>
    <row r="358" spans="7:11" x14ac:dyDescent="0.25">
      <c r="G358"/>
      <c r="H358"/>
      <c r="I358"/>
      <c r="J358"/>
      <c r="K358"/>
    </row>
    <row r="359" spans="7:11" x14ac:dyDescent="0.25">
      <c r="G359"/>
      <c r="H359"/>
      <c r="I359"/>
      <c r="J359"/>
      <c r="K359"/>
    </row>
    <row r="360" spans="7:11" x14ac:dyDescent="0.25">
      <c r="G360"/>
      <c r="H360"/>
      <c r="I360"/>
      <c r="J360"/>
      <c r="K360"/>
    </row>
    <row r="361" spans="7:11" x14ac:dyDescent="0.25">
      <c r="G361"/>
      <c r="H361"/>
      <c r="I361"/>
      <c r="J361"/>
      <c r="K361"/>
    </row>
    <row r="362" spans="7:11" x14ac:dyDescent="0.25">
      <c r="G362"/>
      <c r="H362"/>
      <c r="I362"/>
      <c r="J362"/>
      <c r="K362"/>
    </row>
    <row r="363" spans="7:11" x14ac:dyDescent="0.25">
      <c r="G363"/>
      <c r="H363"/>
      <c r="I363"/>
      <c r="J363"/>
      <c r="K363"/>
    </row>
    <row r="364" spans="7:11" x14ac:dyDescent="0.25">
      <c r="G364"/>
      <c r="H364"/>
      <c r="I364"/>
      <c r="J364"/>
      <c r="K364"/>
    </row>
    <row r="365" spans="7:11" x14ac:dyDescent="0.25">
      <c r="G365"/>
      <c r="H365"/>
      <c r="I365"/>
      <c r="J365"/>
      <c r="K365"/>
    </row>
    <row r="366" spans="7:11" x14ac:dyDescent="0.25">
      <c r="G366"/>
      <c r="H366"/>
      <c r="I366"/>
      <c r="J366"/>
      <c r="K366"/>
    </row>
    <row r="367" spans="7:11" x14ac:dyDescent="0.25">
      <c r="G367"/>
      <c r="H367"/>
      <c r="I367"/>
      <c r="J367"/>
      <c r="K367"/>
    </row>
    <row r="368" spans="7:11" x14ac:dyDescent="0.25">
      <c r="G368"/>
      <c r="H368"/>
      <c r="I368"/>
      <c r="J368"/>
      <c r="K368"/>
    </row>
    <row r="369" spans="7:11" x14ac:dyDescent="0.25">
      <c r="G369"/>
      <c r="H369"/>
      <c r="I369"/>
      <c r="J369"/>
      <c r="K369"/>
    </row>
    <row r="370" spans="7:11" x14ac:dyDescent="0.25">
      <c r="G370"/>
      <c r="H370"/>
      <c r="I370"/>
      <c r="J370"/>
      <c r="K370"/>
    </row>
    <row r="371" spans="7:11" x14ac:dyDescent="0.25">
      <c r="G371"/>
      <c r="H371"/>
      <c r="I371"/>
      <c r="J371"/>
      <c r="K371"/>
    </row>
    <row r="372" spans="7:11" x14ac:dyDescent="0.25">
      <c r="G372"/>
      <c r="H372"/>
      <c r="I372"/>
      <c r="J372"/>
      <c r="K372"/>
    </row>
    <row r="373" spans="7:11" x14ac:dyDescent="0.25">
      <c r="G373"/>
      <c r="H373"/>
      <c r="I373"/>
      <c r="J373"/>
      <c r="K373"/>
    </row>
    <row r="374" spans="7:11" x14ac:dyDescent="0.25">
      <c r="G374"/>
      <c r="H374"/>
      <c r="I374"/>
      <c r="J374"/>
      <c r="K374"/>
    </row>
    <row r="375" spans="7:11" x14ac:dyDescent="0.25">
      <c r="G375"/>
      <c r="H375"/>
      <c r="I375"/>
      <c r="J375"/>
      <c r="K375"/>
    </row>
    <row r="376" spans="7:11" x14ac:dyDescent="0.25">
      <c r="G376"/>
      <c r="H376"/>
      <c r="I376"/>
      <c r="J376"/>
      <c r="K376"/>
    </row>
    <row r="377" spans="7:11" x14ac:dyDescent="0.25">
      <c r="G377"/>
      <c r="H377"/>
      <c r="I377"/>
      <c r="J377"/>
      <c r="K377"/>
    </row>
    <row r="378" spans="7:11" x14ac:dyDescent="0.25">
      <c r="G378"/>
      <c r="H378"/>
      <c r="I378"/>
      <c r="J378"/>
    </row>
    <row r="379" spans="7:11" x14ac:dyDescent="0.25">
      <c r="G379"/>
      <c r="H379"/>
      <c r="I379"/>
      <c r="J379"/>
    </row>
    <row r="380" spans="7:11" x14ac:dyDescent="0.25">
      <c r="G380"/>
      <c r="H380"/>
      <c r="I380"/>
      <c r="J380"/>
    </row>
    <row r="381" spans="7:11" x14ac:dyDescent="0.25">
      <c r="G381"/>
      <c r="H381"/>
      <c r="I381"/>
      <c r="J381"/>
    </row>
    <row r="382" spans="7:11" x14ac:dyDescent="0.25">
      <c r="G382"/>
      <c r="H382"/>
      <c r="I382"/>
      <c r="J382"/>
    </row>
    <row r="383" spans="7:11" x14ac:dyDescent="0.25">
      <c r="G383"/>
      <c r="H383"/>
      <c r="I383"/>
      <c r="J383"/>
    </row>
    <row r="384" spans="7:11" x14ac:dyDescent="0.25">
      <c r="G384"/>
      <c r="H384"/>
      <c r="I384"/>
      <c r="J384"/>
    </row>
    <row r="385" spans="7:10" x14ac:dyDescent="0.25">
      <c r="G385"/>
      <c r="H385"/>
      <c r="I385"/>
      <c r="J385"/>
    </row>
    <row r="386" spans="7:10" x14ac:dyDescent="0.25">
      <c r="G386"/>
      <c r="H386"/>
      <c r="I386"/>
      <c r="J386"/>
    </row>
    <row r="387" spans="7:10" x14ac:dyDescent="0.25">
      <c r="G387"/>
      <c r="H387"/>
      <c r="I387"/>
      <c r="J387"/>
    </row>
    <row r="388" spans="7:10" x14ac:dyDescent="0.25">
      <c r="G388"/>
      <c r="H388"/>
      <c r="I388"/>
      <c r="J388"/>
    </row>
    <row r="389" spans="7:10" x14ac:dyDescent="0.25">
      <c r="G389"/>
      <c r="H389"/>
      <c r="I389"/>
      <c r="J389"/>
    </row>
    <row r="390" spans="7:10" x14ac:dyDescent="0.25">
      <c r="G390"/>
      <c r="H390"/>
      <c r="I390"/>
      <c r="J390"/>
    </row>
    <row r="391" spans="7:10" x14ac:dyDescent="0.25">
      <c r="G391"/>
      <c r="H391"/>
      <c r="I391"/>
      <c r="J391"/>
    </row>
    <row r="392" spans="7:10" x14ac:dyDescent="0.25">
      <c r="G392"/>
      <c r="H392"/>
      <c r="I392"/>
      <c r="J392"/>
    </row>
    <row r="393" spans="7:10" x14ac:dyDescent="0.25">
      <c r="G393"/>
      <c r="H393"/>
      <c r="I393"/>
      <c r="J393"/>
    </row>
    <row r="394" spans="7:10" x14ac:dyDescent="0.25">
      <c r="G394"/>
      <c r="H394"/>
      <c r="I394"/>
      <c r="J394"/>
    </row>
    <row r="395" spans="7:10" x14ac:dyDescent="0.25">
      <c r="G395"/>
      <c r="H395"/>
      <c r="I395"/>
      <c r="J395"/>
    </row>
    <row r="396" spans="7:10" x14ac:dyDescent="0.25">
      <c r="G396"/>
      <c r="H396"/>
      <c r="I396"/>
      <c r="J396"/>
    </row>
    <row r="397" spans="7:10" x14ac:dyDescent="0.25">
      <c r="G397"/>
      <c r="H397"/>
      <c r="I397"/>
      <c r="J397"/>
    </row>
    <row r="398" spans="7:10" x14ac:dyDescent="0.25">
      <c r="G398"/>
      <c r="H398"/>
      <c r="I398"/>
      <c r="J398"/>
    </row>
    <row r="399" spans="7:10" x14ac:dyDescent="0.25">
      <c r="G399"/>
      <c r="H399"/>
      <c r="I399"/>
      <c r="J399"/>
    </row>
    <row r="400" spans="7:10" x14ac:dyDescent="0.25">
      <c r="G400"/>
      <c r="H400"/>
      <c r="I400"/>
      <c r="J400"/>
    </row>
    <row r="401" spans="7:10" x14ac:dyDescent="0.25">
      <c r="G401"/>
      <c r="H401"/>
      <c r="I401"/>
      <c r="J401"/>
    </row>
    <row r="402" spans="7:10" x14ac:dyDescent="0.25">
      <c r="G402"/>
      <c r="H402"/>
      <c r="I402"/>
      <c r="J402"/>
    </row>
    <row r="403" spans="7:10" x14ac:dyDescent="0.25">
      <c r="G403"/>
      <c r="H403"/>
      <c r="I403"/>
      <c r="J403"/>
    </row>
    <row r="404" spans="7:10" x14ac:dyDescent="0.25">
      <c r="G404"/>
      <c r="H404"/>
      <c r="I404"/>
      <c r="J404"/>
    </row>
    <row r="405" spans="7:10" x14ac:dyDescent="0.25">
      <c r="G405"/>
      <c r="H405"/>
      <c r="I405"/>
      <c r="J405"/>
    </row>
    <row r="406" spans="7:10" x14ac:dyDescent="0.25">
      <c r="G406"/>
      <c r="H406"/>
      <c r="I406"/>
      <c r="J406"/>
    </row>
    <row r="407" spans="7:10" x14ac:dyDescent="0.25">
      <c r="G407"/>
      <c r="H407"/>
      <c r="I407"/>
      <c r="J407"/>
    </row>
    <row r="408" spans="7:10" x14ac:dyDescent="0.25">
      <c r="G408"/>
      <c r="H408"/>
      <c r="I408"/>
      <c r="J408"/>
    </row>
    <row r="409" spans="7:10" x14ac:dyDescent="0.25">
      <c r="G409"/>
      <c r="H409"/>
      <c r="I409"/>
      <c r="J409"/>
    </row>
    <row r="410" spans="7:10" x14ac:dyDescent="0.25">
      <c r="G410"/>
      <c r="H410"/>
      <c r="I410"/>
      <c r="J410"/>
    </row>
    <row r="411" spans="7:10" x14ac:dyDescent="0.25">
      <c r="G411"/>
      <c r="H411"/>
      <c r="I411"/>
      <c r="J411"/>
    </row>
    <row r="412" spans="7:10" x14ac:dyDescent="0.25">
      <c r="G412"/>
      <c r="H412"/>
      <c r="I412"/>
      <c r="J412"/>
    </row>
    <row r="413" spans="7:10" x14ac:dyDescent="0.25">
      <c r="G413"/>
      <c r="H413"/>
      <c r="I413"/>
      <c r="J413"/>
    </row>
    <row r="414" spans="7:10" x14ac:dyDescent="0.25">
      <c r="G414"/>
      <c r="H414"/>
      <c r="I414"/>
      <c r="J414"/>
    </row>
    <row r="415" spans="7:10" x14ac:dyDescent="0.25">
      <c r="G415"/>
      <c r="H415"/>
      <c r="I415"/>
      <c r="J415"/>
    </row>
    <row r="416" spans="7:10" x14ac:dyDescent="0.25">
      <c r="G416"/>
      <c r="H416"/>
      <c r="I416"/>
      <c r="J416"/>
    </row>
    <row r="417" spans="7:10" x14ac:dyDescent="0.25">
      <c r="G417"/>
      <c r="H417"/>
      <c r="I417"/>
      <c r="J417"/>
    </row>
    <row r="418" spans="7:10" x14ac:dyDescent="0.25">
      <c r="G418"/>
      <c r="H418"/>
      <c r="I418"/>
      <c r="J418"/>
    </row>
    <row r="419" spans="7:10" x14ac:dyDescent="0.25">
      <c r="G419"/>
      <c r="H419"/>
      <c r="I419"/>
      <c r="J419"/>
    </row>
    <row r="420" spans="7:10" x14ac:dyDescent="0.25">
      <c r="G420"/>
      <c r="H420"/>
      <c r="I420"/>
      <c r="J420"/>
    </row>
    <row r="421" spans="7:10" x14ac:dyDescent="0.25">
      <c r="G421"/>
      <c r="H421"/>
      <c r="I421"/>
      <c r="J421"/>
    </row>
    <row r="422" spans="7:10" x14ac:dyDescent="0.25">
      <c r="G422"/>
      <c r="H422"/>
      <c r="I422"/>
      <c r="J422"/>
    </row>
    <row r="423" spans="7:10" x14ac:dyDescent="0.25">
      <c r="G423"/>
      <c r="H423"/>
      <c r="I423"/>
      <c r="J423"/>
    </row>
    <row r="424" spans="7:10" x14ac:dyDescent="0.25">
      <c r="G424"/>
      <c r="H424"/>
      <c r="I424"/>
      <c r="J424"/>
    </row>
    <row r="425" spans="7:10" x14ac:dyDescent="0.25">
      <c r="G425"/>
      <c r="H425"/>
      <c r="I425"/>
      <c r="J425"/>
    </row>
    <row r="426" spans="7:10" x14ac:dyDescent="0.25">
      <c r="G426"/>
      <c r="H426"/>
      <c r="I426"/>
      <c r="J426"/>
    </row>
    <row r="427" spans="7:10" x14ac:dyDescent="0.25">
      <c r="G427"/>
      <c r="H427"/>
      <c r="I427"/>
      <c r="J427"/>
    </row>
    <row r="428" spans="7:10" x14ac:dyDescent="0.25">
      <c r="G428"/>
      <c r="H428"/>
      <c r="I428"/>
      <c r="J428"/>
    </row>
    <row r="429" spans="7:10" x14ac:dyDescent="0.25">
      <c r="G429"/>
      <c r="H429"/>
      <c r="I429"/>
      <c r="J429"/>
    </row>
    <row r="430" spans="7:10" x14ac:dyDescent="0.25">
      <c r="G430"/>
      <c r="H430"/>
      <c r="I430"/>
      <c r="J430"/>
    </row>
    <row r="431" spans="7:10" x14ac:dyDescent="0.25">
      <c r="G431"/>
      <c r="H431"/>
      <c r="I431"/>
      <c r="J431"/>
    </row>
    <row r="432" spans="7:10" x14ac:dyDescent="0.25">
      <c r="G432"/>
      <c r="H432"/>
      <c r="I432"/>
      <c r="J432"/>
    </row>
    <row r="433" spans="7:10" x14ac:dyDescent="0.25">
      <c r="G433"/>
      <c r="H433"/>
      <c r="I433"/>
      <c r="J433"/>
    </row>
    <row r="434" spans="7:10" x14ac:dyDescent="0.25">
      <c r="G434"/>
      <c r="H434"/>
      <c r="I434"/>
      <c r="J434"/>
    </row>
    <row r="435" spans="7:10" x14ac:dyDescent="0.25">
      <c r="G435"/>
      <c r="H435"/>
      <c r="I435"/>
      <c r="J435"/>
    </row>
    <row r="436" spans="7:10" x14ac:dyDescent="0.25">
      <c r="G436"/>
      <c r="H436"/>
      <c r="I436"/>
      <c r="J436"/>
    </row>
    <row r="437" spans="7:10" x14ac:dyDescent="0.25">
      <c r="G437"/>
      <c r="H437"/>
      <c r="I437"/>
      <c r="J437"/>
    </row>
    <row r="438" spans="7:10" x14ac:dyDescent="0.25">
      <c r="G438"/>
      <c r="H438"/>
      <c r="I438"/>
      <c r="J438"/>
    </row>
    <row r="439" spans="7:10" x14ac:dyDescent="0.25">
      <c r="G439"/>
      <c r="H439"/>
      <c r="I439"/>
      <c r="J439"/>
    </row>
    <row r="440" spans="7:10" x14ac:dyDescent="0.25">
      <c r="G440"/>
      <c r="H440"/>
      <c r="I440"/>
      <c r="J440"/>
    </row>
    <row r="441" spans="7:10" x14ac:dyDescent="0.25">
      <c r="G441"/>
      <c r="H441"/>
      <c r="I441"/>
      <c r="J441"/>
    </row>
    <row r="442" spans="7:10" x14ac:dyDescent="0.25">
      <c r="G442"/>
      <c r="H442"/>
      <c r="I442"/>
      <c r="J442"/>
    </row>
    <row r="443" spans="7:10" x14ac:dyDescent="0.25">
      <c r="G443"/>
      <c r="H443"/>
      <c r="I443"/>
      <c r="J443"/>
    </row>
    <row r="444" spans="7:10" x14ac:dyDescent="0.25">
      <c r="G444"/>
      <c r="H444"/>
      <c r="I444"/>
      <c r="J444"/>
    </row>
    <row r="445" spans="7:10" x14ac:dyDescent="0.25">
      <c r="G445"/>
      <c r="H445"/>
      <c r="I445"/>
      <c r="J445"/>
    </row>
    <row r="446" spans="7:10" x14ac:dyDescent="0.25">
      <c r="G446"/>
      <c r="H446"/>
      <c r="I446"/>
      <c r="J446"/>
    </row>
    <row r="447" spans="7:10" x14ac:dyDescent="0.25">
      <c r="G447"/>
      <c r="H447"/>
      <c r="I447"/>
      <c r="J447"/>
    </row>
    <row r="448" spans="7:10" x14ac:dyDescent="0.25">
      <c r="G448"/>
      <c r="H448"/>
      <c r="I448"/>
      <c r="J448"/>
    </row>
    <row r="449" spans="7:10" x14ac:dyDescent="0.25">
      <c r="G449"/>
      <c r="H449"/>
      <c r="I449"/>
      <c r="J449"/>
    </row>
    <row r="450" spans="7:10" x14ac:dyDescent="0.25">
      <c r="G450"/>
      <c r="H450"/>
      <c r="I450"/>
      <c r="J450"/>
    </row>
    <row r="451" spans="7:10" x14ac:dyDescent="0.25">
      <c r="G451"/>
      <c r="H451"/>
      <c r="I451"/>
      <c r="J451"/>
    </row>
    <row r="452" spans="7:10" x14ac:dyDescent="0.25">
      <c r="G452"/>
      <c r="H452"/>
      <c r="I452"/>
      <c r="J452"/>
    </row>
    <row r="453" spans="7:10" x14ac:dyDescent="0.25">
      <c r="G453"/>
      <c r="H453"/>
      <c r="I453"/>
      <c r="J453"/>
    </row>
    <row r="454" spans="7:10" x14ac:dyDescent="0.25">
      <c r="G454"/>
      <c r="H454"/>
      <c r="I454"/>
      <c r="J454"/>
    </row>
    <row r="455" spans="7:10" x14ac:dyDescent="0.25">
      <c r="G455"/>
      <c r="H455"/>
      <c r="I455"/>
      <c r="J455"/>
    </row>
    <row r="456" spans="7:10" x14ac:dyDescent="0.25">
      <c r="G456"/>
      <c r="H456"/>
      <c r="I456"/>
      <c r="J456"/>
    </row>
    <row r="457" spans="7:10" x14ac:dyDescent="0.25">
      <c r="G457"/>
      <c r="H457"/>
      <c r="I457"/>
      <c r="J457"/>
    </row>
    <row r="458" spans="7:10" x14ac:dyDescent="0.25">
      <c r="G458"/>
      <c r="H458"/>
      <c r="I458"/>
      <c r="J458"/>
    </row>
    <row r="459" spans="7:10" x14ac:dyDescent="0.25">
      <c r="G459"/>
      <c r="H459"/>
      <c r="I459"/>
      <c r="J459"/>
    </row>
    <row r="460" spans="7:10" x14ac:dyDescent="0.25">
      <c r="G460"/>
      <c r="H460"/>
      <c r="I460"/>
      <c r="J460"/>
    </row>
    <row r="461" spans="7:10" x14ac:dyDescent="0.25">
      <c r="G461"/>
      <c r="H461"/>
      <c r="I461"/>
      <c r="J461"/>
    </row>
    <row r="462" spans="7:10" x14ac:dyDescent="0.25">
      <c r="G462"/>
      <c r="H462"/>
      <c r="I462"/>
      <c r="J462"/>
    </row>
    <row r="463" spans="7:10" x14ac:dyDescent="0.25">
      <c r="G463"/>
      <c r="H463"/>
      <c r="I463"/>
      <c r="J463"/>
    </row>
    <row r="464" spans="7:10" x14ac:dyDescent="0.25">
      <c r="G464"/>
      <c r="H464"/>
      <c r="I464"/>
      <c r="J464"/>
    </row>
    <row r="465" spans="7:10" x14ac:dyDescent="0.25">
      <c r="G465"/>
      <c r="H465"/>
      <c r="I465"/>
      <c r="J465"/>
    </row>
    <row r="466" spans="7:10" x14ac:dyDescent="0.25">
      <c r="G466"/>
      <c r="H466"/>
      <c r="I466"/>
      <c r="J466"/>
    </row>
    <row r="467" spans="7:10" x14ac:dyDescent="0.25">
      <c r="G467"/>
      <c r="H467"/>
      <c r="I467"/>
      <c r="J467"/>
    </row>
    <row r="468" spans="7:10" x14ac:dyDescent="0.25">
      <c r="G468"/>
      <c r="H468"/>
      <c r="I468"/>
      <c r="J468"/>
    </row>
    <row r="469" spans="7:10" x14ac:dyDescent="0.25">
      <c r="G469"/>
      <c r="H469"/>
      <c r="I469"/>
      <c r="J469"/>
    </row>
    <row r="470" spans="7:10" x14ac:dyDescent="0.25">
      <c r="G470"/>
      <c r="H470"/>
      <c r="I470"/>
      <c r="J470"/>
    </row>
    <row r="471" spans="7:10" x14ac:dyDescent="0.25">
      <c r="G471"/>
      <c r="H471"/>
      <c r="I471"/>
      <c r="J471"/>
    </row>
    <row r="472" spans="7:10" x14ac:dyDescent="0.25">
      <c r="G472"/>
      <c r="H472"/>
      <c r="I472"/>
      <c r="J472"/>
    </row>
    <row r="473" spans="7:10" x14ac:dyDescent="0.25">
      <c r="G473"/>
      <c r="H473"/>
      <c r="I473"/>
      <c r="J473"/>
    </row>
    <row r="474" spans="7:10" x14ac:dyDescent="0.25">
      <c r="G474"/>
      <c r="H474"/>
      <c r="I474"/>
      <c r="J474"/>
    </row>
    <row r="475" spans="7:10" x14ac:dyDescent="0.25">
      <c r="G475"/>
      <c r="H475"/>
      <c r="I475"/>
      <c r="J475"/>
    </row>
    <row r="476" spans="7:10" x14ac:dyDescent="0.25">
      <c r="G476"/>
      <c r="H476"/>
      <c r="I476"/>
      <c r="J476"/>
    </row>
    <row r="477" spans="7:10" x14ac:dyDescent="0.25">
      <c r="G477"/>
      <c r="H477"/>
      <c r="I477"/>
      <c r="J477"/>
    </row>
    <row r="478" spans="7:10" x14ac:dyDescent="0.25">
      <c r="G478"/>
      <c r="H478"/>
      <c r="I478"/>
      <c r="J478"/>
    </row>
    <row r="479" spans="7:10" x14ac:dyDescent="0.25">
      <c r="G479"/>
      <c r="H479"/>
      <c r="I479"/>
      <c r="J479"/>
    </row>
    <row r="480" spans="7:10" x14ac:dyDescent="0.25">
      <c r="G480"/>
      <c r="H480"/>
      <c r="I480"/>
      <c r="J480"/>
    </row>
    <row r="481" spans="7:10" x14ac:dyDescent="0.25">
      <c r="G481"/>
      <c r="H481"/>
      <c r="I481"/>
      <c r="J481"/>
    </row>
    <row r="482" spans="7:10" x14ac:dyDescent="0.25">
      <c r="G482"/>
      <c r="H482"/>
      <c r="I482"/>
      <c r="J482"/>
    </row>
    <row r="483" spans="7:10" x14ac:dyDescent="0.25">
      <c r="G483"/>
      <c r="H483"/>
      <c r="I483"/>
      <c r="J483"/>
    </row>
    <row r="484" spans="7:10" x14ac:dyDescent="0.25">
      <c r="G484"/>
      <c r="H484"/>
      <c r="I484"/>
      <c r="J484"/>
    </row>
    <row r="485" spans="7:10" x14ac:dyDescent="0.25">
      <c r="G485"/>
      <c r="H485"/>
      <c r="I485"/>
      <c r="J485"/>
    </row>
    <row r="486" spans="7:10" x14ac:dyDescent="0.25">
      <c r="G486"/>
      <c r="H486"/>
      <c r="I486"/>
      <c r="J486"/>
    </row>
    <row r="487" spans="7:10" x14ac:dyDescent="0.25">
      <c r="G487"/>
      <c r="H487"/>
      <c r="I487"/>
      <c r="J487"/>
    </row>
    <row r="488" spans="7:10" x14ac:dyDescent="0.25">
      <c r="G488"/>
      <c r="H488"/>
      <c r="I488"/>
      <c r="J488"/>
    </row>
    <row r="489" spans="7:10" x14ac:dyDescent="0.25">
      <c r="G489"/>
      <c r="H489"/>
      <c r="I489"/>
      <c r="J489"/>
    </row>
    <row r="490" spans="7:10" x14ac:dyDescent="0.25">
      <c r="G490"/>
      <c r="H490"/>
      <c r="I490"/>
      <c r="J490"/>
    </row>
    <row r="491" spans="7:10" x14ac:dyDescent="0.25">
      <c r="G491"/>
      <c r="H491"/>
      <c r="I491"/>
      <c r="J491"/>
    </row>
    <row r="492" spans="7:10" x14ac:dyDescent="0.25">
      <c r="G492"/>
      <c r="H492"/>
      <c r="I492"/>
      <c r="J492"/>
    </row>
    <row r="493" spans="7:10" x14ac:dyDescent="0.25">
      <c r="G493"/>
      <c r="H493"/>
      <c r="I493"/>
      <c r="J493"/>
    </row>
    <row r="494" spans="7:10" x14ac:dyDescent="0.25">
      <c r="G494"/>
      <c r="H494"/>
      <c r="I494"/>
      <c r="J494"/>
    </row>
    <row r="495" spans="7:10" x14ac:dyDescent="0.25">
      <c r="G495"/>
      <c r="H495"/>
      <c r="I495"/>
      <c r="J495"/>
    </row>
    <row r="496" spans="7:10" x14ac:dyDescent="0.25">
      <c r="G496"/>
      <c r="H496"/>
      <c r="I496"/>
      <c r="J496"/>
    </row>
    <row r="497" spans="7:10" x14ac:dyDescent="0.25">
      <c r="G497"/>
      <c r="H497"/>
      <c r="I497"/>
      <c r="J497"/>
    </row>
    <row r="498" spans="7:10" x14ac:dyDescent="0.25">
      <c r="G498"/>
      <c r="H498"/>
      <c r="I498"/>
      <c r="J498"/>
    </row>
    <row r="499" spans="7:10" x14ac:dyDescent="0.25">
      <c r="G499"/>
      <c r="H499"/>
      <c r="I499"/>
      <c r="J499"/>
    </row>
    <row r="500" spans="7:10" x14ac:dyDescent="0.25">
      <c r="G500"/>
      <c r="H500"/>
      <c r="I500"/>
      <c r="J500"/>
    </row>
    <row r="501" spans="7:10" x14ac:dyDescent="0.25">
      <c r="G501"/>
      <c r="H501"/>
      <c r="I501"/>
      <c r="J501"/>
    </row>
    <row r="502" spans="7:10" x14ac:dyDescent="0.25">
      <c r="G502"/>
      <c r="H502"/>
      <c r="I502"/>
      <c r="J502"/>
    </row>
    <row r="503" spans="7:10" x14ac:dyDescent="0.25">
      <c r="G503"/>
      <c r="H503"/>
      <c r="I503"/>
      <c r="J503"/>
    </row>
    <row r="504" spans="7:10" x14ac:dyDescent="0.25">
      <c r="G504"/>
      <c r="H504"/>
      <c r="I504"/>
      <c r="J504"/>
    </row>
    <row r="505" spans="7:10" x14ac:dyDescent="0.25">
      <c r="G505"/>
      <c r="H505"/>
      <c r="I505"/>
      <c r="J505"/>
    </row>
    <row r="506" spans="7:10" x14ac:dyDescent="0.25">
      <c r="G506"/>
      <c r="H506"/>
      <c r="I506"/>
      <c r="J506"/>
    </row>
    <row r="507" spans="7:10" x14ac:dyDescent="0.25">
      <c r="G507"/>
      <c r="H507"/>
      <c r="I507"/>
      <c r="J507"/>
    </row>
    <row r="508" spans="7:10" x14ac:dyDescent="0.25">
      <c r="G508"/>
      <c r="H508"/>
      <c r="I508"/>
      <c r="J508"/>
    </row>
    <row r="509" spans="7:10" x14ac:dyDescent="0.25">
      <c r="G509"/>
      <c r="H509"/>
      <c r="I509"/>
      <c r="J509"/>
    </row>
    <row r="510" spans="7:10" x14ac:dyDescent="0.25">
      <c r="G510"/>
      <c r="H510"/>
      <c r="I510"/>
      <c r="J510"/>
    </row>
    <row r="511" spans="7:10" x14ac:dyDescent="0.25">
      <c r="G511"/>
      <c r="H511"/>
      <c r="I511"/>
      <c r="J511"/>
    </row>
    <row r="512" spans="7:10" x14ac:dyDescent="0.25">
      <c r="G512"/>
      <c r="H512"/>
      <c r="I512"/>
      <c r="J512"/>
    </row>
    <row r="513" spans="7:10" x14ac:dyDescent="0.25">
      <c r="G513"/>
      <c r="H513"/>
      <c r="I513"/>
      <c r="J513"/>
    </row>
    <row r="514" spans="7:10" x14ac:dyDescent="0.25">
      <c r="G514"/>
      <c r="H514"/>
      <c r="I514"/>
      <c r="J514"/>
    </row>
    <row r="515" spans="7:10" x14ac:dyDescent="0.25">
      <c r="G515"/>
      <c r="H515"/>
      <c r="I515"/>
      <c r="J515"/>
    </row>
    <row r="516" spans="7:10" x14ac:dyDescent="0.25">
      <c r="G516"/>
      <c r="H516"/>
      <c r="I516"/>
      <c r="J516"/>
    </row>
    <row r="517" spans="7:10" x14ac:dyDescent="0.25">
      <c r="G517"/>
      <c r="H517"/>
      <c r="I517"/>
      <c r="J517"/>
    </row>
    <row r="518" spans="7:10" x14ac:dyDescent="0.25">
      <c r="G518"/>
      <c r="H518"/>
      <c r="I518"/>
      <c r="J518"/>
    </row>
    <row r="519" spans="7:10" x14ac:dyDescent="0.25">
      <c r="G519"/>
      <c r="H519"/>
      <c r="I519"/>
      <c r="J519"/>
    </row>
    <row r="520" spans="7:10" x14ac:dyDescent="0.25">
      <c r="G520"/>
      <c r="H520"/>
      <c r="I520"/>
      <c r="J520"/>
    </row>
    <row r="521" spans="7:10" x14ac:dyDescent="0.25">
      <c r="G521"/>
      <c r="H521"/>
      <c r="I521"/>
      <c r="J521"/>
    </row>
    <row r="522" spans="7:10" x14ac:dyDescent="0.25">
      <c r="G522"/>
      <c r="H522"/>
      <c r="I522"/>
      <c r="J522"/>
    </row>
    <row r="523" spans="7:10" x14ac:dyDescent="0.25">
      <c r="G523"/>
      <c r="H523"/>
      <c r="I523"/>
      <c r="J523"/>
    </row>
    <row r="524" spans="7:10" x14ac:dyDescent="0.25">
      <c r="G524"/>
      <c r="H524"/>
      <c r="I524"/>
      <c r="J524"/>
    </row>
    <row r="525" spans="7:10" x14ac:dyDescent="0.25">
      <c r="G525"/>
      <c r="H525"/>
      <c r="I525"/>
      <c r="J525"/>
    </row>
    <row r="526" spans="7:10" x14ac:dyDescent="0.25">
      <c r="G526"/>
      <c r="H526"/>
      <c r="I526"/>
      <c r="J526"/>
    </row>
    <row r="527" spans="7:10" x14ac:dyDescent="0.25">
      <c r="G527"/>
      <c r="H527"/>
      <c r="I527"/>
      <c r="J527"/>
    </row>
    <row r="528" spans="7:10" x14ac:dyDescent="0.25">
      <c r="G528"/>
      <c r="H528"/>
      <c r="I528"/>
      <c r="J528"/>
    </row>
    <row r="529" spans="7:10" x14ac:dyDescent="0.25">
      <c r="G529"/>
      <c r="H529"/>
      <c r="I529"/>
      <c r="J529"/>
    </row>
    <row r="530" spans="7:10" x14ac:dyDescent="0.25">
      <c r="G530"/>
      <c r="H530"/>
      <c r="I530"/>
      <c r="J530"/>
    </row>
    <row r="531" spans="7:10" x14ac:dyDescent="0.25">
      <c r="G531"/>
      <c r="H531"/>
      <c r="I531"/>
      <c r="J531"/>
    </row>
    <row r="532" spans="7:10" x14ac:dyDescent="0.25">
      <c r="G532"/>
      <c r="H532"/>
      <c r="I532"/>
      <c r="J532"/>
    </row>
    <row r="533" spans="7:10" x14ac:dyDescent="0.25">
      <c r="G533"/>
      <c r="H533"/>
      <c r="I533"/>
      <c r="J533"/>
    </row>
    <row r="534" spans="7:10" x14ac:dyDescent="0.25">
      <c r="G534"/>
      <c r="H534"/>
      <c r="I534"/>
      <c r="J534"/>
    </row>
    <row r="535" spans="7:10" x14ac:dyDescent="0.25">
      <c r="G535"/>
      <c r="H535"/>
      <c r="I535"/>
      <c r="J535"/>
    </row>
    <row r="536" spans="7:10" x14ac:dyDescent="0.25">
      <c r="G536"/>
      <c r="H536"/>
      <c r="I536"/>
      <c r="J536"/>
    </row>
    <row r="537" spans="7:10" x14ac:dyDescent="0.25">
      <c r="G537"/>
      <c r="H537"/>
      <c r="I537"/>
      <c r="J537"/>
    </row>
    <row r="538" spans="7:10" x14ac:dyDescent="0.25">
      <c r="G538"/>
      <c r="H538"/>
      <c r="I538"/>
      <c r="J538"/>
    </row>
    <row r="539" spans="7:10" x14ac:dyDescent="0.25">
      <c r="G539"/>
      <c r="H539"/>
      <c r="I539"/>
      <c r="J539"/>
    </row>
    <row r="540" spans="7:10" x14ac:dyDescent="0.25">
      <c r="G540"/>
      <c r="H540"/>
      <c r="I540"/>
      <c r="J540"/>
    </row>
    <row r="541" spans="7:10" x14ac:dyDescent="0.25">
      <c r="G541"/>
      <c r="H541"/>
      <c r="I541"/>
      <c r="J541"/>
    </row>
    <row r="542" spans="7:10" x14ac:dyDescent="0.25">
      <c r="G542"/>
      <c r="H542"/>
      <c r="I542"/>
      <c r="J542"/>
    </row>
    <row r="543" spans="7:10" x14ac:dyDescent="0.25">
      <c r="G543"/>
      <c r="H543"/>
      <c r="I543"/>
      <c r="J543"/>
    </row>
    <row r="544" spans="7:10" x14ac:dyDescent="0.25">
      <c r="G544"/>
      <c r="H544"/>
      <c r="I544"/>
      <c r="J544"/>
    </row>
    <row r="545" spans="7:10" x14ac:dyDescent="0.25">
      <c r="G545"/>
      <c r="H545"/>
      <c r="I545"/>
      <c r="J545"/>
    </row>
    <row r="546" spans="7:10" x14ac:dyDescent="0.25">
      <c r="G546"/>
      <c r="H546"/>
      <c r="I546"/>
      <c r="J546"/>
    </row>
    <row r="547" spans="7:10" x14ac:dyDescent="0.25">
      <c r="G547"/>
      <c r="H547"/>
      <c r="I547"/>
      <c r="J547"/>
    </row>
    <row r="548" spans="7:10" x14ac:dyDescent="0.25">
      <c r="G548"/>
      <c r="H548"/>
      <c r="I548"/>
      <c r="J548"/>
    </row>
    <row r="549" spans="7:10" x14ac:dyDescent="0.25">
      <c r="G549"/>
      <c r="H549"/>
      <c r="I549"/>
      <c r="J549"/>
    </row>
    <row r="550" spans="7:10" x14ac:dyDescent="0.25">
      <c r="G550"/>
      <c r="H550"/>
      <c r="I550"/>
      <c r="J550"/>
    </row>
    <row r="551" spans="7:10" x14ac:dyDescent="0.25">
      <c r="G551"/>
      <c r="H551"/>
      <c r="I551"/>
      <c r="J551"/>
    </row>
    <row r="552" spans="7:10" x14ac:dyDescent="0.25">
      <c r="G552"/>
      <c r="H552"/>
      <c r="I552"/>
      <c r="J552"/>
    </row>
    <row r="553" spans="7:10" x14ac:dyDescent="0.25">
      <c r="G553"/>
      <c r="H553"/>
      <c r="I553"/>
      <c r="J553"/>
    </row>
    <row r="554" spans="7:10" x14ac:dyDescent="0.25">
      <c r="G554"/>
      <c r="H554"/>
      <c r="I554"/>
      <c r="J554"/>
    </row>
    <row r="555" spans="7:10" x14ac:dyDescent="0.25">
      <c r="G555"/>
      <c r="H555"/>
      <c r="I555"/>
      <c r="J555"/>
    </row>
    <row r="556" spans="7:10" x14ac:dyDescent="0.25">
      <c r="G556"/>
      <c r="H556"/>
      <c r="I556"/>
      <c r="J556"/>
    </row>
    <row r="557" spans="7:10" x14ac:dyDescent="0.25">
      <c r="G557"/>
      <c r="H557"/>
      <c r="I557"/>
      <c r="J557"/>
    </row>
    <row r="558" spans="7:10" x14ac:dyDescent="0.25">
      <c r="G558"/>
      <c r="H558"/>
      <c r="I558"/>
      <c r="J558"/>
    </row>
    <row r="559" spans="7:10" x14ac:dyDescent="0.25">
      <c r="G559"/>
      <c r="H559"/>
      <c r="I559"/>
      <c r="J559"/>
    </row>
    <row r="560" spans="7:10" x14ac:dyDescent="0.25">
      <c r="G560"/>
      <c r="H560"/>
      <c r="I560"/>
      <c r="J560"/>
    </row>
    <row r="561" spans="7:10" x14ac:dyDescent="0.25">
      <c r="G561"/>
      <c r="H561"/>
      <c r="I561"/>
      <c r="J561"/>
    </row>
    <row r="562" spans="7:10" x14ac:dyDescent="0.25">
      <c r="G562"/>
      <c r="H562"/>
      <c r="I562"/>
      <c r="J562"/>
    </row>
    <row r="563" spans="7:10" x14ac:dyDescent="0.25">
      <c r="G563"/>
      <c r="H563"/>
      <c r="I563"/>
      <c r="J563"/>
    </row>
    <row r="564" spans="7:10" x14ac:dyDescent="0.25">
      <c r="G564"/>
      <c r="H564"/>
      <c r="I564"/>
      <c r="J564"/>
    </row>
    <row r="565" spans="7:10" x14ac:dyDescent="0.25">
      <c r="G565"/>
      <c r="H565"/>
      <c r="I565"/>
      <c r="J565"/>
    </row>
    <row r="566" spans="7:10" x14ac:dyDescent="0.25">
      <c r="G566"/>
      <c r="H566"/>
      <c r="I566"/>
      <c r="J566"/>
    </row>
    <row r="567" spans="7:10" x14ac:dyDescent="0.25">
      <c r="G567"/>
      <c r="H567"/>
      <c r="I567"/>
      <c r="J567"/>
    </row>
    <row r="568" spans="7:10" x14ac:dyDescent="0.25">
      <c r="G568"/>
      <c r="H568"/>
      <c r="I568"/>
      <c r="J568"/>
    </row>
    <row r="569" spans="7:10" x14ac:dyDescent="0.25">
      <c r="G569"/>
      <c r="H569"/>
      <c r="I569"/>
      <c r="J569"/>
    </row>
    <row r="570" spans="7:10" x14ac:dyDescent="0.25">
      <c r="G570"/>
      <c r="H570"/>
      <c r="I570"/>
      <c r="J570"/>
    </row>
    <row r="571" spans="7:10" x14ac:dyDescent="0.25">
      <c r="G571"/>
      <c r="H571"/>
      <c r="I571"/>
      <c r="J571"/>
    </row>
    <row r="572" spans="7:10" x14ac:dyDescent="0.25">
      <c r="G572"/>
      <c r="H572"/>
      <c r="I572"/>
      <c r="J572"/>
    </row>
    <row r="573" spans="7:10" x14ac:dyDescent="0.25">
      <c r="G573"/>
      <c r="H573"/>
      <c r="I573"/>
      <c r="J573"/>
    </row>
    <row r="574" spans="7:10" x14ac:dyDescent="0.25">
      <c r="G574"/>
      <c r="H574"/>
      <c r="I574"/>
      <c r="J574"/>
    </row>
    <row r="575" spans="7:10" x14ac:dyDescent="0.25">
      <c r="G575"/>
      <c r="H575"/>
      <c r="I575"/>
      <c r="J575"/>
    </row>
    <row r="576" spans="7:10" x14ac:dyDescent="0.25">
      <c r="G576"/>
      <c r="H576"/>
      <c r="I576"/>
      <c r="J576"/>
    </row>
    <row r="577" spans="7:10" x14ac:dyDescent="0.25">
      <c r="G577"/>
      <c r="H577"/>
      <c r="I577"/>
      <c r="J577"/>
    </row>
    <row r="578" spans="7:10" x14ac:dyDescent="0.25">
      <c r="G578"/>
      <c r="H578"/>
      <c r="I578"/>
      <c r="J578"/>
    </row>
    <row r="579" spans="7:10" x14ac:dyDescent="0.25">
      <c r="G579"/>
      <c r="H579"/>
      <c r="I579"/>
      <c r="J579"/>
    </row>
    <row r="580" spans="7:10" x14ac:dyDescent="0.25">
      <c r="G580"/>
      <c r="H580"/>
      <c r="I580"/>
      <c r="J580"/>
    </row>
    <row r="581" spans="7:10" x14ac:dyDescent="0.25">
      <c r="G581"/>
      <c r="H581"/>
      <c r="I581"/>
      <c r="J581"/>
    </row>
    <row r="582" spans="7:10" x14ac:dyDescent="0.25">
      <c r="G582"/>
      <c r="H582"/>
      <c r="I582"/>
      <c r="J582"/>
    </row>
    <row r="583" spans="7:10" x14ac:dyDescent="0.25">
      <c r="G583"/>
      <c r="H583"/>
      <c r="I583"/>
      <c r="J583"/>
    </row>
    <row r="584" spans="7:10" x14ac:dyDescent="0.25">
      <c r="G584"/>
      <c r="H584"/>
      <c r="I584"/>
      <c r="J584"/>
    </row>
    <row r="585" spans="7:10" x14ac:dyDescent="0.25">
      <c r="G585"/>
      <c r="H585"/>
      <c r="I585"/>
      <c r="J585"/>
    </row>
    <row r="586" spans="7:10" x14ac:dyDescent="0.25">
      <c r="G586"/>
      <c r="H586"/>
      <c r="I586"/>
      <c r="J586"/>
    </row>
    <row r="587" spans="7:10" x14ac:dyDescent="0.25">
      <c r="G587"/>
      <c r="H587"/>
      <c r="I587"/>
      <c r="J587"/>
    </row>
    <row r="588" spans="7:10" x14ac:dyDescent="0.25">
      <c r="G588"/>
      <c r="H588"/>
      <c r="I588"/>
      <c r="J588"/>
    </row>
    <row r="589" spans="7:10" x14ac:dyDescent="0.25">
      <c r="G589"/>
      <c r="H589"/>
      <c r="I589"/>
      <c r="J589"/>
    </row>
    <row r="590" spans="7:10" x14ac:dyDescent="0.25">
      <c r="G590"/>
      <c r="H590"/>
      <c r="I590"/>
      <c r="J590"/>
    </row>
    <row r="591" spans="7:10" x14ac:dyDescent="0.25">
      <c r="G591"/>
      <c r="H591"/>
      <c r="I591"/>
      <c r="J591"/>
    </row>
    <row r="592" spans="7:10" x14ac:dyDescent="0.25">
      <c r="G592"/>
      <c r="H592"/>
      <c r="I592"/>
      <c r="J592"/>
    </row>
    <row r="593" spans="7:10" x14ac:dyDescent="0.25">
      <c r="G593"/>
      <c r="H593"/>
      <c r="I593"/>
      <c r="J593"/>
    </row>
    <row r="594" spans="7:10" x14ac:dyDescent="0.25">
      <c r="G594"/>
      <c r="H594"/>
      <c r="I594"/>
      <c r="J594"/>
    </row>
    <row r="595" spans="7:10" x14ac:dyDescent="0.25">
      <c r="G595"/>
      <c r="H595"/>
      <c r="I595"/>
      <c r="J595"/>
    </row>
    <row r="596" spans="7:10" x14ac:dyDescent="0.25">
      <c r="G596"/>
      <c r="H596"/>
      <c r="I596"/>
      <c r="J596"/>
    </row>
    <row r="597" spans="7:10" x14ac:dyDescent="0.25">
      <c r="G597"/>
      <c r="H597"/>
      <c r="I597"/>
      <c r="J597"/>
    </row>
    <row r="598" spans="7:10" x14ac:dyDescent="0.25">
      <c r="G598"/>
      <c r="H598"/>
      <c r="I598"/>
      <c r="J598"/>
    </row>
    <row r="599" spans="7:10" x14ac:dyDescent="0.25">
      <c r="G599"/>
      <c r="H599"/>
      <c r="I599"/>
      <c r="J599"/>
    </row>
    <row r="600" spans="7:10" x14ac:dyDescent="0.25">
      <c r="G600"/>
      <c r="H600"/>
      <c r="I600"/>
      <c r="J600"/>
    </row>
    <row r="601" spans="7:10" x14ac:dyDescent="0.25">
      <c r="G601"/>
      <c r="H601"/>
      <c r="I601"/>
      <c r="J601"/>
    </row>
    <row r="602" spans="7:10" x14ac:dyDescent="0.25">
      <c r="G602"/>
      <c r="H602"/>
      <c r="I602"/>
      <c r="J602"/>
    </row>
    <row r="603" spans="7:10" x14ac:dyDescent="0.25">
      <c r="G603"/>
      <c r="H603"/>
      <c r="I603"/>
      <c r="J603"/>
    </row>
    <row r="604" spans="7:10" x14ac:dyDescent="0.25">
      <c r="G604"/>
      <c r="H604"/>
      <c r="I604"/>
      <c r="J604"/>
    </row>
    <row r="605" spans="7:10" x14ac:dyDescent="0.25">
      <c r="G605"/>
      <c r="H605"/>
      <c r="I605"/>
      <c r="J605"/>
    </row>
    <row r="606" spans="7:10" x14ac:dyDescent="0.25">
      <c r="G606"/>
      <c r="H606"/>
      <c r="I606"/>
      <c r="J606"/>
    </row>
    <row r="607" spans="7:10" x14ac:dyDescent="0.25">
      <c r="G607"/>
      <c r="H607"/>
      <c r="I607"/>
      <c r="J607"/>
    </row>
    <row r="608" spans="7:10" x14ac:dyDescent="0.25">
      <c r="G608"/>
      <c r="H608"/>
      <c r="I608"/>
      <c r="J608"/>
    </row>
    <row r="609" spans="7:10" x14ac:dyDescent="0.25">
      <c r="G609"/>
      <c r="H609"/>
      <c r="I609"/>
      <c r="J609"/>
    </row>
    <row r="610" spans="7:10" x14ac:dyDescent="0.25">
      <c r="G610"/>
      <c r="H610"/>
      <c r="I610"/>
      <c r="J610"/>
    </row>
    <row r="611" spans="7:10" x14ac:dyDescent="0.25">
      <c r="G611"/>
      <c r="H611"/>
      <c r="I611"/>
      <c r="J611"/>
    </row>
    <row r="612" spans="7:10" x14ac:dyDescent="0.25">
      <c r="G612"/>
      <c r="H612"/>
      <c r="I612"/>
      <c r="J612"/>
    </row>
    <row r="613" spans="7:10" x14ac:dyDescent="0.25">
      <c r="G613"/>
      <c r="H613"/>
      <c r="I613"/>
      <c r="J613"/>
    </row>
    <row r="614" spans="7:10" x14ac:dyDescent="0.25">
      <c r="G614"/>
      <c r="H614"/>
      <c r="I614"/>
      <c r="J614"/>
    </row>
    <row r="615" spans="7:10" x14ac:dyDescent="0.25">
      <c r="G615"/>
      <c r="H615"/>
      <c r="I615"/>
      <c r="J615"/>
    </row>
    <row r="616" spans="7:10" x14ac:dyDescent="0.25">
      <c r="G616"/>
      <c r="H616"/>
      <c r="I616"/>
      <c r="J616"/>
    </row>
    <row r="617" spans="7:10" x14ac:dyDescent="0.25">
      <c r="G617"/>
      <c r="H617"/>
      <c r="I617"/>
      <c r="J617"/>
    </row>
    <row r="618" spans="7:10" x14ac:dyDescent="0.25">
      <c r="G618"/>
      <c r="H618"/>
      <c r="I618"/>
      <c r="J618"/>
    </row>
    <row r="619" spans="7:10" x14ac:dyDescent="0.25">
      <c r="G619"/>
      <c r="H619"/>
      <c r="I619"/>
      <c r="J619"/>
    </row>
    <row r="620" spans="7:10" x14ac:dyDescent="0.25">
      <c r="G620"/>
      <c r="H620"/>
      <c r="I620"/>
      <c r="J620"/>
    </row>
    <row r="621" spans="7:10" x14ac:dyDescent="0.25">
      <c r="G621"/>
      <c r="H621"/>
      <c r="I621"/>
      <c r="J621"/>
    </row>
    <row r="622" spans="7:10" x14ac:dyDescent="0.25">
      <c r="G622"/>
      <c r="H622"/>
      <c r="I622"/>
      <c r="J622"/>
    </row>
    <row r="623" spans="7:10" x14ac:dyDescent="0.25">
      <c r="G623"/>
      <c r="H623"/>
      <c r="I623"/>
      <c r="J623"/>
    </row>
    <row r="624" spans="7:10" x14ac:dyDescent="0.25">
      <c r="G624"/>
      <c r="H624"/>
      <c r="I624"/>
      <c r="J624"/>
    </row>
    <row r="625" spans="7:10" x14ac:dyDescent="0.25">
      <c r="G625"/>
      <c r="H625"/>
      <c r="I625"/>
      <c r="J625"/>
    </row>
    <row r="626" spans="7:10" x14ac:dyDescent="0.25">
      <c r="G626"/>
      <c r="H626"/>
      <c r="I626"/>
      <c r="J626"/>
    </row>
    <row r="627" spans="7:10" x14ac:dyDescent="0.25">
      <c r="G627"/>
      <c r="H627"/>
      <c r="I627"/>
      <c r="J627"/>
    </row>
    <row r="628" spans="7:10" x14ac:dyDescent="0.25">
      <c r="G628"/>
      <c r="H628"/>
      <c r="I628"/>
      <c r="J628"/>
    </row>
    <row r="629" spans="7:10" x14ac:dyDescent="0.25">
      <c r="G629"/>
      <c r="H629"/>
      <c r="I629"/>
      <c r="J629"/>
    </row>
    <row r="630" spans="7:10" x14ac:dyDescent="0.25">
      <c r="G630"/>
      <c r="H630"/>
      <c r="I630"/>
      <c r="J630"/>
    </row>
    <row r="631" spans="7:10" x14ac:dyDescent="0.25">
      <c r="G631"/>
      <c r="H631"/>
      <c r="I631"/>
      <c r="J631"/>
    </row>
    <row r="632" spans="7:10" x14ac:dyDescent="0.25">
      <c r="G632"/>
      <c r="H632"/>
      <c r="I632"/>
      <c r="J632"/>
    </row>
    <row r="633" spans="7:10" x14ac:dyDescent="0.25">
      <c r="G633"/>
      <c r="H633"/>
      <c r="I633"/>
      <c r="J633"/>
    </row>
    <row r="634" spans="7:10" x14ac:dyDescent="0.25">
      <c r="G634"/>
      <c r="H634"/>
      <c r="I634"/>
      <c r="J634"/>
    </row>
    <row r="635" spans="7:10" x14ac:dyDescent="0.25">
      <c r="G635"/>
      <c r="H635"/>
      <c r="I635"/>
      <c r="J635"/>
    </row>
    <row r="636" spans="7:10" x14ac:dyDescent="0.25">
      <c r="G636"/>
      <c r="H636"/>
      <c r="I636"/>
      <c r="J636"/>
    </row>
    <row r="637" spans="7:10" x14ac:dyDescent="0.25">
      <c r="G637"/>
      <c r="H637"/>
      <c r="I637"/>
      <c r="J637"/>
    </row>
    <row r="638" spans="7:10" x14ac:dyDescent="0.25">
      <c r="G638"/>
      <c r="H638"/>
      <c r="I638"/>
      <c r="J638"/>
    </row>
    <row r="639" spans="7:10" x14ac:dyDescent="0.25">
      <c r="G639"/>
      <c r="H639"/>
      <c r="I639"/>
      <c r="J639"/>
    </row>
    <row r="640" spans="7:10" x14ac:dyDescent="0.25">
      <c r="G640"/>
      <c r="H640"/>
      <c r="I640"/>
      <c r="J640"/>
    </row>
    <row r="641" spans="7:10" x14ac:dyDescent="0.25">
      <c r="G641"/>
      <c r="H641"/>
      <c r="I641"/>
      <c r="J641"/>
    </row>
    <row r="642" spans="7:10" x14ac:dyDescent="0.25">
      <c r="G642"/>
      <c r="H642"/>
      <c r="I642"/>
      <c r="J642"/>
    </row>
    <row r="643" spans="7:10" x14ac:dyDescent="0.25">
      <c r="G643"/>
      <c r="H643"/>
      <c r="I643"/>
      <c r="J643"/>
    </row>
    <row r="644" spans="7:10" x14ac:dyDescent="0.25">
      <c r="G644"/>
      <c r="H644"/>
      <c r="I644"/>
      <c r="J644"/>
    </row>
    <row r="645" spans="7:10" x14ac:dyDescent="0.25">
      <c r="G645"/>
      <c r="H645"/>
      <c r="I645"/>
      <c r="J645"/>
    </row>
    <row r="646" spans="7:10" x14ac:dyDescent="0.25">
      <c r="G646"/>
      <c r="H646"/>
      <c r="I646"/>
      <c r="J646"/>
    </row>
    <row r="647" spans="7:10" x14ac:dyDescent="0.25">
      <c r="G647"/>
      <c r="H647"/>
      <c r="I647"/>
      <c r="J647"/>
    </row>
    <row r="648" spans="7:10" x14ac:dyDescent="0.25">
      <c r="G648"/>
      <c r="H648"/>
      <c r="I648"/>
      <c r="J648"/>
    </row>
    <row r="649" spans="7:10" x14ac:dyDescent="0.25">
      <c r="G649"/>
      <c r="H649"/>
      <c r="I649"/>
      <c r="J649"/>
    </row>
    <row r="650" spans="7:10" x14ac:dyDescent="0.25">
      <c r="G650"/>
      <c r="H650"/>
      <c r="I650"/>
      <c r="J650"/>
    </row>
    <row r="651" spans="7:10" x14ac:dyDescent="0.25">
      <c r="G651"/>
      <c r="H651"/>
      <c r="I651"/>
      <c r="J651"/>
    </row>
    <row r="652" spans="7:10" x14ac:dyDescent="0.25">
      <c r="G652"/>
      <c r="H652"/>
      <c r="I652"/>
      <c r="J652"/>
    </row>
    <row r="653" spans="7:10" x14ac:dyDescent="0.25">
      <c r="G653"/>
      <c r="H653"/>
      <c r="I653"/>
      <c r="J653"/>
    </row>
    <row r="654" spans="7:10" x14ac:dyDescent="0.25">
      <c r="G654"/>
      <c r="H654"/>
      <c r="I654"/>
      <c r="J654"/>
    </row>
    <row r="655" spans="7:10" x14ac:dyDescent="0.25">
      <c r="G655"/>
      <c r="H655"/>
      <c r="I655"/>
      <c r="J655"/>
    </row>
    <row r="656" spans="7:10" x14ac:dyDescent="0.25">
      <c r="G656"/>
      <c r="H656"/>
      <c r="I656"/>
      <c r="J656"/>
    </row>
    <row r="657" spans="7:10" x14ac:dyDescent="0.25">
      <c r="G657"/>
      <c r="H657"/>
      <c r="I657"/>
      <c r="J657"/>
    </row>
    <row r="658" spans="7:10" x14ac:dyDescent="0.25">
      <c r="G658"/>
      <c r="H658"/>
      <c r="I658"/>
      <c r="J658"/>
    </row>
    <row r="659" spans="7:10" x14ac:dyDescent="0.25">
      <c r="G659"/>
      <c r="H659"/>
      <c r="I659"/>
      <c r="J659"/>
    </row>
    <row r="660" spans="7:10" x14ac:dyDescent="0.25">
      <c r="G660"/>
      <c r="H660"/>
      <c r="I660"/>
      <c r="J660"/>
    </row>
    <row r="661" spans="7:10" x14ac:dyDescent="0.25">
      <c r="G661"/>
      <c r="H661"/>
      <c r="I661"/>
      <c r="J661"/>
    </row>
    <row r="662" spans="7:10" x14ac:dyDescent="0.25">
      <c r="G662"/>
      <c r="H662"/>
      <c r="I662"/>
      <c r="J662"/>
    </row>
    <row r="663" spans="7:10" x14ac:dyDescent="0.25">
      <c r="G663"/>
      <c r="H663"/>
      <c r="I663"/>
      <c r="J663"/>
    </row>
    <row r="664" spans="7:10" x14ac:dyDescent="0.25">
      <c r="G664"/>
      <c r="H664"/>
      <c r="I664"/>
      <c r="J664"/>
    </row>
    <row r="665" spans="7:10" x14ac:dyDescent="0.25">
      <c r="G665"/>
      <c r="H665"/>
      <c r="I665"/>
      <c r="J665"/>
    </row>
    <row r="666" spans="7:10" x14ac:dyDescent="0.25">
      <c r="G666"/>
      <c r="H666"/>
      <c r="I666"/>
      <c r="J666"/>
    </row>
    <row r="667" spans="7:10" x14ac:dyDescent="0.25">
      <c r="G667"/>
      <c r="H667"/>
      <c r="I667"/>
      <c r="J667"/>
    </row>
    <row r="668" spans="7:10" x14ac:dyDescent="0.25">
      <c r="G668"/>
      <c r="H668"/>
      <c r="I668"/>
      <c r="J668"/>
    </row>
    <row r="669" spans="7:10" x14ac:dyDescent="0.25">
      <c r="G669"/>
      <c r="H669"/>
      <c r="I669"/>
      <c r="J669"/>
    </row>
    <row r="670" spans="7:10" x14ac:dyDescent="0.25">
      <c r="G670"/>
      <c r="H670"/>
      <c r="I670"/>
      <c r="J670"/>
    </row>
    <row r="671" spans="7:10" x14ac:dyDescent="0.25">
      <c r="G671"/>
      <c r="H671"/>
      <c r="I671"/>
      <c r="J671"/>
    </row>
    <row r="672" spans="7:10" x14ac:dyDescent="0.25">
      <c r="G672"/>
      <c r="H672"/>
      <c r="I672"/>
      <c r="J672"/>
    </row>
    <row r="673" spans="7:10" x14ac:dyDescent="0.25">
      <c r="G673"/>
      <c r="H673"/>
      <c r="I673"/>
      <c r="J673"/>
    </row>
    <row r="674" spans="7:10" x14ac:dyDescent="0.25">
      <c r="G674"/>
      <c r="H674"/>
      <c r="I674"/>
      <c r="J674"/>
    </row>
    <row r="675" spans="7:10" x14ac:dyDescent="0.25">
      <c r="G675"/>
      <c r="H675"/>
      <c r="I675"/>
      <c r="J675"/>
    </row>
    <row r="676" spans="7:10" x14ac:dyDescent="0.25">
      <c r="G676"/>
      <c r="H676"/>
      <c r="I676"/>
      <c r="J676"/>
    </row>
    <row r="677" spans="7:10" x14ac:dyDescent="0.25">
      <c r="G677"/>
      <c r="H677"/>
      <c r="I677"/>
      <c r="J677"/>
    </row>
    <row r="678" spans="7:10" x14ac:dyDescent="0.25">
      <c r="G678"/>
      <c r="H678"/>
      <c r="I678"/>
      <c r="J678"/>
    </row>
    <row r="679" spans="7:10" x14ac:dyDescent="0.25">
      <c r="G679"/>
      <c r="H679"/>
      <c r="I679"/>
      <c r="J679"/>
    </row>
    <row r="680" spans="7:10" x14ac:dyDescent="0.25">
      <c r="G680"/>
      <c r="H680"/>
      <c r="I680"/>
      <c r="J680"/>
    </row>
    <row r="681" spans="7:10" x14ac:dyDescent="0.25">
      <c r="G681"/>
      <c r="H681"/>
      <c r="I681"/>
      <c r="J681"/>
    </row>
    <row r="682" spans="7:10" x14ac:dyDescent="0.25">
      <c r="G682"/>
      <c r="H682"/>
      <c r="I682"/>
      <c r="J682"/>
    </row>
    <row r="683" spans="7:10" x14ac:dyDescent="0.25">
      <c r="G683"/>
      <c r="H683"/>
      <c r="I683"/>
      <c r="J683"/>
    </row>
    <row r="684" spans="7:10" x14ac:dyDescent="0.25">
      <c r="G684"/>
      <c r="H684"/>
      <c r="I684"/>
      <c r="J684"/>
    </row>
    <row r="685" spans="7:10" x14ac:dyDescent="0.25">
      <c r="G685"/>
      <c r="H685"/>
      <c r="I685"/>
      <c r="J685"/>
    </row>
    <row r="686" spans="7:10" x14ac:dyDescent="0.25">
      <c r="G686"/>
      <c r="H686"/>
      <c r="I686"/>
      <c r="J686"/>
    </row>
    <row r="687" spans="7:10" x14ac:dyDescent="0.25">
      <c r="G687"/>
      <c r="H687"/>
      <c r="I687"/>
      <c r="J687"/>
    </row>
    <row r="688" spans="7:10" x14ac:dyDescent="0.25">
      <c r="G688"/>
      <c r="H688"/>
      <c r="I688"/>
      <c r="J688"/>
    </row>
    <row r="689" spans="7:10" x14ac:dyDescent="0.25">
      <c r="G689"/>
      <c r="H689"/>
      <c r="I689"/>
      <c r="J689"/>
    </row>
    <row r="690" spans="7:10" x14ac:dyDescent="0.25">
      <c r="G690"/>
      <c r="H690"/>
      <c r="I690"/>
      <c r="J690"/>
    </row>
    <row r="691" spans="7:10" x14ac:dyDescent="0.25">
      <c r="G691"/>
      <c r="H691"/>
      <c r="I691"/>
      <c r="J691"/>
    </row>
    <row r="692" spans="7:10" x14ac:dyDescent="0.25">
      <c r="G692"/>
      <c r="H692"/>
      <c r="I692"/>
      <c r="J692"/>
    </row>
    <row r="693" spans="7:10" x14ac:dyDescent="0.25">
      <c r="G693"/>
      <c r="H693"/>
      <c r="I693"/>
      <c r="J693"/>
    </row>
    <row r="694" spans="7:10" x14ac:dyDescent="0.25">
      <c r="G694"/>
      <c r="H694"/>
      <c r="I694"/>
      <c r="J694"/>
    </row>
    <row r="695" spans="7:10" x14ac:dyDescent="0.25">
      <c r="G695"/>
      <c r="H695"/>
      <c r="I695"/>
      <c r="J695"/>
    </row>
    <row r="696" spans="7:10" x14ac:dyDescent="0.25">
      <c r="G696"/>
      <c r="H696"/>
      <c r="I696"/>
      <c r="J696"/>
    </row>
    <row r="697" spans="7:10" x14ac:dyDescent="0.25">
      <c r="G697"/>
      <c r="H697"/>
      <c r="I697"/>
      <c r="J697"/>
    </row>
    <row r="698" spans="7:10" x14ac:dyDescent="0.25">
      <c r="G698"/>
      <c r="H698"/>
      <c r="I698"/>
      <c r="J698"/>
    </row>
    <row r="699" spans="7:10" x14ac:dyDescent="0.25">
      <c r="G699"/>
      <c r="H699"/>
      <c r="I699"/>
      <c r="J699"/>
    </row>
    <row r="700" spans="7:10" x14ac:dyDescent="0.25">
      <c r="G700"/>
      <c r="H700"/>
      <c r="I700"/>
      <c r="J700"/>
    </row>
    <row r="701" spans="7:10" x14ac:dyDescent="0.25">
      <c r="G701"/>
      <c r="H701"/>
      <c r="I701"/>
      <c r="J701"/>
    </row>
    <row r="702" spans="7:10" x14ac:dyDescent="0.25">
      <c r="G702"/>
      <c r="H702"/>
      <c r="I702"/>
      <c r="J702"/>
    </row>
    <row r="703" spans="7:10" x14ac:dyDescent="0.25">
      <c r="G703"/>
      <c r="H703"/>
      <c r="I703"/>
      <c r="J703"/>
    </row>
    <row r="704" spans="7:10" x14ac:dyDescent="0.25">
      <c r="G704"/>
      <c r="H704"/>
      <c r="I704"/>
      <c r="J704"/>
    </row>
    <row r="705" spans="7:10" x14ac:dyDescent="0.25">
      <c r="G705"/>
      <c r="H705"/>
      <c r="I705"/>
      <c r="J705"/>
    </row>
    <row r="706" spans="7:10" x14ac:dyDescent="0.25">
      <c r="G706"/>
      <c r="H706"/>
      <c r="I706"/>
      <c r="J706"/>
    </row>
    <row r="707" spans="7:10" x14ac:dyDescent="0.25">
      <c r="G707"/>
      <c r="H707"/>
      <c r="I707"/>
      <c r="J707"/>
    </row>
    <row r="708" spans="7:10" x14ac:dyDescent="0.25">
      <c r="G708"/>
      <c r="H708"/>
      <c r="I708"/>
      <c r="J708"/>
    </row>
    <row r="709" spans="7:10" x14ac:dyDescent="0.25">
      <c r="G709"/>
      <c r="H709"/>
      <c r="I709"/>
      <c r="J709"/>
    </row>
    <row r="710" spans="7:10" x14ac:dyDescent="0.25">
      <c r="G710"/>
      <c r="H710"/>
      <c r="I710"/>
      <c r="J710"/>
    </row>
    <row r="711" spans="7:10" x14ac:dyDescent="0.25">
      <c r="G711"/>
      <c r="H711"/>
      <c r="I711"/>
      <c r="J711"/>
    </row>
    <row r="712" spans="7:10" x14ac:dyDescent="0.25">
      <c r="G712"/>
      <c r="H712"/>
      <c r="I712"/>
      <c r="J712"/>
    </row>
    <row r="713" spans="7:10" x14ac:dyDescent="0.25">
      <c r="G713"/>
      <c r="H713"/>
      <c r="I713"/>
      <c r="J713"/>
    </row>
    <row r="714" spans="7:10" x14ac:dyDescent="0.25">
      <c r="G714"/>
      <c r="H714"/>
      <c r="I714"/>
      <c r="J714"/>
    </row>
    <row r="715" spans="7:10" x14ac:dyDescent="0.25">
      <c r="G715"/>
      <c r="H715"/>
      <c r="I715"/>
      <c r="J715"/>
    </row>
    <row r="716" spans="7:10" x14ac:dyDescent="0.25">
      <c r="G716"/>
      <c r="H716"/>
      <c r="I716"/>
      <c r="J716"/>
    </row>
    <row r="717" spans="7:10" x14ac:dyDescent="0.25">
      <c r="G717"/>
      <c r="H717"/>
      <c r="I717"/>
      <c r="J717"/>
    </row>
    <row r="718" spans="7:10" x14ac:dyDescent="0.25">
      <c r="G718"/>
      <c r="H718"/>
      <c r="I718"/>
      <c r="J718"/>
    </row>
    <row r="719" spans="7:10" x14ac:dyDescent="0.25">
      <c r="G719"/>
      <c r="H719"/>
      <c r="I719"/>
      <c r="J719"/>
    </row>
    <row r="720" spans="7:10" x14ac:dyDescent="0.25">
      <c r="G720"/>
      <c r="H720"/>
      <c r="I720"/>
      <c r="J720"/>
    </row>
    <row r="721" spans="7:10" x14ac:dyDescent="0.25">
      <c r="G721"/>
      <c r="H721"/>
      <c r="I721"/>
      <c r="J721"/>
    </row>
    <row r="722" spans="7:10" x14ac:dyDescent="0.25">
      <c r="G722"/>
      <c r="H722"/>
      <c r="I722"/>
      <c r="J722"/>
    </row>
    <row r="723" spans="7:10" x14ac:dyDescent="0.25">
      <c r="G723"/>
      <c r="H723"/>
      <c r="I723"/>
      <c r="J723"/>
    </row>
    <row r="724" spans="7:10" x14ac:dyDescent="0.25">
      <c r="G724"/>
      <c r="H724"/>
      <c r="I724"/>
      <c r="J724"/>
    </row>
    <row r="725" spans="7:10" x14ac:dyDescent="0.25">
      <c r="G725"/>
      <c r="H725"/>
      <c r="I725"/>
      <c r="J725"/>
    </row>
    <row r="726" spans="7:10" x14ac:dyDescent="0.25">
      <c r="G726"/>
      <c r="H726"/>
      <c r="I726"/>
      <c r="J726"/>
    </row>
    <row r="727" spans="7:10" x14ac:dyDescent="0.25">
      <c r="G727"/>
      <c r="H727"/>
      <c r="I727"/>
      <c r="J727"/>
    </row>
    <row r="728" spans="7:10" x14ac:dyDescent="0.25">
      <c r="G728"/>
      <c r="H728"/>
      <c r="I728"/>
      <c r="J728"/>
    </row>
    <row r="729" spans="7:10" x14ac:dyDescent="0.25">
      <c r="G729"/>
      <c r="H729"/>
      <c r="I729"/>
      <c r="J729"/>
    </row>
    <row r="730" spans="7:10" x14ac:dyDescent="0.25">
      <c r="G730"/>
      <c r="H730"/>
      <c r="I730"/>
      <c r="J730"/>
    </row>
    <row r="731" spans="7:10" x14ac:dyDescent="0.25">
      <c r="G731"/>
      <c r="H731"/>
      <c r="I731"/>
      <c r="J731"/>
    </row>
    <row r="732" spans="7:10" x14ac:dyDescent="0.25">
      <c r="G732"/>
      <c r="H732"/>
      <c r="I732"/>
      <c r="J732"/>
    </row>
    <row r="733" spans="7:10" x14ac:dyDescent="0.25">
      <c r="G733"/>
      <c r="H733"/>
      <c r="I733"/>
      <c r="J733"/>
    </row>
    <row r="734" spans="7:10" x14ac:dyDescent="0.25">
      <c r="G734"/>
      <c r="H734"/>
      <c r="I734"/>
      <c r="J734"/>
    </row>
    <row r="735" spans="7:10" x14ac:dyDescent="0.25">
      <c r="G735"/>
      <c r="H735"/>
      <c r="I735"/>
      <c r="J735"/>
    </row>
    <row r="736" spans="7:10" x14ac:dyDescent="0.25">
      <c r="G736"/>
      <c r="H736"/>
      <c r="I736"/>
      <c r="J736"/>
    </row>
    <row r="737" spans="7:10" x14ac:dyDescent="0.25">
      <c r="G737"/>
      <c r="H737"/>
      <c r="I737"/>
      <c r="J737"/>
    </row>
    <row r="738" spans="7:10" x14ac:dyDescent="0.25">
      <c r="G738"/>
      <c r="H738"/>
      <c r="I738"/>
      <c r="J738"/>
    </row>
    <row r="739" spans="7:10" x14ac:dyDescent="0.25">
      <c r="G739"/>
      <c r="H739"/>
      <c r="I739"/>
      <c r="J739"/>
    </row>
    <row r="740" spans="7:10" x14ac:dyDescent="0.25">
      <c r="G740"/>
      <c r="H740"/>
      <c r="I740"/>
      <c r="J740"/>
    </row>
    <row r="741" spans="7:10" x14ac:dyDescent="0.25">
      <c r="G741"/>
      <c r="H741"/>
      <c r="I741"/>
      <c r="J741"/>
    </row>
    <row r="742" spans="7:10" x14ac:dyDescent="0.25">
      <c r="G742"/>
      <c r="H742"/>
      <c r="I742"/>
      <c r="J742"/>
    </row>
    <row r="743" spans="7:10" x14ac:dyDescent="0.25">
      <c r="G743"/>
      <c r="H743"/>
      <c r="I743"/>
      <c r="J743"/>
    </row>
    <row r="744" spans="7:10" x14ac:dyDescent="0.25">
      <c r="G744"/>
      <c r="H744"/>
      <c r="I744"/>
      <c r="J744"/>
    </row>
    <row r="745" spans="7:10" x14ac:dyDescent="0.25">
      <c r="G745"/>
      <c r="H745"/>
      <c r="I745"/>
      <c r="J745"/>
    </row>
    <row r="746" spans="7:10" x14ac:dyDescent="0.25">
      <c r="G746"/>
      <c r="H746"/>
      <c r="I746"/>
      <c r="J746"/>
    </row>
    <row r="747" spans="7:10" x14ac:dyDescent="0.25">
      <c r="G747"/>
      <c r="H747"/>
      <c r="I747"/>
      <c r="J747"/>
    </row>
    <row r="748" spans="7:10" x14ac:dyDescent="0.25">
      <c r="G748"/>
      <c r="H748"/>
      <c r="I748"/>
      <c r="J748"/>
    </row>
    <row r="749" spans="7:10" x14ac:dyDescent="0.25">
      <c r="G749"/>
      <c r="H749"/>
      <c r="I749"/>
      <c r="J749"/>
    </row>
    <row r="750" spans="7:10" x14ac:dyDescent="0.25">
      <c r="G750"/>
      <c r="H750"/>
      <c r="I750"/>
      <c r="J750"/>
    </row>
    <row r="751" spans="7:10" x14ac:dyDescent="0.25">
      <c r="G751"/>
      <c r="H751"/>
      <c r="I751"/>
      <c r="J751"/>
    </row>
    <row r="752" spans="7:10" x14ac:dyDescent="0.25">
      <c r="G752"/>
      <c r="H752"/>
      <c r="I752"/>
      <c r="J752"/>
    </row>
    <row r="753" spans="7:10" x14ac:dyDescent="0.25">
      <c r="G753"/>
      <c r="H753"/>
      <c r="I753"/>
      <c r="J753"/>
    </row>
    <row r="754" spans="7:10" x14ac:dyDescent="0.25">
      <c r="G754"/>
      <c r="H754"/>
      <c r="I754"/>
      <c r="J754"/>
    </row>
    <row r="755" spans="7:10" x14ac:dyDescent="0.25">
      <c r="G755"/>
      <c r="H755"/>
      <c r="I755"/>
      <c r="J755"/>
    </row>
    <row r="756" spans="7:10" x14ac:dyDescent="0.25">
      <c r="G756"/>
      <c r="H756"/>
      <c r="I756"/>
      <c r="J756"/>
    </row>
    <row r="757" spans="7:10" x14ac:dyDescent="0.25">
      <c r="G757"/>
      <c r="H757"/>
      <c r="I757"/>
      <c r="J757"/>
    </row>
    <row r="758" spans="7:10" x14ac:dyDescent="0.25">
      <c r="G758"/>
      <c r="H758"/>
      <c r="I758"/>
      <c r="J758"/>
    </row>
    <row r="759" spans="7:10" x14ac:dyDescent="0.25">
      <c r="G759"/>
      <c r="H759"/>
      <c r="I759"/>
      <c r="J759"/>
    </row>
    <row r="760" spans="7:10" x14ac:dyDescent="0.25">
      <c r="G760"/>
      <c r="H760"/>
      <c r="I760"/>
      <c r="J760"/>
    </row>
    <row r="761" spans="7:10" x14ac:dyDescent="0.25">
      <c r="G761"/>
      <c r="H761"/>
      <c r="I761"/>
      <c r="J761"/>
    </row>
    <row r="762" spans="7:10" x14ac:dyDescent="0.25">
      <c r="G762"/>
      <c r="H762"/>
      <c r="I762"/>
      <c r="J762"/>
    </row>
    <row r="763" spans="7:10" x14ac:dyDescent="0.25">
      <c r="G763"/>
      <c r="H763"/>
      <c r="I763"/>
      <c r="J763"/>
    </row>
    <row r="764" spans="7:10" x14ac:dyDescent="0.25">
      <c r="G764"/>
      <c r="H764"/>
      <c r="I764"/>
      <c r="J764"/>
    </row>
    <row r="765" spans="7:10" x14ac:dyDescent="0.25">
      <c r="G765"/>
      <c r="H765"/>
      <c r="I765"/>
      <c r="J765"/>
    </row>
    <row r="766" spans="7:10" x14ac:dyDescent="0.25">
      <c r="G766"/>
      <c r="H766"/>
      <c r="I766"/>
      <c r="J766"/>
    </row>
    <row r="767" spans="7:10" x14ac:dyDescent="0.25">
      <c r="G767"/>
      <c r="H767"/>
      <c r="I767"/>
      <c r="J767"/>
    </row>
    <row r="768" spans="7:10" x14ac:dyDescent="0.25">
      <c r="G768"/>
      <c r="H768"/>
      <c r="I768"/>
      <c r="J768"/>
    </row>
    <row r="769" spans="7:10" x14ac:dyDescent="0.25">
      <c r="G769"/>
      <c r="H769"/>
      <c r="I769"/>
      <c r="J769"/>
    </row>
    <row r="770" spans="7:10" x14ac:dyDescent="0.25">
      <c r="G770"/>
      <c r="H770"/>
      <c r="I770"/>
      <c r="J770"/>
    </row>
    <row r="771" spans="7:10" x14ac:dyDescent="0.25">
      <c r="G771"/>
      <c r="H771"/>
      <c r="I771"/>
      <c r="J771"/>
    </row>
    <row r="772" spans="7:10" x14ac:dyDescent="0.25">
      <c r="G772"/>
      <c r="H772"/>
      <c r="I772"/>
      <c r="J772"/>
    </row>
    <row r="773" spans="7:10" x14ac:dyDescent="0.25">
      <c r="G773"/>
      <c r="H773"/>
      <c r="I773"/>
      <c r="J773"/>
    </row>
    <row r="774" spans="7:10" x14ac:dyDescent="0.25">
      <c r="G774"/>
      <c r="H774"/>
      <c r="I774"/>
      <c r="J774"/>
    </row>
    <row r="775" spans="7:10" x14ac:dyDescent="0.25">
      <c r="G775"/>
      <c r="H775"/>
      <c r="I775"/>
      <c r="J775"/>
    </row>
    <row r="776" spans="7:10" x14ac:dyDescent="0.25">
      <c r="G776"/>
      <c r="H776"/>
      <c r="I776"/>
      <c r="J776"/>
    </row>
    <row r="777" spans="7:10" x14ac:dyDescent="0.25">
      <c r="G777"/>
      <c r="H777"/>
      <c r="I777"/>
      <c r="J777"/>
    </row>
    <row r="778" spans="7:10" x14ac:dyDescent="0.25">
      <c r="G778"/>
      <c r="H778"/>
      <c r="I778"/>
      <c r="J778"/>
    </row>
    <row r="779" spans="7:10" x14ac:dyDescent="0.25">
      <c r="G779"/>
      <c r="H779"/>
      <c r="I779"/>
      <c r="J779"/>
    </row>
    <row r="780" spans="7:10" x14ac:dyDescent="0.25">
      <c r="G780"/>
      <c r="H780"/>
      <c r="I780"/>
      <c r="J780"/>
    </row>
    <row r="781" spans="7:10" x14ac:dyDescent="0.25">
      <c r="G781"/>
      <c r="H781"/>
      <c r="I781"/>
      <c r="J781"/>
    </row>
    <row r="782" spans="7:10" x14ac:dyDescent="0.25">
      <c r="G782"/>
      <c r="H782"/>
      <c r="I782"/>
      <c r="J782"/>
    </row>
    <row r="783" spans="7:10" x14ac:dyDescent="0.25">
      <c r="G783"/>
      <c r="H783"/>
      <c r="I783"/>
      <c r="J783"/>
    </row>
    <row r="784" spans="7:10" x14ac:dyDescent="0.25">
      <c r="G784"/>
      <c r="H784"/>
      <c r="I784"/>
      <c r="J784"/>
    </row>
    <row r="785" spans="7:10" x14ac:dyDescent="0.25">
      <c r="G785"/>
      <c r="H785"/>
      <c r="I785"/>
      <c r="J785"/>
    </row>
    <row r="786" spans="7:10" x14ac:dyDescent="0.25">
      <c r="G786"/>
      <c r="H786"/>
      <c r="I786"/>
      <c r="J786"/>
    </row>
    <row r="787" spans="7:10" x14ac:dyDescent="0.25">
      <c r="G787"/>
      <c r="H787"/>
      <c r="I787"/>
      <c r="J787"/>
    </row>
    <row r="788" spans="7:10" x14ac:dyDescent="0.25">
      <c r="G788"/>
      <c r="H788"/>
      <c r="I788"/>
      <c r="J788"/>
    </row>
    <row r="789" spans="7:10" x14ac:dyDescent="0.25">
      <c r="G789"/>
      <c r="H789"/>
      <c r="I789"/>
      <c r="J789"/>
    </row>
    <row r="790" spans="7:10" x14ac:dyDescent="0.25">
      <c r="G790"/>
      <c r="H790"/>
      <c r="I790"/>
      <c r="J790"/>
    </row>
    <row r="791" spans="7:10" x14ac:dyDescent="0.25">
      <c r="G791"/>
      <c r="H791"/>
      <c r="I791"/>
      <c r="J791"/>
    </row>
    <row r="792" spans="7:10" x14ac:dyDescent="0.25">
      <c r="G792"/>
      <c r="H792"/>
      <c r="I792"/>
      <c r="J792"/>
    </row>
    <row r="793" spans="7:10" x14ac:dyDescent="0.25">
      <c r="G793"/>
      <c r="H793"/>
      <c r="I793"/>
      <c r="J793"/>
    </row>
    <row r="794" spans="7:10" x14ac:dyDescent="0.25">
      <c r="G794"/>
      <c r="H794"/>
      <c r="I794"/>
      <c r="J794"/>
    </row>
    <row r="795" spans="7:10" x14ac:dyDescent="0.25">
      <c r="G795"/>
      <c r="H795"/>
      <c r="I795"/>
      <c r="J795"/>
    </row>
    <row r="796" spans="7:10" x14ac:dyDescent="0.25">
      <c r="G796"/>
      <c r="H796"/>
      <c r="I796"/>
      <c r="J796"/>
    </row>
    <row r="797" spans="7:10" x14ac:dyDescent="0.25">
      <c r="G797"/>
      <c r="H797"/>
      <c r="I797"/>
      <c r="J797"/>
    </row>
    <row r="798" spans="7:10" x14ac:dyDescent="0.25">
      <c r="G798"/>
      <c r="H798"/>
      <c r="I798"/>
      <c r="J798"/>
    </row>
    <row r="799" spans="7:10" x14ac:dyDescent="0.25">
      <c r="G799"/>
      <c r="H799"/>
      <c r="I799"/>
      <c r="J799"/>
    </row>
    <row r="800" spans="7:10" x14ac:dyDescent="0.25">
      <c r="G800"/>
      <c r="H800"/>
      <c r="I800"/>
      <c r="J800"/>
    </row>
    <row r="801" spans="7:10" x14ac:dyDescent="0.25">
      <c r="G801"/>
      <c r="H801"/>
      <c r="I801"/>
      <c r="J801"/>
    </row>
    <row r="802" spans="7:10" x14ac:dyDescent="0.25">
      <c r="G802"/>
      <c r="H802"/>
      <c r="I802"/>
      <c r="J802"/>
    </row>
    <row r="803" spans="7:10" x14ac:dyDescent="0.25">
      <c r="G803"/>
      <c r="H803"/>
      <c r="I803"/>
      <c r="J803"/>
    </row>
    <row r="804" spans="7:10" x14ac:dyDescent="0.25">
      <c r="G804"/>
      <c r="H804"/>
      <c r="I804"/>
      <c r="J804"/>
    </row>
    <row r="805" spans="7:10" x14ac:dyDescent="0.25">
      <c r="G805"/>
      <c r="H805"/>
      <c r="I805"/>
      <c r="J805"/>
    </row>
    <row r="806" spans="7:10" x14ac:dyDescent="0.25">
      <c r="G806"/>
      <c r="H806"/>
      <c r="I806"/>
      <c r="J806"/>
    </row>
    <row r="807" spans="7:10" x14ac:dyDescent="0.25">
      <c r="G807"/>
      <c r="H807"/>
      <c r="I807"/>
      <c r="J807"/>
    </row>
    <row r="808" spans="7:10" x14ac:dyDescent="0.25">
      <c r="G808"/>
      <c r="H808"/>
      <c r="I808"/>
      <c r="J808"/>
    </row>
    <row r="809" spans="7:10" x14ac:dyDescent="0.25">
      <c r="G809"/>
      <c r="H809"/>
      <c r="I809"/>
      <c r="J809"/>
    </row>
    <row r="810" spans="7:10" x14ac:dyDescent="0.25">
      <c r="G810"/>
      <c r="H810"/>
      <c r="I810"/>
      <c r="J810"/>
    </row>
    <row r="811" spans="7:10" x14ac:dyDescent="0.25">
      <c r="G811"/>
      <c r="H811"/>
      <c r="I811"/>
      <c r="J811"/>
    </row>
    <row r="812" spans="7:10" x14ac:dyDescent="0.25">
      <c r="G812"/>
      <c r="H812"/>
      <c r="I812"/>
      <c r="J812"/>
    </row>
    <row r="813" spans="7:10" x14ac:dyDescent="0.25">
      <c r="G813"/>
      <c r="H813"/>
      <c r="I813"/>
      <c r="J813"/>
    </row>
    <row r="814" spans="7:10" x14ac:dyDescent="0.25">
      <c r="G814"/>
      <c r="H814"/>
      <c r="I814"/>
      <c r="J814"/>
    </row>
    <row r="815" spans="7:10" x14ac:dyDescent="0.25">
      <c r="G815"/>
      <c r="H815"/>
      <c r="I815"/>
      <c r="J815"/>
    </row>
    <row r="816" spans="7:10" x14ac:dyDescent="0.25">
      <c r="G816"/>
      <c r="H816"/>
      <c r="I816"/>
      <c r="J816"/>
    </row>
    <row r="817" spans="7:10" x14ac:dyDescent="0.25">
      <c r="G817"/>
      <c r="H817"/>
      <c r="I817"/>
      <c r="J817"/>
    </row>
    <row r="818" spans="7:10" x14ac:dyDescent="0.25">
      <c r="G818"/>
      <c r="H818"/>
      <c r="I818"/>
      <c r="J818"/>
    </row>
    <row r="819" spans="7:10" x14ac:dyDescent="0.25">
      <c r="G819"/>
      <c r="H819"/>
      <c r="I819"/>
      <c r="J819"/>
    </row>
    <row r="820" spans="7:10" x14ac:dyDescent="0.25">
      <c r="G820"/>
      <c r="H820"/>
      <c r="I820"/>
      <c r="J820"/>
    </row>
    <row r="821" spans="7:10" x14ac:dyDescent="0.25">
      <c r="G821"/>
      <c r="H821"/>
      <c r="I821"/>
      <c r="J821"/>
    </row>
    <row r="822" spans="7:10" x14ac:dyDescent="0.25">
      <c r="G822"/>
      <c r="H822"/>
      <c r="I822"/>
      <c r="J822"/>
    </row>
    <row r="823" spans="7:10" x14ac:dyDescent="0.25">
      <c r="G823"/>
      <c r="H823"/>
      <c r="I823"/>
      <c r="J823"/>
    </row>
    <row r="824" spans="7:10" x14ac:dyDescent="0.25">
      <c r="G824"/>
      <c r="H824"/>
      <c r="I824"/>
      <c r="J824"/>
    </row>
    <row r="825" spans="7:10" x14ac:dyDescent="0.25">
      <c r="G825"/>
      <c r="H825"/>
      <c r="I825"/>
      <c r="J825"/>
    </row>
    <row r="826" spans="7:10" x14ac:dyDescent="0.25">
      <c r="G826"/>
      <c r="H826"/>
      <c r="I826"/>
      <c r="J826"/>
    </row>
    <row r="827" spans="7:10" x14ac:dyDescent="0.25">
      <c r="G827"/>
      <c r="H827"/>
      <c r="I827"/>
      <c r="J827"/>
    </row>
    <row r="828" spans="7:10" x14ac:dyDescent="0.25">
      <c r="G828"/>
      <c r="H828"/>
      <c r="I828"/>
      <c r="J828"/>
    </row>
    <row r="829" spans="7:10" x14ac:dyDescent="0.25">
      <c r="G829"/>
      <c r="H829"/>
      <c r="I829"/>
      <c r="J829"/>
    </row>
    <row r="830" spans="7:10" x14ac:dyDescent="0.25">
      <c r="G830"/>
      <c r="H830"/>
      <c r="I830"/>
      <c r="J830"/>
    </row>
    <row r="831" spans="7:10" x14ac:dyDescent="0.25">
      <c r="G831"/>
      <c r="H831"/>
      <c r="I831"/>
      <c r="J831"/>
    </row>
    <row r="832" spans="7:10" x14ac:dyDescent="0.25">
      <c r="G832"/>
      <c r="H832"/>
      <c r="I832"/>
      <c r="J832"/>
    </row>
    <row r="833" spans="7:10" x14ac:dyDescent="0.25">
      <c r="G833"/>
      <c r="H833"/>
      <c r="I833"/>
      <c r="J833"/>
    </row>
    <row r="834" spans="7:10" x14ac:dyDescent="0.25">
      <c r="G834"/>
      <c r="H834"/>
      <c r="I834"/>
      <c r="J834"/>
    </row>
    <row r="835" spans="7:10" x14ac:dyDescent="0.25">
      <c r="G835"/>
      <c r="H835"/>
      <c r="I835"/>
      <c r="J835"/>
    </row>
    <row r="836" spans="7:10" x14ac:dyDescent="0.25">
      <c r="G836"/>
      <c r="H836"/>
      <c r="I836"/>
      <c r="J836"/>
    </row>
    <row r="837" spans="7:10" x14ac:dyDescent="0.25">
      <c r="G837"/>
      <c r="H837"/>
      <c r="I837"/>
      <c r="J837"/>
    </row>
    <row r="838" spans="7:10" x14ac:dyDescent="0.25">
      <c r="G838"/>
      <c r="H838"/>
      <c r="I838"/>
      <c r="J838"/>
    </row>
    <row r="839" spans="7:10" x14ac:dyDescent="0.25">
      <c r="G839"/>
      <c r="H839"/>
      <c r="I839"/>
      <c r="J839"/>
    </row>
    <row r="840" spans="7:10" x14ac:dyDescent="0.25">
      <c r="G840"/>
      <c r="H840"/>
      <c r="I840"/>
      <c r="J840"/>
    </row>
    <row r="841" spans="7:10" x14ac:dyDescent="0.25">
      <c r="G841"/>
      <c r="H841"/>
      <c r="I841"/>
      <c r="J841"/>
    </row>
    <row r="842" spans="7:10" x14ac:dyDescent="0.25">
      <c r="G842"/>
      <c r="H842"/>
      <c r="I842"/>
      <c r="J842"/>
    </row>
    <row r="843" spans="7:10" x14ac:dyDescent="0.25">
      <c r="G843"/>
      <c r="H843"/>
      <c r="I843"/>
      <c r="J843"/>
    </row>
    <row r="844" spans="7:10" x14ac:dyDescent="0.25">
      <c r="G844"/>
      <c r="H844"/>
      <c r="I844"/>
      <c r="J844"/>
    </row>
    <row r="845" spans="7:10" x14ac:dyDescent="0.25">
      <c r="G845"/>
      <c r="H845"/>
      <c r="I845"/>
      <c r="J845"/>
    </row>
    <row r="846" spans="7:10" x14ac:dyDescent="0.25">
      <c r="G846"/>
      <c r="H846"/>
      <c r="I846"/>
      <c r="J846"/>
    </row>
    <row r="847" spans="7:10" x14ac:dyDescent="0.25">
      <c r="G847"/>
      <c r="H847"/>
      <c r="I847"/>
      <c r="J847"/>
    </row>
    <row r="848" spans="7:10" x14ac:dyDescent="0.25">
      <c r="G848"/>
      <c r="H848"/>
      <c r="I848"/>
      <c r="J848"/>
    </row>
    <row r="849" spans="7:10" x14ac:dyDescent="0.25">
      <c r="G849"/>
      <c r="H849"/>
      <c r="I849"/>
      <c r="J849"/>
    </row>
    <row r="850" spans="7:10" x14ac:dyDescent="0.25">
      <c r="G850"/>
      <c r="H850"/>
      <c r="I850"/>
      <c r="J850"/>
    </row>
    <row r="851" spans="7:10" x14ac:dyDescent="0.25">
      <c r="G851"/>
      <c r="H851"/>
      <c r="I851"/>
      <c r="J851"/>
    </row>
    <row r="852" spans="7:10" x14ac:dyDescent="0.25">
      <c r="G852"/>
      <c r="H852"/>
      <c r="I852"/>
      <c r="J852"/>
    </row>
    <row r="853" spans="7:10" x14ac:dyDescent="0.25">
      <c r="G853"/>
      <c r="H853"/>
      <c r="I853"/>
      <c r="J853"/>
    </row>
    <row r="854" spans="7:10" x14ac:dyDescent="0.25">
      <c r="G854"/>
      <c r="H854"/>
      <c r="I854"/>
      <c r="J854"/>
    </row>
    <row r="855" spans="7:10" x14ac:dyDescent="0.25">
      <c r="G855"/>
      <c r="H855"/>
      <c r="I855"/>
      <c r="J855"/>
    </row>
    <row r="856" spans="7:10" x14ac:dyDescent="0.25">
      <c r="G856"/>
      <c r="H856"/>
      <c r="I856"/>
      <c r="J856"/>
    </row>
    <row r="857" spans="7:10" x14ac:dyDescent="0.25">
      <c r="G857"/>
      <c r="H857"/>
      <c r="I857"/>
      <c r="J857"/>
    </row>
    <row r="858" spans="7:10" x14ac:dyDescent="0.25">
      <c r="G858"/>
      <c r="H858"/>
      <c r="I858"/>
      <c r="J858"/>
    </row>
    <row r="859" spans="7:10" x14ac:dyDescent="0.25">
      <c r="G859"/>
      <c r="H859"/>
      <c r="I859"/>
      <c r="J859"/>
    </row>
    <row r="860" spans="7:10" x14ac:dyDescent="0.25">
      <c r="G860"/>
      <c r="H860"/>
      <c r="I860"/>
      <c r="J860"/>
    </row>
    <row r="861" spans="7:10" x14ac:dyDescent="0.25">
      <c r="G861"/>
      <c r="H861"/>
      <c r="I861"/>
      <c r="J861"/>
    </row>
    <row r="862" spans="7:10" x14ac:dyDescent="0.25">
      <c r="G862"/>
      <c r="H862"/>
      <c r="I862"/>
      <c r="J862"/>
    </row>
    <row r="863" spans="7:10" x14ac:dyDescent="0.25">
      <c r="G863"/>
      <c r="H863"/>
      <c r="I863"/>
      <c r="J863"/>
    </row>
    <row r="864" spans="7:10" x14ac:dyDescent="0.25">
      <c r="G864"/>
      <c r="H864"/>
      <c r="I864"/>
      <c r="J864"/>
    </row>
    <row r="865" spans="7:10" x14ac:dyDescent="0.25">
      <c r="G865"/>
      <c r="H865"/>
      <c r="I865"/>
      <c r="J865"/>
    </row>
    <row r="866" spans="7:10" x14ac:dyDescent="0.25">
      <c r="G866"/>
      <c r="H866"/>
      <c r="I866"/>
      <c r="J866"/>
    </row>
    <row r="867" spans="7:10" x14ac:dyDescent="0.25">
      <c r="G867"/>
      <c r="H867"/>
      <c r="I867"/>
      <c r="J867"/>
    </row>
    <row r="868" spans="7:10" x14ac:dyDescent="0.25">
      <c r="G868"/>
      <c r="H868"/>
      <c r="I868"/>
      <c r="J868"/>
    </row>
    <row r="869" spans="7:10" x14ac:dyDescent="0.25">
      <c r="G869"/>
      <c r="H869"/>
      <c r="I869"/>
      <c r="J869"/>
    </row>
    <row r="870" spans="7:10" x14ac:dyDescent="0.25">
      <c r="G870"/>
      <c r="H870"/>
      <c r="I870"/>
      <c r="J870"/>
    </row>
    <row r="871" spans="7:10" x14ac:dyDescent="0.25">
      <c r="G871"/>
      <c r="H871"/>
      <c r="I871"/>
      <c r="J871"/>
    </row>
    <row r="872" spans="7:10" x14ac:dyDescent="0.25">
      <c r="G872"/>
      <c r="H872"/>
      <c r="I872"/>
      <c r="J872"/>
    </row>
    <row r="873" spans="7:10" x14ac:dyDescent="0.25">
      <c r="G873"/>
      <c r="H873"/>
      <c r="I873"/>
      <c r="J873"/>
    </row>
    <row r="874" spans="7:10" x14ac:dyDescent="0.25">
      <c r="G874"/>
      <c r="H874"/>
      <c r="I874"/>
      <c r="J874"/>
    </row>
    <row r="875" spans="7:10" x14ac:dyDescent="0.25">
      <c r="G875"/>
      <c r="H875"/>
      <c r="I875"/>
      <c r="J875"/>
    </row>
    <row r="876" spans="7:10" x14ac:dyDescent="0.25">
      <c r="G876"/>
      <c r="H876"/>
      <c r="I876"/>
      <c r="J876"/>
    </row>
    <row r="877" spans="7:10" x14ac:dyDescent="0.25">
      <c r="G877"/>
      <c r="H877"/>
      <c r="I877"/>
      <c r="J877"/>
    </row>
    <row r="878" spans="7:10" x14ac:dyDescent="0.25">
      <c r="G878"/>
      <c r="H878"/>
      <c r="I878"/>
      <c r="J878"/>
    </row>
    <row r="879" spans="7:10" x14ac:dyDescent="0.25">
      <c r="G879"/>
      <c r="H879"/>
      <c r="I879"/>
      <c r="J879"/>
    </row>
    <row r="880" spans="7:10" x14ac:dyDescent="0.25">
      <c r="G880"/>
      <c r="H880"/>
      <c r="I880"/>
      <c r="J880"/>
    </row>
    <row r="881" spans="7:10" x14ac:dyDescent="0.25">
      <c r="G881"/>
      <c r="H881"/>
      <c r="I881"/>
      <c r="J881"/>
    </row>
    <row r="882" spans="7:10" x14ac:dyDescent="0.25">
      <c r="G882"/>
      <c r="H882"/>
      <c r="I882"/>
      <c r="J882"/>
    </row>
    <row r="883" spans="7:10" x14ac:dyDescent="0.25">
      <c r="G883"/>
      <c r="H883"/>
      <c r="I883"/>
      <c r="J883"/>
    </row>
    <row r="884" spans="7:10" x14ac:dyDescent="0.25">
      <c r="G884"/>
      <c r="H884"/>
      <c r="I884"/>
      <c r="J884"/>
    </row>
    <row r="885" spans="7:10" x14ac:dyDescent="0.25">
      <c r="G885"/>
      <c r="H885"/>
      <c r="I885"/>
      <c r="J885"/>
    </row>
    <row r="886" spans="7:10" x14ac:dyDescent="0.25">
      <c r="G886"/>
      <c r="H886"/>
      <c r="I886"/>
      <c r="J886"/>
    </row>
    <row r="887" spans="7:10" x14ac:dyDescent="0.25">
      <c r="G887"/>
      <c r="H887"/>
      <c r="I887"/>
      <c r="J887"/>
    </row>
    <row r="888" spans="7:10" x14ac:dyDescent="0.25">
      <c r="G888"/>
      <c r="H888"/>
      <c r="I888"/>
      <c r="J888"/>
    </row>
    <row r="889" spans="7:10" x14ac:dyDescent="0.25">
      <c r="G889"/>
      <c r="H889"/>
      <c r="I889"/>
      <c r="J889"/>
    </row>
    <row r="890" spans="7:10" x14ac:dyDescent="0.25">
      <c r="G890"/>
      <c r="H890"/>
      <c r="I890"/>
      <c r="J890"/>
    </row>
    <row r="891" spans="7:10" x14ac:dyDescent="0.25">
      <c r="G891"/>
      <c r="H891"/>
      <c r="I891"/>
      <c r="J891"/>
    </row>
    <row r="892" spans="7:10" x14ac:dyDescent="0.25">
      <c r="G892"/>
      <c r="H892"/>
      <c r="I892"/>
      <c r="J892"/>
    </row>
    <row r="893" spans="7:10" x14ac:dyDescent="0.25">
      <c r="G893"/>
      <c r="H893"/>
      <c r="I893"/>
      <c r="J893"/>
    </row>
    <row r="894" spans="7:10" x14ac:dyDescent="0.25">
      <c r="G894"/>
      <c r="H894"/>
      <c r="I894"/>
      <c r="J894"/>
    </row>
    <row r="895" spans="7:10" x14ac:dyDescent="0.25">
      <c r="G895"/>
      <c r="H895"/>
      <c r="I895"/>
      <c r="J895"/>
    </row>
    <row r="896" spans="7:10" x14ac:dyDescent="0.25">
      <c r="G896"/>
      <c r="H896"/>
      <c r="I896"/>
      <c r="J896"/>
    </row>
    <row r="897" spans="7:10" x14ac:dyDescent="0.25">
      <c r="G897"/>
      <c r="H897"/>
      <c r="I897"/>
      <c r="J897"/>
    </row>
    <row r="898" spans="7:10" x14ac:dyDescent="0.25">
      <c r="G898"/>
      <c r="H898"/>
      <c r="I898"/>
      <c r="J898"/>
    </row>
    <row r="899" spans="7:10" x14ac:dyDescent="0.25">
      <c r="G899"/>
      <c r="H899"/>
      <c r="I899"/>
      <c r="J899"/>
    </row>
    <row r="900" spans="7:10" x14ac:dyDescent="0.25">
      <c r="G900"/>
      <c r="H900"/>
      <c r="I900"/>
      <c r="J900"/>
    </row>
    <row r="901" spans="7:10" x14ac:dyDescent="0.25">
      <c r="G901"/>
      <c r="H901"/>
      <c r="I901"/>
      <c r="J901"/>
    </row>
    <row r="902" spans="7:10" x14ac:dyDescent="0.25">
      <c r="G902"/>
      <c r="H902"/>
      <c r="I902"/>
      <c r="J902"/>
    </row>
    <row r="903" spans="7:10" x14ac:dyDescent="0.25">
      <c r="G903"/>
      <c r="H903"/>
      <c r="I903"/>
      <c r="J903"/>
    </row>
    <row r="904" spans="7:10" x14ac:dyDescent="0.25">
      <c r="G904"/>
      <c r="H904"/>
      <c r="I904"/>
      <c r="J904"/>
    </row>
    <row r="905" spans="7:10" x14ac:dyDescent="0.25">
      <c r="G905"/>
      <c r="H905"/>
      <c r="I905"/>
      <c r="J905"/>
    </row>
    <row r="906" spans="7:10" x14ac:dyDescent="0.25">
      <c r="G906"/>
      <c r="H906"/>
      <c r="I906"/>
      <c r="J906"/>
    </row>
    <row r="907" spans="7:10" x14ac:dyDescent="0.25">
      <c r="G907"/>
      <c r="H907"/>
      <c r="I907"/>
      <c r="J907"/>
    </row>
    <row r="908" spans="7:10" x14ac:dyDescent="0.25">
      <c r="G908"/>
      <c r="H908"/>
      <c r="I908"/>
      <c r="J908"/>
    </row>
    <row r="909" spans="7:10" x14ac:dyDescent="0.25">
      <c r="G909"/>
      <c r="H909"/>
      <c r="I909"/>
      <c r="J909"/>
    </row>
    <row r="910" spans="7:10" x14ac:dyDescent="0.25">
      <c r="G910"/>
      <c r="H910"/>
      <c r="I910"/>
      <c r="J910"/>
    </row>
    <row r="911" spans="7:10" x14ac:dyDescent="0.25">
      <c r="G911"/>
      <c r="H911"/>
      <c r="I911"/>
      <c r="J911"/>
    </row>
    <row r="912" spans="7:10" x14ac:dyDescent="0.25">
      <c r="G912"/>
      <c r="H912"/>
      <c r="I912"/>
      <c r="J912"/>
    </row>
    <row r="913" spans="7:10" x14ac:dyDescent="0.25">
      <c r="G913"/>
      <c r="H913"/>
      <c r="I913"/>
      <c r="J913"/>
    </row>
    <row r="914" spans="7:10" x14ac:dyDescent="0.25">
      <c r="G914"/>
      <c r="H914"/>
      <c r="I914"/>
      <c r="J914"/>
    </row>
    <row r="915" spans="7:10" x14ac:dyDescent="0.25">
      <c r="G915"/>
      <c r="H915"/>
      <c r="I915"/>
      <c r="J915"/>
    </row>
    <row r="916" spans="7:10" x14ac:dyDescent="0.25">
      <c r="G916"/>
      <c r="H916"/>
      <c r="I916"/>
      <c r="J916"/>
    </row>
    <row r="917" spans="7:10" x14ac:dyDescent="0.25">
      <c r="G917"/>
      <c r="H917"/>
      <c r="I917"/>
      <c r="J917"/>
    </row>
    <row r="918" spans="7:10" x14ac:dyDescent="0.25">
      <c r="G918"/>
      <c r="H918"/>
      <c r="I918"/>
      <c r="J918"/>
    </row>
    <row r="919" spans="7:10" x14ac:dyDescent="0.25">
      <c r="G919"/>
      <c r="H919"/>
      <c r="I919"/>
      <c r="J919"/>
    </row>
    <row r="920" spans="7:10" x14ac:dyDescent="0.25">
      <c r="G920"/>
      <c r="H920"/>
      <c r="I920"/>
      <c r="J920"/>
    </row>
    <row r="921" spans="7:10" x14ac:dyDescent="0.25">
      <c r="G921"/>
      <c r="H921"/>
      <c r="I921"/>
      <c r="J921"/>
    </row>
    <row r="922" spans="7:10" x14ac:dyDescent="0.25">
      <c r="G922"/>
      <c r="H922"/>
      <c r="I922"/>
      <c r="J922"/>
    </row>
    <row r="923" spans="7:10" x14ac:dyDescent="0.25">
      <c r="G923"/>
      <c r="H923"/>
      <c r="I923"/>
      <c r="J923"/>
    </row>
    <row r="924" spans="7:10" x14ac:dyDescent="0.25">
      <c r="G924"/>
      <c r="H924"/>
      <c r="I924"/>
      <c r="J924"/>
    </row>
    <row r="925" spans="7:10" x14ac:dyDescent="0.25">
      <c r="G925"/>
      <c r="H925"/>
      <c r="I925"/>
      <c r="J925"/>
    </row>
    <row r="926" spans="7:10" x14ac:dyDescent="0.25">
      <c r="G926"/>
      <c r="H926"/>
      <c r="I926"/>
      <c r="J926"/>
    </row>
    <row r="927" spans="7:10" x14ac:dyDescent="0.25">
      <c r="G927"/>
      <c r="H927"/>
      <c r="I927"/>
      <c r="J927"/>
    </row>
    <row r="928" spans="7:10" x14ac:dyDescent="0.25">
      <c r="G928"/>
      <c r="H928"/>
      <c r="I928"/>
      <c r="J928"/>
    </row>
    <row r="929" spans="7:10" x14ac:dyDescent="0.25">
      <c r="G929"/>
      <c r="H929"/>
      <c r="I929"/>
      <c r="J929"/>
    </row>
    <row r="930" spans="7:10" x14ac:dyDescent="0.25">
      <c r="G930"/>
      <c r="H930"/>
      <c r="I930"/>
      <c r="J930"/>
    </row>
    <row r="931" spans="7:10" x14ac:dyDescent="0.25">
      <c r="G931"/>
      <c r="H931"/>
      <c r="I931"/>
      <c r="J931"/>
    </row>
    <row r="932" spans="7:10" x14ac:dyDescent="0.25">
      <c r="G932"/>
      <c r="H932"/>
      <c r="I932"/>
      <c r="J932"/>
    </row>
    <row r="933" spans="7:10" x14ac:dyDescent="0.25">
      <c r="G933"/>
      <c r="H933"/>
      <c r="I933"/>
      <c r="J933"/>
    </row>
    <row r="934" spans="7:10" x14ac:dyDescent="0.25">
      <c r="G934"/>
      <c r="H934"/>
      <c r="I934"/>
      <c r="J934"/>
    </row>
    <row r="935" spans="7:10" x14ac:dyDescent="0.25">
      <c r="G935"/>
      <c r="H935"/>
      <c r="I935"/>
      <c r="J935"/>
    </row>
    <row r="936" spans="7:10" x14ac:dyDescent="0.25">
      <c r="G936"/>
      <c r="H936"/>
      <c r="I936"/>
      <c r="J936"/>
    </row>
    <row r="937" spans="7:10" x14ac:dyDescent="0.25">
      <c r="G937"/>
      <c r="H937"/>
      <c r="I937"/>
      <c r="J937"/>
    </row>
    <row r="938" spans="7:10" x14ac:dyDescent="0.25">
      <c r="G938"/>
      <c r="H938"/>
      <c r="I938"/>
      <c r="J938"/>
    </row>
    <row r="939" spans="7:10" x14ac:dyDescent="0.25">
      <c r="G939"/>
      <c r="H939"/>
      <c r="I939"/>
      <c r="J939"/>
    </row>
    <row r="940" spans="7:10" x14ac:dyDescent="0.25">
      <c r="G940"/>
      <c r="H940"/>
      <c r="I940"/>
      <c r="J940"/>
    </row>
    <row r="941" spans="7:10" x14ac:dyDescent="0.25">
      <c r="G941"/>
      <c r="H941"/>
      <c r="I941"/>
      <c r="J941"/>
    </row>
    <row r="942" spans="7:10" x14ac:dyDescent="0.25">
      <c r="G942"/>
      <c r="H942"/>
      <c r="I942"/>
      <c r="J942"/>
    </row>
    <row r="943" spans="7:10" x14ac:dyDescent="0.25">
      <c r="G943"/>
      <c r="H943"/>
      <c r="I943"/>
      <c r="J943"/>
    </row>
    <row r="944" spans="7:10" x14ac:dyDescent="0.25">
      <c r="G944"/>
      <c r="H944"/>
      <c r="I944"/>
      <c r="J944"/>
    </row>
    <row r="945" spans="7:10" x14ac:dyDescent="0.25">
      <c r="G945"/>
      <c r="H945"/>
      <c r="I945"/>
      <c r="J945"/>
    </row>
    <row r="946" spans="7:10" x14ac:dyDescent="0.25">
      <c r="G946"/>
      <c r="H946"/>
      <c r="I946"/>
      <c r="J946"/>
    </row>
    <row r="947" spans="7:10" x14ac:dyDescent="0.25">
      <c r="G947"/>
      <c r="H947"/>
      <c r="I947"/>
      <c r="J947"/>
    </row>
    <row r="948" spans="7:10" x14ac:dyDescent="0.25">
      <c r="G948"/>
      <c r="H948"/>
      <c r="I948"/>
      <c r="J948"/>
    </row>
    <row r="949" spans="7:10" x14ac:dyDescent="0.25">
      <c r="G949"/>
      <c r="H949"/>
      <c r="I949"/>
      <c r="J949"/>
    </row>
    <row r="950" spans="7:10" x14ac:dyDescent="0.25">
      <c r="G950"/>
      <c r="H950"/>
      <c r="I950"/>
      <c r="J950"/>
    </row>
    <row r="951" spans="7:10" x14ac:dyDescent="0.25">
      <c r="G951"/>
      <c r="H951"/>
      <c r="I951"/>
      <c r="J951"/>
    </row>
    <row r="952" spans="7:10" x14ac:dyDescent="0.25">
      <c r="G952"/>
      <c r="H952"/>
      <c r="I952"/>
      <c r="J952"/>
    </row>
    <row r="953" spans="7:10" x14ac:dyDescent="0.25">
      <c r="G953"/>
      <c r="H953"/>
      <c r="I953"/>
      <c r="J953"/>
    </row>
    <row r="954" spans="7:10" x14ac:dyDescent="0.25">
      <c r="G954"/>
      <c r="H954"/>
      <c r="I954"/>
      <c r="J954"/>
    </row>
    <row r="955" spans="7:10" x14ac:dyDescent="0.25">
      <c r="G955"/>
      <c r="H955"/>
      <c r="I955"/>
      <c r="J955"/>
    </row>
    <row r="956" spans="7:10" x14ac:dyDescent="0.25">
      <c r="G956"/>
      <c r="H956"/>
      <c r="I956"/>
      <c r="J956"/>
    </row>
    <row r="957" spans="7:10" x14ac:dyDescent="0.25">
      <c r="G957"/>
      <c r="H957"/>
      <c r="I957"/>
      <c r="J957"/>
    </row>
    <row r="958" spans="7:10" x14ac:dyDescent="0.25">
      <c r="G958"/>
      <c r="H958"/>
      <c r="I958"/>
      <c r="J958"/>
    </row>
    <row r="959" spans="7:10" x14ac:dyDescent="0.25">
      <c r="G959"/>
      <c r="H959"/>
      <c r="I959"/>
      <c r="J959"/>
    </row>
    <row r="960" spans="7:10" x14ac:dyDescent="0.25">
      <c r="G960"/>
      <c r="H960"/>
      <c r="I960"/>
      <c r="J960"/>
    </row>
    <row r="961" spans="7:10" x14ac:dyDescent="0.25">
      <c r="G961"/>
      <c r="H961"/>
      <c r="I961"/>
      <c r="J961"/>
    </row>
    <row r="962" spans="7:10" x14ac:dyDescent="0.25">
      <c r="G962"/>
      <c r="H962"/>
      <c r="I962"/>
      <c r="J962"/>
    </row>
    <row r="963" spans="7:10" x14ac:dyDescent="0.25">
      <c r="G963"/>
      <c r="H963"/>
      <c r="I963"/>
      <c r="J963"/>
    </row>
    <row r="964" spans="7:10" x14ac:dyDescent="0.25">
      <c r="G964"/>
      <c r="H964"/>
      <c r="I964"/>
      <c r="J964"/>
    </row>
    <row r="965" spans="7:10" x14ac:dyDescent="0.25">
      <c r="G965"/>
      <c r="H965"/>
      <c r="I965"/>
      <c r="J965"/>
    </row>
    <row r="966" spans="7:10" x14ac:dyDescent="0.25">
      <c r="G966"/>
      <c r="H966"/>
      <c r="I966"/>
      <c r="J966"/>
    </row>
    <row r="967" spans="7:10" x14ac:dyDescent="0.25">
      <c r="G967"/>
      <c r="H967"/>
      <c r="I967"/>
      <c r="J967"/>
    </row>
    <row r="968" spans="7:10" x14ac:dyDescent="0.25">
      <c r="G968"/>
      <c r="H968"/>
      <c r="I968"/>
      <c r="J968"/>
    </row>
    <row r="969" spans="7:10" x14ac:dyDescent="0.25">
      <c r="G969"/>
      <c r="H969"/>
      <c r="I969"/>
      <c r="J969"/>
    </row>
    <row r="970" spans="7:10" x14ac:dyDescent="0.25">
      <c r="G970"/>
      <c r="H970"/>
      <c r="I970"/>
      <c r="J970"/>
    </row>
    <row r="971" spans="7:10" x14ac:dyDescent="0.25">
      <c r="G971"/>
      <c r="H971"/>
      <c r="I971"/>
      <c r="J971"/>
    </row>
    <row r="972" spans="7:10" x14ac:dyDescent="0.25">
      <c r="G972"/>
      <c r="H972"/>
      <c r="I972"/>
      <c r="J972"/>
    </row>
    <row r="973" spans="7:10" x14ac:dyDescent="0.25">
      <c r="G973"/>
      <c r="H973"/>
      <c r="I973"/>
      <c r="J973"/>
    </row>
    <row r="974" spans="7:10" x14ac:dyDescent="0.25">
      <c r="G974"/>
      <c r="H974"/>
      <c r="I974"/>
      <c r="J974"/>
    </row>
    <row r="975" spans="7:10" x14ac:dyDescent="0.25">
      <c r="G975"/>
      <c r="H975"/>
      <c r="I975"/>
      <c r="J975"/>
    </row>
    <row r="976" spans="7:10" x14ac:dyDescent="0.25">
      <c r="G976"/>
      <c r="H976"/>
      <c r="I976"/>
      <c r="J976"/>
    </row>
    <row r="977" spans="7:10" x14ac:dyDescent="0.25">
      <c r="G977"/>
      <c r="H977"/>
      <c r="I977"/>
      <c r="J977"/>
    </row>
    <row r="978" spans="7:10" x14ac:dyDescent="0.25">
      <c r="G978"/>
      <c r="H978"/>
      <c r="I978"/>
      <c r="J978"/>
    </row>
    <row r="979" spans="7:10" x14ac:dyDescent="0.25">
      <c r="G979"/>
      <c r="H979"/>
      <c r="I979"/>
      <c r="J979"/>
    </row>
    <row r="980" spans="7:10" x14ac:dyDescent="0.25">
      <c r="G980"/>
      <c r="H980"/>
      <c r="I980"/>
      <c r="J980"/>
    </row>
    <row r="981" spans="7:10" x14ac:dyDescent="0.25">
      <c r="G981"/>
      <c r="H981"/>
      <c r="I981"/>
      <c r="J981"/>
    </row>
    <row r="982" spans="7:10" x14ac:dyDescent="0.25">
      <c r="G982"/>
      <c r="H982"/>
      <c r="I982"/>
      <c r="J982"/>
    </row>
    <row r="983" spans="7:10" x14ac:dyDescent="0.25">
      <c r="G983"/>
      <c r="H983"/>
      <c r="I983"/>
      <c r="J983"/>
    </row>
    <row r="984" spans="7:10" x14ac:dyDescent="0.25">
      <c r="G984"/>
      <c r="H984"/>
      <c r="I984"/>
      <c r="J984"/>
    </row>
    <row r="985" spans="7:10" x14ac:dyDescent="0.25">
      <c r="G985"/>
      <c r="H985"/>
      <c r="I985"/>
      <c r="J985"/>
    </row>
    <row r="986" spans="7:10" x14ac:dyDescent="0.25">
      <c r="G986"/>
      <c r="H986"/>
      <c r="I986"/>
      <c r="J986"/>
    </row>
    <row r="987" spans="7:10" x14ac:dyDescent="0.25">
      <c r="G987"/>
      <c r="H987"/>
      <c r="I987"/>
      <c r="J987"/>
    </row>
    <row r="988" spans="7:10" x14ac:dyDescent="0.25">
      <c r="G988"/>
      <c r="H988"/>
      <c r="I988"/>
      <c r="J988"/>
    </row>
    <row r="989" spans="7:10" x14ac:dyDescent="0.25">
      <c r="G989"/>
      <c r="H989"/>
      <c r="I989"/>
      <c r="J989"/>
    </row>
    <row r="990" spans="7:10" x14ac:dyDescent="0.25">
      <c r="G990"/>
      <c r="H990"/>
      <c r="I990"/>
      <c r="J990"/>
    </row>
    <row r="991" spans="7:10" x14ac:dyDescent="0.25">
      <c r="G991"/>
      <c r="H991"/>
      <c r="I991"/>
      <c r="J991"/>
    </row>
    <row r="992" spans="7:10" x14ac:dyDescent="0.25">
      <c r="G992"/>
      <c r="H992"/>
      <c r="I992"/>
      <c r="J992"/>
    </row>
    <row r="993" spans="7:10" x14ac:dyDescent="0.25">
      <c r="G993"/>
      <c r="H993"/>
      <c r="I993"/>
      <c r="J993"/>
    </row>
    <row r="994" spans="7:10" x14ac:dyDescent="0.25">
      <c r="G994"/>
      <c r="H994"/>
      <c r="I994"/>
    </row>
    <row r="995" spans="7:10" x14ac:dyDescent="0.25">
      <c r="G995"/>
      <c r="H995"/>
      <c r="I995"/>
    </row>
    <row r="996" spans="7:10" x14ac:dyDescent="0.25">
      <c r="G996"/>
      <c r="H996"/>
      <c r="I996"/>
    </row>
    <row r="997" spans="7:10" x14ac:dyDescent="0.25">
      <c r="G997"/>
      <c r="H997"/>
      <c r="I997"/>
    </row>
    <row r="998" spans="7:10" x14ac:dyDescent="0.25">
      <c r="G998"/>
      <c r="H998"/>
      <c r="I998"/>
    </row>
    <row r="999" spans="7:10" x14ac:dyDescent="0.25">
      <c r="G999"/>
      <c r="H999"/>
      <c r="I999"/>
    </row>
    <row r="1000" spans="7:10" x14ac:dyDescent="0.25">
      <c r="G1000"/>
      <c r="H1000"/>
      <c r="I1000"/>
    </row>
    <row r="1001" spans="7:10" x14ac:dyDescent="0.25">
      <c r="G1001"/>
      <c r="H1001"/>
      <c r="I1001"/>
    </row>
    <row r="1002" spans="7:10" x14ac:dyDescent="0.25">
      <c r="G1002"/>
      <c r="H1002"/>
      <c r="I1002"/>
    </row>
    <row r="1003" spans="7:10" x14ac:dyDescent="0.25">
      <c r="G1003"/>
      <c r="H1003"/>
      <c r="I1003"/>
    </row>
    <row r="1004" spans="7:10" x14ac:dyDescent="0.25">
      <c r="G1004"/>
      <c r="H1004"/>
      <c r="I1004"/>
    </row>
    <row r="1005" spans="7:10" x14ac:dyDescent="0.25">
      <c r="G1005"/>
      <c r="H1005"/>
      <c r="I1005"/>
    </row>
    <row r="1006" spans="7:10" x14ac:dyDescent="0.25">
      <c r="G1006"/>
      <c r="H1006"/>
      <c r="I1006"/>
    </row>
    <row r="1007" spans="7:10" x14ac:dyDescent="0.25">
      <c r="G1007"/>
      <c r="H1007"/>
      <c r="I1007"/>
    </row>
    <row r="1008" spans="7:10" x14ac:dyDescent="0.25">
      <c r="G1008"/>
      <c r="H1008"/>
      <c r="I1008"/>
    </row>
    <row r="1009" spans="7:9" x14ac:dyDescent="0.25">
      <c r="G1009"/>
      <c r="H1009"/>
      <c r="I1009"/>
    </row>
    <row r="1010" spans="7:9" x14ac:dyDescent="0.25">
      <c r="G1010"/>
      <c r="H1010"/>
      <c r="I1010"/>
    </row>
    <row r="1011" spans="7:9" x14ac:dyDescent="0.25">
      <c r="G1011"/>
      <c r="H1011"/>
      <c r="I1011"/>
    </row>
    <row r="1012" spans="7:9" x14ac:dyDescent="0.25">
      <c r="G1012"/>
      <c r="H1012"/>
      <c r="I1012"/>
    </row>
    <row r="1013" spans="7:9" x14ac:dyDescent="0.25">
      <c r="G1013"/>
      <c r="H1013"/>
      <c r="I1013"/>
    </row>
    <row r="1014" spans="7:9" x14ac:dyDescent="0.25">
      <c r="G1014"/>
      <c r="H1014"/>
      <c r="I1014"/>
    </row>
    <row r="1015" spans="7:9" x14ac:dyDescent="0.25">
      <c r="G1015"/>
      <c r="H1015"/>
      <c r="I1015"/>
    </row>
    <row r="1016" spans="7:9" x14ac:dyDescent="0.25">
      <c r="G1016"/>
      <c r="H1016"/>
      <c r="I1016"/>
    </row>
    <row r="1017" spans="7:9" x14ac:dyDescent="0.25">
      <c r="G1017"/>
      <c r="H1017"/>
      <c r="I1017"/>
    </row>
    <row r="1018" spans="7:9" x14ac:dyDescent="0.25">
      <c r="G1018"/>
      <c r="H1018"/>
      <c r="I1018"/>
    </row>
    <row r="1019" spans="7:9" x14ac:dyDescent="0.25">
      <c r="G1019"/>
      <c r="H1019"/>
      <c r="I1019"/>
    </row>
    <row r="1020" spans="7:9" x14ac:dyDescent="0.25">
      <c r="G1020"/>
      <c r="H1020"/>
      <c r="I1020"/>
    </row>
    <row r="1021" spans="7:9" x14ac:dyDescent="0.25">
      <c r="G1021"/>
      <c r="H1021"/>
      <c r="I1021"/>
    </row>
    <row r="1022" spans="7:9" x14ac:dyDescent="0.25">
      <c r="G1022"/>
      <c r="H1022"/>
      <c r="I1022"/>
    </row>
    <row r="1023" spans="7:9" x14ac:dyDescent="0.25">
      <c r="G1023"/>
      <c r="H1023"/>
      <c r="I1023"/>
    </row>
    <row r="1024" spans="7:9" x14ac:dyDescent="0.25">
      <c r="G1024"/>
      <c r="H1024"/>
      <c r="I1024"/>
    </row>
    <row r="1025" spans="7:9" x14ac:dyDescent="0.25">
      <c r="G1025"/>
      <c r="H1025"/>
      <c r="I1025"/>
    </row>
    <row r="1026" spans="7:9" x14ac:dyDescent="0.25">
      <c r="G1026"/>
      <c r="H1026"/>
      <c r="I1026"/>
    </row>
    <row r="1027" spans="7:9" x14ac:dyDescent="0.25">
      <c r="G1027"/>
      <c r="H1027"/>
      <c r="I1027"/>
    </row>
    <row r="1028" spans="7:9" x14ac:dyDescent="0.25">
      <c r="G1028"/>
      <c r="H1028"/>
      <c r="I1028"/>
    </row>
    <row r="1029" spans="7:9" x14ac:dyDescent="0.25">
      <c r="G1029"/>
      <c r="H1029"/>
      <c r="I1029"/>
    </row>
    <row r="1030" spans="7:9" x14ac:dyDescent="0.25">
      <c r="G1030"/>
      <c r="H1030"/>
      <c r="I1030"/>
    </row>
    <row r="1031" spans="7:9" x14ac:dyDescent="0.25">
      <c r="G1031"/>
      <c r="H1031"/>
      <c r="I1031"/>
    </row>
    <row r="1032" spans="7:9" x14ac:dyDescent="0.25">
      <c r="G1032"/>
      <c r="H1032"/>
      <c r="I1032"/>
    </row>
    <row r="1033" spans="7:9" x14ac:dyDescent="0.25">
      <c r="G1033"/>
      <c r="H1033"/>
      <c r="I1033"/>
    </row>
    <row r="1034" spans="7:9" x14ac:dyDescent="0.25">
      <c r="G1034"/>
      <c r="H1034"/>
      <c r="I1034"/>
    </row>
    <row r="1035" spans="7:9" x14ac:dyDescent="0.25">
      <c r="G1035"/>
      <c r="H1035"/>
      <c r="I1035"/>
    </row>
    <row r="1036" spans="7:9" x14ac:dyDescent="0.25">
      <c r="G1036"/>
      <c r="H1036"/>
      <c r="I1036"/>
    </row>
    <row r="1037" spans="7:9" x14ac:dyDescent="0.25">
      <c r="G1037"/>
      <c r="H1037"/>
      <c r="I1037"/>
    </row>
    <row r="1038" spans="7:9" x14ac:dyDescent="0.25">
      <c r="G1038"/>
      <c r="H1038"/>
      <c r="I1038"/>
    </row>
    <row r="1039" spans="7:9" x14ac:dyDescent="0.25">
      <c r="G1039"/>
      <c r="H1039"/>
      <c r="I1039"/>
    </row>
    <row r="1040" spans="7:9" x14ac:dyDescent="0.25">
      <c r="G1040"/>
      <c r="H1040"/>
      <c r="I1040"/>
    </row>
    <row r="1041" spans="7:9" x14ac:dyDescent="0.25">
      <c r="G1041"/>
      <c r="H1041"/>
      <c r="I1041"/>
    </row>
    <row r="1042" spans="7:9" x14ac:dyDescent="0.25">
      <c r="G1042"/>
      <c r="H1042"/>
      <c r="I1042"/>
    </row>
    <row r="1043" spans="7:9" x14ac:dyDescent="0.25">
      <c r="G1043"/>
      <c r="H1043"/>
      <c r="I1043"/>
    </row>
    <row r="1044" spans="7:9" x14ac:dyDescent="0.25">
      <c r="G1044"/>
      <c r="H1044"/>
      <c r="I1044"/>
    </row>
    <row r="1045" spans="7:9" x14ac:dyDescent="0.25">
      <c r="G1045"/>
      <c r="H1045"/>
      <c r="I1045"/>
    </row>
    <row r="1046" spans="7:9" x14ac:dyDescent="0.25">
      <c r="G1046"/>
      <c r="H1046"/>
      <c r="I1046"/>
    </row>
    <row r="1047" spans="7:9" x14ac:dyDescent="0.25">
      <c r="G1047"/>
      <c r="H1047"/>
      <c r="I1047"/>
    </row>
    <row r="1048" spans="7:9" x14ac:dyDescent="0.25">
      <c r="G1048"/>
      <c r="H1048"/>
      <c r="I1048"/>
    </row>
    <row r="1049" spans="7:9" x14ac:dyDescent="0.25">
      <c r="G1049"/>
      <c r="H1049"/>
      <c r="I1049"/>
    </row>
    <row r="1050" spans="7:9" x14ac:dyDescent="0.25">
      <c r="G1050"/>
      <c r="H1050"/>
      <c r="I1050"/>
    </row>
    <row r="1051" spans="7:9" x14ac:dyDescent="0.25">
      <c r="G1051"/>
      <c r="H1051"/>
      <c r="I1051"/>
    </row>
    <row r="1052" spans="7:9" x14ac:dyDescent="0.25">
      <c r="G1052"/>
      <c r="H1052"/>
      <c r="I1052"/>
    </row>
    <row r="1053" spans="7:9" x14ac:dyDescent="0.25">
      <c r="G1053"/>
      <c r="H1053"/>
      <c r="I1053"/>
    </row>
    <row r="1054" spans="7:9" x14ac:dyDescent="0.25">
      <c r="G1054"/>
      <c r="H1054"/>
      <c r="I1054"/>
    </row>
    <row r="1055" spans="7:9" x14ac:dyDescent="0.25">
      <c r="G1055"/>
      <c r="H1055"/>
      <c r="I1055"/>
    </row>
    <row r="1056" spans="7:9" x14ac:dyDescent="0.25">
      <c r="G1056"/>
      <c r="H1056"/>
      <c r="I1056"/>
    </row>
    <row r="1057" spans="7:9" x14ac:dyDescent="0.25">
      <c r="G1057"/>
      <c r="H1057"/>
      <c r="I1057"/>
    </row>
    <row r="1058" spans="7:9" x14ac:dyDescent="0.25">
      <c r="G1058"/>
      <c r="H1058"/>
      <c r="I1058"/>
    </row>
    <row r="1059" spans="7:9" x14ac:dyDescent="0.25">
      <c r="G1059"/>
      <c r="H1059"/>
      <c r="I1059"/>
    </row>
    <row r="1060" spans="7:9" x14ac:dyDescent="0.25">
      <c r="G1060"/>
      <c r="H1060"/>
      <c r="I1060"/>
    </row>
    <row r="1061" spans="7:9" x14ac:dyDescent="0.25">
      <c r="G1061"/>
      <c r="H1061"/>
      <c r="I1061"/>
    </row>
    <row r="1062" spans="7:9" x14ac:dyDescent="0.25">
      <c r="G1062"/>
      <c r="H1062"/>
      <c r="I1062"/>
    </row>
    <row r="1063" spans="7:9" x14ac:dyDescent="0.25">
      <c r="G1063"/>
      <c r="H1063"/>
      <c r="I1063"/>
    </row>
    <row r="1064" spans="7:9" x14ac:dyDescent="0.25">
      <c r="G1064"/>
      <c r="H1064"/>
      <c r="I1064"/>
    </row>
    <row r="1065" spans="7:9" x14ac:dyDescent="0.25">
      <c r="G1065"/>
      <c r="H1065"/>
      <c r="I1065"/>
    </row>
    <row r="1066" spans="7:9" x14ac:dyDescent="0.25">
      <c r="G1066"/>
      <c r="H1066"/>
      <c r="I1066"/>
    </row>
    <row r="1067" spans="7:9" x14ac:dyDescent="0.25">
      <c r="G1067"/>
      <c r="H1067"/>
      <c r="I1067"/>
    </row>
    <row r="1068" spans="7:9" x14ac:dyDescent="0.25">
      <c r="G1068"/>
      <c r="H1068"/>
      <c r="I1068"/>
    </row>
    <row r="1069" spans="7:9" x14ac:dyDescent="0.25">
      <c r="G1069"/>
      <c r="H1069"/>
      <c r="I1069"/>
    </row>
    <row r="1070" spans="7:9" x14ac:dyDescent="0.25">
      <c r="G1070"/>
      <c r="H1070"/>
      <c r="I1070"/>
    </row>
    <row r="1071" spans="7:9" x14ac:dyDescent="0.25">
      <c r="G1071"/>
      <c r="H1071"/>
      <c r="I1071"/>
    </row>
    <row r="1072" spans="7:9" x14ac:dyDescent="0.25">
      <c r="G1072"/>
      <c r="H1072"/>
      <c r="I1072"/>
    </row>
    <row r="1073" spans="7:9" x14ac:dyDescent="0.25">
      <c r="G1073"/>
      <c r="H1073"/>
      <c r="I1073"/>
    </row>
    <row r="1074" spans="7:9" x14ac:dyDescent="0.25">
      <c r="G1074"/>
      <c r="H1074"/>
      <c r="I1074"/>
    </row>
    <row r="1075" spans="7:9" x14ac:dyDescent="0.25">
      <c r="G1075"/>
      <c r="H1075"/>
      <c r="I1075"/>
    </row>
    <row r="1076" spans="7:9" x14ac:dyDescent="0.25">
      <c r="G1076"/>
      <c r="H1076"/>
      <c r="I1076"/>
    </row>
    <row r="1077" spans="7:9" x14ac:dyDescent="0.25">
      <c r="G1077"/>
      <c r="H1077"/>
      <c r="I1077"/>
    </row>
    <row r="1078" spans="7:9" x14ac:dyDescent="0.25">
      <c r="G1078"/>
      <c r="H1078"/>
      <c r="I1078"/>
    </row>
    <row r="1079" spans="7:9" x14ac:dyDescent="0.25">
      <c r="G1079"/>
      <c r="H1079"/>
      <c r="I1079"/>
    </row>
    <row r="1080" spans="7:9" x14ac:dyDescent="0.25">
      <c r="G1080"/>
      <c r="H1080"/>
      <c r="I1080"/>
    </row>
    <row r="1081" spans="7:9" x14ac:dyDescent="0.25">
      <c r="G1081"/>
      <c r="H1081"/>
      <c r="I1081"/>
    </row>
    <row r="1082" spans="7:9" x14ac:dyDescent="0.25">
      <c r="G1082"/>
      <c r="H1082"/>
      <c r="I1082"/>
    </row>
    <row r="1083" spans="7:9" x14ac:dyDescent="0.25">
      <c r="G1083"/>
      <c r="H1083"/>
      <c r="I1083"/>
    </row>
    <row r="1084" spans="7:9" x14ac:dyDescent="0.25">
      <c r="G1084"/>
      <c r="H1084"/>
      <c r="I1084"/>
    </row>
    <row r="1085" spans="7:9" x14ac:dyDescent="0.25">
      <c r="G1085"/>
      <c r="H1085"/>
      <c r="I1085"/>
    </row>
    <row r="1086" spans="7:9" x14ac:dyDescent="0.25">
      <c r="G1086"/>
      <c r="H1086"/>
      <c r="I1086"/>
    </row>
    <row r="1087" spans="7:9" x14ac:dyDescent="0.25">
      <c r="G1087"/>
      <c r="H1087"/>
      <c r="I1087"/>
    </row>
    <row r="1088" spans="7:9" x14ac:dyDescent="0.25">
      <c r="G1088"/>
      <c r="H1088"/>
      <c r="I1088"/>
    </row>
    <row r="1089" spans="7:9" x14ac:dyDescent="0.25">
      <c r="G1089"/>
      <c r="H1089"/>
      <c r="I1089"/>
    </row>
    <row r="1090" spans="7:9" x14ac:dyDescent="0.25">
      <c r="G1090"/>
      <c r="H1090"/>
      <c r="I1090"/>
    </row>
    <row r="1091" spans="7:9" x14ac:dyDescent="0.25">
      <c r="G1091"/>
      <c r="H1091"/>
      <c r="I1091"/>
    </row>
    <row r="1092" spans="7:9" x14ac:dyDescent="0.25">
      <c r="G1092"/>
      <c r="H1092"/>
      <c r="I1092"/>
    </row>
    <row r="1093" spans="7:9" x14ac:dyDescent="0.25">
      <c r="G1093"/>
      <c r="H1093"/>
      <c r="I1093"/>
    </row>
    <row r="1094" spans="7:9" x14ac:dyDescent="0.25">
      <c r="G1094"/>
      <c r="H1094"/>
      <c r="I1094"/>
    </row>
    <row r="1095" spans="7:9" x14ac:dyDescent="0.25">
      <c r="G1095"/>
      <c r="H1095"/>
      <c r="I1095"/>
    </row>
    <row r="1096" spans="7:9" x14ac:dyDescent="0.25">
      <c r="G1096"/>
      <c r="H1096"/>
      <c r="I1096"/>
    </row>
    <row r="1097" spans="7:9" x14ac:dyDescent="0.25">
      <c r="G1097"/>
      <c r="H1097"/>
      <c r="I1097"/>
    </row>
    <row r="1098" spans="7:9" x14ac:dyDescent="0.25">
      <c r="G1098"/>
      <c r="H1098"/>
      <c r="I1098"/>
    </row>
    <row r="1099" spans="7:9" x14ac:dyDescent="0.25">
      <c r="G1099"/>
      <c r="H1099"/>
      <c r="I1099"/>
    </row>
    <row r="1100" spans="7:9" x14ac:dyDescent="0.25">
      <c r="G1100"/>
      <c r="H1100"/>
      <c r="I1100"/>
    </row>
    <row r="1101" spans="7:9" x14ac:dyDescent="0.25">
      <c r="G1101"/>
      <c r="H1101"/>
      <c r="I1101"/>
    </row>
    <row r="1102" spans="7:9" x14ac:dyDescent="0.25">
      <c r="G1102"/>
      <c r="H1102"/>
      <c r="I1102"/>
    </row>
    <row r="1103" spans="7:9" x14ac:dyDescent="0.25">
      <c r="G1103"/>
      <c r="H1103"/>
      <c r="I1103"/>
    </row>
    <row r="1104" spans="7:9" x14ac:dyDescent="0.25">
      <c r="G1104"/>
      <c r="H1104"/>
      <c r="I1104"/>
    </row>
    <row r="1105" spans="7:9" x14ac:dyDescent="0.25">
      <c r="G1105"/>
      <c r="H1105"/>
      <c r="I1105"/>
    </row>
    <row r="1106" spans="7:9" x14ac:dyDescent="0.25">
      <c r="G1106"/>
      <c r="H1106"/>
      <c r="I1106"/>
    </row>
    <row r="1107" spans="7:9" x14ac:dyDescent="0.25">
      <c r="G1107"/>
      <c r="H1107"/>
      <c r="I1107"/>
    </row>
    <row r="1108" spans="7:9" x14ac:dyDescent="0.25">
      <c r="G1108"/>
      <c r="H1108"/>
      <c r="I1108"/>
    </row>
    <row r="1109" spans="7:9" x14ac:dyDescent="0.25">
      <c r="G1109"/>
      <c r="H1109"/>
      <c r="I1109"/>
    </row>
    <row r="1110" spans="7:9" x14ac:dyDescent="0.25">
      <c r="G1110"/>
      <c r="H1110"/>
      <c r="I1110"/>
    </row>
    <row r="1111" spans="7:9" x14ac:dyDescent="0.25">
      <c r="G1111"/>
      <c r="H1111"/>
      <c r="I1111"/>
    </row>
    <row r="1112" spans="7:9" x14ac:dyDescent="0.25">
      <c r="G1112"/>
      <c r="H1112"/>
      <c r="I1112"/>
    </row>
    <row r="1113" spans="7:9" x14ac:dyDescent="0.25">
      <c r="G1113"/>
      <c r="H1113"/>
      <c r="I1113"/>
    </row>
    <row r="1114" spans="7:9" x14ac:dyDescent="0.25">
      <c r="G1114"/>
      <c r="H1114"/>
      <c r="I1114"/>
    </row>
    <row r="1115" spans="7:9" x14ac:dyDescent="0.25">
      <c r="G1115"/>
      <c r="H1115"/>
      <c r="I1115"/>
    </row>
    <row r="1116" spans="7:9" x14ac:dyDescent="0.25">
      <c r="G1116"/>
      <c r="H1116"/>
      <c r="I1116"/>
    </row>
    <row r="1117" spans="7:9" x14ac:dyDescent="0.25">
      <c r="G1117"/>
      <c r="H1117"/>
      <c r="I1117"/>
    </row>
    <row r="1118" spans="7:9" x14ac:dyDescent="0.25">
      <c r="G1118"/>
      <c r="H1118"/>
      <c r="I1118"/>
    </row>
    <row r="1119" spans="7:9" x14ac:dyDescent="0.25">
      <c r="G1119"/>
      <c r="H1119"/>
      <c r="I1119"/>
    </row>
    <row r="1120" spans="7:9" x14ac:dyDescent="0.25">
      <c r="G1120"/>
      <c r="H1120"/>
      <c r="I1120"/>
    </row>
    <row r="1121" spans="7:9" x14ac:dyDescent="0.25">
      <c r="G1121"/>
      <c r="H1121"/>
      <c r="I1121"/>
    </row>
    <row r="1122" spans="7:9" x14ac:dyDescent="0.25">
      <c r="G1122"/>
      <c r="H1122"/>
      <c r="I1122"/>
    </row>
    <row r="1123" spans="7:9" x14ac:dyDescent="0.25">
      <c r="G1123"/>
      <c r="H1123"/>
      <c r="I1123"/>
    </row>
    <row r="1124" spans="7:9" x14ac:dyDescent="0.25">
      <c r="G1124"/>
      <c r="H1124"/>
      <c r="I1124"/>
    </row>
    <row r="1125" spans="7:9" x14ac:dyDescent="0.25">
      <c r="G1125"/>
      <c r="H1125"/>
      <c r="I1125"/>
    </row>
    <row r="1126" spans="7:9" x14ac:dyDescent="0.25">
      <c r="G1126"/>
      <c r="H1126"/>
      <c r="I1126"/>
    </row>
    <row r="1127" spans="7:9" x14ac:dyDescent="0.25">
      <c r="G1127"/>
      <c r="H1127"/>
      <c r="I1127"/>
    </row>
    <row r="1128" spans="7:9" x14ac:dyDescent="0.25">
      <c r="G1128"/>
      <c r="H1128"/>
      <c r="I1128"/>
    </row>
    <row r="1129" spans="7:9" x14ac:dyDescent="0.25">
      <c r="G1129"/>
      <c r="H1129"/>
      <c r="I1129"/>
    </row>
    <row r="1130" spans="7:9" x14ac:dyDescent="0.25">
      <c r="G1130"/>
      <c r="H1130"/>
      <c r="I1130"/>
    </row>
    <row r="1131" spans="7:9" x14ac:dyDescent="0.25">
      <c r="G1131"/>
      <c r="H1131"/>
      <c r="I1131"/>
    </row>
    <row r="1132" spans="7:9" x14ac:dyDescent="0.25">
      <c r="G1132"/>
      <c r="H1132"/>
      <c r="I1132"/>
    </row>
    <row r="1133" spans="7:9" x14ac:dyDescent="0.25">
      <c r="G1133"/>
      <c r="H1133"/>
      <c r="I1133"/>
    </row>
    <row r="1134" spans="7:9" x14ac:dyDescent="0.25">
      <c r="G1134"/>
      <c r="H1134"/>
      <c r="I1134"/>
    </row>
    <row r="1135" spans="7:9" x14ac:dyDescent="0.25">
      <c r="G1135"/>
      <c r="H1135"/>
      <c r="I1135"/>
    </row>
    <row r="1136" spans="7:9" x14ac:dyDescent="0.25">
      <c r="G1136"/>
      <c r="H1136"/>
      <c r="I1136"/>
    </row>
    <row r="1137" spans="7:9" x14ac:dyDescent="0.25">
      <c r="G1137"/>
      <c r="H1137"/>
      <c r="I1137"/>
    </row>
    <row r="1138" spans="7:9" x14ac:dyDescent="0.25">
      <c r="G1138"/>
      <c r="H1138"/>
      <c r="I1138"/>
    </row>
    <row r="1139" spans="7:9" x14ac:dyDescent="0.25">
      <c r="G1139"/>
      <c r="H1139"/>
      <c r="I1139"/>
    </row>
    <row r="1140" spans="7:9" x14ac:dyDescent="0.25">
      <c r="G1140"/>
      <c r="H1140"/>
      <c r="I1140"/>
    </row>
    <row r="1141" spans="7:9" x14ac:dyDescent="0.25">
      <c r="G1141"/>
      <c r="H1141"/>
      <c r="I1141"/>
    </row>
    <row r="1142" spans="7:9" x14ac:dyDescent="0.25">
      <c r="G1142"/>
      <c r="H1142"/>
      <c r="I1142"/>
    </row>
    <row r="1143" spans="7:9" x14ac:dyDescent="0.25">
      <c r="G1143"/>
      <c r="H1143"/>
      <c r="I1143"/>
    </row>
    <row r="1144" spans="7:9" x14ac:dyDescent="0.25">
      <c r="G1144"/>
      <c r="H1144"/>
      <c r="I1144"/>
    </row>
    <row r="1145" spans="7:9" x14ac:dyDescent="0.25">
      <c r="G1145"/>
      <c r="H1145"/>
      <c r="I1145"/>
    </row>
    <row r="1146" spans="7:9" x14ac:dyDescent="0.25">
      <c r="G1146"/>
      <c r="H1146"/>
      <c r="I1146"/>
    </row>
    <row r="1147" spans="7:9" x14ac:dyDescent="0.25">
      <c r="G1147"/>
      <c r="H1147"/>
      <c r="I1147"/>
    </row>
    <row r="1148" spans="7:9" x14ac:dyDescent="0.25">
      <c r="G1148"/>
      <c r="H1148"/>
      <c r="I1148"/>
    </row>
    <row r="1149" spans="7:9" x14ac:dyDescent="0.25">
      <c r="G1149"/>
      <c r="H1149"/>
      <c r="I1149"/>
    </row>
    <row r="1150" spans="7:9" x14ac:dyDescent="0.25">
      <c r="G1150"/>
      <c r="H1150"/>
      <c r="I1150"/>
    </row>
    <row r="1151" spans="7:9" x14ac:dyDescent="0.25">
      <c r="G1151"/>
      <c r="H1151"/>
      <c r="I1151"/>
    </row>
    <row r="1152" spans="7:9" x14ac:dyDescent="0.25">
      <c r="G1152"/>
      <c r="H1152"/>
      <c r="I1152"/>
    </row>
    <row r="1153" spans="7:9" x14ac:dyDescent="0.25">
      <c r="G1153"/>
      <c r="H1153"/>
      <c r="I1153"/>
    </row>
    <row r="1154" spans="7:9" x14ac:dyDescent="0.25">
      <c r="G1154"/>
      <c r="H1154"/>
      <c r="I1154"/>
    </row>
    <row r="1155" spans="7:9" x14ac:dyDescent="0.25">
      <c r="G1155"/>
      <c r="H1155"/>
      <c r="I1155"/>
    </row>
    <row r="1156" spans="7:9" x14ac:dyDescent="0.25">
      <c r="G1156"/>
      <c r="H1156"/>
      <c r="I1156"/>
    </row>
    <row r="1157" spans="7:9" x14ac:dyDescent="0.25">
      <c r="G1157"/>
      <c r="H1157"/>
      <c r="I1157"/>
    </row>
    <row r="1158" spans="7:9" x14ac:dyDescent="0.25">
      <c r="G1158"/>
      <c r="H1158"/>
      <c r="I1158"/>
    </row>
    <row r="1159" spans="7:9" x14ac:dyDescent="0.25">
      <c r="G1159"/>
      <c r="H1159"/>
      <c r="I1159"/>
    </row>
    <row r="1160" spans="7:9" x14ac:dyDescent="0.25">
      <c r="G1160"/>
      <c r="H1160"/>
      <c r="I1160"/>
    </row>
    <row r="1161" spans="7:9" x14ac:dyDescent="0.25">
      <c r="G1161"/>
      <c r="H1161"/>
      <c r="I1161"/>
    </row>
    <row r="1162" spans="7:9" x14ac:dyDescent="0.25">
      <c r="G1162"/>
      <c r="H1162"/>
      <c r="I1162"/>
    </row>
    <row r="1163" spans="7:9" x14ac:dyDescent="0.25">
      <c r="G1163"/>
      <c r="H1163"/>
      <c r="I1163"/>
    </row>
    <row r="1164" spans="7:9" x14ac:dyDescent="0.25">
      <c r="G1164"/>
      <c r="H1164"/>
      <c r="I1164"/>
    </row>
    <row r="1165" spans="7:9" x14ac:dyDescent="0.25">
      <c r="G1165"/>
      <c r="H1165"/>
      <c r="I1165"/>
    </row>
    <row r="1166" spans="7:9" x14ac:dyDescent="0.25">
      <c r="G1166"/>
      <c r="H1166"/>
      <c r="I1166"/>
    </row>
    <row r="1167" spans="7:9" x14ac:dyDescent="0.25">
      <c r="G1167"/>
      <c r="H1167"/>
      <c r="I1167"/>
    </row>
    <row r="1168" spans="7:9" x14ac:dyDescent="0.25">
      <c r="G1168"/>
      <c r="H1168"/>
      <c r="I1168"/>
    </row>
    <row r="1169" spans="7:9" x14ac:dyDescent="0.25">
      <c r="G1169"/>
      <c r="H1169"/>
      <c r="I1169"/>
    </row>
    <row r="1170" spans="7:9" x14ac:dyDescent="0.25">
      <c r="G1170"/>
      <c r="H1170"/>
      <c r="I1170"/>
    </row>
    <row r="1171" spans="7:9" x14ac:dyDescent="0.25">
      <c r="G1171"/>
      <c r="H1171"/>
      <c r="I1171"/>
    </row>
    <row r="1172" spans="7:9" x14ac:dyDescent="0.25">
      <c r="G1172"/>
      <c r="H1172"/>
      <c r="I1172"/>
    </row>
    <row r="1173" spans="7:9" x14ac:dyDescent="0.25">
      <c r="G1173"/>
      <c r="H1173"/>
      <c r="I1173"/>
    </row>
    <row r="1174" spans="7:9" x14ac:dyDescent="0.25">
      <c r="G1174"/>
      <c r="H1174"/>
      <c r="I1174"/>
    </row>
    <row r="1175" spans="7:9" x14ac:dyDescent="0.25">
      <c r="G1175"/>
      <c r="H1175"/>
      <c r="I1175"/>
    </row>
    <row r="1176" spans="7:9" x14ac:dyDescent="0.25">
      <c r="G1176"/>
      <c r="H1176"/>
      <c r="I1176"/>
    </row>
    <row r="1177" spans="7:9" x14ac:dyDescent="0.25">
      <c r="G1177"/>
      <c r="H1177"/>
      <c r="I1177"/>
    </row>
    <row r="1178" spans="7:9" x14ac:dyDescent="0.25">
      <c r="G1178"/>
      <c r="H1178"/>
      <c r="I1178"/>
    </row>
    <row r="1179" spans="7:9" x14ac:dyDescent="0.25">
      <c r="G1179"/>
      <c r="H1179"/>
      <c r="I1179"/>
    </row>
    <row r="1180" spans="7:9" x14ac:dyDescent="0.25">
      <c r="G1180"/>
      <c r="H1180"/>
      <c r="I1180"/>
    </row>
    <row r="1181" spans="7:9" x14ac:dyDescent="0.25">
      <c r="G1181"/>
      <c r="H1181"/>
      <c r="I1181"/>
    </row>
    <row r="1182" spans="7:9" x14ac:dyDescent="0.25">
      <c r="G1182"/>
      <c r="H1182"/>
      <c r="I1182"/>
    </row>
    <row r="1183" spans="7:9" x14ac:dyDescent="0.25">
      <c r="G1183"/>
      <c r="H1183"/>
      <c r="I1183"/>
    </row>
    <row r="1184" spans="7:9" x14ac:dyDescent="0.25">
      <c r="G1184"/>
      <c r="H1184"/>
      <c r="I1184"/>
    </row>
    <row r="1185" spans="7:9" x14ac:dyDescent="0.25">
      <c r="G1185"/>
      <c r="H1185"/>
      <c r="I1185"/>
    </row>
    <row r="1186" spans="7:9" x14ac:dyDescent="0.25">
      <c r="G1186"/>
      <c r="H1186"/>
      <c r="I1186"/>
    </row>
    <row r="1187" spans="7:9" x14ac:dyDescent="0.25">
      <c r="G1187"/>
      <c r="H1187"/>
      <c r="I1187"/>
    </row>
    <row r="1188" spans="7:9" x14ac:dyDescent="0.25">
      <c r="G1188"/>
      <c r="H1188"/>
      <c r="I1188"/>
    </row>
    <row r="1189" spans="7:9" x14ac:dyDescent="0.25">
      <c r="G1189"/>
      <c r="H1189"/>
      <c r="I1189"/>
    </row>
    <row r="1190" spans="7:9" x14ac:dyDescent="0.25">
      <c r="G1190"/>
      <c r="H1190"/>
      <c r="I1190"/>
    </row>
    <row r="1191" spans="7:9" x14ac:dyDescent="0.25">
      <c r="G1191"/>
      <c r="H1191"/>
      <c r="I1191"/>
    </row>
    <row r="1192" spans="7:9" x14ac:dyDescent="0.25">
      <c r="G1192"/>
      <c r="H1192"/>
      <c r="I1192"/>
    </row>
    <row r="1193" spans="7:9" x14ac:dyDescent="0.25">
      <c r="G1193"/>
      <c r="H1193"/>
      <c r="I1193"/>
    </row>
    <row r="1194" spans="7:9" x14ac:dyDescent="0.25">
      <c r="G1194"/>
      <c r="H1194"/>
      <c r="I1194"/>
    </row>
    <row r="1195" spans="7:9" x14ac:dyDescent="0.25">
      <c r="G1195"/>
      <c r="H1195"/>
      <c r="I1195"/>
    </row>
    <row r="1196" spans="7:9" x14ac:dyDescent="0.25">
      <c r="G1196"/>
      <c r="H1196"/>
      <c r="I1196"/>
    </row>
    <row r="1197" spans="7:9" x14ac:dyDescent="0.25">
      <c r="G1197"/>
      <c r="H1197"/>
      <c r="I1197"/>
    </row>
    <row r="1198" spans="7:9" x14ac:dyDescent="0.25">
      <c r="G1198"/>
      <c r="H1198"/>
      <c r="I1198"/>
    </row>
    <row r="1199" spans="7:9" x14ac:dyDescent="0.25">
      <c r="G1199"/>
      <c r="H1199"/>
      <c r="I1199"/>
    </row>
    <row r="1200" spans="7:9" x14ac:dyDescent="0.25">
      <c r="G1200"/>
      <c r="H1200"/>
      <c r="I1200"/>
    </row>
    <row r="1201" spans="7:9" x14ac:dyDescent="0.25">
      <c r="G1201"/>
      <c r="H1201"/>
      <c r="I1201"/>
    </row>
    <row r="1202" spans="7:9" x14ac:dyDescent="0.25">
      <c r="G1202"/>
      <c r="H1202"/>
      <c r="I1202"/>
    </row>
    <row r="1203" spans="7:9" x14ac:dyDescent="0.25">
      <c r="G1203"/>
      <c r="H1203"/>
      <c r="I1203"/>
    </row>
    <row r="1204" spans="7:9" x14ac:dyDescent="0.25">
      <c r="G1204"/>
      <c r="H1204"/>
      <c r="I1204"/>
    </row>
    <row r="1205" spans="7:9" x14ac:dyDescent="0.25">
      <c r="G1205"/>
      <c r="H1205"/>
      <c r="I1205"/>
    </row>
    <row r="1206" spans="7:9" x14ac:dyDescent="0.25">
      <c r="G1206"/>
      <c r="H1206"/>
      <c r="I1206"/>
    </row>
    <row r="1207" spans="7:9" x14ac:dyDescent="0.25">
      <c r="G1207"/>
      <c r="H1207"/>
      <c r="I1207"/>
    </row>
    <row r="1208" spans="7:9" x14ac:dyDescent="0.25">
      <c r="G1208"/>
      <c r="H1208"/>
      <c r="I1208"/>
    </row>
    <row r="1209" spans="7:9" x14ac:dyDescent="0.25">
      <c r="G1209"/>
      <c r="H1209"/>
      <c r="I1209"/>
    </row>
    <row r="1210" spans="7:9" x14ac:dyDescent="0.25">
      <c r="G1210"/>
      <c r="H1210"/>
      <c r="I1210"/>
    </row>
    <row r="1211" spans="7:9" x14ac:dyDescent="0.25">
      <c r="G1211"/>
      <c r="H1211"/>
      <c r="I1211"/>
    </row>
    <row r="1212" spans="7:9" x14ac:dyDescent="0.25">
      <c r="G1212"/>
      <c r="H1212"/>
      <c r="I1212"/>
    </row>
    <row r="1213" spans="7:9" x14ac:dyDescent="0.25">
      <c r="G1213"/>
      <c r="H1213"/>
      <c r="I1213"/>
    </row>
    <row r="1214" spans="7:9" x14ac:dyDescent="0.25">
      <c r="G1214"/>
      <c r="H1214"/>
      <c r="I1214"/>
    </row>
    <row r="1215" spans="7:9" x14ac:dyDescent="0.25">
      <c r="G1215"/>
      <c r="H1215"/>
      <c r="I1215"/>
    </row>
    <row r="1216" spans="7:9" x14ac:dyDescent="0.25">
      <c r="G1216"/>
      <c r="H1216"/>
      <c r="I1216"/>
    </row>
    <row r="1217" spans="7:9" x14ac:dyDescent="0.25">
      <c r="G1217"/>
      <c r="H1217"/>
      <c r="I1217"/>
    </row>
    <row r="1218" spans="7:9" x14ac:dyDescent="0.25">
      <c r="G1218"/>
      <c r="H1218"/>
      <c r="I1218"/>
    </row>
    <row r="1219" spans="7:9" x14ac:dyDescent="0.25">
      <c r="G1219"/>
      <c r="H1219"/>
      <c r="I1219"/>
    </row>
    <row r="1220" spans="7:9" x14ac:dyDescent="0.25">
      <c r="G1220"/>
      <c r="H1220"/>
      <c r="I1220"/>
    </row>
    <row r="1221" spans="7:9" x14ac:dyDescent="0.25">
      <c r="G1221"/>
      <c r="H1221"/>
      <c r="I1221"/>
    </row>
    <row r="1222" spans="7:9" x14ac:dyDescent="0.25">
      <c r="G1222"/>
      <c r="H1222"/>
      <c r="I1222"/>
    </row>
    <row r="1223" spans="7:9" x14ac:dyDescent="0.25">
      <c r="G1223"/>
      <c r="H1223"/>
      <c r="I1223"/>
    </row>
    <row r="1224" spans="7:9" x14ac:dyDescent="0.25">
      <c r="G1224"/>
      <c r="H1224"/>
      <c r="I1224"/>
    </row>
    <row r="1225" spans="7:9" x14ac:dyDescent="0.25">
      <c r="G1225"/>
      <c r="H1225"/>
      <c r="I1225"/>
    </row>
    <row r="1226" spans="7:9" x14ac:dyDescent="0.25">
      <c r="G1226"/>
      <c r="H1226"/>
      <c r="I1226"/>
    </row>
    <row r="1227" spans="7:9" x14ac:dyDescent="0.25">
      <c r="G1227"/>
      <c r="H1227"/>
      <c r="I1227"/>
    </row>
    <row r="1228" spans="7:9" x14ac:dyDescent="0.25">
      <c r="G1228"/>
      <c r="H1228"/>
      <c r="I1228"/>
    </row>
    <row r="1229" spans="7:9" x14ac:dyDescent="0.25">
      <c r="G1229"/>
      <c r="H1229"/>
      <c r="I1229"/>
    </row>
    <row r="1230" spans="7:9" x14ac:dyDescent="0.25">
      <c r="G1230"/>
      <c r="H1230"/>
      <c r="I1230"/>
    </row>
    <row r="1231" spans="7:9" x14ac:dyDescent="0.25">
      <c r="G1231"/>
      <c r="H1231"/>
      <c r="I1231"/>
    </row>
    <row r="1232" spans="7:9" x14ac:dyDescent="0.25">
      <c r="G1232"/>
      <c r="H1232"/>
      <c r="I1232"/>
    </row>
    <row r="1233" spans="7:9" x14ac:dyDescent="0.25">
      <c r="G1233"/>
      <c r="H1233"/>
      <c r="I1233"/>
    </row>
    <row r="1234" spans="7:9" x14ac:dyDescent="0.25">
      <c r="G1234"/>
      <c r="H1234"/>
      <c r="I1234"/>
    </row>
    <row r="1235" spans="7:9" x14ac:dyDescent="0.25">
      <c r="G1235"/>
      <c r="H1235"/>
      <c r="I1235"/>
    </row>
    <row r="1236" spans="7:9" x14ac:dyDescent="0.25">
      <c r="G1236"/>
      <c r="H1236"/>
      <c r="I1236"/>
    </row>
    <row r="1237" spans="7:9" x14ac:dyDescent="0.25">
      <c r="G1237"/>
      <c r="H1237"/>
      <c r="I1237"/>
    </row>
    <row r="1238" spans="7:9" x14ac:dyDescent="0.25">
      <c r="G1238"/>
      <c r="H1238"/>
      <c r="I1238"/>
    </row>
    <row r="1239" spans="7:9" x14ac:dyDescent="0.25">
      <c r="G1239"/>
      <c r="H1239"/>
      <c r="I1239"/>
    </row>
    <row r="1240" spans="7:9" x14ac:dyDescent="0.25">
      <c r="G1240"/>
      <c r="H1240"/>
      <c r="I1240"/>
    </row>
    <row r="1241" spans="7:9" x14ac:dyDescent="0.25">
      <c r="G1241"/>
      <c r="H1241"/>
      <c r="I1241"/>
    </row>
    <row r="1242" spans="7:9" x14ac:dyDescent="0.25">
      <c r="G1242"/>
      <c r="H1242"/>
      <c r="I1242"/>
    </row>
    <row r="1243" spans="7:9" x14ac:dyDescent="0.25">
      <c r="G1243"/>
      <c r="H1243"/>
      <c r="I1243"/>
    </row>
    <row r="1244" spans="7:9" x14ac:dyDescent="0.25">
      <c r="G1244"/>
      <c r="H1244"/>
      <c r="I1244"/>
    </row>
    <row r="1245" spans="7:9" x14ac:dyDescent="0.25">
      <c r="G1245"/>
      <c r="H1245"/>
      <c r="I1245"/>
    </row>
    <row r="1246" spans="7:9" x14ac:dyDescent="0.25">
      <c r="G1246"/>
      <c r="H1246"/>
      <c r="I1246"/>
    </row>
    <row r="1247" spans="7:9" x14ac:dyDescent="0.25">
      <c r="G1247"/>
      <c r="H1247"/>
      <c r="I1247"/>
    </row>
    <row r="1248" spans="7:9" x14ac:dyDescent="0.25">
      <c r="G1248"/>
      <c r="H1248"/>
      <c r="I1248"/>
    </row>
    <row r="1249" spans="7:9" x14ac:dyDescent="0.25">
      <c r="G1249"/>
      <c r="H1249"/>
      <c r="I1249"/>
    </row>
    <row r="1250" spans="7:9" x14ac:dyDescent="0.25">
      <c r="G1250"/>
      <c r="H1250"/>
      <c r="I1250"/>
    </row>
    <row r="1251" spans="7:9" x14ac:dyDescent="0.25">
      <c r="G1251"/>
      <c r="H1251"/>
      <c r="I1251"/>
    </row>
    <row r="1252" spans="7:9" x14ac:dyDescent="0.25">
      <c r="G1252"/>
      <c r="H1252"/>
      <c r="I1252"/>
    </row>
    <row r="1253" spans="7:9" x14ac:dyDescent="0.25">
      <c r="G1253"/>
      <c r="H1253"/>
      <c r="I1253"/>
    </row>
    <row r="1254" spans="7:9" x14ac:dyDescent="0.25">
      <c r="G1254"/>
      <c r="H1254"/>
      <c r="I1254"/>
    </row>
    <row r="1255" spans="7:9" x14ac:dyDescent="0.25">
      <c r="G1255"/>
      <c r="H1255"/>
      <c r="I1255"/>
    </row>
    <row r="1256" spans="7:9" x14ac:dyDescent="0.25">
      <c r="G1256"/>
      <c r="H1256"/>
      <c r="I1256"/>
    </row>
    <row r="1257" spans="7:9" x14ac:dyDescent="0.25">
      <c r="G1257"/>
      <c r="H1257"/>
      <c r="I1257"/>
    </row>
    <row r="1258" spans="7:9" x14ac:dyDescent="0.25">
      <c r="G1258"/>
      <c r="H1258"/>
      <c r="I1258"/>
    </row>
    <row r="1259" spans="7:9" x14ac:dyDescent="0.25">
      <c r="G1259"/>
      <c r="H1259"/>
      <c r="I1259"/>
    </row>
    <row r="1260" spans="7:9" x14ac:dyDescent="0.25">
      <c r="G1260"/>
      <c r="H1260"/>
      <c r="I1260"/>
    </row>
    <row r="1261" spans="7:9" x14ac:dyDescent="0.25">
      <c r="G1261"/>
      <c r="H1261"/>
      <c r="I1261"/>
    </row>
    <row r="1262" spans="7:9" x14ac:dyDescent="0.25">
      <c r="G1262"/>
      <c r="H1262"/>
      <c r="I1262"/>
    </row>
    <row r="1263" spans="7:9" x14ac:dyDescent="0.25">
      <c r="G1263"/>
      <c r="H1263"/>
      <c r="I1263"/>
    </row>
    <row r="1264" spans="7:9" x14ac:dyDescent="0.25">
      <c r="G1264"/>
      <c r="H1264"/>
      <c r="I1264"/>
    </row>
    <row r="1265" spans="7:9" x14ac:dyDescent="0.25">
      <c r="G1265"/>
      <c r="H1265"/>
      <c r="I1265"/>
    </row>
    <row r="1266" spans="7:9" x14ac:dyDescent="0.25">
      <c r="G1266"/>
      <c r="H1266"/>
      <c r="I1266"/>
    </row>
    <row r="1267" spans="7:9" x14ac:dyDescent="0.25">
      <c r="G1267"/>
      <c r="H1267"/>
      <c r="I1267"/>
    </row>
    <row r="1268" spans="7:9" x14ac:dyDescent="0.25">
      <c r="G1268"/>
      <c r="H1268"/>
      <c r="I1268"/>
    </row>
    <row r="1269" spans="7:9" x14ac:dyDescent="0.25">
      <c r="G1269"/>
      <c r="H1269"/>
      <c r="I1269"/>
    </row>
    <row r="1270" spans="7:9" x14ac:dyDescent="0.25">
      <c r="G1270"/>
      <c r="H1270"/>
      <c r="I1270"/>
    </row>
    <row r="1271" spans="7:9" x14ac:dyDescent="0.25">
      <c r="G1271"/>
      <c r="H1271"/>
      <c r="I1271"/>
    </row>
    <row r="1272" spans="7:9" x14ac:dyDescent="0.25">
      <c r="G1272"/>
      <c r="H1272"/>
      <c r="I1272"/>
    </row>
    <row r="1273" spans="7:9" x14ac:dyDescent="0.25">
      <c r="G1273"/>
      <c r="H1273"/>
      <c r="I1273"/>
    </row>
    <row r="1274" spans="7:9" x14ac:dyDescent="0.25">
      <c r="G1274"/>
      <c r="H1274"/>
      <c r="I1274"/>
    </row>
    <row r="1275" spans="7:9" x14ac:dyDescent="0.25">
      <c r="G1275"/>
      <c r="H1275"/>
      <c r="I1275"/>
    </row>
    <row r="1276" spans="7:9" x14ac:dyDescent="0.25">
      <c r="G1276"/>
      <c r="H1276"/>
      <c r="I1276"/>
    </row>
    <row r="1277" spans="7:9" x14ac:dyDescent="0.25">
      <c r="G1277"/>
      <c r="H1277"/>
      <c r="I1277"/>
    </row>
    <row r="1278" spans="7:9" x14ac:dyDescent="0.25">
      <c r="G1278"/>
      <c r="H1278"/>
      <c r="I1278"/>
    </row>
    <row r="1279" spans="7:9" x14ac:dyDescent="0.25">
      <c r="G1279"/>
      <c r="H1279"/>
      <c r="I1279"/>
    </row>
    <row r="1280" spans="7:9" x14ac:dyDescent="0.25">
      <c r="G1280"/>
      <c r="H1280"/>
      <c r="I1280"/>
    </row>
    <row r="1281" spans="7:9" x14ac:dyDescent="0.25">
      <c r="G1281"/>
      <c r="H1281"/>
      <c r="I1281"/>
    </row>
    <row r="1282" spans="7:9" x14ac:dyDescent="0.25">
      <c r="G1282"/>
      <c r="H1282"/>
      <c r="I1282"/>
    </row>
    <row r="1283" spans="7:9" x14ac:dyDescent="0.25">
      <c r="G1283"/>
      <c r="H1283"/>
      <c r="I1283"/>
    </row>
    <row r="1284" spans="7:9" x14ac:dyDescent="0.25">
      <c r="G1284"/>
      <c r="H1284"/>
      <c r="I1284"/>
    </row>
    <row r="1285" spans="7:9" x14ac:dyDescent="0.25">
      <c r="G1285"/>
      <c r="H1285"/>
      <c r="I1285"/>
    </row>
    <row r="1286" spans="7:9" x14ac:dyDescent="0.25">
      <c r="G1286"/>
      <c r="H1286"/>
      <c r="I1286"/>
    </row>
    <row r="1287" spans="7:9" x14ac:dyDescent="0.25">
      <c r="G1287"/>
      <c r="H1287"/>
      <c r="I1287"/>
    </row>
    <row r="1288" spans="7:9" x14ac:dyDescent="0.25">
      <c r="G1288"/>
      <c r="H1288"/>
      <c r="I1288"/>
    </row>
    <row r="1289" spans="7:9" x14ac:dyDescent="0.25">
      <c r="G1289"/>
      <c r="H1289"/>
      <c r="I1289"/>
    </row>
    <row r="1290" spans="7:9" x14ac:dyDescent="0.25">
      <c r="G1290"/>
      <c r="H1290"/>
      <c r="I1290"/>
    </row>
    <row r="1291" spans="7:9" x14ac:dyDescent="0.25">
      <c r="G1291"/>
      <c r="H1291"/>
      <c r="I1291"/>
    </row>
    <row r="1292" spans="7:9" x14ac:dyDescent="0.25">
      <c r="G1292"/>
      <c r="H1292"/>
      <c r="I1292"/>
    </row>
    <row r="1293" spans="7:9" x14ac:dyDescent="0.25">
      <c r="G1293"/>
      <c r="H1293"/>
      <c r="I1293"/>
    </row>
    <row r="1294" spans="7:9" x14ac:dyDescent="0.25">
      <c r="G1294"/>
      <c r="H1294"/>
      <c r="I1294"/>
    </row>
    <row r="1295" spans="7:9" x14ac:dyDescent="0.25">
      <c r="G1295"/>
      <c r="H1295"/>
      <c r="I1295"/>
    </row>
    <row r="1296" spans="7:9" x14ac:dyDescent="0.25">
      <c r="G1296"/>
      <c r="H1296"/>
      <c r="I1296"/>
    </row>
    <row r="1297" spans="7:9" x14ac:dyDescent="0.25">
      <c r="G1297"/>
      <c r="H1297"/>
      <c r="I1297"/>
    </row>
    <row r="1298" spans="7:9" x14ac:dyDescent="0.25">
      <c r="G1298"/>
      <c r="H1298"/>
      <c r="I1298"/>
    </row>
    <row r="1299" spans="7:9" x14ac:dyDescent="0.25">
      <c r="G1299"/>
      <c r="H1299"/>
      <c r="I1299"/>
    </row>
    <row r="1300" spans="7:9" x14ac:dyDescent="0.25">
      <c r="G1300"/>
      <c r="H1300"/>
      <c r="I1300"/>
    </row>
    <row r="1301" spans="7:9" x14ac:dyDescent="0.25">
      <c r="G1301"/>
      <c r="H1301"/>
      <c r="I1301"/>
    </row>
    <row r="1302" spans="7:9" x14ac:dyDescent="0.25">
      <c r="G1302"/>
      <c r="H1302"/>
      <c r="I1302"/>
    </row>
    <row r="1303" spans="7:9" x14ac:dyDescent="0.25">
      <c r="G1303"/>
      <c r="H1303"/>
      <c r="I1303"/>
    </row>
    <row r="1304" spans="7:9" x14ac:dyDescent="0.25">
      <c r="G1304"/>
      <c r="H1304"/>
      <c r="I1304"/>
    </row>
    <row r="1305" spans="7:9" x14ac:dyDescent="0.25">
      <c r="G1305"/>
      <c r="H1305"/>
      <c r="I1305"/>
    </row>
    <row r="1306" spans="7:9" x14ac:dyDescent="0.25">
      <c r="G1306"/>
      <c r="H1306"/>
      <c r="I1306"/>
    </row>
    <row r="1307" spans="7:9" x14ac:dyDescent="0.25">
      <c r="G1307"/>
      <c r="H1307"/>
      <c r="I1307"/>
    </row>
    <row r="1308" spans="7:9" x14ac:dyDescent="0.25">
      <c r="G1308"/>
      <c r="H1308"/>
      <c r="I1308"/>
    </row>
    <row r="1309" spans="7:9" x14ac:dyDescent="0.25">
      <c r="G1309"/>
      <c r="H1309"/>
      <c r="I1309"/>
    </row>
    <row r="1310" spans="7:9" x14ac:dyDescent="0.25">
      <c r="G1310"/>
      <c r="H1310"/>
      <c r="I1310"/>
    </row>
    <row r="1311" spans="7:9" x14ac:dyDescent="0.25">
      <c r="G1311"/>
      <c r="H1311"/>
      <c r="I1311"/>
    </row>
    <row r="1312" spans="7:9" x14ac:dyDescent="0.25">
      <c r="G1312"/>
      <c r="H1312"/>
      <c r="I1312"/>
    </row>
    <row r="1313" spans="7:9" x14ac:dyDescent="0.25">
      <c r="G1313"/>
      <c r="H1313"/>
      <c r="I1313"/>
    </row>
    <row r="1314" spans="7:9" x14ac:dyDescent="0.25">
      <c r="G1314"/>
      <c r="H1314"/>
      <c r="I1314"/>
    </row>
    <row r="1315" spans="7:9" x14ac:dyDescent="0.25">
      <c r="G1315"/>
      <c r="H1315"/>
      <c r="I1315"/>
    </row>
    <row r="1316" spans="7:9" x14ac:dyDescent="0.25">
      <c r="G1316"/>
      <c r="H1316"/>
      <c r="I1316"/>
    </row>
    <row r="1317" spans="7:9" x14ac:dyDescent="0.25">
      <c r="G1317"/>
      <c r="H1317"/>
      <c r="I1317"/>
    </row>
    <row r="1318" spans="7:9" x14ac:dyDescent="0.25">
      <c r="G1318"/>
      <c r="H1318"/>
      <c r="I1318"/>
    </row>
    <row r="1319" spans="7:9" x14ac:dyDescent="0.25">
      <c r="G1319"/>
      <c r="H1319"/>
      <c r="I1319"/>
    </row>
    <row r="1320" spans="7:9" x14ac:dyDescent="0.25">
      <c r="G1320"/>
      <c r="H1320"/>
      <c r="I1320"/>
    </row>
    <row r="1321" spans="7:9" x14ac:dyDescent="0.25">
      <c r="G1321"/>
      <c r="H1321"/>
      <c r="I1321"/>
    </row>
    <row r="1322" spans="7:9" x14ac:dyDescent="0.25">
      <c r="G1322"/>
      <c r="H1322"/>
      <c r="I1322"/>
    </row>
    <row r="1323" spans="7:9" x14ac:dyDescent="0.25">
      <c r="G1323"/>
      <c r="H1323"/>
      <c r="I1323"/>
    </row>
    <row r="1324" spans="7:9" x14ac:dyDescent="0.25">
      <c r="G1324"/>
      <c r="H1324"/>
      <c r="I1324"/>
    </row>
    <row r="1325" spans="7:9" x14ac:dyDescent="0.25">
      <c r="G1325"/>
      <c r="H1325"/>
      <c r="I1325"/>
    </row>
    <row r="1326" spans="7:9" x14ac:dyDescent="0.25">
      <c r="G1326"/>
      <c r="H1326"/>
      <c r="I1326"/>
    </row>
    <row r="1327" spans="7:9" x14ac:dyDescent="0.25">
      <c r="G1327"/>
      <c r="H1327"/>
      <c r="I1327"/>
    </row>
    <row r="1328" spans="7:9" x14ac:dyDescent="0.25">
      <c r="G1328"/>
      <c r="H1328"/>
      <c r="I1328"/>
    </row>
    <row r="1329" spans="7:9" x14ac:dyDescent="0.25">
      <c r="G1329"/>
      <c r="H1329"/>
      <c r="I1329"/>
    </row>
    <row r="1330" spans="7:9" x14ac:dyDescent="0.25">
      <c r="G1330"/>
      <c r="H1330"/>
      <c r="I1330"/>
    </row>
    <row r="1331" spans="7:9" x14ac:dyDescent="0.25">
      <c r="G1331"/>
      <c r="H1331"/>
      <c r="I1331"/>
    </row>
    <row r="1332" spans="7:9" x14ac:dyDescent="0.25">
      <c r="G1332"/>
      <c r="H1332"/>
      <c r="I1332"/>
    </row>
    <row r="1333" spans="7:9" x14ac:dyDescent="0.25">
      <c r="G1333"/>
      <c r="H1333"/>
      <c r="I1333"/>
    </row>
    <row r="1334" spans="7:9" x14ac:dyDescent="0.25">
      <c r="G1334"/>
      <c r="H1334"/>
      <c r="I1334"/>
    </row>
    <row r="1335" spans="7:9" x14ac:dyDescent="0.25">
      <c r="G1335"/>
      <c r="H1335"/>
      <c r="I1335"/>
    </row>
    <row r="1336" spans="7:9" x14ac:dyDescent="0.25">
      <c r="G1336"/>
      <c r="H1336"/>
      <c r="I1336"/>
    </row>
    <row r="1337" spans="7:9" x14ac:dyDescent="0.25">
      <c r="G1337"/>
      <c r="H1337"/>
      <c r="I1337"/>
    </row>
    <row r="1338" spans="7:9" x14ac:dyDescent="0.25">
      <c r="G1338"/>
      <c r="H1338"/>
      <c r="I1338"/>
    </row>
    <row r="1339" spans="7:9" x14ac:dyDescent="0.25">
      <c r="G1339"/>
      <c r="H1339"/>
      <c r="I1339"/>
    </row>
    <row r="1340" spans="7:9" x14ac:dyDescent="0.25">
      <c r="G1340"/>
      <c r="H1340"/>
      <c r="I1340"/>
    </row>
    <row r="1341" spans="7:9" x14ac:dyDescent="0.25">
      <c r="G1341"/>
      <c r="H1341"/>
      <c r="I1341"/>
    </row>
    <row r="1342" spans="7:9" x14ac:dyDescent="0.25">
      <c r="G1342"/>
      <c r="H1342"/>
      <c r="I1342"/>
    </row>
    <row r="1343" spans="7:9" x14ac:dyDescent="0.25">
      <c r="G1343"/>
      <c r="H1343"/>
      <c r="I1343"/>
    </row>
    <row r="1344" spans="7:9" x14ac:dyDescent="0.25">
      <c r="G1344"/>
      <c r="H1344"/>
      <c r="I1344"/>
    </row>
    <row r="1345" spans="7:9" x14ac:dyDescent="0.25">
      <c r="G1345"/>
      <c r="H1345"/>
      <c r="I1345"/>
    </row>
    <row r="1346" spans="7:9" x14ac:dyDescent="0.25">
      <c r="G1346"/>
      <c r="H1346"/>
      <c r="I1346"/>
    </row>
    <row r="1347" spans="7:9" x14ac:dyDescent="0.25">
      <c r="G1347"/>
      <c r="H1347"/>
      <c r="I1347"/>
    </row>
    <row r="1348" spans="7:9" x14ac:dyDescent="0.25">
      <c r="G1348"/>
      <c r="H1348"/>
      <c r="I1348"/>
    </row>
    <row r="1349" spans="7:9" x14ac:dyDescent="0.25">
      <c r="G1349"/>
      <c r="H1349"/>
      <c r="I1349"/>
    </row>
    <row r="1350" spans="7:9" x14ac:dyDescent="0.25">
      <c r="G1350"/>
      <c r="H1350"/>
      <c r="I1350"/>
    </row>
    <row r="1351" spans="7:9" x14ac:dyDescent="0.25">
      <c r="G1351"/>
      <c r="H1351"/>
      <c r="I1351"/>
    </row>
    <row r="1352" spans="7:9" x14ac:dyDescent="0.25">
      <c r="G1352"/>
      <c r="H1352"/>
      <c r="I1352"/>
    </row>
    <row r="1353" spans="7:9" x14ac:dyDescent="0.25">
      <c r="G1353"/>
      <c r="H1353"/>
      <c r="I1353"/>
    </row>
    <row r="1354" spans="7:9" x14ac:dyDescent="0.25">
      <c r="G1354"/>
      <c r="H1354"/>
      <c r="I1354"/>
    </row>
    <row r="1355" spans="7:9" x14ac:dyDescent="0.25">
      <c r="G1355"/>
      <c r="H1355"/>
      <c r="I1355"/>
    </row>
    <row r="1356" spans="7:9" x14ac:dyDescent="0.25">
      <c r="G1356"/>
      <c r="H1356"/>
      <c r="I1356"/>
    </row>
    <row r="1357" spans="7:9" x14ac:dyDescent="0.25">
      <c r="G1357"/>
      <c r="H1357"/>
      <c r="I1357"/>
    </row>
    <row r="1358" spans="7:9" x14ac:dyDescent="0.25">
      <c r="G1358"/>
      <c r="H1358"/>
      <c r="I1358"/>
    </row>
    <row r="1359" spans="7:9" x14ac:dyDescent="0.25">
      <c r="G1359"/>
      <c r="H1359"/>
      <c r="I1359"/>
    </row>
    <row r="1360" spans="7:9" x14ac:dyDescent="0.25">
      <c r="G1360"/>
      <c r="H1360"/>
      <c r="I1360"/>
    </row>
    <row r="1361" spans="7:9" x14ac:dyDescent="0.25">
      <c r="G1361"/>
      <c r="H1361"/>
      <c r="I1361"/>
    </row>
    <row r="1362" spans="7:9" x14ac:dyDescent="0.25">
      <c r="G1362"/>
      <c r="H1362"/>
      <c r="I1362"/>
    </row>
    <row r="1363" spans="7:9" x14ac:dyDescent="0.25">
      <c r="G1363"/>
      <c r="H1363"/>
      <c r="I1363"/>
    </row>
    <row r="1364" spans="7:9" x14ac:dyDescent="0.25">
      <c r="G1364"/>
      <c r="H1364"/>
      <c r="I1364"/>
    </row>
    <row r="1365" spans="7:9" x14ac:dyDescent="0.25">
      <c r="G1365"/>
      <c r="H1365"/>
      <c r="I1365"/>
    </row>
    <row r="1366" spans="7:9" x14ac:dyDescent="0.25">
      <c r="G1366"/>
      <c r="H1366"/>
      <c r="I1366"/>
    </row>
    <row r="1367" spans="7:9" x14ac:dyDescent="0.25">
      <c r="G1367"/>
      <c r="H1367"/>
      <c r="I1367"/>
    </row>
    <row r="1368" spans="7:9" x14ac:dyDescent="0.25">
      <c r="G1368"/>
      <c r="H1368"/>
      <c r="I1368"/>
    </row>
    <row r="1369" spans="7:9" x14ac:dyDescent="0.25">
      <c r="G1369"/>
      <c r="H1369"/>
      <c r="I1369"/>
    </row>
    <row r="1370" spans="7:9" x14ac:dyDescent="0.25">
      <c r="G1370"/>
      <c r="H1370"/>
      <c r="I1370"/>
    </row>
    <row r="1371" spans="7:9" x14ac:dyDescent="0.25">
      <c r="G1371"/>
      <c r="H1371"/>
      <c r="I1371"/>
    </row>
    <row r="1372" spans="7:9" x14ac:dyDescent="0.25">
      <c r="G1372"/>
      <c r="H1372"/>
      <c r="I1372"/>
    </row>
    <row r="1373" spans="7:9" x14ac:dyDescent="0.25">
      <c r="G1373"/>
      <c r="H1373"/>
      <c r="I1373"/>
    </row>
    <row r="1374" spans="7:9" x14ac:dyDescent="0.25">
      <c r="G1374"/>
      <c r="H1374"/>
      <c r="I1374"/>
    </row>
    <row r="1375" spans="7:9" x14ac:dyDescent="0.25">
      <c r="G1375"/>
      <c r="H1375"/>
      <c r="I1375"/>
    </row>
    <row r="1376" spans="7:9" x14ac:dyDescent="0.25">
      <c r="G1376"/>
      <c r="H1376"/>
      <c r="I1376"/>
    </row>
    <row r="1377" spans="7:9" x14ac:dyDescent="0.25">
      <c r="G1377"/>
      <c r="H1377"/>
      <c r="I1377"/>
    </row>
    <row r="1378" spans="7:9" x14ac:dyDescent="0.25">
      <c r="G1378"/>
      <c r="H1378"/>
      <c r="I1378"/>
    </row>
    <row r="1379" spans="7:9" x14ac:dyDescent="0.25">
      <c r="G1379"/>
      <c r="H1379"/>
      <c r="I1379"/>
    </row>
    <row r="1380" spans="7:9" x14ac:dyDescent="0.25">
      <c r="G1380"/>
      <c r="H1380"/>
      <c r="I1380"/>
    </row>
    <row r="1381" spans="7:9" x14ac:dyDescent="0.25">
      <c r="G1381"/>
      <c r="H1381"/>
      <c r="I1381"/>
    </row>
    <row r="1382" spans="7:9" x14ac:dyDescent="0.25">
      <c r="G1382"/>
      <c r="H1382"/>
      <c r="I1382"/>
    </row>
    <row r="1383" spans="7:9" x14ac:dyDescent="0.25">
      <c r="G1383"/>
      <c r="H1383"/>
      <c r="I1383"/>
    </row>
    <row r="1384" spans="7:9" x14ac:dyDescent="0.25">
      <c r="G1384"/>
      <c r="H1384"/>
      <c r="I1384"/>
    </row>
    <row r="1385" spans="7:9" x14ac:dyDescent="0.25">
      <c r="G1385"/>
      <c r="H1385"/>
      <c r="I1385"/>
    </row>
    <row r="1386" spans="7:9" x14ac:dyDescent="0.25">
      <c r="G1386"/>
      <c r="H1386"/>
      <c r="I1386"/>
    </row>
    <row r="1387" spans="7:9" x14ac:dyDescent="0.25">
      <c r="G1387"/>
      <c r="H1387"/>
      <c r="I1387"/>
    </row>
    <row r="1388" spans="7:9" x14ac:dyDescent="0.25">
      <c r="G1388"/>
      <c r="H1388"/>
      <c r="I1388"/>
    </row>
    <row r="1389" spans="7:9" x14ac:dyDescent="0.25">
      <c r="G1389"/>
      <c r="H1389"/>
      <c r="I1389"/>
    </row>
    <row r="1390" spans="7:9" x14ac:dyDescent="0.25">
      <c r="G1390"/>
      <c r="H1390"/>
      <c r="I1390"/>
    </row>
    <row r="1391" spans="7:9" x14ac:dyDescent="0.25">
      <c r="G1391"/>
      <c r="H1391"/>
      <c r="I1391"/>
    </row>
    <row r="1392" spans="7:9" x14ac:dyDescent="0.25">
      <c r="G1392"/>
      <c r="H1392"/>
      <c r="I1392"/>
    </row>
    <row r="1393" spans="7:9" x14ac:dyDescent="0.25">
      <c r="G1393"/>
      <c r="H1393"/>
      <c r="I1393"/>
    </row>
    <row r="1394" spans="7:9" x14ac:dyDescent="0.25">
      <c r="G1394"/>
      <c r="H1394"/>
      <c r="I1394"/>
    </row>
    <row r="1395" spans="7:9" x14ac:dyDescent="0.25">
      <c r="G1395"/>
      <c r="H1395"/>
      <c r="I1395"/>
    </row>
    <row r="1396" spans="7:9" x14ac:dyDescent="0.25">
      <c r="G1396"/>
      <c r="H1396"/>
      <c r="I1396"/>
    </row>
    <row r="1397" spans="7:9" x14ac:dyDescent="0.25">
      <c r="G1397"/>
      <c r="H1397"/>
      <c r="I1397"/>
    </row>
    <row r="1398" spans="7:9" x14ac:dyDescent="0.25">
      <c r="G1398"/>
      <c r="H1398"/>
      <c r="I1398"/>
    </row>
    <row r="1399" spans="7:9" x14ac:dyDescent="0.25">
      <c r="G1399"/>
      <c r="H1399"/>
      <c r="I1399"/>
    </row>
    <row r="1400" spans="7:9" x14ac:dyDescent="0.25">
      <c r="G1400"/>
      <c r="H1400"/>
      <c r="I1400"/>
    </row>
    <row r="1401" spans="7:9" x14ac:dyDescent="0.25">
      <c r="G1401"/>
      <c r="H1401"/>
      <c r="I1401"/>
    </row>
    <row r="1402" spans="7:9" x14ac:dyDescent="0.25">
      <c r="G1402"/>
      <c r="H1402"/>
      <c r="I1402"/>
    </row>
    <row r="1403" spans="7:9" x14ac:dyDescent="0.25">
      <c r="G1403"/>
      <c r="H1403"/>
      <c r="I1403"/>
    </row>
    <row r="1404" spans="7:9" x14ac:dyDescent="0.25">
      <c r="G1404"/>
      <c r="H1404"/>
      <c r="I1404"/>
    </row>
    <row r="1405" spans="7:9" x14ac:dyDescent="0.25">
      <c r="G1405"/>
      <c r="H1405"/>
      <c r="I1405"/>
    </row>
    <row r="1406" spans="7:9" x14ac:dyDescent="0.25">
      <c r="G1406"/>
      <c r="H1406"/>
    </row>
    <row r="1407" spans="7:9" x14ac:dyDescent="0.25">
      <c r="G1407"/>
      <c r="H1407"/>
    </row>
    <row r="1408" spans="7:9" x14ac:dyDescent="0.25">
      <c r="G1408"/>
      <c r="H1408"/>
    </row>
    <row r="1409" spans="7:8" x14ac:dyDescent="0.25">
      <c r="G1409"/>
      <c r="H1409"/>
    </row>
    <row r="1410" spans="7:8" x14ac:dyDescent="0.25">
      <c r="G1410"/>
      <c r="H1410"/>
    </row>
    <row r="1411" spans="7:8" x14ac:dyDescent="0.25">
      <c r="G1411"/>
      <c r="H1411"/>
    </row>
    <row r="1412" spans="7:8" x14ac:dyDescent="0.25">
      <c r="G1412"/>
      <c r="H1412"/>
    </row>
    <row r="1413" spans="7:8" x14ac:dyDescent="0.25">
      <c r="G1413"/>
      <c r="H1413"/>
    </row>
    <row r="1414" spans="7:8" x14ac:dyDescent="0.25">
      <c r="G1414"/>
      <c r="H1414"/>
    </row>
    <row r="1415" spans="7:8" x14ac:dyDescent="0.25">
      <c r="G1415"/>
      <c r="H1415"/>
    </row>
    <row r="1416" spans="7:8" x14ac:dyDescent="0.25">
      <c r="G1416"/>
      <c r="H1416"/>
    </row>
    <row r="1417" spans="7:8" x14ac:dyDescent="0.25">
      <c r="G1417"/>
      <c r="H1417"/>
    </row>
    <row r="1418" spans="7:8" x14ac:dyDescent="0.25">
      <c r="G1418"/>
      <c r="H1418"/>
    </row>
    <row r="1419" spans="7:8" x14ac:dyDescent="0.25">
      <c r="G1419"/>
      <c r="H1419"/>
    </row>
    <row r="1420" spans="7:8" x14ac:dyDescent="0.25">
      <c r="G1420"/>
      <c r="H1420"/>
    </row>
    <row r="1421" spans="7:8" x14ac:dyDescent="0.25">
      <c r="G1421"/>
      <c r="H1421"/>
    </row>
    <row r="1422" spans="7:8" x14ac:dyDescent="0.25">
      <c r="G1422"/>
      <c r="H1422"/>
    </row>
    <row r="1423" spans="7:8" x14ac:dyDescent="0.25">
      <c r="G1423"/>
      <c r="H1423"/>
    </row>
    <row r="1424" spans="7:8" x14ac:dyDescent="0.25">
      <c r="G1424"/>
      <c r="H1424"/>
    </row>
    <row r="1425" spans="7:8" x14ac:dyDescent="0.25">
      <c r="G1425"/>
      <c r="H1425"/>
    </row>
    <row r="1426" spans="7:8" x14ac:dyDescent="0.25">
      <c r="G1426"/>
      <c r="H1426"/>
    </row>
    <row r="1427" spans="7:8" x14ac:dyDescent="0.25">
      <c r="G1427"/>
      <c r="H1427"/>
    </row>
    <row r="1428" spans="7:8" x14ac:dyDescent="0.25">
      <c r="G1428"/>
      <c r="H1428"/>
    </row>
    <row r="1429" spans="7:8" x14ac:dyDescent="0.25">
      <c r="G1429"/>
      <c r="H1429"/>
    </row>
    <row r="1430" spans="7:8" x14ac:dyDescent="0.25">
      <c r="G1430"/>
      <c r="H1430"/>
    </row>
    <row r="1431" spans="7:8" x14ac:dyDescent="0.25">
      <c r="G1431"/>
      <c r="H1431"/>
    </row>
    <row r="1432" spans="7:8" x14ac:dyDescent="0.25">
      <c r="G1432"/>
      <c r="H1432"/>
    </row>
    <row r="1433" spans="7:8" x14ac:dyDescent="0.25">
      <c r="G1433"/>
      <c r="H1433"/>
    </row>
    <row r="1434" spans="7:8" x14ac:dyDescent="0.25">
      <c r="G1434"/>
      <c r="H1434"/>
    </row>
    <row r="1435" spans="7:8" x14ac:dyDescent="0.25">
      <c r="G1435"/>
      <c r="H1435"/>
    </row>
    <row r="1436" spans="7:8" x14ac:dyDescent="0.25">
      <c r="G1436"/>
      <c r="H1436"/>
    </row>
    <row r="1437" spans="7:8" x14ac:dyDescent="0.25">
      <c r="G1437"/>
      <c r="H1437"/>
    </row>
    <row r="1438" spans="7:8" x14ac:dyDescent="0.25">
      <c r="G1438"/>
      <c r="H1438"/>
    </row>
    <row r="1439" spans="7:8" x14ac:dyDescent="0.25">
      <c r="G1439"/>
      <c r="H1439"/>
    </row>
    <row r="1440" spans="7:8" x14ac:dyDescent="0.25">
      <c r="G1440"/>
      <c r="H1440"/>
    </row>
    <row r="1441" spans="7:8" x14ac:dyDescent="0.25">
      <c r="G1441"/>
      <c r="H1441"/>
    </row>
    <row r="1442" spans="7:8" x14ac:dyDescent="0.25">
      <c r="G1442"/>
      <c r="H1442"/>
    </row>
    <row r="1443" spans="7:8" x14ac:dyDescent="0.25">
      <c r="G1443"/>
      <c r="H1443"/>
    </row>
    <row r="1444" spans="7:8" x14ac:dyDescent="0.25">
      <c r="G1444"/>
      <c r="H1444"/>
    </row>
    <row r="1445" spans="7:8" x14ac:dyDescent="0.25">
      <c r="G1445"/>
      <c r="H1445"/>
    </row>
    <row r="1446" spans="7:8" x14ac:dyDescent="0.25">
      <c r="G1446"/>
      <c r="H1446"/>
    </row>
    <row r="1447" spans="7:8" x14ac:dyDescent="0.25">
      <c r="G1447"/>
      <c r="H1447"/>
    </row>
    <row r="1448" spans="7:8" x14ac:dyDescent="0.25">
      <c r="G1448"/>
      <c r="H1448"/>
    </row>
    <row r="1449" spans="7:8" x14ac:dyDescent="0.25">
      <c r="G1449"/>
      <c r="H1449"/>
    </row>
    <row r="1450" spans="7:8" x14ac:dyDescent="0.25">
      <c r="G1450"/>
      <c r="H1450"/>
    </row>
    <row r="1451" spans="7:8" x14ac:dyDescent="0.25">
      <c r="G1451"/>
      <c r="H1451"/>
    </row>
    <row r="1452" spans="7:8" x14ac:dyDescent="0.25">
      <c r="G1452"/>
      <c r="H1452"/>
    </row>
    <row r="1453" spans="7:8" x14ac:dyDescent="0.25">
      <c r="G1453"/>
      <c r="H1453"/>
    </row>
    <row r="1454" spans="7:8" x14ac:dyDescent="0.25">
      <c r="G1454"/>
      <c r="H1454"/>
    </row>
    <row r="1455" spans="7:8" x14ac:dyDescent="0.25">
      <c r="G1455"/>
      <c r="H1455"/>
    </row>
    <row r="1456" spans="7:8" x14ac:dyDescent="0.25">
      <c r="G1456"/>
      <c r="H1456"/>
    </row>
    <row r="1457" spans="7:8" x14ac:dyDescent="0.25">
      <c r="G1457"/>
      <c r="H1457"/>
    </row>
    <row r="1458" spans="7:8" x14ac:dyDescent="0.25">
      <c r="G1458"/>
      <c r="H1458"/>
    </row>
    <row r="1459" spans="7:8" x14ac:dyDescent="0.25">
      <c r="G1459"/>
      <c r="H1459"/>
    </row>
    <row r="1460" spans="7:8" x14ac:dyDescent="0.25">
      <c r="G1460"/>
      <c r="H1460"/>
    </row>
    <row r="1461" spans="7:8" x14ac:dyDescent="0.25">
      <c r="G1461"/>
      <c r="H1461"/>
    </row>
    <row r="1462" spans="7:8" x14ac:dyDescent="0.25">
      <c r="G1462"/>
      <c r="H1462"/>
    </row>
    <row r="1463" spans="7:8" x14ac:dyDescent="0.25">
      <c r="G1463"/>
      <c r="H1463"/>
    </row>
    <row r="1464" spans="7:8" x14ac:dyDescent="0.25">
      <c r="G1464"/>
      <c r="H1464"/>
    </row>
    <row r="1465" spans="7:8" x14ac:dyDescent="0.25">
      <c r="G1465"/>
      <c r="H1465"/>
    </row>
    <row r="1466" spans="7:8" x14ac:dyDescent="0.25">
      <c r="G1466"/>
      <c r="H1466"/>
    </row>
    <row r="1467" spans="7:8" x14ac:dyDescent="0.25">
      <c r="G1467"/>
      <c r="H1467"/>
    </row>
    <row r="1468" spans="7:8" x14ac:dyDescent="0.25">
      <c r="G1468"/>
      <c r="H1468"/>
    </row>
    <row r="1469" spans="7:8" x14ac:dyDescent="0.25">
      <c r="G1469"/>
      <c r="H1469"/>
    </row>
    <row r="1470" spans="7:8" x14ac:dyDescent="0.25">
      <c r="G1470"/>
      <c r="H1470"/>
    </row>
    <row r="1471" spans="7:8" x14ac:dyDescent="0.25">
      <c r="G1471"/>
      <c r="H1471"/>
    </row>
    <row r="1472" spans="7:8" x14ac:dyDescent="0.25">
      <c r="G1472"/>
      <c r="H1472"/>
    </row>
    <row r="1473" spans="7:8" x14ac:dyDescent="0.25">
      <c r="G1473"/>
      <c r="H1473"/>
    </row>
    <row r="1474" spans="7:8" x14ac:dyDescent="0.25">
      <c r="G1474"/>
      <c r="H1474"/>
    </row>
    <row r="1475" spans="7:8" x14ac:dyDescent="0.25">
      <c r="G1475"/>
      <c r="H1475"/>
    </row>
    <row r="1476" spans="7:8" x14ac:dyDescent="0.25">
      <c r="G1476"/>
      <c r="H1476"/>
    </row>
    <row r="1477" spans="7:8" x14ac:dyDescent="0.25">
      <c r="G1477"/>
      <c r="H1477"/>
    </row>
    <row r="1478" spans="7:8" x14ac:dyDescent="0.25">
      <c r="G1478"/>
      <c r="H1478"/>
    </row>
    <row r="1479" spans="7:8" x14ac:dyDescent="0.25">
      <c r="G1479"/>
      <c r="H1479"/>
    </row>
    <row r="1480" spans="7:8" x14ac:dyDescent="0.25">
      <c r="G1480"/>
      <c r="H1480"/>
    </row>
    <row r="1481" spans="7:8" x14ac:dyDescent="0.25">
      <c r="G1481"/>
      <c r="H1481"/>
    </row>
    <row r="1482" spans="7:8" x14ac:dyDescent="0.25">
      <c r="G1482"/>
      <c r="H1482"/>
    </row>
    <row r="1483" spans="7:8" x14ac:dyDescent="0.25">
      <c r="G1483"/>
      <c r="H1483"/>
    </row>
    <row r="1484" spans="7:8" x14ac:dyDescent="0.25">
      <c r="G1484"/>
      <c r="H1484"/>
    </row>
    <row r="1485" spans="7:8" x14ac:dyDescent="0.25">
      <c r="G1485"/>
      <c r="H1485"/>
    </row>
    <row r="1486" spans="7:8" x14ac:dyDescent="0.25">
      <c r="G1486"/>
      <c r="H1486"/>
    </row>
    <row r="1487" spans="7:8" x14ac:dyDescent="0.25">
      <c r="G1487"/>
      <c r="H1487"/>
    </row>
    <row r="1488" spans="7:8" x14ac:dyDescent="0.25">
      <c r="G1488"/>
      <c r="H1488"/>
    </row>
    <row r="1489" spans="7:8" x14ac:dyDescent="0.25">
      <c r="G1489"/>
      <c r="H1489"/>
    </row>
    <row r="1490" spans="7:8" x14ac:dyDescent="0.25">
      <c r="G1490"/>
      <c r="H1490"/>
    </row>
    <row r="1491" spans="7:8" x14ac:dyDescent="0.25">
      <c r="G1491"/>
      <c r="H1491"/>
    </row>
    <row r="1492" spans="7:8" x14ac:dyDescent="0.25">
      <c r="G1492"/>
      <c r="H1492"/>
    </row>
    <row r="1493" spans="7:8" x14ac:dyDescent="0.25">
      <c r="G1493"/>
      <c r="H1493"/>
    </row>
    <row r="1494" spans="7:8" x14ac:dyDescent="0.25">
      <c r="G1494"/>
      <c r="H1494"/>
    </row>
    <row r="1495" spans="7:8" x14ac:dyDescent="0.25">
      <c r="G1495"/>
      <c r="H1495"/>
    </row>
    <row r="1496" spans="7:8" x14ac:dyDescent="0.25">
      <c r="G1496"/>
      <c r="H1496"/>
    </row>
    <row r="1497" spans="7:8" x14ac:dyDescent="0.25">
      <c r="G1497"/>
      <c r="H1497"/>
    </row>
    <row r="1498" spans="7:8" x14ac:dyDescent="0.25">
      <c r="G1498"/>
      <c r="H1498"/>
    </row>
    <row r="1499" spans="7:8" x14ac:dyDescent="0.25">
      <c r="G1499"/>
      <c r="H1499"/>
    </row>
    <row r="1500" spans="7:8" x14ac:dyDescent="0.25">
      <c r="G1500"/>
      <c r="H1500"/>
    </row>
    <row r="1501" spans="7:8" x14ac:dyDescent="0.25">
      <c r="G1501"/>
      <c r="H1501"/>
    </row>
    <row r="1502" spans="7:8" x14ac:dyDescent="0.25">
      <c r="G1502"/>
      <c r="H1502"/>
    </row>
    <row r="1503" spans="7:8" x14ac:dyDescent="0.25">
      <c r="G1503"/>
      <c r="H1503"/>
    </row>
    <row r="1504" spans="7:8" x14ac:dyDescent="0.25">
      <c r="G1504"/>
      <c r="H1504"/>
    </row>
    <row r="1505" spans="7:8" x14ac:dyDescent="0.25">
      <c r="G1505"/>
      <c r="H1505"/>
    </row>
    <row r="1506" spans="7:8" x14ac:dyDescent="0.25">
      <c r="G1506"/>
      <c r="H1506"/>
    </row>
    <row r="1507" spans="7:8" x14ac:dyDescent="0.25">
      <c r="G1507"/>
      <c r="H1507"/>
    </row>
    <row r="1508" spans="7:8" x14ac:dyDescent="0.25">
      <c r="G1508"/>
      <c r="H1508"/>
    </row>
    <row r="1509" spans="7:8" x14ac:dyDescent="0.25">
      <c r="G1509"/>
      <c r="H1509"/>
    </row>
    <row r="1510" spans="7:8" x14ac:dyDescent="0.25">
      <c r="G1510"/>
      <c r="H1510"/>
    </row>
    <row r="1511" spans="7:8" x14ac:dyDescent="0.25">
      <c r="G1511"/>
      <c r="H1511"/>
    </row>
    <row r="1512" spans="7:8" x14ac:dyDescent="0.25">
      <c r="G1512"/>
      <c r="H1512"/>
    </row>
    <row r="1513" spans="7:8" x14ac:dyDescent="0.25">
      <c r="G1513"/>
      <c r="H1513"/>
    </row>
    <row r="1514" spans="7:8" x14ac:dyDescent="0.25">
      <c r="G1514"/>
      <c r="H1514"/>
    </row>
    <row r="1515" spans="7:8" x14ac:dyDescent="0.25">
      <c r="G1515"/>
      <c r="H1515"/>
    </row>
    <row r="1516" spans="7:8" x14ac:dyDescent="0.25">
      <c r="G1516"/>
      <c r="H1516"/>
    </row>
    <row r="1517" spans="7:8" x14ac:dyDescent="0.25">
      <c r="G1517"/>
      <c r="H1517"/>
    </row>
    <row r="1518" spans="7:8" x14ac:dyDescent="0.25">
      <c r="G1518"/>
      <c r="H1518"/>
    </row>
    <row r="1519" spans="7:8" x14ac:dyDescent="0.25">
      <c r="G1519"/>
      <c r="H1519"/>
    </row>
    <row r="1520" spans="7:8" x14ac:dyDescent="0.25">
      <c r="G1520"/>
      <c r="H1520"/>
    </row>
    <row r="1521" spans="7:8" x14ac:dyDescent="0.25">
      <c r="G1521"/>
      <c r="H1521"/>
    </row>
    <row r="1522" spans="7:8" x14ac:dyDescent="0.25">
      <c r="G1522"/>
      <c r="H1522"/>
    </row>
    <row r="1523" spans="7:8" x14ac:dyDescent="0.25">
      <c r="G1523"/>
      <c r="H1523"/>
    </row>
    <row r="1524" spans="7:8" x14ac:dyDescent="0.25">
      <c r="G1524"/>
      <c r="H1524"/>
    </row>
    <row r="1525" spans="7:8" x14ac:dyDescent="0.25">
      <c r="G1525"/>
      <c r="H1525"/>
    </row>
    <row r="1526" spans="7:8" x14ac:dyDescent="0.25">
      <c r="G1526"/>
      <c r="H1526"/>
    </row>
    <row r="1527" spans="7:8" x14ac:dyDescent="0.25">
      <c r="G1527"/>
      <c r="H1527"/>
    </row>
    <row r="1528" spans="7:8" x14ac:dyDescent="0.25">
      <c r="G1528"/>
      <c r="H1528"/>
    </row>
    <row r="1529" spans="7:8" x14ac:dyDescent="0.25">
      <c r="G1529"/>
      <c r="H1529"/>
    </row>
    <row r="1530" spans="7:8" x14ac:dyDescent="0.25">
      <c r="G1530"/>
      <c r="H1530"/>
    </row>
    <row r="1531" spans="7:8" x14ac:dyDescent="0.25">
      <c r="G1531"/>
      <c r="H1531"/>
    </row>
    <row r="1532" spans="7:8" x14ac:dyDescent="0.25">
      <c r="G1532"/>
      <c r="H1532"/>
    </row>
    <row r="1533" spans="7:8" x14ac:dyDescent="0.25">
      <c r="G1533"/>
      <c r="H1533"/>
    </row>
    <row r="1534" spans="7:8" x14ac:dyDescent="0.25">
      <c r="G1534"/>
      <c r="H1534"/>
    </row>
    <row r="1535" spans="7:8" x14ac:dyDescent="0.25">
      <c r="G1535"/>
      <c r="H1535"/>
    </row>
    <row r="1536" spans="7:8" x14ac:dyDescent="0.25">
      <c r="G1536"/>
      <c r="H1536"/>
    </row>
    <row r="1537" spans="7:8" x14ac:dyDescent="0.25">
      <c r="G1537"/>
      <c r="H1537"/>
    </row>
    <row r="1538" spans="7:8" x14ac:dyDescent="0.25">
      <c r="G1538"/>
      <c r="H1538"/>
    </row>
    <row r="1539" spans="7:8" x14ac:dyDescent="0.25">
      <c r="G1539"/>
      <c r="H1539"/>
    </row>
    <row r="1540" spans="7:8" x14ac:dyDescent="0.25">
      <c r="G1540"/>
      <c r="H1540"/>
    </row>
    <row r="1541" spans="7:8" x14ac:dyDescent="0.25">
      <c r="G1541"/>
      <c r="H1541"/>
    </row>
    <row r="1542" spans="7:8" x14ac:dyDescent="0.25">
      <c r="G1542"/>
      <c r="H1542"/>
    </row>
    <row r="1543" spans="7:8" x14ac:dyDescent="0.25">
      <c r="G1543"/>
      <c r="H1543"/>
    </row>
    <row r="1544" spans="7:8" x14ac:dyDescent="0.25">
      <c r="G1544"/>
      <c r="H1544"/>
    </row>
    <row r="1545" spans="7:8" x14ac:dyDescent="0.25">
      <c r="G1545"/>
      <c r="H1545"/>
    </row>
    <row r="1546" spans="7:8" x14ac:dyDescent="0.25">
      <c r="G1546"/>
      <c r="H1546"/>
    </row>
    <row r="1547" spans="7:8" x14ac:dyDescent="0.25">
      <c r="G1547"/>
      <c r="H1547"/>
    </row>
    <row r="1548" spans="7:8" x14ac:dyDescent="0.25">
      <c r="G1548"/>
      <c r="H1548"/>
    </row>
    <row r="1549" spans="7:8" x14ac:dyDescent="0.25">
      <c r="G1549"/>
      <c r="H1549"/>
    </row>
    <row r="1550" spans="7:8" x14ac:dyDescent="0.25">
      <c r="G1550"/>
      <c r="H1550"/>
    </row>
    <row r="1551" spans="7:8" x14ac:dyDescent="0.25">
      <c r="G1551"/>
      <c r="H1551"/>
    </row>
    <row r="1552" spans="7:8" x14ac:dyDescent="0.25">
      <c r="G1552"/>
      <c r="H1552"/>
    </row>
    <row r="1553" spans="7:8" x14ac:dyDescent="0.25">
      <c r="G1553"/>
      <c r="H1553"/>
    </row>
    <row r="1554" spans="7:8" x14ac:dyDescent="0.25">
      <c r="G1554"/>
      <c r="H1554"/>
    </row>
    <row r="1555" spans="7:8" x14ac:dyDescent="0.25">
      <c r="G1555"/>
      <c r="H1555"/>
    </row>
    <row r="1556" spans="7:8" x14ac:dyDescent="0.25">
      <c r="G1556"/>
      <c r="H1556"/>
    </row>
    <row r="1557" spans="7:8" x14ac:dyDescent="0.25">
      <c r="G1557"/>
      <c r="H1557"/>
    </row>
    <row r="1558" spans="7:8" x14ac:dyDescent="0.25">
      <c r="G1558"/>
      <c r="H1558"/>
    </row>
    <row r="1559" spans="7:8" x14ac:dyDescent="0.25">
      <c r="G1559"/>
      <c r="H1559"/>
    </row>
    <row r="1560" spans="7:8" x14ac:dyDescent="0.25">
      <c r="G1560"/>
      <c r="H1560"/>
    </row>
    <row r="1561" spans="7:8" x14ac:dyDescent="0.25">
      <c r="G1561"/>
      <c r="H1561"/>
    </row>
    <row r="1562" spans="7:8" x14ac:dyDescent="0.25">
      <c r="G1562"/>
      <c r="H1562"/>
    </row>
    <row r="1563" spans="7:8" x14ac:dyDescent="0.25">
      <c r="G1563"/>
      <c r="H1563"/>
    </row>
    <row r="1564" spans="7:8" x14ac:dyDescent="0.25">
      <c r="G1564"/>
      <c r="H1564"/>
    </row>
    <row r="1565" spans="7:8" x14ac:dyDescent="0.25">
      <c r="G1565"/>
      <c r="H1565"/>
    </row>
    <row r="1566" spans="7:8" x14ac:dyDescent="0.25">
      <c r="G1566"/>
      <c r="H1566"/>
    </row>
    <row r="1567" spans="7:8" x14ac:dyDescent="0.25">
      <c r="G1567"/>
      <c r="H1567"/>
    </row>
    <row r="1568" spans="7:8" x14ac:dyDescent="0.25">
      <c r="G1568"/>
      <c r="H1568"/>
    </row>
    <row r="1569" spans="7:8" x14ac:dyDescent="0.25">
      <c r="G1569"/>
      <c r="H1569"/>
    </row>
    <row r="1570" spans="7:8" x14ac:dyDescent="0.25">
      <c r="G1570"/>
      <c r="H1570"/>
    </row>
    <row r="1571" spans="7:8" x14ac:dyDescent="0.25">
      <c r="G1571"/>
      <c r="H1571"/>
    </row>
    <row r="1572" spans="7:8" x14ac:dyDescent="0.25">
      <c r="G1572"/>
      <c r="H1572"/>
    </row>
    <row r="1573" spans="7:8" x14ac:dyDescent="0.25">
      <c r="G1573"/>
      <c r="H1573"/>
    </row>
    <row r="1574" spans="7:8" x14ac:dyDescent="0.25">
      <c r="G1574"/>
      <c r="H1574"/>
    </row>
    <row r="1575" spans="7:8" x14ac:dyDescent="0.25">
      <c r="G1575"/>
      <c r="H1575"/>
    </row>
    <row r="1576" spans="7:8" x14ac:dyDescent="0.25">
      <c r="G1576"/>
      <c r="H1576"/>
    </row>
    <row r="1577" spans="7:8" x14ac:dyDescent="0.25">
      <c r="G1577"/>
      <c r="H1577"/>
    </row>
    <row r="1578" spans="7:8" x14ac:dyDescent="0.25">
      <c r="G1578"/>
      <c r="H1578"/>
    </row>
    <row r="1579" spans="7:8" x14ac:dyDescent="0.25">
      <c r="G1579"/>
      <c r="H1579"/>
    </row>
    <row r="1580" spans="7:8" x14ac:dyDescent="0.25">
      <c r="G1580"/>
      <c r="H1580"/>
    </row>
    <row r="1581" spans="7:8" x14ac:dyDescent="0.25">
      <c r="G1581"/>
      <c r="H1581"/>
    </row>
    <row r="1582" spans="7:8" x14ac:dyDescent="0.25">
      <c r="G1582"/>
      <c r="H1582"/>
    </row>
    <row r="1583" spans="7:8" x14ac:dyDescent="0.25">
      <c r="G1583"/>
      <c r="H1583"/>
    </row>
    <row r="1584" spans="7:8" x14ac:dyDescent="0.25">
      <c r="G1584"/>
      <c r="H1584"/>
    </row>
    <row r="1585" spans="7:8" x14ac:dyDescent="0.25">
      <c r="G1585"/>
      <c r="H1585"/>
    </row>
    <row r="1586" spans="7:8" x14ac:dyDescent="0.25">
      <c r="G1586"/>
      <c r="H1586"/>
    </row>
    <row r="1587" spans="7:8" x14ac:dyDescent="0.25">
      <c r="G1587"/>
      <c r="H1587"/>
    </row>
    <row r="1588" spans="7:8" x14ac:dyDescent="0.25">
      <c r="G1588"/>
      <c r="H1588"/>
    </row>
    <row r="1589" spans="7:8" x14ac:dyDescent="0.25">
      <c r="G1589"/>
      <c r="H1589"/>
    </row>
    <row r="1590" spans="7:8" x14ac:dyDescent="0.25">
      <c r="G1590"/>
      <c r="H1590"/>
    </row>
    <row r="1591" spans="7:8" x14ac:dyDescent="0.25">
      <c r="G1591"/>
      <c r="H1591"/>
    </row>
    <row r="1592" spans="7:8" x14ac:dyDescent="0.25">
      <c r="G1592"/>
      <c r="H1592"/>
    </row>
    <row r="1593" spans="7:8" x14ac:dyDescent="0.25">
      <c r="G1593"/>
      <c r="H1593"/>
    </row>
    <row r="1594" spans="7:8" x14ac:dyDescent="0.25">
      <c r="G1594"/>
      <c r="H1594"/>
    </row>
    <row r="1595" spans="7:8" x14ac:dyDescent="0.25">
      <c r="G1595"/>
      <c r="H1595"/>
    </row>
    <row r="1596" spans="7:8" x14ac:dyDescent="0.25">
      <c r="G1596"/>
      <c r="H1596"/>
    </row>
    <row r="1597" spans="7:8" x14ac:dyDescent="0.25">
      <c r="G1597"/>
      <c r="H1597"/>
    </row>
    <row r="1598" spans="7:8" x14ac:dyDescent="0.25">
      <c r="G1598"/>
      <c r="H1598"/>
    </row>
    <row r="1599" spans="7:8" x14ac:dyDescent="0.25">
      <c r="G1599"/>
      <c r="H1599"/>
    </row>
    <row r="1600" spans="7:8" x14ac:dyDescent="0.25">
      <c r="G1600"/>
      <c r="H1600"/>
    </row>
    <row r="1601" spans="7:8" x14ac:dyDescent="0.25">
      <c r="G1601"/>
      <c r="H1601"/>
    </row>
    <row r="1602" spans="7:8" x14ac:dyDescent="0.25">
      <c r="G1602"/>
      <c r="H1602"/>
    </row>
    <row r="1603" spans="7:8" x14ac:dyDescent="0.25">
      <c r="G1603"/>
      <c r="H1603"/>
    </row>
    <row r="1604" spans="7:8" x14ac:dyDescent="0.25">
      <c r="G1604"/>
      <c r="H1604"/>
    </row>
    <row r="1605" spans="7:8" x14ac:dyDescent="0.25">
      <c r="G1605"/>
      <c r="H1605"/>
    </row>
    <row r="1606" spans="7:8" x14ac:dyDescent="0.25">
      <c r="G1606"/>
      <c r="H1606"/>
    </row>
    <row r="1607" spans="7:8" x14ac:dyDescent="0.25">
      <c r="G1607"/>
      <c r="H1607"/>
    </row>
    <row r="1608" spans="7:8" x14ac:dyDescent="0.25">
      <c r="G1608"/>
      <c r="H1608"/>
    </row>
    <row r="1609" spans="7:8" x14ac:dyDescent="0.25">
      <c r="G1609"/>
      <c r="H1609"/>
    </row>
    <row r="1610" spans="7:8" x14ac:dyDescent="0.25">
      <c r="G1610"/>
      <c r="H1610"/>
    </row>
    <row r="1611" spans="7:8" x14ac:dyDescent="0.25">
      <c r="G1611"/>
      <c r="H1611"/>
    </row>
    <row r="1612" spans="7:8" x14ac:dyDescent="0.25">
      <c r="G1612"/>
      <c r="H1612"/>
    </row>
    <row r="1613" spans="7:8" x14ac:dyDescent="0.25">
      <c r="G1613"/>
      <c r="H1613"/>
    </row>
    <row r="1614" spans="7:8" x14ac:dyDescent="0.25">
      <c r="G1614"/>
      <c r="H1614"/>
    </row>
    <row r="1615" spans="7:8" x14ac:dyDescent="0.25">
      <c r="G1615"/>
      <c r="H1615"/>
    </row>
    <row r="1616" spans="7:8" x14ac:dyDescent="0.25">
      <c r="G1616"/>
      <c r="H1616"/>
    </row>
    <row r="1617" spans="7:8" x14ac:dyDescent="0.25">
      <c r="G1617"/>
      <c r="H1617"/>
    </row>
    <row r="1618" spans="7:8" x14ac:dyDescent="0.25">
      <c r="G1618"/>
      <c r="H1618"/>
    </row>
    <row r="1619" spans="7:8" x14ac:dyDescent="0.25">
      <c r="G1619"/>
      <c r="H1619"/>
    </row>
    <row r="1620" spans="7:8" x14ac:dyDescent="0.25">
      <c r="G1620"/>
      <c r="H1620"/>
    </row>
    <row r="1621" spans="7:8" x14ac:dyDescent="0.25">
      <c r="G1621"/>
      <c r="H1621"/>
    </row>
    <row r="1622" spans="7:8" x14ac:dyDescent="0.25">
      <c r="G1622"/>
      <c r="H1622"/>
    </row>
    <row r="1623" spans="7:8" x14ac:dyDescent="0.25">
      <c r="G1623"/>
      <c r="H1623"/>
    </row>
    <row r="1624" spans="7:8" x14ac:dyDescent="0.25">
      <c r="G1624"/>
      <c r="H1624"/>
    </row>
    <row r="1625" spans="7:8" x14ac:dyDescent="0.25">
      <c r="G1625"/>
      <c r="H1625"/>
    </row>
    <row r="1626" spans="7:8" x14ac:dyDescent="0.25">
      <c r="G1626"/>
      <c r="H1626"/>
    </row>
    <row r="1627" spans="7:8" x14ac:dyDescent="0.25">
      <c r="G1627"/>
      <c r="H1627"/>
    </row>
    <row r="1628" spans="7:8" x14ac:dyDescent="0.25">
      <c r="G1628"/>
      <c r="H1628"/>
    </row>
    <row r="1629" spans="7:8" x14ac:dyDescent="0.25">
      <c r="G1629"/>
      <c r="H1629"/>
    </row>
    <row r="1630" spans="7:8" x14ac:dyDescent="0.25">
      <c r="G1630"/>
      <c r="H1630"/>
    </row>
    <row r="1631" spans="7:8" x14ac:dyDescent="0.25">
      <c r="G1631"/>
      <c r="H1631"/>
    </row>
    <row r="1632" spans="7:8" x14ac:dyDescent="0.25">
      <c r="G1632"/>
      <c r="H1632"/>
    </row>
    <row r="1633" spans="7:8" x14ac:dyDescent="0.25">
      <c r="G1633"/>
      <c r="H1633"/>
    </row>
    <row r="1634" spans="7:8" x14ac:dyDescent="0.25">
      <c r="G1634"/>
      <c r="H1634"/>
    </row>
    <row r="1635" spans="7:8" x14ac:dyDescent="0.25">
      <c r="G1635"/>
      <c r="H1635"/>
    </row>
    <row r="1636" spans="7:8" x14ac:dyDescent="0.25">
      <c r="G1636"/>
      <c r="H1636"/>
    </row>
    <row r="1637" spans="7:8" x14ac:dyDescent="0.25">
      <c r="G1637"/>
      <c r="H1637"/>
    </row>
    <row r="1638" spans="7:8" x14ac:dyDescent="0.25">
      <c r="G1638"/>
      <c r="H1638"/>
    </row>
    <row r="1639" spans="7:8" x14ac:dyDescent="0.25">
      <c r="G1639"/>
      <c r="H1639"/>
    </row>
    <row r="1640" spans="7:8" x14ac:dyDescent="0.25">
      <c r="G1640"/>
      <c r="H1640"/>
    </row>
    <row r="1641" spans="7:8" x14ac:dyDescent="0.25">
      <c r="G1641"/>
      <c r="H1641"/>
    </row>
    <row r="1642" spans="7:8" x14ac:dyDescent="0.25">
      <c r="G1642"/>
      <c r="H1642"/>
    </row>
    <row r="1643" spans="7:8" x14ac:dyDescent="0.25">
      <c r="G1643"/>
      <c r="H1643"/>
    </row>
    <row r="1644" spans="7:8" x14ac:dyDescent="0.25">
      <c r="G1644"/>
      <c r="H1644"/>
    </row>
    <row r="1645" spans="7:8" x14ac:dyDescent="0.25">
      <c r="G1645"/>
      <c r="H1645"/>
    </row>
    <row r="1646" spans="7:8" x14ac:dyDescent="0.25">
      <c r="G1646"/>
      <c r="H1646"/>
    </row>
    <row r="1647" spans="7:8" x14ac:dyDescent="0.25">
      <c r="G1647"/>
      <c r="H1647"/>
    </row>
    <row r="1648" spans="7:8" x14ac:dyDescent="0.25">
      <c r="G1648"/>
      <c r="H1648"/>
    </row>
    <row r="1649" spans="7:8" x14ac:dyDescent="0.25">
      <c r="G1649"/>
      <c r="H1649"/>
    </row>
    <row r="1650" spans="7:8" x14ac:dyDescent="0.25">
      <c r="G1650"/>
      <c r="H1650"/>
    </row>
    <row r="1651" spans="7:8" x14ac:dyDescent="0.25">
      <c r="G1651"/>
      <c r="H1651"/>
    </row>
    <row r="1652" spans="7:8" x14ac:dyDescent="0.25">
      <c r="G1652"/>
      <c r="H1652"/>
    </row>
    <row r="1653" spans="7:8" x14ac:dyDescent="0.25">
      <c r="G1653"/>
      <c r="H1653"/>
    </row>
    <row r="1654" spans="7:8" x14ac:dyDescent="0.25">
      <c r="G1654"/>
      <c r="H1654"/>
    </row>
    <row r="1655" spans="7:8" x14ac:dyDescent="0.25">
      <c r="G1655"/>
      <c r="H1655"/>
    </row>
    <row r="1656" spans="7:8" x14ac:dyDescent="0.25">
      <c r="G1656"/>
      <c r="H1656"/>
    </row>
    <row r="1657" spans="7:8" x14ac:dyDescent="0.25">
      <c r="G1657"/>
      <c r="H1657"/>
    </row>
    <row r="1658" spans="7:8" x14ac:dyDescent="0.25">
      <c r="G1658"/>
      <c r="H1658"/>
    </row>
    <row r="1659" spans="7:8" x14ac:dyDescent="0.25">
      <c r="G1659"/>
      <c r="H1659"/>
    </row>
    <row r="1660" spans="7:8" x14ac:dyDescent="0.25">
      <c r="G1660"/>
      <c r="H1660"/>
    </row>
    <row r="1661" spans="7:8" x14ac:dyDescent="0.25">
      <c r="G1661"/>
      <c r="H1661"/>
    </row>
    <row r="1662" spans="7:8" x14ac:dyDescent="0.25">
      <c r="G1662"/>
      <c r="H1662"/>
    </row>
    <row r="1663" spans="7:8" x14ac:dyDescent="0.25">
      <c r="G1663"/>
      <c r="H1663"/>
    </row>
    <row r="1664" spans="7:8" x14ac:dyDescent="0.25">
      <c r="G1664"/>
      <c r="H1664"/>
    </row>
    <row r="1665" spans="7:8" x14ac:dyDescent="0.25">
      <c r="G1665"/>
      <c r="H1665"/>
    </row>
    <row r="1666" spans="7:8" x14ac:dyDescent="0.25">
      <c r="G1666"/>
      <c r="H1666"/>
    </row>
    <row r="1667" spans="7:8" x14ac:dyDescent="0.25">
      <c r="G1667"/>
      <c r="H1667"/>
    </row>
    <row r="1668" spans="7:8" x14ac:dyDescent="0.25">
      <c r="G1668"/>
      <c r="H1668"/>
    </row>
    <row r="1669" spans="7:8" x14ac:dyDescent="0.25">
      <c r="G1669"/>
      <c r="H1669"/>
    </row>
    <row r="1670" spans="7:8" x14ac:dyDescent="0.25">
      <c r="G1670"/>
      <c r="H1670"/>
    </row>
    <row r="1671" spans="7:8" x14ac:dyDescent="0.25">
      <c r="G1671"/>
      <c r="H1671"/>
    </row>
    <row r="1672" spans="7:8" x14ac:dyDescent="0.25">
      <c r="G1672"/>
      <c r="H1672"/>
    </row>
    <row r="1673" spans="7:8" x14ac:dyDescent="0.25">
      <c r="G1673"/>
      <c r="H1673"/>
    </row>
    <row r="1674" spans="7:8" x14ac:dyDescent="0.25">
      <c r="G1674"/>
      <c r="H1674"/>
    </row>
    <row r="1675" spans="7:8" x14ac:dyDescent="0.25">
      <c r="G1675"/>
      <c r="H1675"/>
    </row>
    <row r="1676" spans="7:8" x14ac:dyDescent="0.25">
      <c r="G1676"/>
      <c r="H1676"/>
    </row>
    <row r="1677" spans="7:8" x14ac:dyDescent="0.25">
      <c r="G1677"/>
      <c r="H1677"/>
    </row>
    <row r="1678" spans="7:8" x14ac:dyDescent="0.25">
      <c r="G1678"/>
      <c r="H1678"/>
    </row>
    <row r="1679" spans="7:8" x14ac:dyDescent="0.25">
      <c r="G1679"/>
      <c r="H1679"/>
    </row>
    <row r="1680" spans="7:8" x14ac:dyDescent="0.25">
      <c r="G1680"/>
      <c r="H1680"/>
    </row>
    <row r="1681" spans="7:8" x14ac:dyDescent="0.25">
      <c r="G1681"/>
      <c r="H1681"/>
    </row>
    <row r="1682" spans="7:8" x14ac:dyDescent="0.25">
      <c r="G1682"/>
      <c r="H1682"/>
    </row>
    <row r="1683" spans="7:8" x14ac:dyDescent="0.25">
      <c r="G1683"/>
      <c r="H1683"/>
    </row>
    <row r="1684" spans="7:8" x14ac:dyDescent="0.25">
      <c r="G1684"/>
      <c r="H1684"/>
    </row>
    <row r="1685" spans="7:8" x14ac:dyDescent="0.25">
      <c r="G1685"/>
      <c r="H1685"/>
    </row>
    <row r="1686" spans="7:8" x14ac:dyDescent="0.25">
      <c r="G1686"/>
      <c r="H1686"/>
    </row>
    <row r="1687" spans="7:8" x14ac:dyDescent="0.25">
      <c r="G1687"/>
      <c r="H1687"/>
    </row>
    <row r="1688" spans="7:8" x14ac:dyDescent="0.25">
      <c r="G1688"/>
      <c r="H1688"/>
    </row>
    <row r="1689" spans="7:8" x14ac:dyDescent="0.25">
      <c r="G1689"/>
      <c r="H1689"/>
    </row>
    <row r="1690" spans="7:8" x14ac:dyDescent="0.25">
      <c r="G1690"/>
      <c r="H1690"/>
    </row>
    <row r="1691" spans="7:8" x14ac:dyDescent="0.25">
      <c r="G1691"/>
      <c r="H1691"/>
    </row>
    <row r="1692" spans="7:8" x14ac:dyDescent="0.25">
      <c r="G1692"/>
      <c r="H1692"/>
    </row>
    <row r="1693" spans="7:8" x14ac:dyDescent="0.25">
      <c r="G1693"/>
      <c r="H1693"/>
    </row>
    <row r="1694" spans="7:8" x14ac:dyDescent="0.25">
      <c r="G1694"/>
      <c r="H1694"/>
    </row>
    <row r="1695" spans="7:8" x14ac:dyDescent="0.25">
      <c r="G1695"/>
      <c r="H1695"/>
    </row>
    <row r="1696" spans="7:8" x14ac:dyDescent="0.25">
      <c r="G1696"/>
      <c r="H1696"/>
    </row>
    <row r="1697" spans="7:8" x14ac:dyDescent="0.25">
      <c r="G1697"/>
      <c r="H1697"/>
    </row>
    <row r="1698" spans="7:8" x14ac:dyDescent="0.25">
      <c r="G1698"/>
      <c r="H1698"/>
    </row>
    <row r="1699" spans="7:8" x14ac:dyDescent="0.25">
      <c r="G1699"/>
      <c r="H1699"/>
    </row>
    <row r="1700" spans="7:8" x14ac:dyDescent="0.25">
      <c r="G1700"/>
      <c r="H1700"/>
    </row>
    <row r="1701" spans="7:8" x14ac:dyDescent="0.25">
      <c r="G1701"/>
      <c r="H1701"/>
    </row>
    <row r="1702" spans="7:8" x14ac:dyDescent="0.25">
      <c r="G1702"/>
      <c r="H1702"/>
    </row>
    <row r="1703" spans="7:8" x14ac:dyDescent="0.25">
      <c r="G1703"/>
      <c r="H1703"/>
    </row>
    <row r="1704" spans="7:8" x14ac:dyDescent="0.25">
      <c r="G1704"/>
      <c r="H1704"/>
    </row>
    <row r="1705" spans="7:8" x14ac:dyDescent="0.25">
      <c r="G1705"/>
      <c r="H1705"/>
    </row>
    <row r="1706" spans="7:8" x14ac:dyDescent="0.25">
      <c r="G1706"/>
      <c r="H1706"/>
    </row>
    <row r="1707" spans="7:8" x14ac:dyDescent="0.25">
      <c r="G1707"/>
      <c r="H1707"/>
    </row>
    <row r="1708" spans="7:8" x14ac:dyDescent="0.25">
      <c r="G1708"/>
      <c r="H1708"/>
    </row>
    <row r="1709" spans="7:8" x14ac:dyDescent="0.25">
      <c r="G1709"/>
      <c r="H1709"/>
    </row>
    <row r="1710" spans="7:8" x14ac:dyDescent="0.25">
      <c r="G1710"/>
      <c r="H1710"/>
    </row>
    <row r="1711" spans="7:8" x14ac:dyDescent="0.25">
      <c r="G1711"/>
      <c r="H1711"/>
    </row>
    <row r="1712" spans="7:8" x14ac:dyDescent="0.25">
      <c r="G1712"/>
      <c r="H1712"/>
    </row>
    <row r="1713" spans="7:8" x14ac:dyDescent="0.25">
      <c r="G1713"/>
      <c r="H1713"/>
    </row>
    <row r="1714" spans="7:8" x14ac:dyDescent="0.25">
      <c r="G1714"/>
      <c r="H1714"/>
    </row>
    <row r="1715" spans="7:8" x14ac:dyDescent="0.25">
      <c r="G1715"/>
      <c r="H1715"/>
    </row>
    <row r="1716" spans="7:8" x14ac:dyDescent="0.25">
      <c r="G1716"/>
      <c r="H1716"/>
    </row>
    <row r="1717" spans="7:8" x14ac:dyDescent="0.25">
      <c r="G1717"/>
      <c r="H1717"/>
    </row>
    <row r="1718" spans="7:8" x14ac:dyDescent="0.25">
      <c r="G1718"/>
      <c r="H1718"/>
    </row>
    <row r="1719" spans="7:8" x14ac:dyDescent="0.25">
      <c r="G1719"/>
      <c r="H1719"/>
    </row>
    <row r="1720" spans="7:8" x14ac:dyDescent="0.25">
      <c r="G1720"/>
      <c r="H1720"/>
    </row>
    <row r="1721" spans="7:8" x14ac:dyDescent="0.25">
      <c r="G1721"/>
      <c r="H1721"/>
    </row>
    <row r="1722" spans="7:8" x14ac:dyDescent="0.25">
      <c r="G1722"/>
      <c r="H1722"/>
    </row>
    <row r="1723" spans="7:8" x14ac:dyDescent="0.25">
      <c r="G1723"/>
      <c r="H1723"/>
    </row>
    <row r="1724" spans="7:8" x14ac:dyDescent="0.25">
      <c r="G1724"/>
      <c r="H1724"/>
    </row>
    <row r="1725" spans="7:8" x14ac:dyDescent="0.25">
      <c r="G1725"/>
      <c r="H1725"/>
    </row>
    <row r="1726" spans="7:8" x14ac:dyDescent="0.25">
      <c r="G1726"/>
      <c r="H1726"/>
    </row>
    <row r="1727" spans="7:8" x14ac:dyDescent="0.25">
      <c r="G1727"/>
      <c r="H1727"/>
    </row>
    <row r="1728" spans="7:8" x14ac:dyDescent="0.25">
      <c r="G1728"/>
      <c r="H1728"/>
    </row>
    <row r="1729" spans="7:8" x14ac:dyDescent="0.25">
      <c r="G1729"/>
      <c r="H1729"/>
    </row>
    <row r="1730" spans="7:8" x14ac:dyDescent="0.25">
      <c r="G1730"/>
      <c r="H1730"/>
    </row>
    <row r="1731" spans="7:8" x14ac:dyDescent="0.25">
      <c r="G1731"/>
      <c r="H1731"/>
    </row>
    <row r="1732" spans="7:8" x14ac:dyDescent="0.25">
      <c r="G1732"/>
      <c r="H1732"/>
    </row>
    <row r="1733" spans="7:8" x14ac:dyDescent="0.25">
      <c r="G1733"/>
      <c r="H1733"/>
    </row>
    <row r="1734" spans="7:8" x14ac:dyDescent="0.25">
      <c r="G1734"/>
      <c r="H1734"/>
    </row>
    <row r="1735" spans="7:8" x14ac:dyDescent="0.25">
      <c r="G1735"/>
      <c r="H1735"/>
    </row>
    <row r="1736" spans="7:8" x14ac:dyDescent="0.25">
      <c r="G1736"/>
      <c r="H1736"/>
    </row>
    <row r="1737" spans="7:8" x14ac:dyDescent="0.25">
      <c r="G1737"/>
      <c r="H1737"/>
    </row>
    <row r="1738" spans="7:8" x14ac:dyDescent="0.25">
      <c r="G1738"/>
      <c r="H1738"/>
    </row>
    <row r="1739" spans="7:8" x14ac:dyDescent="0.25">
      <c r="G1739"/>
      <c r="H1739"/>
    </row>
    <row r="1740" spans="7:8" x14ac:dyDescent="0.25">
      <c r="G1740"/>
      <c r="H1740"/>
    </row>
    <row r="1741" spans="7:8" x14ac:dyDescent="0.25">
      <c r="G1741"/>
      <c r="H1741"/>
    </row>
    <row r="1742" spans="7:8" x14ac:dyDescent="0.25">
      <c r="G1742"/>
      <c r="H1742"/>
    </row>
    <row r="1743" spans="7:8" x14ac:dyDescent="0.25">
      <c r="G1743"/>
      <c r="H1743"/>
    </row>
    <row r="1744" spans="7:8" x14ac:dyDescent="0.25">
      <c r="G1744"/>
      <c r="H1744"/>
    </row>
    <row r="1745" spans="7:8" x14ac:dyDescent="0.25">
      <c r="G1745"/>
      <c r="H1745"/>
    </row>
    <row r="1746" spans="7:8" x14ac:dyDescent="0.25">
      <c r="G1746"/>
      <c r="H1746"/>
    </row>
    <row r="1747" spans="7:8" x14ac:dyDescent="0.25">
      <c r="G1747"/>
      <c r="H1747"/>
    </row>
    <row r="1748" spans="7:8" x14ac:dyDescent="0.25">
      <c r="G1748"/>
      <c r="H1748"/>
    </row>
    <row r="1749" spans="7:8" x14ac:dyDescent="0.25">
      <c r="G1749"/>
      <c r="H1749"/>
    </row>
    <row r="1750" spans="7:8" x14ac:dyDescent="0.25">
      <c r="G1750"/>
      <c r="H1750"/>
    </row>
    <row r="1751" spans="7:8" x14ac:dyDescent="0.25">
      <c r="G1751"/>
      <c r="H1751"/>
    </row>
    <row r="1752" spans="7:8" x14ac:dyDescent="0.25">
      <c r="G1752"/>
      <c r="H1752"/>
    </row>
    <row r="1753" spans="7:8" x14ac:dyDescent="0.25">
      <c r="G1753"/>
      <c r="H1753"/>
    </row>
    <row r="1754" spans="7:8" x14ac:dyDescent="0.25">
      <c r="G1754"/>
      <c r="H1754"/>
    </row>
    <row r="1755" spans="7:8" x14ac:dyDescent="0.25">
      <c r="G1755"/>
      <c r="H1755"/>
    </row>
    <row r="1756" spans="7:8" x14ac:dyDescent="0.25">
      <c r="G1756"/>
      <c r="H1756"/>
    </row>
    <row r="1757" spans="7:8" x14ac:dyDescent="0.25">
      <c r="G1757"/>
      <c r="H1757"/>
    </row>
    <row r="1758" spans="7:8" x14ac:dyDescent="0.25">
      <c r="G1758"/>
      <c r="H1758"/>
    </row>
    <row r="1759" spans="7:8" x14ac:dyDescent="0.25">
      <c r="G1759"/>
      <c r="H1759"/>
    </row>
    <row r="1760" spans="7:8" x14ac:dyDescent="0.25">
      <c r="G1760"/>
      <c r="H1760"/>
    </row>
    <row r="1761" spans="7:8" x14ac:dyDescent="0.25">
      <c r="G1761"/>
      <c r="H1761"/>
    </row>
    <row r="1762" spans="7:8" x14ac:dyDescent="0.25">
      <c r="G1762"/>
      <c r="H1762"/>
    </row>
    <row r="1763" spans="7:8" x14ac:dyDescent="0.25">
      <c r="G1763"/>
      <c r="H1763"/>
    </row>
    <row r="1764" spans="7:8" x14ac:dyDescent="0.25">
      <c r="G1764"/>
      <c r="H1764"/>
    </row>
    <row r="1765" spans="7:8" x14ac:dyDescent="0.25">
      <c r="G1765"/>
      <c r="H1765"/>
    </row>
    <row r="1766" spans="7:8" x14ac:dyDescent="0.25">
      <c r="G1766"/>
      <c r="H1766"/>
    </row>
    <row r="1767" spans="7:8" x14ac:dyDescent="0.25">
      <c r="G1767"/>
      <c r="H1767"/>
    </row>
    <row r="1768" spans="7:8" x14ac:dyDescent="0.25">
      <c r="G1768"/>
      <c r="H1768"/>
    </row>
    <row r="1769" spans="7:8" x14ac:dyDescent="0.25">
      <c r="G1769"/>
      <c r="H1769"/>
    </row>
    <row r="1770" spans="7:8" x14ac:dyDescent="0.25">
      <c r="G1770"/>
      <c r="H1770"/>
    </row>
    <row r="1771" spans="7:8" x14ac:dyDescent="0.25">
      <c r="G1771"/>
      <c r="H1771"/>
    </row>
    <row r="1772" spans="7:8" x14ac:dyDescent="0.25">
      <c r="G1772"/>
      <c r="H1772"/>
    </row>
    <row r="1773" spans="7:8" x14ac:dyDescent="0.25">
      <c r="G1773"/>
      <c r="H1773"/>
    </row>
    <row r="1774" spans="7:8" x14ac:dyDescent="0.25">
      <c r="G1774"/>
      <c r="H1774"/>
    </row>
    <row r="1775" spans="7:8" x14ac:dyDescent="0.25">
      <c r="G1775"/>
      <c r="H1775"/>
    </row>
    <row r="1776" spans="7:8" x14ac:dyDescent="0.25">
      <c r="G1776"/>
      <c r="H1776"/>
    </row>
    <row r="1777" spans="7:8" x14ac:dyDescent="0.25">
      <c r="G1777"/>
      <c r="H1777"/>
    </row>
    <row r="1778" spans="7:8" x14ac:dyDescent="0.25">
      <c r="G1778"/>
      <c r="H1778"/>
    </row>
    <row r="1779" spans="7:8" x14ac:dyDescent="0.25">
      <c r="G1779"/>
      <c r="H1779"/>
    </row>
    <row r="1780" spans="7:8" x14ac:dyDescent="0.25">
      <c r="G1780"/>
      <c r="H1780"/>
    </row>
    <row r="1781" spans="7:8" x14ac:dyDescent="0.25">
      <c r="G1781"/>
      <c r="H1781"/>
    </row>
    <row r="1782" spans="7:8" x14ac:dyDescent="0.25">
      <c r="G1782"/>
      <c r="H1782"/>
    </row>
    <row r="1783" spans="7:8" x14ac:dyDescent="0.25">
      <c r="G1783"/>
      <c r="H1783"/>
    </row>
    <row r="1784" spans="7:8" x14ac:dyDescent="0.25">
      <c r="G1784"/>
      <c r="H1784"/>
    </row>
    <row r="1785" spans="7:8" x14ac:dyDescent="0.25">
      <c r="G1785"/>
      <c r="H1785"/>
    </row>
    <row r="1786" spans="7:8" x14ac:dyDescent="0.25">
      <c r="G1786"/>
      <c r="H1786"/>
    </row>
    <row r="1787" spans="7:8" x14ac:dyDescent="0.25">
      <c r="G1787"/>
      <c r="H1787"/>
    </row>
    <row r="1788" spans="7:8" x14ac:dyDescent="0.25">
      <c r="G1788"/>
      <c r="H1788"/>
    </row>
    <row r="1789" spans="7:8" x14ac:dyDescent="0.25">
      <c r="G1789"/>
      <c r="H1789"/>
    </row>
    <row r="1790" spans="7:8" x14ac:dyDescent="0.25">
      <c r="G1790"/>
      <c r="H1790"/>
    </row>
    <row r="1791" spans="7:8" x14ac:dyDescent="0.25">
      <c r="G1791"/>
      <c r="H1791"/>
    </row>
    <row r="1792" spans="7:8" x14ac:dyDescent="0.25">
      <c r="G1792"/>
      <c r="H1792"/>
    </row>
    <row r="1793" spans="7:8" x14ac:dyDescent="0.25">
      <c r="G1793"/>
      <c r="H1793"/>
    </row>
    <row r="1794" spans="7:8" x14ac:dyDescent="0.25">
      <c r="G1794"/>
      <c r="H1794"/>
    </row>
    <row r="1795" spans="7:8" x14ac:dyDescent="0.25">
      <c r="G1795"/>
      <c r="H1795"/>
    </row>
    <row r="1796" spans="7:8" x14ac:dyDescent="0.25">
      <c r="G1796"/>
      <c r="H1796"/>
    </row>
    <row r="1797" spans="7:8" x14ac:dyDescent="0.25">
      <c r="G1797"/>
      <c r="H1797"/>
    </row>
    <row r="1798" spans="7:8" x14ac:dyDescent="0.25">
      <c r="G1798"/>
      <c r="H1798"/>
    </row>
    <row r="1799" spans="7:8" x14ac:dyDescent="0.25">
      <c r="G1799"/>
      <c r="H1799"/>
    </row>
    <row r="1800" spans="7:8" x14ac:dyDescent="0.25">
      <c r="G1800"/>
      <c r="H1800"/>
    </row>
    <row r="1801" spans="7:8" x14ac:dyDescent="0.25">
      <c r="G1801"/>
      <c r="H1801"/>
    </row>
    <row r="1802" spans="7:8" x14ac:dyDescent="0.25">
      <c r="G1802"/>
      <c r="H1802"/>
    </row>
    <row r="1803" spans="7:8" x14ac:dyDescent="0.25">
      <c r="G1803"/>
      <c r="H1803"/>
    </row>
    <row r="1804" spans="7:8" x14ac:dyDescent="0.25">
      <c r="G1804"/>
      <c r="H1804"/>
    </row>
    <row r="1805" spans="7:8" x14ac:dyDescent="0.25">
      <c r="G1805"/>
      <c r="H1805"/>
    </row>
    <row r="1806" spans="7:8" x14ac:dyDescent="0.25">
      <c r="G1806"/>
      <c r="H1806"/>
    </row>
    <row r="1807" spans="7:8" x14ac:dyDescent="0.25">
      <c r="G1807"/>
    </row>
    <row r="1808" spans="7:8" x14ac:dyDescent="0.25">
      <c r="G1808"/>
    </row>
    <row r="1809" spans="7:7" x14ac:dyDescent="0.25">
      <c r="G1809"/>
    </row>
    <row r="1810" spans="7:7" x14ac:dyDescent="0.25">
      <c r="G1810"/>
    </row>
    <row r="1811" spans="7:7" x14ac:dyDescent="0.25">
      <c r="G1811"/>
    </row>
    <row r="1812" spans="7:7" x14ac:dyDescent="0.25">
      <c r="G1812"/>
    </row>
    <row r="1813" spans="7:7" x14ac:dyDescent="0.25">
      <c r="G1813"/>
    </row>
    <row r="1814" spans="7:7" x14ac:dyDescent="0.25">
      <c r="G1814"/>
    </row>
    <row r="1815" spans="7:7" x14ac:dyDescent="0.25">
      <c r="G1815"/>
    </row>
    <row r="1816" spans="7:7" x14ac:dyDescent="0.25">
      <c r="G1816"/>
    </row>
    <row r="1817" spans="7:7" x14ac:dyDescent="0.25">
      <c r="G1817"/>
    </row>
    <row r="1818" spans="7:7" x14ac:dyDescent="0.25">
      <c r="G1818"/>
    </row>
    <row r="1819" spans="7:7" x14ac:dyDescent="0.25">
      <c r="G1819"/>
    </row>
    <row r="1820" spans="7:7" x14ac:dyDescent="0.25">
      <c r="G1820"/>
    </row>
    <row r="1821" spans="7:7" x14ac:dyDescent="0.25">
      <c r="G1821"/>
    </row>
    <row r="1822" spans="7:7" x14ac:dyDescent="0.25">
      <c r="G1822"/>
    </row>
    <row r="1823" spans="7:7" x14ac:dyDescent="0.25">
      <c r="G1823"/>
    </row>
    <row r="1824" spans="7:7" x14ac:dyDescent="0.25">
      <c r="G1824"/>
    </row>
    <row r="1825" spans="7:7" x14ac:dyDescent="0.25">
      <c r="G1825"/>
    </row>
    <row r="1826" spans="7:7" x14ac:dyDescent="0.25">
      <c r="G1826"/>
    </row>
    <row r="1827" spans="7:7" x14ac:dyDescent="0.25">
      <c r="G1827"/>
    </row>
    <row r="1828" spans="7:7" x14ac:dyDescent="0.25">
      <c r="G1828"/>
    </row>
    <row r="1829" spans="7:7" x14ac:dyDescent="0.25">
      <c r="G1829"/>
    </row>
    <row r="1830" spans="7:7" x14ac:dyDescent="0.25">
      <c r="G1830"/>
    </row>
    <row r="1831" spans="7:7" x14ac:dyDescent="0.25">
      <c r="G1831"/>
    </row>
    <row r="1832" spans="7:7" x14ac:dyDescent="0.25">
      <c r="G1832"/>
    </row>
    <row r="1833" spans="7:7" x14ac:dyDescent="0.25">
      <c r="G1833"/>
    </row>
    <row r="1834" spans="7:7" x14ac:dyDescent="0.25">
      <c r="G1834"/>
    </row>
    <row r="1835" spans="7:7" x14ac:dyDescent="0.25">
      <c r="G1835"/>
    </row>
    <row r="1836" spans="7:7" x14ac:dyDescent="0.25">
      <c r="G1836"/>
    </row>
    <row r="1837" spans="7:7" x14ac:dyDescent="0.25">
      <c r="G1837"/>
    </row>
    <row r="1838" spans="7:7" x14ac:dyDescent="0.25">
      <c r="G1838"/>
    </row>
    <row r="1839" spans="7:7" x14ac:dyDescent="0.25">
      <c r="G1839"/>
    </row>
    <row r="1840" spans="7:7" x14ac:dyDescent="0.25">
      <c r="G1840"/>
    </row>
    <row r="1841" spans="7:7" x14ac:dyDescent="0.25">
      <c r="G1841"/>
    </row>
    <row r="1842" spans="7:7" x14ac:dyDescent="0.25">
      <c r="G1842"/>
    </row>
    <row r="1843" spans="7:7" x14ac:dyDescent="0.25">
      <c r="G1843"/>
    </row>
    <row r="1844" spans="7:7" x14ac:dyDescent="0.25">
      <c r="G1844"/>
    </row>
    <row r="1845" spans="7:7" x14ac:dyDescent="0.25">
      <c r="G1845"/>
    </row>
    <row r="1846" spans="7:7" x14ac:dyDescent="0.25">
      <c r="G1846"/>
    </row>
    <row r="1847" spans="7:7" x14ac:dyDescent="0.25">
      <c r="G1847"/>
    </row>
    <row r="1848" spans="7:7" x14ac:dyDescent="0.25">
      <c r="G1848"/>
    </row>
    <row r="1849" spans="7:7" x14ac:dyDescent="0.25">
      <c r="G1849"/>
    </row>
    <row r="1850" spans="7:7" x14ac:dyDescent="0.25">
      <c r="G1850"/>
    </row>
    <row r="1851" spans="7:7" x14ac:dyDescent="0.25">
      <c r="G1851"/>
    </row>
    <row r="1852" spans="7:7" x14ac:dyDescent="0.25">
      <c r="G1852"/>
    </row>
    <row r="1853" spans="7:7" x14ac:dyDescent="0.25">
      <c r="G1853"/>
    </row>
    <row r="1854" spans="7:7" x14ac:dyDescent="0.25">
      <c r="G1854"/>
    </row>
    <row r="1855" spans="7:7" x14ac:dyDescent="0.25">
      <c r="G1855"/>
    </row>
    <row r="1856" spans="7:7" x14ac:dyDescent="0.25">
      <c r="G1856"/>
    </row>
    <row r="1857" spans="7:7" x14ac:dyDescent="0.25">
      <c r="G1857"/>
    </row>
    <row r="1858" spans="7:7" x14ac:dyDescent="0.25">
      <c r="G1858"/>
    </row>
    <row r="1859" spans="7:7" x14ac:dyDescent="0.25">
      <c r="G1859"/>
    </row>
    <row r="1860" spans="7:7" x14ac:dyDescent="0.25">
      <c r="G1860"/>
    </row>
    <row r="1861" spans="7:7" x14ac:dyDescent="0.25">
      <c r="G1861"/>
    </row>
    <row r="1862" spans="7:7" x14ac:dyDescent="0.25">
      <c r="G1862"/>
    </row>
    <row r="1863" spans="7:7" x14ac:dyDescent="0.25">
      <c r="G1863"/>
    </row>
    <row r="1864" spans="7:7" x14ac:dyDescent="0.25">
      <c r="G1864"/>
    </row>
    <row r="1865" spans="7:7" x14ac:dyDescent="0.25">
      <c r="G1865"/>
    </row>
    <row r="1866" spans="7:7" x14ac:dyDescent="0.25">
      <c r="G1866"/>
    </row>
    <row r="1867" spans="7:7" x14ac:dyDescent="0.25">
      <c r="G1867"/>
    </row>
    <row r="1868" spans="7:7" x14ac:dyDescent="0.25">
      <c r="G1868"/>
    </row>
    <row r="1869" spans="7:7" x14ac:dyDescent="0.25">
      <c r="G1869"/>
    </row>
    <row r="1870" spans="7:7" x14ac:dyDescent="0.25">
      <c r="G1870"/>
    </row>
    <row r="1871" spans="7:7" x14ac:dyDescent="0.25">
      <c r="G1871"/>
    </row>
    <row r="1872" spans="7:7" x14ac:dyDescent="0.25">
      <c r="G1872"/>
    </row>
    <row r="1873" spans="7:7" x14ac:dyDescent="0.25">
      <c r="G1873"/>
    </row>
    <row r="1874" spans="7:7" x14ac:dyDescent="0.25">
      <c r="G1874"/>
    </row>
    <row r="1875" spans="7:7" x14ac:dyDescent="0.25">
      <c r="G1875"/>
    </row>
    <row r="1876" spans="7:7" x14ac:dyDescent="0.25">
      <c r="G1876"/>
    </row>
    <row r="1877" spans="7:7" x14ac:dyDescent="0.25">
      <c r="G1877"/>
    </row>
    <row r="1878" spans="7:7" x14ac:dyDescent="0.25">
      <c r="G1878"/>
    </row>
    <row r="1879" spans="7:7" x14ac:dyDescent="0.25">
      <c r="G1879"/>
    </row>
    <row r="1880" spans="7:7" x14ac:dyDescent="0.25">
      <c r="G1880"/>
    </row>
    <row r="1881" spans="7:7" x14ac:dyDescent="0.25">
      <c r="G1881"/>
    </row>
    <row r="1882" spans="7:7" x14ac:dyDescent="0.25">
      <c r="G1882"/>
    </row>
    <row r="1883" spans="7:7" x14ac:dyDescent="0.25">
      <c r="G1883"/>
    </row>
    <row r="1884" spans="7:7" x14ac:dyDescent="0.25">
      <c r="G1884"/>
    </row>
    <row r="1885" spans="7:7" x14ac:dyDescent="0.25">
      <c r="G1885"/>
    </row>
    <row r="1886" spans="7:7" x14ac:dyDescent="0.25">
      <c r="G1886"/>
    </row>
    <row r="1887" spans="7:7" x14ac:dyDescent="0.25">
      <c r="G1887"/>
    </row>
    <row r="1888" spans="7:7" x14ac:dyDescent="0.25">
      <c r="G1888"/>
    </row>
    <row r="1889" spans="7:7" x14ac:dyDescent="0.25">
      <c r="G1889"/>
    </row>
    <row r="1890" spans="7:7" x14ac:dyDescent="0.25">
      <c r="G1890"/>
    </row>
    <row r="1891" spans="7:7" x14ac:dyDescent="0.25">
      <c r="G1891"/>
    </row>
    <row r="1892" spans="7:7" x14ac:dyDescent="0.25">
      <c r="G1892"/>
    </row>
    <row r="1893" spans="7:7" x14ac:dyDescent="0.25">
      <c r="G1893"/>
    </row>
    <row r="1894" spans="7:7" x14ac:dyDescent="0.25">
      <c r="G1894"/>
    </row>
    <row r="1895" spans="7:7" x14ac:dyDescent="0.25">
      <c r="G1895"/>
    </row>
    <row r="1896" spans="7:7" x14ac:dyDescent="0.25">
      <c r="G1896"/>
    </row>
    <row r="1897" spans="7:7" x14ac:dyDescent="0.25">
      <c r="G1897"/>
    </row>
    <row r="1898" spans="7:7" x14ac:dyDescent="0.25">
      <c r="G1898"/>
    </row>
    <row r="1899" spans="7:7" x14ac:dyDescent="0.25">
      <c r="G1899"/>
    </row>
    <row r="1900" spans="7:7" x14ac:dyDescent="0.25">
      <c r="G1900"/>
    </row>
    <row r="1901" spans="7:7" x14ac:dyDescent="0.25">
      <c r="G1901"/>
    </row>
    <row r="1902" spans="7:7" x14ac:dyDescent="0.25">
      <c r="G1902"/>
    </row>
    <row r="1903" spans="7:7" x14ac:dyDescent="0.25">
      <c r="G1903"/>
    </row>
    <row r="1904" spans="7:7" x14ac:dyDescent="0.25">
      <c r="G1904"/>
    </row>
    <row r="1905" spans="7:7" x14ac:dyDescent="0.25">
      <c r="G1905"/>
    </row>
    <row r="1906" spans="7:7" x14ac:dyDescent="0.25">
      <c r="G1906"/>
    </row>
    <row r="1907" spans="7:7" x14ac:dyDescent="0.25">
      <c r="G1907"/>
    </row>
    <row r="1908" spans="7:7" x14ac:dyDescent="0.25">
      <c r="G1908"/>
    </row>
    <row r="1909" spans="7:7" x14ac:dyDescent="0.25">
      <c r="G1909"/>
    </row>
    <row r="1910" spans="7:7" x14ac:dyDescent="0.25">
      <c r="G1910"/>
    </row>
    <row r="1911" spans="7:7" x14ac:dyDescent="0.25">
      <c r="G1911"/>
    </row>
    <row r="1912" spans="7:7" x14ac:dyDescent="0.25">
      <c r="G1912"/>
    </row>
    <row r="1913" spans="7:7" x14ac:dyDescent="0.25">
      <c r="G1913"/>
    </row>
    <row r="1914" spans="7:7" x14ac:dyDescent="0.25">
      <c r="G1914"/>
    </row>
    <row r="1915" spans="7:7" x14ac:dyDescent="0.25">
      <c r="G1915"/>
    </row>
    <row r="1916" spans="7:7" x14ac:dyDescent="0.25">
      <c r="G1916"/>
    </row>
    <row r="1917" spans="7:7" x14ac:dyDescent="0.25">
      <c r="G1917"/>
    </row>
    <row r="1918" spans="7:7" x14ac:dyDescent="0.25">
      <c r="G1918"/>
    </row>
    <row r="1919" spans="7:7" x14ac:dyDescent="0.25">
      <c r="G1919"/>
    </row>
    <row r="1920" spans="7:7" x14ac:dyDescent="0.25">
      <c r="G1920"/>
    </row>
    <row r="1921" spans="7:7" x14ac:dyDescent="0.25">
      <c r="G1921"/>
    </row>
    <row r="1922" spans="7:7" x14ac:dyDescent="0.25">
      <c r="G1922"/>
    </row>
    <row r="1923" spans="7:7" x14ac:dyDescent="0.25">
      <c r="G1923"/>
    </row>
    <row r="1924" spans="7:7" x14ac:dyDescent="0.25">
      <c r="G1924"/>
    </row>
    <row r="1925" spans="7:7" x14ac:dyDescent="0.25">
      <c r="G1925"/>
    </row>
    <row r="1926" spans="7:7" x14ac:dyDescent="0.25">
      <c r="G1926"/>
    </row>
    <row r="1927" spans="7:7" x14ac:dyDescent="0.25">
      <c r="G1927"/>
    </row>
    <row r="1928" spans="7:7" x14ac:dyDescent="0.25">
      <c r="G1928"/>
    </row>
    <row r="1929" spans="7:7" x14ac:dyDescent="0.25">
      <c r="G1929"/>
    </row>
    <row r="1930" spans="7:7" x14ac:dyDescent="0.25">
      <c r="G1930"/>
    </row>
    <row r="1931" spans="7:7" x14ac:dyDescent="0.25">
      <c r="G1931"/>
    </row>
    <row r="1932" spans="7:7" x14ac:dyDescent="0.25">
      <c r="G1932"/>
    </row>
    <row r="1933" spans="7:7" x14ac:dyDescent="0.25">
      <c r="G1933"/>
    </row>
    <row r="1934" spans="7:7" x14ac:dyDescent="0.25">
      <c r="G1934"/>
    </row>
    <row r="1935" spans="7:7" x14ac:dyDescent="0.25">
      <c r="G1935"/>
    </row>
    <row r="1936" spans="7:7" x14ac:dyDescent="0.25">
      <c r="G1936"/>
    </row>
    <row r="1937" spans="7:7" x14ac:dyDescent="0.25">
      <c r="G1937"/>
    </row>
    <row r="1938" spans="7:7" x14ac:dyDescent="0.25">
      <c r="G1938"/>
    </row>
    <row r="1939" spans="7:7" x14ac:dyDescent="0.25">
      <c r="G1939"/>
    </row>
    <row r="1940" spans="7:7" x14ac:dyDescent="0.25">
      <c r="G1940"/>
    </row>
    <row r="1941" spans="7:7" x14ac:dyDescent="0.25">
      <c r="G1941"/>
    </row>
    <row r="1942" spans="7:7" x14ac:dyDescent="0.25">
      <c r="G1942"/>
    </row>
    <row r="1943" spans="7:7" x14ac:dyDescent="0.25">
      <c r="G1943"/>
    </row>
    <row r="1944" spans="7:7" x14ac:dyDescent="0.25">
      <c r="G1944"/>
    </row>
    <row r="1945" spans="7:7" x14ac:dyDescent="0.25">
      <c r="G1945"/>
    </row>
    <row r="1946" spans="7:7" x14ac:dyDescent="0.25">
      <c r="G1946"/>
    </row>
    <row r="1947" spans="7:7" x14ac:dyDescent="0.25">
      <c r="G1947"/>
    </row>
    <row r="1948" spans="7:7" x14ac:dyDescent="0.25">
      <c r="G1948"/>
    </row>
    <row r="1949" spans="7:7" x14ac:dyDescent="0.25">
      <c r="G1949"/>
    </row>
    <row r="1950" spans="7:7" x14ac:dyDescent="0.25">
      <c r="G1950"/>
    </row>
    <row r="1951" spans="7:7" x14ac:dyDescent="0.25">
      <c r="G1951"/>
    </row>
    <row r="1952" spans="7:7" x14ac:dyDescent="0.25">
      <c r="G1952"/>
    </row>
    <row r="1953" spans="7:7" x14ac:dyDescent="0.25">
      <c r="G1953"/>
    </row>
    <row r="1954" spans="7:7" x14ac:dyDescent="0.25">
      <c r="G1954"/>
    </row>
    <row r="1955" spans="7:7" x14ac:dyDescent="0.25">
      <c r="G1955"/>
    </row>
    <row r="1956" spans="7:7" x14ac:dyDescent="0.25">
      <c r="G1956"/>
    </row>
    <row r="1957" spans="7:7" x14ac:dyDescent="0.25">
      <c r="G1957"/>
    </row>
    <row r="1958" spans="7:7" x14ac:dyDescent="0.25">
      <c r="G1958"/>
    </row>
    <row r="1959" spans="7:7" x14ac:dyDescent="0.25">
      <c r="G1959"/>
    </row>
    <row r="1960" spans="7:7" x14ac:dyDescent="0.25">
      <c r="G1960"/>
    </row>
    <row r="1961" spans="7:7" x14ac:dyDescent="0.25">
      <c r="G1961"/>
    </row>
    <row r="1962" spans="7:7" x14ac:dyDescent="0.25">
      <c r="G1962"/>
    </row>
    <row r="1963" spans="7:7" x14ac:dyDescent="0.25">
      <c r="G1963"/>
    </row>
    <row r="1964" spans="7:7" x14ac:dyDescent="0.25">
      <c r="G1964"/>
    </row>
    <row r="1965" spans="7:7" x14ac:dyDescent="0.25">
      <c r="G1965"/>
    </row>
    <row r="1966" spans="7:7" x14ac:dyDescent="0.25">
      <c r="G1966"/>
    </row>
    <row r="1967" spans="7:7" x14ac:dyDescent="0.25">
      <c r="G1967"/>
    </row>
    <row r="1968" spans="7:7" x14ac:dyDescent="0.25">
      <c r="G1968"/>
    </row>
    <row r="1969" spans="7:7" x14ac:dyDescent="0.25">
      <c r="G1969"/>
    </row>
    <row r="1970" spans="7:7" x14ac:dyDescent="0.25">
      <c r="G1970"/>
    </row>
    <row r="1971" spans="7:7" x14ac:dyDescent="0.25">
      <c r="G1971"/>
    </row>
    <row r="1972" spans="7:7" x14ac:dyDescent="0.25">
      <c r="G1972"/>
    </row>
    <row r="1973" spans="7:7" x14ac:dyDescent="0.25">
      <c r="G1973"/>
    </row>
    <row r="1974" spans="7:7" x14ac:dyDescent="0.25">
      <c r="G1974"/>
    </row>
    <row r="1975" spans="7:7" x14ac:dyDescent="0.25">
      <c r="G1975"/>
    </row>
    <row r="1976" spans="7:7" x14ac:dyDescent="0.25">
      <c r="G1976"/>
    </row>
    <row r="1977" spans="7:7" x14ac:dyDescent="0.25">
      <c r="G1977"/>
    </row>
    <row r="1978" spans="7:7" x14ac:dyDescent="0.25">
      <c r="G1978"/>
    </row>
    <row r="1979" spans="7:7" x14ac:dyDescent="0.25">
      <c r="G1979"/>
    </row>
    <row r="1980" spans="7:7" x14ac:dyDescent="0.25">
      <c r="G1980"/>
    </row>
    <row r="1981" spans="7:7" x14ac:dyDescent="0.25">
      <c r="G1981"/>
    </row>
    <row r="1982" spans="7:7" x14ac:dyDescent="0.25">
      <c r="G1982"/>
    </row>
    <row r="1983" spans="7:7" x14ac:dyDescent="0.25">
      <c r="G1983"/>
    </row>
    <row r="1984" spans="7:7" x14ac:dyDescent="0.25">
      <c r="G1984"/>
    </row>
    <row r="1985" spans="7:7" x14ac:dyDescent="0.25">
      <c r="G1985"/>
    </row>
    <row r="1986" spans="7:7" x14ac:dyDescent="0.25">
      <c r="G1986"/>
    </row>
    <row r="1987" spans="7:7" x14ac:dyDescent="0.25">
      <c r="G1987"/>
    </row>
    <row r="1988" spans="7:7" x14ac:dyDescent="0.25">
      <c r="G1988"/>
    </row>
    <row r="1989" spans="7:7" x14ac:dyDescent="0.25">
      <c r="G1989"/>
    </row>
    <row r="1990" spans="7:7" x14ac:dyDescent="0.25">
      <c r="G1990"/>
    </row>
    <row r="1991" spans="7:7" x14ac:dyDescent="0.25">
      <c r="G1991"/>
    </row>
    <row r="1992" spans="7:7" x14ac:dyDescent="0.25">
      <c r="G1992"/>
    </row>
    <row r="1993" spans="7:7" x14ac:dyDescent="0.25">
      <c r="G1993"/>
    </row>
    <row r="1994" spans="7:7" x14ac:dyDescent="0.25">
      <c r="G1994"/>
    </row>
    <row r="1995" spans="7:7" x14ac:dyDescent="0.25">
      <c r="G1995"/>
    </row>
    <row r="1996" spans="7:7" x14ac:dyDescent="0.25">
      <c r="G1996"/>
    </row>
    <row r="1997" spans="7:7" x14ac:dyDescent="0.25">
      <c r="G1997"/>
    </row>
    <row r="1998" spans="7:7" x14ac:dyDescent="0.25">
      <c r="G1998"/>
    </row>
    <row r="1999" spans="7:7" x14ac:dyDescent="0.25">
      <c r="G1999"/>
    </row>
    <row r="2000" spans="7:7" x14ac:dyDescent="0.25">
      <c r="G2000"/>
    </row>
    <row r="2001" spans="7:7" x14ac:dyDescent="0.25">
      <c r="G2001"/>
    </row>
    <row r="2002" spans="7:7" x14ac:dyDescent="0.25">
      <c r="G2002"/>
    </row>
    <row r="2003" spans="7:7" x14ac:dyDescent="0.25">
      <c r="G2003"/>
    </row>
    <row r="2004" spans="7:7" x14ac:dyDescent="0.25">
      <c r="G2004"/>
    </row>
    <row r="2005" spans="7:7" x14ac:dyDescent="0.25">
      <c r="G2005"/>
    </row>
    <row r="2006" spans="7:7" x14ac:dyDescent="0.25">
      <c r="G2006"/>
    </row>
    <row r="2007" spans="7:7" x14ac:dyDescent="0.25">
      <c r="G2007"/>
    </row>
    <row r="2008" spans="7:7" x14ac:dyDescent="0.25">
      <c r="G2008"/>
    </row>
    <row r="2009" spans="7:7" x14ac:dyDescent="0.25">
      <c r="G2009"/>
    </row>
    <row r="2010" spans="7:7" x14ac:dyDescent="0.25">
      <c r="G2010"/>
    </row>
    <row r="2011" spans="7:7" x14ac:dyDescent="0.25">
      <c r="G2011"/>
    </row>
    <row r="2012" spans="7:7" x14ac:dyDescent="0.25">
      <c r="G2012"/>
    </row>
    <row r="2013" spans="7:7" x14ac:dyDescent="0.25">
      <c r="G2013"/>
    </row>
    <row r="2014" spans="7:7" x14ac:dyDescent="0.25">
      <c r="G2014"/>
    </row>
    <row r="2015" spans="7:7" x14ac:dyDescent="0.25">
      <c r="G2015"/>
    </row>
    <row r="2016" spans="7:7" x14ac:dyDescent="0.25">
      <c r="G2016"/>
    </row>
    <row r="2017" spans="7:7" x14ac:dyDescent="0.25">
      <c r="G2017"/>
    </row>
    <row r="2018" spans="7:7" x14ac:dyDescent="0.25">
      <c r="G2018"/>
    </row>
    <row r="2019" spans="7:7" x14ac:dyDescent="0.25">
      <c r="G2019"/>
    </row>
    <row r="2020" spans="7:7" x14ac:dyDescent="0.25">
      <c r="G2020"/>
    </row>
    <row r="2021" spans="7:7" x14ac:dyDescent="0.25">
      <c r="G2021"/>
    </row>
    <row r="2022" spans="7:7" x14ac:dyDescent="0.25">
      <c r="G2022"/>
    </row>
    <row r="2023" spans="7:7" x14ac:dyDescent="0.25">
      <c r="G2023"/>
    </row>
    <row r="2024" spans="7:7" x14ac:dyDescent="0.25">
      <c r="G2024"/>
    </row>
    <row r="2025" spans="7:7" x14ac:dyDescent="0.25">
      <c r="G2025"/>
    </row>
    <row r="2026" spans="7:7" x14ac:dyDescent="0.25">
      <c r="G2026"/>
    </row>
    <row r="2027" spans="7:7" x14ac:dyDescent="0.25">
      <c r="G2027"/>
    </row>
    <row r="2028" spans="7:7" x14ac:dyDescent="0.25">
      <c r="G2028"/>
    </row>
    <row r="2029" spans="7:7" x14ac:dyDescent="0.25">
      <c r="G2029"/>
    </row>
    <row r="2030" spans="7:7" x14ac:dyDescent="0.25">
      <c r="G2030"/>
    </row>
    <row r="2031" spans="7:7" x14ac:dyDescent="0.25">
      <c r="G2031"/>
    </row>
    <row r="2032" spans="7:7" x14ac:dyDescent="0.25">
      <c r="G2032"/>
    </row>
    <row r="2033" spans="7:7" x14ac:dyDescent="0.25">
      <c r="G2033"/>
    </row>
    <row r="2034" spans="7:7" x14ac:dyDescent="0.25">
      <c r="G2034"/>
    </row>
    <row r="2035" spans="7:7" x14ac:dyDescent="0.25">
      <c r="G2035"/>
    </row>
    <row r="2036" spans="7:7" x14ac:dyDescent="0.25">
      <c r="G2036"/>
    </row>
    <row r="2037" spans="7:7" x14ac:dyDescent="0.25">
      <c r="G2037"/>
    </row>
    <row r="2038" spans="7:7" x14ac:dyDescent="0.25">
      <c r="G2038"/>
    </row>
    <row r="2039" spans="7:7" x14ac:dyDescent="0.25">
      <c r="G2039"/>
    </row>
    <row r="2040" spans="7:7" x14ac:dyDescent="0.25">
      <c r="G2040"/>
    </row>
    <row r="2041" spans="7:7" x14ac:dyDescent="0.25">
      <c r="G2041"/>
    </row>
    <row r="2042" spans="7:7" x14ac:dyDescent="0.25">
      <c r="G2042"/>
    </row>
    <row r="2043" spans="7:7" x14ac:dyDescent="0.25">
      <c r="G2043"/>
    </row>
    <row r="2044" spans="7:7" x14ac:dyDescent="0.25">
      <c r="G2044"/>
    </row>
    <row r="2045" spans="7:7" x14ac:dyDescent="0.25">
      <c r="G2045"/>
    </row>
    <row r="2046" spans="7:7" x14ac:dyDescent="0.25">
      <c r="G2046"/>
    </row>
    <row r="2047" spans="7:7" x14ac:dyDescent="0.25">
      <c r="G2047"/>
    </row>
    <row r="2048" spans="7:7" x14ac:dyDescent="0.25">
      <c r="G2048"/>
    </row>
    <row r="2049" spans="7:7" x14ac:dyDescent="0.25">
      <c r="G2049"/>
    </row>
    <row r="2050" spans="7:7" x14ac:dyDescent="0.25">
      <c r="G2050"/>
    </row>
    <row r="2051" spans="7:7" x14ac:dyDescent="0.25">
      <c r="G2051"/>
    </row>
    <row r="2052" spans="7:7" x14ac:dyDescent="0.25">
      <c r="G2052"/>
    </row>
    <row r="2053" spans="7:7" x14ac:dyDescent="0.25">
      <c r="G2053"/>
    </row>
    <row r="2054" spans="7:7" x14ac:dyDescent="0.25">
      <c r="G2054"/>
    </row>
    <row r="2055" spans="7:7" x14ac:dyDescent="0.25">
      <c r="G2055"/>
    </row>
    <row r="2056" spans="7:7" x14ac:dyDescent="0.25">
      <c r="G2056"/>
    </row>
    <row r="2057" spans="7:7" x14ac:dyDescent="0.25">
      <c r="G2057"/>
    </row>
    <row r="2058" spans="7:7" x14ac:dyDescent="0.25">
      <c r="G2058"/>
    </row>
    <row r="2059" spans="7:7" x14ac:dyDescent="0.25">
      <c r="G2059"/>
    </row>
    <row r="2060" spans="7:7" x14ac:dyDescent="0.25">
      <c r="G2060"/>
    </row>
    <row r="2061" spans="7:7" x14ac:dyDescent="0.25">
      <c r="G2061"/>
    </row>
    <row r="2062" spans="7:7" x14ac:dyDescent="0.25">
      <c r="G2062"/>
    </row>
    <row r="2063" spans="7:7" x14ac:dyDescent="0.25">
      <c r="G2063"/>
    </row>
    <row r="2064" spans="7:7" x14ac:dyDescent="0.25">
      <c r="G2064"/>
    </row>
    <row r="2065" spans="7:7" x14ac:dyDescent="0.25">
      <c r="G2065"/>
    </row>
    <row r="2066" spans="7:7" x14ac:dyDescent="0.25">
      <c r="G2066"/>
    </row>
    <row r="2067" spans="7:7" x14ac:dyDescent="0.25">
      <c r="G2067"/>
    </row>
    <row r="2068" spans="7:7" x14ac:dyDescent="0.25">
      <c r="G2068"/>
    </row>
    <row r="2069" spans="7:7" x14ac:dyDescent="0.25">
      <c r="G2069"/>
    </row>
    <row r="2070" spans="7:7" x14ac:dyDescent="0.25">
      <c r="G2070"/>
    </row>
    <row r="2071" spans="7:7" x14ac:dyDescent="0.25">
      <c r="G2071"/>
    </row>
    <row r="2072" spans="7:7" x14ac:dyDescent="0.25">
      <c r="G2072"/>
    </row>
    <row r="2073" spans="7:7" x14ac:dyDescent="0.25">
      <c r="G2073"/>
    </row>
    <row r="2074" spans="7:7" x14ac:dyDescent="0.25">
      <c r="G2074"/>
    </row>
    <row r="2075" spans="7:7" x14ac:dyDescent="0.25">
      <c r="G2075"/>
    </row>
    <row r="2076" spans="7:7" x14ac:dyDescent="0.25">
      <c r="G2076"/>
    </row>
    <row r="2077" spans="7:7" x14ac:dyDescent="0.25">
      <c r="G2077"/>
    </row>
    <row r="2078" spans="7:7" x14ac:dyDescent="0.25">
      <c r="G2078"/>
    </row>
    <row r="2079" spans="7:7" x14ac:dyDescent="0.25">
      <c r="G2079"/>
    </row>
    <row r="2080" spans="7:7" x14ac:dyDescent="0.25">
      <c r="G2080"/>
    </row>
    <row r="2081" spans="7:7" x14ac:dyDescent="0.25">
      <c r="G2081"/>
    </row>
    <row r="2082" spans="7:7" x14ac:dyDescent="0.25">
      <c r="G2082"/>
    </row>
    <row r="2083" spans="7:7" x14ac:dyDescent="0.25">
      <c r="G2083"/>
    </row>
    <row r="2084" spans="7:7" x14ac:dyDescent="0.25">
      <c r="G2084"/>
    </row>
    <row r="2085" spans="7:7" x14ac:dyDescent="0.25">
      <c r="G2085"/>
    </row>
    <row r="2086" spans="7:7" x14ac:dyDescent="0.25">
      <c r="G2086"/>
    </row>
    <row r="2087" spans="7:7" x14ac:dyDescent="0.25">
      <c r="G2087"/>
    </row>
    <row r="2088" spans="7:7" x14ac:dyDescent="0.25">
      <c r="G2088"/>
    </row>
    <row r="2089" spans="7:7" x14ac:dyDescent="0.25">
      <c r="G2089"/>
    </row>
    <row r="2090" spans="7:7" x14ac:dyDescent="0.25">
      <c r="G2090"/>
    </row>
    <row r="2091" spans="7:7" x14ac:dyDescent="0.25">
      <c r="G2091"/>
    </row>
    <row r="2092" spans="7:7" x14ac:dyDescent="0.25">
      <c r="G2092"/>
    </row>
    <row r="2093" spans="7:7" x14ac:dyDescent="0.25">
      <c r="G2093"/>
    </row>
    <row r="2094" spans="7:7" x14ac:dyDescent="0.25">
      <c r="G2094"/>
    </row>
    <row r="2095" spans="7:7" x14ac:dyDescent="0.25">
      <c r="G2095"/>
    </row>
    <row r="2096" spans="7:7" x14ac:dyDescent="0.25">
      <c r="G2096"/>
    </row>
    <row r="2097" spans="7:7" x14ac:dyDescent="0.25">
      <c r="G2097"/>
    </row>
    <row r="2098" spans="7:7" x14ac:dyDescent="0.25">
      <c r="G2098"/>
    </row>
    <row r="2099" spans="7:7" x14ac:dyDescent="0.25">
      <c r="G2099"/>
    </row>
    <row r="2100" spans="7:7" x14ac:dyDescent="0.25">
      <c r="G2100"/>
    </row>
    <row r="2101" spans="7:7" x14ac:dyDescent="0.25">
      <c r="G2101"/>
    </row>
    <row r="2102" spans="7:7" x14ac:dyDescent="0.25">
      <c r="G2102"/>
    </row>
    <row r="2103" spans="7:7" x14ac:dyDescent="0.25">
      <c r="G2103"/>
    </row>
    <row r="2104" spans="7:7" x14ac:dyDescent="0.25">
      <c r="G2104"/>
    </row>
    <row r="2105" spans="7:7" x14ac:dyDescent="0.25">
      <c r="G2105"/>
    </row>
    <row r="2106" spans="7:7" x14ac:dyDescent="0.25">
      <c r="G2106"/>
    </row>
    <row r="2107" spans="7:7" x14ac:dyDescent="0.25">
      <c r="G2107"/>
    </row>
    <row r="2108" spans="7:7" x14ac:dyDescent="0.25">
      <c r="G2108"/>
    </row>
    <row r="2109" spans="7:7" x14ac:dyDescent="0.25">
      <c r="G2109"/>
    </row>
    <row r="2110" spans="7:7" x14ac:dyDescent="0.25">
      <c r="G2110"/>
    </row>
    <row r="2111" spans="7:7" x14ac:dyDescent="0.25">
      <c r="G2111"/>
    </row>
    <row r="2112" spans="7:7" x14ac:dyDescent="0.25">
      <c r="G2112"/>
    </row>
    <row r="2113" spans="7:7" x14ac:dyDescent="0.25">
      <c r="G2113"/>
    </row>
    <row r="2114" spans="7:7" x14ac:dyDescent="0.25">
      <c r="G2114"/>
    </row>
    <row r="2115" spans="7:7" x14ac:dyDescent="0.25">
      <c r="G2115"/>
    </row>
    <row r="2116" spans="7:7" x14ac:dyDescent="0.25">
      <c r="G2116"/>
    </row>
    <row r="2117" spans="7:7" x14ac:dyDescent="0.25">
      <c r="G2117"/>
    </row>
    <row r="2118" spans="7:7" x14ac:dyDescent="0.25">
      <c r="G2118"/>
    </row>
    <row r="2119" spans="7:7" x14ac:dyDescent="0.25">
      <c r="G2119"/>
    </row>
    <row r="2120" spans="7:7" x14ac:dyDescent="0.25">
      <c r="G2120"/>
    </row>
    <row r="2121" spans="7:7" x14ac:dyDescent="0.25">
      <c r="G2121"/>
    </row>
    <row r="2122" spans="7:7" x14ac:dyDescent="0.25">
      <c r="G2122"/>
    </row>
    <row r="2123" spans="7:7" x14ac:dyDescent="0.25">
      <c r="G2123"/>
    </row>
    <row r="2124" spans="7:7" x14ac:dyDescent="0.25">
      <c r="G2124"/>
    </row>
    <row r="2125" spans="7:7" x14ac:dyDescent="0.25">
      <c r="G2125"/>
    </row>
    <row r="2126" spans="7:7" x14ac:dyDescent="0.25">
      <c r="G2126"/>
    </row>
    <row r="2127" spans="7:7" x14ac:dyDescent="0.25">
      <c r="G2127"/>
    </row>
    <row r="2128" spans="7:7" x14ac:dyDescent="0.25">
      <c r="G2128"/>
    </row>
    <row r="2129" spans="7:7" x14ac:dyDescent="0.25">
      <c r="G2129"/>
    </row>
    <row r="2130" spans="7:7" x14ac:dyDescent="0.25">
      <c r="G2130"/>
    </row>
    <row r="2131" spans="7:7" x14ac:dyDescent="0.25">
      <c r="G2131"/>
    </row>
    <row r="2132" spans="7:7" x14ac:dyDescent="0.25">
      <c r="G2132"/>
    </row>
    <row r="2133" spans="7:7" x14ac:dyDescent="0.25">
      <c r="G2133"/>
    </row>
    <row r="2134" spans="7:7" x14ac:dyDescent="0.25">
      <c r="G2134"/>
    </row>
    <row r="2135" spans="7:7" x14ac:dyDescent="0.25">
      <c r="G2135"/>
    </row>
    <row r="2136" spans="7:7" x14ac:dyDescent="0.25">
      <c r="G2136"/>
    </row>
    <row r="2137" spans="7:7" x14ac:dyDescent="0.25">
      <c r="G2137"/>
    </row>
    <row r="2138" spans="7:7" x14ac:dyDescent="0.25">
      <c r="G2138"/>
    </row>
    <row r="2139" spans="7:7" x14ac:dyDescent="0.25">
      <c r="G2139"/>
    </row>
    <row r="2140" spans="7:7" x14ac:dyDescent="0.25">
      <c r="G2140"/>
    </row>
    <row r="2141" spans="7:7" x14ac:dyDescent="0.25">
      <c r="G2141"/>
    </row>
    <row r="2142" spans="7:7" x14ac:dyDescent="0.25">
      <c r="G2142"/>
    </row>
    <row r="2143" spans="7:7" x14ac:dyDescent="0.25">
      <c r="G2143"/>
    </row>
    <row r="2144" spans="7:7" x14ac:dyDescent="0.25">
      <c r="G2144"/>
    </row>
    <row r="2145" spans="7:7" x14ac:dyDescent="0.25">
      <c r="G2145"/>
    </row>
    <row r="2146" spans="7:7" x14ac:dyDescent="0.25">
      <c r="G2146"/>
    </row>
    <row r="2147" spans="7:7" x14ac:dyDescent="0.25">
      <c r="G2147"/>
    </row>
    <row r="2148" spans="7:7" x14ac:dyDescent="0.25">
      <c r="G2148"/>
    </row>
    <row r="2149" spans="7:7" x14ac:dyDescent="0.25">
      <c r="G2149"/>
    </row>
    <row r="2150" spans="7:7" x14ac:dyDescent="0.25">
      <c r="G2150"/>
    </row>
    <row r="2151" spans="7:7" x14ac:dyDescent="0.25">
      <c r="G2151"/>
    </row>
    <row r="2152" spans="7:7" x14ac:dyDescent="0.25">
      <c r="G2152"/>
    </row>
    <row r="2153" spans="7:7" x14ac:dyDescent="0.25">
      <c r="G2153"/>
    </row>
    <row r="2154" spans="7:7" x14ac:dyDescent="0.25">
      <c r="G2154"/>
    </row>
    <row r="2155" spans="7:7" x14ac:dyDescent="0.25">
      <c r="G2155"/>
    </row>
    <row r="2156" spans="7:7" x14ac:dyDescent="0.25">
      <c r="G2156"/>
    </row>
    <row r="2157" spans="7:7" x14ac:dyDescent="0.25">
      <c r="G2157"/>
    </row>
    <row r="2158" spans="7:7" x14ac:dyDescent="0.25">
      <c r="G2158"/>
    </row>
    <row r="2159" spans="7:7" x14ac:dyDescent="0.25">
      <c r="G2159"/>
    </row>
    <row r="2160" spans="7:7" x14ac:dyDescent="0.25">
      <c r="G2160"/>
    </row>
    <row r="2161" spans="7:7" x14ac:dyDescent="0.25">
      <c r="G2161"/>
    </row>
    <row r="2162" spans="7:7" x14ac:dyDescent="0.25">
      <c r="G2162"/>
    </row>
    <row r="2163" spans="7:7" x14ac:dyDescent="0.25">
      <c r="G2163"/>
    </row>
    <row r="2164" spans="7:7" x14ac:dyDescent="0.25">
      <c r="G2164"/>
    </row>
    <row r="2165" spans="7:7" x14ac:dyDescent="0.25">
      <c r="G2165"/>
    </row>
    <row r="2166" spans="7:7" x14ac:dyDescent="0.25">
      <c r="G2166"/>
    </row>
    <row r="2167" spans="7:7" x14ac:dyDescent="0.25">
      <c r="G2167"/>
    </row>
    <row r="2168" spans="7:7" x14ac:dyDescent="0.25">
      <c r="G2168"/>
    </row>
    <row r="2169" spans="7:7" x14ac:dyDescent="0.25">
      <c r="G2169"/>
    </row>
    <row r="2170" spans="7:7" x14ac:dyDescent="0.25">
      <c r="G2170"/>
    </row>
    <row r="2171" spans="7:7" x14ac:dyDescent="0.25">
      <c r="G2171"/>
    </row>
    <row r="2172" spans="7:7" x14ac:dyDescent="0.25">
      <c r="G2172"/>
    </row>
    <row r="2173" spans="7:7" x14ac:dyDescent="0.25">
      <c r="G2173"/>
    </row>
    <row r="2174" spans="7:7" x14ac:dyDescent="0.25">
      <c r="G2174"/>
    </row>
    <row r="2175" spans="7:7" x14ac:dyDescent="0.25">
      <c r="G2175"/>
    </row>
    <row r="2176" spans="7:7" x14ac:dyDescent="0.25">
      <c r="G2176"/>
    </row>
    <row r="2177" spans="7:7" x14ac:dyDescent="0.25">
      <c r="G2177"/>
    </row>
    <row r="2178" spans="7:7" x14ac:dyDescent="0.25">
      <c r="G2178"/>
    </row>
    <row r="2179" spans="7:7" x14ac:dyDescent="0.25">
      <c r="G2179"/>
    </row>
    <row r="2180" spans="7:7" x14ac:dyDescent="0.25">
      <c r="G2180"/>
    </row>
    <row r="2181" spans="7:7" x14ac:dyDescent="0.25">
      <c r="G2181"/>
    </row>
    <row r="2182" spans="7:7" x14ac:dyDescent="0.25">
      <c r="G2182"/>
    </row>
    <row r="2183" spans="7:7" x14ac:dyDescent="0.25">
      <c r="G2183"/>
    </row>
    <row r="2184" spans="7:7" x14ac:dyDescent="0.25">
      <c r="G2184"/>
    </row>
    <row r="2185" spans="7:7" x14ac:dyDescent="0.25">
      <c r="G2185"/>
    </row>
    <row r="2186" spans="7:7" x14ac:dyDescent="0.25">
      <c r="G2186"/>
    </row>
    <row r="2187" spans="7:7" x14ac:dyDescent="0.25">
      <c r="G2187"/>
    </row>
    <row r="2188" spans="7:7" x14ac:dyDescent="0.25">
      <c r="G2188"/>
    </row>
    <row r="2189" spans="7:7" x14ac:dyDescent="0.25">
      <c r="G2189"/>
    </row>
    <row r="2190" spans="7:7" x14ac:dyDescent="0.25">
      <c r="G2190"/>
    </row>
    <row r="2191" spans="7:7" x14ac:dyDescent="0.25">
      <c r="G2191"/>
    </row>
    <row r="2192" spans="7:7" x14ac:dyDescent="0.25">
      <c r="G2192"/>
    </row>
    <row r="2193" spans="7:7" x14ac:dyDescent="0.25">
      <c r="G2193"/>
    </row>
    <row r="2194" spans="7:7" x14ac:dyDescent="0.25">
      <c r="G2194"/>
    </row>
    <row r="2195" spans="7:7" x14ac:dyDescent="0.25">
      <c r="G2195"/>
    </row>
    <row r="2196" spans="7:7" x14ac:dyDescent="0.25">
      <c r="G2196"/>
    </row>
    <row r="2197" spans="7:7" x14ac:dyDescent="0.25">
      <c r="G2197"/>
    </row>
    <row r="2198" spans="7:7" x14ac:dyDescent="0.25">
      <c r="G2198"/>
    </row>
    <row r="2199" spans="7:7" x14ac:dyDescent="0.25">
      <c r="G2199"/>
    </row>
    <row r="2200" spans="7:7" x14ac:dyDescent="0.25">
      <c r="G2200"/>
    </row>
    <row r="2201" spans="7:7" x14ac:dyDescent="0.25">
      <c r="G2201"/>
    </row>
    <row r="2202" spans="7:7" x14ac:dyDescent="0.25">
      <c r="G2202"/>
    </row>
    <row r="2203" spans="7:7" x14ac:dyDescent="0.25">
      <c r="G2203"/>
    </row>
    <row r="2204" spans="7:7" x14ac:dyDescent="0.25">
      <c r="G2204"/>
    </row>
    <row r="2205" spans="7:7" x14ac:dyDescent="0.25">
      <c r="G2205"/>
    </row>
    <row r="2206" spans="7:7" x14ac:dyDescent="0.25">
      <c r="G2206"/>
    </row>
    <row r="2207" spans="7:7" x14ac:dyDescent="0.25">
      <c r="G2207"/>
    </row>
    <row r="2208" spans="7:7" x14ac:dyDescent="0.25">
      <c r="G2208"/>
    </row>
    <row r="2209" spans="7:7" x14ac:dyDescent="0.25">
      <c r="G2209"/>
    </row>
    <row r="2210" spans="7:7" x14ac:dyDescent="0.25">
      <c r="G2210"/>
    </row>
    <row r="2211" spans="7:7" x14ac:dyDescent="0.25">
      <c r="G2211"/>
    </row>
    <row r="2212" spans="7:7" x14ac:dyDescent="0.25">
      <c r="G2212"/>
    </row>
    <row r="2213" spans="7:7" x14ac:dyDescent="0.25">
      <c r="G2213"/>
    </row>
    <row r="2214" spans="7:7" x14ac:dyDescent="0.25">
      <c r="G2214"/>
    </row>
    <row r="2215" spans="7:7" x14ac:dyDescent="0.25">
      <c r="G2215"/>
    </row>
    <row r="2216" spans="7:7" x14ac:dyDescent="0.25">
      <c r="G2216"/>
    </row>
    <row r="2217" spans="7:7" x14ac:dyDescent="0.25">
      <c r="G2217"/>
    </row>
    <row r="2218" spans="7:7" x14ac:dyDescent="0.25">
      <c r="G2218"/>
    </row>
    <row r="2219" spans="7:7" x14ac:dyDescent="0.25">
      <c r="G2219"/>
    </row>
    <row r="2220" spans="7:7" x14ac:dyDescent="0.25">
      <c r="G2220"/>
    </row>
    <row r="2221" spans="7:7" x14ac:dyDescent="0.25">
      <c r="G2221"/>
    </row>
    <row r="2222" spans="7:7" x14ac:dyDescent="0.25">
      <c r="G2222"/>
    </row>
    <row r="2223" spans="7:7" x14ac:dyDescent="0.25">
      <c r="G2223"/>
    </row>
    <row r="2224" spans="7:7" x14ac:dyDescent="0.25">
      <c r="G2224"/>
    </row>
    <row r="2225" spans="7:7" x14ac:dyDescent="0.25">
      <c r="G2225"/>
    </row>
    <row r="2226" spans="7:7" x14ac:dyDescent="0.25">
      <c r="G2226"/>
    </row>
    <row r="2227" spans="7:7" x14ac:dyDescent="0.25">
      <c r="G2227"/>
    </row>
    <row r="2228" spans="7:7" x14ac:dyDescent="0.25">
      <c r="G2228"/>
    </row>
    <row r="2229" spans="7:7" x14ac:dyDescent="0.25">
      <c r="G2229"/>
    </row>
    <row r="2230" spans="7:7" x14ac:dyDescent="0.25">
      <c r="G2230"/>
    </row>
    <row r="2231" spans="7:7" x14ac:dyDescent="0.25">
      <c r="G2231"/>
    </row>
    <row r="2232" spans="7:7" x14ac:dyDescent="0.25">
      <c r="G2232"/>
    </row>
    <row r="2233" spans="7:7" x14ac:dyDescent="0.25">
      <c r="G2233"/>
    </row>
    <row r="2234" spans="7:7" x14ac:dyDescent="0.25">
      <c r="G2234"/>
    </row>
    <row r="2235" spans="7:7" x14ac:dyDescent="0.25">
      <c r="G2235"/>
    </row>
    <row r="2236" spans="7:7" x14ac:dyDescent="0.25">
      <c r="G2236"/>
    </row>
    <row r="2237" spans="7:7" x14ac:dyDescent="0.25">
      <c r="G2237"/>
    </row>
    <row r="2238" spans="7:7" x14ac:dyDescent="0.25">
      <c r="G2238"/>
    </row>
    <row r="2239" spans="7:7" x14ac:dyDescent="0.25">
      <c r="G2239"/>
    </row>
    <row r="2240" spans="7:7" x14ac:dyDescent="0.25">
      <c r="G2240"/>
    </row>
    <row r="2241" spans="7:7" x14ac:dyDescent="0.25">
      <c r="G2241"/>
    </row>
    <row r="2242" spans="7:7" x14ac:dyDescent="0.25">
      <c r="G2242"/>
    </row>
    <row r="2243" spans="7:7" x14ac:dyDescent="0.25">
      <c r="G2243"/>
    </row>
    <row r="2244" spans="7:7" x14ac:dyDescent="0.25">
      <c r="G2244"/>
    </row>
    <row r="2245" spans="7:7" x14ac:dyDescent="0.25">
      <c r="G2245"/>
    </row>
    <row r="2246" spans="7:7" x14ac:dyDescent="0.25">
      <c r="G2246"/>
    </row>
    <row r="2247" spans="7:7" x14ac:dyDescent="0.25">
      <c r="G2247"/>
    </row>
    <row r="2248" spans="7:7" x14ac:dyDescent="0.25">
      <c r="G2248"/>
    </row>
    <row r="2249" spans="7:7" x14ac:dyDescent="0.25">
      <c r="G2249"/>
    </row>
    <row r="2250" spans="7:7" x14ac:dyDescent="0.25">
      <c r="G2250"/>
    </row>
    <row r="2251" spans="7:7" x14ac:dyDescent="0.25">
      <c r="G2251"/>
    </row>
    <row r="2252" spans="7:7" x14ac:dyDescent="0.25">
      <c r="G2252"/>
    </row>
    <row r="2253" spans="7:7" x14ac:dyDescent="0.25">
      <c r="G2253"/>
    </row>
    <row r="2254" spans="7:7" x14ac:dyDescent="0.25">
      <c r="G2254"/>
    </row>
    <row r="2255" spans="7:7" x14ac:dyDescent="0.25">
      <c r="G2255"/>
    </row>
    <row r="2256" spans="7:7" x14ac:dyDescent="0.25">
      <c r="G2256"/>
    </row>
    <row r="2257" spans="7:7" x14ac:dyDescent="0.25">
      <c r="G2257"/>
    </row>
    <row r="2258" spans="7:7" x14ac:dyDescent="0.25">
      <c r="G2258"/>
    </row>
    <row r="2259" spans="7:7" x14ac:dyDescent="0.25">
      <c r="G2259"/>
    </row>
    <row r="2260" spans="7:7" x14ac:dyDescent="0.25">
      <c r="G2260"/>
    </row>
    <row r="2261" spans="7:7" x14ac:dyDescent="0.25">
      <c r="G2261"/>
    </row>
    <row r="2262" spans="7:7" x14ac:dyDescent="0.25">
      <c r="G2262"/>
    </row>
    <row r="2263" spans="7:7" x14ac:dyDescent="0.25">
      <c r="G2263"/>
    </row>
    <row r="2264" spans="7:7" x14ac:dyDescent="0.25">
      <c r="G2264"/>
    </row>
    <row r="2265" spans="7:7" x14ac:dyDescent="0.25">
      <c r="G2265"/>
    </row>
    <row r="2266" spans="7:7" x14ac:dyDescent="0.25">
      <c r="G2266"/>
    </row>
    <row r="2267" spans="7:7" x14ac:dyDescent="0.25">
      <c r="G2267"/>
    </row>
    <row r="2268" spans="7:7" x14ac:dyDescent="0.25">
      <c r="G2268"/>
    </row>
    <row r="2269" spans="7:7" x14ac:dyDescent="0.25">
      <c r="G2269"/>
    </row>
    <row r="2270" spans="7:7" x14ac:dyDescent="0.25">
      <c r="G2270"/>
    </row>
    <row r="2271" spans="7:7" x14ac:dyDescent="0.25">
      <c r="G2271"/>
    </row>
    <row r="2272" spans="7:7" x14ac:dyDescent="0.25">
      <c r="G2272"/>
    </row>
    <row r="2273" spans="7:7" x14ac:dyDescent="0.25">
      <c r="G2273"/>
    </row>
    <row r="2274" spans="7:7" x14ac:dyDescent="0.25">
      <c r="G2274"/>
    </row>
    <row r="2275" spans="7:7" x14ac:dyDescent="0.25">
      <c r="G2275"/>
    </row>
    <row r="2276" spans="7:7" x14ac:dyDescent="0.25">
      <c r="G2276"/>
    </row>
    <row r="2277" spans="7:7" x14ac:dyDescent="0.25">
      <c r="G2277"/>
    </row>
    <row r="2278" spans="7:7" x14ac:dyDescent="0.25">
      <c r="G2278"/>
    </row>
    <row r="2279" spans="7:7" x14ac:dyDescent="0.25">
      <c r="G2279"/>
    </row>
    <row r="2280" spans="7:7" x14ac:dyDescent="0.25">
      <c r="G2280"/>
    </row>
    <row r="2281" spans="7:7" x14ac:dyDescent="0.25">
      <c r="G2281"/>
    </row>
    <row r="2282" spans="7:7" x14ac:dyDescent="0.25">
      <c r="G2282"/>
    </row>
    <row r="2283" spans="7:7" x14ac:dyDescent="0.25">
      <c r="G2283"/>
    </row>
    <row r="2284" spans="7:7" x14ac:dyDescent="0.25">
      <c r="G2284"/>
    </row>
    <row r="2285" spans="7:7" x14ac:dyDescent="0.25">
      <c r="G2285"/>
    </row>
    <row r="2286" spans="7:7" x14ac:dyDescent="0.25">
      <c r="G2286"/>
    </row>
    <row r="2287" spans="7:7" x14ac:dyDescent="0.25">
      <c r="G2287"/>
    </row>
    <row r="2288" spans="7:7" x14ac:dyDescent="0.25">
      <c r="G2288"/>
    </row>
    <row r="2289" spans="7:7" x14ac:dyDescent="0.25">
      <c r="G2289"/>
    </row>
    <row r="2290" spans="7:7" x14ac:dyDescent="0.25">
      <c r="G2290"/>
    </row>
    <row r="2291" spans="7:7" x14ac:dyDescent="0.25">
      <c r="G2291"/>
    </row>
    <row r="2292" spans="7:7" x14ac:dyDescent="0.25">
      <c r="G2292"/>
    </row>
    <row r="2293" spans="7:7" x14ac:dyDescent="0.25">
      <c r="G2293"/>
    </row>
    <row r="2294" spans="7:7" x14ac:dyDescent="0.25">
      <c r="G2294"/>
    </row>
    <row r="2295" spans="7:7" x14ac:dyDescent="0.25">
      <c r="G2295"/>
    </row>
    <row r="2296" spans="7:7" x14ac:dyDescent="0.25">
      <c r="G2296"/>
    </row>
    <row r="2297" spans="7:7" x14ac:dyDescent="0.25">
      <c r="G2297"/>
    </row>
    <row r="2298" spans="7:7" x14ac:dyDescent="0.25">
      <c r="G2298"/>
    </row>
    <row r="2299" spans="7:7" x14ac:dyDescent="0.25">
      <c r="G2299"/>
    </row>
    <row r="2300" spans="7:7" x14ac:dyDescent="0.25">
      <c r="G2300"/>
    </row>
    <row r="2301" spans="7:7" x14ac:dyDescent="0.25">
      <c r="G2301"/>
    </row>
    <row r="2302" spans="7:7" x14ac:dyDescent="0.25">
      <c r="G2302"/>
    </row>
    <row r="2303" spans="7:7" x14ac:dyDescent="0.25">
      <c r="G2303"/>
    </row>
    <row r="2304" spans="7:7" x14ac:dyDescent="0.25">
      <c r="G2304"/>
    </row>
    <row r="2305" spans="7:7" x14ac:dyDescent="0.25">
      <c r="G2305"/>
    </row>
    <row r="2306" spans="7:7" x14ac:dyDescent="0.25">
      <c r="G2306"/>
    </row>
    <row r="2307" spans="7:7" x14ac:dyDescent="0.25">
      <c r="G2307"/>
    </row>
    <row r="2308" spans="7:7" x14ac:dyDescent="0.25">
      <c r="G2308"/>
    </row>
    <row r="2309" spans="7:7" x14ac:dyDescent="0.25">
      <c r="G2309"/>
    </row>
    <row r="2310" spans="7:7" x14ac:dyDescent="0.25">
      <c r="G2310"/>
    </row>
    <row r="2311" spans="7:7" x14ac:dyDescent="0.25">
      <c r="G2311"/>
    </row>
    <row r="2312" spans="7:7" x14ac:dyDescent="0.25">
      <c r="G2312"/>
    </row>
    <row r="2313" spans="7:7" x14ac:dyDescent="0.25">
      <c r="G2313"/>
    </row>
    <row r="2314" spans="7:7" x14ac:dyDescent="0.25">
      <c r="G2314"/>
    </row>
    <row r="2315" spans="7:7" x14ac:dyDescent="0.25">
      <c r="G2315"/>
    </row>
    <row r="2316" spans="7:7" x14ac:dyDescent="0.25">
      <c r="G2316"/>
    </row>
    <row r="2317" spans="7:7" x14ac:dyDescent="0.25">
      <c r="G2317"/>
    </row>
    <row r="2318" spans="7:7" x14ac:dyDescent="0.25">
      <c r="G2318"/>
    </row>
    <row r="2319" spans="7:7" x14ac:dyDescent="0.25">
      <c r="G2319"/>
    </row>
    <row r="2320" spans="7:7" x14ac:dyDescent="0.25">
      <c r="G2320"/>
    </row>
    <row r="2321" spans="7:7" x14ac:dyDescent="0.25">
      <c r="G2321"/>
    </row>
    <row r="2322" spans="7:7" x14ac:dyDescent="0.25">
      <c r="G2322"/>
    </row>
    <row r="2323" spans="7:7" x14ac:dyDescent="0.25">
      <c r="G2323"/>
    </row>
    <row r="2324" spans="7:7" x14ac:dyDescent="0.25">
      <c r="G2324"/>
    </row>
    <row r="2325" spans="7:7" x14ac:dyDescent="0.25">
      <c r="G2325"/>
    </row>
    <row r="2326" spans="7:7" x14ac:dyDescent="0.25">
      <c r="G2326"/>
    </row>
    <row r="2327" spans="7:7" x14ac:dyDescent="0.25">
      <c r="G2327"/>
    </row>
    <row r="2328" spans="7:7" x14ac:dyDescent="0.25">
      <c r="G2328"/>
    </row>
    <row r="2329" spans="7:7" x14ac:dyDescent="0.25">
      <c r="G2329"/>
    </row>
    <row r="2330" spans="7:7" x14ac:dyDescent="0.25">
      <c r="G2330"/>
    </row>
    <row r="2331" spans="7:7" x14ac:dyDescent="0.25">
      <c r="G2331"/>
    </row>
    <row r="2332" spans="7:7" x14ac:dyDescent="0.25">
      <c r="G2332"/>
    </row>
    <row r="2333" spans="7:7" x14ac:dyDescent="0.25">
      <c r="G2333"/>
    </row>
    <row r="2334" spans="7:7" x14ac:dyDescent="0.25">
      <c r="G2334"/>
    </row>
    <row r="2335" spans="7:7" x14ac:dyDescent="0.25">
      <c r="G2335"/>
    </row>
    <row r="2336" spans="7:7" x14ac:dyDescent="0.25">
      <c r="G2336"/>
    </row>
    <row r="2337" spans="7:7" x14ac:dyDescent="0.25">
      <c r="G2337"/>
    </row>
    <row r="2338" spans="7:7" x14ac:dyDescent="0.25">
      <c r="G2338"/>
    </row>
    <row r="2339" spans="7:7" x14ac:dyDescent="0.25">
      <c r="G2339"/>
    </row>
    <row r="2340" spans="7:7" x14ac:dyDescent="0.25">
      <c r="G2340"/>
    </row>
    <row r="2341" spans="7:7" x14ac:dyDescent="0.25">
      <c r="G2341"/>
    </row>
    <row r="2342" spans="7:7" x14ac:dyDescent="0.25">
      <c r="G2342"/>
    </row>
    <row r="2343" spans="7:7" x14ac:dyDescent="0.25">
      <c r="G2343"/>
    </row>
    <row r="2344" spans="7:7" x14ac:dyDescent="0.25">
      <c r="G2344"/>
    </row>
    <row r="2345" spans="7:7" x14ac:dyDescent="0.25">
      <c r="G2345"/>
    </row>
    <row r="2346" spans="7:7" x14ac:dyDescent="0.25">
      <c r="G2346"/>
    </row>
    <row r="2347" spans="7:7" x14ac:dyDescent="0.25">
      <c r="G2347"/>
    </row>
    <row r="2348" spans="7:7" x14ac:dyDescent="0.25">
      <c r="G2348"/>
    </row>
    <row r="2349" spans="7:7" x14ac:dyDescent="0.25">
      <c r="G2349"/>
    </row>
    <row r="2350" spans="7:7" x14ac:dyDescent="0.25">
      <c r="G2350"/>
    </row>
    <row r="2351" spans="7:7" x14ac:dyDescent="0.25">
      <c r="G2351"/>
    </row>
    <row r="2352" spans="7:7" x14ac:dyDescent="0.25">
      <c r="G2352"/>
    </row>
    <row r="2353" spans="7:7" x14ac:dyDescent="0.25">
      <c r="G2353"/>
    </row>
    <row r="2354" spans="7:7" x14ac:dyDescent="0.25">
      <c r="G2354"/>
    </row>
    <row r="2355" spans="7:7" x14ac:dyDescent="0.25">
      <c r="G2355"/>
    </row>
    <row r="2356" spans="7:7" x14ac:dyDescent="0.25">
      <c r="G2356"/>
    </row>
    <row r="2357" spans="7:7" x14ac:dyDescent="0.25">
      <c r="G2357"/>
    </row>
    <row r="2358" spans="7:7" x14ac:dyDescent="0.25">
      <c r="G2358"/>
    </row>
    <row r="2359" spans="7:7" x14ac:dyDescent="0.25">
      <c r="G2359"/>
    </row>
    <row r="2360" spans="7:7" x14ac:dyDescent="0.25">
      <c r="G2360"/>
    </row>
    <row r="2361" spans="7:7" x14ac:dyDescent="0.25">
      <c r="G2361"/>
    </row>
    <row r="2362" spans="7:7" x14ac:dyDescent="0.25">
      <c r="G2362"/>
    </row>
    <row r="2363" spans="7:7" x14ac:dyDescent="0.25">
      <c r="G2363"/>
    </row>
    <row r="2364" spans="7:7" x14ac:dyDescent="0.25">
      <c r="G2364"/>
    </row>
    <row r="2365" spans="7:7" x14ac:dyDescent="0.25">
      <c r="G2365"/>
    </row>
    <row r="2366" spans="7:7" x14ac:dyDescent="0.25">
      <c r="G2366"/>
    </row>
    <row r="2367" spans="7:7" x14ac:dyDescent="0.25">
      <c r="G2367"/>
    </row>
    <row r="2368" spans="7:7" x14ac:dyDescent="0.25">
      <c r="G2368"/>
    </row>
    <row r="2369" spans="7:7" x14ac:dyDescent="0.25">
      <c r="G2369"/>
    </row>
    <row r="2370" spans="7:7" x14ac:dyDescent="0.25">
      <c r="G2370"/>
    </row>
    <row r="2371" spans="7:7" x14ac:dyDescent="0.25">
      <c r="G2371"/>
    </row>
    <row r="2372" spans="7:7" x14ac:dyDescent="0.25">
      <c r="G2372"/>
    </row>
    <row r="2373" spans="7:7" x14ac:dyDescent="0.25">
      <c r="G2373"/>
    </row>
    <row r="2374" spans="7:7" x14ac:dyDescent="0.25">
      <c r="G2374"/>
    </row>
    <row r="2375" spans="7:7" x14ac:dyDescent="0.25">
      <c r="G2375"/>
    </row>
    <row r="2376" spans="7:7" x14ac:dyDescent="0.25">
      <c r="G2376"/>
    </row>
    <row r="2377" spans="7:7" x14ac:dyDescent="0.25">
      <c r="G2377"/>
    </row>
    <row r="2378" spans="7:7" x14ac:dyDescent="0.25">
      <c r="G2378"/>
    </row>
    <row r="2379" spans="7:7" x14ac:dyDescent="0.25">
      <c r="G2379"/>
    </row>
    <row r="2380" spans="7:7" x14ac:dyDescent="0.25">
      <c r="G2380"/>
    </row>
    <row r="2381" spans="7:7" x14ac:dyDescent="0.25">
      <c r="G2381"/>
    </row>
    <row r="2382" spans="7:7" x14ac:dyDescent="0.25">
      <c r="G2382"/>
    </row>
    <row r="2383" spans="7:7" x14ac:dyDescent="0.25">
      <c r="G2383"/>
    </row>
    <row r="2384" spans="7:7" x14ac:dyDescent="0.25">
      <c r="G2384"/>
    </row>
    <row r="2385" spans="7:7" x14ac:dyDescent="0.25">
      <c r="G2385"/>
    </row>
    <row r="2386" spans="7:7" x14ac:dyDescent="0.25">
      <c r="G2386"/>
    </row>
    <row r="2387" spans="7:7" x14ac:dyDescent="0.25">
      <c r="G2387"/>
    </row>
    <row r="2388" spans="7:7" x14ac:dyDescent="0.25">
      <c r="G2388"/>
    </row>
    <row r="2389" spans="7:7" x14ac:dyDescent="0.25">
      <c r="G2389"/>
    </row>
    <row r="2390" spans="7:7" x14ac:dyDescent="0.25">
      <c r="G2390"/>
    </row>
    <row r="2391" spans="7:7" x14ac:dyDescent="0.25">
      <c r="G2391"/>
    </row>
    <row r="2392" spans="7:7" x14ac:dyDescent="0.25">
      <c r="G2392"/>
    </row>
    <row r="2393" spans="7:7" x14ac:dyDescent="0.25">
      <c r="G2393"/>
    </row>
    <row r="2394" spans="7:7" x14ac:dyDescent="0.25">
      <c r="G2394"/>
    </row>
    <row r="2395" spans="7:7" x14ac:dyDescent="0.25">
      <c r="G2395"/>
    </row>
    <row r="2396" spans="7:7" x14ac:dyDescent="0.25">
      <c r="G2396"/>
    </row>
    <row r="2397" spans="7:7" x14ac:dyDescent="0.25">
      <c r="G2397"/>
    </row>
    <row r="2398" spans="7:7" x14ac:dyDescent="0.25">
      <c r="G2398"/>
    </row>
    <row r="2399" spans="7:7" x14ac:dyDescent="0.25">
      <c r="G2399"/>
    </row>
    <row r="2400" spans="7:7" x14ac:dyDescent="0.25">
      <c r="G2400"/>
    </row>
    <row r="2401" spans="7:7" x14ac:dyDescent="0.25">
      <c r="G2401"/>
    </row>
    <row r="2402" spans="7:7" x14ac:dyDescent="0.25">
      <c r="G2402"/>
    </row>
    <row r="2403" spans="7:7" x14ac:dyDescent="0.25">
      <c r="G2403"/>
    </row>
    <row r="2404" spans="7:7" x14ac:dyDescent="0.25">
      <c r="G2404"/>
    </row>
    <row r="2405" spans="7:7" x14ac:dyDescent="0.25">
      <c r="G2405"/>
    </row>
    <row r="2406" spans="7:7" x14ac:dyDescent="0.25">
      <c r="G2406"/>
    </row>
    <row r="2407" spans="7:7" x14ac:dyDescent="0.25">
      <c r="G2407"/>
    </row>
    <row r="2408" spans="7:7" x14ac:dyDescent="0.25">
      <c r="G2408"/>
    </row>
    <row r="2409" spans="7:7" x14ac:dyDescent="0.25">
      <c r="G2409"/>
    </row>
    <row r="2410" spans="7:7" x14ac:dyDescent="0.25">
      <c r="G2410"/>
    </row>
    <row r="2411" spans="7:7" x14ac:dyDescent="0.25">
      <c r="G2411"/>
    </row>
    <row r="2412" spans="7:7" x14ac:dyDescent="0.25">
      <c r="G2412"/>
    </row>
    <row r="2413" spans="7:7" x14ac:dyDescent="0.25">
      <c r="G2413"/>
    </row>
    <row r="2414" spans="7:7" x14ac:dyDescent="0.25">
      <c r="G2414"/>
    </row>
    <row r="2415" spans="7:7" x14ac:dyDescent="0.25">
      <c r="G2415"/>
    </row>
    <row r="2416" spans="7:7" x14ac:dyDescent="0.25">
      <c r="G2416"/>
    </row>
    <row r="2417" spans="7:7" x14ac:dyDescent="0.25">
      <c r="G2417"/>
    </row>
    <row r="2418" spans="7:7" x14ac:dyDescent="0.25">
      <c r="G2418"/>
    </row>
    <row r="2419" spans="7:7" x14ac:dyDescent="0.25">
      <c r="G2419"/>
    </row>
    <row r="2420" spans="7:7" x14ac:dyDescent="0.25">
      <c r="G2420"/>
    </row>
    <row r="2421" spans="7:7" x14ac:dyDescent="0.25">
      <c r="G2421"/>
    </row>
    <row r="2422" spans="7:7" x14ac:dyDescent="0.25">
      <c r="G2422"/>
    </row>
    <row r="2423" spans="7:7" x14ac:dyDescent="0.25">
      <c r="G2423"/>
    </row>
    <row r="2424" spans="7:7" x14ac:dyDescent="0.25">
      <c r="G2424"/>
    </row>
    <row r="2425" spans="7:7" x14ac:dyDescent="0.25">
      <c r="G2425"/>
    </row>
    <row r="2426" spans="7:7" x14ac:dyDescent="0.25">
      <c r="G2426"/>
    </row>
    <row r="2427" spans="7:7" x14ac:dyDescent="0.25">
      <c r="G2427"/>
    </row>
    <row r="2428" spans="7:7" x14ac:dyDescent="0.25">
      <c r="G2428"/>
    </row>
    <row r="2429" spans="7:7" x14ac:dyDescent="0.25">
      <c r="G2429"/>
    </row>
    <row r="2430" spans="7:7" x14ac:dyDescent="0.25">
      <c r="G2430"/>
    </row>
    <row r="2431" spans="7:7" x14ac:dyDescent="0.25">
      <c r="G2431"/>
    </row>
    <row r="2432" spans="7:7" x14ac:dyDescent="0.25">
      <c r="G2432"/>
    </row>
    <row r="2433" spans="7:7" x14ac:dyDescent="0.25">
      <c r="G2433"/>
    </row>
    <row r="2434" spans="7:7" x14ac:dyDescent="0.25">
      <c r="G2434"/>
    </row>
    <row r="2435" spans="7:7" x14ac:dyDescent="0.25">
      <c r="G2435"/>
    </row>
    <row r="2436" spans="7:7" x14ac:dyDescent="0.25">
      <c r="G2436"/>
    </row>
    <row r="2437" spans="7:7" x14ac:dyDescent="0.25">
      <c r="G2437"/>
    </row>
    <row r="2438" spans="7:7" x14ac:dyDescent="0.25">
      <c r="G2438"/>
    </row>
    <row r="2439" spans="7:7" x14ac:dyDescent="0.25">
      <c r="G2439"/>
    </row>
    <row r="2440" spans="7:7" x14ac:dyDescent="0.25">
      <c r="G2440"/>
    </row>
    <row r="2441" spans="7:7" x14ac:dyDescent="0.25">
      <c r="G2441"/>
    </row>
    <row r="2442" spans="7:7" x14ac:dyDescent="0.25">
      <c r="G2442"/>
    </row>
    <row r="2443" spans="7:7" x14ac:dyDescent="0.25">
      <c r="G2443"/>
    </row>
    <row r="2444" spans="7:7" x14ac:dyDescent="0.25">
      <c r="G2444"/>
    </row>
    <row r="2445" spans="7:7" x14ac:dyDescent="0.25">
      <c r="G2445"/>
    </row>
    <row r="2446" spans="7:7" x14ac:dyDescent="0.25">
      <c r="G2446"/>
    </row>
    <row r="2447" spans="7:7" x14ac:dyDescent="0.25">
      <c r="G2447"/>
    </row>
    <row r="2448" spans="7:7" x14ac:dyDescent="0.25">
      <c r="G2448"/>
    </row>
    <row r="2449" spans="7:7" x14ac:dyDescent="0.25">
      <c r="G2449"/>
    </row>
    <row r="2450" spans="7:7" x14ac:dyDescent="0.25">
      <c r="G2450"/>
    </row>
    <row r="2451" spans="7:7" x14ac:dyDescent="0.25">
      <c r="G2451"/>
    </row>
    <row r="2452" spans="7:7" x14ac:dyDescent="0.25">
      <c r="G2452"/>
    </row>
    <row r="2453" spans="7:7" x14ac:dyDescent="0.25">
      <c r="G2453"/>
    </row>
    <row r="2454" spans="7:7" x14ac:dyDescent="0.25">
      <c r="G2454"/>
    </row>
    <row r="2455" spans="7:7" x14ac:dyDescent="0.25">
      <c r="G2455"/>
    </row>
    <row r="2456" spans="7:7" x14ac:dyDescent="0.25">
      <c r="G2456"/>
    </row>
    <row r="2457" spans="7:7" x14ac:dyDescent="0.25">
      <c r="G2457"/>
    </row>
    <row r="2458" spans="7:7" x14ac:dyDescent="0.25">
      <c r="G2458"/>
    </row>
    <row r="2459" spans="7:7" x14ac:dyDescent="0.25">
      <c r="G2459"/>
    </row>
    <row r="2460" spans="7:7" x14ac:dyDescent="0.25">
      <c r="G2460"/>
    </row>
    <row r="2461" spans="7:7" x14ac:dyDescent="0.25">
      <c r="G2461"/>
    </row>
    <row r="2462" spans="7:7" x14ac:dyDescent="0.25">
      <c r="G2462"/>
    </row>
    <row r="2463" spans="7:7" x14ac:dyDescent="0.25">
      <c r="G2463"/>
    </row>
    <row r="2464" spans="7:7" x14ac:dyDescent="0.25">
      <c r="G2464"/>
    </row>
    <row r="2465" spans="7:7" x14ac:dyDescent="0.25">
      <c r="G2465"/>
    </row>
    <row r="2466" spans="7:7" x14ac:dyDescent="0.25">
      <c r="G2466"/>
    </row>
    <row r="2467" spans="7:7" x14ac:dyDescent="0.25">
      <c r="G2467"/>
    </row>
    <row r="2468" spans="7:7" x14ac:dyDescent="0.25">
      <c r="G2468"/>
    </row>
    <row r="2469" spans="7:7" x14ac:dyDescent="0.25">
      <c r="G2469"/>
    </row>
    <row r="2470" spans="7:7" x14ac:dyDescent="0.25">
      <c r="G2470"/>
    </row>
    <row r="2471" spans="7:7" x14ac:dyDescent="0.25">
      <c r="G2471"/>
    </row>
    <row r="2472" spans="7:7" x14ac:dyDescent="0.25">
      <c r="G2472"/>
    </row>
    <row r="2473" spans="7:7" x14ac:dyDescent="0.25">
      <c r="G2473"/>
    </row>
    <row r="2474" spans="7:7" x14ac:dyDescent="0.25">
      <c r="G2474"/>
    </row>
    <row r="2475" spans="7:7" x14ac:dyDescent="0.25">
      <c r="G2475"/>
    </row>
    <row r="2476" spans="7:7" x14ac:dyDescent="0.25">
      <c r="G2476"/>
    </row>
    <row r="2477" spans="7:7" x14ac:dyDescent="0.25">
      <c r="G2477"/>
    </row>
    <row r="2478" spans="7:7" x14ac:dyDescent="0.25">
      <c r="G2478"/>
    </row>
    <row r="2479" spans="7:7" x14ac:dyDescent="0.25">
      <c r="G2479"/>
    </row>
    <row r="2480" spans="7:7" x14ac:dyDescent="0.25">
      <c r="G2480"/>
    </row>
    <row r="2481" spans="7:7" x14ac:dyDescent="0.25">
      <c r="G2481"/>
    </row>
    <row r="2482" spans="7:7" x14ac:dyDescent="0.25">
      <c r="G2482"/>
    </row>
    <row r="2483" spans="7:7" x14ac:dyDescent="0.25">
      <c r="G2483"/>
    </row>
    <row r="2484" spans="7:7" x14ac:dyDescent="0.25">
      <c r="G2484"/>
    </row>
    <row r="2485" spans="7:7" x14ac:dyDescent="0.25">
      <c r="G2485"/>
    </row>
    <row r="2486" spans="7:7" x14ac:dyDescent="0.25">
      <c r="G2486"/>
    </row>
    <row r="2487" spans="7:7" x14ac:dyDescent="0.25">
      <c r="G2487"/>
    </row>
    <row r="2488" spans="7:7" x14ac:dyDescent="0.25">
      <c r="G2488"/>
    </row>
    <row r="2489" spans="7:7" x14ac:dyDescent="0.25">
      <c r="G2489"/>
    </row>
    <row r="2490" spans="7:7" x14ac:dyDescent="0.25">
      <c r="G2490"/>
    </row>
    <row r="2491" spans="7:7" x14ac:dyDescent="0.25">
      <c r="G2491"/>
    </row>
    <row r="2492" spans="7:7" x14ac:dyDescent="0.25">
      <c r="G2492"/>
    </row>
    <row r="2493" spans="7:7" x14ac:dyDescent="0.25">
      <c r="G2493"/>
    </row>
    <row r="2494" spans="7:7" x14ac:dyDescent="0.25">
      <c r="G2494"/>
    </row>
    <row r="2495" spans="7:7" x14ac:dyDescent="0.25">
      <c r="G2495"/>
    </row>
    <row r="2496" spans="7:7" x14ac:dyDescent="0.25">
      <c r="G2496"/>
    </row>
    <row r="2497" spans="7:7" x14ac:dyDescent="0.25">
      <c r="G2497"/>
    </row>
    <row r="2498" spans="7:7" x14ac:dyDescent="0.25">
      <c r="G2498"/>
    </row>
    <row r="2499" spans="7:7" x14ac:dyDescent="0.25">
      <c r="G2499"/>
    </row>
    <row r="2500" spans="7:7" x14ac:dyDescent="0.25">
      <c r="G2500"/>
    </row>
    <row r="2501" spans="7:7" x14ac:dyDescent="0.25">
      <c r="G2501"/>
    </row>
    <row r="2502" spans="7:7" x14ac:dyDescent="0.25">
      <c r="G2502"/>
    </row>
    <row r="2503" spans="7:7" x14ac:dyDescent="0.25">
      <c r="G2503"/>
    </row>
    <row r="2504" spans="7:7" x14ac:dyDescent="0.25">
      <c r="G2504"/>
    </row>
    <row r="2505" spans="7:7" x14ac:dyDescent="0.25">
      <c r="G2505"/>
    </row>
    <row r="2506" spans="7:7" x14ac:dyDescent="0.25">
      <c r="G2506"/>
    </row>
    <row r="2507" spans="7:7" x14ac:dyDescent="0.25">
      <c r="G2507"/>
    </row>
    <row r="2508" spans="7:7" x14ac:dyDescent="0.25">
      <c r="G2508"/>
    </row>
    <row r="2509" spans="7:7" x14ac:dyDescent="0.25">
      <c r="G2509"/>
    </row>
    <row r="2510" spans="7:7" x14ac:dyDescent="0.25">
      <c r="G2510"/>
    </row>
    <row r="2511" spans="7:7" x14ac:dyDescent="0.25">
      <c r="G2511"/>
    </row>
    <row r="2512" spans="7:7" x14ac:dyDescent="0.25">
      <c r="G2512"/>
    </row>
    <row r="2513" spans="7:7" x14ac:dyDescent="0.25">
      <c r="G2513"/>
    </row>
    <row r="2514" spans="7:7" x14ac:dyDescent="0.25">
      <c r="G2514"/>
    </row>
    <row r="2515" spans="7:7" x14ac:dyDescent="0.25">
      <c r="G2515"/>
    </row>
    <row r="2516" spans="7:7" x14ac:dyDescent="0.25">
      <c r="G2516"/>
    </row>
    <row r="2517" spans="7:7" x14ac:dyDescent="0.25">
      <c r="G2517"/>
    </row>
    <row r="2518" spans="7:7" x14ac:dyDescent="0.25">
      <c r="G2518"/>
    </row>
    <row r="2519" spans="7:7" x14ac:dyDescent="0.25">
      <c r="G2519"/>
    </row>
    <row r="2520" spans="7:7" x14ac:dyDescent="0.25">
      <c r="G2520"/>
    </row>
    <row r="2521" spans="7:7" x14ac:dyDescent="0.25">
      <c r="G2521"/>
    </row>
    <row r="2522" spans="7:7" x14ac:dyDescent="0.25">
      <c r="G2522"/>
    </row>
    <row r="2523" spans="7:7" x14ac:dyDescent="0.25">
      <c r="G2523"/>
    </row>
    <row r="2524" spans="7:7" x14ac:dyDescent="0.25">
      <c r="G2524"/>
    </row>
    <row r="2525" spans="7:7" x14ac:dyDescent="0.25">
      <c r="G2525"/>
    </row>
    <row r="2526" spans="7:7" x14ac:dyDescent="0.25">
      <c r="G2526"/>
    </row>
    <row r="2527" spans="7:7" x14ac:dyDescent="0.25">
      <c r="G2527"/>
    </row>
    <row r="2528" spans="7:7" x14ac:dyDescent="0.25">
      <c r="G2528"/>
    </row>
    <row r="2529" spans="7:7" x14ac:dyDescent="0.25">
      <c r="G2529"/>
    </row>
    <row r="2530" spans="7:7" x14ac:dyDescent="0.25">
      <c r="G2530"/>
    </row>
    <row r="2531" spans="7:7" x14ac:dyDescent="0.25">
      <c r="G2531"/>
    </row>
    <row r="2532" spans="7:7" x14ac:dyDescent="0.25">
      <c r="G2532"/>
    </row>
    <row r="2533" spans="7:7" x14ac:dyDescent="0.25">
      <c r="G2533"/>
    </row>
    <row r="2534" spans="7:7" x14ac:dyDescent="0.25">
      <c r="G2534"/>
    </row>
    <row r="2535" spans="7:7" x14ac:dyDescent="0.25">
      <c r="G2535"/>
    </row>
    <row r="2536" spans="7:7" x14ac:dyDescent="0.25">
      <c r="G2536"/>
    </row>
    <row r="2537" spans="7:7" x14ac:dyDescent="0.25">
      <c r="G2537"/>
    </row>
    <row r="2538" spans="7:7" x14ac:dyDescent="0.25">
      <c r="G2538"/>
    </row>
    <row r="2539" spans="7:7" x14ac:dyDescent="0.25">
      <c r="G2539"/>
    </row>
    <row r="2540" spans="7:7" x14ac:dyDescent="0.25">
      <c r="G2540"/>
    </row>
    <row r="2541" spans="7:7" x14ac:dyDescent="0.25">
      <c r="G2541"/>
    </row>
    <row r="2542" spans="7:7" x14ac:dyDescent="0.25">
      <c r="G2542"/>
    </row>
    <row r="2543" spans="7:7" x14ac:dyDescent="0.25">
      <c r="G2543"/>
    </row>
    <row r="2544" spans="7:7" x14ac:dyDescent="0.25">
      <c r="G2544"/>
    </row>
    <row r="2545" spans="7:7" x14ac:dyDescent="0.25">
      <c r="G2545"/>
    </row>
    <row r="2546" spans="7:7" x14ac:dyDescent="0.25">
      <c r="G2546"/>
    </row>
    <row r="2547" spans="7:7" x14ac:dyDescent="0.25">
      <c r="G2547"/>
    </row>
    <row r="2548" spans="7:7" x14ac:dyDescent="0.25">
      <c r="G2548"/>
    </row>
    <row r="2549" spans="7:7" x14ac:dyDescent="0.25">
      <c r="G2549"/>
    </row>
    <row r="2550" spans="7:7" x14ac:dyDescent="0.25">
      <c r="G2550"/>
    </row>
    <row r="2551" spans="7:7" x14ac:dyDescent="0.25">
      <c r="G2551"/>
    </row>
    <row r="2552" spans="7:7" x14ac:dyDescent="0.25">
      <c r="G2552"/>
    </row>
    <row r="2553" spans="7:7" x14ac:dyDescent="0.25">
      <c r="G2553"/>
    </row>
    <row r="2554" spans="7:7" x14ac:dyDescent="0.25">
      <c r="G2554"/>
    </row>
    <row r="2555" spans="7:7" x14ac:dyDescent="0.25">
      <c r="G2555"/>
    </row>
    <row r="2556" spans="7:7" x14ac:dyDescent="0.25">
      <c r="G2556"/>
    </row>
    <row r="2557" spans="7:7" x14ac:dyDescent="0.25">
      <c r="G2557"/>
    </row>
    <row r="2558" spans="7:7" x14ac:dyDescent="0.25">
      <c r="G2558"/>
    </row>
    <row r="2559" spans="7:7" x14ac:dyDescent="0.25">
      <c r="G2559"/>
    </row>
    <row r="2560" spans="7:7" x14ac:dyDescent="0.25">
      <c r="G2560"/>
    </row>
    <row r="2561" spans="7:7" x14ac:dyDescent="0.25">
      <c r="G2561"/>
    </row>
    <row r="2562" spans="7:7" x14ac:dyDescent="0.25">
      <c r="G2562"/>
    </row>
    <row r="2563" spans="7:7" x14ac:dyDescent="0.25">
      <c r="G2563"/>
    </row>
    <row r="2564" spans="7:7" x14ac:dyDescent="0.25">
      <c r="G2564"/>
    </row>
    <row r="2565" spans="7:7" x14ac:dyDescent="0.25">
      <c r="G2565"/>
    </row>
    <row r="2566" spans="7:7" x14ac:dyDescent="0.25">
      <c r="G2566"/>
    </row>
    <row r="2567" spans="7:7" x14ac:dyDescent="0.25">
      <c r="G2567"/>
    </row>
    <row r="2568" spans="7:7" x14ac:dyDescent="0.25">
      <c r="G2568"/>
    </row>
    <row r="2569" spans="7:7" x14ac:dyDescent="0.25">
      <c r="G2569"/>
    </row>
    <row r="2570" spans="7:7" x14ac:dyDescent="0.25">
      <c r="G2570"/>
    </row>
    <row r="2571" spans="7:7" x14ac:dyDescent="0.25">
      <c r="G2571"/>
    </row>
    <row r="2572" spans="7:7" x14ac:dyDescent="0.25">
      <c r="G2572"/>
    </row>
    <row r="2573" spans="7:7" x14ac:dyDescent="0.25">
      <c r="G2573"/>
    </row>
    <row r="2574" spans="7:7" x14ac:dyDescent="0.25">
      <c r="G2574"/>
    </row>
    <row r="2575" spans="7:7" x14ac:dyDescent="0.25">
      <c r="G2575"/>
    </row>
    <row r="2576" spans="7:7" x14ac:dyDescent="0.25">
      <c r="G2576"/>
    </row>
    <row r="2577" spans="7:7" x14ac:dyDescent="0.25">
      <c r="G2577"/>
    </row>
    <row r="2578" spans="7:7" x14ac:dyDescent="0.25">
      <c r="G2578"/>
    </row>
    <row r="2579" spans="7:7" x14ac:dyDescent="0.25">
      <c r="G2579"/>
    </row>
    <row r="2580" spans="7:7" x14ac:dyDescent="0.25">
      <c r="G2580"/>
    </row>
    <row r="2581" spans="7:7" x14ac:dyDescent="0.25">
      <c r="G2581"/>
    </row>
    <row r="2582" spans="7:7" x14ac:dyDescent="0.25">
      <c r="G2582"/>
    </row>
    <row r="2583" spans="7:7" x14ac:dyDescent="0.25">
      <c r="G2583"/>
    </row>
    <row r="2584" spans="7:7" x14ac:dyDescent="0.25">
      <c r="G2584"/>
    </row>
    <row r="2585" spans="7:7" x14ac:dyDescent="0.25">
      <c r="G2585"/>
    </row>
    <row r="2586" spans="7:7" x14ac:dyDescent="0.25">
      <c r="G2586"/>
    </row>
    <row r="2587" spans="7:7" x14ac:dyDescent="0.25">
      <c r="G2587"/>
    </row>
    <row r="2588" spans="7:7" x14ac:dyDescent="0.25">
      <c r="G2588"/>
    </row>
    <row r="2589" spans="7:7" x14ac:dyDescent="0.25">
      <c r="G2589"/>
    </row>
    <row r="2590" spans="7:7" x14ac:dyDescent="0.25">
      <c r="G2590"/>
    </row>
    <row r="2591" spans="7:7" x14ac:dyDescent="0.25">
      <c r="G2591"/>
    </row>
    <row r="2592" spans="7:7" x14ac:dyDescent="0.25">
      <c r="G2592"/>
    </row>
    <row r="2593" spans="7:7" x14ac:dyDescent="0.25">
      <c r="G2593"/>
    </row>
    <row r="2594" spans="7:7" x14ac:dyDescent="0.25">
      <c r="G2594"/>
    </row>
    <row r="2595" spans="7:7" x14ac:dyDescent="0.25">
      <c r="G2595"/>
    </row>
    <row r="2596" spans="7:7" x14ac:dyDescent="0.25">
      <c r="G2596"/>
    </row>
    <row r="2597" spans="7:7" x14ac:dyDescent="0.25">
      <c r="G2597"/>
    </row>
    <row r="2598" spans="7:7" x14ac:dyDescent="0.25">
      <c r="G2598"/>
    </row>
    <row r="2599" spans="7:7" x14ac:dyDescent="0.25">
      <c r="G2599"/>
    </row>
    <row r="2600" spans="7:7" x14ac:dyDescent="0.25">
      <c r="G2600"/>
    </row>
    <row r="2601" spans="7:7" x14ac:dyDescent="0.25">
      <c r="G2601"/>
    </row>
    <row r="2602" spans="7:7" x14ac:dyDescent="0.25">
      <c r="G2602"/>
    </row>
    <row r="2603" spans="7:7" x14ac:dyDescent="0.25">
      <c r="G2603"/>
    </row>
    <row r="2604" spans="7:7" x14ac:dyDescent="0.25">
      <c r="G2604"/>
    </row>
    <row r="2605" spans="7:7" x14ac:dyDescent="0.25">
      <c r="G2605"/>
    </row>
    <row r="2606" spans="7:7" x14ac:dyDescent="0.25">
      <c r="G2606"/>
    </row>
    <row r="2607" spans="7:7" x14ac:dyDescent="0.25">
      <c r="G2607"/>
    </row>
    <row r="2608" spans="7:7" x14ac:dyDescent="0.25">
      <c r="G2608"/>
    </row>
    <row r="2609" spans="7:7" x14ac:dyDescent="0.25">
      <c r="G2609"/>
    </row>
    <row r="2610" spans="7:7" x14ac:dyDescent="0.25">
      <c r="G2610"/>
    </row>
    <row r="2611" spans="7:7" x14ac:dyDescent="0.25">
      <c r="G2611"/>
    </row>
    <row r="2612" spans="7:7" x14ac:dyDescent="0.25">
      <c r="G2612"/>
    </row>
    <row r="2613" spans="7:7" x14ac:dyDescent="0.25">
      <c r="G2613"/>
    </row>
    <row r="2614" spans="7:7" x14ac:dyDescent="0.25">
      <c r="G2614"/>
    </row>
    <row r="2615" spans="7:7" x14ac:dyDescent="0.25">
      <c r="G2615"/>
    </row>
    <row r="2616" spans="7:7" x14ac:dyDescent="0.25">
      <c r="G2616"/>
    </row>
    <row r="2617" spans="7:7" x14ac:dyDescent="0.25">
      <c r="G2617"/>
    </row>
    <row r="2618" spans="7:7" x14ac:dyDescent="0.25">
      <c r="G2618"/>
    </row>
    <row r="2619" spans="7:7" x14ac:dyDescent="0.25">
      <c r="G2619"/>
    </row>
    <row r="2620" spans="7:7" x14ac:dyDescent="0.25">
      <c r="G2620"/>
    </row>
    <row r="2621" spans="7:7" x14ac:dyDescent="0.25">
      <c r="G2621"/>
    </row>
    <row r="2622" spans="7:7" x14ac:dyDescent="0.25">
      <c r="G2622"/>
    </row>
    <row r="2623" spans="7:7" x14ac:dyDescent="0.25">
      <c r="G2623"/>
    </row>
    <row r="2624" spans="7:7" x14ac:dyDescent="0.25">
      <c r="G2624"/>
    </row>
    <row r="2625" spans="7:7" x14ac:dyDescent="0.25">
      <c r="G2625"/>
    </row>
    <row r="2626" spans="7:7" x14ac:dyDescent="0.25">
      <c r="G2626"/>
    </row>
    <row r="2627" spans="7:7" x14ac:dyDescent="0.25">
      <c r="G2627"/>
    </row>
    <row r="2628" spans="7:7" x14ac:dyDescent="0.25">
      <c r="G2628"/>
    </row>
    <row r="2629" spans="7:7" x14ac:dyDescent="0.25">
      <c r="G2629"/>
    </row>
    <row r="2630" spans="7:7" x14ac:dyDescent="0.25">
      <c r="G2630"/>
    </row>
    <row r="2631" spans="7:7" x14ac:dyDescent="0.25">
      <c r="G2631"/>
    </row>
    <row r="2632" spans="7:7" x14ac:dyDescent="0.25">
      <c r="G2632"/>
    </row>
    <row r="2633" spans="7:7" x14ac:dyDescent="0.25">
      <c r="G2633"/>
    </row>
    <row r="2634" spans="7:7" x14ac:dyDescent="0.25">
      <c r="G2634"/>
    </row>
    <row r="2635" spans="7:7" x14ac:dyDescent="0.25">
      <c r="G2635"/>
    </row>
    <row r="2636" spans="7:7" x14ac:dyDescent="0.25">
      <c r="G2636"/>
    </row>
    <row r="2637" spans="7:7" x14ac:dyDescent="0.25">
      <c r="G2637"/>
    </row>
    <row r="2638" spans="7:7" x14ac:dyDescent="0.25">
      <c r="G2638"/>
    </row>
    <row r="2639" spans="7:7" x14ac:dyDescent="0.25">
      <c r="G2639"/>
    </row>
    <row r="2640" spans="7:7" x14ac:dyDescent="0.25">
      <c r="G2640"/>
    </row>
    <row r="2641" spans="7:7" x14ac:dyDescent="0.25">
      <c r="G2641"/>
    </row>
    <row r="2642" spans="7:7" x14ac:dyDescent="0.25">
      <c r="G2642"/>
    </row>
    <row r="2643" spans="7:7" x14ac:dyDescent="0.25">
      <c r="G2643"/>
    </row>
    <row r="2644" spans="7:7" x14ac:dyDescent="0.25">
      <c r="G2644"/>
    </row>
    <row r="2645" spans="7:7" x14ac:dyDescent="0.25">
      <c r="G2645"/>
    </row>
    <row r="2646" spans="7:7" x14ac:dyDescent="0.25">
      <c r="G2646"/>
    </row>
    <row r="2647" spans="7:7" x14ac:dyDescent="0.25">
      <c r="G2647"/>
    </row>
    <row r="2648" spans="7:7" x14ac:dyDescent="0.25">
      <c r="G2648"/>
    </row>
    <row r="2649" spans="7:7" x14ac:dyDescent="0.25">
      <c r="G2649"/>
    </row>
    <row r="2650" spans="7:7" x14ac:dyDescent="0.25">
      <c r="G2650"/>
    </row>
    <row r="2651" spans="7:7" x14ac:dyDescent="0.25">
      <c r="G2651"/>
    </row>
    <row r="2652" spans="7:7" x14ac:dyDescent="0.25">
      <c r="G2652"/>
    </row>
    <row r="2653" spans="7:7" x14ac:dyDescent="0.25">
      <c r="G2653"/>
    </row>
    <row r="2654" spans="7:7" x14ac:dyDescent="0.25">
      <c r="G2654"/>
    </row>
    <row r="2655" spans="7:7" x14ac:dyDescent="0.25">
      <c r="G2655"/>
    </row>
    <row r="2656" spans="7:7" x14ac:dyDescent="0.25">
      <c r="G2656"/>
    </row>
    <row r="2657" spans="7:7" x14ac:dyDescent="0.25">
      <c r="G2657"/>
    </row>
    <row r="2658" spans="7:7" x14ac:dyDescent="0.25">
      <c r="G2658"/>
    </row>
    <row r="2659" spans="7:7" x14ac:dyDescent="0.25">
      <c r="G2659"/>
    </row>
    <row r="2660" spans="7:7" x14ac:dyDescent="0.25">
      <c r="G2660"/>
    </row>
    <row r="2661" spans="7:7" x14ac:dyDescent="0.25">
      <c r="G2661"/>
    </row>
    <row r="2662" spans="7:7" x14ac:dyDescent="0.25">
      <c r="G2662"/>
    </row>
    <row r="2663" spans="7:7" x14ac:dyDescent="0.25">
      <c r="G2663"/>
    </row>
    <row r="2664" spans="7:7" x14ac:dyDescent="0.25">
      <c r="G2664"/>
    </row>
    <row r="2665" spans="7:7" x14ac:dyDescent="0.25">
      <c r="G2665"/>
    </row>
    <row r="2666" spans="7:7" x14ac:dyDescent="0.25">
      <c r="G2666"/>
    </row>
    <row r="2667" spans="7:7" x14ac:dyDescent="0.25">
      <c r="G2667"/>
    </row>
    <row r="2668" spans="7:7" x14ac:dyDescent="0.25">
      <c r="G2668"/>
    </row>
    <row r="2669" spans="7:7" x14ac:dyDescent="0.25">
      <c r="G2669"/>
    </row>
    <row r="2670" spans="7:7" x14ac:dyDescent="0.25">
      <c r="G2670"/>
    </row>
    <row r="2671" spans="7:7" x14ac:dyDescent="0.25">
      <c r="G2671"/>
    </row>
    <row r="2672" spans="7:7" x14ac:dyDescent="0.25">
      <c r="G2672"/>
    </row>
    <row r="2673" spans="7:7" x14ac:dyDescent="0.25">
      <c r="G2673"/>
    </row>
    <row r="2674" spans="7:7" x14ac:dyDescent="0.25">
      <c r="G2674"/>
    </row>
    <row r="2675" spans="7:7" x14ac:dyDescent="0.25">
      <c r="G2675"/>
    </row>
    <row r="2676" spans="7:7" x14ac:dyDescent="0.25">
      <c r="G2676"/>
    </row>
    <row r="2677" spans="7:7" x14ac:dyDescent="0.25">
      <c r="G2677"/>
    </row>
    <row r="2678" spans="7:7" x14ac:dyDescent="0.25">
      <c r="G2678"/>
    </row>
    <row r="2679" spans="7:7" x14ac:dyDescent="0.25">
      <c r="G2679"/>
    </row>
    <row r="2680" spans="7:7" x14ac:dyDescent="0.25">
      <c r="G2680"/>
    </row>
    <row r="2681" spans="7:7" x14ac:dyDescent="0.25">
      <c r="G2681"/>
    </row>
    <row r="2682" spans="7:7" x14ac:dyDescent="0.25">
      <c r="G2682"/>
    </row>
    <row r="2683" spans="7:7" x14ac:dyDescent="0.25">
      <c r="G2683"/>
    </row>
    <row r="2684" spans="7:7" x14ac:dyDescent="0.25">
      <c r="G2684"/>
    </row>
    <row r="2685" spans="7:7" x14ac:dyDescent="0.25">
      <c r="G2685"/>
    </row>
    <row r="2686" spans="7:7" x14ac:dyDescent="0.25">
      <c r="G2686"/>
    </row>
    <row r="2687" spans="7:7" x14ac:dyDescent="0.25">
      <c r="G2687"/>
    </row>
    <row r="2688" spans="7:7" x14ac:dyDescent="0.25">
      <c r="G2688"/>
    </row>
    <row r="2689" spans="7:7" x14ac:dyDescent="0.25">
      <c r="G2689"/>
    </row>
    <row r="2690" spans="7:7" x14ac:dyDescent="0.25">
      <c r="G2690"/>
    </row>
    <row r="2691" spans="7:7" x14ac:dyDescent="0.25">
      <c r="G2691"/>
    </row>
    <row r="2692" spans="7:7" x14ac:dyDescent="0.25">
      <c r="G2692"/>
    </row>
    <row r="2693" spans="7:7" x14ac:dyDescent="0.25">
      <c r="G2693"/>
    </row>
    <row r="2694" spans="7:7" x14ac:dyDescent="0.25">
      <c r="G2694"/>
    </row>
    <row r="2695" spans="7:7" x14ac:dyDescent="0.25">
      <c r="G2695"/>
    </row>
    <row r="2696" spans="7:7" x14ac:dyDescent="0.25">
      <c r="G2696"/>
    </row>
    <row r="2697" spans="7:7" x14ac:dyDescent="0.25">
      <c r="G2697"/>
    </row>
    <row r="2698" spans="7:7" x14ac:dyDescent="0.25">
      <c r="G2698"/>
    </row>
    <row r="2699" spans="7:7" x14ac:dyDescent="0.25">
      <c r="G2699"/>
    </row>
    <row r="2700" spans="7:7" x14ac:dyDescent="0.25">
      <c r="G2700"/>
    </row>
    <row r="2701" spans="7:7" x14ac:dyDescent="0.25">
      <c r="G2701"/>
    </row>
    <row r="2702" spans="7:7" x14ac:dyDescent="0.25">
      <c r="G2702"/>
    </row>
    <row r="2703" spans="7:7" x14ac:dyDescent="0.25">
      <c r="G2703"/>
    </row>
    <row r="2704" spans="7:7" x14ac:dyDescent="0.25">
      <c r="G2704"/>
    </row>
    <row r="2705" spans="7:7" x14ac:dyDescent="0.25">
      <c r="G2705"/>
    </row>
    <row r="2706" spans="7:7" x14ac:dyDescent="0.25">
      <c r="G2706"/>
    </row>
    <row r="2707" spans="7:7" x14ac:dyDescent="0.25">
      <c r="G2707"/>
    </row>
    <row r="2708" spans="7:7" x14ac:dyDescent="0.25">
      <c r="G2708"/>
    </row>
    <row r="2709" spans="7:7" x14ac:dyDescent="0.25">
      <c r="G2709"/>
    </row>
    <row r="2710" spans="7:7" x14ac:dyDescent="0.25">
      <c r="G2710"/>
    </row>
    <row r="2711" spans="7:7" x14ac:dyDescent="0.25">
      <c r="G2711"/>
    </row>
    <row r="2712" spans="7:7" x14ac:dyDescent="0.25">
      <c r="G2712"/>
    </row>
    <row r="2713" spans="7:7" x14ac:dyDescent="0.25">
      <c r="G2713"/>
    </row>
    <row r="2714" spans="7:7" x14ac:dyDescent="0.25">
      <c r="G2714"/>
    </row>
    <row r="2715" spans="7:7" x14ac:dyDescent="0.25">
      <c r="G2715"/>
    </row>
    <row r="2716" spans="7:7" x14ac:dyDescent="0.25">
      <c r="G2716"/>
    </row>
    <row r="2717" spans="7:7" x14ac:dyDescent="0.25">
      <c r="G2717"/>
    </row>
    <row r="2718" spans="7:7" x14ac:dyDescent="0.25">
      <c r="G2718"/>
    </row>
    <row r="2719" spans="7:7" x14ac:dyDescent="0.25">
      <c r="G2719"/>
    </row>
    <row r="2720" spans="7:7" x14ac:dyDescent="0.25">
      <c r="G2720"/>
    </row>
    <row r="2721" spans="7:7" x14ac:dyDescent="0.25">
      <c r="G2721"/>
    </row>
    <row r="2722" spans="7:7" x14ac:dyDescent="0.25">
      <c r="G2722"/>
    </row>
    <row r="2723" spans="7:7" x14ac:dyDescent="0.25">
      <c r="G2723"/>
    </row>
    <row r="2724" spans="7:7" x14ac:dyDescent="0.25">
      <c r="G2724"/>
    </row>
    <row r="2725" spans="7:7" x14ac:dyDescent="0.25">
      <c r="G2725"/>
    </row>
    <row r="2726" spans="7:7" x14ac:dyDescent="0.25">
      <c r="G2726"/>
    </row>
    <row r="2727" spans="7:7" x14ac:dyDescent="0.25">
      <c r="G2727"/>
    </row>
    <row r="2728" spans="7:7" x14ac:dyDescent="0.25">
      <c r="G2728"/>
    </row>
    <row r="2729" spans="7:7" x14ac:dyDescent="0.25">
      <c r="G2729"/>
    </row>
    <row r="2730" spans="7:7" x14ac:dyDescent="0.25">
      <c r="G2730"/>
    </row>
    <row r="2731" spans="7:7" x14ac:dyDescent="0.25">
      <c r="G2731"/>
    </row>
    <row r="2732" spans="7:7" x14ac:dyDescent="0.25">
      <c r="G2732"/>
    </row>
    <row r="2733" spans="7:7" x14ac:dyDescent="0.25">
      <c r="G2733"/>
    </row>
    <row r="2734" spans="7:7" x14ac:dyDescent="0.25">
      <c r="G2734"/>
    </row>
    <row r="2735" spans="7:7" x14ac:dyDescent="0.25">
      <c r="G2735"/>
    </row>
    <row r="2736" spans="7:7" x14ac:dyDescent="0.25">
      <c r="G2736"/>
    </row>
    <row r="2737" spans="7:7" x14ac:dyDescent="0.25">
      <c r="G2737"/>
    </row>
    <row r="2738" spans="7:7" x14ac:dyDescent="0.25">
      <c r="G2738"/>
    </row>
    <row r="2739" spans="7:7" x14ac:dyDescent="0.25">
      <c r="G2739"/>
    </row>
    <row r="2740" spans="7:7" x14ac:dyDescent="0.25">
      <c r="G2740"/>
    </row>
    <row r="2741" spans="7:7" x14ac:dyDescent="0.25">
      <c r="G2741"/>
    </row>
    <row r="2742" spans="7:7" x14ac:dyDescent="0.25">
      <c r="G2742"/>
    </row>
    <row r="2743" spans="7:7" x14ac:dyDescent="0.25">
      <c r="G2743"/>
    </row>
    <row r="2744" spans="7:7" x14ac:dyDescent="0.25">
      <c r="G2744"/>
    </row>
    <row r="2745" spans="7:7" x14ac:dyDescent="0.25">
      <c r="G2745"/>
    </row>
    <row r="2746" spans="7:7" x14ac:dyDescent="0.25">
      <c r="G2746"/>
    </row>
    <row r="2747" spans="7:7" x14ac:dyDescent="0.25">
      <c r="G2747"/>
    </row>
    <row r="2748" spans="7:7" x14ac:dyDescent="0.25">
      <c r="G2748"/>
    </row>
    <row r="2749" spans="7:7" x14ac:dyDescent="0.25">
      <c r="G2749"/>
    </row>
    <row r="2750" spans="7:7" x14ac:dyDescent="0.25">
      <c r="G2750"/>
    </row>
    <row r="2751" spans="7:7" x14ac:dyDescent="0.25">
      <c r="G2751"/>
    </row>
    <row r="2752" spans="7:7" x14ac:dyDescent="0.25">
      <c r="G2752"/>
    </row>
    <row r="2753" spans="7:7" x14ac:dyDescent="0.25">
      <c r="G2753"/>
    </row>
    <row r="2754" spans="7:7" x14ac:dyDescent="0.25">
      <c r="G2754"/>
    </row>
    <row r="2755" spans="7:7" x14ac:dyDescent="0.25">
      <c r="G2755"/>
    </row>
    <row r="2756" spans="7:7" x14ac:dyDescent="0.25">
      <c r="G2756"/>
    </row>
    <row r="2757" spans="7:7" x14ac:dyDescent="0.25">
      <c r="G2757"/>
    </row>
    <row r="2758" spans="7:7" x14ac:dyDescent="0.25">
      <c r="G2758"/>
    </row>
    <row r="2759" spans="7:7" x14ac:dyDescent="0.25">
      <c r="G2759"/>
    </row>
    <row r="2760" spans="7:7" x14ac:dyDescent="0.25">
      <c r="G2760"/>
    </row>
    <row r="2761" spans="7:7" x14ac:dyDescent="0.25">
      <c r="G2761"/>
    </row>
    <row r="2762" spans="7:7" x14ac:dyDescent="0.25">
      <c r="G2762"/>
    </row>
    <row r="2763" spans="7:7" x14ac:dyDescent="0.25">
      <c r="G2763"/>
    </row>
    <row r="2764" spans="7:7" x14ac:dyDescent="0.25">
      <c r="G2764"/>
    </row>
    <row r="2765" spans="7:7" x14ac:dyDescent="0.25">
      <c r="G2765"/>
    </row>
    <row r="2766" spans="7:7" x14ac:dyDescent="0.25">
      <c r="G2766"/>
    </row>
    <row r="2767" spans="7:7" x14ac:dyDescent="0.25">
      <c r="G2767"/>
    </row>
    <row r="2768" spans="7:7" x14ac:dyDescent="0.25">
      <c r="G2768"/>
    </row>
    <row r="2769" spans="7:7" x14ac:dyDescent="0.25">
      <c r="G2769"/>
    </row>
    <row r="2770" spans="7:7" x14ac:dyDescent="0.25">
      <c r="G2770"/>
    </row>
    <row r="2771" spans="7:7" x14ac:dyDescent="0.25">
      <c r="G2771"/>
    </row>
    <row r="2772" spans="7:7" x14ac:dyDescent="0.25">
      <c r="G2772"/>
    </row>
    <row r="2773" spans="7:7" x14ac:dyDescent="0.25">
      <c r="G2773"/>
    </row>
    <row r="2774" spans="7:7" x14ac:dyDescent="0.25">
      <c r="G2774"/>
    </row>
    <row r="2775" spans="7:7" x14ac:dyDescent="0.25">
      <c r="G2775"/>
    </row>
    <row r="2776" spans="7:7" x14ac:dyDescent="0.25">
      <c r="G2776"/>
    </row>
    <row r="2777" spans="7:7" x14ac:dyDescent="0.25">
      <c r="G2777"/>
    </row>
    <row r="2778" spans="7:7" x14ac:dyDescent="0.25">
      <c r="G2778"/>
    </row>
    <row r="2779" spans="7:7" x14ac:dyDescent="0.25">
      <c r="G2779"/>
    </row>
    <row r="2780" spans="7:7" x14ac:dyDescent="0.25">
      <c r="G2780"/>
    </row>
    <row r="2781" spans="7:7" x14ac:dyDescent="0.25">
      <c r="G2781"/>
    </row>
    <row r="2782" spans="7:7" x14ac:dyDescent="0.25">
      <c r="G2782"/>
    </row>
    <row r="2783" spans="7:7" x14ac:dyDescent="0.25">
      <c r="G2783"/>
    </row>
    <row r="2784" spans="7:7" x14ac:dyDescent="0.25">
      <c r="G2784"/>
    </row>
    <row r="2785" spans="7:7" x14ac:dyDescent="0.25">
      <c r="G2785"/>
    </row>
    <row r="2786" spans="7:7" x14ac:dyDescent="0.25">
      <c r="G2786"/>
    </row>
    <row r="2787" spans="7:7" x14ac:dyDescent="0.25">
      <c r="G2787"/>
    </row>
    <row r="2788" spans="7:7" x14ac:dyDescent="0.25">
      <c r="G2788"/>
    </row>
    <row r="2789" spans="7:7" x14ac:dyDescent="0.25">
      <c r="G2789"/>
    </row>
  </sheetData>
  <mergeCells count="9">
    <mergeCell ref="C5:H5"/>
    <mergeCell ref="L13:L14"/>
    <mergeCell ref="M13:M14"/>
    <mergeCell ref="N13:N14"/>
    <mergeCell ref="S13:S14"/>
    <mergeCell ref="R13:R14"/>
    <mergeCell ref="Q13:Q14"/>
    <mergeCell ref="P13:P14"/>
    <mergeCell ref="O13:O14"/>
  </mergeCells>
  <printOptions horizontalCentered="1" verticalCentered="1"/>
  <pageMargins left="0.19685039370078741" right="0.19685039370078741" top="0.28999999999999998" bottom="0.19685039370078741" header="0" footer="0"/>
  <pageSetup paperSize="9" orientation="landscape"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C000"/>
  </sheetPr>
  <dimension ref="A1:M13"/>
  <sheetViews>
    <sheetView workbookViewId="0">
      <selection activeCell="J19" sqref="J19"/>
    </sheetView>
  </sheetViews>
  <sheetFormatPr defaultColWidth="9.140625" defaultRowHeight="15" x14ac:dyDescent="0.25"/>
  <cols>
    <col min="1" max="1" width="6.7109375" style="89" customWidth="1"/>
    <col min="2" max="2" width="34.42578125" style="89" customWidth="1"/>
    <col min="3" max="3" width="22.5703125" style="89" customWidth="1"/>
    <col min="4" max="16384" width="9.140625" style="89"/>
  </cols>
  <sheetData>
    <row r="1" spans="1:13" x14ac:dyDescent="0.25">
      <c r="A1" s="95"/>
      <c r="B1" s="96"/>
      <c r="E1" s="89" t="s">
        <v>944</v>
      </c>
      <c r="K1" s="89" t="s">
        <v>945</v>
      </c>
      <c r="L1" s="89" t="s">
        <v>946</v>
      </c>
    </row>
    <row r="2" spans="1:13" ht="44.25" customHeight="1" x14ac:dyDescent="0.25">
      <c r="A2" s="95"/>
      <c r="B2" s="96" t="s">
        <v>947</v>
      </c>
      <c r="C2" s="96" t="str">
        <f>CONCATENATE("d:\",C3,".kml")</f>
        <v>d:\Kachin_CampList_20170501.kml</v>
      </c>
      <c r="G2" s="89" t="s">
        <v>948</v>
      </c>
      <c r="H2" s="89" t="s">
        <v>949</v>
      </c>
      <c r="K2" s="89" t="s">
        <v>950</v>
      </c>
      <c r="L2" s="89" t="s">
        <v>951</v>
      </c>
      <c r="M2" s="89" t="s">
        <v>952</v>
      </c>
    </row>
    <row r="3" spans="1:13" x14ac:dyDescent="0.25">
      <c r="A3" s="95"/>
      <c r="B3" s="97" t="s">
        <v>953</v>
      </c>
      <c r="C3" s="89" t="str">
        <f>CONCATENATE("Kachin_CampList_",TEXT(Report_Date,"yyyymmdd"))</f>
        <v>Kachin_CampList_20170501</v>
      </c>
      <c r="G3" s="89" t="s">
        <v>954</v>
      </c>
      <c r="H3" s="89" t="s">
        <v>955</v>
      </c>
      <c r="K3" s="89" t="s">
        <v>956</v>
      </c>
      <c r="L3" s="89" t="s">
        <v>957</v>
      </c>
      <c r="M3" s="89" t="s">
        <v>958</v>
      </c>
    </row>
    <row r="4" spans="1:13" x14ac:dyDescent="0.25">
      <c r="A4" s="95"/>
      <c r="B4" s="97"/>
      <c r="G4" s="89" t="s">
        <v>959</v>
      </c>
      <c r="H4" s="89" t="s">
        <v>960</v>
      </c>
      <c r="K4" s="89" t="s">
        <v>961</v>
      </c>
      <c r="L4" s="89" t="s">
        <v>962</v>
      </c>
      <c r="M4" s="89" t="s">
        <v>963</v>
      </c>
    </row>
    <row r="5" spans="1:13" x14ac:dyDescent="0.25">
      <c r="B5" s="89" t="s">
        <v>964</v>
      </c>
      <c r="C5" s="89" t="s">
        <v>965</v>
      </c>
      <c r="K5" s="89" t="s">
        <v>966</v>
      </c>
      <c r="L5" s="89" t="s">
        <v>967</v>
      </c>
      <c r="M5" s="89" t="s">
        <v>968</v>
      </c>
    </row>
    <row r="6" spans="1:13" x14ac:dyDescent="0.25">
      <c r="B6" s="89" t="s">
        <v>969</v>
      </c>
      <c r="C6" s="89" t="s">
        <v>970</v>
      </c>
      <c r="K6" s="89" t="s">
        <v>971</v>
      </c>
      <c r="L6" s="89" t="s">
        <v>972</v>
      </c>
      <c r="M6" s="89" t="s">
        <v>973</v>
      </c>
    </row>
    <row r="8" spans="1:13" x14ac:dyDescent="0.25">
      <c r="B8" s="89" t="s">
        <v>974</v>
      </c>
      <c r="C8" s="89" t="s">
        <v>975</v>
      </c>
    </row>
    <row r="9" spans="1:13" x14ac:dyDescent="0.25">
      <c r="B9" s="89" t="s">
        <v>976</v>
      </c>
      <c r="C9" s="89" t="s">
        <v>977</v>
      </c>
      <c r="D9" s="89" t="s">
        <v>978</v>
      </c>
    </row>
    <row r="10" spans="1:13" x14ac:dyDescent="0.25">
      <c r="B10" s="89" t="s">
        <v>979</v>
      </c>
      <c r="C10" s="89" t="s">
        <v>980</v>
      </c>
    </row>
    <row r="11" spans="1:13" x14ac:dyDescent="0.25">
      <c r="B11" s="89" t="s">
        <v>981</v>
      </c>
      <c r="C11" s="89" t="s">
        <v>982</v>
      </c>
    </row>
    <row r="13" spans="1:13" x14ac:dyDescent="0.25">
      <c r="B13" s="89" t="s">
        <v>983</v>
      </c>
      <c r="C13" s="89" t="s">
        <v>984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C000"/>
    <pageSetUpPr fitToPage="1"/>
  </sheetPr>
  <dimension ref="A1:S25"/>
  <sheetViews>
    <sheetView showZeros="0" workbookViewId="0">
      <selection activeCell="B24" sqref="B24"/>
    </sheetView>
  </sheetViews>
  <sheetFormatPr defaultRowHeight="15" x14ac:dyDescent="0.25"/>
  <cols>
    <col min="1" max="1" width="22.7109375" bestFit="1" customWidth="1"/>
    <col min="2" max="2" width="33.85546875" bestFit="1" customWidth="1"/>
    <col min="3" max="3" width="34" bestFit="1" customWidth="1"/>
    <col min="4" max="4" width="36.7109375" bestFit="1" customWidth="1"/>
    <col min="5" max="5" width="18" bestFit="1" customWidth="1"/>
    <col min="6" max="6" width="3.5703125" bestFit="1" customWidth="1"/>
    <col min="10" max="10" width="14" customWidth="1"/>
    <col min="11" max="11" width="14" style="89" customWidth="1"/>
    <col min="12" max="12" width="15.28515625" customWidth="1"/>
    <col min="13" max="13" width="15.28515625" style="89" customWidth="1"/>
    <col min="14" max="14" width="14.85546875" customWidth="1"/>
    <col min="16" max="16" width="22.5703125" customWidth="1"/>
    <col min="17" max="17" width="21.42578125" customWidth="1"/>
  </cols>
  <sheetData>
    <row r="1" spans="1:19" s="30" customFormat="1" x14ac:dyDescent="0.25">
      <c r="A1" s="30" t="s">
        <v>484</v>
      </c>
      <c r="B1" s="30" t="s">
        <v>486</v>
      </c>
      <c r="C1" s="30" t="s">
        <v>485</v>
      </c>
      <c r="D1" s="30" t="s">
        <v>410</v>
      </c>
      <c r="E1" s="30" t="s">
        <v>488</v>
      </c>
      <c r="F1" s="30" t="s">
        <v>487</v>
      </c>
      <c r="J1" s="2" t="s">
        <v>395</v>
      </c>
      <c r="K1" s="2"/>
      <c r="L1" s="2" t="s">
        <v>380</v>
      </c>
      <c r="M1" s="2"/>
      <c r="N1" s="2" t="s">
        <v>552</v>
      </c>
      <c r="O1" s="2"/>
      <c r="P1" s="2" t="s">
        <v>401</v>
      </c>
      <c r="Q1" s="2" t="s">
        <v>498</v>
      </c>
      <c r="R1"/>
      <c r="S1" s="2" t="s">
        <v>1289</v>
      </c>
    </row>
    <row r="2" spans="1:19" x14ac:dyDescent="0.25">
      <c r="A2" t="s">
        <v>434</v>
      </c>
      <c r="B2" t="s">
        <v>475</v>
      </c>
      <c r="C2" t="s">
        <v>465</v>
      </c>
      <c r="D2" t="s">
        <v>468</v>
      </c>
      <c r="E2" s="89">
        <v>12</v>
      </c>
      <c r="F2">
        <v>2</v>
      </c>
      <c r="J2" s="34" t="s">
        <v>380</v>
      </c>
      <c r="K2" s="34"/>
      <c r="L2" s="34" t="s">
        <v>5</v>
      </c>
      <c r="M2" s="34"/>
      <c r="N2" s="34" t="s">
        <v>146</v>
      </c>
      <c r="O2" s="34"/>
      <c r="P2" s="34" t="s">
        <v>396</v>
      </c>
      <c r="Q2" s="34" t="s">
        <v>493</v>
      </c>
      <c r="S2" t="s">
        <v>1291</v>
      </c>
    </row>
    <row r="3" spans="1:19" x14ac:dyDescent="0.25">
      <c r="A3" t="s">
        <v>1207</v>
      </c>
      <c r="B3" t="s">
        <v>1209</v>
      </c>
      <c r="C3" t="s">
        <v>1210</v>
      </c>
      <c r="D3" t="s">
        <v>1211</v>
      </c>
      <c r="E3" s="89">
        <v>12</v>
      </c>
      <c r="F3">
        <v>1</v>
      </c>
      <c r="J3" s="34" t="s">
        <v>381</v>
      </c>
      <c r="K3" s="34"/>
      <c r="L3" s="34" t="s">
        <v>27</v>
      </c>
      <c r="M3" s="34"/>
      <c r="N3" s="34" t="s">
        <v>166</v>
      </c>
      <c r="O3" s="34"/>
      <c r="P3" s="34" t="s">
        <v>397</v>
      </c>
      <c r="Q3" s="34" t="s">
        <v>494</v>
      </c>
      <c r="S3" t="s">
        <v>1292</v>
      </c>
    </row>
    <row r="4" spans="1:19" x14ac:dyDescent="0.25">
      <c r="A4" t="s">
        <v>454</v>
      </c>
      <c r="B4" t="s">
        <v>476</v>
      </c>
      <c r="C4" t="s">
        <v>461</v>
      </c>
      <c r="D4" t="s">
        <v>471</v>
      </c>
      <c r="E4" s="89">
        <v>12</v>
      </c>
      <c r="F4">
        <v>1</v>
      </c>
      <c r="J4" s="34" t="s">
        <v>552</v>
      </c>
      <c r="K4" s="34"/>
      <c r="L4" s="34" t="s">
        <v>526</v>
      </c>
      <c r="M4" s="34"/>
      <c r="N4" s="34" t="s">
        <v>230</v>
      </c>
      <c r="O4" s="34"/>
      <c r="P4" s="34" t="s">
        <v>398</v>
      </c>
      <c r="Q4" s="34" t="s">
        <v>492</v>
      </c>
    </row>
    <row r="5" spans="1:19" x14ac:dyDescent="0.25">
      <c r="A5" t="s">
        <v>435</v>
      </c>
      <c r="B5" t="s">
        <v>477</v>
      </c>
      <c r="C5" t="s">
        <v>466</v>
      </c>
      <c r="D5" t="s">
        <v>469</v>
      </c>
      <c r="E5" s="89">
        <v>12</v>
      </c>
      <c r="F5">
        <v>1</v>
      </c>
      <c r="J5" s="2"/>
      <c r="K5" s="2"/>
      <c r="L5" s="34" t="s">
        <v>363</v>
      </c>
      <c r="M5" s="34"/>
      <c r="N5" s="34" t="s">
        <v>289</v>
      </c>
      <c r="O5" s="34"/>
      <c r="P5" s="34" t="s">
        <v>399</v>
      </c>
      <c r="Q5" s="34"/>
    </row>
    <row r="6" spans="1:19" x14ac:dyDescent="0.25">
      <c r="A6" t="s">
        <v>594</v>
      </c>
      <c r="B6" t="s">
        <v>478</v>
      </c>
      <c r="C6" t="s">
        <v>470</v>
      </c>
      <c r="D6" t="s">
        <v>474</v>
      </c>
      <c r="E6" s="89">
        <v>12</v>
      </c>
      <c r="F6">
        <v>2</v>
      </c>
      <c r="J6" s="34"/>
      <c r="K6" s="34"/>
      <c r="L6" s="34" t="s">
        <v>144</v>
      </c>
      <c r="M6" s="34"/>
      <c r="N6" s="34" t="s">
        <v>298</v>
      </c>
      <c r="O6" s="34"/>
      <c r="P6" s="34" t="s">
        <v>400</v>
      </c>
      <c r="Q6" s="34"/>
    </row>
    <row r="7" spans="1:19" x14ac:dyDescent="0.25">
      <c r="A7" t="s">
        <v>404</v>
      </c>
      <c r="B7" t="s">
        <v>479</v>
      </c>
      <c r="C7" t="s">
        <v>462</v>
      </c>
      <c r="D7" t="s">
        <v>472</v>
      </c>
      <c r="E7" s="89">
        <v>12</v>
      </c>
      <c r="F7">
        <v>1</v>
      </c>
      <c r="J7" s="34"/>
      <c r="K7" s="34"/>
      <c r="L7" s="89" t="s">
        <v>891</v>
      </c>
      <c r="N7" s="34" t="s">
        <v>778</v>
      </c>
      <c r="O7" s="34"/>
      <c r="P7" s="34"/>
      <c r="Q7" s="34"/>
    </row>
    <row r="8" spans="1:19" x14ac:dyDescent="0.25">
      <c r="A8" t="s">
        <v>455</v>
      </c>
      <c r="B8" t="s">
        <v>480</v>
      </c>
      <c r="C8" t="s">
        <v>463</v>
      </c>
      <c r="D8" t="s">
        <v>473</v>
      </c>
      <c r="E8" s="89">
        <v>12</v>
      </c>
      <c r="F8">
        <v>1</v>
      </c>
      <c r="J8" s="34"/>
      <c r="K8" s="34"/>
      <c r="L8" s="34" t="s">
        <v>151</v>
      </c>
      <c r="M8" s="34"/>
      <c r="O8" s="34"/>
      <c r="P8" s="34"/>
      <c r="Q8" s="34"/>
    </row>
    <row r="9" spans="1:19" x14ac:dyDescent="0.25">
      <c r="A9" t="s">
        <v>456</v>
      </c>
      <c r="B9" t="s">
        <v>481</v>
      </c>
      <c r="C9" t="s">
        <v>464</v>
      </c>
      <c r="D9" t="s">
        <v>467</v>
      </c>
      <c r="E9" s="89">
        <v>12</v>
      </c>
      <c r="F9">
        <v>1</v>
      </c>
      <c r="J9" s="34"/>
      <c r="K9" s="34"/>
      <c r="L9" s="34" t="s">
        <v>173</v>
      </c>
      <c r="M9" s="34"/>
      <c r="N9" s="34"/>
      <c r="O9" s="34"/>
      <c r="P9" s="34"/>
      <c r="Q9" s="34"/>
    </row>
    <row r="10" spans="1:19" x14ac:dyDescent="0.25">
      <c r="A10" t="s">
        <v>576</v>
      </c>
      <c r="B10" s="62" t="s">
        <v>578</v>
      </c>
      <c r="C10" s="62" t="s">
        <v>580</v>
      </c>
      <c r="D10" s="62" t="s">
        <v>582</v>
      </c>
      <c r="E10" s="89">
        <v>12</v>
      </c>
      <c r="F10" s="62">
        <v>1</v>
      </c>
      <c r="J10" s="34"/>
      <c r="K10" s="34"/>
      <c r="L10" s="34" t="s">
        <v>180</v>
      </c>
      <c r="M10" s="34"/>
      <c r="N10" s="34"/>
      <c r="O10" s="34"/>
      <c r="P10" s="34"/>
      <c r="Q10" s="34"/>
    </row>
    <row r="11" spans="1:19" x14ac:dyDescent="0.25">
      <c r="A11" t="s">
        <v>577</v>
      </c>
      <c r="B11" s="62" t="s">
        <v>579</v>
      </c>
      <c r="C11" s="62" t="s">
        <v>581</v>
      </c>
      <c r="D11" s="62" t="s">
        <v>583</v>
      </c>
      <c r="E11" s="89">
        <v>12</v>
      </c>
      <c r="F11" s="62">
        <v>5</v>
      </c>
      <c r="J11" s="34"/>
      <c r="K11" s="34"/>
      <c r="L11" s="34" t="s">
        <v>185</v>
      </c>
      <c r="M11" s="34"/>
      <c r="N11" s="34"/>
      <c r="O11" s="34"/>
      <c r="P11" s="34"/>
      <c r="Q11" s="34"/>
    </row>
    <row r="12" spans="1:19" x14ac:dyDescent="0.25">
      <c r="A12" t="s">
        <v>986</v>
      </c>
      <c r="B12" s="89" t="s">
        <v>987</v>
      </c>
      <c r="C12" s="89" t="s">
        <v>988</v>
      </c>
      <c r="D12" s="89" t="s">
        <v>989</v>
      </c>
      <c r="E12" s="89">
        <v>12</v>
      </c>
      <c r="F12">
        <v>2</v>
      </c>
      <c r="J12" s="34"/>
      <c r="K12" s="34"/>
      <c r="L12" s="34" t="s">
        <v>379</v>
      </c>
      <c r="M12" s="34"/>
      <c r="N12" s="34"/>
      <c r="O12" s="34"/>
      <c r="P12" s="34"/>
      <c r="Q12" s="34"/>
    </row>
    <row r="13" spans="1:19" x14ac:dyDescent="0.25">
      <c r="A13" s="89" t="s">
        <v>990</v>
      </c>
      <c r="B13" s="89" t="s">
        <v>991</v>
      </c>
      <c r="C13" s="89" t="s">
        <v>992</v>
      </c>
      <c r="D13" s="89" t="s">
        <v>993</v>
      </c>
      <c r="E13" s="89">
        <v>12</v>
      </c>
      <c r="F13">
        <v>3</v>
      </c>
      <c r="J13" s="34"/>
      <c r="K13" s="34"/>
      <c r="L13" s="34" t="s">
        <v>237</v>
      </c>
      <c r="M13" s="34"/>
      <c r="N13" s="34"/>
      <c r="O13" s="34"/>
      <c r="P13" s="34"/>
      <c r="Q13" s="34"/>
    </row>
    <row r="14" spans="1:19" x14ac:dyDescent="0.25">
      <c r="A14" t="s">
        <v>994</v>
      </c>
      <c r="B14" s="89" t="s">
        <v>995</v>
      </c>
      <c r="C14" s="89" t="s">
        <v>996</v>
      </c>
      <c r="D14" s="89" t="s">
        <v>997</v>
      </c>
      <c r="E14" s="89">
        <v>12</v>
      </c>
      <c r="F14">
        <v>10</v>
      </c>
      <c r="J14" s="34"/>
      <c r="K14" s="34"/>
      <c r="L14" s="34" t="s">
        <v>300</v>
      </c>
      <c r="M14" s="34"/>
      <c r="N14" s="34"/>
      <c r="O14" s="34"/>
      <c r="P14" s="34"/>
      <c r="Q14" s="34"/>
    </row>
    <row r="15" spans="1:19" x14ac:dyDescent="0.25">
      <c r="A15" t="s">
        <v>1106</v>
      </c>
      <c r="B15" t="s">
        <v>1107</v>
      </c>
      <c r="C15" s="89" t="s">
        <v>1108</v>
      </c>
      <c r="D15" s="89" t="s">
        <v>1109</v>
      </c>
      <c r="E15" s="89">
        <v>24</v>
      </c>
      <c r="F15">
        <v>2</v>
      </c>
      <c r="J15" s="34"/>
      <c r="K15" s="34"/>
      <c r="L15" s="34" t="s">
        <v>302</v>
      </c>
      <c r="M15" s="34"/>
      <c r="N15" s="34"/>
      <c r="O15" s="34"/>
      <c r="P15" s="34"/>
      <c r="Q15" s="34"/>
    </row>
    <row r="16" spans="1:19" x14ac:dyDescent="0.25">
      <c r="A16" t="s">
        <v>1293</v>
      </c>
      <c r="B16" t="s">
        <v>1295</v>
      </c>
      <c r="C16" t="s">
        <v>1296</v>
      </c>
      <c r="D16" t="s">
        <v>1297</v>
      </c>
      <c r="E16">
        <v>12</v>
      </c>
      <c r="F16">
        <v>1</v>
      </c>
      <c r="J16" s="34"/>
      <c r="K16" s="34"/>
      <c r="L16" s="34" t="s">
        <v>807</v>
      </c>
      <c r="M16" s="34"/>
      <c r="N16" s="34"/>
      <c r="O16" s="34"/>
      <c r="P16" s="34"/>
      <c r="Q16" s="34"/>
    </row>
    <row r="17" spans="1:17" x14ac:dyDescent="0.25">
      <c r="J17" s="34"/>
      <c r="K17" s="34"/>
      <c r="L17" s="34" t="s">
        <v>310</v>
      </c>
      <c r="M17" s="34"/>
      <c r="N17" s="34"/>
      <c r="O17" s="34"/>
      <c r="P17" s="34"/>
      <c r="Q17" s="34"/>
    </row>
    <row r="18" spans="1:17" x14ac:dyDescent="0.25">
      <c r="J18" s="34"/>
      <c r="K18" s="34"/>
      <c r="L18" s="34" t="s">
        <v>1396</v>
      </c>
      <c r="M18" s="34"/>
      <c r="N18" s="34"/>
      <c r="O18" s="34"/>
      <c r="P18" s="34"/>
      <c r="Q18" s="34"/>
    </row>
    <row r="19" spans="1:17" x14ac:dyDescent="0.25">
      <c r="J19" s="34"/>
      <c r="K19" s="34"/>
      <c r="L19" s="34"/>
      <c r="M19" s="34"/>
      <c r="N19" s="34"/>
      <c r="O19" s="34"/>
      <c r="P19" s="34"/>
      <c r="Q19" s="34"/>
    </row>
    <row r="20" spans="1:17" x14ac:dyDescent="0.25">
      <c r="A20" s="2"/>
      <c r="J20" s="34"/>
      <c r="K20" s="34"/>
      <c r="L20" s="34"/>
      <c r="M20" s="34"/>
      <c r="N20" s="34"/>
      <c r="O20" s="34"/>
      <c r="P20" s="34"/>
      <c r="Q20" s="34"/>
    </row>
    <row r="21" spans="1:17" x14ac:dyDescent="0.25">
      <c r="L21" s="34"/>
    </row>
    <row r="22" spans="1:17" x14ac:dyDescent="0.25">
      <c r="L22" s="34"/>
    </row>
    <row r="23" spans="1:17" x14ac:dyDescent="0.25">
      <c r="A23" t="s">
        <v>1142</v>
      </c>
      <c r="B23" s="49">
        <v>42856</v>
      </c>
      <c r="L23" s="34"/>
    </row>
    <row r="24" spans="1:17" x14ac:dyDescent="0.25">
      <c r="A24" t="s">
        <v>1143</v>
      </c>
      <c r="B24" s="136">
        <v>41640</v>
      </c>
      <c r="C24" s="136"/>
      <c r="L24" s="34"/>
    </row>
    <row r="25" spans="1:17" x14ac:dyDescent="0.25">
      <c r="B25" s="136"/>
    </row>
  </sheetData>
  <sortState ref="J2:M17">
    <sortCondition ref="L11"/>
  </sortState>
  <printOptions gridLines="1"/>
  <pageMargins left="0.25" right="0.25" top="0.75" bottom="0.75" header="0.3" footer="0.3"/>
  <pageSetup paperSize="9" orientation="landscape"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sheetPr>
  <dimension ref="A1:E183"/>
  <sheetViews>
    <sheetView topLeftCell="A55" zoomScale="115" zoomScaleNormal="115" workbookViewId="0">
      <selection activeCell="B48" sqref="B48"/>
    </sheetView>
  </sheetViews>
  <sheetFormatPr defaultRowHeight="15" x14ac:dyDescent="0.25"/>
  <cols>
    <col min="1" max="1" width="20" style="89" customWidth="1"/>
    <col min="2" max="2" width="23" style="89" customWidth="1"/>
    <col min="3" max="3" width="11.7109375" style="143" customWidth="1"/>
    <col min="5" max="5" width="15.28515625" bestFit="1" customWidth="1"/>
  </cols>
  <sheetData>
    <row r="1" spans="1:5" s="145" customFormat="1" x14ac:dyDescent="0.25">
      <c r="A1" s="144" t="s">
        <v>924</v>
      </c>
      <c r="B1" s="146" t="s">
        <v>1181</v>
      </c>
      <c r="C1" s="147" t="s">
        <v>1182</v>
      </c>
    </row>
    <row r="2" spans="1:5" x14ac:dyDescent="0.25">
      <c r="A2" s="94" t="s">
        <v>236</v>
      </c>
      <c r="B2" s="133" t="s">
        <v>670</v>
      </c>
      <c r="C2" s="140">
        <v>3.1341427522963001</v>
      </c>
      <c r="E2" s="542" t="s">
        <v>13</v>
      </c>
    </row>
    <row r="3" spans="1:5" x14ac:dyDescent="0.25">
      <c r="A3" s="94" t="s">
        <v>268</v>
      </c>
      <c r="B3" s="133" t="s">
        <v>670</v>
      </c>
      <c r="C3" s="140">
        <v>3.8820329084732199</v>
      </c>
      <c r="E3" s="543" t="s">
        <v>378</v>
      </c>
    </row>
    <row r="4" spans="1:5" x14ac:dyDescent="0.25">
      <c r="A4" s="94" t="s">
        <v>250</v>
      </c>
      <c r="B4" s="133" t="s">
        <v>670</v>
      </c>
      <c r="C4" s="140">
        <v>2.3045478259125423</v>
      </c>
      <c r="E4" s="542" t="s">
        <v>1116</v>
      </c>
    </row>
    <row r="5" spans="1:5" x14ac:dyDescent="0.25">
      <c r="A5" s="94" t="s">
        <v>248</v>
      </c>
      <c r="B5" s="133" t="s">
        <v>670</v>
      </c>
      <c r="C5" s="140">
        <v>3.3637010801853577</v>
      </c>
      <c r="E5" s="543" t="s">
        <v>1247</v>
      </c>
    </row>
    <row r="6" spans="1:5" x14ac:dyDescent="0.25">
      <c r="A6" s="94" t="s">
        <v>274</v>
      </c>
      <c r="B6" s="133" t="s">
        <v>670</v>
      </c>
      <c r="C6" s="140">
        <v>2.0123527499589278</v>
      </c>
      <c r="E6" s="542" t="s">
        <v>1258</v>
      </c>
    </row>
    <row r="7" spans="1:5" x14ac:dyDescent="0.25">
      <c r="A7" s="94" t="s">
        <v>276</v>
      </c>
      <c r="B7" s="133" t="s">
        <v>670</v>
      </c>
      <c r="C7" s="140">
        <v>2.9133254097712102</v>
      </c>
      <c r="E7" s="545" t="s">
        <v>1259</v>
      </c>
    </row>
    <row r="8" spans="1:5" x14ac:dyDescent="0.25">
      <c r="A8" s="94" t="s">
        <v>278</v>
      </c>
      <c r="B8" s="133" t="s">
        <v>670</v>
      </c>
      <c r="C8" s="140">
        <v>4.9021696969220816</v>
      </c>
      <c r="E8" s="544" t="s">
        <v>1286</v>
      </c>
    </row>
    <row r="9" spans="1:5" x14ac:dyDescent="0.25">
      <c r="A9" s="134" t="s">
        <v>260</v>
      </c>
      <c r="B9" s="133" t="s">
        <v>670</v>
      </c>
      <c r="C9" s="140">
        <v>5.4145379230647226</v>
      </c>
      <c r="E9" s="545" t="s">
        <v>1288</v>
      </c>
    </row>
    <row r="10" spans="1:5" x14ac:dyDescent="0.25">
      <c r="A10" s="134" t="s">
        <v>280</v>
      </c>
      <c r="B10" s="133" t="s">
        <v>670</v>
      </c>
      <c r="C10" s="140">
        <v>6.6198004689728469</v>
      </c>
      <c r="E10" s="542" t="s">
        <v>1394</v>
      </c>
    </row>
    <row r="11" spans="1:5" x14ac:dyDescent="0.25">
      <c r="A11" s="94" t="s">
        <v>244</v>
      </c>
      <c r="B11" s="133" t="s">
        <v>670</v>
      </c>
      <c r="C11" s="140">
        <v>1.1985969617964649</v>
      </c>
      <c r="E11" s="545" t="s">
        <v>1096</v>
      </c>
    </row>
    <row r="12" spans="1:5" x14ac:dyDescent="0.25">
      <c r="A12" s="94" t="s">
        <v>246</v>
      </c>
      <c r="B12" s="133" t="s">
        <v>670</v>
      </c>
      <c r="C12" s="140">
        <v>1.3510454549069482</v>
      </c>
      <c r="E12" s="542" t="s">
        <v>1246</v>
      </c>
    </row>
    <row r="13" spans="1:5" x14ac:dyDescent="0.25">
      <c r="A13" s="94" t="s">
        <v>242</v>
      </c>
      <c r="B13" s="133" t="s">
        <v>670</v>
      </c>
      <c r="C13" s="140">
        <v>1.5295244799681529</v>
      </c>
      <c r="E13" s="543" t="s">
        <v>1303</v>
      </c>
    </row>
    <row r="14" spans="1:5" x14ac:dyDescent="0.25">
      <c r="A14" s="94" t="s">
        <v>256</v>
      </c>
      <c r="B14" s="133" t="s">
        <v>670</v>
      </c>
      <c r="C14" s="140">
        <v>2.8164250706222882</v>
      </c>
      <c r="E14" s="544" t="s">
        <v>1379</v>
      </c>
    </row>
    <row r="15" spans="1:5" x14ac:dyDescent="0.25">
      <c r="A15" s="94" t="s">
        <v>284</v>
      </c>
      <c r="B15" s="133" t="s">
        <v>670</v>
      </c>
      <c r="C15" s="140">
        <v>4.262018365878137</v>
      </c>
      <c r="E15" s="545" t="s">
        <v>1380</v>
      </c>
    </row>
    <row r="16" spans="1:5" x14ac:dyDescent="0.25">
      <c r="A16" s="94" t="s">
        <v>239</v>
      </c>
      <c r="B16" s="133" t="s">
        <v>670</v>
      </c>
      <c r="C16" s="140">
        <v>3.3602711423118103</v>
      </c>
      <c r="E16" s="544" t="s">
        <v>1381</v>
      </c>
    </row>
    <row r="17" spans="1:5" x14ac:dyDescent="0.25">
      <c r="A17" s="94" t="s">
        <v>258</v>
      </c>
      <c r="B17" s="133" t="s">
        <v>694</v>
      </c>
      <c r="C17" s="140">
        <v>3.3362307375127798</v>
      </c>
      <c r="E17" s="545" t="s">
        <v>1382</v>
      </c>
    </row>
    <row r="18" spans="1:5" x14ac:dyDescent="0.25">
      <c r="A18" s="94" t="s">
        <v>266</v>
      </c>
      <c r="B18" s="133" t="s">
        <v>670</v>
      </c>
      <c r="C18" s="140">
        <v>1.3751794210741128</v>
      </c>
      <c r="E18" s="544" t="s">
        <v>1383</v>
      </c>
    </row>
    <row r="19" spans="1:5" x14ac:dyDescent="0.25">
      <c r="A19" s="94" t="s">
        <v>252</v>
      </c>
      <c r="B19" s="133" t="s">
        <v>670</v>
      </c>
      <c r="C19" s="140">
        <v>2.4647367211404561</v>
      </c>
      <c r="E19" s="545" t="s">
        <v>1384</v>
      </c>
    </row>
    <row r="20" spans="1:5" x14ac:dyDescent="0.25">
      <c r="A20" s="94" t="s">
        <v>254</v>
      </c>
      <c r="B20" s="133" t="s">
        <v>670</v>
      </c>
      <c r="C20" s="140">
        <v>1.8563710010113432</v>
      </c>
      <c r="E20" s="544" t="s">
        <v>1385</v>
      </c>
    </row>
    <row r="21" spans="1:5" x14ac:dyDescent="0.25">
      <c r="A21" s="94" t="s">
        <v>262</v>
      </c>
      <c r="B21" s="133" t="s">
        <v>670</v>
      </c>
      <c r="C21" s="140">
        <v>10.744749696609457</v>
      </c>
      <c r="E21" s="545" t="s">
        <v>1386</v>
      </c>
    </row>
    <row r="22" spans="1:5" x14ac:dyDescent="0.25">
      <c r="A22" s="94" t="s">
        <v>264</v>
      </c>
      <c r="B22" s="133" t="s">
        <v>670</v>
      </c>
      <c r="C22" s="140">
        <v>10.15228229456989</v>
      </c>
    </row>
    <row r="23" spans="1:5" x14ac:dyDescent="0.25">
      <c r="A23" s="94" t="s">
        <v>282</v>
      </c>
      <c r="B23" s="133" t="s">
        <v>670</v>
      </c>
      <c r="C23" s="140">
        <v>1.7877148351104664</v>
      </c>
    </row>
    <row r="24" spans="1:5" x14ac:dyDescent="0.25">
      <c r="A24" s="94" t="s">
        <v>241</v>
      </c>
      <c r="B24" s="133" t="s">
        <v>670</v>
      </c>
      <c r="C24" s="140">
        <v>2.6190942927115026</v>
      </c>
    </row>
    <row r="25" spans="1:5" x14ac:dyDescent="0.25">
      <c r="A25" s="94" t="s">
        <v>270</v>
      </c>
      <c r="B25" s="133" t="s">
        <v>670</v>
      </c>
      <c r="C25" s="140">
        <v>4.037940696665812</v>
      </c>
    </row>
    <row r="26" spans="1:5" x14ac:dyDescent="0.25">
      <c r="A26" s="94" t="s">
        <v>341</v>
      </c>
      <c r="B26" s="133" t="s">
        <v>694</v>
      </c>
      <c r="C26" s="140">
        <v>0.4474205416025816</v>
      </c>
    </row>
    <row r="27" spans="1:5" x14ac:dyDescent="0.25">
      <c r="A27" s="94" t="s">
        <v>350</v>
      </c>
      <c r="B27" s="133" t="s">
        <v>694</v>
      </c>
      <c r="C27" s="140">
        <v>1.0367202051285227</v>
      </c>
    </row>
    <row r="28" spans="1:5" x14ac:dyDescent="0.25">
      <c r="A28" s="141" t="s">
        <v>319</v>
      </c>
      <c r="B28" s="133" t="s">
        <v>694</v>
      </c>
      <c r="C28" s="140">
        <v>1.1134935940025397</v>
      </c>
    </row>
    <row r="29" spans="1:5" x14ac:dyDescent="0.25">
      <c r="A29" s="94" t="s">
        <v>312</v>
      </c>
      <c r="B29" s="133" t="s">
        <v>694</v>
      </c>
      <c r="C29" s="140">
        <v>5.0655036329811631</v>
      </c>
    </row>
    <row r="30" spans="1:5" x14ac:dyDescent="0.25">
      <c r="A30" s="134" t="s">
        <v>329</v>
      </c>
      <c r="B30" s="133" t="s">
        <v>670</v>
      </c>
      <c r="C30" s="140">
        <v>5.7019834469756479</v>
      </c>
    </row>
    <row r="31" spans="1:5" x14ac:dyDescent="0.25">
      <c r="A31" s="94" t="s">
        <v>337</v>
      </c>
      <c r="B31" s="133" t="s">
        <v>694</v>
      </c>
      <c r="C31" s="140">
        <v>0.77827912736780092</v>
      </c>
    </row>
    <row r="32" spans="1:5" x14ac:dyDescent="0.25">
      <c r="A32" s="94" t="s">
        <v>327</v>
      </c>
      <c r="B32" s="133" t="s">
        <v>670</v>
      </c>
      <c r="C32" s="140">
        <v>5.9727739497559158</v>
      </c>
    </row>
    <row r="33" spans="1:3" x14ac:dyDescent="0.25">
      <c r="A33" s="94" t="s">
        <v>317</v>
      </c>
      <c r="B33" s="133" t="s">
        <v>694</v>
      </c>
      <c r="C33" s="140">
        <v>0.37684287609457234</v>
      </c>
    </row>
    <row r="34" spans="1:3" x14ac:dyDescent="0.25">
      <c r="A34" s="94" t="s">
        <v>343</v>
      </c>
      <c r="B34" s="133" t="s">
        <v>670</v>
      </c>
      <c r="C34" s="140">
        <v>6.0275881703713861</v>
      </c>
    </row>
    <row r="35" spans="1:3" x14ac:dyDescent="0.25">
      <c r="A35" s="141" t="s">
        <v>309</v>
      </c>
      <c r="B35" s="133" t="s">
        <v>694</v>
      </c>
      <c r="C35" s="140">
        <v>0.70725493400809891</v>
      </c>
    </row>
    <row r="36" spans="1:3" x14ac:dyDescent="0.25">
      <c r="A36" s="94" t="s">
        <v>348</v>
      </c>
      <c r="B36" s="133" t="s">
        <v>694</v>
      </c>
      <c r="C36" s="140">
        <v>2.4174307716662291</v>
      </c>
    </row>
    <row r="37" spans="1:3" x14ac:dyDescent="0.25">
      <c r="A37" s="94" t="s">
        <v>315</v>
      </c>
      <c r="B37" s="133" t="s">
        <v>694</v>
      </c>
      <c r="C37" s="140">
        <v>0.15089472113650237</v>
      </c>
    </row>
    <row r="38" spans="1:3" x14ac:dyDescent="0.25">
      <c r="A38" s="94" t="s">
        <v>325</v>
      </c>
      <c r="B38" s="133" t="s">
        <v>670</v>
      </c>
      <c r="C38" s="140">
        <v>4.3887485673235673</v>
      </c>
    </row>
    <row r="39" spans="1:3" x14ac:dyDescent="0.25">
      <c r="A39" s="94" t="s">
        <v>323</v>
      </c>
      <c r="B39" s="133" t="s">
        <v>670</v>
      </c>
      <c r="C39" s="140">
        <v>5.2238983299151851</v>
      </c>
    </row>
    <row r="40" spans="1:3" x14ac:dyDescent="0.25">
      <c r="A40" s="94" t="s">
        <v>346</v>
      </c>
      <c r="B40" s="133" t="s">
        <v>1197</v>
      </c>
      <c r="C40" s="140">
        <v>9.3609732231189877</v>
      </c>
    </row>
    <row r="41" spans="1:3" x14ac:dyDescent="0.25">
      <c r="A41" s="94" t="s">
        <v>30</v>
      </c>
      <c r="B41" s="133" t="s">
        <v>790</v>
      </c>
      <c r="C41" s="140">
        <v>0.15809623370782155</v>
      </c>
    </row>
    <row r="42" spans="1:3" x14ac:dyDescent="0.25">
      <c r="A42" s="94" t="s">
        <v>29</v>
      </c>
      <c r="B42" s="133" t="s">
        <v>1184</v>
      </c>
      <c r="C42" s="140">
        <v>19.834999342466848</v>
      </c>
    </row>
    <row r="43" spans="1:3" x14ac:dyDescent="0.25">
      <c r="A43" s="94" t="s">
        <v>33</v>
      </c>
      <c r="B43" s="133" t="s">
        <v>1184</v>
      </c>
      <c r="C43" s="140">
        <v>12.486065224161463</v>
      </c>
    </row>
    <row r="44" spans="1:3" x14ac:dyDescent="0.25">
      <c r="A44" s="94" t="s">
        <v>21</v>
      </c>
      <c r="B44" s="133" t="s">
        <v>636</v>
      </c>
      <c r="C44" s="140">
        <v>1.5797992800898704</v>
      </c>
    </row>
    <row r="45" spans="1:3" x14ac:dyDescent="0.25">
      <c r="A45" s="94" t="s">
        <v>17</v>
      </c>
      <c r="B45" s="133" t="s">
        <v>636</v>
      </c>
      <c r="C45" s="140">
        <v>1.0876401420946245</v>
      </c>
    </row>
    <row r="46" spans="1:3" x14ac:dyDescent="0.25">
      <c r="A46" s="94" t="s">
        <v>4</v>
      </c>
      <c r="B46" s="133" t="s">
        <v>636</v>
      </c>
      <c r="C46" s="140">
        <v>0.78440046838596356</v>
      </c>
    </row>
    <row r="47" spans="1:3" x14ac:dyDescent="0.25">
      <c r="A47" s="94" t="s">
        <v>7</v>
      </c>
      <c r="B47" s="133" t="s">
        <v>636</v>
      </c>
      <c r="C47" s="140">
        <v>0.20824727902294948</v>
      </c>
    </row>
    <row r="48" spans="1:3" x14ac:dyDescent="0.25">
      <c r="A48" s="94" t="s">
        <v>13</v>
      </c>
      <c r="B48" s="133" t="s">
        <v>636</v>
      </c>
      <c r="C48" s="140">
        <v>0.84749304721635399</v>
      </c>
    </row>
    <row r="49" spans="1:3" x14ac:dyDescent="0.25">
      <c r="A49" s="94" t="s">
        <v>25</v>
      </c>
      <c r="B49" s="133" t="s">
        <v>636</v>
      </c>
      <c r="C49" s="140">
        <v>0.87147615879849294</v>
      </c>
    </row>
    <row r="50" spans="1:3" x14ac:dyDescent="0.25">
      <c r="A50" s="134" t="s">
        <v>19</v>
      </c>
      <c r="B50" s="133" t="s">
        <v>661</v>
      </c>
      <c r="C50" s="140">
        <v>8.3788619521763046</v>
      </c>
    </row>
    <row r="51" spans="1:3" x14ac:dyDescent="0.25">
      <c r="A51" s="94" t="s">
        <v>23</v>
      </c>
      <c r="B51" s="133" t="s">
        <v>636</v>
      </c>
      <c r="C51" s="140">
        <v>4.108228790802368</v>
      </c>
    </row>
    <row r="52" spans="1:3" x14ac:dyDescent="0.25">
      <c r="A52" s="94" t="s">
        <v>208</v>
      </c>
      <c r="B52" s="133" t="s">
        <v>661</v>
      </c>
      <c r="C52" s="140">
        <v>0.62513510418653162</v>
      </c>
    </row>
    <row r="53" spans="1:3" x14ac:dyDescent="0.25">
      <c r="A53" s="94" t="s">
        <v>206</v>
      </c>
      <c r="B53" s="133" t="s">
        <v>661</v>
      </c>
      <c r="C53" s="140">
        <v>0.49034468319599833</v>
      </c>
    </row>
    <row r="54" spans="1:3" x14ac:dyDescent="0.25">
      <c r="A54" s="94" t="s">
        <v>216</v>
      </c>
      <c r="B54" s="133" t="s">
        <v>661</v>
      </c>
      <c r="C54" s="140">
        <v>0.32830807173487342</v>
      </c>
    </row>
    <row r="55" spans="1:3" x14ac:dyDescent="0.25">
      <c r="A55" s="94" t="s">
        <v>226</v>
      </c>
      <c r="B55" s="133" t="s">
        <v>1194</v>
      </c>
      <c r="C55" s="140">
        <v>14.236592976936194</v>
      </c>
    </row>
    <row r="56" spans="1:3" x14ac:dyDescent="0.25">
      <c r="A56" s="94" t="s">
        <v>212</v>
      </c>
      <c r="B56" s="133" t="s">
        <v>661</v>
      </c>
      <c r="C56" s="140">
        <v>17.689123339899055</v>
      </c>
    </row>
    <row r="57" spans="1:3" x14ac:dyDescent="0.25">
      <c r="A57" s="94" t="s">
        <v>201</v>
      </c>
      <c r="B57" s="133" t="s">
        <v>661</v>
      </c>
      <c r="C57" s="140">
        <v>2.4411071835305544</v>
      </c>
    </row>
    <row r="58" spans="1:3" x14ac:dyDescent="0.25">
      <c r="A58" s="94" t="s">
        <v>203</v>
      </c>
      <c r="B58" s="133" t="s">
        <v>661</v>
      </c>
      <c r="C58" s="140">
        <v>17.282528446236295</v>
      </c>
    </row>
    <row r="59" spans="1:3" x14ac:dyDescent="0.25">
      <c r="A59" s="94" t="s">
        <v>199</v>
      </c>
      <c r="B59" s="133" t="s">
        <v>1194</v>
      </c>
      <c r="C59" s="140">
        <v>19.860265975801305</v>
      </c>
    </row>
    <row r="60" spans="1:3" x14ac:dyDescent="0.25">
      <c r="A60" s="141" t="s">
        <v>220</v>
      </c>
      <c r="B60" s="133" t="s">
        <v>1194</v>
      </c>
      <c r="C60" s="140">
        <v>3.6887624513681017</v>
      </c>
    </row>
    <row r="61" spans="1:3" x14ac:dyDescent="0.25">
      <c r="A61" s="94" t="s">
        <v>150</v>
      </c>
      <c r="B61" s="133" t="s">
        <v>649</v>
      </c>
      <c r="C61" s="140">
        <v>1.0576516850656514</v>
      </c>
    </row>
    <row r="62" spans="1:3" x14ac:dyDescent="0.25">
      <c r="A62" s="94" t="s">
        <v>305</v>
      </c>
      <c r="B62" s="133" t="s">
        <v>620</v>
      </c>
      <c r="C62" s="140">
        <v>0.74396039478864395</v>
      </c>
    </row>
    <row r="63" spans="1:3" x14ac:dyDescent="0.25">
      <c r="A63" s="94" t="s">
        <v>307</v>
      </c>
      <c r="B63" s="133" t="s">
        <v>620</v>
      </c>
      <c r="C63" s="140">
        <v>0.74330366237812662</v>
      </c>
    </row>
    <row r="64" spans="1:3" x14ac:dyDescent="0.25">
      <c r="A64" s="94" t="s">
        <v>222</v>
      </c>
      <c r="B64" s="133" t="s">
        <v>752</v>
      </c>
      <c r="C64" s="140">
        <v>0.77978735578277303</v>
      </c>
    </row>
    <row r="65" spans="1:3" x14ac:dyDescent="0.25">
      <c r="A65" s="94" t="s">
        <v>189</v>
      </c>
      <c r="B65" s="133" t="s">
        <v>752</v>
      </c>
      <c r="C65" s="140">
        <v>0.38934692601696641</v>
      </c>
    </row>
    <row r="66" spans="1:3" x14ac:dyDescent="0.25">
      <c r="A66" s="94" t="s">
        <v>184</v>
      </c>
      <c r="B66" s="133" t="s">
        <v>752</v>
      </c>
      <c r="C66" s="140">
        <v>0.28829825866869707</v>
      </c>
    </row>
    <row r="67" spans="1:3" x14ac:dyDescent="0.25">
      <c r="A67" s="94" t="s">
        <v>228</v>
      </c>
      <c r="B67" s="133" t="s">
        <v>752</v>
      </c>
      <c r="C67" s="140">
        <v>0.77561767807574999</v>
      </c>
    </row>
    <row r="68" spans="1:3" x14ac:dyDescent="0.25">
      <c r="A68" s="94" t="s">
        <v>224</v>
      </c>
      <c r="B68" s="133" t="s">
        <v>752</v>
      </c>
      <c r="C68" s="140">
        <v>1.343152344964242</v>
      </c>
    </row>
    <row r="69" spans="1:3" x14ac:dyDescent="0.25">
      <c r="A69" s="94" t="s">
        <v>143</v>
      </c>
      <c r="B69" s="133" t="s">
        <v>1188</v>
      </c>
      <c r="C69" s="140">
        <v>28.422357500443528</v>
      </c>
    </row>
    <row r="70" spans="1:3" x14ac:dyDescent="0.25">
      <c r="A70" s="141" t="s">
        <v>299</v>
      </c>
      <c r="B70" s="133" t="s">
        <v>799</v>
      </c>
      <c r="C70" s="140">
        <v>1.3759254000531889</v>
      </c>
    </row>
    <row r="71" spans="1:3" x14ac:dyDescent="0.25">
      <c r="A71" s="94" t="s">
        <v>175</v>
      </c>
      <c r="B71" s="133" t="s">
        <v>629</v>
      </c>
      <c r="C71" s="140">
        <v>0.71141459237180937</v>
      </c>
    </row>
    <row r="72" spans="1:3" x14ac:dyDescent="0.25">
      <c r="A72" s="94" t="s">
        <v>172</v>
      </c>
      <c r="B72" s="133" t="s">
        <v>629</v>
      </c>
      <c r="C72" s="140">
        <v>1.815139598767344</v>
      </c>
    </row>
    <row r="73" spans="1:3" x14ac:dyDescent="0.25">
      <c r="A73" s="94" t="s">
        <v>177</v>
      </c>
      <c r="B73" s="133" t="s">
        <v>629</v>
      </c>
      <c r="C73" s="140">
        <v>0.86042374061342075</v>
      </c>
    </row>
    <row r="74" spans="1:3" x14ac:dyDescent="0.25">
      <c r="A74" s="94" t="s">
        <v>179</v>
      </c>
      <c r="B74" s="133" t="s">
        <v>1124</v>
      </c>
      <c r="C74" s="140">
        <v>1.7021273757523427</v>
      </c>
    </row>
    <row r="75" spans="1:3" x14ac:dyDescent="0.25">
      <c r="A75" s="94" t="s">
        <v>99</v>
      </c>
      <c r="B75" s="133" t="s">
        <v>1185</v>
      </c>
      <c r="C75" s="140">
        <v>0.79577754007276646</v>
      </c>
    </row>
    <row r="76" spans="1:3" x14ac:dyDescent="0.25">
      <c r="A76" s="94" t="s">
        <v>107</v>
      </c>
      <c r="B76" s="133" t="s">
        <v>1185</v>
      </c>
      <c r="C76" s="140">
        <v>2.9334852607184256</v>
      </c>
    </row>
    <row r="77" spans="1:3" x14ac:dyDescent="0.25">
      <c r="A77" s="94" t="s">
        <v>139</v>
      </c>
      <c r="B77" s="133" t="s">
        <v>1185</v>
      </c>
      <c r="C77" s="140">
        <v>1.5942018764815451</v>
      </c>
    </row>
    <row r="78" spans="1:3" x14ac:dyDescent="0.25">
      <c r="A78" s="94" t="s">
        <v>71</v>
      </c>
      <c r="B78" s="133" t="s">
        <v>1185</v>
      </c>
      <c r="C78" s="140">
        <v>4.4704963044882238</v>
      </c>
    </row>
    <row r="79" spans="1:3" x14ac:dyDescent="0.25">
      <c r="A79" s="94" t="s">
        <v>356</v>
      </c>
      <c r="B79" s="133" t="s">
        <v>1198</v>
      </c>
      <c r="C79" s="140">
        <v>32.827754639406997</v>
      </c>
    </row>
    <row r="80" spans="1:3" x14ac:dyDescent="0.25">
      <c r="A80" s="94" t="s">
        <v>333</v>
      </c>
      <c r="B80" s="133" t="s">
        <v>1198</v>
      </c>
      <c r="C80" s="140">
        <v>18.198335991626355</v>
      </c>
    </row>
    <row r="81" spans="1:3" x14ac:dyDescent="0.25">
      <c r="A81" s="94" t="s">
        <v>335</v>
      </c>
      <c r="B81" s="133" t="s">
        <v>1198</v>
      </c>
      <c r="C81" s="140">
        <v>21.287604662770121</v>
      </c>
    </row>
    <row r="82" spans="1:3" x14ac:dyDescent="0.25">
      <c r="A82" s="134" t="s">
        <v>352</v>
      </c>
      <c r="B82" s="133" t="s">
        <v>1193</v>
      </c>
      <c r="C82" s="140">
        <v>1.7420415164460403</v>
      </c>
    </row>
    <row r="83" spans="1:3" x14ac:dyDescent="0.25">
      <c r="A83" s="134" t="s">
        <v>314</v>
      </c>
      <c r="B83" s="133" t="s">
        <v>1193</v>
      </c>
      <c r="C83" s="140">
        <v>1.857513522619473</v>
      </c>
    </row>
    <row r="84" spans="1:3" x14ac:dyDescent="0.25">
      <c r="A84" s="94" t="s">
        <v>321</v>
      </c>
      <c r="B84" s="133" t="s">
        <v>1193</v>
      </c>
      <c r="C84" s="140">
        <v>28.888856599204185</v>
      </c>
    </row>
    <row r="85" spans="1:3" x14ac:dyDescent="0.25">
      <c r="A85" s="94" t="s">
        <v>345</v>
      </c>
      <c r="B85" s="133" t="s">
        <v>1193</v>
      </c>
      <c r="C85" s="140">
        <v>20.599512012485512</v>
      </c>
    </row>
    <row r="86" spans="1:3" x14ac:dyDescent="0.25">
      <c r="A86" s="94" t="s">
        <v>195</v>
      </c>
      <c r="B86" s="133" t="s">
        <v>1193</v>
      </c>
      <c r="C86" s="140">
        <v>7.985347533011188</v>
      </c>
    </row>
    <row r="87" spans="1:3" x14ac:dyDescent="0.25">
      <c r="A87" s="94" t="s">
        <v>193</v>
      </c>
      <c r="B87" s="133" t="s">
        <v>1193</v>
      </c>
      <c r="C87" s="140">
        <v>10.953347686331073</v>
      </c>
    </row>
    <row r="88" spans="1:3" x14ac:dyDescent="0.25">
      <c r="A88" s="94" t="s">
        <v>191</v>
      </c>
      <c r="B88" s="133" t="s">
        <v>1194</v>
      </c>
      <c r="C88" s="140">
        <v>18.65617244319267</v>
      </c>
    </row>
    <row r="89" spans="1:3" x14ac:dyDescent="0.25">
      <c r="A89" s="94" t="s">
        <v>218</v>
      </c>
      <c r="B89" s="133" t="s">
        <v>752</v>
      </c>
      <c r="C89" s="140">
        <v>8.953204937938569</v>
      </c>
    </row>
    <row r="90" spans="1:3" x14ac:dyDescent="0.25">
      <c r="A90" s="94" t="s">
        <v>197</v>
      </c>
      <c r="B90" s="133" t="s">
        <v>752</v>
      </c>
      <c r="C90" s="140">
        <v>18.620903555062636</v>
      </c>
    </row>
    <row r="91" spans="1:3" x14ac:dyDescent="0.25">
      <c r="A91" s="94" t="s">
        <v>187</v>
      </c>
      <c r="B91" s="133" t="s">
        <v>1189</v>
      </c>
      <c r="C91" s="140">
        <v>19.796407430638478</v>
      </c>
    </row>
    <row r="92" spans="1:3" x14ac:dyDescent="0.25">
      <c r="A92" s="94" t="s">
        <v>214</v>
      </c>
      <c r="B92" s="133" t="s">
        <v>752</v>
      </c>
      <c r="C92" s="140">
        <v>20.558236360788097</v>
      </c>
    </row>
    <row r="93" spans="1:3" x14ac:dyDescent="0.25">
      <c r="A93" s="94" t="s">
        <v>153</v>
      </c>
      <c r="B93" s="133" t="s">
        <v>1189</v>
      </c>
      <c r="C93" s="140">
        <v>10.509375400480517</v>
      </c>
    </row>
    <row r="94" spans="1:3" x14ac:dyDescent="0.25">
      <c r="A94" s="94" t="s">
        <v>159</v>
      </c>
      <c r="B94" s="133" t="s">
        <v>1189</v>
      </c>
      <c r="C94" s="140">
        <v>9.3704379947870464</v>
      </c>
    </row>
    <row r="95" spans="1:3" x14ac:dyDescent="0.25">
      <c r="A95" s="94" t="s">
        <v>155</v>
      </c>
      <c r="B95" s="133" t="s">
        <v>1189</v>
      </c>
      <c r="C95" s="140">
        <v>9.5650381623500511</v>
      </c>
    </row>
    <row r="96" spans="1:3" x14ac:dyDescent="0.25">
      <c r="A96" s="94" t="s">
        <v>157</v>
      </c>
      <c r="B96" s="133" t="s">
        <v>1189</v>
      </c>
      <c r="C96" s="140">
        <v>12.392289083396149</v>
      </c>
    </row>
    <row r="97" spans="1:3" x14ac:dyDescent="0.25">
      <c r="A97" s="94" t="s">
        <v>87</v>
      </c>
      <c r="B97" s="133" t="s">
        <v>1186</v>
      </c>
      <c r="C97" s="140">
        <v>1.1537462444167914</v>
      </c>
    </row>
    <row r="98" spans="1:3" x14ac:dyDescent="0.25">
      <c r="A98" s="134" t="s">
        <v>339</v>
      </c>
      <c r="B98" s="133" t="s">
        <v>1198</v>
      </c>
      <c r="C98" s="140">
        <v>34.344689881690819</v>
      </c>
    </row>
    <row r="99" spans="1:3" x14ac:dyDescent="0.25">
      <c r="A99" s="94" t="s">
        <v>286</v>
      </c>
      <c r="B99" s="133" t="s">
        <v>1192</v>
      </c>
      <c r="C99" s="140">
        <v>16.668825701583572</v>
      </c>
    </row>
    <row r="100" spans="1:3" x14ac:dyDescent="0.25">
      <c r="A100" s="94" t="s">
        <v>354</v>
      </c>
      <c r="B100" s="133" t="s">
        <v>1198</v>
      </c>
      <c r="C100" s="140">
        <v>17.035515422123492</v>
      </c>
    </row>
    <row r="101" spans="1:3" x14ac:dyDescent="0.25">
      <c r="A101" s="134" t="s">
        <v>272</v>
      </c>
      <c r="B101" s="133" t="s">
        <v>670</v>
      </c>
      <c r="C101" s="140">
        <v>12.627188913244609</v>
      </c>
    </row>
    <row r="102" spans="1:3" x14ac:dyDescent="0.25">
      <c r="A102" s="94" t="s">
        <v>11</v>
      </c>
      <c r="B102" s="133" t="s">
        <v>636</v>
      </c>
      <c r="C102" s="140">
        <v>1.1354007641426449</v>
      </c>
    </row>
    <row r="103" spans="1:3" x14ac:dyDescent="0.25">
      <c r="A103" s="94" t="s">
        <v>91</v>
      </c>
      <c r="B103" s="133" t="s">
        <v>1185</v>
      </c>
      <c r="C103" s="140">
        <v>0.75842119772531946</v>
      </c>
    </row>
    <row r="104" spans="1:3" x14ac:dyDescent="0.25">
      <c r="A104" s="94" t="s">
        <v>119</v>
      </c>
      <c r="B104" s="133" t="s">
        <v>1185</v>
      </c>
      <c r="C104" s="140">
        <v>6.3039408411778268</v>
      </c>
    </row>
    <row r="105" spans="1:3" x14ac:dyDescent="0.25">
      <c r="A105" s="94" t="s">
        <v>51</v>
      </c>
      <c r="B105" s="133" t="s">
        <v>1185</v>
      </c>
      <c r="C105" s="140">
        <v>5.184483270539272</v>
      </c>
    </row>
    <row r="106" spans="1:3" x14ac:dyDescent="0.25">
      <c r="A106" s="94" t="s">
        <v>75</v>
      </c>
      <c r="B106" s="133" t="s">
        <v>1185</v>
      </c>
      <c r="C106" s="140">
        <v>4.8862832644478198</v>
      </c>
    </row>
    <row r="107" spans="1:3" x14ac:dyDescent="0.25">
      <c r="A107" s="94" t="s">
        <v>40</v>
      </c>
      <c r="B107" s="133" t="s">
        <v>1185</v>
      </c>
      <c r="C107" s="140">
        <v>4.1842484710239098</v>
      </c>
    </row>
    <row r="108" spans="1:3" x14ac:dyDescent="0.25">
      <c r="A108" s="94" t="s">
        <v>61</v>
      </c>
      <c r="B108" s="133" t="s">
        <v>1185</v>
      </c>
      <c r="C108" s="140">
        <v>6.4753396248436657</v>
      </c>
    </row>
    <row r="109" spans="1:3" x14ac:dyDescent="0.25">
      <c r="A109" s="94" t="s">
        <v>89</v>
      </c>
      <c r="B109" s="133" t="s">
        <v>1185</v>
      </c>
      <c r="C109" s="140">
        <v>6.7094919928483892</v>
      </c>
    </row>
    <row r="110" spans="1:3" x14ac:dyDescent="0.25">
      <c r="A110" s="94" t="s">
        <v>117</v>
      </c>
      <c r="B110" s="133" t="s">
        <v>1185</v>
      </c>
      <c r="C110" s="140">
        <v>6.2085564346706201</v>
      </c>
    </row>
    <row r="111" spans="1:3" x14ac:dyDescent="0.25">
      <c r="A111" s="94" t="s">
        <v>123</v>
      </c>
      <c r="B111" s="133" t="s">
        <v>1185</v>
      </c>
      <c r="C111" s="140">
        <v>7.419312682373878</v>
      </c>
    </row>
    <row r="112" spans="1:3" x14ac:dyDescent="0.25">
      <c r="A112" s="94" t="s">
        <v>125</v>
      </c>
      <c r="B112" s="133" t="s">
        <v>1185</v>
      </c>
      <c r="C112" s="140">
        <v>4.6754712546149264</v>
      </c>
    </row>
    <row r="113" spans="1:3" x14ac:dyDescent="0.25">
      <c r="A113" s="94" t="s">
        <v>57</v>
      </c>
      <c r="B113" s="133" t="s">
        <v>1186</v>
      </c>
      <c r="C113" s="140">
        <v>23.222739740353646</v>
      </c>
    </row>
    <row r="114" spans="1:3" x14ac:dyDescent="0.25">
      <c r="A114" s="94" t="s">
        <v>42</v>
      </c>
      <c r="B114" s="133" t="s">
        <v>1185</v>
      </c>
      <c r="C114" s="140">
        <v>0.66733171900141897</v>
      </c>
    </row>
    <row r="115" spans="1:3" x14ac:dyDescent="0.25">
      <c r="A115" s="94" t="s">
        <v>45</v>
      </c>
      <c r="B115" s="133" t="s">
        <v>1185</v>
      </c>
      <c r="C115" s="140">
        <v>0.56771790814545575</v>
      </c>
    </row>
    <row r="116" spans="1:3" x14ac:dyDescent="0.25">
      <c r="A116" s="94" t="s">
        <v>46</v>
      </c>
      <c r="B116" s="133" t="s">
        <v>1185</v>
      </c>
      <c r="C116" s="140">
        <v>2.814225084976667</v>
      </c>
    </row>
    <row r="117" spans="1:3" x14ac:dyDescent="0.25">
      <c r="A117" s="94" t="s">
        <v>376</v>
      </c>
      <c r="B117" s="133" t="s">
        <v>636</v>
      </c>
      <c r="C117" s="140">
        <v>4.067486452659054</v>
      </c>
    </row>
    <row r="118" spans="1:3" x14ac:dyDescent="0.25">
      <c r="A118" s="94" t="s">
        <v>377</v>
      </c>
      <c r="B118" s="133" t="s">
        <v>636</v>
      </c>
      <c r="C118" s="140">
        <v>1.9489261822960435</v>
      </c>
    </row>
    <row r="119" spans="1:3" s="297" customFormat="1" x14ac:dyDescent="0.25">
      <c r="A119" s="94" t="s">
        <v>378</v>
      </c>
      <c r="B119" s="133" t="s">
        <v>790</v>
      </c>
      <c r="C119" s="140">
        <v>0</v>
      </c>
    </row>
    <row r="120" spans="1:3" x14ac:dyDescent="0.25">
      <c r="A120" s="94" t="s">
        <v>390</v>
      </c>
      <c r="B120" s="133" t="s">
        <v>649</v>
      </c>
      <c r="C120" s="140">
        <v>0.51447052329458698</v>
      </c>
    </row>
    <row r="121" spans="1:3" x14ac:dyDescent="0.25">
      <c r="A121" s="94" t="s">
        <v>391</v>
      </c>
      <c r="B121" s="133" t="s">
        <v>661</v>
      </c>
      <c r="C121" s="140">
        <v>0.60629049139006752</v>
      </c>
    </row>
    <row r="122" spans="1:3" x14ac:dyDescent="0.25">
      <c r="A122" s="94" t="s">
        <v>392</v>
      </c>
      <c r="B122" s="133" t="s">
        <v>1194</v>
      </c>
      <c r="C122" s="140">
        <v>24.701686141136339</v>
      </c>
    </row>
    <row r="123" spans="1:3" x14ac:dyDescent="0.25">
      <c r="A123" s="94" t="s">
        <v>393</v>
      </c>
      <c r="B123" s="133" t="s">
        <v>620</v>
      </c>
      <c r="C123" s="140">
        <v>2.3794331620169178</v>
      </c>
    </row>
    <row r="124" spans="1:3" x14ac:dyDescent="0.25">
      <c r="A124" s="94" t="s">
        <v>521</v>
      </c>
      <c r="B124" s="133" t="s">
        <v>661</v>
      </c>
      <c r="C124" s="140">
        <v>13.446032768350749</v>
      </c>
    </row>
    <row r="125" spans="1:3" x14ac:dyDescent="0.25">
      <c r="A125" s="141" t="s">
        <v>811</v>
      </c>
      <c r="B125" s="133" t="s">
        <v>809</v>
      </c>
      <c r="C125" s="140">
        <v>0.23004407510846425</v>
      </c>
    </row>
    <row r="126" spans="1:3" x14ac:dyDescent="0.25">
      <c r="A126" s="134" t="s">
        <v>813</v>
      </c>
      <c r="B126" s="133" t="s">
        <v>1193</v>
      </c>
      <c r="C126" s="140">
        <v>2.3307568207764655</v>
      </c>
    </row>
    <row r="127" spans="1:3" x14ac:dyDescent="0.25">
      <c r="A127" s="141" t="s">
        <v>862</v>
      </c>
      <c r="B127" s="133" t="s">
        <v>1184</v>
      </c>
      <c r="C127" s="140">
        <v>0.18710270881855062</v>
      </c>
    </row>
    <row r="128" spans="1:3" x14ac:dyDescent="0.25">
      <c r="A128" s="94" t="s">
        <v>885</v>
      </c>
      <c r="B128" s="133" t="s">
        <v>649</v>
      </c>
      <c r="C128" s="140">
        <v>17.731070777343263</v>
      </c>
    </row>
    <row r="129" spans="1:3" x14ac:dyDescent="0.25">
      <c r="A129" s="141" t="s">
        <v>890</v>
      </c>
      <c r="B129" s="133" t="s">
        <v>1199</v>
      </c>
      <c r="C129" s="140">
        <v>1.7005689699647599</v>
      </c>
    </row>
    <row r="130" spans="1:3" x14ac:dyDescent="0.25">
      <c r="A130" s="141" t="s">
        <v>894</v>
      </c>
      <c r="B130" s="133" t="s">
        <v>1199</v>
      </c>
      <c r="C130" s="140">
        <v>1.136583238544624</v>
      </c>
    </row>
    <row r="131" spans="1:3" x14ac:dyDescent="0.25">
      <c r="A131" s="94" t="s">
        <v>940</v>
      </c>
      <c r="B131" s="133" t="s">
        <v>1186</v>
      </c>
      <c r="C131" s="140">
        <v>12.257552920582597</v>
      </c>
    </row>
    <row r="132" spans="1:3" x14ac:dyDescent="0.25">
      <c r="A132" s="94" t="s">
        <v>1018</v>
      </c>
      <c r="B132" s="133" t="s">
        <v>1183</v>
      </c>
      <c r="C132" s="140">
        <v>0</v>
      </c>
    </row>
    <row r="133" spans="1:3" x14ac:dyDescent="0.25">
      <c r="A133" s="72" t="s">
        <v>1033</v>
      </c>
      <c r="B133" s="133" t="s">
        <v>1189</v>
      </c>
      <c r="C133" s="140">
        <v>19.631786732140053</v>
      </c>
    </row>
    <row r="134" spans="1:3" x14ac:dyDescent="0.25">
      <c r="A134" s="142" t="s">
        <v>1039</v>
      </c>
      <c r="B134" s="133" t="s">
        <v>1199</v>
      </c>
      <c r="C134" s="140">
        <v>4.789460146835963</v>
      </c>
    </row>
    <row r="135" spans="1:3" x14ac:dyDescent="0.25">
      <c r="A135" s="94" t="s">
        <v>1058</v>
      </c>
      <c r="B135" s="133" t="s">
        <v>1189</v>
      </c>
      <c r="C135" s="140">
        <v>10.527586947557506</v>
      </c>
    </row>
    <row r="136" spans="1:3" x14ac:dyDescent="0.25">
      <c r="A136" s="94" t="s">
        <v>1062</v>
      </c>
      <c r="B136" s="133" t="s">
        <v>1185</v>
      </c>
      <c r="C136" s="140">
        <v>0.19374952337076978</v>
      </c>
    </row>
    <row r="137" spans="1:3" x14ac:dyDescent="0.25">
      <c r="A137" s="94" t="s">
        <v>1091</v>
      </c>
      <c r="B137" s="133" t="s">
        <v>1189</v>
      </c>
      <c r="C137" s="140">
        <v>9.2957189123335944</v>
      </c>
    </row>
    <row r="138" spans="1:3" x14ac:dyDescent="0.25">
      <c r="A138" s="94" t="s">
        <v>288</v>
      </c>
      <c r="B138" s="133" t="s">
        <v>1189</v>
      </c>
      <c r="C138" s="140">
        <v>1.5619149693996526</v>
      </c>
    </row>
    <row r="139" spans="1:3" x14ac:dyDescent="0.25">
      <c r="A139" s="94" t="s">
        <v>295</v>
      </c>
      <c r="B139" s="133" t="s">
        <v>1189</v>
      </c>
      <c r="C139" s="140">
        <v>1.5239325151406049</v>
      </c>
    </row>
    <row r="140" spans="1:3" x14ac:dyDescent="0.25">
      <c r="A140" s="94" t="s">
        <v>291</v>
      </c>
      <c r="B140" s="133" t="s">
        <v>1189</v>
      </c>
      <c r="C140" s="140">
        <v>1.7369508287203668</v>
      </c>
    </row>
    <row r="141" spans="1:3" x14ac:dyDescent="0.25">
      <c r="A141" s="94" t="s">
        <v>234</v>
      </c>
      <c r="B141" s="133" t="s">
        <v>1196</v>
      </c>
      <c r="C141" s="140">
        <v>7.490291417449443</v>
      </c>
    </row>
    <row r="142" spans="1:3" x14ac:dyDescent="0.25">
      <c r="A142" s="94" t="s">
        <v>147</v>
      </c>
      <c r="B142" s="133" t="s">
        <v>1190</v>
      </c>
      <c r="C142" s="140">
        <v>23.172399462804503</v>
      </c>
    </row>
    <row r="143" spans="1:3" x14ac:dyDescent="0.25">
      <c r="A143" s="94" t="s">
        <v>148</v>
      </c>
      <c r="B143" s="133" t="s">
        <v>1189</v>
      </c>
      <c r="C143" s="140">
        <v>21.148671772283631</v>
      </c>
    </row>
    <row r="144" spans="1:3" x14ac:dyDescent="0.25">
      <c r="A144" s="94" t="s">
        <v>165</v>
      </c>
      <c r="B144" s="133" t="s">
        <v>1191</v>
      </c>
      <c r="C144" s="140">
        <v>0.43878855438285824</v>
      </c>
    </row>
    <row r="145" spans="1:3" x14ac:dyDescent="0.25">
      <c r="A145" s="94" t="s">
        <v>168</v>
      </c>
      <c r="B145" s="133" t="s">
        <v>1196</v>
      </c>
      <c r="C145" s="140">
        <v>18.405283544772924</v>
      </c>
    </row>
    <row r="146" spans="1:3" x14ac:dyDescent="0.25">
      <c r="A146" s="94" t="s">
        <v>170</v>
      </c>
      <c r="B146" s="133" t="s">
        <v>1196</v>
      </c>
      <c r="C146" s="140">
        <v>12.794700705104317</v>
      </c>
    </row>
    <row r="147" spans="1:3" x14ac:dyDescent="0.25">
      <c r="A147" s="94" t="s">
        <v>232</v>
      </c>
      <c r="B147" s="133" t="s">
        <v>1195</v>
      </c>
      <c r="C147" s="140">
        <v>1.789574394782699</v>
      </c>
    </row>
    <row r="148" spans="1:3" x14ac:dyDescent="0.25">
      <c r="A148" s="94" t="s">
        <v>297</v>
      </c>
      <c r="B148" s="133" t="s">
        <v>816</v>
      </c>
      <c r="C148" s="140">
        <v>0.37588352961435612</v>
      </c>
    </row>
    <row r="149" spans="1:3" x14ac:dyDescent="0.25">
      <c r="A149" s="94" t="s">
        <v>382</v>
      </c>
      <c r="B149" s="133" t="s">
        <v>728</v>
      </c>
      <c r="C149" s="140">
        <v>11.65743881259678</v>
      </c>
    </row>
    <row r="150" spans="1:3" x14ac:dyDescent="0.25">
      <c r="A150" s="94" t="s">
        <v>383</v>
      </c>
      <c r="B150" s="133" t="s">
        <v>728</v>
      </c>
      <c r="C150" s="140">
        <v>1.9281430163271129</v>
      </c>
    </row>
    <row r="151" spans="1:3" x14ac:dyDescent="0.25">
      <c r="A151" s="94" t="s">
        <v>384</v>
      </c>
      <c r="B151" s="133" t="s">
        <v>728</v>
      </c>
      <c r="C151" s="140">
        <v>0.42212558305526549</v>
      </c>
    </row>
    <row r="152" spans="1:3" x14ac:dyDescent="0.25">
      <c r="A152" s="94" t="s">
        <v>385</v>
      </c>
      <c r="B152" s="133" t="s">
        <v>728</v>
      </c>
      <c r="C152" s="140">
        <v>21.050742639251741</v>
      </c>
    </row>
    <row r="153" spans="1:3" x14ac:dyDescent="0.25">
      <c r="A153" s="94" t="s">
        <v>387</v>
      </c>
      <c r="B153" s="133" t="s">
        <v>728</v>
      </c>
      <c r="C153" s="140">
        <v>13.632081902964599</v>
      </c>
    </row>
    <row r="154" spans="1:3" x14ac:dyDescent="0.25">
      <c r="A154" s="94" t="s">
        <v>388</v>
      </c>
      <c r="B154" s="133" t="s">
        <v>1196</v>
      </c>
      <c r="C154" s="140">
        <v>5.5919136174199959</v>
      </c>
    </row>
    <row r="155" spans="1:3" x14ac:dyDescent="0.25">
      <c r="A155" s="94" t="s">
        <v>837</v>
      </c>
      <c r="B155" s="133" t="s">
        <v>1187</v>
      </c>
      <c r="C155" s="140">
        <v>30.037709702375544</v>
      </c>
    </row>
    <row r="156" spans="1:3" x14ac:dyDescent="0.25">
      <c r="A156" s="94" t="s">
        <v>822</v>
      </c>
      <c r="B156" s="133" t="s">
        <v>1191</v>
      </c>
      <c r="C156" s="140">
        <v>0.71762888500316424</v>
      </c>
    </row>
    <row r="157" spans="1:3" x14ac:dyDescent="0.25">
      <c r="A157" s="94" t="s">
        <v>823</v>
      </c>
      <c r="B157" s="133" t="s">
        <v>816</v>
      </c>
      <c r="C157" s="140">
        <v>0.63626694856259092</v>
      </c>
    </row>
    <row r="158" spans="1:3" x14ac:dyDescent="0.25">
      <c r="A158" s="72" t="s">
        <v>1050</v>
      </c>
      <c r="B158" s="133" t="s">
        <v>1045</v>
      </c>
      <c r="C158" s="140">
        <v>1.989668595899414</v>
      </c>
    </row>
    <row r="159" spans="1:3" x14ac:dyDescent="0.25">
      <c r="A159" s="72" t="s">
        <v>1052</v>
      </c>
      <c r="B159" s="133" t="s">
        <v>1189</v>
      </c>
      <c r="C159" s="140">
        <v>2.0141034419413328</v>
      </c>
    </row>
    <row r="160" spans="1:3" x14ac:dyDescent="0.25">
      <c r="A160" s="72" t="s">
        <v>1056</v>
      </c>
      <c r="B160" s="133" t="s">
        <v>1189</v>
      </c>
      <c r="C160" s="140">
        <v>2.8590638493982405</v>
      </c>
    </row>
    <row r="161" spans="1:3" x14ac:dyDescent="0.25">
      <c r="A161" s="72" t="s">
        <v>1060</v>
      </c>
      <c r="B161" s="133" t="s">
        <v>1045</v>
      </c>
      <c r="C161" s="140">
        <v>2.1362355825722199</v>
      </c>
    </row>
    <row r="162" spans="1:3" x14ac:dyDescent="0.25">
      <c r="A162" s="548"/>
      <c r="B162" s="133"/>
      <c r="C162" s="140"/>
    </row>
    <row r="163" spans="1:3" x14ac:dyDescent="0.25">
      <c r="A163" s="548"/>
      <c r="B163" s="133"/>
      <c r="C163" s="140"/>
    </row>
    <row r="164" spans="1:3" x14ac:dyDescent="0.25">
      <c r="A164" s="548"/>
      <c r="B164" s="133"/>
      <c r="C164" s="140"/>
    </row>
    <row r="165" spans="1:3" x14ac:dyDescent="0.25">
      <c r="A165" s="548"/>
      <c r="B165" s="133"/>
      <c r="C165" s="140"/>
    </row>
    <row r="166" spans="1:3" x14ac:dyDescent="0.25">
      <c r="A166" s="548"/>
      <c r="B166" s="133"/>
      <c r="C166" s="140"/>
    </row>
    <row r="167" spans="1:3" x14ac:dyDescent="0.25">
      <c r="A167" s="548"/>
      <c r="B167" s="133"/>
      <c r="C167" s="140"/>
    </row>
    <row r="168" spans="1:3" x14ac:dyDescent="0.25">
      <c r="A168" s="551" t="s">
        <v>1116</v>
      </c>
      <c r="B168" s="133" t="s">
        <v>1185</v>
      </c>
      <c r="C168" s="140">
        <v>10</v>
      </c>
    </row>
    <row r="169" spans="1:3" x14ac:dyDescent="0.25">
      <c r="A169" s="551" t="s">
        <v>1152</v>
      </c>
      <c r="B169" s="133" t="s">
        <v>1192</v>
      </c>
      <c r="C169" s="140">
        <v>0</v>
      </c>
    </row>
    <row r="170" spans="1:3" x14ac:dyDescent="0.25">
      <c r="A170" s="551" t="s">
        <v>1153</v>
      </c>
      <c r="B170" s="133" t="s">
        <v>1124</v>
      </c>
      <c r="C170" s="140">
        <v>0</v>
      </c>
    </row>
    <row r="171" spans="1:3" x14ac:dyDescent="0.25">
      <c r="A171" s="551" t="s">
        <v>1247</v>
      </c>
      <c r="B171" s="133" t="s">
        <v>799</v>
      </c>
      <c r="C171" s="140">
        <v>0</v>
      </c>
    </row>
    <row r="172" spans="1:3" x14ac:dyDescent="0.25">
      <c r="A172" s="551" t="s">
        <v>1257</v>
      </c>
      <c r="B172" s="133" t="s">
        <v>629</v>
      </c>
      <c r="C172" s="140">
        <v>5</v>
      </c>
    </row>
    <row r="173" spans="1:3" x14ac:dyDescent="0.25">
      <c r="A173" s="551" t="s">
        <v>1258</v>
      </c>
      <c r="B173" s="133" t="s">
        <v>629</v>
      </c>
      <c r="C173" s="140">
        <v>5</v>
      </c>
    </row>
    <row r="174" spans="1:3" x14ac:dyDescent="0.25">
      <c r="A174" s="552" t="s">
        <v>1259</v>
      </c>
      <c r="B174" s="133" t="s">
        <v>629</v>
      </c>
      <c r="C174" s="140">
        <v>0.75</v>
      </c>
    </row>
    <row r="175" spans="1:3" x14ac:dyDescent="0.25">
      <c r="A175" s="552" t="s">
        <v>1286</v>
      </c>
      <c r="B175" s="133" t="s">
        <v>809</v>
      </c>
      <c r="C175" s="140"/>
    </row>
    <row r="176" spans="1:3" x14ac:dyDescent="0.25">
      <c r="A176" s="552" t="s">
        <v>1288</v>
      </c>
      <c r="B176" s="133" t="s">
        <v>809</v>
      </c>
      <c r="C176" s="140"/>
    </row>
    <row r="177" spans="1:3" x14ac:dyDescent="0.25">
      <c r="A177" s="553" t="s">
        <v>1301</v>
      </c>
      <c r="B177" s="72" t="s">
        <v>1194</v>
      </c>
      <c r="C177" s="550">
        <v>0</v>
      </c>
    </row>
    <row r="178" spans="1:3" x14ac:dyDescent="0.25">
      <c r="A178" s="553" t="s">
        <v>1394</v>
      </c>
      <c r="B178" s="72" t="s">
        <v>1185</v>
      </c>
      <c r="C178" s="550"/>
    </row>
    <row r="179" spans="1:3" x14ac:dyDescent="0.25">
      <c r="A179" s="402" t="s">
        <v>1434</v>
      </c>
      <c r="B179" s="133" t="s">
        <v>1185</v>
      </c>
      <c r="C179" s="140"/>
    </row>
    <row r="180" spans="1:3" x14ac:dyDescent="0.25">
      <c r="A180" s="402" t="s">
        <v>1435</v>
      </c>
      <c r="B180" s="133" t="s">
        <v>1185</v>
      </c>
      <c r="C180" s="140"/>
    </row>
    <row r="181" spans="1:3" x14ac:dyDescent="0.25">
      <c r="A181" s="402" t="s">
        <v>1436</v>
      </c>
      <c r="B181" s="133" t="s">
        <v>1185</v>
      </c>
      <c r="C181" s="140"/>
    </row>
    <row r="182" spans="1:3" x14ac:dyDescent="0.25">
      <c r="A182" s="402" t="s">
        <v>1437</v>
      </c>
      <c r="B182" s="133" t="s">
        <v>1185</v>
      </c>
      <c r="C182" s="140"/>
    </row>
    <row r="183" spans="1:3" x14ac:dyDescent="0.25">
      <c r="A183" s="402" t="s">
        <v>1438</v>
      </c>
      <c r="B183" s="133" t="s">
        <v>1185</v>
      </c>
      <c r="C183" s="550"/>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G265"/>
  <sheetViews>
    <sheetView showZeros="0" zoomScale="85" zoomScaleNormal="85" workbookViewId="0">
      <pane ySplit="1" topLeftCell="A2" activePane="bottomLeft" state="frozen"/>
      <selection activeCell="AS915" sqref="AS915"/>
      <selection pane="bottomLeft" activeCell="G56" sqref="G56"/>
    </sheetView>
  </sheetViews>
  <sheetFormatPr defaultColWidth="9.140625" defaultRowHeight="15" x14ac:dyDescent="0.25"/>
  <cols>
    <col min="1" max="1" width="19.5703125" style="5" customWidth="1"/>
    <col min="2" max="2" width="10.28515625" style="5" customWidth="1"/>
    <col min="3" max="3" width="13.42578125" style="5" customWidth="1"/>
    <col min="4" max="5" width="11.28515625" style="5" customWidth="1"/>
    <col min="6" max="6" width="7" style="5" customWidth="1"/>
    <col min="7" max="7" width="16.42578125" style="5" customWidth="1"/>
    <col min="8" max="8" width="11.28515625" style="5" customWidth="1"/>
    <col min="9" max="9" width="7.28515625" style="5" customWidth="1"/>
    <col min="10" max="10" width="11.28515625" style="5" customWidth="1"/>
    <col min="11" max="11" width="8.7109375" style="5" customWidth="1"/>
    <col min="12" max="12" width="11.28515625" style="5" customWidth="1"/>
    <col min="13" max="13" width="12.28515625" style="5" customWidth="1"/>
    <col min="14" max="14" width="9.140625" style="5"/>
    <col min="15" max="15" width="0" style="5" hidden="1" customWidth="1"/>
    <col min="16" max="16" width="19.42578125" style="5" hidden="1" customWidth="1"/>
    <col min="17" max="17" width="20.5703125" style="5" hidden="1" customWidth="1"/>
    <col min="18" max="18" width="0" style="5" hidden="1" customWidth="1"/>
    <col min="19" max="22" width="9.140625" style="5"/>
    <col min="23" max="23" width="15.5703125" style="5" customWidth="1"/>
    <col min="24" max="24" width="10.7109375" style="5" customWidth="1"/>
    <col min="25" max="25" width="14.28515625" style="5" bestFit="1" customWidth="1"/>
    <col min="26" max="26" width="10.140625" style="5" customWidth="1"/>
    <col min="27" max="27" width="9.140625" style="5"/>
    <col min="28" max="28" width="7.42578125" style="5" customWidth="1"/>
    <col min="29" max="29" width="7" style="5" customWidth="1"/>
    <col min="30" max="30" width="6.5703125" style="5" customWidth="1"/>
    <col min="31" max="31" width="9.85546875" style="5" bestFit="1" customWidth="1"/>
    <col min="32" max="32" width="7.140625" style="5" customWidth="1"/>
    <col min="33" max="33" width="8.140625" style="5" customWidth="1"/>
    <col min="34" max="34" width="6" style="5" customWidth="1"/>
    <col min="35" max="35" width="8" style="5" customWidth="1"/>
    <col min="36" max="36" width="9.42578125" style="5" bestFit="1" customWidth="1"/>
    <col min="37" max="37" width="9" style="5" customWidth="1"/>
    <col min="38" max="38" width="10.85546875" style="5" bestFit="1" customWidth="1"/>
    <col min="39" max="39" width="9.85546875" style="5" bestFit="1" customWidth="1"/>
    <col min="40" max="40" width="13.85546875" style="5" bestFit="1" customWidth="1"/>
    <col min="41" max="42" width="7.28515625" style="5" customWidth="1"/>
    <col min="43" max="43" width="11.5703125" style="5" bestFit="1" customWidth="1"/>
    <col min="44" max="16384" width="9.140625" style="5"/>
  </cols>
  <sheetData>
    <row r="1" spans="1:59" s="89" customFormat="1" ht="36" x14ac:dyDescent="0.25">
      <c r="A1" s="208"/>
      <c r="B1" s="209"/>
      <c r="C1" s="209"/>
      <c r="D1" s="209"/>
      <c r="E1" s="209"/>
      <c r="F1" s="209"/>
      <c r="G1" s="209"/>
      <c r="H1" s="209"/>
      <c r="I1" s="209"/>
      <c r="J1" s="209"/>
      <c r="K1" s="209"/>
      <c r="L1" s="209"/>
      <c r="M1" s="209"/>
      <c r="N1" s="179"/>
      <c r="O1" s="5"/>
      <c r="P1" s="5"/>
      <c r="Q1" s="5"/>
      <c r="R1" s="5"/>
      <c r="S1" s="5"/>
      <c r="T1" s="5"/>
      <c r="U1" s="5"/>
      <c r="BF1" s="2"/>
      <c r="BG1" s="2"/>
    </row>
    <row r="2" spans="1:59" s="1" customFormat="1" ht="63.75" customHeight="1" x14ac:dyDescent="0.25">
      <c r="A2" s="226" t="s">
        <v>417</v>
      </c>
      <c r="B2" s="43"/>
      <c r="C2" s="43"/>
      <c r="D2" s="43"/>
      <c r="E2" s="43"/>
      <c r="F2" s="43"/>
      <c r="G2" s="43"/>
      <c r="H2" s="43"/>
      <c r="I2" s="43"/>
      <c r="J2" s="43"/>
      <c r="K2" s="43"/>
      <c r="L2" s="43"/>
      <c r="M2" s="43"/>
      <c r="N2" s="180"/>
      <c r="O2" s="5"/>
      <c r="P2" s="5"/>
      <c r="Q2" s="5"/>
      <c r="R2" s="5"/>
      <c r="S2" s="236"/>
      <c r="T2" s="236"/>
      <c r="U2" s="236"/>
      <c r="V2" s="176"/>
      <c r="BF2" s="44"/>
      <c r="BG2" s="44"/>
    </row>
    <row r="3" spans="1:59" s="15" customFormat="1" ht="18" customHeight="1" x14ac:dyDescent="0.25">
      <c r="A3" s="227">
        <f>Definition!B23</f>
        <v>42856</v>
      </c>
      <c r="B3" s="228"/>
      <c r="C3" s="228"/>
      <c r="D3" s="228"/>
      <c r="E3" s="228"/>
      <c r="F3" s="228"/>
      <c r="G3" s="228"/>
      <c r="H3" s="228"/>
      <c r="I3" s="228"/>
      <c r="J3" s="228"/>
      <c r="K3" s="228"/>
      <c r="L3" s="228"/>
      <c r="M3" s="228"/>
      <c r="N3" s="229"/>
      <c r="O3" s="32"/>
      <c r="P3" s="32"/>
      <c r="Q3" s="32"/>
      <c r="R3" s="32"/>
      <c r="S3" s="237"/>
      <c r="T3" s="238"/>
      <c r="U3" s="238"/>
      <c r="V3" s="176"/>
      <c r="BF3" s="45"/>
      <c r="BG3" s="45"/>
    </row>
    <row r="4" spans="1:59" s="15" customFormat="1" ht="36" x14ac:dyDescent="0.25">
      <c r="A4"/>
      <c r="B4"/>
      <c r="C4" s="171"/>
      <c r="D4" s="171"/>
      <c r="E4" s="171"/>
      <c r="F4" s="171"/>
      <c r="G4" s="172"/>
      <c r="H4" s="172"/>
      <c r="I4" s="172"/>
      <c r="J4" s="172"/>
      <c r="K4" s="28"/>
      <c r="L4" s="172"/>
      <c r="M4" s="172"/>
      <c r="N4" s="172"/>
      <c r="O4" s="32"/>
      <c r="P4" s="32"/>
      <c r="Q4" s="32"/>
      <c r="R4" s="32"/>
      <c r="S4" s="237"/>
      <c r="T4" s="238"/>
      <c r="U4" s="238"/>
      <c r="V4" s="176"/>
      <c r="BF4" s="45"/>
      <c r="BG4" s="45"/>
    </row>
    <row r="5" spans="1:59" s="15" customFormat="1" ht="16.5" customHeight="1" x14ac:dyDescent="0.25">
      <c r="A5" s="305" t="s">
        <v>395</v>
      </c>
      <c r="B5" s="758" t="s">
        <v>595</v>
      </c>
      <c r="C5" s="173"/>
      <c r="D5" s="173"/>
      <c r="E5" s="173"/>
      <c r="F5" s="173"/>
      <c r="G5" s="173"/>
      <c r="H5" s="173"/>
      <c r="I5" s="173"/>
      <c r="J5" s="173"/>
      <c r="K5" s="173"/>
      <c r="L5" s="172"/>
      <c r="M5" s="172"/>
      <c r="N5" s="172"/>
      <c r="O5" s="32"/>
      <c r="P5" s="32"/>
      <c r="Q5" s="32"/>
      <c r="R5" s="32"/>
      <c r="S5" s="237"/>
      <c r="T5" s="238"/>
      <c r="U5" s="238"/>
      <c r="V5" s="176"/>
      <c r="BF5" s="45"/>
      <c r="BG5" s="45"/>
    </row>
    <row r="6" spans="1:59" ht="18.75" x14ac:dyDescent="0.25">
      <c r="A6" s="305" t="s">
        <v>1237</v>
      </c>
      <c r="B6" s="758" t="s">
        <v>1180</v>
      </c>
      <c r="C6" s="179"/>
      <c r="S6" s="239"/>
      <c r="T6" s="236"/>
      <c r="U6" s="236"/>
      <c r="V6" s="236"/>
    </row>
    <row r="7" spans="1:59" x14ac:dyDescent="0.25">
      <c r="A7" s="305" t="s">
        <v>497</v>
      </c>
      <c r="B7" s="758" t="s">
        <v>499</v>
      </c>
      <c r="C7" s="183" t="s">
        <v>420</v>
      </c>
      <c r="P7" s="89"/>
      <c r="Q7" s="89"/>
      <c r="S7" s="236"/>
      <c r="T7" s="236"/>
      <c r="U7" s="236"/>
      <c r="V7" s="236"/>
    </row>
    <row r="8" spans="1:59" x14ac:dyDescent="0.25">
      <c r="P8" s="303" t="s">
        <v>395</v>
      </c>
      <c r="Q8" s="300" t="s">
        <v>595</v>
      </c>
      <c r="S8" s="236"/>
      <c r="T8" s="236"/>
      <c r="U8" s="236"/>
      <c r="V8" s="236"/>
    </row>
    <row r="9" spans="1:59" x14ac:dyDescent="0.25">
      <c r="A9" s="305" t="s">
        <v>414</v>
      </c>
      <c r="B9" s="758" t="s">
        <v>867</v>
      </c>
      <c r="C9" s="758" t="s">
        <v>825</v>
      </c>
      <c r="P9" s="300" t="s">
        <v>497</v>
      </c>
      <c r="Q9" s="300" t="s">
        <v>499</v>
      </c>
      <c r="R9" s="5" t="s">
        <v>420</v>
      </c>
      <c r="S9" s="236"/>
      <c r="T9" s="236"/>
      <c r="U9" s="236"/>
      <c r="V9" s="236"/>
    </row>
    <row r="10" spans="1:59" x14ac:dyDescent="0.25">
      <c r="A10" s="17" t="s">
        <v>5</v>
      </c>
      <c r="B10" s="299">
        <v>1494</v>
      </c>
      <c r="C10" s="299">
        <v>8403</v>
      </c>
      <c r="S10" s="236"/>
      <c r="T10" s="236"/>
      <c r="U10" s="236"/>
      <c r="V10" s="236"/>
      <c r="W10" s="89"/>
      <c r="X10" s="89"/>
    </row>
    <row r="11" spans="1:59" x14ac:dyDescent="0.25">
      <c r="A11" s="17" t="s">
        <v>27</v>
      </c>
      <c r="B11" s="299">
        <v>498</v>
      </c>
      <c r="C11" s="299">
        <v>2556</v>
      </c>
      <c r="P11" s="300" t="s">
        <v>414</v>
      </c>
      <c r="Q11" s="300" t="s">
        <v>416</v>
      </c>
      <c r="R11" s="89"/>
      <c r="S11" s="236"/>
      <c r="T11" s="236"/>
      <c r="U11" s="236"/>
      <c r="V11" s="236"/>
      <c r="W11" s="89"/>
      <c r="X11" s="89"/>
    </row>
    <row r="12" spans="1:59" x14ac:dyDescent="0.25">
      <c r="A12" s="17" t="s">
        <v>526</v>
      </c>
      <c r="B12" s="299">
        <v>719</v>
      </c>
      <c r="C12" s="299">
        <v>3537</v>
      </c>
      <c r="P12" s="301" t="s">
        <v>5</v>
      </c>
      <c r="Q12" s="302">
        <v>8403</v>
      </c>
      <c r="R12" s="89"/>
      <c r="S12" s="236"/>
      <c r="T12" s="236"/>
      <c r="U12" s="236"/>
      <c r="V12" s="236"/>
      <c r="W12" s="89"/>
      <c r="X12" s="89"/>
    </row>
    <row r="13" spans="1:59" x14ac:dyDescent="0.25">
      <c r="A13" s="17" t="s">
        <v>778</v>
      </c>
      <c r="B13" s="299">
        <v>101</v>
      </c>
      <c r="C13" s="299">
        <v>577</v>
      </c>
      <c r="P13" s="301" t="s">
        <v>27</v>
      </c>
      <c r="Q13" s="302">
        <v>2556</v>
      </c>
      <c r="R13" s="89"/>
      <c r="S13" s="236"/>
      <c r="T13" s="236"/>
      <c r="U13" s="236"/>
      <c r="V13" s="236"/>
      <c r="W13" s="89"/>
      <c r="X13" s="89"/>
    </row>
    <row r="14" spans="1:59" x14ac:dyDescent="0.25">
      <c r="A14" s="17" t="s">
        <v>1481</v>
      </c>
      <c r="B14" s="299">
        <v>37</v>
      </c>
      <c r="C14" s="299">
        <v>120</v>
      </c>
      <c r="P14" s="301" t="s">
        <v>526</v>
      </c>
      <c r="Q14" s="302">
        <v>3537</v>
      </c>
      <c r="R14" s="89"/>
      <c r="W14" s="89"/>
      <c r="X14" s="89"/>
    </row>
    <row r="15" spans="1:59" x14ac:dyDescent="0.25">
      <c r="A15" s="17" t="s">
        <v>146</v>
      </c>
      <c r="B15" s="299">
        <v>854</v>
      </c>
      <c r="C15" s="299">
        <v>4142</v>
      </c>
      <c r="P15" s="301" t="s">
        <v>778</v>
      </c>
      <c r="Q15" s="302">
        <v>577</v>
      </c>
      <c r="R15" s="89"/>
      <c r="W15" s="89"/>
      <c r="X15" s="89"/>
    </row>
    <row r="16" spans="1:59" x14ac:dyDescent="0.25">
      <c r="A16" s="17" t="s">
        <v>151</v>
      </c>
      <c r="B16" s="299">
        <v>2761</v>
      </c>
      <c r="C16" s="299">
        <v>13069</v>
      </c>
      <c r="P16" s="301" t="s">
        <v>146</v>
      </c>
      <c r="Q16" s="302">
        <v>4142</v>
      </c>
      <c r="R16" s="89"/>
      <c r="W16" s="89"/>
      <c r="X16" s="89"/>
    </row>
    <row r="17" spans="1:24" x14ac:dyDescent="0.25">
      <c r="A17" s="17" t="s">
        <v>166</v>
      </c>
      <c r="B17" s="299">
        <v>100</v>
      </c>
      <c r="C17" s="299">
        <v>544</v>
      </c>
      <c r="P17" s="301" t="s">
        <v>151</v>
      </c>
      <c r="Q17" s="302">
        <v>13069</v>
      </c>
      <c r="R17" s="89"/>
      <c r="W17" s="89"/>
      <c r="X17" s="89"/>
    </row>
    <row r="18" spans="1:24" x14ac:dyDescent="0.25">
      <c r="A18" s="17" t="s">
        <v>173</v>
      </c>
      <c r="B18" s="299">
        <v>75</v>
      </c>
      <c r="C18" s="299">
        <v>350</v>
      </c>
      <c r="P18" s="301" t="s">
        <v>166</v>
      </c>
      <c r="Q18" s="302">
        <v>544</v>
      </c>
      <c r="R18" s="89"/>
      <c r="W18" s="89"/>
      <c r="X18" s="89"/>
    </row>
    <row r="19" spans="1:24" x14ac:dyDescent="0.25">
      <c r="A19" s="17" t="s">
        <v>180</v>
      </c>
      <c r="B19" s="299">
        <v>70</v>
      </c>
      <c r="C19" s="299">
        <v>336</v>
      </c>
      <c r="P19" s="301" t="s">
        <v>173</v>
      </c>
      <c r="Q19" s="302">
        <v>350</v>
      </c>
      <c r="R19" s="89"/>
      <c r="W19" s="89"/>
      <c r="X19" s="89"/>
    </row>
    <row r="20" spans="1:24" x14ac:dyDescent="0.25">
      <c r="A20" s="17" t="s">
        <v>185</v>
      </c>
      <c r="B20" s="299">
        <v>4674</v>
      </c>
      <c r="C20" s="299">
        <v>24309</v>
      </c>
      <c r="P20" s="301" t="s">
        <v>180</v>
      </c>
      <c r="Q20" s="302">
        <v>336</v>
      </c>
      <c r="R20" s="89"/>
      <c r="W20" s="89"/>
      <c r="X20" s="89"/>
    </row>
    <row r="21" spans="1:24" x14ac:dyDescent="0.25">
      <c r="A21" s="17" t="s">
        <v>230</v>
      </c>
      <c r="B21" s="299">
        <v>318</v>
      </c>
      <c r="C21" s="299">
        <v>1510</v>
      </c>
      <c r="P21" s="301" t="s">
        <v>185</v>
      </c>
      <c r="Q21" s="302">
        <v>24309</v>
      </c>
      <c r="R21" s="89"/>
      <c r="W21" s="89"/>
      <c r="X21" s="89"/>
    </row>
    <row r="22" spans="1:24" x14ac:dyDescent="0.25">
      <c r="A22" s="17" t="s">
        <v>237</v>
      </c>
      <c r="B22" s="299">
        <v>1473</v>
      </c>
      <c r="C22" s="299">
        <v>7544</v>
      </c>
      <c r="P22" s="301" t="s">
        <v>230</v>
      </c>
      <c r="Q22" s="302">
        <v>1510</v>
      </c>
      <c r="R22" s="89"/>
      <c r="W22" s="89"/>
      <c r="X22" s="89"/>
    </row>
    <row r="23" spans="1:24" x14ac:dyDescent="0.25">
      <c r="A23" s="17" t="s">
        <v>289</v>
      </c>
      <c r="B23" s="299">
        <v>402</v>
      </c>
      <c r="C23" s="299">
        <v>1976</v>
      </c>
      <c r="P23" s="301" t="s">
        <v>237</v>
      </c>
      <c r="Q23" s="302">
        <v>7544</v>
      </c>
      <c r="R23" s="89"/>
      <c r="W23" s="89"/>
      <c r="X23" s="89"/>
    </row>
    <row r="24" spans="1:24" x14ac:dyDescent="0.25">
      <c r="A24" s="17" t="s">
        <v>298</v>
      </c>
      <c r="B24" s="299">
        <v>288</v>
      </c>
      <c r="C24" s="299">
        <v>1217</v>
      </c>
      <c r="P24" s="301" t="s">
        <v>289</v>
      </c>
      <c r="Q24" s="302">
        <v>1976</v>
      </c>
      <c r="R24" s="89"/>
      <c r="W24" s="89"/>
      <c r="X24" s="89"/>
    </row>
    <row r="25" spans="1:24" x14ac:dyDescent="0.25">
      <c r="A25" s="17" t="s">
        <v>300</v>
      </c>
      <c r="B25" s="299">
        <v>85</v>
      </c>
      <c r="C25" s="299">
        <v>407</v>
      </c>
      <c r="P25" s="301" t="s">
        <v>298</v>
      </c>
      <c r="Q25" s="302">
        <v>1217</v>
      </c>
      <c r="R25" s="89"/>
      <c r="W25" s="89"/>
      <c r="X25" s="89"/>
    </row>
    <row r="26" spans="1:24" x14ac:dyDescent="0.25">
      <c r="A26" s="17" t="s">
        <v>302</v>
      </c>
      <c r="B26" s="299">
        <v>504</v>
      </c>
      <c r="C26" s="299">
        <v>2164</v>
      </c>
      <c r="P26" s="301" t="s">
        <v>300</v>
      </c>
      <c r="Q26" s="302">
        <v>407</v>
      </c>
      <c r="R26" s="89"/>
      <c r="W26" s="89"/>
      <c r="X26" s="89"/>
    </row>
    <row r="27" spans="1:24" x14ac:dyDescent="0.25">
      <c r="A27" s="17" t="s">
        <v>807</v>
      </c>
      <c r="B27" s="299">
        <v>141</v>
      </c>
      <c r="C27" s="299">
        <v>759</v>
      </c>
      <c r="P27" s="301" t="s">
        <v>302</v>
      </c>
      <c r="Q27" s="302">
        <v>2164</v>
      </c>
      <c r="W27" s="89"/>
      <c r="X27" s="89"/>
    </row>
    <row r="28" spans="1:24" x14ac:dyDescent="0.25">
      <c r="A28" s="17" t="s">
        <v>310</v>
      </c>
      <c r="B28" s="299">
        <v>4738</v>
      </c>
      <c r="C28" s="299">
        <v>24108</v>
      </c>
      <c r="P28" s="301" t="s">
        <v>807</v>
      </c>
      <c r="Q28" s="302">
        <v>759</v>
      </c>
      <c r="W28" s="89"/>
      <c r="X28" s="89"/>
    </row>
    <row r="29" spans="1:24" x14ac:dyDescent="0.25">
      <c r="A29" s="17" t="s">
        <v>415</v>
      </c>
      <c r="B29" s="299">
        <v>19332</v>
      </c>
      <c r="C29" s="299">
        <v>97628</v>
      </c>
      <c r="P29" s="301" t="s">
        <v>310</v>
      </c>
      <c r="Q29" s="302">
        <v>28558</v>
      </c>
      <c r="W29" s="89"/>
      <c r="X29" s="89"/>
    </row>
    <row r="30" spans="1:24" x14ac:dyDescent="0.25">
      <c r="A30"/>
      <c r="B30"/>
      <c r="C30"/>
      <c r="P30" s="301" t="s">
        <v>1481</v>
      </c>
      <c r="Q30" s="302">
        <v>120</v>
      </c>
      <c r="W30" s="89"/>
      <c r="X30" s="89"/>
    </row>
    <row r="31" spans="1:24" x14ac:dyDescent="0.25">
      <c r="A31"/>
      <c r="B31"/>
      <c r="C31"/>
      <c r="P31" s="368" t="s">
        <v>415</v>
      </c>
      <c r="Q31" s="367">
        <v>102078</v>
      </c>
      <c r="W31" s="89"/>
      <c r="X31" s="89"/>
    </row>
    <row r="32" spans="1:24" x14ac:dyDescent="0.25">
      <c r="A32"/>
      <c r="B32"/>
      <c r="C32"/>
      <c r="P32"/>
      <c r="Q32"/>
      <c r="W32" s="89"/>
      <c r="X32" s="89"/>
    </row>
    <row r="33" spans="1:24" x14ac:dyDescent="0.25">
      <c r="A33"/>
      <c r="B33"/>
      <c r="C33"/>
      <c r="P33"/>
      <c r="Q33"/>
      <c r="W33" s="89"/>
      <c r="X33" s="89"/>
    </row>
    <row r="34" spans="1:24" x14ac:dyDescent="0.25">
      <c r="A34"/>
      <c r="B34"/>
      <c r="C34"/>
      <c r="P34"/>
      <c r="Q34"/>
      <c r="W34" s="89"/>
      <c r="X34" s="89"/>
    </row>
    <row r="35" spans="1:24" x14ac:dyDescent="0.25">
      <c r="A35"/>
      <c r="B35"/>
      <c r="C35"/>
      <c r="P35"/>
      <c r="Q35"/>
      <c r="W35" s="89"/>
      <c r="X35" s="89"/>
    </row>
    <row r="36" spans="1:24" hidden="1" x14ac:dyDescent="0.25">
      <c r="A36"/>
      <c r="B36"/>
      <c r="C36"/>
      <c r="P36"/>
      <c r="Q36"/>
      <c r="W36" s="89"/>
      <c r="X36" s="89"/>
    </row>
    <row r="37" spans="1:24" hidden="1" x14ac:dyDescent="0.25">
      <c r="P37"/>
      <c r="Q37"/>
      <c r="W37" s="89"/>
      <c r="X37" s="89"/>
    </row>
    <row r="38" spans="1:24" hidden="1" x14ac:dyDescent="0.25">
      <c r="P38"/>
      <c r="Q38"/>
      <c r="W38" s="89"/>
      <c r="X38" s="89"/>
    </row>
    <row r="39" spans="1:24" hidden="1" x14ac:dyDescent="0.25">
      <c r="P39"/>
      <c r="Q39"/>
      <c r="W39" s="89"/>
      <c r="X39" s="89"/>
    </row>
    <row r="40" spans="1:24" hidden="1" x14ac:dyDescent="0.25">
      <c r="P40"/>
      <c r="Q40"/>
      <c r="W40" s="89"/>
      <c r="X40" s="89"/>
    </row>
    <row r="41" spans="1:24" hidden="1" x14ac:dyDescent="0.25">
      <c r="P41"/>
      <c r="Q41"/>
      <c r="W41" s="89"/>
      <c r="X41" s="89"/>
    </row>
    <row r="42" spans="1:24" hidden="1" x14ac:dyDescent="0.25">
      <c r="P42"/>
      <c r="Q42"/>
      <c r="W42" s="89"/>
      <c r="X42" s="89"/>
    </row>
    <row r="43" spans="1:24" x14ac:dyDescent="0.25">
      <c r="A43" s="335" t="s">
        <v>395</v>
      </c>
      <c r="B43" s="327" t="s">
        <v>595</v>
      </c>
      <c r="P43"/>
      <c r="Q43"/>
      <c r="W43" s="89"/>
      <c r="X43" s="89"/>
    </row>
    <row r="44" spans="1:24" x14ac:dyDescent="0.25">
      <c r="A44" s="335" t="s">
        <v>1237</v>
      </c>
      <c r="B44" s="327" t="s">
        <v>1180</v>
      </c>
      <c r="C44" s="235" t="s">
        <v>420</v>
      </c>
      <c r="P44"/>
      <c r="Q44"/>
      <c r="W44" s="89"/>
      <c r="X44" s="89"/>
    </row>
    <row r="45" spans="1:24" x14ac:dyDescent="0.25">
      <c r="P45"/>
      <c r="Q45"/>
      <c r="W45" s="89"/>
      <c r="X45" s="89"/>
    </row>
    <row r="46" spans="1:24" x14ac:dyDescent="0.25">
      <c r="A46" s="321" t="s">
        <v>825</v>
      </c>
      <c r="B46" s="308" t="s">
        <v>824</v>
      </c>
      <c r="C46" s="308"/>
      <c r="D46" s="309"/>
      <c r="E46"/>
      <c r="P46"/>
      <c r="Q46"/>
      <c r="W46" s="89"/>
      <c r="X46" s="89"/>
    </row>
    <row r="47" spans="1:24" x14ac:dyDescent="0.25">
      <c r="A47" s="322" t="s">
        <v>414</v>
      </c>
      <c r="B47" s="306" t="s">
        <v>510</v>
      </c>
      <c r="C47" s="306" t="s">
        <v>512</v>
      </c>
      <c r="D47" s="310" t="s">
        <v>415</v>
      </c>
      <c r="E47"/>
      <c r="P47"/>
      <c r="Q47"/>
      <c r="W47" s="89"/>
      <c r="X47" s="89"/>
    </row>
    <row r="48" spans="1:24" x14ac:dyDescent="0.25">
      <c r="A48" s="329" t="s">
        <v>499</v>
      </c>
      <c r="B48" s="330">
        <v>59137</v>
      </c>
      <c r="C48" s="330">
        <v>38491</v>
      </c>
      <c r="D48" s="331">
        <v>97628</v>
      </c>
      <c r="E48"/>
      <c r="P48"/>
      <c r="Q48"/>
      <c r="W48" s="89"/>
      <c r="X48" s="89"/>
    </row>
    <row r="49" spans="1:24" x14ac:dyDescent="0.25">
      <c r="A49" s="370" t="s">
        <v>415</v>
      </c>
      <c r="B49" s="371">
        <v>59137</v>
      </c>
      <c r="C49" s="371">
        <v>38491</v>
      </c>
      <c r="D49" s="369">
        <v>97628</v>
      </c>
      <c r="E49"/>
      <c r="P49"/>
      <c r="Q49"/>
      <c r="W49" s="89"/>
      <c r="X49" s="89"/>
    </row>
    <row r="50" spans="1:24" x14ac:dyDescent="0.25">
      <c r="A50"/>
      <c r="B50"/>
      <c r="C50"/>
      <c r="D50"/>
      <c r="E50"/>
      <c r="W50" s="89"/>
      <c r="X50" s="89"/>
    </row>
    <row r="51" spans="1:24" x14ac:dyDescent="0.25">
      <c r="A51"/>
      <c r="B51"/>
      <c r="C51"/>
      <c r="D51"/>
      <c r="E51"/>
      <c r="W51" s="89"/>
      <c r="X51" s="89"/>
    </row>
    <row r="52" spans="1:24" s="300" customFormat="1" x14ac:dyDescent="0.25">
      <c r="A52" s="297"/>
      <c r="B52" s="297"/>
      <c r="C52" s="297"/>
      <c r="D52" s="297"/>
      <c r="E52" s="297"/>
      <c r="W52" s="297"/>
      <c r="X52" s="297"/>
    </row>
    <row r="53" spans="1:24" x14ac:dyDescent="0.25">
      <c r="A53" s="354" t="s">
        <v>497</v>
      </c>
      <c r="B53" s="354" t="s">
        <v>499</v>
      </c>
      <c r="W53" s="89"/>
      <c r="X53" s="89"/>
    </row>
    <row r="54" spans="1:24" x14ac:dyDescent="0.25">
      <c r="A54" s="335" t="s">
        <v>1237</v>
      </c>
      <c r="B54" s="327" t="s">
        <v>1180</v>
      </c>
    </row>
    <row r="56" spans="1:24" x14ac:dyDescent="0.25">
      <c r="A56" s="321" t="s">
        <v>825</v>
      </c>
      <c r="B56" s="308" t="s">
        <v>824</v>
      </c>
      <c r="C56" s="308"/>
      <c r="D56" s="309"/>
      <c r="E56"/>
    </row>
    <row r="57" spans="1:24" x14ac:dyDescent="0.25">
      <c r="A57" s="322" t="s">
        <v>414</v>
      </c>
      <c r="B57" s="306" t="s">
        <v>510</v>
      </c>
      <c r="C57" s="306" t="s">
        <v>512</v>
      </c>
      <c r="D57" s="310" t="s">
        <v>415</v>
      </c>
      <c r="E57"/>
    </row>
    <row r="58" spans="1:24" x14ac:dyDescent="0.25">
      <c r="A58" s="332" t="s">
        <v>553</v>
      </c>
      <c r="B58" s="333">
        <v>53150</v>
      </c>
      <c r="C58" s="333">
        <v>37052</v>
      </c>
      <c r="D58" s="334">
        <v>90202</v>
      </c>
      <c r="E58"/>
    </row>
    <row r="59" spans="1:24" x14ac:dyDescent="0.25">
      <c r="A59" s="332" t="s">
        <v>12</v>
      </c>
      <c r="B59" s="333">
        <v>5987</v>
      </c>
      <c r="C59" s="333">
        <v>392</v>
      </c>
      <c r="D59" s="334">
        <v>6379</v>
      </c>
      <c r="E59"/>
    </row>
    <row r="60" spans="1:24" x14ac:dyDescent="0.25">
      <c r="A60" s="332" t="s">
        <v>985</v>
      </c>
      <c r="B60" s="333"/>
      <c r="C60" s="333">
        <v>1047</v>
      </c>
      <c r="D60" s="334">
        <v>1047</v>
      </c>
      <c r="E60"/>
    </row>
    <row r="61" spans="1:24" x14ac:dyDescent="0.25">
      <c r="A61" s="324" t="s">
        <v>415</v>
      </c>
      <c r="B61" s="325">
        <v>59137</v>
      </c>
      <c r="C61" s="325">
        <v>38491</v>
      </c>
      <c r="D61" s="326">
        <v>97628</v>
      </c>
      <c r="E61"/>
    </row>
    <row r="62" spans="1:24" x14ac:dyDescent="0.25">
      <c r="A62"/>
      <c r="B62"/>
      <c r="C62"/>
      <c r="D62"/>
      <c r="G62" s="721"/>
    </row>
    <row r="65" spans="1:5" x14ac:dyDescent="0.25">
      <c r="A65" s="319" t="s">
        <v>497</v>
      </c>
      <c r="B65" s="320" t="s">
        <v>499</v>
      </c>
    </row>
    <row r="66" spans="1:5" x14ac:dyDescent="0.25">
      <c r="A66" s="319" t="s">
        <v>1237</v>
      </c>
      <c r="B66" s="320" t="s">
        <v>1180</v>
      </c>
    </row>
    <row r="68" spans="1:5" x14ac:dyDescent="0.25">
      <c r="A68" s="342" t="s">
        <v>939</v>
      </c>
      <c r="B68" s="343" t="s">
        <v>824</v>
      </c>
      <c r="C68" s="313"/>
      <c r="D68" s="314"/>
      <c r="E68"/>
    </row>
    <row r="69" spans="1:5" x14ac:dyDescent="0.25">
      <c r="A69" s="344" t="s">
        <v>414</v>
      </c>
      <c r="B69" s="298" t="s">
        <v>510</v>
      </c>
      <c r="C69" s="298" t="s">
        <v>512</v>
      </c>
      <c r="D69" s="312" t="s">
        <v>415</v>
      </c>
      <c r="E69"/>
    </row>
    <row r="70" spans="1:5" x14ac:dyDescent="0.25">
      <c r="A70" s="345" t="s">
        <v>553</v>
      </c>
      <c r="B70" s="311">
        <v>132</v>
      </c>
      <c r="C70" s="311">
        <v>18</v>
      </c>
      <c r="D70" s="346">
        <v>150</v>
      </c>
      <c r="E70"/>
    </row>
    <row r="71" spans="1:5" x14ac:dyDescent="0.25">
      <c r="A71" s="345" t="s">
        <v>12</v>
      </c>
      <c r="B71" s="311">
        <v>13</v>
      </c>
      <c r="C71" s="311">
        <v>1</v>
      </c>
      <c r="D71" s="346">
        <v>14</v>
      </c>
      <c r="E71"/>
    </row>
    <row r="72" spans="1:5" x14ac:dyDescent="0.25">
      <c r="A72" s="345" t="s">
        <v>985</v>
      </c>
      <c r="B72" s="311"/>
      <c r="C72" s="311">
        <v>1</v>
      </c>
      <c r="D72" s="346">
        <v>1</v>
      </c>
      <c r="E72"/>
    </row>
    <row r="73" spans="1:5" x14ac:dyDescent="0.25">
      <c r="A73" s="347" t="s">
        <v>415</v>
      </c>
      <c r="B73" s="348">
        <v>145</v>
      </c>
      <c r="C73" s="348">
        <v>20</v>
      </c>
      <c r="D73" s="349">
        <v>165</v>
      </c>
      <c r="E73"/>
    </row>
    <row r="74" spans="1:5" x14ac:dyDescent="0.25">
      <c r="A74"/>
      <c r="B74"/>
      <c r="C74"/>
      <c r="D74"/>
    </row>
    <row r="78" spans="1:5" x14ac:dyDescent="0.25">
      <c r="A78" s="354" t="s">
        <v>497</v>
      </c>
      <c r="B78" s="355" t="s">
        <v>499</v>
      </c>
    </row>
    <row r="79" spans="1:5" x14ac:dyDescent="0.25">
      <c r="A79" s="378" t="s">
        <v>1237</v>
      </c>
      <c r="B79" s="377" t="s">
        <v>1180</v>
      </c>
      <c r="C79" s="235" t="s">
        <v>420</v>
      </c>
    </row>
    <row r="81" spans="1:4" x14ac:dyDescent="0.25">
      <c r="A81" s="321" t="s">
        <v>414</v>
      </c>
      <c r="B81" s="308" t="s">
        <v>1168</v>
      </c>
      <c r="C81" s="308" t="s">
        <v>825</v>
      </c>
      <c r="D81" s="309" t="s">
        <v>1169</v>
      </c>
    </row>
    <row r="82" spans="1:4" x14ac:dyDescent="0.25">
      <c r="A82" s="323" t="s">
        <v>380</v>
      </c>
      <c r="B82" s="328">
        <v>129</v>
      </c>
      <c r="C82" s="328">
        <v>87542</v>
      </c>
      <c r="D82" s="336">
        <v>0.89668947433113455</v>
      </c>
    </row>
    <row r="83" spans="1:4" x14ac:dyDescent="0.25">
      <c r="A83" s="316" t="s">
        <v>510</v>
      </c>
      <c r="B83" s="315"/>
      <c r="C83" s="315"/>
      <c r="D83" s="337"/>
    </row>
    <row r="84" spans="1:4" x14ac:dyDescent="0.25">
      <c r="A84" s="338" t="s">
        <v>553</v>
      </c>
      <c r="B84" s="315">
        <v>100</v>
      </c>
      <c r="C84" s="315">
        <v>44207</v>
      </c>
      <c r="D84" s="339">
        <v>0.45281066907034867</v>
      </c>
    </row>
    <row r="85" spans="1:4" x14ac:dyDescent="0.25">
      <c r="A85" s="338" t="s">
        <v>12</v>
      </c>
      <c r="B85" s="315">
        <v>11</v>
      </c>
      <c r="C85" s="315">
        <v>5280</v>
      </c>
      <c r="D85" s="339">
        <v>5.4082845085426309E-2</v>
      </c>
    </row>
    <row r="86" spans="1:4" x14ac:dyDescent="0.25">
      <c r="A86" s="316" t="s">
        <v>512</v>
      </c>
      <c r="B86" s="315"/>
      <c r="C86" s="315"/>
      <c r="D86" s="339"/>
    </row>
    <row r="87" spans="1:4" x14ac:dyDescent="0.25">
      <c r="A87" s="338" t="s">
        <v>985</v>
      </c>
      <c r="B87" s="315">
        <v>1</v>
      </c>
      <c r="C87" s="315">
        <v>1047</v>
      </c>
      <c r="D87" s="339">
        <v>1.0724382349326014E-2</v>
      </c>
    </row>
    <row r="88" spans="1:4" x14ac:dyDescent="0.25">
      <c r="A88" s="338" t="s">
        <v>553</v>
      </c>
      <c r="B88" s="315">
        <v>17</v>
      </c>
      <c r="C88" s="315">
        <v>37008</v>
      </c>
      <c r="D88" s="339">
        <v>0.37907157782603351</v>
      </c>
    </row>
    <row r="89" spans="1:4" x14ac:dyDescent="0.25">
      <c r="A89" s="340" t="s">
        <v>552</v>
      </c>
      <c r="B89" s="315">
        <v>36</v>
      </c>
      <c r="C89" s="315">
        <v>10086</v>
      </c>
      <c r="D89" s="339">
        <v>0.10331052566886549</v>
      </c>
    </row>
    <row r="90" spans="1:4" x14ac:dyDescent="0.25">
      <c r="A90" s="317" t="s">
        <v>415</v>
      </c>
      <c r="B90" s="318">
        <v>165</v>
      </c>
      <c r="C90" s="318">
        <v>97628</v>
      </c>
      <c r="D90" s="341">
        <v>1</v>
      </c>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s="236"/>
      <c r="B95" s="236"/>
      <c r="C95" s="236"/>
      <c r="D95" s="236"/>
    </row>
    <row r="96" spans="1:4" x14ac:dyDescent="0.25">
      <c r="A96" s="236"/>
      <c r="B96" s="236"/>
      <c r="C96" s="236"/>
      <c r="D96" s="236"/>
    </row>
    <row r="97" spans="1:4" x14ac:dyDescent="0.25">
      <c r="A97" s="236"/>
      <c r="B97" s="236"/>
      <c r="C97" s="236"/>
      <c r="D97" s="236"/>
    </row>
    <row r="98" spans="1:4" x14ac:dyDescent="0.25">
      <c r="A98" s="236"/>
      <c r="B98" s="236"/>
      <c r="C98" s="236"/>
      <c r="D98" s="236"/>
    </row>
    <row r="99" spans="1:4" x14ac:dyDescent="0.25">
      <c r="A99" s="236"/>
      <c r="B99" s="236"/>
      <c r="C99" s="236"/>
      <c r="D99" s="236"/>
    </row>
    <row r="100" spans="1:4" x14ac:dyDescent="0.25">
      <c r="A100" s="236"/>
      <c r="B100" s="236"/>
      <c r="C100" s="236"/>
      <c r="D100" s="236"/>
    </row>
    <row r="101" spans="1:4" x14ac:dyDescent="0.25">
      <c r="A101" s="236"/>
      <c r="B101" s="236"/>
      <c r="C101" s="236"/>
      <c r="D101" s="236"/>
    </row>
    <row r="102" spans="1:4" x14ac:dyDescent="0.25">
      <c r="A102" s="236"/>
      <c r="B102" s="236"/>
      <c r="C102" s="236"/>
      <c r="D102" s="236"/>
    </row>
    <row r="103" spans="1:4" x14ac:dyDescent="0.25">
      <c r="A103" s="236"/>
      <c r="B103" s="236"/>
      <c r="C103" s="236"/>
      <c r="D103" s="236"/>
    </row>
    <row r="104" spans="1:4" x14ac:dyDescent="0.25">
      <c r="A104" s="236"/>
      <c r="B104" s="236"/>
      <c r="C104" s="236"/>
      <c r="D104" s="236"/>
    </row>
    <row r="105" spans="1:4" x14ac:dyDescent="0.25">
      <c r="A105" s="236"/>
      <c r="B105" s="236"/>
      <c r="C105" s="236"/>
      <c r="D105" s="236"/>
    </row>
    <row r="106" spans="1:4" x14ac:dyDescent="0.25">
      <c r="A106" s="236"/>
      <c r="B106" s="236"/>
      <c r="C106" s="236"/>
      <c r="D106" s="236"/>
    </row>
    <row r="107" spans="1:4" x14ac:dyDescent="0.25">
      <c r="A107" s="236"/>
      <c r="B107" s="236"/>
      <c r="C107" s="236"/>
      <c r="D107" s="236"/>
    </row>
    <row r="108" spans="1:4" x14ac:dyDescent="0.25">
      <c r="A108" s="236"/>
      <c r="B108" s="236"/>
      <c r="C108" s="236"/>
      <c r="D108" s="236"/>
    </row>
    <row r="109" spans="1:4" x14ac:dyDescent="0.25">
      <c r="A109" s="236"/>
      <c r="B109" s="236"/>
      <c r="C109" s="236"/>
      <c r="D109" s="236"/>
    </row>
    <row r="110" spans="1:4" x14ac:dyDescent="0.25">
      <c r="A110" s="236"/>
      <c r="B110" s="236"/>
      <c r="C110" s="236"/>
      <c r="D110" s="236"/>
    </row>
    <row r="111" spans="1:4" x14ac:dyDescent="0.25">
      <c r="A111" s="236"/>
      <c r="B111" s="236"/>
      <c r="C111" s="236"/>
      <c r="D111" s="236"/>
    </row>
    <row r="112" spans="1:4" x14ac:dyDescent="0.25">
      <c r="A112" s="236"/>
      <c r="B112" s="236"/>
      <c r="C112" s="236"/>
      <c r="D112" s="236"/>
    </row>
    <row r="113" spans="1:4" x14ac:dyDescent="0.25">
      <c r="A113" s="236"/>
      <c r="B113" s="236"/>
      <c r="C113" s="236"/>
      <c r="D113" s="236"/>
    </row>
    <row r="114" spans="1:4" x14ac:dyDescent="0.25">
      <c r="A114" s="236"/>
      <c r="B114" s="236"/>
      <c r="C114" s="236"/>
      <c r="D114" s="236"/>
    </row>
    <row r="115" spans="1:4" x14ac:dyDescent="0.25">
      <c r="A115" s="236"/>
      <c r="B115" s="236"/>
      <c r="C115" s="236"/>
      <c r="D115" s="236"/>
    </row>
    <row r="116" spans="1:4" x14ac:dyDescent="0.25">
      <c r="A116" s="236"/>
      <c r="B116" s="236"/>
      <c r="C116" s="236"/>
      <c r="D116" s="236"/>
    </row>
    <row r="117" spans="1:4" x14ac:dyDescent="0.25">
      <c r="A117" s="236"/>
      <c r="B117" s="236"/>
      <c r="C117" s="236"/>
      <c r="D117" s="236"/>
    </row>
    <row r="118" spans="1:4" x14ac:dyDescent="0.25">
      <c r="A118" s="236"/>
      <c r="B118" s="236"/>
      <c r="C118" s="236"/>
      <c r="D118" s="236"/>
    </row>
    <row r="119" spans="1:4" x14ac:dyDescent="0.25">
      <c r="A119" s="236"/>
      <c r="B119" s="236"/>
      <c r="C119" s="236"/>
      <c r="D119" s="236"/>
    </row>
    <row r="120" spans="1:4" x14ac:dyDescent="0.25">
      <c r="A120" s="236"/>
      <c r="B120" s="236"/>
      <c r="C120" s="236"/>
      <c r="D120" s="236"/>
    </row>
    <row r="121" spans="1:4" x14ac:dyDescent="0.25">
      <c r="A121" s="236"/>
      <c r="B121" s="236"/>
      <c r="C121" s="236"/>
      <c r="D121" s="236"/>
    </row>
    <row r="122" spans="1:4" x14ac:dyDescent="0.25">
      <c r="A122" s="236"/>
      <c r="B122" s="236"/>
      <c r="C122" s="236"/>
      <c r="D122" s="236"/>
    </row>
    <row r="123" spans="1:4" x14ac:dyDescent="0.25">
      <c r="A123" s="236"/>
      <c r="B123" s="236"/>
      <c r="C123" s="236"/>
      <c r="D123" s="236"/>
    </row>
    <row r="124" spans="1:4" x14ac:dyDescent="0.25">
      <c r="A124" s="236"/>
      <c r="B124" s="236"/>
      <c r="C124" s="236"/>
      <c r="D124" s="236"/>
    </row>
    <row r="125" spans="1:4" x14ac:dyDescent="0.25">
      <c r="A125" s="236"/>
      <c r="B125" s="236"/>
      <c r="C125" s="236"/>
      <c r="D125" s="236"/>
    </row>
    <row r="126" spans="1:4" x14ac:dyDescent="0.25">
      <c r="A126" s="236"/>
      <c r="B126" s="236"/>
      <c r="C126" s="236"/>
      <c r="D126" s="236"/>
    </row>
    <row r="127" spans="1:4" x14ac:dyDescent="0.25">
      <c r="A127" s="236"/>
      <c r="B127" s="236"/>
      <c r="C127" s="236"/>
      <c r="D127" s="236"/>
    </row>
    <row r="128" spans="1:4" x14ac:dyDescent="0.25">
      <c r="A128" s="236"/>
      <c r="B128" s="236"/>
      <c r="C128" s="236"/>
      <c r="D128" s="236"/>
    </row>
    <row r="129" spans="1:4" x14ac:dyDescent="0.25">
      <c r="A129" s="236"/>
      <c r="B129" s="236"/>
      <c r="C129" s="236"/>
      <c r="D129" s="236"/>
    </row>
    <row r="130" spans="1:4" x14ac:dyDescent="0.25">
      <c r="A130" s="236"/>
      <c r="B130" s="236"/>
      <c r="C130" s="236"/>
      <c r="D130" s="236"/>
    </row>
    <row r="131" spans="1:4" x14ac:dyDescent="0.25">
      <c r="A131" s="236"/>
      <c r="B131" s="236"/>
      <c r="C131" s="236"/>
      <c r="D131" s="236"/>
    </row>
    <row r="132" spans="1:4" x14ac:dyDescent="0.25">
      <c r="A132" s="236"/>
      <c r="B132" s="236"/>
      <c r="C132" s="236"/>
      <c r="D132" s="236"/>
    </row>
    <row r="133" spans="1:4" x14ac:dyDescent="0.25">
      <c r="A133" s="236"/>
      <c r="B133" s="236"/>
      <c r="C133" s="236"/>
      <c r="D133" s="236"/>
    </row>
    <row r="134" spans="1:4" x14ac:dyDescent="0.25">
      <c r="A134" s="236"/>
      <c r="B134" s="236"/>
      <c r="C134" s="236"/>
      <c r="D134" s="236"/>
    </row>
    <row r="135" spans="1:4" x14ac:dyDescent="0.25">
      <c r="A135" s="236"/>
      <c r="B135" s="236"/>
      <c r="C135" s="236"/>
      <c r="D135" s="236"/>
    </row>
    <row r="136" spans="1:4" x14ac:dyDescent="0.25">
      <c r="A136" s="236"/>
      <c r="B136" s="236"/>
      <c r="C136" s="236"/>
      <c r="D136" s="236"/>
    </row>
    <row r="137" spans="1:4" x14ac:dyDescent="0.25">
      <c r="A137" s="236"/>
      <c r="B137" s="236"/>
      <c r="C137" s="236"/>
      <c r="D137" s="236"/>
    </row>
    <row r="138" spans="1:4" x14ac:dyDescent="0.25">
      <c r="A138" s="236"/>
      <c r="B138" s="236"/>
      <c r="C138" s="236"/>
      <c r="D138" s="236"/>
    </row>
    <row r="139" spans="1:4" x14ac:dyDescent="0.25">
      <c r="A139" s="236"/>
      <c r="B139" s="236"/>
      <c r="C139" s="236"/>
      <c r="D139" s="236"/>
    </row>
    <row r="140" spans="1:4" x14ac:dyDescent="0.25">
      <c r="A140" s="236"/>
      <c r="B140" s="236"/>
      <c r="C140" s="236"/>
      <c r="D140" s="236"/>
    </row>
    <row r="141" spans="1:4" x14ac:dyDescent="0.25">
      <c r="A141" s="236"/>
      <c r="B141" s="236"/>
      <c r="C141" s="236"/>
      <c r="D141" s="236"/>
    </row>
    <row r="142" spans="1:4" x14ac:dyDescent="0.25">
      <c r="A142" s="236"/>
      <c r="B142" s="236"/>
      <c r="C142" s="236"/>
      <c r="D142" s="236"/>
    </row>
    <row r="143" spans="1:4" x14ac:dyDescent="0.25">
      <c r="A143" s="236"/>
      <c r="B143" s="236"/>
      <c r="C143" s="236"/>
      <c r="D143" s="236"/>
    </row>
    <row r="144" spans="1:4" x14ac:dyDescent="0.25">
      <c r="A144" s="236"/>
      <c r="B144" s="236"/>
      <c r="C144" s="236"/>
      <c r="D144" s="236"/>
    </row>
    <row r="145" spans="1:4" x14ac:dyDescent="0.25">
      <c r="A145" s="236"/>
      <c r="B145" s="236"/>
      <c r="C145" s="236"/>
      <c r="D145" s="236"/>
    </row>
    <row r="146" spans="1:4" x14ac:dyDescent="0.25">
      <c r="A146" s="236"/>
      <c r="B146" s="236"/>
      <c r="C146" s="236"/>
      <c r="D146" s="236"/>
    </row>
    <row r="147" spans="1:4" x14ac:dyDescent="0.25">
      <c r="A147" s="236"/>
      <c r="B147" s="236"/>
      <c r="C147" s="236"/>
      <c r="D147" s="236"/>
    </row>
    <row r="148" spans="1:4" x14ac:dyDescent="0.25">
      <c r="A148" s="236"/>
      <c r="B148" s="236"/>
      <c r="C148" s="236"/>
      <c r="D148" s="236"/>
    </row>
    <row r="149" spans="1:4" x14ac:dyDescent="0.25">
      <c r="A149" s="236"/>
      <c r="B149" s="236"/>
      <c r="C149" s="236"/>
      <c r="D149" s="236"/>
    </row>
    <row r="150" spans="1:4" x14ac:dyDescent="0.25">
      <c r="A150" s="236"/>
      <c r="B150" s="236"/>
      <c r="C150" s="236"/>
      <c r="D150" s="236"/>
    </row>
    <row r="151" spans="1:4" x14ac:dyDescent="0.25">
      <c r="A151" s="236"/>
      <c r="B151" s="236"/>
      <c r="C151" s="236"/>
      <c r="D151" s="236"/>
    </row>
    <row r="152" spans="1:4" x14ac:dyDescent="0.25">
      <c r="A152" s="236"/>
      <c r="B152" s="236"/>
      <c r="C152" s="236"/>
      <c r="D152" s="236"/>
    </row>
    <row r="153" spans="1:4" x14ac:dyDescent="0.25">
      <c r="A153" s="236"/>
      <c r="B153" s="236"/>
      <c r="C153" s="236"/>
      <c r="D153" s="236"/>
    </row>
    <row r="154" spans="1:4" x14ac:dyDescent="0.25">
      <c r="A154" s="236"/>
      <c r="B154" s="236"/>
      <c r="C154" s="236"/>
      <c r="D154" s="236"/>
    </row>
    <row r="155" spans="1:4" x14ac:dyDescent="0.25">
      <c r="A155" s="236"/>
      <c r="B155" s="236"/>
      <c r="C155" s="236"/>
      <c r="D155" s="236"/>
    </row>
    <row r="156" spans="1:4" x14ac:dyDescent="0.25">
      <c r="A156" s="236"/>
      <c r="B156" s="236"/>
      <c r="C156" s="236"/>
      <c r="D156" s="236"/>
    </row>
    <row r="157" spans="1:4" x14ac:dyDescent="0.25">
      <c r="A157" s="236"/>
      <c r="B157" s="236"/>
      <c r="C157" s="236"/>
      <c r="D157" s="236"/>
    </row>
    <row r="158" spans="1:4" x14ac:dyDescent="0.25">
      <c r="A158" s="89"/>
      <c r="B158" s="89"/>
      <c r="C158" s="89"/>
      <c r="D158" s="89"/>
    </row>
    <row r="159" spans="1:4" x14ac:dyDescent="0.25">
      <c r="A159" s="89"/>
      <c r="B159" s="89"/>
      <c r="C159" s="89"/>
      <c r="D159" s="89"/>
    </row>
    <row r="160" spans="1:4" x14ac:dyDescent="0.25">
      <c r="A160" s="89"/>
      <c r="B160" s="89"/>
      <c r="C160" s="89"/>
      <c r="D160" s="89"/>
    </row>
    <row r="161" spans="1:4" x14ac:dyDescent="0.25">
      <c r="A161" s="89"/>
      <c r="B161" s="89"/>
      <c r="C161" s="89"/>
      <c r="D161" s="89"/>
    </row>
    <row r="162" spans="1:4" x14ac:dyDescent="0.25">
      <c r="A162" s="89"/>
      <c r="B162" s="89"/>
      <c r="C162" s="89"/>
      <c r="D162" s="89"/>
    </row>
    <row r="163" spans="1:4" x14ac:dyDescent="0.25">
      <c r="A163" s="89"/>
      <c r="B163" s="89"/>
      <c r="C163" s="89"/>
      <c r="D163" s="89"/>
    </row>
    <row r="164" spans="1:4" x14ac:dyDescent="0.25">
      <c r="A164" s="89"/>
      <c r="B164" s="89"/>
      <c r="C164" s="89"/>
      <c r="D164" s="89"/>
    </row>
    <row r="165" spans="1:4" x14ac:dyDescent="0.25">
      <c r="A165" s="89"/>
      <c r="B165" s="89"/>
      <c r="C165" s="89"/>
      <c r="D165" s="89"/>
    </row>
    <row r="166" spans="1:4" x14ac:dyDescent="0.25">
      <c r="A166" s="89"/>
      <c r="B166" s="89"/>
      <c r="C166" s="89"/>
      <c r="D166" s="89"/>
    </row>
    <row r="167" spans="1:4" x14ac:dyDescent="0.25">
      <c r="A167" s="89"/>
      <c r="B167" s="89"/>
      <c r="C167" s="89"/>
      <c r="D167" s="89"/>
    </row>
    <row r="168" spans="1:4" x14ac:dyDescent="0.25">
      <c r="A168" s="89"/>
      <c r="B168" s="89"/>
      <c r="C168" s="89"/>
      <c r="D168" s="89"/>
    </row>
    <row r="169" spans="1:4" x14ac:dyDescent="0.25">
      <c r="A169" s="89"/>
      <c r="B169" s="89"/>
      <c r="C169" s="89"/>
      <c r="D169" s="89"/>
    </row>
    <row r="170" spans="1:4" x14ac:dyDescent="0.25">
      <c r="A170" s="89"/>
      <c r="B170" s="89"/>
      <c r="C170" s="89"/>
      <c r="D170" s="89"/>
    </row>
    <row r="171" spans="1:4" x14ac:dyDescent="0.25">
      <c r="A171" s="89"/>
      <c r="B171" s="89"/>
      <c r="C171" s="89"/>
      <c r="D171" s="89"/>
    </row>
    <row r="172" spans="1:4" x14ac:dyDescent="0.25">
      <c r="A172" s="89"/>
      <c r="B172" s="89"/>
      <c r="C172" s="89"/>
      <c r="D172" s="89"/>
    </row>
    <row r="173" spans="1:4" x14ac:dyDescent="0.25">
      <c r="A173" s="89"/>
      <c r="B173" s="89"/>
      <c r="C173" s="89"/>
      <c r="D173" s="89"/>
    </row>
    <row r="174" spans="1:4" x14ac:dyDescent="0.25">
      <c r="A174" s="89"/>
      <c r="B174" s="89"/>
      <c r="C174" s="89"/>
      <c r="D174" s="89"/>
    </row>
    <row r="175" spans="1:4" x14ac:dyDescent="0.25">
      <c r="A175" s="89"/>
      <c r="B175" s="89"/>
      <c r="C175" s="89"/>
      <c r="D175" s="89"/>
    </row>
    <row r="176" spans="1:4" x14ac:dyDescent="0.25">
      <c r="A176" s="89"/>
      <c r="B176" s="89"/>
      <c r="C176" s="89"/>
      <c r="D176" s="89"/>
    </row>
    <row r="177" spans="1:4" x14ac:dyDescent="0.25">
      <c r="A177" s="89"/>
      <c r="B177" s="89"/>
      <c r="C177" s="89"/>
      <c r="D177" s="89"/>
    </row>
    <row r="178" spans="1:4" x14ac:dyDescent="0.25">
      <c r="A178" s="89"/>
      <c r="B178" s="89"/>
      <c r="C178" s="89"/>
      <c r="D178" s="89"/>
    </row>
    <row r="179" spans="1:4" x14ac:dyDescent="0.25">
      <c r="A179" s="89"/>
      <c r="B179" s="89"/>
      <c r="C179" s="89"/>
      <c r="D179" s="89"/>
    </row>
    <row r="180" spans="1:4" x14ac:dyDescent="0.25">
      <c r="A180" s="89"/>
      <c r="B180" s="89"/>
      <c r="C180" s="89"/>
      <c r="D180" s="89"/>
    </row>
    <row r="181" spans="1:4" x14ac:dyDescent="0.25">
      <c r="A181" s="89"/>
      <c r="B181" s="89"/>
      <c r="C181" s="89"/>
      <c r="D181" s="89"/>
    </row>
    <row r="182" spans="1:4" x14ac:dyDescent="0.25">
      <c r="A182" s="89"/>
      <c r="B182" s="89"/>
      <c r="C182" s="89"/>
      <c r="D182" s="89"/>
    </row>
    <row r="183" spans="1:4" x14ac:dyDescent="0.25">
      <c r="A183" s="89"/>
      <c r="B183" s="89"/>
      <c r="C183" s="89"/>
      <c r="D183" s="89"/>
    </row>
    <row r="184" spans="1:4" x14ac:dyDescent="0.25">
      <c r="A184" s="89"/>
      <c r="B184" s="89"/>
      <c r="C184" s="89"/>
      <c r="D184" s="89"/>
    </row>
    <row r="185" spans="1:4" x14ac:dyDescent="0.25">
      <c r="A185" s="89"/>
      <c r="B185" s="89"/>
      <c r="C185" s="89"/>
      <c r="D185" s="89"/>
    </row>
    <row r="186" spans="1:4" x14ac:dyDescent="0.25">
      <c r="A186" s="89"/>
      <c r="B186" s="89"/>
      <c r="C186" s="89"/>
      <c r="D186" s="89"/>
    </row>
    <row r="187" spans="1:4" x14ac:dyDescent="0.25">
      <c r="A187" s="89"/>
      <c r="B187" s="89"/>
      <c r="C187" s="89"/>
      <c r="D187" s="89"/>
    </row>
    <row r="188" spans="1:4" x14ac:dyDescent="0.25">
      <c r="A188" s="89"/>
      <c r="B188" s="89"/>
      <c r="C188" s="89"/>
      <c r="D188" s="89"/>
    </row>
    <row r="189" spans="1:4" x14ac:dyDescent="0.25">
      <c r="A189" s="89"/>
      <c r="B189" s="89"/>
      <c r="C189" s="89"/>
      <c r="D189" s="89"/>
    </row>
    <row r="190" spans="1:4" x14ac:dyDescent="0.25">
      <c r="A190" s="89"/>
      <c r="B190" s="89"/>
      <c r="C190" s="89"/>
      <c r="D190" s="89"/>
    </row>
    <row r="191" spans="1:4" x14ac:dyDescent="0.25">
      <c r="A191" s="89"/>
      <c r="B191" s="89"/>
      <c r="C191" s="89"/>
      <c r="D191" s="89"/>
    </row>
    <row r="192" spans="1:4" x14ac:dyDescent="0.25">
      <c r="A192" s="89"/>
      <c r="B192" s="89"/>
      <c r="C192" s="89"/>
      <c r="D192" s="89"/>
    </row>
    <row r="193" spans="1:4" x14ac:dyDescent="0.25">
      <c r="A193" s="89"/>
      <c r="B193" s="89"/>
      <c r="C193" s="89"/>
      <c r="D193" s="89"/>
    </row>
    <row r="194" spans="1:4" x14ac:dyDescent="0.25">
      <c r="A194" s="89"/>
      <c r="B194" s="89"/>
      <c r="C194" s="89"/>
      <c r="D194" s="89"/>
    </row>
    <row r="195" spans="1:4" x14ac:dyDescent="0.25">
      <c r="A195" s="89"/>
      <c r="B195" s="89"/>
      <c r="C195" s="89"/>
      <c r="D195" s="89"/>
    </row>
    <row r="196" spans="1:4" x14ac:dyDescent="0.25">
      <c r="A196" s="89"/>
      <c r="B196" s="89"/>
      <c r="C196" s="89"/>
      <c r="D196" s="89"/>
    </row>
    <row r="197" spans="1:4" x14ac:dyDescent="0.25">
      <c r="A197" s="89"/>
      <c r="B197" s="89"/>
      <c r="C197" s="89"/>
      <c r="D197" s="89"/>
    </row>
    <row r="198" spans="1:4" x14ac:dyDescent="0.25">
      <c r="A198" s="89"/>
      <c r="B198" s="89"/>
      <c r="C198" s="89"/>
      <c r="D198" s="89"/>
    </row>
    <row r="199" spans="1:4" x14ac:dyDescent="0.25">
      <c r="A199" s="89"/>
      <c r="B199" s="89"/>
      <c r="C199" s="89"/>
      <c r="D199" s="89"/>
    </row>
    <row r="200" spans="1:4" x14ac:dyDescent="0.25">
      <c r="A200" s="89"/>
      <c r="B200" s="89"/>
      <c r="C200" s="89"/>
      <c r="D200" s="89"/>
    </row>
    <row r="201" spans="1:4" x14ac:dyDescent="0.25">
      <c r="A201" s="89"/>
      <c r="B201" s="89"/>
      <c r="C201" s="89"/>
      <c r="D201" s="89"/>
    </row>
    <row r="202" spans="1:4" x14ac:dyDescent="0.25">
      <c r="A202" s="89"/>
      <c r="B202" s="89"/>
      <c r="C202" s="89"/>
      <c r="D202" s="89"/>
    </row>
    <row r="203" spans="1:4" x14ac:dyDescent="0.25">
      <c r="A203" s="89"/>
      <c r="B203" s="89"/>
      <c r="C203" s="89"/>
      <c r="D203" s="89"/>
    </row>
    <row r="204" spans="1:4" x14ac:dyDescent="0.25">
      <c r="A204" s="89"/>
      <c r="B204" s="89"/>
      <c r="C204" s="89"/>
      <c r="D204" s="89"/>
    </row>
    <row r="205" spans="1:4" x14ac:dyDescent="0.25">
      <c r="A205" s="89"/>
      <c r="B205" s="89"/>
      <c r="C205" s="89"/>
      <c r="D205" s="89"/>
    </row>
    <row r="206" spans="1:4" x14ac:dyDescent="0.25">
      <c r="A206" s="89"/>
      <c r="B206" s="89"/>
      <c r="C206" s="89"/>
      <c r="D206" s="89"/>
    </row>
    <row r="207" spans="1:4" x14ac:dyDescent="0.25">
      <c r="A207" s="89"/>
      <c r="B207" s="89"/>
      <c r="C207" s="89"/>
      <c r="D207" s="89"/>
    </row>
    <row r="208" spans="1:4" x14ac:dyDescent="0.25">
      <c r="A208" s="89"/>
      <c r="B208" s="89"/>
      <c r="C208" s="89"/>
      <c r="D208" s="89"/>
    </row>
    <row r="209" spans="1:4" x14ac:dyDescent="0.25">
      <c r="A209" s="89"/>
      <c r="B209" s="89"/>
      <c r="C209" s="89"/>
      <c r="D209" s="89"/>
    </row>
    <row r="210" spans="1:4" x14ac:dyDescent="0.25">
      <c r="A210" s="89"/>
      <c r="B210" s="89"/>
      <c r="C210" s="89"/>
      <c r="D210" s="89"/>
    </row>
    <row r="211" spans="1:4" x14ac:dyDescent="0.25">
      <c r="A211" s="89"/>
      <c r="B211" s="89"/>
      <c r="C211" s="89"/>
      <c r="D211" s="89"/>
    </row>
    <row r="212" spans="1:4" x14ac:dyDescent="0.25">
      <c r="A212" s="89"/>
      <c r="B212" s="89"/>
      <c r="C212" s="89"/>
      <c r="D212" s="89"/>
    </row>
    <row r="213" spans="1:4" x14ac:dyDescent="0.25">
      <c r="A213" s="89"/>
      <c r="B213" s="89"/>
      <c r="C213" s="89"/>
      <c r="D213" s="89"/>
    </row>
    <row r="214" spans="1:4" x14ac:dyDescent="0.25">
      <c r="A214" s="89"/>
      <c r="B214" s="89"/>
      <c r="C214" s="89"/>
      <c r="D214" s="89"/>
    </row>
    <row r="215" spans="1:4" x14ac:dyDescent="0.25">
      <c r="A215" s="89"/>
      <c r="B215" s="89"/>
      <c r="C215" s="89"/>
      <c r="D215" s="89"/>
    </row>
    <row r="216" spans="1:4" x14ac:dyDescent="0.25">
      <c r="A216" s="89"/>
      <c r="B216" s="89"/>
      <c r="C216" s="89"/>
      <c r="D216" s="89"/>
    </row>
    <row r="217" spans="1:4" x14ac:dyDescent="0.25">
      <c r="A217" s="89"/>
      <c r="B217" s="89"/>
      <c r="C217" s="89"/>
      <c r="D217" s="89"/>
    </row>
    <row r="218" spans="1:4" x14ac:dyDescent="0.25">
      <c r="A218" s="89"/>
      <c r="B218" s="89"/>
      <c r="C218" s="89"/>
      <c r="D218" s="89"/>
    </row>
    <row r="219" spans="1:4" x14ac:dyDescent="0.25">
      <c r="A219" s="89"/>
      <c r="B219" s="89"/>
      <c r="C219" s="89"/>
      <c r="D219" s="89"/>
    </row>
    <row r="220" spans="1:4" x14ac:dyDescent="0.25">
      <c r="A220" s="89"/>
      <c r="B220" s="89"/>
      <c r="C220" s="89"/>
      <c r="D220" s="89"/>
    </row>
    <row r="221" spans="1:4" x14ac:dyDescent="0.25">
      <c r="A221" s="89"/>
      <c r="B221" s="89"/>
      <c r="C221" s="89"/>
      <c r="D221" s="89"/>
    </row>
    <row r="222" spans="1:4" x14ac:dyDescent="0.25">
      <c r="A222" s="89"/>
      <c r="B222" s="89"/>
      <c r="C222" s="89"/>
      <c r="D222" s="89"/>
    </row>
    <row r="223" spans="1:4" x14ac:dyDescent="0.25">
      <c r="A223" s="89"/>
      <c r="B223" s="89"/>
      <c r="C223" s="89"/>
      <c r="D223" s="89"/>
    </row>
    <row r="224" spans="1:4" x14ac:dyDescent="0.25">
      <c r="A224" s="89"/>
      <c r="B224" s="89"/>
      <c r="C224" s="89"/>
      <c r="D224" s="89"/>
    </row>
    <row r="225" spans="1:4" x14ac:dyDescent="0.25">
      <c r="A225" s="89"/>
      <c r="B225" s="89"/>
      <c r="C225" s="89"/>
      <c r="D225" s="89"/>
    </row>
    <row r="226" spans="1:4" x14ac:dyDescent="0.25">
      <c r="A226" s="89"/>
      <c r="B226" s="89"/>
      <c r="C226" s="89"/>
      <c r="D226" s="89"/>
    </row>
    <row r="227" spans="1:4" x14ac:dyDescent="0.25">
      <c r="A227" s="89"/>
      <c r="B227" s="89"/>
      <c r="C227" s="89"/>
      <c r="D227" s="89"/>
    </row>
    <row r="228" spans="1:4" x14ac:dyDescent="0.25">
      <c r="A228" s="89"/>
      <c r="B228" s="89"/>
      <c r="C228" s="89"/>
      <c r="D228" s="89"/>
    </row>
    <row r="229" spans="1:4" x14ac:dyDescent="0.25">
      <c r="A229" s="89"/>
      <c r="B229" s="89"/>
      <c r="C229" s="89"/>
      <c r="D229" s="89"/>
    </row>
    <row r="230" spans="1:4" x14ac:dyDescent="0.25">
      <c r="A230" s="89"/>
      <c r="B230" s="89"/>
      <c r="C230" s="89"/>
      <c r="D230" s="89"/>
    </row>
    <row r="231" spans="1:4" x14ac:dyDescent="0.25">
      <c r="A231" s="89"/>
      <c r="B231" s="89"/>
      <c r="C231" s="89"/>
      <c r="D231" s="89"/>
    </row>
    <row r="232" spans="1:4" x14ac:dyDescent="0.25">
      <c r="A232" s="89"/>
      <c r="B232" s="89"/>
      <c r="C232" s="89"/>
      <c r="D232" s="89"/>
    </row>
    <row r="233" spans="1:4" x14ac:dyDescent="0.25">
      <c r="A233" s="89"/>
      <c r="B233" s="89"/>
      <c r="C233" s="89"/>
      <c r="D233" s="89"/>
    </row>
    <row r="234" spans="1:4" x14ac:dyDescent="0.25">
      <c r="A234" s="89"/>
      <c r="B234" s="89"/>
      <c r="C234" s="89"/>
      <c r="D234" s="89"/>
    </row>
    <row r="235" spans="1:4" x14ac:dyDescent="0.25">
      <c r="A235" s="89"/>
      <c r="B235" s="89"/>
      <c r="C235" s="89"/>
      <c r="D235" s="89"/>
    </row>
    <row r="236" spans="1:4" x14ac:dyDescent="0.25">
      <c r="A236" s="89"/>
      <c r="B236" s="89"/>
      <c r="C236" s="89"/>
      <c r="D236" s="89"/>
    </row>
    <row r="237" spans="1:4" x14ac:dyDescent="0.25">
      <c r="A237" s="89"/>
      <c r="B237" s="89"/>
      <c r="C237" s="89"/>
      <c r="D237" s="89"/>
    </row>
    <row r="238" spans="1:4" x14ac:dyDescent="0.25">
      <c r="A238" s="89"/>
      <c r="B238" s="89"/>
      <c r="C238" s="89"/>
      <c r="D238" s="89"/>
    </row>
    <row r="239" spans="1:4" x14ac:dyDescent="0.25">
      <c r="A239" s="89"/>
      <c r="B239" s="89"/>
      <c r="C239" s="89"/>
      <c r="D239" s="89"/>
    </row>
    <row r="240" spans="1:4" x14ac:dyDescent="0.25">
      <c r="A240" s="89"/>
      <c r="B240" s="89"/>
      <c r="C240" s="89"/>
      <c r="D240" s="89"/>
    </row>
    <row r="241" spans="1:4" x14ac:dyDescent="0.25">
      <c r="A241" s="89"/>
      <c r="B241" s="89"/>
      <c r="C241" s="89"/>
      <c r="D241" s="89"/>
    </row>
    <row r="242" spans="1:4" x14ac:dyDescent="0.25">
      <c r="A242" s="89"/>
      <c r="B242" s="89"/>
      <c r="C242" s="89"/>
      <c r="D242" s="89"/>
    </row>
    <row r="243" spans="1:4" x14ac:dyDescent="0.25">
      <c r="A243" s="89"/>
      <c r="B243" s="89"/>
      <c r="C243" s="89"/>
      <c r="D243" s="89"/>
    </row>
    <row r="244" spans="1:4" x14ac:dyDescent="0.25">
      <c r="A244" s="89"/>
      <c r="B244" s="89"/>
      <c r="C244" s="89"/>
      <c r="D244" s="89"/>
    </row>
    <row r="245" spans="1:4" x14ac:dyDescent="0.25">
      <c r="A245" s="89"/>
      <c r="B245" s="89"/>
      <c r="C245" s="89"/>
      <c r="D245" s="89"/>
    </row>
    <row r="246" spans="1:4" x14ac:dyDescent="0.25">
      <c r="A246" s="89"/>
      <c r="B246" s="89"/>
      <c r="C246" s="89"/>
      <c r="D246" s="89"/>
    </row>
    <row r="247" spans="1:4" x14ac:dyDescent="0.25">
      <c r="A247" s="89"/>
      <c r="B247" s="89"/>
      <c r="C247" s="89"/>
      <c r="D247" s="89"/>
    </row>
    <row r="248" spans="1:4" x14ac:dyDescent="0.25">
      <c r="A248" s="89"/>
      <c r="B248" s="89"/>
      <c r="C248" s="89"/>
      <c r="D248" s="89"/>
    </row>
    <row r="249" spans="1:4" x14ac:dyDescent="0.25">
      <c r="A249" s="89"/>
      <c r="B249" s="89"/>
      <c r="C249" s="89"/>
      <c r="D249" s="89"/>
    </row>
    <row r="250" spans="1:4" x14ac:dyDescent="0.25">
      <c r="A250" s="89"/>
      <c r="B250" s="89"/>
      <c r="C250" s="89"/>
      <c r="D250" s="89"/>
    </row>
    <row r="251" spans="1:4" x14ac:dyDescent="0.25">
      <c r="A251" s="89"/>
      <c r="B251" s="89"/>
      <c r="C251" s="89"/>
      <c r="D251" s="89"/>
    </row>
    <row r="252" spans="1:4" x14ac:dyDescent="0.25">
      <c r="A252" s="89"/>
      <c r="B252" s="89"/>
      <c r="C252" s="89"/>
      <c r="D252" s="89"/>
    </row>
    <row r="253" spans="1:4" x14ac:dyDescent="0.25">
      <c r="A253" s="89"/>
      <c r="B253" s="89"/>
      <c r="C253" s="89"/>
      <c r="D253" s="89"/>
    </row>
    <row r="254" spans="1:4" x14ac:dyDescent="0.25">
      <c r="A254" s="89"/>
      <c r="B254" s="89"/>
      <c r="C254" s="89"/>
      <c r="D254" s="89"/>
    </row>
    <row r="255" spans="1:4" x14ac:dyDescent="0.25">
      <c r="A255" s="89"/>
      <c r="B255" s="89"/>
      <c r="C255" s="89"/>
      <c r="D255" s="89"/>
    </row>
    <row r="256" spans="1:4" x14ac:dyDescent="0.25">
      <c r="A256" s="89"/>
      <c r="B256" s="89"/>
      <c r="C256" s="89"/>
      <c r="D256" s="89"/>
    </row>
    <row r="257" spans="1:4" x14ac:dyDescent="0.25">
      <c r="A257" s="89"/>
      <c r="B257" s="89"/>
      <c r="C257" s="89"/>
      <c r="D257" s="89"/>
    </row>
    <row r="258" spans="1:4" x14ac:dyDescent="0.25">
      <c r="A258" s="89"/>
      <c r="B258" s="89"/>
      <c r="C258" s="89"/>
      <c r="D258" s="89"/>
    </row>
    <row r="259" spans="1:4" x14ac:dyDescent="0.25">
      <c r="A259" s="89"/>
      <c r="B259" s="89"/>
      <c r="C259" s="89"/>
      <c r="D259" s="89"/>
    </row>
    <row r="260" spans="1:4" x14ac:dyDescent="0.25">
      <c r="A260" s="89"/>
      <c r="B260" s="89"/>
      <c r="C260" s="89"/>
      <c r="D260" s="89"/>
    </row>
    <row r="261" spans="1:4" x14ac:dyDescent="0.25">
      <c r="A261" s="89"/>
      <c r="B261" s="89"/>
      <c r="C261" s="89"/>
      <c r="D261" s="89"/>
    </row>
    <row r="262" spans="1:4" x14ac:dyDescent="0.25">
      <c r="A262" s="89"/>
      <c r="B262" s="89"/>
      <c r="C262" s="89"/>
      <c r="D262" s="89"/>
    </row>
    <row r="263" spans="1:4" x14ac:dyDescent="0.25">
      <c r="A263" s="89"/>
      <c r="B263" s="89"/>
      <c r="C263" s="89"/>
      <c r="D263" s="89"/>
    </row>
    <row r="264" spans="1:4" x14ac:dyDescent="0.25">
      <c r="A264" s="89"/>
      <c r="B264" s="89"/>
      <c r="C264" s="89"/>
      <c r="D264" s="89"/>
    </row>
    <row r="265" spans="1:4" x14ac:dyDescent="0.25">
      <c r="A265" s="89"/>
      <c r="B265" s="89"/>
      <c r="C265" s="89"/>
      <c r="D265" s="89"/>
    </row>
  </sheetData>
  <printOptions horizontalCentered="1"/>
  <pageMargins left="0" right="0" top="0" bottom="0" header="0.3" footer="0.3"/>
  <pageSetup paperSize="9" scale="76" fitToWidth="0"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3" tint="0.59999389629810485"/>
  </sheetPr>
  <dimension ref="A1:K358"/>
  <sheetViews>
    <sheetView topLeftCell="A175" zoomScale="85" zoomScaleNormal="85" workbookViewId="0">
      <selection activeCell="D201" sqref="D201"/>
    </sheetView>
  </sheetViews>
  <sheetFormatPr defaultRowHeight="15" x14ac:dyDescent="0.25"/>
  <cols>
    <col min="1" max="1" width="11.28515625" style="395" customWidth="1"/>
    <col min="2" max="2" width="12.7109375" style="395" customWidth="1"/>
    <col min="3" max="3" width="47" style="395" bestFit="1" customWidth="1"/>
    <col min="4" max="4" width="19.140625" style="395" customWidth="1"/>
    <col min="5" max="5" width="15" style="395" customWidth="1"/>
    <col min="6" max="6" width="12" style="395" customWidth="1"/>
    <col min="7" max="7" width="10.7109375" style="632" customWidth="1"/>
    <col min="8" max="8" width="11.28515625" style="632" customWidth="1"/>
    <col min="9" max="9" width="9.7109375" style="395" customWidth="1"/>
    <col min="10" max="16384" width="9.140625" style="395"/>
  </cols>
  <sheetData>
    <row r="1" spans="1:11" ht="21.75" customHeight="1" x14ac:dyDescent="0.25">
      <c r="A1" s="623"/>
      <c r="B1" s="379"/>
      <c r="C1" s="379"/>
      <c r="D1" s="379"/>
      <c r="E1" s="379"/>
      <c r="F1" s="379"/>
      <c r="G1" s="379"/>
      <c r="H1" s="380"/>
      <c r="I1" s="393"/>
      <c r="J1" s="393"/>
      <c r="K1" s="393"/>
    </row>
    <row r="2" spans="1:11" ht="28.5" x14ac:dyDescent="0.25">
      <c r="A2" s="624" t="s">
        <v>857</v>
      </c>
      <c r="B2" s="625"/>
      <c r="C2" s="625"/>
      <c r="D2" s="625"/>
      <c r="E2" s="625"/>
      <c r="F2" s="625"/>
      <c r="G2" s="625"/>
      <c r="H2" s="626"/>
      <c r="I2" s="627"/>
      <c r="J2" s="98"/>
      <c r="K2" s="98"/>
    </row>
    <row r="3" spans="1:11" ht="22.5" customHeight="1" x14ac:dyDescent="0.25">
      <c r="A3" s="953">
        <f>Definition!B23</f>
        <v>42856</v>
      </c>
      <c r="B3" s="954"/>
      <c r="C3" s="628"/>
      <c r="D3" s="628"/>
      <c r="E3" s="628"/>
      <c r="F3" s="628"/>
      <c r="G3" s="628"/>
      <c r="H3" s="629"/>
      <c r="I3" s="627"/>
      <c r="J3" s="99"/>
      <c r="K3" s="627"/>
    </row>
    <row r="4" spans="1:11" ht="17.25" customHeight="1" x14ac:dyDescent="0.25">
      <c r="A4" s="630" t="s">
        <v>497</v>
      </c>
      <c r="B4" s="631" t="s">
        <v>499</v>
      </c>
      <c r="C4" s="627"/>
      <c r="D4" s="627"/>
      <c r="E4" s="627"/>
      <c r="F4" s="627"/>
      <c r="G4" s="627"/>
      <c r="H4" s="627"/>
      <c r="I4" s="627"/>
      <c r="J4" s="99"/>
      <c r="K4" s="627"/>
    </row>
    <row r="5" spans="1:11" x14ac:dyDescent="0.25">
      <c r="A5" s="630" t="s">
        <v>1237</v>
      </c>
      <c r="B5" s="631" t="s">
        <v>1180</v>
      </c>
    </row>
    <row r="6" spans="1:11" ht="6.75" customHeight="1" x14ac:dyDescent="0.25"/>
    <row r="7" spans="1:11" s="719" customFormat="1" ht="45" x14ac:dyDescent="0.25">
      <c r="A7" s="712" t="s">
        <v>395</v>
      </c>
      <c r="B7" s="713" t="s">
        <v>0</v>
      </c>
      <c r="C7" s="713" t="s">
        <v>553</v>
      </c>
      <c r="D7" s="713" t="s">
        <v>924</v>
      </c>
      <c r="E7" s="713" t="s">
        <v>1280</v>
      </c>
      <c r="F7" s="714" t="s">
        <v>925</v>
      </c>
      <c r="G7" s="715" t="s">
        <v>496</v>
      </c>
      <c r="H7" s="716" t="s">
        <v>859</v>
      </c>
      <c r="I7" s="716" t="s">
        <v>860</v>
      </c>
      <c r="J7" s="717" t="s">
        <v>1279</v>
      </c>
      <c r="K7" s="718"/>
    </row>
    <row r="8" spans="1:11" ht="12.75" customHeight="1" x14ac:dyDescent="0.25">
      <c r="A8" s="633" t="s">
        <v>380</v>
      </c>
      <c r="B8" s="381" t="s">
        <v>5</v>
      </c>
      <c r="C8" s="381" t="s">
        <v>6</v>
      </c>
      <c r="D8" s="381" t="s">
        <v>4</v>
      </c>
      <c r="E8" s="381" t="s">
        <v>553</v>
      </c>
      <c r="F8" s="381" t="s">
        <v>1084</v>
      </c>
      <c r="G8" s="381" t="s">
        <v>510</v>
      </c>
      <c r="H8" s="634">
        <v>257</v>
      </c>
      <c r="I8" s="634">
        <v>1266</v>
      </c>
      <c r="J8" s="635">
        <v>1</v>
      </c>
    </row>
    <row r="9" spans="1:11" ht="12.75" customHeight="1" x14ac:dyDescent="0.25">
      <c r="A9" s="633"/>
      <c r="B9" s="381"/>
      <c r="C9" s="381" t="s">
        <v>511</v>
      </c>
      <c r="D9" s="381" t="s">
        <v>377</v>
      </c>
      <c r="E9" s="381" t="s">
        <v>553</v>
      </c>
      <c r="F9" s="381" t="s">
        <v>459</v>
      </c>
      <c r="G9" s="381" t="s">
        <v>510</v>
      </c>
      <c r="H9" s="634">
        <v>12</v>
      </c>
      <c r="I9" s="634">
        <v>55</v>
      </c>
      <c r="J9" s="635">
        <v>1</v>
      </c>
    </row>
    <row r="10" spans="1:11" ht="12.75" customHeight="1" x14ac:dyDescent="0.25">
      <c r="A10" s="633"/>
      <c r="B10" s="381"/>
      <c r="C10" s="381" t="s">
        <v>12</v>
      </c>
      <c r="D10" s="381" t="s">
        <v>11</v>
      </c>
      <c r="E10" s="381" t="s">
        <v>12</v>
      </c>
      <c r="F10" s="381" t="s">
        <v>600</v>
      </c>
      <c r="G10" s="381" t="s">
        <v>510</v>
      </c>
      <c r="H10" s="634">
        <v>197</v>
      </c>
      <c r="I10" s="634">
        <v>957</v>
      </c>
      <c r="J10" s="635">
        <v>1</v>
      </c>
    </row>
    <row r="11" spans="1:11" ht="12.75" customHeight="1" x14ac:dyDescent="0.25">
      <c r="A11" s="633"/>
      <c r="B11" s="381"/>
      <c r="C11" s="381" t="s">
        <v>14</v>
      </c>
      <c r="D11" s="381" t="s">
        <v>13</v>
      </c>
      <c r="E11" s="381" t="s">
        <v>553</v>
      </c>
      <c r="F11" s="381" t="s">
        <v>459</v>
      </c>
      <c r="G11" s="381" t="s">
        <v>510</v>
      </c>
      <c r="H11" s="634">
        <v>38</v>
      </c>
      <c r="I11" s="634">
        <v>214</v>
      </c>
      <c r="J11" s="635">
        <v>1</v>
      </c>
    </row>
    <row r="12" spans="1:11" ht="12.75" customHeight="1" x14ac:dyDescent="0.25">
      <c r="A12" s="633"/>
      <c r="B12" s="381"/>
      <c r="C12" s="759" t="s">
        <v>18</v>
      </c>
      <c r="D12" s="381" t="s">
        <v>17</v>
      </c>
      <c r="E12" s="381" t="s">
        <v>553</v>
      </c>
      <c r="F12" s="381" t="s">
        <v>504</v>
      </c>
      <c r="G12" s="381" t="s">
        <v>510</v>
      </c>
      <c r="H12" s="634">
        <v>130</v>
      </c>
      <c r="I12" s="634">
        <v>747</v>
      </c>
      <c r="J12" s="635">
        <v>1</v>
      </c>
    </row>
    <row r="13" spans="1:11" ht="12.75" customHeight="1" x14ac:dyDescent="0.25">
      <c r="A13" s="633"/>
      <c r="B13" s="381"/>
      <c r="C13" s="759" t="s">
        <v>8</v>
      </c>
      <c r="D13" s="381" t="s">
        <v>7</v>
      </c>
      <c r="E13" s="381" t="s">
        <v>553</v>
      </c>
      <c r="F13" s="381" t="s">
        <v>504</v>
      </c>
      <c r="G13" s="381" t="s">
        <v>510</v>
      </c>
      <c r="H13" s="634">
        <v>13</v>
      </c>
      <c r="I13" s="634">
        <v>56</v>
      </c>
      <c r="J13" s="635">
        <v>1</v>
      </c>
    </row>
    <row r="14" spans="1:11" ht="12.75" customHeight="1" x14ac:dyDescent="0.25">
      <c r="A14" s="633"/>
      <c r="B14" s="381"/>
      <c r="C14" s="759" t="s">
        <v>20</v>
      </c>
      <c r="D14" s="381" t="s">
        <v>19</v>
      </c>
      <c r="E14" s="381" t="s">
        <v>553</v>
      </c>
      <c r="F14" s="381" t="s">
        <v>1084</v>
      </c>
      <c r="G14" s="381" t="s">
        <v>510</v>
      </c>
      <c r="H14" s="634">
        <v>21</v>
      </c>
      <c r="I14" s="634">
        <v>111</v>
      </c>
      <c r="J14" s="635">
        <v>1</v>
      </c>
    </row>
    <row r="15" spans="1:11" ht="12.75" customHeight="1" x14ac:dyDescent="0.25">
      <c r="A15" s="633"/>
      <c r="B15" s="381"/>
      <c r="C15" s="759" t="s">
        <v>366</v>
      </c>
      <c r="D15" s="381" t="s">
        <v>376</v>
      </c>
      <c r="E15" s="381" t="s">
        <v>553</v>
      </c>
      <c r="F15" s="381" t="s">
        <v>459</v>
      </c>
      <c r="G15" s="381" t="s">
        <v>510</v>
      </c>
      <c r="H15" s="634">
        <v>153</v>
      </c>
      <c r="I15" s="634">
        <v>773</v>
      </c>
      <c r="J15" s="635">
        <v>1</v>
      </c>
    </row>
    <row r="16" spans="1:11" ht="12.75" customHeight="1" x14ac:dyDescent="0.25">
      <c r="A16" s="633"/>
      <c r="B16" s="381"/>
      <c r="C16" s="759" t="s">
        <v>22</v>
      </c>
      <c r="D16" s="381" t="s">
        <v>21</v>
      </c>
      <c r="E16" s="381" t="s">
        <v>553</v>
      </c>
      <c r="F16" s="381" t="s">
        <v>459</v>
      </c>
      <c r="G16" s="381" t="s">
        <v>510</v>
      </c>
      <c r="H16" s="634">
        <v>638</v>
      </c>
      <c r="I16" s="634">
        <v>4050</v>
      </c>
      <c r="J16" s="635">
        <v>1</v>
      </c>
    </row>
    <row r="17" spans="1:10" ht="12.75" customHeight="1" x14ac:dyDescent="0.25">
      <c r="A17" s="633"/>
      <c r="B17" s="381"/>
      <c r="C17" s="759" t="s">
        <v>24</v>
      </c>
      <c r="D17" s="381" t="s">
        <v>23</v>
      </c>
      <c r="E17" s="381" t="s">
        <v>553</v>
      </c>
      <c r="F17" s="381" t="s">
        <v>504</v>
      </c>
      <c r="G17" s="381" t="s">
        <v>510</v>
      </c>
      <c r="H17" s="634">
        <v>20</v>
      </c>
      <c r="I17" s="634">
        <v>95</v>
      </c>
      <c r="J17" s="635">
        <v>1</v>
      </c>
    </row>
    <row r="18" spans="1:10" ht="12.75" customHeight="1" x14ac:dyDescent="0.25">
      <c r="A18" s="633"/>
      <c r="B18" s="381"/>
      <c r="C18" s="381" t="s">
        <v>26</v>
      </c>
      <c r="D18" s="381" t="s">
        <v>25</v>
      </c>
      <c r="E18" s="381" t="s">
        <v>553</v>
      </c>
      <c r="F18" s="381" t="s">
        <v>504</v>
      </c>
      <c r="G18" s="381" t="s">
        <v>510</v>
      </c>
      <c r="H18" s="634">
        <v>15</v>
      </c>
      <c r="I18" s="634">
        <v>79</v>
      </c>
      <c r="J18" s="635">
        <v>1</v>
      </c>
    </row>
    <row r="19" spans="1:10" ht="12.75" customHeight="1" x14ac:dyDescent="0.25">
      <c r="A19" s="633"/>
      <c r="B19" s="381" t="s">
        <v>1157</v>
      </c>
      <c r="C19" s="381"/>
      <c r="D19" s="381"/>
      <c r="E19" s="381"/>
      <c r="F19" s="381"/>
      <c r="G19" s="381"/>
      <c r="H19" s="634">
        <v>1494</v>
      </c>
      <c r="I19" s="634">
        <v>8403</v>
      </c>
      <c r="J19" s="635">
        <v>11</v>
      </c>
    </row>
    <row r="20" spans="1:10" ht="12.75" customHeight="1" x14ac:dyDescent="0.25">
      <c r="A20" s="633"/>
      <c r="B20" s="381" t="s">
        <v>27</v>
      </c>
      <c r="C20" s="381" t="s">
        <v>28</v>
      </c>
      <c r="D20" s="381" t="s">
        <v>30</v>
      </c>
      <c r="E20" s="381" t="s">
        <v>553</v>
      </c>
      <c r="F20" s="381" t="s">
        <v>504</v>
      </c>
      <c r="G20" s="381" t="s">
        <v>510</v>
      </c>
      <c r="H20" s="634">
        <v>108</v>
      </c>
      <c r="I20" s="634">
        <v>529</v>
      </c>
      <c r="J20" s="635">
        <v>1</v>
      </c>
    </row>
    <row r="21" spans="1:10" ht="12.75" customHeight="1" x14ac:dyDescent="0.25">
      <c r="A21" s="633"/>
      <c r="B21" s="381"/>
      <c r="C21" s="381" t="s">
        <v>364</v>
      </c>
      <c r="D21" s="381" t="s">
        <v>29</v>
      </c>
      <c r="E21" s="381" t="s">
        <v>553</v>
      </c>
      <c r="F21" s="381" t="s">
        <v>459</v>
      </c>
      <c r="G21" s="381" t="s">
        <v>512</v>
      </c>
      <c r="H21" s="634">
        <v>158</v>
      </c>
      <c r="I21" s="634">
        <v>945</v>
      </c>
      <c r="J21" s="635">
        <v>1</v>
      </c>
    </row>
    <row r="22" spans="1:10" ht="12.75" customHeight="1" x14ac:dyDescent="0.25">
      <c r="A22" s="633"/>
      <c r="B22" s="381"/>
      <c r="C22" s="381" t="s">
        <v>365</v>
      </c>
      <c r="D22" s="381" t="s">
        <v>378</v>
      </c>
      <c r="E22" s="381" t="s">
        <v>553</v>
      </c>
      <c r="F22" s="381" t="s">
        <v>504</v>
      </c>
      <c r="G22" s="381" t="s">
        <v>510</v>
      </c>
      <c r="H22" s="634">
        <v>144</v>
      </c>
      <c r="I22" s="634">
        <v>644</v>
      </c>
      <c r="J22" s="635">
        <v>1</v>
      </c>
    </row>
    <row r="23" spans="1:10" ht="12.75" customHeight="1" x14ac:dyDescent="0.25">
      <c r="A23" s="633"/>
      <c r="B23" s="381"/>
      <c r="C23" s="381" t="s">
        <v>863</v>
      </c>
      <c r="D23" s="381" t="s">
        <v>862</v>
      </c>
      <c r="E23" s="381" t="s">
        <v>553</v>
      </c>
      <c r="F23" s="381" t="s">
        <v>1085</v>
      </c>
      <c r="G23" s="381" t="s">
        <v>510</v>
      </c>
      <c r="H23" s="634">
        <v>57</v>
      </c>
      <c r="I23" s="634">
        <v>262</v>
      </c>
      <c r="J23" s="635">
        <v>1</v>
      </c>
    </row>
    <row r="24" spans="1:10" ht="12.75" customHeight="1" x14ac:dyDescent="0.25">
      <c r="A24" s="633"/>
      <c r="B24" s="381"/>
      <c r="C24" s="381" t="s">
        <v>1017</v>
      </c>
      <c r="D24" s="381" t="s">
        <v>1018</v>
      </c>
      <c r="E24" s="381" t="s">
        <v>553</v>
      </c>
      <c r="F24" s="381" t="s">
        <v>1085</v>
      </c>
      <c r="G24" s="381" t="s">
        <v>510</v>
      </c>
      <c r="H24" s="634">
        <v>31</v>
      </c>
      <c r="I24" s="634">
        <v>176</v>
      </c>
      <c r="J24" s="635">
        <v>1</v>
      </c>
    </row>
    <row r="25" spans="1:10" ht="12.75" customHeight="1" x14ac:dyDescent="0.25">
      <c r="A25" s="633"/>
      <c r="B25" s="381" t="s">
        <v>1112</v>
      </c>
      <c r="C25" s="381"/>
      <c r="D25" s="381"/>
      <c r="E25" s="381"/>
      <c r="F25" s="381"/>
      <c r="G25" s="381"/>
      <c r="H25" s="634">
        <v>498</v>
      </c>
      <c r="I25" s="634">
        <v>2556</v>
      </c>
      <c r="J25" s="635">
        <v>5</v>
      </c>
    </row>
    <row r="26" spans="1:10" ht="12.75" customHeight="1" x14ac:dyDescent="0.25">
      <c r="A26" s="633"/>
      <c r="B26" s="381" t="s">
        <v>526</v>
      </c>
      <c r="C26" s="381" t="s">
        <v>120</v>
      </c>
      <c r="D26" s="381" t="s">
        <v>119</v>
      </c>
      <c r="E26" s="381" t="s">
        <v>553</v>
      </c>
      <c r="F26" s="381" t="s">
        <v>1085</v>
      </c>
      <c r="G26" s="381" t="s">
        <v>510</v>
      </c>
      <c r="H26" s="634">
        <v>72</v>
      </c>
      <c r="I26" s="634">
        <v>347</v>
      </c>
      <c r="J26" s="635">
        <v>1</v>
      </c>
    </row>
    <row r="27" spans="1:10" ht="12.75" customHeight="1" x14ac:dyDescent="0.25">
      <c r="A27" s="633"/>
      <c r="B27" s="381"/>
      <c r="C27" s="381" t="s">
        <v>41</v>
      </c>
      <c r="D27" s="381" t="s">
        <v>40</v>
      </c>
      <c r="E27" s="381" t="s">
        <v>553</v>
      </c>
      <c r="F27" s="381" t="s">
        <v>504</v>
      </c>
      <c r="G27" s="381" t="s">
        <v>510</v>
      </c>
      <c r="H27" s="634">
        <v>66</v>
      </c>
      <c r="I27" s="634">
        <v>356</v>
      </c>
      <c r="J27" s="635">
        <v>1</v>
      </c>
    </row>
    <row r="28" spans="1:10" ht="12.75" customHeight="1" x14ac:dyDescent="0.25">
      <c r="A28" s="633"/>
      <c r="B28" s="381"/>
      <c r="C28" s="381" t="s">
        <v>43</v>
      </c>
      <c r="D28" s="381" t="s">
        <v>42</v>
      </c>
      <c r="E28" s="381" t="s">
        <v>553</v>
      </c>
      <c r="F28" s="381" t="s">
        <v>504</v>
      </c>
      <c r="G28" s="381" t="s">
        <v>510</v>
      </c>
      <c r="H28" s="634">
        <v>14</v>
      </c>
      <c r="I28" s="634">
        <v>81</v>
      </c>
      <c r="J28" s="635">
        <v>1</v>
      </c>
    </row>
    <row r="29" spans="1:10" ht="12.75" customHeight="1" x14ac:dyDescent="0.25">
      <c r="A29" s="633"/>
      <c r="B29" s="381"/>
      <c r="C29" s="381" t="s">
        <v>52</v>
      </c>
      <c r="D29" s="381" t="s">
        <v>51</v>
      </c>
      <c r="E29" s="381" t="s">
        <v>553</v>
      </c>
      <c r="F29" s="381" t="s">
        <v>459</v>
      </c>
      <c r="G29" s="381" t="s">
        <v>510</v>
      </c>
      <c r="H29" s="634">
        <v>38</v>
      </c>
      <c r="I29" s="634">
        <v>231</v>
      </c>
      <c r="J29" s="635">
        <v>1</v>
      </c>
    </row>
    <row r="30" spans="1:10" ht="12.75" customHeight="1" x14ac:dyDescent="0.25">
      <c r="A30" s="633"/>
      <c r="B30" s="381"/>
      <c r="C30" s="381" t="s">
        <v>72</v>
      </c>
      <c r="D30" s="381" t="s">
        <v>71</v>
      </c>
      <c r="E30" s="381" t="s">
        <v>553</v>
      </c>
      <c r="F30" s="381" t="s">
        <v>504</v>
      </c>
      <c r="G30" s="381" t="s">
        <v>510</v>
      </c>
      <c r="H30" s="634">
        <v>6</v>
      </c>
      <c r="I30" s="634">
        <v>30</v>
      </c>
      <c r="J30" s="635">
        <v>1</v>
      </c>
    </row>
    <row r="31" spans="1:10" ht="12.75" customHeight="1" x14ac:dyDescent="0.25">
      <c r="A31" s="633"/>
      <c r="B31" s="381"/>
      <c r="C31" s="381" t="s">
        <v>76</v>
      </c>
      <c r="D31" s="381" t="s">
        <v>75</v>
      </c>
      <c r="E31" s="381" t="s">
        <v>553</v>
      </c>
      <c r="F31" s="381" t="s">
        <v>504</v>
      </c>
      <c r="G31" s="381" t="s">
        <v>510</v>
      </c>
      <c r="H31" s="634">
        <v>70</v>
      </c>
      <c r="I31" s="634">
        <v>347</v>
      </c>
      <c r="J31" s="635">
        <v>1</v>
      </c>
    </row>
    <row r="32" spans="1:10" ht="12.75" customHeight="1" x14ac:dyDescent="0.25">
      <c r="A32" s="633"/>
      <c r="B32" s="381"/>
      <c r="C32" s="381" t="s">
        <v>88</v>
      </c>
      <c r="D32" s="381" t="s">
        <v>87</v>
      </c>
      <c r="E32" s="381" t="s">
        <v>553</v>
      </c>
      <c r="F32" s="381" t="s">
        <v>459</v>
      </c>
      <c r="G32" s="381" t="s">
        <v>510</v>
      </c>
      <c r="H32" s="634">
        <v>13</v>
      </c>
      <c r="I32" s="634">
        <v>45</v>
      </c>
      <c r="J32" s="635">
        <v>1</v>
      </c>
    </row>
    <row r="33" spans="1:10" ht="12.75" customHeight="1" x14ac:dyDescent="0.25">
      <c r="A33" s="633"/>
      <c r="B33" s="381"/>
      <c r="C33" s="381" t="s">
        <v>44</v>
      </c>
      <c r="D33" s="381" t="s">
        <v>45</v>
      </c>
      <c r="E33" s="381" t="s">
        <v>553</v>
      </c>
      <c r="F33" s="381" t="s">
        <v>504</v>
      </c>
      <c r="G33" s="381" t="s">
        <v>510</v>
      </c>
      <c r="H33" s="634">
        <v>4</v>
      </c>
      <c r="I33" s="634">
        <v>26</v>
      </c>
      <c r="J33" s="635">
        <v>1</v>
      </c>
    </row>
    <row r="34" spans="1:10" ht="12.75" customHeight="1" x14ac:dyDescent="0.25">
      <c r="A34" s="633"/>
      <c r="B34" s="381"/>
      <c r="C34" s="381" t="s">
        <v>90</v>
      </c>
      <c r="D34" s="381" t="s">
        <v>89</v>
      </c>
      <c r="E34" s="381" t="s">
        <v>553</v>
      </c>
      <c r="F34" s="381" t="s">
        <v>504</v>
      </c>
      <c r="G34" s="381" t="s">
        <v>510</v>
      </c>
      <c r="H34" s="634">
        <v>20</v>
      </c>
      <c r="I34" s="634">
        <v>109</v>
      </c>
      <c r="J34" s="635">
        <v>1</v>
      </c>
    </row>
    <row r="35" spans="1:10" ht="12.75" customHeight="1" x14ac:dyDescent="0.25">
      <c r="A35" s="633"/>
      <c r="B35" s="381"/>
      <c r="C35" s="381" t="s">
        <v>92</v>
      </c>
      <c r="D35" s="381" t="s">
        <v>91</v>
      </c>
      <c r="E35" s="381" t="s">
        <v>553</v>
      </c>
      <c r="F35" s="381" t="s">
        <v>504</v>
      </c>
      <c r="G35" s="381" t="s">
        <v>510</v>
      </c>
      <c r="H35" s="634">
        <v>12</v>
      </c>
      <c r="I35" s="634">
        <v>62</v>
      </c>
      <c r="J35" s="635">
        <v>1</v>
      </c>
    </row>
    <row r="36" spans="1:10" ht="12.75" customHeight="1" x14ac:dyDescent="0.25">
      <c r="A36" s="633"/>
      <c r="B36" s="381"/>
      <c r="C36" s="381" t="s">
        <v>100</v>
      </c>
      <c r="D36" s="381" t="s">
        <v>99</v>
      </c>
      <c r="E36" s="381" t="s">
        <v>553</v>
      </c>
      <c r="F36" s="381" t="s">
        <v>504</v>
      </c>
      <c r="G36" s="381" t="s">
        <v>510</v>
      </c>
      <c r="H36" s="634">
        <v>4</v>
      </c>
      <c r="I36" s="634">
        <v>14</v>
      </c>
      <c r="J36" s="635">
        <v>1</v>
      </c>
    </row>
    <row r="37" spans="1:10" ht="12.75" customHeight="1" x14ac:dyDescent="0.25">
      <c r="A37" s="633"/>
      <c r="B37" s="381"/>
      <c r="C37" s="381" t="s">
        <v>610</v>
      </c>
      <c r="D37" s="381" t="s">
        <v>46</v>
      </c>
      <c r="E37" s="381" t="s">
        <v>553</v>
      </c>
      <c r="F37" s="381" t="s">
        <v>504</v>
      </c>
      <c r="G37" s="381" t="s">
        <v>510</v>
      </c>
      <c r="H37" s="634">
        <v>12</v>
      </c>
      <c r="I37" s="634">
        <v>55</v>
      </c>
      <c r="J37" s="635">
        <v>1</v>
      </c>
    </row>
    <row r="38" spans="1:10" ht="12.75" customHeight="1" x14ac:dyDescent="0.25">
      <c r="A38" s="633"/>
      <c r="B38" s="381"/>
      <c r="C38" s="381" t="s">
        <v>108</v>
      </c>
      <c r="D38" s="381" t="s">
        <v>107</v>
      </c>
      <c r="E38" s="381" t="s">
        <v>553</v>
      </c>
      <c r="F38" s="381" t="s">
        <v>1085</v>
      </c>
      <c r="G38" s="381" t="s">
        <v>510</v>
      </c>
      <c r="H38" s="634">
        <v>50</v>
      </c>
      <c r="I38" s="634">
        <v>218</v>
      </c>
      <c r="J38" s="635">
        <v>1</v>
      </c>
    </row>
    <row r="39" spans="1:10" ht="12.75" customHeight="1" x14ac:dyDescent="0.25">
      <c r="A39" s="633"/>
      <c r="B39" s="381"/>
      <c r="C39" s="381" t="s">
        <v>118</v>
      </c>
      <c r="D39" s="381" t="s">
        <v>117</v>
      </c>
      <c r="E39" s="381" t="s">
        <v>553</v>
      </c>
      <c r="F39" s="381" t="s">
        <v>504</v>
      </c>
      <c r="G39" s="381" t="s">
        <v>510</v>
      </c>
      <c r="H39" s="634">
        <v>9</v>
      </c>
      <c r="I39" s="634">
        <v>37</v>
      </c>
      <c r="J39" s="635">
        <v>1</v>
      </c>
    </row>
    <row r="40" spans="1:10" ht="12.75" customHeight="1" x14ac:dyDescent="0.25">
      <c r="A40" s="633"/>
      <c r="B40" s="381"/>
      <c r="C40" s="381" t="s">
        <v>124</v>
      </c>
      <c r="D40" s="381" t="s">
        <v>123</v>
      </c>
      <c r="E40" s="381" t="s">
        <v>553</v>
      </c>
      <c r="F40" s="381" t="s">
        <v>459</v>
      </c>
      <c r="G40" s="381" t="s">
        <v>510</v>
      </c>
      <c r="H40" s="634">
        <v>8</v>
      </c>
      <c r="I40" s="634">
        <v>36</v>
      </c>
      <c r="J40" s="635">
        <v>1</v>
      </c>
    </row>
    <row r="41" spans="1:10" ht="12.75" customHeight="1" x14ac:dyDescent="0.25">
      <c r="A41" s="633"/>
      <c r="B41" s="381"/>
      <c r="C41" s="381" t="s">
        <v>126</v>
      </c>
      <c r="D41" s="381" t="s">
        <v>125</v>
      </c>
      <c r="E41" s="381" t="s">
        <v>553</v>
      </c>
      <c r="F41" s="381" t="s">
        <v>459</v>
      </c>
      <c r="G41" s="381" t="s">
        <v>510</v>
      </c>
      <c r="H41" s="634">
        <v>33</v>
      </c>
      <c r="I41" s="634">
        <v>171</v>
      </c>
      <c r="J41" s="635">
        <v>1</v>
      </c>
    </row>
    <row r="42" spans="1:10" ht="12.75" customHeight="1" x14ac:dyDescent="0.25">
      <c r="A42" s="633"/>
      <c r="B42" s="381"/>
      <c r="C42" s="381" t="s">
        <v>140</v>
      </c>
      <c r="D42" s="381" t="s">
        <v>139</v>
      </c>
      <c r="E42" s="381" t="s">
        <v>553</v>
      </c>
      <c r="F42" s="381" t="s">
        <v>459</v>
      </c>
      <c r="G42" s="381" t="s">
        <v>510</v>
      </c>
      <c r="H42" s="634">
        <v>11</v>
      </c>
      <c r="I42" s="634">
        <v>48</v>
      </c>
      <c r="J42" s="635">
        <v>1</v>
      </c>
    </row>
    <row r="43" spans="1:10" ht="12.75" customHeight="1" x14ac:dyDescent="0.25">
      <c r="A43" s="633"/>
      <c r="B43" s="381"/>
      <c r="C43" s="381" t="s">
        <v>1061</v>
      </c>
      <c r="D43" s="381" t="s">
        <v>1062</v>
      </c>
      <c r="E43" s="381" t="s">
        <v>553</v>
      </c>
      <c r="F43" s="381" t="s">
        <v>459</v>
      </c>
      <c r="G43" s="381" t="s">
        <v>510</v>
      </c>
      <c r="H43" s="634">
        <v>103</v>
      </c>
      <c r="I43" s="634">
        <v>497</v>
      </c>
      <c r="J43" s="635">
        <v>1</v>
      </c>
    </row>
    <row r="44" spans="1:10" ht="12.75" customHeight="1" x14ac:dyDescent="0.25">
      <c r="A44" s="633"/>
      <c r="B44" s="381"/>
      <c r="C44" s="381" t="s">
        <v>1432</v>
      </c>
      <c r="D44" s="381" t="s">
        <v>1435</v>
      </c>
      <c r="E44" s="381" t="s">
        <v>553</v>
      </c>
      <c r="F44" s="381" t="s">
        <v>459</v>
      </c>
      <c r="G44" s="381" t="s">
        <v>510</v>
      </c>
      <c r="H44" s="634">
        <v>30</v>
      </c>
      <c r="I44" s="634">
        <v>110</v>
      </c>
      <c r="J44" s="635">
        <v>1</v>
      </c>
    </row>
    <row r="45" spans="1:10" ht="12.75" customHeight="1" x14ac:dyDescent="0.25">
      <c r="A45" s="633"/>
      <c r="B45" s="381"/>
      <c r="C45" s="381" t="s">
        <v>1431</v>
      </c>
      <c r="D45" s="381" t="s">
        <v>1437</v>
      </c>
      <c r="E45" s="381" t="s">
        <v>553</v>
      </c>
      <c r="F45" s="381" t="s">
        <v>1085</v>
      </c>
      <c r="G45" s="381" t="s">
        <v>510</v>
      </c>
      <c r="H45" s="634">
        <v>6</v>
      </c>
      <c r="I45" s="634">
        <v>16</v>
      </c>
      <c r="J45" s="635">
        <v>1</v>
      </c>
    </row>
    <row r="46" spans="1:10" ht="12.75" customHeight="1" x14ac:dyDescent="0.25">
      <c r="A46" s="633"/>
      <c r="B46" s="381"/>
      <c r="C46" s="381" t="s">
        <v>1430</v>
      </c>
      <c r="D46" s="381" t="s">
        <v>1438</v>
      </c>
      <c r="E46" s="381" t="s">
        <v>553</v>
      </c>
      <c r="F46" s="381" t="s">
        <v>1085</v>
      </c>
      <c r="G46" s="381" t="s">
        <v>510</v>
      </c>
      <c r="H46" s="634">
        <v>20</v>
      </c>
      <c r="I46" s="634">
        <v>84</v>
      </c>
      <c r="J46" s="635">
        <v>1</v>
      </c>
    </row>
    <row r="47" spans="1:10" ht="12.75" customHeight="1" x14ac:dyDescent="0.25">
      <c r="A47" s="633"/>
      <c r="B47" s="381"/>
      <c r="C47" s="381" t="s">
        <v>1710</v>
      </c>
      <c r="D47" s="381" t="s">
        <v>1698</v>
      </c>
      <c r="E47" s="381" t="s">
        <v>553</v>
      </c>
      <c r="F47" s="381" t="s">
        <v>459</v>
      </c>
      <c r="G47" s="381" t="s">
        <v>510</v>
      </c>
      <c r="H47" s="634">
        <v>118</v>
      </c>
      <c r="I47" s="634">
        <v>617</v>
      </c>
      <c r="J47" s="635">
        <v>1</v>
      </c>
    </row>
    <row r="48" spans="1:10" ht="12.75" customHeight="1" x14ac:dyDescent="0.25">
      <c r="A48" s="633"/>
      <c r="B48" s="381" t="s">
        <v>1158</v>
      </c>
      <c r="C48" s="381"/>
      <c r="D48" s="381"/>
      <c r="E48" s="381"/>
      <c r="F48" s="381"/>
      <c r="G48" s="381"/>
      <c r="H48" s="634">
        <v>719</v>
      </c>
      <c r="I48" s="634">
        <v>3537</v>
      </c>
      <c r="J48" s="635">
        <v>22</v>
      </c>
    </row>
    <row r="49" spans="1:10" ht="12.75" customHeight="1" x14ac:dyDescent="0.25">
      <c r="A49" s="633"/>
      <c r="B49" s="381" t="s">
        <v>151</v>
      </c>
      <c r="C49" s="381" t="s">
        <v>188</v>
      </c>
      <c r="D49" s="381" t="s">
        <v>187</v>
      </c>
      <c r="E49" s="381" t="s">
        <v>553</v>
      </c>
      <c r="F49" s="381" t="s">
        <v>1084</v>
      </c>
      <c r="G49" s="381" t="s">
        <v>512</v>
      </c>
      <c r="H49" s="634">
        <v>386</v>
      </c>
      <c r="I49" s="634">
        <v>1902</v>
      </c>
      <c r="J49" s="635">
        <v>1</v>
      </c>
    </row>
    <row r="50" spans="1:10" ht="12.75" customHeight="1" x14ac:dyDescent="0.25">
      <c r="A50" s="633"/>
      <c r="B50" s="381"/>
      <c r="C50" s="381" t="s">
        <v>12</v>
      </c>
      <c r="D50" s="381" t="s">
        <v>390</v>
      </c>
      <c r="E50" s="381" t="s">
        <v>12</v>
      </c>
      <c r="F50" s="381" t="s">
        <v>600</v>
      </c>
      <c r="G50" s="381" t="s">
        <v>510</v>
      </c>
      <c r="H50" s="634">
        <v>73</v>
      </c>
      <c r="I50" s="634">
        <v>274</v>
      </c>
      <c r="J50" s="635">
        <v>1</v>
      </c>
    </row>
    <row r="51" spans="1:10" ht="12.75" customHeight="1" x14ac:dyDescent="0.25">
      <c r="A51" s="633"/>
      <c r="B51" s="381"/>
      <c r="C51" s="381" t="s">
        <v>198</v>
      </c>
      <c r="D51" s="381" t="s">
        <v>197</v>
      </c>
      <c r="E51" s="381" t="s">
        <v>553</v>
      </c>
      <c r="F51" s="381" t="s">
        <v>1084</v>
      </c>
      <c r="G51" s="381" t="s">
        <v>512</v>
      </c>
      <c r="H51" s="634">
        <v>547</v>
      </c>
      <c r="I51" s="634">
        <v>2576</v>
      </c>
      <c r="J51" s="635">
        <v>1</v>
      </c>
    </row>
    <row r="52" spans="1:10" ht="12.75" customHeight="1" x14ac:dyDescent="0.25">
      <c r="A52" s="633"/>
      <c r="B52" s="381"/>
      <c r="C52" s="381" t="s">
        <v>884</v>
      </c>
      <c r="D52" s="381" t="s">
        <v>885</v>
      </c>
      <c r="E52" s="381" t="s">
        <v>553</v>
      </c>
      <c r="F52" s="381" t="s">
        <v>459</v>
      </c>
      <c r="G52" s="381" t="s">
        <v>510</v>
      </c>
      <c r="H52" s="634">
        <v>403</v>
      </c>
      <c r="I52" s="634">
        <v>1855</v>
      </c>
      <c r="J52" s="635">
        <v>1</v>
      </c>
    </row>
    <row r="53" spans="1:10" ht="12.75" customHeight="1" x14ac:dyDescent="0.25">
      <c r="A53" s="633"/>
      <c r="B53" s="381"/>
      <c r="C53" s="381" t="s">
        <v>160</v>
      </c>
      <c r="D53" s="381" t="s">
        <v>159</v>
      </c>
      <c r="E53" s="381" t="s">
        <v>553</v>
      </c>
      <c r="F53" s="381" t="s">
        <v>459</v>
      </c>
      <c r="G53" s="381" t="s">
        <v>510</v>
      </c>
      <c r="H53" s="634">
        <v>98</v>
      </c>
      <c r="I53" s="634">
        <v>524</v>
      </c>
      <c r="J53" s="635">
        <v>1</v>
      </c>
    </row>
    <row r="54" spans="1:10" ht="12.75" customHeight="1" x14ac:dyDescent="0.25">
      <c r="A54" s="633"/>
      <c r="B54" s="381"/>
      <c r="C54" s="381" t="s">
        <v>154</v>
      </c>
      <c r="D54" s="381" t="s">
        <v>153</v>
      </c>
      <c r="E54" s="381" t="s">
        <v>553</v>
      </c>
      <c r="F54" s="381" t="s">
        <v>1084</v>
      </c>
      <c r="G54" s="381" t="s">
        <v>510</v>
      </c>
      <c r="H54" s="634">
        <v>449</v>
      </c>
      <c r="I54" s="634">
        <v>2252</v>
      </c>
      <c r="J54" s="635">
        <v>1</v>
      </c>
    </row>
    <row r="55" spans="1:10" ht="12.75" customHeight="1" x14ac:dyDescent="0.25">
      <c r="A55" s="633"/>
      <c r="B55" s="381"/>
      <c r="C55" s="381" t="s">
        <v>156</v>
      </c>
      <c r="D55" s="381" t="s">
        <v>155</v>
      </c>
      <c r="E55" s="381" t="s">
        <v>12</v>
      </c>
      <c r="F55" s="381" t="s">
        <v>600</v>
      </c>
      <c r="G55" s="381" t="s">
        <v>510</v>
      </c>
      <c r="H55" s="634">
        <v>175</v>
      </c>
      <c r="I55" s="634">
        <v>834</v>
      </c>
      <c r="J55" s="635">
        <v>1</v>
      </c>
    </row>
    <row r="56" spans="1:10" ht="12.75" customHeight="1" x14ac:dyDescent="0.25">
      <c r="A56" s="633"/>
      <c r="B56" s="381"/>
      <c r="C56" s="381" t="s">
        <v>152</v>
      </c>
      <c r="D56" s="381" t="s">
        <v>150</v>
      </c>
      <c r="E56" s="381" t="s">
        <v>553</v>
      </c>
      <c r="F56" s="381" t="s">
        <v>459</v>
      </c>
      <c r="G56" s="381" t="s">
        <v>510</v>
      </c>
      <c r="H56" s="634">
        <v>194</v>
      </c>
      <c r="I56" s="634">
        <v>874</v>
      </c>
      <c r="J56" s="635">
        <v>1</v>
      </c>
    </row>
    <row r="57" spans="1:10" ht="12.75" customHeight="1" x14ac:dyDescent="0.25">
      <c r="A57" s="633"/>
      <c r="B57" s="381"/>
      <c r="C57" s="381" t="s">
        <v>941</v>
      </c>
      <c r="D57" s="381" t="s">
        <v>940</v>
      </c>
      <c r="E57" s="381" t="s">
        <v>553</v>
      </c>
      <c r="F57" s="381" t="s">
        <v>1084</v>
      </c>
      <c r="G57" s="381" t="s">
        <v>510</v>
      </c>
      <c r="H57" s="634">
        <v>174</v>
      </c>
      <c r="I57" s="634">
        <v>779</v>
      </c>
      <c r="J57" s="635">
        <v>1</v>
      </c>
    </row>
    <row r="58" spans="1:10" ht="12.75" customHeight="1" x14ac:dyDescent="0.25">
      <c r="A58" s="633"/>
      <c r="B58" s="381"/>
      <c r="C58" s="381" t="s">
        <v>1057</v>
      </c>
      <c r="D58" s="381" t="s">
        <v>1058</v>
      </c>
      <c r="E58" s="381" t="s">
        <v>553</v>
      </c>
      <c r="F58" s="381" t="s">
        <v>1084</v>
      </c>
      <c r="G58" s="381" t="s">
        <v>510</v>
      </c>
      <c r="H58" s="634">
        <v>145</v>
      </c>
      <c r="I58" s="634">
        <v>654</v>
      </c>
      <c r="J58" s="635">
        <v>1</v>
      </c>
    </row>
    <row r="59" spans="1:10" ht="12.75" customHeight="1" x14ac:dyDescent="0.25">
      <c r="A59" s="633"/>
      <c r="B59" s="381"/>
      <c r="C59" s="381" t="s">
        <v>1090</v>
      </c>
      <c r="D59" s="381" t="s">
        <v>1091</v>
      </c>
      <c r="E59" s="381" t="s">
        <v>553</v>
      </c>
      <c r="F59" s="381" t="s">
        <v>459</v>
      </c>
      <c r="G59" s="381" t="s">
        <v>510</v>
      </c>
      <c r="H59" s="634">
        <v>117</v>
      </c>
      <c r="I59" s="634">
        <v>545</v>
      </c>
      <c r="J59" s="635">
        <v>1</v>
      </c>
    </row>
    <row r="60" spans="1:10" ht="12.75" customHeight="1" x14ac:dyDescent="0.25">
      <c r="A60" s="633"/>
      <c r="B60" s="381" t="s">
        <v>1159</v>
      </c>
      <c r="C60" s="381"/>
      <c r="D60" s="381"/>
      <c r="E60" s="381"/>
      <c r="F60" s="381"/>
      <c r="G60" s="381"/>
      <c r="H60" s="634">
        <v>2761</v>
      </c>
      <c r="I60" s="634">
        <v>13069</v>
      </c>
      <c r="J60" s="635">
        <v>11</v>
      </c>
    </row>
    <row r="61" spans="1:10" ht="12.75" customHeight="1" x14ac:dyDescent="0.25">
      <c r="A61" s="633"/>
      <c r="B61" s="381" t="s">
        <v>173</v>
      </c>
      <c r="C61" s="381" t="s">
        <v>174</v>
      </c>
      <c r="D61" s="381" t="s">
        <v>172</v>
      </c>
      <c r="E61" s="381" t="s">
        <v>553</v>
      </c>
      <c r="F61" s="381" t="s">
        <v>459</v>
      </c>
      <c r="G61" s="381" t="s">
        <v>510</v>
      </c>
      <c r="H61" s="634">
        <v>13</v>
      </c>
      <c r="I61" s="634">
        <v>66</v>
      </c>
      <c r="J61" s="635">
        <v>1</v>
      </c>
    </row>
    <row r="62" spans="1:10" ht="12.75" customHeight="1" x14ac:dyDescent="0.25">
      <c r="A62" s="633"/>
      <c r="B62" s="381"/>
      <c r="C62" s="381" t="s">
        <v>176</v>
      </c>
      <c r="D62" s="381" t="s">
        <v>175</v>
      </c>
      <c r="E62" s="381" t="s">
        <v>553</v>
      </c>
      <c r="F62" s="381" t="s">
        <v>459</v>
      </c>
      <c r="G62" s="381" t="s">
        <v>510</v>
      </c>
      <c r="H62" s="634">
        <v>15</v>
      </c>
      <c r="I62" s="634">
        <v>72</v>
      </c>
      <c r="J62" s="635">
        <v>1</v>
      </c>
    </row>
    <row r="63" spans="1:10" ht="12.75" customHeight="1" x14ac:dyDescent="0.25">
      <c r="A63" s="633"/>
      <c r="B63" s="381"/>
      <c r="C63" s="381" t="s">
        <v>178</v>
      </c>
      <c r="D63" s="381" t="s">
        <v>177</v>
      </c>
      <c r="E63" s="381" t="s">
        <v>553</v>
      </c>
      <c r="F63" s="381" t="s">
        <v>459</v>
      </c>
      <c r="G63" s="381" t="s">
        <v>510</v>
      </c>
      <c r="H63" s="634">
        <v>12</v>
      </c>
      <c r="I63" s="634">
        <v>47</v>
      </c>
      <c r="J63" s="635">
        <v>1</v>
      </c>
    </row>
    <row r="64" spans="1:10" ht="12.75" customHeight="1" x14ac:dyDescent="0.25">
      <c r="A64" s="633"/>
      <c r="B64" s="381"/>
      <c r="C64" s="381" t="s">
        <v>1264</v>
      </c>
      <c r="D64" s="381" t="s">
        <v>1258</v>
      </c>
      <c r="E64" s="381" t="s">
        <v>553</v>
      </c>
      <c r="F64" s="381" t="s">
        <v>459</v>
      </c>
      <c r="G64" s="381" t="s">
        <v>510</v>
      </c>
      <c r="H64" s="634">
        <v>28</v>
      </c>
      <c r="I64" s="634">
        <v>134</v>
      </c>
      <c r="J64" s="635">
        <v>1</v>
      </c>
    </row>
    <row r="65" spans="1:10" ht="12.75" customHeight="1" x14ac:dyDescent="0.25">
      <c r="A65" s="633"/>
      <c r="B65" s="381"/>
      <c r="C65" s="381" t="s">
        <v>1256</v>
      </c>
      <c r="D65" s="381" t="s">
        <v>1259</v>
      </c>
      <c r="E65" s="381" t="s">
        <v>553</v>
      </c>
      <c r="F65" s="381" t="s">
        <v>600</v>
      </c>
      <c r="G65" s="381" t="s">
        <v>510</v>
      </c>
      <c r="H65" s="634">
        <v>7</v>
      </c>
      <c r="I65" s="634">
        <v>31</v>
      </c>
      <c r="J65" s="635">
        <v>1</v>
      </c>
    </row>
    <row r="66" spans="1:10" ht="12.75" customHeight="1" x14ac:dyDescent="0.25">
      <c r="A66" s="633"/>
      <c r="B66" s="381" t="s">
        <v>1327</v>
      </c>
      <c r="C66" s="381"/>
      <c r="D66" s="381"/>
      <c r="E66" s="381"/>
      <c r="F66" s="381"/>
      <c r="G66" s="381"/>
      <c r="H66" s="634">
        <v>75</v>
      </c>
      <c r="I66" s="634">
        <v>350</v>
      </c>
      <c r="J66" s="635">
        <v>5</v>
      </c>
    </row>
    <row r="67" spans="1:10" ht="12.75" customHeight="1" x14ac:dyDescent="0.25">
      <c r="A67" s="633"/>
      <c r="B67" s="381" t="s">
        <v>180</v>
      </c>
      <c r="C67" s="381" t="s">
        <v>287</v>
      </c>
      <c r="D67" s="381" t="s">
        <v>286</v>
      </c>
      <c r="E67" s="381" t="s">
        <v>553</v>
      </c>
      <c r="F67" s="381" t="s">
        <v>459</v>
      </c>
      <c r="G67" s="381" t="s">
        <v>510</v>
      </c>
      <c r="H67" s="634">
        <v>19</v>
      </c>
      <c r="I67" s="634">
        <v>103</v>
      </c>
      <c r="J67" s="635">
        <v>1</v>
      </c>
    </row>
    <row r="68" spans="1:10" ht="12.75" customHeight="1" x14ac:dyDescent="0.25">
      <c r="A68" s="633"/>
      <c r="B68" s="381"/>
      <c r="C68" s="381" t="s">
        <v>181</v>
      </c>
      <c r="D68" s="381" t="s">
        <v>179</v>
      </c>
      <c r="E68" s="381" t="s">
        <v>553</v>
      </c>
      <c r="F68" s="381" t="s">
        <v>1085</v>
      </c>
      <c r="G68" s="381" t="s">
        <v>510</v>
      </c>
      <c r="H68" s="634">
        <v>11</v>
      </c>
      <c r="I68" s="634">
        <v>57</v>
      </c>
      <c r="J68" s="635">
        <v>1</v>
      </c>
    </row>
    <row r="69" spans="1:10" ht="12.75" customHeight="1" x14ac:dyDescent="0.25">
      <c r="A69" s="633"/>
      <c r="B69" s="381"/>
      <c r="C69" s="381" t="s">
        <v>1150</v>
      </c>
      <c r="D69" s="381" t="s">
        <v>1152</v>
      </c>
      <c r="E69" s="381" t="s">
        <v>12</v>
      </c>
      <c r="F69" s="381" t="s">
        <v>600</v>
      </c>
      <c r="G69" s="381" t="s">
        <v>510</v>
      </c>
      <c r="H69" s="634">
        <v>26</v>
      </c>
      <c r="I69" s="634">
        <v>119</v>
      </c>
      <c r="J69" s="635">
        <v>1</v>
      </c>
    </row>
    <row r="70" spans="1:10" ht="12.75" customHeight="1" x14ac:dyDescent="0.25">
      <c r="A70" s="633"/>
      <c r="B70" s="381"/>
      <c r="C70" s="381" t="s">
        <v>1151</v>
      </c>
      <c r="D70" s="381" t="s">
        <v>1153</v>
      </c>
      <c r="E70" s="381" t="s">
        <v>12</v>
      </c>
      <c r="F70" s="381" t="s">
        <v>600</v>
      </c>
      <c r="G70" s="381" t="s">
        <v>510</v>
      </c>
      <c r="H70" s="634">
        <v>14</v>
      </c>
      <c r="I70" s="634">
        <v>57</v>
      </c>
      <c r="J70" s="635">
        <v>1</v>
      </c>
    </row>
    <row r="71" spans="1:10" ht="12.75" customHeight="1" x14ac:dyDescent="0.25">
      <c r="A71" s="633"/>
      <c r="B71" s="381" t="s">
        <v>1160</v>
      </c>
      <c r="C71" s="381"/>
      <c r="D71" s="381"/>
      <c r="E71" s="381"/>
      <c r="F71" s="381"/>
      <c r="G71" s="381"/>
      <c r="H71" s="634">
        <v>70</v>
      </c>
      <c r="I71" s="634">
        <v>336</v>
      </c>
      <c r="J71" s="635">
        <v>4</v>
      </c>
    </row>
    <row r="72" spans="1:10" ht="12.75" customHeight="1" x14ac:dyDescent="0.25">
      <c r="A72" s="633"/>
      <c r="B72" s="381" t="s">
        <v>185</v>
      </c>
      <c r="C72" s="381" t="s">
        <v>192</v>
      </c>
      <c r="D72" s="381" t="s">
        <v>191</v>
      </c>
      <c r="E72" s="381" t="s">
        <v>553</v>
      </c>
      <c r="F72" s="381" t="s">
        <v>1085</v>
      </c>
      <c r="G72" s="381" t="s">
        <v>512</v>
      </c>
      <c r="H72" s="634">
        <v>103</v>
      </c>
      <c r="I72" s="634">
        <v>461</v>
      </c>
      <c r="J72" s="635">
        <v>1</v>
      </c>
    </row>
    <row r="73" spans="1:10" ht="12.75" customHeight="1" x14ac:dyDescent="0.25">
      <c r="A73" s="633"/>
      <c r="B73" s="381"/>
      <c r="C73" s="381" t="s">
        <v>12</v>
      </c>
      <c r="D73" s="381" t="s">
        <v>391</v>
      </c>
      <c r="E73" s="381" t="s">
        <v>12</v>
      </c>
      <c r="F73" s="381" t="s">
        <v>600</v>
      </c>
      <c r="G73" s="381" t="s">
        <v>510</v>
      </c>
      <c r="H73" s="634">
        <v>226</v>
      </c>
      <c r="I73" s="634">
        <v>1048</v>
      </c>
      <c r="J73" s="635">
        <v>1</v>
      </c>
    </row>
    <row r="74" spans="1:10" ht="12.75" customHeight="1" x14ac:dyDescent="0.25">
      <c r="A74" s="633"/>
      <c r="B74" s="381"/>
      <c r="C74" s="381" t="s">
        <v>194</v>
      </c>
      <c r="D74" s="381" t="s">
        <v>193</v>
      </c>
      <c r="E74" s="381" t="s">
        <v>553</v>
      </c>
      <c r="F74" s="381" t="s">
        <v>1085</v>
      </c>
      <c r="G74" s="381" t="s">
        <v>512</v>
      </c>
      <c r="H74" s="634">
        <v>718</v>
      </c>
      <c r="I74" s="634">
        <v>3321</v>
      </c>
      <c r="J74" s="635">
        <v>1</v>
      </c>
    </row>
    <row r="75" spans="1:10" ht="12.75" customHeight="1" x14ac:dyDescent="0.25">
      <c r="A75" s="633"/>
      <c r="B75" s="381"/>
      <c r="C75" s="381" t="s">
        <v>196</v>
      </c>
      <c r="D75" s="381" t="s">
        <v>195</v>
      </c>
      <c r="E75" s="381" t="s">
        <v>553</v>
      </c>
      <c r="F75" s="381" t="s">
        <v>1085</v>
      </c>
      <c r="G75" s="381" t="s">
        <v>512</v>
      </c>
      <c r="H75" s="634">
        <v>1546</v>
      </c>
      <c r="I75" s="634">
        <v>8610</v>
      </c>
      <c r="J75" s="635">
        <v>1</v>
      </c>
    </row>
    <row r="76" spans="1:10" ht="12.75" customHeight="1" x14ac:dyDescent="0.25">
      <c r="A76" s="633"/>
      <c r="B76" s="381"/>
      <c r="C76" s="381" t="s">
        <v>520</v>
      </c>
      <c r="D76" s="381" t="s">
        <v>521</v>
      </c>
      <c r="E76" s="381" t="s">
        <v>12</v>
      </c>
      <c r="F76" s="381" t="s">
        <v>600</v>
      </c>
      <c r="G76" s="381" t="s">
        <v>510</v>
      </c>
      <c r="H76" s="634">
        <v>4</v>
      </c>
      <c r="I76" s="634">
        <v>26</v>
      </c>
      <c r="J76" s="635">
        <v>1</v>
      </c>
    </row>
    <row r="77" spans="1:10" ht="12.75" customHeight="1" x14ac:dyDescent="0.25">
      <c r="A77" s="633"/>
      <c r="B77" s="381"/>
      <c r="C77" s="381" t="s">
        <v>186</v>
      </c>
      <c r="D77" s="381" t="s">
        <v>184</v>
      </c>
      <c r="E77" s="381" t="s">
        <v>553</v>
      </c>
      <c r="F77" s="381" t="s">
        <v>459</v>
      </c>
      <c r="G77" s="381" t="s">
        <v>510</v>
      </c>
      <c r="H77" s="634">
        <v>39</v>
      </c>
      <c r="I77" s="634">
        <v>234</v>
      </c>
      <c r="J77" s="635">
        <v>1</v>
      </c>
    </row>
    <row r="78" spans="1:10" ht="12.75" customHeight="1" x14ac:dyDescent="0.25">
      <c r="A78" s="633"/>
      <c r="B78" s="381"/>
      <c r="C78" s="381" t="s">
        <v>223</v>
      </c>
      <c r="D78" s="381" t="s">
        <v>222</v>
      </c>
      <c r="E78" s="381" t="s">
        <v>553</v>
      </c>
      <c r="F78" s="381" t="s">
        <v>1084</v>
      </c>
      <c r="G78" s="381" t="s">
        <v>510</v>
      </c>
      <c r="H78" s="634">
        <v>103</v>
      </c>
      <c r="I78" s="634">
        <v>495</v>
      </c>
      <c r="J78" s="635">
        <v>1</v>
      </c>
    </row>
    <row r="79" spans="1:10" ht="12.75" customHeight="1" x14ac:dyDescent="0.25">
      <c r="A79" s="633"/>
      <c r="B79" s="381"/>
      <c r="C79" s="381" t="s">
        <v>190</v>
      </c>
      <c r="D79" s="381" t="s">
        <v>189</v>
      </c>
      <c r="E79" s="381" t="s">
        <v>553</v>
      </c>
      <c r="F79" s="381" t="s">
        <v>459</v>
      </c>
      <c r="G79" s="381" t="s">
        <v>510</v>
      </c>
      <c r="H79" s="634">
        <v>194</v>
      </c>
      <c r="I79" s="634">
        <v>1071</v>
      </c>
      <c r="J79" s="635">
        <v>1</v>
      </c>
    </row>
    <row r="80" spans="1:10" ht="12.75" customHeight="1" x14ac:dyDescent="0.25">
      <c r="A80" s="633"/>
      <c r="B80" s="381"/>
      <c r="C80" s="381" t="s">
        <v>202</v>
      </c>
      <c r="D80" s="381" t="s">
        <v>201</v>
      </c>
      <c r="E80" s="381" t="s">
        <v>553</v>
      </c>
      <c r="F80" s="381" t="s">
        <v>1084</v>
      </c>
      <c r="G80" s="381" t="s">
        <v>510</v>
      </c>
      <c r="H80" s="634">
        <v>265</v>
      </c>
      <c r="I80" s="634">
        <v>1183</v>
      </c>
      <c r="J80" s="635">
        <v>1</v>
      </c>
    </row>
    <row r="81" spans="1:10" ht="12.75" customHeight="1" x14ac:dyDescent="0.25">
      <c r="A81" s="633"/>
      <c r="B81" s="381"/>
      <c r="C81" s="381" t="s">
        <v>209</v>
      </c>
      <c r="D81" s="381" t="s">
        <v>208</v>
      </c>
      <c r="E81" s="381" t="s">
        <v>553</v>
      </c>
      <c r="F81" s="381" t="s">
        <v>459</v>
      </c>
      <c r="G81" s="381" t="s">
        <v>510</v>
      </c>
      <c r="H81" s="634">
        <v>387</v>
      </c>
      <c r="I81" s="634">
        <v>1874</v>
      </c>
      <c r="J81" s="635">
        <v>1</v>
      </c>
    </row>
    <row r="82" spans="1:10" ht="12.75" customHeight="1" x14ac:dyDescent="0.25">
      <c r="A82" s="633"/>
      <c r="B82" s="381"/>
      <c r="C82" s="381" t="s">
        <v>213</v>
      </c>
      <c r="D82" s="381" t="s">
        <v>212</v>
      </c>
      <c r="E82" s="381" t="s">
        <v>12</v>
      </c>
      <c r="F82" s="381" t="s">
        <v>600</v>
      </c>
      <c r="G82" s="381" t="s">
        <v>510</v>
      </c>
      <c r="H82" s="634">
        <v>44</v>
      </c>
      <c r="I82" s="634">
        <v>143</v>
      </c>
      <c r="J82" s="635">
        <v>1</v>
      </c>
    </row>
    <row r="83" spans="1:10" ht="12.75" customHeight="1" x14ac:dyDescent="0.25">
      <c r="A83" s="633"/>
      <c r="B83" s="381"/>
      <c r="C83" s="381" t="s">
        <v>215</v>
      </c>
      <c r="D83" s="381" t="s">
        <v>214</v>
      </c>
      <c r="E83" s="381" t="s">
        <v>553</v>
      </c>
      <c r="F83" s="381" t="s">
        <v>1084</v>
      </c>
      <c r="G83" s="381" t="s">
        <v>512</v>
      </c>
      <c r="H83" s="634">
        <v>358</v>
      </c>
      <c r="I83" s="634">
        <v>1655</v>
      </c>
      <c r="J83" s="635">
        <v>1</v>
      </c>
    </row>
    <row r="84" spans="1:10" ht="12.75" customHeight="1" x14ac:dyDescent="0.25">
      <c r="A84" s="633"/>
      <c r="B84" s="381"/>
      <c r="C84" s="381" t="s">
        <v>229</v>
      </c>
      <c r="D84" s="381" t="s">
        <v>228</v>
      </c>
      <c r="E84" s="381" t="s">
        <v>553</v>
      </c>
      <c r="F84" s="381" t="s">
        <v>459</v>
      </c>
      <c r="G84" s="381" t="s">
        <v>510</v>
      </c>
      <c r="H84" s="634">
        <v>49</v>
      </c>
      <c r="I84" s="634">
        <v>300</v>
      </c>
      <c r="J84" s="635">
        <v>1</v>
      </c>
    </row>
    <row r="85" spans="1:10" ht="12.75" customHeight="1" x14ac:dyDescent="0.25">
      <c r="A85" s="633"/>
      <c r="B85" s="381"/>
      <c r="C85" s="381" t="s">
        <v>219</v>
      </c>
      <c r="D85" s="381" t="s">
        <v>218</v>
      </c>
      <c r="E85" s="381" t="s">
        <v>553</v>
      </c>
      <c r="F85" s="381" t="s">
        <v>1084</v>
      </c>
      <c r="G85" s="381" t="s">
        <v>512</v>
      </c>
      <c r="H85" s="634">
        <v>597</v>
      </c>
      <c r="I85" s="634">
        <v>3643</v>
      </c>
      <c r="J85" s="635">
        <v>1</v>
      </c>
    </row>
    <row r="86" spans="1:10" ht="12.75" customHeight="1" x14ac:dyDescent="0.25">
      <c r="A86" s="633"/>
      <c r="B86" s="381"/>
      <c r="C86" s="381" t="s">
        <v>225</v>
      </c>
      <c r="D86" s="381" t="s">
        <v>224</v>
      </c>
      <c r="E86" s="381" t="s">
        <v>553</v>
      </c>
      <c r="F86" s="381" t="s">
        <v>459</v>
      </c>
      <c r="G86" s="381" t="s">
        <v>510</v>
      </c>
      <c r="H86" s="634">
        <v>41</v>
      </c>
      <c r="I86" s="634">
        <v>245</v>
      </c>
      <c r="J86" s="635">
        <v>1</v>
      </c>
    </row>
    <row r="87" spans="1:10" ht="12.75" customHeight="1" x14ac:dyDescent="0.25">
      <c r="A87" s="633"/>
      <c r="B87" s="381" t="s">
        <v>1161</v>
      </c>
      <c r="C87" s="381"/>
      <c r="D87" s="381"/>
      <c r="E87" s="381"/>
      <c r="F87" s="381"/>
      <c r="G87" s="381"/>
      <c r="H87" s="634">
        <v>4674</v>
      </c>
      <c r="I87" s="634">
        <v>24309</v>
      </c>
      <c r="J87" s="635">
        <v>15</v>
      </c>
    </row>
    <row r="88" spans="1:10" ht="12.75" customHeight="1" x14ac:dyDescent="0.25">
      <c r="A88" s="633"/>
      <c r="B88" s="381" t="s">
        <v>237</v>
      </c>
      <c r="C88" s="381" t="s">
        <v>243</v>
      </c>
      <c r="D88" s="381" t="s">
        <v>242</v>
      </c>
      <c r="E88" s="381" t="s">
        <v>553</v>
      </c>
      <c r="F88" s="381" t="s">
        <v>459</v>
      </c>
      <c r="G88" s="381" t="s">
        <v>510</v>
      </c>
      <c r="H88" s="634">
        <v>6</v>
      </c>
      <c r="I88" s="634">
        <v>32</v>
      </c>
      <c r="J88" s="635">
        <v>1</v>
      </c>
    </row>
    <row r="89" spans="1:10" ht="12.75" customHeight="1" x14ac:dyDescent="0.25">
      <c r="A89" s="633"/>
      <c r="B89" s="381"/>
      <c r="C89" s="759" t="s">
        <v>245</v>
      </c>
      <c r="D89" s="381" t="s">
        <v>244</v>
      </c>
      <c r="E89" s="381" t="s">
        <v>553</v>
      </c>
      <c r="F89" s="381" t="s">
        <v>459</v>
      </c>
      <c r="G89" s="381" t="s">
        <v>510</v>
      </c>
      <c r="H89" s="634">
        <v>7</v>
      </c>
      <c r="I89" s="634">
        <v>46</v>
      </c>
      <c r="J89" s="635">
        <v>1</v>
      </c>
    </row>
    <row r="90" spans="1:10" ht="12.75" customHeight="1" x14ac:dyDescent="0.25">
      <c r="A90" s="633"/>
      <c r="B90" s="381"/>
      <c r="C90" s="759" t="s">
        <v>247</v>
      </c>
      <c r="D90" s="381" t="s">
        <v>246</v>
      </c>
      <c r="E90" s="381" t="s">
        <v>553</v>
      </c>
      <c r="F90" s="381" t="s">
        <v>459</v>
      </c>
      <c r="G90" s="381" t="s">
        <v>510</v>
      </c>
      <c r="H90" s="634">
        <v>31</v>
      </c>
      <c r="I90" s="634">
        <v>118</v>
      </c>
      <c r="J90" s="635">
        <v>1</v>
      </c>
    </row>
    <row r="91" spans="1:10" ht="12.75" customHeight="1" x14ac:dyDescent="0.25">
      <c r="A91" s="633"/>
      <c r="B91" s="381"/>
      <c r="C91" s="759" t="s">
        <v>253</v>
      </c>
      <c r="D91" s="381" t="s">
        <v>252</v>
      </c>
      <c r="E91" s="381" t="s">
        <v>553</v>
      </c>
      <c r="F91" s="381" t="s">
        <v>459</v>
      </c>
      <c r="G91" s="381" t="s">
        <v>510</v>
      </c>
      <c r="H91" s="634">
        <v>200</v>
      </c>
      <c r="I91" s="634">
        <v>1112</v>
      </c>
      <c r="J91" s="635">
        <v>1</v>
      </c>
    </row>
    <row r="92" spans="1:10" ht="12.75" customHeight="1" x14ac:dyDescent="0.25">
      <c r="A92" s="633"/>
      <c r="B92" s="381"/>
      <c r="C92" s="759" t="s">
        <v>255</v>
      </c>
      <c r="D92" s="381" t="s">
        <v>254</v>
      </c>
      <c r="E92" s="381" t="s">
        <v>553</v>
      </c>
      <c r="F92" s="381" t="s">
        <v>1085</v>
      </c>
      <c r="G92" s="381" t="s">
        <v>510</v>
      </c>
      <c r="H92" s="634">
        <v>122</v>
      </c>
      <c r="I92" s="634">
        <v>595</v>
      </c>
      <c r="J92" s="635">
        <v>1</v>
      </c>
    </row>
    <row r="93" spans="1:10" ht="12.75" customHeight="1" x14ac:dyDescent="0.25">
      <c r="A93" s="633"/>
      <c r="B93" s="381"/>
      <c r="C93" s="759" t="s">
        <v>257</v>
      </c>
      <c r="D93" s="381" t="s">
        <v>256</v>
      </c>
      <c r="E93" s="381" t="s">
        <v>553</v>
      </c>
      <c r="F93" s="381" t="s">
        <v>459</v>
      </c>
      <c r="G93" s="381" t="s">
        <v>510</v>
      </c>
      <c r="H93" s="634">
        <v>42</v>
      </c>
      <c r="I93" s="634">
        <v>186</v>
      </c>
      <c r="J93" s="635">
        <v>1</v>
      </c>
    </row>
    <row r="94" spans="1:10" ht="12.75" customHeight="1" x14ac:dyDescent="0.25">
      <c r="A94" s="633"/>
      <c r="B94" s="381"/>
      <c r="C94" s="759" t="s">
        <v>240</v>
      </c>
      <c r="D94" s="381" t="s">
        <v>239</v>
      </c>
      <c r="E94" s="381" t="s">
        <v>553</v>
      </c>
      <c r="F94" s="381" t="s">
        <v>459</v>
      </c>
      <c r="G94" s="381" t="s">
        <v>510</v>
      </c>
      <c r="H94" s="634">
        <v>105</v>
      </c>
      <c r="I94" s="634">
        <v>580</v>
      </c>
      <c r="J94" s="635">
        <v>1</v>
      </c>
    </row>
    <row r="95" spans="1:10" ht="12.75" customHeight="1" x14ac:dyDescent="0.25">
      <c r="A95" s="633"/>
      <c r="B95" s="381"/>
      <c r="C95" s="759" t="s">
        <v>285</v>
      </c>
      <c r="D95" s="381" t="s">
        <v>284</v>
      </c>
      <c r="E95" s="381" t="s">
        <v>553</v>
      </c>
      <c r="F95" s="381" t="s">
        <v>459</v>
      </c>
      <c r="G95" s="381" t="s">
        <v>510</v>
      </c>
      <c r="H95" s="634">
        <v>139</v>
      </c>
      <c r="I95" s="634">
        <v>705</v>
      </c>
      <c r="J95" s="635">
        <v>1</v>
      </c>
    </row>
    <row r="96" spans="1:10" ht="12.75" customHeight="1" x14ac:dyDescent="0.25">
      <c r="A96" s="633"/>
      <c r="B96" s="381"/>
      <c r="C96" s="381" t="s">
        <v>259</v>
      </c>
      <c r="D96" s="381" t="s">
        <v>258</v>
      </c>
      <c r="E96" s="381" t="s">
        <v>553</v>
      </c>
      <c r="F96" s="381" t="s">
        <v>459</v>
      </c>
      <c r="G96" s="381" t="s">
        <v>510</v>
      </c>
      <c r="H96" s="634">
        <v>62</v>
      </c>
      <c r="I96" s="634">
        <v>309</v>
      </c>
      <c r="J96" s="635">
        <v>1</v>
      </c>
    </row>
    <row r="97" spans="1:10" ht="12.75" customHeight="1" x14ac:dyDescent="0.25">
      <c r="A97" s="633"/>
      <c r="B97" s="381"/>
      <c r="C97" s="381" t="s">
        <v>261</v>
      </c>
      <c r="D97" s="381" t="s">
        <v>260</v>
      </c>
      <c r="E97" s="381" t="s">
        <v>553</v>
      </c>
      <c r="F97" s="381" t="s">
        <v>459</v>
      </c>
      <c r="G97" s="381" t="s">
        <v>510</v>
      </c>
      <c r="H97" s="634">
        <v>104</v>
      </c>
      <c r="I97" s="634">
        <v>574</v>
      </c>
      <c r="J97" s="635">
        <v>1</v>
      </c>
    </row>
    <row r="98" spans="1:10" ht="12.75" customHeight="1" x14ac:dyDescent="0.25">
      <c r="A98" s="633"/>
      <c r="B98" s="381"/>
      <c r="C98" s="381" t="s">
        <v>263</v>
      </c>
      <c r="D98" s="381" t="s">
        <v>262</v>
      </c>
      <c r="E98" s="381" t="s">
        <v>553</v>
      </c>
      <c r="F98" s="381" t="s">
        <v>504</v>
      </c>
      <c r="G98" s="381" t="s">
        <v>510</v>
      </c>
      <c r="H98" s="634">
        <v>23</v>
      </c>
      <c r="I98" s="634">
        <v>93</v>
      </c>
      <c r="J98" s="635">
        <v>1</v>
      </c>
    </row>
    <row r="99" spans="1:10" ht="12.75" customHeight="1" x14ac:dyDescent="0.25">
      <c r="A99" s="633"/>
      <c r="B99" s="381"/>
      <c r="C99" s="381" t="s">
        <v>265</v>
      </c>
      <c r="D99" s="381" t="s">
        <v>264</v>
      </c>
      <c r="E99" s="381" t="s">
        <v>553</v>
      </c>
      <c r="F99" s="381" t="s">
        <v>504</v>
      </c>
      <c r="G99" s="381" t="s">
        <v>510</v>
      </c>
      <c r="H99" s="634">
        <v>15</v>
      </c>
      <c r="I99" s="634">
        <v>78</v>
      </c>
      <c r="J99" s="635">
        <v>1</v>
      </c>
    </row>
    <row r="100" spans="1:10" ht="12.75" customHeight="1" x14ac:dyDescent="0.25">
      <c r="A100" s="633"/>
      <c r="B100" s="381"/>
      <c r="C100" s="381" t="s">
        <v>271</v>
      </c>
      <c r="D100" s="381" t="s">
        <v>270</v>
      </c>
      <c r="E100" s="381" t="s">
        <v>553</v>
      </c>
      <c r="F100" s="381" t="s">
        <v>1085</v>
      </c>
      <c r="G100" s="381" t="s">
        <v>510</v>
      </c>
      <c r="H100" s="634">
        <v>63</v>
      </c>
      <c r="I100" s="634">
        <v>322</v>
      </c>
      <c r="J100" s="635">
        <v>1</v>
      </c>
    </row>
    <row r="101" spans="1:10" ht="12.75" customHeight="1" x14ac:dyDescent="0.25">
      <c r="A101" s="633"/>
      <c r="B101" s="381"/>
      <c r="C101" s="381" t="s">
        <v>269</v>
      </c>
      <c r="D101" s="381" t="s">
        <v>268</v>
      </c>
      <c r="E101" s="381" t="s">
        <v>553</v>
      </c>
      <c r="F101" s="381" t="s">
        <v>459</v>
      </c>
      <c r="G101" s="381" t="s">
        <v>510</v>
      </c>
      <c r="H101" s="634">
        <v>65</v>
      </c>
      <c r="I101" s="634">
        <v>292</v>
      </c>
      <c r="J101" s="635">
        <v>1</v>
      </c>
    </row>
    <row r="102" spans="1:10" ht="12.75" customHeight="1" x14ac:dyDescent="0.25">
      <c r="A102" s="633"/>
      <c r="B102" s="381"/>
      <c r="C102" s="381" t="s">
        <v>273</v>
      </c>
      <c r="D102" s="381" t="s">
        <v>272</v>
      </c>
      <c r="E102" s="381" t="s">
        <v>553</v>
      </c>
      <c r="F102" s="381" t="s">
        <v>1085</v>
      </c>
      <c r="G102" s="381" t="s">
        <v>510</v>
      </c>
      <c r="H102" s="634">
        <v>49</v>
      </c>
      <c r="I102" s="634">
        <v>290</v>
      </c>
      <c r="J102" s="635">
        <v>1</v>
      </c>
    </row>
    <row r="103" spans="1:10" ht="12.75" customHeight="1" x14ac:dyDescent="0.25">
      <c r="A103" s="633"/>
      <c r="B103" s="381"/>
      <c r="C103" s="381" t="s">
        <v>277</v>
      </c>
      <c r="D103" s="381" t="s">
        <v>276</v>
      </c>
      <c r="E103" s="381" t="s">
        <v>553</v>
      </c>
      <c r="F103" s="381" t="s">
        <v>459</v>
      </c>
      <c r="G103" s="381" t="s">
        <v>510</v>
      </c>
      <c r="H103" s="634">
        <v>118</v>
      </c>
      <c r="I103" s="634">
        <v>529</v>
      </c>
      <c r="J103" s="635">
        <v>1</v>
      </c>
    </row>
    <row r="104" spans="1:10" ht="12.75" customHeight="1" x14ac:dyDescent="0.25">
      <c r="A104" s="633"/>
      <c r="B104" s="381"/>
      <c r="C104" s="381" t="s">
        <v>279</v>
      </c>
      <c r="D104" s="381" t="s">
        <v>278</v>
      </c>
      <c r="E104" s="381" t="s">
        <v>553</v>
      </c>
      <c r="F104" s="381" t="s">
        <v>504</v>
      </c>
      <c r="G104" s="381" t="s">
        <v>510</v>
      </c>
      <c r="H104" s="634">
        <v>22</v>
      </c>
      <c r="I104" s="634">
        <v>111</v>
      </c>
      <c r="J104" s="635">
        <v>1</v>
      </c>
    </row>
    <row r="105" spans="1:10" ht="12.75" customHeight="1" x14ac:dyDescent="0.25">
      <c r="A105" s="633"/>
      <c r="B105" s="381"/>
      <c r="C105" s="381" t="s">
        <v>281</v>
      </c>
      <c r="D105" s="381" t="s">
        <v>280</v>
      </c>
      <c r="E105" s="381" t="s">
        <v>553</v>
      </c>
      <c r="F105" s="381" t="s">
        <v>459</v>
      </c>
      <c r="G105" s="381" t="s">
        <v>510</v>
      </c>
      <c r="H105" s="634">
        <v>92</v>
      </c>
      <c r="I105" s="634">
        <v>499</v>
      </c>
      <c r="J105" s="635">
        <v>1</v>
      </c>
    </row>
    <row r="106" spans="1:10" ht="12.75" customHeight="1" x14ac:dyDescent="0.25">
      <c r="A106" s="633"/>
      <c r="B106" s="381"/>
      <c r="C106" s="381" t="s">
        <v>238</v>
      </c>
      <c r="D106" s="381" t="s">
        <v>236</v>
      </c>
      <c r="E106" s="381" t="s">
        <v>553</v>
      </c>
      <c r="F106" s="381" t="s">
        <v>459</v>
      </c>
      <c r="G106" s="381" t="s">
        <v>510</v>
      </c>
      <c r="H106" s="634">
        <v>66</v>
      </c>
      <c r="I106" s="634">
        <v>344</v>
      </c>
      <c r="J106" s="635">
        <v>1</v>
      </c>
    </row>
    <row r="107" spans="1:10" ht="12.75" customHeight="1" x14ac:dyDescent="0.25">
      <c r="A107" s="633"/>
      <c r="B107" s="381"/>
      <c r="C107" s="381" t="s">
        <v>249</v>
      </c>
      <c r="D107" s="381" t="s">
        <v>248</v>
      </c>
      <c r="E107" s="381" t="s">
        <v>553</v>
      </c>
      <c r="F107" s="381" t="s">
        <v>504</v>
      </c>
      <c r="G107" s="381" t="s">
        <v>510</v>
      </c>
      <c r="H107" s="634">
        <v>4</v>
      </c>
      <c r="I107" s="634">
        <v>22</v>
      </c>
      <c r="J107" s="635">
        <v>1</v>
      </c>
    </row>
    <row r="108" spans="1:10" ht="12.75" customHeight="1" x14ac:dyDescent="0.25">
      <c r="A108" s="633"/>
      <c r="B108" s="381"/>
      <c r="C108" s="381" t="s">
        <v>251</v>
      </c>
      <c r="D108" s="381" t="s">
        <v>250</v>
      </c>
      <c r="E108" s="381" t="s">
        <v>553</v>
      </c>
      <c r="F108" s="381" t="s">
        <v>459</v>
      </c>
      <c r="G108" s="381" t="s">
        <v>510</v>
      </c>
      <c r="H108" s="634">
        <v>31</v>
      </c>
      <c r="I108" s="634">
        <v>170</v>
      </c>
      <c r="J108" s="635">
        <v>1</v>
      </c>
    </row>
    <row r="109" spans="1:10" ht="12.75" customHeight="1" x14ac:dyDescent="0.25">
      <c r="A109" s="633"/>
      <c r="B109" s="381"/>
      <c r="C109" s="381" t="s">
        <v>275</v>
      </c>
      <c r="D109" s="381" t="s">
        <v>274</v>
      </c>
      <c r="E109" s="381" t="s">
        <v>553</v>
      </c>
      <c r="F109" s="381" t="s">
        <v>459</v>
      </c>
      <c r="G109" s="381" t="s">
        <v>510</v>
      </c>
      <c r="H109" s="634">
        <v>46</v>
      </c>
      <c r="I109" s="634">
        <v>238</v>
      </c>
      <c r="J109" s="635">
        <v>1</v>
      </c>
    </row>
    <row r="110" spans="1:10" ht="12.75" customHeight="1" x14ac:dyDescent="0.25">
      <c r="A110" s="633"/>
      <c r="B110" s="381"/>
      <c r="C110" s="381" t="s">
        <v>283</v>
      </c>
      <c r="D110" s="381" t="s">
        <v>282</v>
      </c>
      <c r="E110" s="381" t="s">
        <v>553</v>
      </c>
      <c r="F110" s="381" t="s">
        <v>504</v>
      </c>
      <c r="G110" s="381" t="s">
        <v>510</v>
      </c>
      <c r="H110" s="634">
        <v>7</v>
      </c>
      <c r="I110" s="634">
        <v>37</v>
      </c>
      <c r="J110" s="635">
        <v>1</v>
      </c>
    </row>
    <row r="111" spans="1:10" ht="12.75" customHeight="1" x14ac:dyDescent="0.25">
      <c r="A111" s="633"/>
      <c r="B111" s="381"/>
      <c r="C111" s="381" t="s">
        <v>1232</v>
      </c>
      <c r="D111" s="381" t="s">
        <v>241</v>
      </c>
      <c r="E111" s="381" t="s">
        <v>553</v>
      </c>
      <c r="F111" s="381" t="s">
        <v>504</v>
      </c>
      <c r="G111" s="381" t="s">
        <v>510</v>
      </c>
      <c r="H111" s="634">
        <v>54</v>
      </c>
      <c r="I111" s="634">
        <v>262</v>
      </c>
      <c r="J111" s="635">
        <v>1</v>
      </c>
    </row>
    <row r="112" spans="1:10" ht="12.75" customHeight="1" x14ac:dyDescent="0.25">
      <c r="A112" s="633"/>
      <c r="B112" s="381" t="s">
        <v>1162</v>
      </c>
      <c r="C112" s="381"/>
      <c r="D112" s="381"/>
      <c r="E112" s="381"/>
      <c r="F112" s="381"/>
      <c r="G112" s="381"/>
      <c r="H112" s="634">
        <v>1473</v>
      </c>
      <c r="I112" s="634">
        <v>7544</v>
      </c>
      <c r="J112" s="635">
        <v>24</v>
      </c>
    </row>
    <row r="113" spans="1:10" ht="12.75" customHeight="1" x14ac:dyDescent="0.25">
      <c r="A113" s="633"/>
      <c r="B113" s="381" t="s">
        <v>300</v>
      </c>
      <c r="C113" s="381" t="s">
        <v>301</v>
      </c>
      <c r="D113" s="381" t="s">
        <v>299</v>
      </c>
      <c r="E113" s="381" t="s">
        <v>12</v>
      </c>
      <c r="F113" s="381" t="s">
        <v>600</v>
      </c>
      <c r="G113" s="381" t="s">
        <v>510</v>
      </c>
      <c r="H113" s="634">
        <v>14</v>
      </c>
      <c r="I113" s="634">
        <v>75</v>
      </c>
      <c r="J113" s="635">
        <v>1</v>
      </c>
    </row>
    <row r="114" spans="1:10" ht="12.75" customHeight="1" x14ac:dyDescent="0.25">
      <c r="A114" s="633"/>
      <c r="B114" s="381"/>
      <c r="C114" s="381" t="s">
        <v>1038</v>
      </c>
      <c r="D114" s="381" t="s">
        <v>1039</v>
      </c>
      <c r="E114" s="381" t="s">
        <v>12</v>
      </c>
      <c r="F114" s="381" t="s">
        <v>600</v>
      </c>
      <c r="G114" s="381" t="s">
        <v>510</v>
      </c>
      <c r="H114" s="634">
        <v>10</v>
      </c>
      <c r="I114" s="634">
        <v>56</v>
      </c>
      <c r="J114" s="635">
        <v>1</v>
      </c>
    </row>
    <row r="115" spans="1:10" ht="12.75" customHeight="1" x14ac:dyDescent="0.25">
      <c r="A115" s="633"/>
      <c r="B115" s="381"/>
      <c r="C115" s="381" t="s">
        <v>1248</v>
      </c>
      <c r="D115" s="381" t="s">
        <v>1247</v>
      </c>
      <c r="E115" s="381" t="s">
        <v>553</v>
      </c>
      <c r="F115" s="381" t="s">
        <v>459</v>
      </c>
      <c r="G115" s="381" t="s">
        <v>510</v>
      </c>
      <c r="H115" s="634">
        <v>61</v>
      </c>
      <c r="I115" s="634">
        <v>276</v>
      </c>
      <c r="J115" s="635">
        <v>1</v>
      </c>
    </row>
    <row r="116" spans="1:10" ht="12.75" customHeight="1" x14ac:dyDescent="0.25">
      <c r="A116" s="633"/>
      <c r="B116" s="381" t="s">
        <v>1163</v>
      </c>
      <c r="C116" s="381"/>
      <c r="D116" s="381"/>
      <c r="E116" s="381"/>
      <c r="F116" s="381"/>
      <c r="G116" s="381"/>
      <c r="H116" s="634">
        <v>85</v>
      </c>
      <c r="I116" s="634">
        <v>407</v>
      </c>
      <c r="J116" s="635">
        <v>3</v>
      </c>
    </row>
    <row r="117" spans="1:10" ht="12.75" customHeight="1" x14ac:dyDescent="0.25">
      <c r="A117" s="633"/>
      <c r="B117" s="381" t="s">
        <v>302</v>
      </c>
      <c r="C117" s="381" t="s">
        <v>304</v>
      </c>
      <c r="D117" s="381" t="s">
        <v>303</v>
      </c>
      <c r="E117" s="381" t="s">
        <v>12</v>
      </c>
      <c r="F117" s="381" t="s">
        <v>600</v>
      </c>
      <c r="G117" s="381" t="s">
        <v>510</v>
      </c>
      <c r="H117" s="634">
        <v>375</v>
      </c>
      <c r="I117" s="634">
        <v>1691</v>
      </c>
      <c r="J117" s="635">
        <v>1</v>
      </c>
    </row>
    <row r="118" spans="1:10" ht="12.75" customHeight="1" x14ac:dyDescent="0.25">
      <c r="A118" s="633"/>
      <c r="B118" s="381"/>
      <c r="C118" s="381" t="s">
        <v>306</v>
      </c>
      <c r="D118" s="381" t="s">
        <v>305</v>
      </c>
      <c r="E118" s="381" t="s">
        <v>553</v>
      </c>
      <c r="F118" s="381" t="s">
        <v>459</v>
      </c>
      <c r="G118" s="381" t="s">
        <v>510</v>
      </c>
      <c r="H118" s="634">
        <v>86</v>
      </c>
      <c r="I118" s="634">
        <v>314</v>
      </c>
      <c r="J118" s="635">
        <v>1</v>
      </c>
    </row>
    <row r="119" spans="1:10" ht="12.75" customHeight="1" x14ac:dyDescent="0.25">
      <c r="A119" s="633"/>
      <c r="B119" s="381"/>
      <c r="C119" s="381" t="s">
        <v>308</v>
      </c>
      <c r="D119" s="381" t="s">
        <v>307</v>
      </c>
      <c r="E119" s="381" t="s">
        <v>553</v>
      </c>
      <c r="F119" s="381" t="s">
        <v>1084</v>
      </c>
      <c r="G119" s="381" t="s">
        <v>510</v>
      </c>
      <c r="H119" s="634">
        <v>43</v>
      </c>
      <c r="I119" s="634">
        <v>159</v>
      </c>
      <c r="J119" s="635">
        <v>1</v>
      </c>
    </row>
    <row r="120" spans="1:10" ht="12.75" customHeight="1" x14ac:dyDescent="0.25">
      <c r="A120" s="633"/>
      <c r="B120" s="381" t="s">
        <v>1328</v>
      </c>
      <c r="C120" s="381"/>
      <c r="D120" s="381"/>
      <c r="E120" s="381"/>
      <c r="F120" s="381"/>
      <c r="G120" s="381"/>
      <c r="H120" s="634">
        <v>504</v>
      </c>
      <c r="I120" s="634">
        <v>2164</v>
      </c>
      <c r="J120" s="635">
        <v>3</v>
      </c>
    </row>
    <row r="121" spans="1:10" ht="12.75" customHeight="1" x14ac:dyDescent="0.25">
      <c r="A121" s="633"/>
      <c r="B121" s="381" t="s">
        <v>807</v>
      </c>
      <c r="C121" s="381" t="s">
        <v>807</v>
      </c>
      <c r="D121" s="381" t="s">
        <v>811</v>
      </c>
      <c r="E121" s="381" t="s">
        <v>553</v>
      </c>
      <c r="F121" s="381" t="s">
        <v>600</v>
      </c>
      <c r="G121" s="381" t="s">
        <v>510</v>
      </c>
      <c r="H121" s="634">
        <v>5</v>
      </c>
      <c r="I121" s="634">
        <v>32</v>
      </c>
      <c r="J121" s="635">
        <v>1</v>
      </c>
    </row>
    <row r="122" spans="1:10" ht="12.75" customHeight="1" x14ac:dyDescent="0.25">
      <c r="A122" s="633"/>
      <c r="B122" s="381"/>
      <c r="C122" s="381" t="s">
        <v>1285</v>
      </c>
      <c r="D122" s="381" t="s">
        <v>1286</v>
      </c>
      <c r="E122" s="381" t="s">
        <v>553</v>
      </c>
      <c r="F122" s="381" t="s">
        <v>459</v>
      </c>
      <c r="G122" s="381" t="s">
        <v>512</v>
      </c>
      <c r="H122" s="634">
        <v>73</v>
      </c>
      <c r="I122" s="634">
        <v>407</v>
      </c>
      <c r="J122" s="635">
        <v>1</v>
      </c>
    </row>
    <row r="123" spans="1:10" ht="12.75" customHeight="1" x14ac:dyDescent="0.25">
      <c r="A123" s="633"/>
      <c r="B123" s="381"/>
      <c r="C123" s="381" t="s">
        <v>1287</v>
      </c>
      <c r="D123" s="381" t="s">
        <v>1288</v>
      </c>
      <c r="E123" s="381" t="s">
        <v>553</v>
      </c>
      <c r="F123" s="381" t="s">
        <v>459</v>
      </c>
      <c r="G123" s="381" t="s">
        <v>512</v>
      </c>
      <c r="H123" s="634">
        <v>63</v>
      </c>
      <c r="I123" s="634">
        <v>320</v>
      </c>
      <c r="J123" s="635">
        <v>1</v>
      </c>
    </row>
    <row r="124" spans="1:10" ht="12.75" customHeight="1" x14ac:dyDescent="0.25">
      <c r="A124" s="633"/>
      <c r="B124" s="381" t="s">
        <v>1329</v>
      </c>
      <c r="C124" s="381"/>
      <c r="D124" s="381"/>
      <c r="E124" s="381"/>
      <c r="F124" s="381"/>
      <c r="G124" s="381"/>
      <c r="H124" s="634">
        <v>141</v>
      </c>
      <c r="I124" s="634">
        <v>759</v>
      </c>
      <c r="J124" s="635">
        <v>3</v>
      </c>
    </row>
    <row r="125" spans="1:10" ht="12.75" customHeight="1" x14ac:dyDescent="0.25">
      <c r="A125" s="633"/>
      <c r="B125" s="381" t="s">
        <v>310</v>
      </c>
      <c r="C125" s="381" t="s">
        <v>334</v>
      </c>
      <c r="D125" s="381" t="s">
        <v>333</v>
      </c>
      <c r="E125" s="381" t="s">
        <v>553</v>
      </c>
      <c r="F125" s="381" t="s">
        <v>1085</v>
      </c>
      <c r="G125" s="381" t="s">
        <v>512</v>
      </c>
      <c r="H125" s="634">
        <v>152</v>
      </c>
      <c r="I125" s="634">
        <v>584</v>
      </c>
      <c r="J125" s="635">
        <v>1</v>
      </c>
    </row>
    <row r="126" spans="1:10" ht="12.75" customHeight="1" x14ac:dyDescent="0.25">
      <c r="A126" s="633"/>
      <c r="B126" s="381"/>
      <c r="C126" s="381" t="s">
        <v>313</v>
      </c>
      <c r="D126" s="381" t="s">
        <v>312</v>
      </c>
      <c r="E126" s="381" t="s">
        <v>553</v>
      </c>
      <c r="F126" s="381" t="s">
        <v>504</v>
      </c>
      <c r="G126" s="381" t="s">
        <v>510</v>
      </c>
      <c r="H126" s="634">
        <v>102</v>
      </c>
      <c r="I126" s="634">
        <v>502</v>
      </c>
      <c r="J126" s="635">
        <v>1</v>
      </c>
    </row>
    <row r="127" spans="1:10" ht="12.75" customHeight="1" x14ac:dyDescent="0.25">
      <c r="A127" s="633"/>
      <c r="B127" s="381"/>
      <c r="C127" s="381" t="s">
        <v>336</v>
      </c>
      <c r="D127" s="381" t="s">
        <v>335</v>
      </c>
      <c r="E127" s="381" t="s">
        <v>553</v>
      </c>
      <c r="F127" s="381" t="s">
        <v>459</v>
      </c>
      <c r="G127" s="381" t="s">
        <v>512</v>
      </c>
      <c r="H127" s="634">
        <v>149</v>
      </c>
      <c r="I127" s="634">
        <v>830</v>
      </c>
      <c r="J127" s="635">
        <v>1</v>
      </c>
    </row>
    <row r="128" spans="1:10" ht="12.75" customHeight="1" x14ac:dyDescent="0.25">
      <c r="A128" s="633"/>
      <c r="B128" s="381"/>
      <c r="C128" s="381" t="s">
        <v>812</v>
      </c>
      <c r="D128" s="381" t="s">
        <v>813</v>
      </c>
      <c r="E128" s="381" t="s">
        <v>985</v>
      </c>
      <c r="F128" s="381" t="s">
        <v>600</v>
      </c>
      <c r="G128" s="381" t="s">
        <v>512</v>
      </c>
      <c r="H128" s="634"/>
      <c r="I128" s="634">
        <v>1047</v>
      </c>
      <c r="J128" s="635">
        <v>1</v>
      </c>
    </row>
    <row r="129" spans="1:10" ht="12.75" customHeight="1" x14ac:dyDescent="0.25">
      <c r="A129" s="633"/>
      <c r="B129" s="381"/>
      <c r="C129" s="759" t="s">
        <v>320</v>
      </c>
      <c r="D129" s="381" t="s">
        <v>319</v>
      </c>
      <c r="E129" s="381" t="s">
        <v>553</v>
      </c>
      <c r="F129" s="381" t="s">
        <v>459</v>
      </c>
      <c r="G129" s="381" t="s">
        <v>510</v>
      </c>
      <c r="H129" s="634">
        <v>30</v>
      </c>
      <c r="I129" s="634">
        <v>261</v>
      </c>
      <c r="J129" s="635">
        <v>1</v>
      </c>
    </row>
    <row r="130" spans="1:10" ht="12.75" customHeight="1" x14ac:dyDescent="0.25">
      <c r="A130" s="633"/>
      <c r="B130" s="381"/>
      <c r="C130" s="759" t="s">
        <v>322</v>
      </c>
      <c r="D130" s="381" t="s">
        <v>321</v>
      </c>
      <c r="E130" s="381" t="s">
        <v>553</v>
      </c>
      <c r="F130" s="381" t="s">
        <v>1085</v>
      </c>
      <c r="G130" s="381" t="s">
        <v>512</v>
      </c>
      <c r="H130" s="634">
        <v>431</v>
      </c>
      <c r="I130" s="634">
        <v>1920</v>
      </c>
      <c r="J130" s="635">
        <v>1</v>
      </c>
    </row>
    <row r="131" spans="1:10" ht="12.75" customHeight="1" x14ac:dyDescent="0.25">
      <c r="A131" s="633"/>
      <c r="B131" s="381"/>
      <c r="C131" s="759" t="s">
        <v>328</v>
      </c>
      <c r="D131" s="381" t="s">
        <v>327</v>
      </c>
      <c r="E131" s="381" t="s">
        <v>553</v>
      </c>
      <c r="F131" s="381" t="s">
        <v>504</v>
      </c>
      <c r="G131" s="381" t="s">
        <v>510</v>
      </c>
      <c r="H131" s="634">
        <v>289</v>
      </c>
      <c r="I131" s="634">
        <v>1584</v>
      </c>
      <c r="J131" s="635">
        <v>1</v>
      </c>
    </row>
    <row r="132" spans="1:10" ht="12.75" customHeight="1" x14ac:dyDescent="0.25">
      <c r="A132" s="633"/>
      <c r="B132" s="381"/>
      <c r="C132" s="759" t="s">
        <v>330</v>
      </c>
      <c r="D132" s="381" t="s">
        <v>329</v>
      </c>
      <c r="E132" s="381" t="s">
        <v>553</v>
      </c>
      <c r="F132" s="381" t="s">
        <v>1085</v>
      </c>
      <c r="G132" s="381" t="s">
        <v>510</v>
      </c>
      <c r="H132" s="634">
        <v>282</v>
      </c>
      <c r="I132" s="634">
        <v>1466</v>
      </c>
      <c r="J132" s="635">
        <v>1</v>
      </c>
    </row>
    <row r="133" spans="1:10" ht="12.75" customHeight="1" x14ac:dyDescent="0.25">
      <c r="A133" s="633"/>
      <c r="B133" s="381"/>
      <c r="C133" s="759" t="s">
        <v>324</v>
      </c>
      <c r="D133" s="381" t="s">
        <v>323</v>
      </c>
      <c r="E133" s="381" t="s">
        <v>553</v>
      </c>
      <c r="F133" s="381" t="s">
        <v>459</v>
      </c>
      <c r="G133" s="381" t="s">
        <v>510</v>
      </c>
      <c r="H133" s="634">
        <v>498</v>
      </c>
      <c r="I133" s="634">
        <v>2531</v>
      </c>
      <c r="J133" s="635">
        <v>1</v>
      </c>
    </row>
    <row r="134" spans="1:10" ht="12.75" customHeight="1" x14ac:dyDescent="0.25">
      <c r="A134" s="633"/>
      <c r="B134" s="381"/>
      <c r="C134" s="759" t="s">
        <v>326</v>
      </c>
      <c r="D134" s="381" t="s">
        <v>325</v>
      </c>
      <c r="E134" s="381" t="s">
        <v>553</v>
      </c>
      <c r="F134" s="381" t="s">
        <v>459</v>
      </c>
      <c r="G134" s="381" t="s">
        <v>510</v>
      </c>
      <c r="H134" s="634">
        <v>45</v>
      </c>
      <c r="I134" s="634">
        <v>190</v>
      </c>
      <c r="J134" s="635">
        <v>1</v>
      </c>
    </row>
    <row r="135" spans="1:10" ht="12.75" customHeight="1" x14ac:dyDescent="0.25">
      <c r="A135" s="633"/>
      <c r="B135" s="381"/>
      <c r="C135" s="759" t="s">
        <v>344</v>
      </c>
      <c r="D135" s="381" t="s">
        <v>343</v>
      </c>
      <c r="E135" s="381" t="s">
        <v>553</v>
      </c>
      <c r="F135" s="381" t="s">
        <v>504</v>
      </c>
      <c r="G135" s="381" t="s">
        <v>510</v>
      </c>
      <c r="H135" s="634">
        <v>20</v>
      </c>
      <c r="I135" s="634">
        <v>86</v>
      </c>
      <c r="J135" s="635">
        <v>1</v>
      </c>
    </row>
    <row r="136" spans="1:10" ht="12.75" customHeight="1" x14ac:dyDescent="0.25">
      <c r="A136" s="633"/>
      <c r="B136" s="381"/>
      <c r="C136" s="759" t="s">
        <v>355</v>
      </c>
      <c r="D136" s="381" t="s">
        <v>354</v>
      </c>
      <c r="E136" s="381" t="s">
        <v>553</v>
      </c>
      <c r="F136" s="381" t="s">
        <v>1085</v>
      </c>
      <c r="G136" s="381" t="s">
        <v>512</v>
      </c>
      <c r="H136" s="634">
        <v>100</v>
      </c>
      <c r="I136" s="634">
        <v>612</v>
      </c>
      <c r="J136" s="635">
        <v>1</v>
      </c>
    </row>
    <row r="137" spans="1:10" ht="12.75" customHeight="1" x14ac:dyDescent="0.25">
      <c r="A137" s="633"/>
      <c r="B137" s="381"/>
      <c r="C137" s="759" t="s">
        <v>318</v>
      </c>
      <c r="D137" s="381" t="s">
        <v>317</v>
      </c>
      <c r="E137" s="381" t="s">
        <v>553</v>
      </c>
      <c r="F137" s="381" t="s">
        <v>504</v>
      </c>
      <c r="G137" s="381" t="s">
        <v>510</v>
      </c>
      <c r="H137" s="634">
        <v>111</v>
      </c>
      <c r="I137" s="634">
        <v>445</v>
      </c>
      <c r="J137" s="635">
        <v>1</v>
      </c>
    </row>
    <row r="138" spans="1:10" ht="12.75" customHeight="1" x14ac:dyDescent="0.25">
      <c r="A138" s="633"/>
      <c r="B138" s="381"/>
      <c r="C138" s="759" t="s">
        <v>342</v>
      </c>
      <c r="D138" s="381" t="s">
        <v>341</v>
      </c>
      <c r="E138" s="381" t="s">
        <v>553</v>
      </c>
      <c r="F138" s="381" t="s">
        <v>459</v>
      </c>
      <c r="G138" s="381" t="s">
        <v>510</v>
      </c>
      <c r="H138" s="634">
        <v>65</v>
      </c>
      <c r="I138" s="634">
        <v>323</v>
      </c>
      <c r="J138" s="635">
        <v>1</v>
      </c>
    </row>
    <row r="139" spans="1:10" ht="12.75" customHeight="1" x14ac:dyDescent="0.25">
      <c r="A139" s="633"/>
      <c r="B139" s="381"/>
      <c r="C139" s="759" t="s">
        <v>338</v>
      </c>
      <c r="D139" s="381" t="s">
        <v>337</v>
      </c>
      <c r="E139" s="381" t="s">
        <v>553</v>
      </c>
      <c r="F139" s="381" t="s">
        <v>504</v>
      </c>
      <c r="G139" s="381" t="s">
        <v>510</v>
      </c>
      <c r="H139" s="634">
        <v>31</v>
      </c>
      <c r="I139" s="634">
        <v>171</v>
      </c>
      <c r="J139" s="635">
        <v>1</v>
      </c>
    </row>
    <row r="140" spans="1:10" ht="12.75" customHeight="1" x14ac:dyDescent="0.25">
      <c r="A140" s="633"/>
      <c r="B140" s="381"/>
      <c r="C140" s="759" t="s">
        <v>351</v>
      </c>
      <c r="D140" s="381" t="s">
        <v>350</v>
      </c>
      <c r="E140" s="381" t="s">
        <v>553</v>
      </c>
      <c r="F140" s="381" t="s">
        <v>504</v>
      </c>
      <c r="G140" s="381" t="s">
        <v>510</v>
      </c>
      <c r="H140" s="634">
        <v>92</v>
      </c>
      <c r="I140" s="634">
        <v>493</v>
      </c>
      <c r="J140" s="635">
        <v>1</v>
      </c>
    </row>
    <row r="141" spans="1:10" ht="12.75" customHeight="1" x14ac:dyDescent="0.25">
      <c r="A141" s="633"/>
      <c r="B141" s="381"/>
      <c r="C141" s="759" t="s">
        <v>347</v>
      </c>
      <c r="D141" s="381" t="s">
        <v>346</v>
      </c>
      <c r="E141" s="381" t="s">
        <v>553</v>
      </c>
      <c r="F141" s="381" t="s">
        <v>459</v>
      </c>
      <c r="G141" s="381" t="s">
        <v>510</v>
      </c>
      <c r="H141" s="634">
        <v>184</v>
      </c>
      <c r="I141" s="634">
        <v>966</v>
      </c>
      <c r="J141" s="635">
        <v>1</v>
      </c>
    </row>
    <row r="142" spans="1:10" ht="12.75" customHeight="1" x14ac:dyDescent="0.25">
      <c r="A142" s="633"/>
      <c r="B142" s="381"/>
      <c r="C142" s="759" t="s">
        <v>349</v>
      </c>
      <c r="D142" s="381" t="s">
        <v>348</v>
      </c>
      <c r="E142" s="381" t="s">
        <v>553</v>
      </c>
      <c r="F142" s="381" t="s">
        <v>504</v>
      </c>
      <c r="G142" s="381" t="s">
        <v>510</v>
      </c>
      <c r="H142" s="634">
        <v>46</v>
      </c>
      <c r="I142" s="634">
        <v>190</v>
      </c>
      <c r="J142" s="635">
        <v>1</v>
      </c>
    </row>
    <row r="143" spans="1:10" ht="12.75" customHeight="1" x14ac:dyDescent="0.25">
      <c r="A143" s="633"/>
      <c r="B143" s="381"/>
      <c r="C143" s="759" t="s">
        <v>316</v>
      </c>
      <c r="D143" s="381" t="s">
        <v>315</v>
      </c>
      <c r="E143" s="381" t="s">
        <v>553</v>
      </c>
      <c r="F143" s="381" t="s">
        <v>504</v>
      </c>
      <c r="G143" s="381" t="s">
        <v>510</v>
      </c>
      <c r="H143" s="634">
        <v>65</v>
      </c>
      <c r="I143" s="634">
        <v>275</v>
      </c>
      <c r="J143" s="635">
        <v>1</v>
      </c>
    </row>
    <row r="144" spans="1:10" ht="12.75" customHeight="1" x14ac:dyDescent="0.25">
      <c r="A144" s="633"/>
      <c r="B144" s="381"/>
      <c r="C144" s="381" t="s">
        <v>353</v>
      </c>
      <c r="D144" s="381" t="s">
        <v>352</v>
      </c>
      <c r="E144" s="381" t="s">
        <v>553</v>
      </c>
      <c r="F144" s="381" t="s">
        <v>1085</v>
      </c>
      <c r="G144" s="381" t="s">
        <v>512</v>
      </c>
      <c r="H144" s="634">
        <v>1396</v>
      </c>
      <c r="I144" s="634">
        <v>6821</v>
      </c>
      <c r="J144" s="635">
        <v>1</v>
      </c>
    </row>
    <row r="145" spans="1:10" ht="12.75" customHeight="1" x14ac:dyDescent="0.25">
      <c r="A145" s="633"/>
      <c r="B145" s="381"/>
      <c r="C145" s="381" t="s">
        <v>1231</v>
      </c>
      <c r="D145" s="381" t="s">
        <v>345</v>
      </c>
      <c r="E145" s="381" t="s">
        <v>553</v>
      </c>
      <c r="F145" s="381" t="s">
        <v>459</v>
      </c>
      <c r="G145" s="381" t="s">
        <v>512</v>
      </c>
      <c r="H145" s="634">
        <v>186</v>
      </c>
      <c r="I145" s="634">
        <v>585</v>
      </c>
      <c r="J145" s="635">
        <v>1</v>
      </c>
    </row>
    <row r="146" spans="1:10" ht="12.75" customHeight="1" x14ac:dyDescent="0.25">
      <c r="A146" s="633"/>
      <c r="B146" s="381"/>
      <c r="C146" s="381" t="s">
        <v>1556</v>
      </c>
      <c r="D146" s="381" t="s">
        <v>1547</v>
      </c>
      <c r="E146" s="381" t="s">
        <v>553</v>
      </c>
      <c r="F146" s="381" t="s">
        <v>600</v>
      </c>
      <c r="G146" s="381" t="s">
        <v>510</v>
      </c>
      <c r="H146" s="634">
        <v>62</v>
      </c>
      <c r="I146" s="634">
        <v>410</v>
      </c>
      <c r="J146" s="635">
        <v>1</v>
      </c>
    </row>
    <row r="147" spans="1:10" ht="12.75" customHeight="1" x14ac:dyDescent="0.25">
      <c r="A147" s="633"/>
      <c r="B147" s="381"/>
      <c r="C147" s="381" t="s">
        <v>1568</v>
      </c>
      <c r="D147" s="381" t="s">
        <v>1565</v>
      </c>
      <c r="E147" s="381" t="s">
        <v>553</v>
      </c>
      <c r="F147" s="381" t="s">
        <v>459</v>
      </c>
      <c r="G147" s="381" t="s">
        <v>512</v>
      </c>
      <c r="H147" s="634">
        <v>402</v>
      </c>
      <c r="I147" s="634">
        <v>1816</v>
      </c>
      <c r="J147" s="635">
        <v>1</v>
      </c>
    </row>
    <row r="148" spans="1:10" ht="12.75" customHeight="1" x14ac:dyDescent="0.25">
      <c r="A148" s="633"/>
      <c r="B148" s="381" t="s">
        <v>1113</v>
      </c>
      <c r="C148" s="381"/>
      <c r="D148" s="381"/>
      <c r="E148" s="381"/>
      <c r="F148" s="381"/>
      <c r="G148" s="381"/>
      <c r="H148" s="634">
        <v>4738</v>
      </c>
      <c r="I148" s="634">
        <v>24108</v>
      </c>
      <c r="J148" s="635">
        <v>23</v>
      </c>
    </row>
    <row r="149" spans="1:10" ht="12.75" customHeight="1" x14ac:dyDescent="0.25">
      <c r="A149" s="633" t="s">
        <v>850</v>
      </c>
      <c r="B149" s="381"/>
      <c r="C149" s="381"/>
      <c r="D149" s="381"/>
      <c r="E149" s="381"/>
      <c r="F149" s="381"/>
      <c r="G149" s="381"/>
      <c r="H149" s="634">
        <v>17232</v>
      </c>
      <c r="I149" s="634">
        <v>87542</v>
      </c>
      <c r="J149" s="635">
        <v>129</v>
      </c>
    </row>
    <row r="150" spans="1:10" ht="12.75" customHeight="1" x14ac:dyDescent="0.25">
      <c r="A150" s="633" t="s">
        <v>552</v>
      </c>
      <c r="B150" s="381" t="s">
        <v>778</v>
      </c>
      <c r="C150" s="381" t="s">
        <v>593</v>
      </c>
      <c r="D150" s="381" t="s">
        <v>837</v>
      </c>
      <c r="E150" s="381" t="s">
        <v>12</v>
      </c>
      <c r="F150" s="381" t="s">
        <v>600</v>
      </c>
      <c r="G150" s="381" t="s">
        <v>512</v>
      </c>
      <c r="H150" s="634">
        <v>67</v>
      </c>
      <c r="I150" s="634">
        <v>392</v>
      </c>
      <c r="J150" s="635">
        <v>1</v>
      </c>
    </row>
    <row r="151" spans="1:10" ht="12.75" customHeight="1" x14ac:dyDescent="0.25">
      <c r="A151" s="633"/>
      <c r="B151" s="381"/>
      <c r="C151" s="381" t="s">
        <v>1262</v>
      </c>
      <c r="D151" s="381" t="s">
        <v>1246</v>
      </c>
      <c r="E151" s="381" t="s">
        <v>553</v>
      </c>
      <c r="F151" s="381" t="s">
        <v>459</v>
      </c>
      <c r="G151" s="381" t="s">
        <v>510</v>
      </c>
      <c r="H151" s="634">
        <v>34</v>
      </c>
      <c r="I151" s="634">
        <v>185</v>
      </c>
      <c r="J151" s="635">
        <v>1</v>
      </c>
    </row>
    <row r="152" spans="1:10" ht="12.75" customHeight="1" x14ac:dyDescent="0.25">
      <c r="A152" s="633"/>
      <c r="B152" s="381" t="s">
        <v>1330</v>
      </c>
      <c r="C152" s="381"/>
      <c r="D152" s="381"/>
      <c r="E152" s="381"/>
      <c r="F152" s="381"/>
      <c r="G152" s="381"/>
      <c r="H152" s="634">
        <v>101</v>
      </c>
      <c r="I152" s="634">
        <v>577</v>
      </c>
      <c r="J152" s="635">
        <v>2</v>
      </c>
    </row>
    <row r="153" spans="1:10" ht="12.75" customHeight="1" x14ac:dyDescent="0.25">
      <c r="A153" s="633"/>
      <c r="B153" s="381" t="s">
        <v>146</v>
      </c>
      <c r="C153" s="381" t="s">
        <v>369</v>
      </c>
      <c r="D153" s="381" t="s">
        <v>383</v>
      </c>
      <c r="E153" s="381" t="s">
        <v>553</v>
      </c>
      <c r="F153" s="381" t="s">
        <v>459</v>
      </c>
      <c r="G153" s="381" t="s">
        <v>510</v>
      </c>
      <c r="H153" s="634">
        <v>57</v>
      </c>
      <c r="I153" s="634">
        <v>280</v>
      </c>
      <c r="J153" s="635">
        <v>1</v>
      </c>
    </row>
    <row r="154" spans="1:10" ht="12.75" customHeight="1" x14ac:dyDescent="0.25">
      <c r="A154" s="633"/>
      <c r="B154" s="381"/>
      <c r="C154" s="381" t="s">
        <v>370</v>
      </c>
      <c r="D154" s="381" t="s">
        <v>384</v>
      </c>
      <c r="E154" s="381" t="s">
        <v>553</v>
      </c>
      <c r="F154" s="381" t="s">
        <v>1250</v>
      </c>
      <c r="G154" s="381" t="s">
        <v>510</v>
      </c>
      <c r="H154" s="634">
        <v>30</v>
      </c>
      <c r="I154" s="634">
        <v>145</v>
      </c>
      <c r="J154" s="635">
        <v>1</v>
      </c>
    </row>
    <row r="155" spans="1:10" ht="12.75" customHeight="1" x14ac:dyDescent="0.25">
      <c r="A155" s="633"/>
      <c r="B155" s="381"/>
      <c r="C155" s="381" t="s">
        <v>368</v>
      </c>
      <c r="D155" s="381" t="s">
        <v>385</v>
      </c>
      <c r="E155" s="381" t="s">
        <v>553</v>
      </c>
      <c r="F155" s="381" t="s">
        <v>459</v>
      </c>
      <c r="G155" s="381" t="s">
        <v>510</v>
      </c>
      <c r="H155" s="634">
        <v>68</v>
      </c>
      <c r="I155" s="634">
        <v>305</v>
      </c>
      <c r="J155" s="635">
        <v>1</v>
      </c>
    </row>
    <row r="156" spans="1:10" ht="12.75" customHeight="1" x14ac:dyDescent="0.25">
      <c r="A156" s="633"/>
      <c r="B156" s="381"/>
      <c r="C156" s="381" t="s">
        <v>371</v>
      </c>
      <c r="D156" s="381" t="s">
        <v>147</v>
      </c>
      <c r="E156" s="381" t="s">
        <v>553</v>
      </c>
      <c r="F156" s="381" t="s">
        <v>459</v>
      </c>
      <c r="G156" s="381" t="s">
        <v>510</v>
      </c>
      <c r="H156" s="634">
        <v>46</v>
      </c>
      <c r="I156" s="634">
        <v>252</v>
      </c>
      <c r="J156" s="635">
        <v>1</v>
      </c>
    </row>
    <row r="157" spans="1:10" ht="12.75" customHeight="1" x14ac:dyDescent="0.25">
      <c r="A157" s="633"/>
      <c r="B157" s="381"/>
      <c r="C157" s="381" t="s">
        <v>149</v>
      </c>
      <c r="D157" s="381" t="s">
        <v>148</v>
      </c>
      <c r="E157" s="381" t="s">
        <v>553</v>
      </c>
      <c r="F157" s="381" t="s">
        <v>459</v>
      </c>
      <c r="G157" s="381" t="s">
        <v>510</v>
      </c>
      <c r="H157" s="634">
        <v>63</v>
      </c>
      <c r="I157" s="634">
        <v>279</v>
      </c>
      <c r="J157" s="635">
        <v>1</v>
      </c>
    </row>
    <row r="158" spans="1:10" ht="12.75" customHeight="1" x14ac:dyDescent="0.25">
      <c r="A158" s="633"/>
      <c r="B158" s="381"/>
      <c r="C158" s="381" t="s">
        <v>373</v>
      </c>
      <c r="D158" s="381" t="s">
        <v>387</v>
      </c>
      <c r="E158" s="381" t="s">
        <v>553</v>
      </c>
      <c r="F158" s="381" t="s">
        <v>459</v>
      </c>
      <c r="G158" s="381" t="s">
        <v>510</v>
      </c>
      <c r="H158" s="634">
        <v>186</v>
      </c>
      <c r="I158" s="634">
        <v>951</v>
      </c>
      <c r="J158" s="635">
        <v>1</v>
      </c>
    </row>
    <row r="159" spans="1:10" ht="12.75" customHeight="1" x14ac:dyDescent="0.25">
      <c r="A159" s="633"/>
      <c r="B159" s="381"/>
      <c r="C159" s="381" t="s">
        <v>1097</v>
      </c>
      <c r="D159" s="381" t="s">
        <v>1096</v>
      </c>
      <c r="E159" s="381" t="s">
        <v>553</v>
      </c>
      <c r="F159" s="381" t="s">
        <v>1250</v>
      </c>
      <c r="G159" s="381" t="s">
        <v>510</v>
      </c>
      <c r="H159" s="634">
        <v>22</v>
      </c>
      <c r="I159" s="634">
        <v>105</v>
      </c>
      <c r="J159" s="635">
        <v>1</v>
      </c>
    </row>
    <row r="160" spans="1:10" ht="12.75" customHeight="1" x14ac:dyDescent="0.25">
      <c r="A160" s="633"/>
      <c r="B160" s="381"/>
      <c r="C160" s="381" t="s">
        <v>1302</v>
      </c>
      <c r="D160" s="381" t="s">
        <v>1303</v>
      </c>
      <c r="E160" s="381" t="s">
        <v>553</v>
      </c>
      <c r="F160" s="381" t="s">
        <v>600</v>
      </c>
      <c r="G160" s="381" t="s">
        <v>510</v>
      </c>
      <c r="H160" s="634">
        <v>105</v>
      </c>
      <c r="I160" s="634">
        <v>568</v>
      </c>
      <c r="J160" s="635">
        <v>1</v>
      </c>
    </row>
    <row r="161" spans="1:10" ht="12.75" customHeight="1" x14ac:dyDescent="0.25">
      <c r="A161" s="633"/>
      <c r="B161" s="381"/>
      <c r="C161" s="381" t="s">
        <v>1387</v>
      </c>
      <c r="D161" s="381" t="s">
        <v>1379</v>
      </c>
      <c r="E161" s="381" t="s">
        <v>553</v>
      </c>
      <c r="F161" s="381" t="s">
        <v>459</v>
      </c>
      <c r="G161" s="381" t="s">
        <v>510</v>
      </c>
      <c r="H161" s="634">
        <v>146</v>
      </c>
      <c r="I161" s="634">
        <v>678</v>
      </c>
      <c r="J161" s="635">
        <v>1</v>
      </c>
    </row>
    <row r="162" spans="1:10" ht="12.75" customHeight="1" x14ac:dyDescent="0.25">
      <c r="A162" s="633"/>
      <c r="B162" s="381"/>
      <c r="C162" s="381" t="s">
        <v>1390</v>
      </c>
      <c r="D162" s="381" t="s">
        <v>1384</v>
      </c>
      <c r="E162" s="381" t="s">
        <v>553</v>
      </c>
      <c r="F162" s="381" t="s">
        <v>600</v>
      </c>
      <c r="G162" s="381" t="s">
        <v>510</v>
      </c>
      <c r="H162" s="634">
        <v>37</v>
      </c>
      <c r="I162" s="634">
        <v>130</v>
      </c>
      <c r="J162" s="635">
        <v>1</v>
      </c>
    </row>
    <row r="163" spans="1:10" ht="12.75" customHeight="1" x14ac:dyDescent="0.25">
      <c r="A163" s="633"/>
      <c r="B163" s="381"/>
      <c r="C163" s="381" t="s">
        <v>1406</v>
      </c>
      <c r="D163" s="381" t="s">
        <v>1386</v>
      </c>
      <c r="E163" s="381" t="s">
        <v>553</v>
      </c>
      <c r="F163" s="381" t="s">
        <v>600</v>
      </c>
      <c r="G163" s="381" t="s">
        <v>510</v>
      </c>
      <c r="H163" s="634">
        <v>30</v>
      </c>
      <c r="I163" s="634">
        <v>170</v>
      </c>
      <c r="J163" s="635">
        <v>1</v>
      </c>
    </row>
    <row r="164" spans="1:10" ht="12.75" customHeight="1" x14ac:dyDescent="0.25">
      <c r="A164" s="633"/>
      <c r="B164" s="381"/>
      <c r="C164" s="381" t="s">
        <v>1518</v>
      </c>
      <c r="D164" s="381" t="s">
        <v>1517</v>
      </c>
      <c r="E164" s="381" t="s">
        <v>553</v>
      </c>
      <c r="F164" s="381" t="s">
        <v>600</v>
      </c>
      <c r="G164" s="381" t="s">
        <v>510</v>
      </c>
      <c r="H164" s="634">
        <v>40</v>
      </c>
      <c r="I164" s="634">
        <v>195</v>
      </c>
      <c r="J164" s="635">
        <v>1</v>
      </c>
    </row>
    <row r="165" spans="1:10" ht="12.75" customHeight="1" x14ac:dyDescent="0.25">
      <c r="A165" s="633"/>
      <c r="B165" s="381"/>
      <c r="C165" s="381" t="s">
        <v>1532</v>
      </c>
      <c r="D165" s="381" t="s">
        <v>1533</v>
      </c>
      <c r="E165" s="381" t="s">
        <v>553</v>
      </c>
      <c r="F165" s="381" t="s">
        <v>600</v>
      </c>
      <c r="G165" s="381" t="s">
        <v>510</v>
      </c>
      <c r="H165" s="634">
        <v>24</v>
      </c>
      <c r="I165" s="634">
        <v>84</v>
      </c>
      <c r="J165" s="635">
        <v>1</v>
      </c>
    </row>
    <row r="166" spans="1:10" ht="12.75" customHeight="1" x14ac:dyDescent="0.25">
      <c r="A166" s="633"/>
      <c r="B166" s="381" t="s">
        <v>1164</v>
      </c>
      <c r="C166" s="381"/>
      <c r="D166" s="381"/>
      <c r="E166" s="381"/>
      <c r="F166" s="381"/>
      <c r="G166" s="381"/>
      <c r="H166" s="634">
        <v>854</v>
      </c>
      <c r="I166" s="634">
        <v>4142</v>
      </c>
      <c r="J166" s="635">
        <v>13</v>
      </c>
    </row>
    <row r="167" spans="1:10" ht="12.75" customHeight="1" x14ac:dyDescent="0.25">
      <c r="A167" s="633"/>
      <c r="B167" s="381" t="s">
        <v>166</v>
      </c>
      <c r="C167" s="381" t="s">
        <v>167</v>
      </c>
      <c r="D167" s="381" t="s">
        <v>165</v>
      </c>
      <c r="E167" s="381" t="s">
        <v>553</v>
      </c>
      <c r="F167" s="381" t="s">
        <v>459</v>
      </c>
      <c r="G167" s="381" t="s">
        <v>510</v>
      </c>
      <c r="H167" s="634">
        <v>35</v>
      </c>
      <c r="I167" s="634">
        <v>178</v>
      </c>
      <c r="J167" s="635">
        <v>1</v>
      </c>
    </row>
    <row r="168" spans="1:10" ht="12.75" customHeight="1" x14ac:dyDescent="0.25">
      <c r="A168" s="633"/>
      <c r="B168" s="381"/>
      <c r="C168" s="381" t="s">
        <v>821</v>
      </c>
      <c r="D168" s="381" t="s">
        <v>822</v>
      </c>
      <c r="E168" s="381" t="s">
        <v>553</v>
      </c>
      <c r="F168" s="381" t="s">
        <v>1250</v>
      </c>
      <c r="G168" s="381" t="s">
        <v>510</v>
      </c>
      <c r="H168" s="634">
        <v>29</v>
      </c>
      <c r="I168" s="634">
        <v>178</v>
      </c>
      <c r="J168" s="635">
        <v>1</v>
      </c>
    </row>
    <row r="169" spans="1:10" ht="12.75" customHeight="1" x14ac:dyDescent="0.25">
      <c r="A169" s="633"/>
      <c r="B169" s="381"/>
      <c r="C169" s="381" t="s">
        <v>1400</v>
      </c>
      <c r="D169" s="381" t="s">
        <v>1381</v>
      </c>
      <c r="E169" s="381" t="s">
        <v>553</v>
      </c>
      <c r="F169" s="381" t="s">
        <v>600</v>
      </c>
      <c r="G169" s="381" t="s">
        <v>510</v>
      </c>
      <c r="H169" s="634">
        <v>36</v>
      </c>
      <c r="I169" s="634">
        <v>188</v>
      </c>
      <c r="J169" s="635">
        <v>1</v>
      </c>
    </row>
    <row r="170" spans="1:10" ht="12.75" customHeight="1" x14ac:dyDescent="0.25">
      <c r="A170" s="633"/>
      <c r="B170" s="381" t="s">
        <v>1331</v>
      </c>
      <c r="C170" s="381"/>
      <c r="D170" s="381"/>
      <c r="E170" s="381"/>
      <c r="F170" s="381"/>
      <c r="G170" s="381"/>
      <c r="H170" s="634">
        <v>100</v>
      </c>
      <c r="I170" s="634">
        <v>544</v>
      </c>
      <c r="J170" s="635">
        <v>3</v>
      </c>
    </row>
    <row r="171" spans="1:10" ht="12.75" customHeight="1" x14ac:dyDescent="0.25">
      <c r="A171" s="633"/>
      <c r="B171" s="381" t="s">
        <v>230</v>
      </c>
      <c r="C171" s="381" t="s">
        <v>231</v>
      </c>
      <c r="D171" s="381" t="s">
        <v>388</v>
      </c>
      <c r="E171" s="381" t="s">
        <v>12</v>
      </c>
      <c r="F171" s="381" t="s">
        <v>600</v>
      </c>
      <c r="G171" s="381" t="s">
        <v>510</v>
      </c>
      <c r="H171" s="634">
        <v>32</v>
      </c>
      <c r="I171" s="634">
        <v>187</v>
      </c>
      <c r="J171" s="635">
        <v>1</v>
      </c>
    </row>
    <row r="172" spans="1:10" ht="12.75" customHeight="1" x14ac:dyDescent="0.25">
      <c r="A172" s="633"/>
      <c r="B172" s="381"/>
      <c r="C172" s="381" t="s">
        <v>361</v>
      </c>
      <c r="D172" s="381" t="s">
        <v>836</v>
      </c>
      <c r="E172" s="381" t="s">
        <v>553</v>
      </c>
      <c r="F172" s="381" t="s">
        <v>600</v>
      </c>
      <c r="G172" s="381" t="s">
        <v>512</v>
      </c>
      <c r="H172" s="634">
        <v>9</v>
      </c>
      <c r="I172" s="634">
        <v>44</v>
      </c>
      <c r="J172" s="635">
        <v>1</v>
      </c>
    </row>
    <row r="173" spans="1:10" ht="12.75" customHeight="1" x14ac:dyDescent="0.25">
      <c r="A173" s="633"/>
      <c r="B173" s="381"/>
      <c r="C173" s="381" t="s">
        <v>1049</v>
      </c>
      <c r="D173" s="381" t="s">
        <v>1050</v>
      </c>
      <c r="E173" s="381" t="s">
        <v>553</v>
      </c>
      <c r="F173" s="381" t="s">
        <v>459</v>
      </c>
      <c r="G173" s="381" t="s">
        <v>510</v>
      </c>
      <c r="H173" s="634">
        <v>44</v>
      </c>
      <c r="I173" s="634">
        <v>214</v>
      </c>
      <c r="J173" s="635">
        <v>1</v>
      </c>
    </row>
    <row r="174" spans="1:10" ht="12.75" customHeight="1" x14ac:dyDescent="0.25">
      <c r="A174" s="633"/>
      <c r="B174" s="381"/>
      <c r="C174" s="381" t="s">
        <v>1059</v>
      </c>
      <c r="D174" s="381" t="s">
        <v>1060</v>
      </c>
      <c r="E174" s="381" t="s">
        <v>553</v>
      </c>
      <c r="F174" s="381" t="s">
        <v>1250</v>
      </c>
      <c r="G174" s="381" t="s">
        <v>510</v>
      </c>
      <c r="H174" s="634">
        <v>25</v>
      </c>
      <c r="I174" s="634">
        <v>113</v>
      </c>
      <c r="J174" s="635">
        <v>1</v>
      </c>
    </row>
    <row r="175" spans="1:10" ht="12.75" customHeight="1" x14ac:dyDescent="0.25">
      <c r="A175" s="633"/>
      <c r="B175" s="381"/>
      <c r="C175" s="381" t="s">
        <v>775</v>
      </c>
      <c r="D175" s="381" t="s">
        <v>1537</v>
      </c>
      <c r="E175" s="381" t="s">
        <v>553</v>
      </c>
      <c r="F175" s="381" t="s">
        <v>600</v>
      </c>
      <c r="G175" s="381" t="s">
        <v>510</v>
      </c>
      <c r="H175" s="634">
        <v>208</v>
      </c>
      <c r="I175" s="634">
        <v>952</v>
      </c>
      <c r="J175" s="635">
        <v>1</v>
      </c>
    </row>
    <row r="176" spans="1:10" ht="12.75" customHeight="1" x14ac:dyDescent="0.25">
      <c r="A176" s="633"/>
      <c r="B176" s="381" t="s">
        <v>1165</v>
      </c>
      <c r="C176" s="381"/>
      <c r="D176" s="381"/>
      <c r="E176" s="381"/>
      <c r="F176" s="381"/>
      <c r="G176" s="381"/>
      <c r="H176" s="634">
        <v>318</v>
      </c>
      <c r="I176" s="634">
        <v>1510</v>
      </c>
      <c r="J176" s="635">
        <v>5</v>
      </c>
    </row>
    <row r="177" spans="1:10" ht="12.75" customHeight="1" x14ac:dyDescent="0.25">
      <c r="A177" s="633"/>
      <c r="B177" s="381" t="s">
        <v>289</v>
      </c>
      <c r="C177" s="381" t="s">
        <v>292</v>
      </c>
      <c r="D177" s="381" t="s">
        <v>291</v>
      </c>
      <c r="E177" s="381" t="s">
        <v>553</v>
      </c>
      <c r="F177" s="381" t="s">
        <v>459</v>
      </c>
      <c r="G177" s="381" t="s">
        <v>510</v>
      </c>
      <c r="H177" s="634">
        <v>74</v>
      </c>
      <c r="I177" s="634">
        <v>387</v>
      </c>
      <c r="J177" s="635">
        <v>1</v>
      </c>
    </row>
    <row r="178" spans="1:10" ht="12.75" customHeight="1" x14ac:dyDescent="0.25">
      <c r="A178" s="633"/>
      <c r="B178" s="381"/>
      <c r="C178" s="381" t="s">
        <v>290</v>
      </c>
      <c r="D178" s="381" t="s">
        <v>288</v>
      </c>
      <c r="E178" s="381" t="s">
        <v>553</v>
      </c>
      <c r="F178" s="381" t="s">
        <v>459</v>
      </c>
      <c r="G178" s="381" t="s">
        <v>510</v>
      </c>
      <c r="H178" s="634">
        <v>67</v>
      </c>
      <c r="I178" s="634">
        <v>357</v>
      </c>
      <c r="J178" s="635">
        <v>1</v>
      </c>
    </row>
    <row r="179" spans="1:10" ht="12.75" customHeight="1" x14ac:dyDescent="0.25">
      <c r="A179" s="633"/>
      <c r="B179" s="381"/>
      <c r="C179" s="381" t="s">
        <v>374</v>
      </c>
      <c r="D179" s="381" t="s">
        <v>295</v>
      </c>
      <c r="E179" s="381" t="s">
        <v>553</v>
      </c>
      <c r="F179" s="381" t="s">
        <v>1250</v>
      </c>
      <c r="G179" s="381" t="s">
        <v>510</v>
      </c>
      <c r="H179" s="634">
        <v>44</v>
      </c>
      <c r="I179" s="634">
        <v>214</v>
      </c>
      <c r="J179" s="635">
        <v>1</v>
      </c>
    </row>
    <row r="180" spans="1:10" ht="12.75" customHeight="1" x14ac:dyDescent="0.25">
      <c r="A180" s="633"/>
      <c r="B180" s="381"/>
      <c r="C180" s="381" t="s">
        <v>1051</v>
      </c>
      <c r="D180" s="381" t="s">
        <v>1052</v>
      </c>
      <c r="E180" s="381" t="s">
        <v>553</v>
      </c>
      <c r="F180" s="381" t="s">
        <v>459</v>
      </c>
      <c r="G180" s="381" t="s">
        <v>510</v>
      </c>
      <c r="H180" s="634">
        <v>36</v>
      </c>
      <c r="I180" s="634">
        <v>179</v>
      </c>
      <c r="J180" s="635">
        <v>1</v>
      </c>
    </row>
    <row r="181" spans="1:10" ht="12.75" customHeight="1" x14ac:dyDescent="0.25">
      <c r="A181" s="633"/>
      <c r="B181" s="381"/>
      <c r="C181" s="381" t="s">
        <v>1063</v>
      </c>
      <c r="D181" s="381" t="s">
        <v>1056</v>
      </c>
      <c r="E181" s="381" t="s">
        <v>553</v>
      </c>
      <c r="F181" s="381" t="s">
        <v>459</v>
      </c>
      <c r="G181" s="381" t="s">
        <v>510</v>
      </c>
      <c r="H181" s="634">
        <v>120</v>
      </c>
      <c r="I181" s="634">
        <v>563</v>
      </c>
      <c r="J181" s="635">
        <v>1</v>
      </c>
    </row>
    <row r="182" spans="1:10" ht="12.75" customHeight="1" x14ac:dyDescent="0.25">
      <c r="A182" s="633"/>
      <c r="B182" s="381"/>
      <c r="C182" s="381" t="s">
        <v>1389</v>
      </c>
      <c r="D182" s="381" t="s">
        <v>1383</v>
      </c>
      <c r="E182" s="381" t="s">
        <v>553</v>
      </c>
      <c r="F182" s="381" t="s">
        <v>600</v>
      </c>
      <c r="G182" s="381" t="s">
        <v>510</v>
      </c>
      <c r="H182" s="634">
        <v>61</v>
      </c>
      <c r="I182" s="634">
        <v>276</v>
      </c>
      <c r="J182" s="635">
        <v>1</v>
      </c>
    </row>
    <row r="183" spans="1:10" ht="12.75" customHeight="1" x14ac:dyDescent="0.25">
      <c r="A183" s="633"/>
      <c r="B183" s="381" t="s">
        <v>1166</v>
      </c>
      <c r="C183" s="381"/>
      <c r="D183" s="381"/>
      <c r="E183" s="381"/>
      <c r="F183" s="381"/>
      <c r="G183" s="381"/>
      <c r="H183" s="634">
        <v>402</v>
      </c>
      <c r="I183" s="634">
        <v>1976</v>
      </c>
      <c r="J183" s="635">
        <v>6</v>
      </c>
    </row>
    <row r="184" spans="1:10" ht="12.75" customHeight="1" x14ac:dyDescent="0.25">
      <c r="A184" s="633"/>
      <c r="B184" s="381" t="s">
        <v>298</v>
      </c>
      <c r="C184" s="381" t="s">
        <v>820</v>
      </c>
      <c r="D184" s="381" t="s">
        <v>297</v>
      </c>
      <c r="E184" s="381" t="s">
        <v>553</v>
      </c>
      <c r="F184" s="381" t="s">
        <v>459</v>
      </c>
      <c r="G184" s="381" t="s">
        <v>510</v>
      </c>
      <c r="H184" s="634">
        <v>44</v>
      </c>
      <c r="I184" s="634">
        <v>186</v>
      </c>
      <c r="J184" s="635">
        <v>1</v>
      </c>
    </row>
    <row r="185" spans="1:10" ht="12.75" customHeight="1" x14ac:dyDescent="0.25">
      <c r="A185" s="633"/>
      <c r="B185" s="381"/>
      <c r="C185" s="381" t="s">
        <v>592</v>
      </c>
      <c r="D185" s="381" t="s">
        <v>823</v>
      </c>
      <c r="E185" s="381" t="s">
        <v>12</v>
      </c>
      <c r="F185" s="381" t="s">
        <v>600</v>
      </c>
      <c r="G185" s="381" t="s">
        <v>510</v>
      </c>
      <c r="H185" s="634">
        <v>118</v>
      </c>
      <c r="I185" s="634">
        <v>520</v>
      </c>
      <c r="J185" s="635">
        <v>1</v>
      </c>
    </row>
    <row r="186" spans="1:10" ht="12.75" customHeight="1" x14ac:dyDescent="0.25">
      <c r="A186" s="633"/>
      <c r="B186" s="381"/>
      <c r="C186" s="381" t="s">
        <v>1397</v>
      </c>
      <c r="D186" s="381" t="s">
        <v>1380</v>
      </c>
      <c r="E186" s="381" t="s">
        <v>553</v>
      </c>
      <c r="F186" s="381" t="s">
        <v>600</v>
      </c>
      <c r="G186" s="381" t="s">
        <v>510</v>
      </c>
      <c r="H186" s="634">
        <v>19</v>
      </c>
      <c r="I186" s="634">
        <v>82</v>
      </c>
      <c r="J186" s="635">
        <v>1</v>
      </c>
    </row>
    <row r="187" spans="1:10" ht="12.75" customHeight="1" x14ac:dyDescent="0.25">
      <c r="A187" s="633"/>
      <c r="B187" s="381"/>
      <c r="C187" s="381" t="s">
        <v>1469</v>
      </c>
      <c r="D187" s="381" t="s">
        <v>1451</v>
      </c>
      <c r="E187" s="381" t="s">
        <v>553</v>
      </c>
      <c r="F187" s="381" t="s">
        <v>600</v>
      </c>
      <c r="G187" s="381" t="s">
        <v>510</v>
      </c>
      <c r="H187" s="634">
        <v>13</v>
      </c>
      <c r="I187" s="634">
        <v>45</v>
      </c>
      <c r="J187" s="635">
        <v>1</v>
      </c>
    </row>
    <row r="188" spans="1:10" ht="12.75" customHeight="1" x14ac:dyDescent="0.25">
      <c r="A188" s="633"/>
      <c r="B188" s="381"/>
      <c r="C188" s="381" t="s">
        <v>1472</v>
      </c>
      <c r="D188" s="381" t="s">
        <v>1454</v>
      </c>
      <c r="E188" s="381" t="s">
        <v>553</v>
      </c>
      <c r="F188" s="381" t="s">
        <v>600</v>
      </c>
      <c r="G188" s="381" t="s">
        <v>510</v>
      </c>
      <c r="H188" s="634">
        <v>59</v>
      </c>
      <c r="I188" s="634">
        <v>268</v>
      </c>
      <c r="J188" s="635">
        <v>1</v>
      </c>
    </row>
    <row r="189" spans="1:10" ht="12.75" customHeight="1" x14ac:dyDescent="0.25">
      <c r="A189" s="633"/>
      <c r="B189" s="381"/>
      <c r="C189" s="381" t="s">
        <v>1708</v>
      </c>
      <c r="D189" s="381" t="s">
        <v>1707</v>
      </c>
      <c r="E189" s="381" t="s">
        <v>553</v>
      </c>
      <c r="F189" s="381" t="s">
        <v>600</v>
      </c>
      <c r="G189" s="381" t="s">
        <v>510</v>
      </c>
      <c r="H189" s="634">
        <v>35</v>
      </c>
      <c r="I189" s="634">
        <v>116</v>
      </c>
      <c r="J189" s="635">
        <v>1</v>
      </c>
    </row>
    <row r="190" spans="1:10" ht="12.75" customHeight="1" x14ac:dyDescent="0.25">
      <c r="A190" s="633"/>
      <c r="B190" s="381" t="s">
        <v>1332</v>
      </c>
      <c r="C190" s="381"/>
      <c r="D190" s="381"/>
      <c r="E190" s="381"/>
      <c r="F190" s="381"/>
      <c r="G190" s="381"/>
      <c r="H190" s="634">
        <v>288</v>
      </c>
      <c r="I190" s="634">
        <v>1217</v>
      </c>
      <c r="J190" s="635">
        <v>6</v>
      </c>
    </row>
    <row r="191" spans="1:10" ht="12.75" customHeight="1" x14ac:dyDescent="0.25">
      <c r="A191" s="633"/>
      <c r="B191" s="381" t="s">
        <v>1481</v>
      </c>
      <c r="C191" s="381" t="s">
        <v>1478</v>
      </c>
      <c r="D191" s="381" t="s">
        <v>1466</v>
      </c>
      <c r="E191" s="381" t="s">
        <v>553</v>
      </c>
      <c r="F191" s="381" t="s">
        <v>600</v>
      </c>
      <c r="G191" s="381" t="s">
        <v>510</v>
      </c>
      <c r="H191" s="634">
        <v>37</v>
      </c>
      <c r="I191" s="634">
        <v>120</v>
      </c>
      <c r="J191" s="635">
        <v>1</v>
      </c>
    </row>
    <row r="192" spans="1:10" ht="12.75" customHeight="1" x14ac:dyDescent="0.25">
      <c r="A192" s="633"/>
      <c r="B192" s="381" t="s">
        <v>1499</v>
      </c>
      <c r="C192" s="381"/>
      <c r="D192" s="381"/>
      <c r="E192" s="381"/>
      <c r="F192" s="381"/>
      <c r="G192" s="381"/>
      <c r="H192" s="634">
        <v>37</v>
      </c>
      <c r="I192" s="634">
        <v>120</v>
      </c>
      <c r="J192" s="635">
        <v>1</v>
      </c>
    </row>
    <row r="193" spans="1:10" ht="12.75" customHeight="1" x14ac:dyDescent="0.25">
      <c r="A193" s="633" t="s">
        <v>1167</v>
      </c>
      <c r="B193" s="381"/>
      <c r="C193" s="381"/>
      <c r="D193" s="381"/>
      <c r="E193" s="381"/>
      <c r="F193" s="381"/>
      <c r="G193" s="381"/>
      <c r="H193" s="634">
        <v>2100</v>
      </c>
      <c r="I193" s="634">
        <v>10086</v>
      </c>
      <c r="J193" s="635">
        <v>36</v>
      </c>
    </row>
    <row r="194" spans="1:10" x14ac:dyDescent="0.25">
      <c r="A194" s="636" t="s">
        <v>415</v>
      </c>
      <c r="B194" s="637"/>
      <c r="C194" s="637"/>
      <c r="D194" s="637"/>
      <c r="E194" s="637"/>
      <c r="F194" s="637"/>
      <c r="G194" s="637"/>
      <c r="H194" s="638">
        <v>19332</v>
      </c>
      <c r="I194" s="638">
        <v>97628</v>
      </c>
      <c r="J194" s="639">
        <v>165</v>
      </c>
    </row>
    <row r="195" spans="1:10" ht="12.75" customHeight="1" x14ac:dyDescent="0.25">
      <c r="A195"/>
      <c r="B195"/>
      <c r="C195"/>
      <c r="D195"/>
      <c r="E195"/>
      <c r="F195"/>
      <c r="G195"/>
      <c r="H195"/>
      <c r="I195"/>
      <c r="J195"/>
    </row>
    <row r="196" spans="1:10" ht="12.75" customHeight="1" x14ac:dyDescent="0.25">
      <c r="A196"/>
      <c r="B196"/>
      <c r="C196"/>
      <c r="D196"/>
      <c r="E196"/>
      <c r="F196"/>
      <c r="G196"/>
      <c r="H196"/>
      <c r="I196"/>
      <c r="J196"/>
    </row>
    <row r="197" spans="1:10" ht="12.75" customHeight="1" x14ac:dyDescent="0.25">
      <c r="A197"/>
      <c r="B197"/>
      <c r="C197"/>
      <c r="D197"/>
      <c r="E197"/>
      <c r="F197"/>
      <c r="G197"/>
      <c r="H197"/>
      <c r="I197"/>
      <c r="J197"/>
    </row>
    <row r="198" spans="1:10" ht="12.75" customHeight="1" x14ac:dyDescent="0.25">
      <c r="A198"/>
      <c r="B198"/>
      <c r="C198"/>
      <c r="D198"/>
      <c r="E198"/>
      <c r="F198"/>
      <c r="G198"/>
      <c r="H198"/>
      <c r="I198"/>
      <c r="J198"/>
    </row>
    <row r="199" spans="1:10" ht="12.75" customHeight="1" x14ac:dyDescent="0.25">
      <c r="A199"/>
      <c r="B199"/>
      <c r="C199"/>
      <c r="D199"/>
      <c r="E199"/>
      <c r="F199"/>
      <c r="G199"/>
      <c r="H199"/>
      <c r="I199"/>
      <c r="J199"/>
    </row>
    <row r="200" spans="1:10" ht="12.75" customHeight="1" x14ac:dyDescent="0.25">
      <c r="A200"/>
      <c r="B200"/>
      <c r="C200"/>
      <c r="D200"/>
      <c r="E200"/>
      <c r="F200"/>
      <c r="G200"/>
      <c r="H200"/>
      <c r="I200"/>
      <c r="J200"/>
    </row>
    <row r="201" spans="1:10" ht="12.75" customHeight="1" x14ac:dyDescent="0.25">
      <c r="A201"/>
      <c r="B201"/>
      <c r="C201"/>
      <c r="D201"/>
      <c r="E201"/>
      <c r="F201"/>
      <c r="G201"/>
      <c r="H201"/>
      <c r="I201"/>
      <c r="J201"/>
    </row>
    <row r="202" spans="1:10" ht="12.75" customHeight="1" x14ac:dyDescent="0.25">
      <c r="A202"/>
      <c r="B202"/>
      <c r="C202"/>
      <c r="D202"/>
      <c r="E202"/>
      <c r="F202"/>
      <c r="G202"/>
      <c r="H202"/>
      <c r="I202"/>
      <c r="J202"/>
    </row>
    <row r="203" spans="1:10" ht="12.75" customHeight="1" x14ac:dyDescent="0.25">
      <c r="A203"/>
      <c r="B203"/>
      <c r="C203"/>
      <c r="D203"/>
      <c r="E203"/>
      <c r="F203"/>
      <c r="G203"/>
      <c r="H203"/>
      <c r="I203"/>
      <c r="J203"/>
    </row>
    <row r="204" spans="1:10" ht="12.75" customHeight="1" x14ac:dyDescent="0.25">
      <c r="A204"/>
      <c r="B204"/>
      <c r="C204"/>
      <c r="D204"/>
      <c r="E204"/>
      <c r="F204"/>
      <c r="G204"/>
      <c r="H204"/>
      <c r="I204"/>
      <c r="J204"/>
    </row>
    <row r="205" spans="1:10" x14ac:dyDescent="0.25">
      <c r="A205"/>
      <c r="B205"/>
      <c r="C205"/>
      <c r="D205"/>
      <c r="E205"/>
      <c r="F205"/>
      <c r="G205"/>
      <c r="H205"/>
      <c r="I205"/>
      <c r="J205"/>
    </row>
    <row r="206" spans="1:10" x14ac:dyDescent="0.25">
      <c r="A206"/>
      <c r="B206"/>
      <c r="C206"/>
      <c r="D206"/>
      <c r="E206"/>
      <c r="F206"/>
      <c r="G206"/>
      <c r="H206"/>
      <c r="I206"/>
      <c r="J206"/>
    </row>
    <row r="207" spans="1:10" x14ac:dyDescent="0.25">
      <c r="A207"/>
      <c r="B207"/>
      <c r="C207"/>
      <c r="D207"/>
      <c r="E207"/>
      <c r="F207"/>
      <c r="G207"/>
      <c r="H207"/>
      <c r="I207"/>
      <c r="J207"/>
    </row>
    <row r="208" spans="1:10" x14ac:dyDescent="0.25">
      <c r="A208"/>
      <c r="B208"/>
      <c r="C208"/>
      <c r="D208"/>
      <c r="E208"/>
      <c r="F208"/>
      <c r="G208"/>
      <c r="H208"/>
      <c r="I208"/>
      <c r="J208"/>
    </row>
    <row r="209" spans="1:10" x14ac:dyDescent="0.25">
      <c r="A209"/>
      <c r="B209"/>
      <c r="C209"/>
      <c r="D209"/>
      <c r="E209"/>
      <c r="F209"/>
      <c r="G209"/>
      <c r="H209"/>
      <c r="I209"/>
      <c r="J209"/>
    </row>
    <row r="210" spans="1:10" x14ac:dyDescent="0.25">
      <c r="A210"/>
      <c r="B210"/>
      <c r="C210"/>
      <c r="D210"/>
      <c r="E210"/>
      <c r="F210"/>
      <c r="G210"/>
      <c r="H210"/>
      <c r="I210"/>
      <c r="J210"/>
    </row>
    <row r="211" spans="1:10" x14ac:dyDescent="0.25">
      <c r="A211"/>
      <c r="B211"/>
      <c r="C211"/>
      <c r="D211"/>
      <c r="E211"/>
      <c r="F211"/>
      <c r="G211"/>
      <c r="H211"/>
      <c r="I211"/>
      <c r="J211"/>
    </row>
    <row r="212" spans="1:10" x14ac:dyDescent="0.25">
      <c r="A212"/>
      <c r="B212"/>
      <c r="C212"/>
      <c r="D212"/>
      <c r="E212"/>
      <c r="F212"/>
      <c r="G212"/>
      <c r="H212"/>
      <c r="I212"/>
      <c r="J212"/>
    </row>
    <row r="213" spans="1:10" x14ac:dyDescent="0.25">
      <c r="A213"/>
      <c r="B213"/>
      <c r="C213"/>
      <c r="D213"/>
      <c r="E213"/>
      <c r="F213"/>
      <c r="G213"/>
      <c r="H213"/>
      <c r="I213"/>
      <c r="J213"/>
    </row>
    <row r="214" spans="1:10" x14ac:dyDescent="0.25">
      <c r="A214"/>
      <c r="B214"/>
      <c r="C214"/>
      <c r="D214"/>
      <c r="E214"/>
      <c r="F214"/>
      <c r="G214"/>
      <c r="H214"/>
      <c r="I214"/>
      <c r="J214"/>
    </row>
    <row r="215" spans="1:10" x14ac:dyDescent="0.25">
      <c r="A215"/>
      <c r="B215"/>
      <c r="C215"/>
      <c r="D215"/>
      <c r="E215"/>
      <c r="F215"/>
      <c r="G215"/>
      <c r="H215"/>
      <c r="I215"/>
      <c r="J215"/>
    </row>
    <row r="216" spans="1:10" x14ac:dyDescent="0.25">
      <c r="A216"/>
      <c r="B216"/>
      <c r="C216"/>
      <c r="D216"/>
      <c r="E216"/>
      <c r="F216"/>
      <c r="G216"/>
      <c r="H216"/>
      <c r="I216"/>
      <c r="J216"/>
    </row>
    <row r="217" spans="1:10" x14ac:dyDescent="0.25">
      <c r="A217"/>
      <c r="B217"/>
      <c r="C217"/>
      <c r="D217"/>
      <c r="E217"/>
      <c r="F217"/>
      <c r="G217"/>
      <c r="H217"/>
      <c r="I217"/>
      <c r="J217"/>
    </row>
    <row r="218" spans="1:10" x14ac:dyDescent="0.25">
      <c r="A218"/>
      <c r="B218"/>
      <c r="C218"/>
      <c r="D218"/>
      <c r="E218"/>
      <c r="F218"/>
      <c r="G218"/>
      <c r="H218"/>
      <c r="I218"/>
      <c r="J218"/>
    </row>
    <row r="219" spans="1:10" x14ac:dyDescent="0.25">
      <c r="A219"/>
      <c r="B219"/>
      <c r="C219"/>
      <c r="D219"/>
      <c r="E219"/>
      <c r="F219"/>
      <c r="G219"/>
      <c r="H219"/>
      <c r="I219"/>
      <c r="J219"/>
    </row>
    <row r="220" spans="1:10" x14ac:dyDescent="0.25">
      <c r="A220"/>
      <c r="B220"/>
      <c r="C220"/>
      <c r="D220"/>
      <c r="E220"/>
      <c r="F220"/>
      <c r="G220"/>
      <c r="H220"/>
      <c r="I220"/>
      <c r="J220"/>
    </row>
    <row r="221" spans="1:10" x14ac:dyDescent="0.25">
      <c r="A221"/>
      <c r="B221"/>
      <c r="C221"/>
      <c r="D221"/>
      <c r="E221"/>
      <c r="F221"/>
      <c r="G221"/>
      <c r="H221"/>
      <c r="I221"/>
      <c r="J221"/>
    </row>
    <row r="222" spans="1:10" x14ac:dyDescent="0.25">
      <c r="A222"/>
      <c r="B222"/>
      <c r="C222"/>
      <c r="D222"/>
      <c r="E222"/>
      <c r="F222"/>
      <c r="G222"/>
      <c r="H222"/>
      <c r="I222"/>
      <c r="J222"/>
    </row>
    <row r="223" spans="1:10" x14ac:dyDescent="0.25">
      <c r="A223"/>
      <c r="B223"/>
      <c r="C223"/>
      <c r="D223"/>
      <c r="E223"/>
      <c r="F223"/>
      <c r="G223"/>
      <c r="H223"/>
      <c r="I223"/>
      <c r="J223"/>
    </row>
    <row r="224" spans="1:10" x14ac:dyDescent="0.25">
      <c r="A224"/>
      <c r="B224"/>
      <c r="C224"/>
      <c r="D224"/>
      <c r="E224"/>
      <c r="F224"/>
      <c r="G224"/>
      <c r="H224"/>
      <c r="I224"/>
      <c r="J224"/>
    </row>
    <row r="225" spans="7:8" x14ac:dyDescent="0.25">
      <c r="G225" s="395"/>
      <c r="H225" s="395"/>
    </row>
    <row r="226" spans="7:8" x14ac:dyDescent="0.25">
      <c r="G226" s="395"/>
      <c r="H226" s="395"/>
    </row>
    <row r="227" spans="7:8" x14ac:dyDescent="0.25">
      <c r="G227" s="395"/>
      <c r="H227" s="395"/>
    </row>
    <row r="228" spans="7:8" x14ac:dyDescent="0.25">
      <c r="G228" s="395"/>
      <c r="H228" s="395"/>
    </row>
    <row r="229" spans="7:8" x14ac:dyDescent="0.25">
      <c r="G229" s="395"/>
      <c r="H229" s="395"/>
    </row>
    <row r="230" spans="7:8" x14ac:dyDescent="0.25">
      <c r="G230" s="395"/>
      <c r="H230" s="395"/>
    </row>
    <row r="231" spans="7:8" x14ac:dyDescent="0.25">
      <c r="G231" s="395"/>
      <c r="H231" s="395"/>
    </row>
    <row r="232" spans="7:8" x14ac:dyDescent="0.25">
      <c r="G232" s="395"/>
      <c r="H232" s="395"/>
    </row>
    <row r="233" spans="7:8" x14ac:dyDescent="0.25">
      <c r="G233" s="395"/>
      <c r="H233" s="395"/>
    </row>
    <row r="234" spans="7:8" x14ac:dyDescent="0.25">
      <c r="G234" s="395"/>
      <c r="H234" s="395"/>
    </row>
    <row r="235" spans="7:8" x14ac:dyDescent="0.25">
      <c r="G235" s="395"/>
      <c r="H235" s="395"/>
    </row>
    <row r="236" spans="7:8" x14ac:dyDescent="0.25">
      <c r="G236" s="395"/>
      <c r="H236" s="395"/>
    </row>
    <row r="237" spans="7:8" x14ac:dyDescent="0.25">
      <c r="G237" s="395"/>
      <c r="H237" s="395"/>
    </row>
    <row r="238" spans="7:8" x14ac:dyDescent="0.25">
      <c r="G238" s="395"/>
      <c r="H238" s="395"/>
    </row>
    <row r="239" spans="7:8" x14ac:dyDescent="0.25">
      <c r="G239" s="395"/>
      <c r="H239" s="395"/>
    </row>
    <row r="240" spans="7:8" x14ac:dyDescent="0.25">
      <c r="G240" s="395"/>
      <c r="H240" s="395"/>
    </row>
    <row r="241" spans="7:8" x14ac:dyDescent="0.25">
      <c r="G241" s="395"/>
      <c r="H241" s="395"/>
    </row>
    <row r="242" spans="7:8" x14ac:dyDescent="0.25">
      <c r="G242" s="395"/>
      <c r="H242" s="395"/>
    </row>
    <row r="243" spans="7:8" x14ac:dyDescent="0.25">
      <c r="G243" s="395"/>
      <c r="H243" s="395"/>
    </row>
    <row r="244" spans="7:8" x14ac:dyDescent="0.25">
      <c r="G244" s="395"/>
      <c r="H244" s="395"/>
    </row>
    <row r="245" spans="7:8" x14ac:dyDescent="0.25">
      <c r="G245" s="395"/>
      <c r="H245" s="395"/>
    </row>
    <row r="246" spans="7:8" x14ac:dyDescent="0.25">
      <c r="G246" s="395"/>
      <c r="H246" s="395"/>
    </row>
    <row r="247" spans="7:8" x14ac:dyDescent="0.25">
      <c r="G247" s="395"/>
      <c r="H247" s="395"/>
    </row>
    <row r="248" spans="7:8" x14ac:dyDescent="0.25">
      <c r="G248" s="395"/>
      <c r="H248" s="395"/>
    </row>
    <row r="249" spans="7:8" x14ac:dyDescent="0.25">
      <c r="G249" s="395"/>
      <c r="H249" s="395"/>
    </row>
    <row r="250" spans="7:8" x14ac:dyDescent="0.25">
      <c r="G250" s="395"/>
      <c r="H250" s="395"/>
    </row>
    <row r="251" spans="7:8" x14ac:dyDescent="0.25">
      <c r="G251" s="395"/>
      <c r="H251" s="395"/>
    </row>
    <row r="252" spans="7:8" x14ac:dyDescent="0.25">
      <c r="G252" s="395"/>
      <c r="H252" s="395"/>
    </row>
    <row r="253" spans="7:8" x14ac:dyDescent="0.25">
      <c r="G253" s="395"/>
      <c r="H253" s="395"/>
    </row>
    <row r="254" spans="7:8" x14ac:dyDescent="0.25">
      <c r="G254" s="395"/>
      <c r="H254" s="395"/>
    </row>
    <row r="255" spans="7:8" x14ac:dyDescent="0.25">
      <c r="G255" s="395"/>
      <c r="H255" s="395"/>
    </row>
    <row r="256" spans="7:8" x14ac:dyDescent="0.25">
      <c r="G256" s="395"/>
      <c r="H256" s="395"/>
    </row>
    <row r="257" spans="7:8" x14ac:dyDescent="0.25">
      <c r="G257" s="395"/>
      <c r="H257" s="395"/>
    </row>
    <row r="258" spans="7:8" x14ac:dyDescent="0.25">
      <c r="G258" s="395"/>
      <c r="H258" s="395"/>
    </row>
    <row r="259" spans="7:8" x14ac:dyDescent="0.25">
      <c r="G259" s="395"/>
      <c r="H259" s="395"/>
    </row>
    <row r="260" spans="7:8" x14ac:dyDescent="0.25">
      <c r="G260" s="395"/>
      <c r="H260" s="395"/>
    </row>
    <row r="261" spans="7:8" x14ac:dyDescent="0.25">
      <c r="G261" s="395"/>
      <c r="H261" s="395"/>
    </row>
    <row r="262" spans="7:8" x14ac:dyDescent="0.25">
      <c r="G262" s="395"/>
      <c r="H262" s="395"/>
    </row>
    <row r="263" spans="7:8" x14ac:dyDescent="0.25">
      <c r="G263" s="395"/>
      <c r="H263" s="395"/>
    </row>
    <row r="264" spans="7:8" x14ac:dyDescent="0.25">
      <c r="G264" s="395"/>
      <c r="H264" s="395"/>
    </row>
    <row r="265" spans="7:8" x14ac:dyDescent="0.25">
      <c r="G265" s="395"/>
      <c r="H265" s="395"/>
    </row>
    <row r="266" spans="7:8" x14ac:dyDescent="0.25">
      <c r="G266" s="395"/>
      <c r="H266" s="395"/>
    </row>
    <row r="267" spans="7:8" x14ac:dyDescent="0.25">
      <c r="G267" s="395"/>
      <c r="H267" s="395"/>
    </row>
    <row r="268" spans="7:8" x14ac:dyDescent="0.25">
      <c r="G268" s="395"/>
      <c r="H268" s="395"/>
    </row>
    <row r="269" spans="7:8" x14ac:dyDescent="0.25">
      <c r="G269" s="395"/>
      <c r="H269" s="395"/>
    </row>
    <row r="270" spans="7:8" x14ac:dyDescent="0.25">
      <c r="G270" s="395"/>
      <c r="H270" s="395"/>
    </row>
    <row r="271" spans="7:8" x14ac:dyDescent="0.25">
      <c r="G271" s="395"/>
      <c r="H271" s="395"/>
    </row>
    <row r="272" spans="7:8" x14ac:dyDescent="0.25">
      <c r="G272" s="395"/>
      <c r="H272" s="395"/>
    </row>
    <row r="273" spans="7:8" x14ac:dyDescent="0.25">
      <c r="G273" s="395"/>
      <c r="H273" s="395"/>
    </row>
    <row r="274" spans="7:8" x14ac:dyDescent="0.25">
      <c r="G274" s="395"/>
      <c r="H274" s="395"/>
    </row>
    <row r="275" spans="7:8" x14ac:dyDescent="0.25">
      <c r="G275" s="395"/>
      <c r="H275" s="395"/>
    </row>
    <row r="276" spans="7:8" x14ac:dyDescent="0.25">
      <c r="G276" s="395"/>
      <c r="H276" s="395"/>
    </row>
    <row r="277" spans="7:8" x14ac:dyDescent="0.25">
      <c r="G277" s="395"/>
      <c r="H277" s="395"/>
    </row>
    <row r="278" spans="7:8" x14ac:dyDescent="0.25">
      <c r="G278" s="395"/>
      <c r="H278" s="395"/>
    </row>
    <row r="279" spans="7:8" x14ac:dyDescent="0.25">
      <c r="G279" s="395"/>
      <c r="H279" s="395"/>
    </row>
    <row r="280" spans="7:8" x14ac:dyDescent="0.25">
      <c r="G280" s="395"/>
      <c r="H280" s="395"/>
    </row>
    <row r="281" spans="7:8" x14ac:dyDescent="0.25">
      <c r="G281" s="395"/>
      <c r="H281" s="395"/>
    </row>
    <row r="282" spans="7:8" x14ac:dyDescent="0.25">
      <c r="G282" s="395"/>
      <c r="H282" s="395"/>
    </row>
    <row r="283" spans="7:8" x14ac:dyDescent="0.25">
      <c r="G283" s="395"/>
      <c r="H283" s="395"/>
    </row>
    <row r="284" spans="7:8" x14ac:dyDescent="0.25">
      <c r="G284" s="395"/>
      <c r="H284" s="395"/>
    </row>
    <row r="285" spans="7:8" x14ac:dyDescent="0.25">
      <c r="G285" s="395"/>
      <c r="H285" s="395"/>
    </row>
    <row r="286" spans="7:8" x14ac:dyDescent="0.25">
      <c r="G286" s="395"/>
      <c r="H286" s="395"/>
    </row>
    <row r="287" spans="7:8" x14ac:dyDescent="0.25">
      <c r="G287" s="395"/>
      <c r="H287" s="395"/>
    </row>
    <row r="288" spans="7:8" x14ac:dyDescent="0.25">
      <c r="G288" s="395"/>
      <c r="H288" s="395"/>
    </row>
    <row r="289" spans="7:8" x14ac:dyDescent="0.25">
      <c r="G289" s="395"/>
      <c r="H289" s="395"/>
    </row>
    <row r="290" spans="7:8" x14ac:dyDescent="0.25">
      <c r="G290" s="395"/>
      <c r="H290" s="395"/>
    </row>
    <row r="291" spans="7:8" x14ac:dyDescent="0.25">
      <c r="G291" s="395"/>
      <c r="H291" s="395"/>
    </row>
    <row r="292" spans="7:8" x14ac:dyDescent="0.25">
      <c r="G292" s="395"/>
      <c r="H292" s="395"/>
    </row>
    <row r="293" spans="7:8" x14ac:dyDescent="0.25">
      <c r="G293" s="395"/>
      <c r="H293" s="395"/>
    </row>
    <row r="294" spans="7:8" x14ac:dyDescent="0.25">
      <c r="G294" s="395"/>
      <c r="H294" s="395"/>
    </row>
    <row r="295" spans="7:8" x14ac:dyDescent="0.25">
      <c r="G295" s="395"/>
      <c r="H295" s="395"/>
    </row>
    <row r="296" spans="7:8" x14ac:dyDescent="0.25">
      <c r="G296" s="395"/>
      <c r="H296" s="395"/>
    </row>
    <row r="297" spans="7:8" x14ac:dyDescent="0.25">
      <c r="G297" s="395"/>
      <c r="H297" s="395"/>
    </row>
    <row r="298" spans="7:8" x14ac:dyDescent="0.25">
      <c r="G298" s="395"/>
      <c r="H298" s="395"/>
    </row>
    <row r="299" spans="7:8" x14ac:dyDescent="0.25">
      <c r="G299" s="395"/>
      <c r="H299" s="395"/>
    </row>
    <row r="300" spans="7:8" x14ac:dyDescent="0.25">
      <c r="G300" s="395"/>
      <c r="H300" s="395"/>
    </row>
    <row r="301" spans="7:8" x14ac:dyDescent="0.25">
      <c r="G301" s="395"/>
      <c r="H301" s="395"/>
    </row>
    <row r="302" spans="7:8" x14ac:dyDescent="0.25">
      <c r="G302" s="395"/>
      <c r="H302" s="395"/>
    </row>
    <row r="303" spans="7:8" x14ac:dyDescent="0.25">
      <c r="G303" s="395"/>
      <c r="H303" s="395"/>
    </row>
    <row r="304" spans="7:8" x14ac:dyDescent="0.25">
      <c r="G304" s="395"/>
      <c r="H304" s="395"/>
    </row>
    <row r="305" spans="7:8" x14ac:dyDescent="0.25">
      <c r="G305" s="395"/>
      <c r="H305" s="395"/>
    </row>
    <row r="306" spans="7:8" x14ac:dyDescent="0.25">
      <c r="G306" s="395"/>
      <c r="H306" s="395"/>
    </row>
    <row r="307" spans="7:8" x14ac:dyDescent="0.25">
      <c r="G307" s="395"/>
      <c r="H307" s="395"/>
    </row>
    <row r="308" spans="7:8" x14ac:dyDescent="0.25">
      <c r="G308" s="395"/>
      <c r="H308" s="395"/>
    </row>
    <row r="309" spans="7:8" x14ac:dyDescent="0.25">
      <c r="G309" s="395"/>
      <c r="H309" s="395"/>
    </row>
    <row r="310" spans="7:8" x14ac:dyDescent="0.25">
      <c r="G310" s="395"/>
      <c r="H310" s="395"/>
    </row>
    <row r="311" spans="7:8" x14ac:dyDescent="0.25">
      <c r="G311" s="395"/>
      <c r="H311" s="395"/>
    </row>
    <row r="312" spans="7:8" x14ac:dyDescent="0.25">
      <c r="G312" s="395"/>
      <c r="H312" s="395"/>
    </row>
    <row r="313" spans="7:8" x14ac:dyDescent="0.25">
      <c r="G313" s="395"/>
      <c r="H313" s="395"/>
    </row>
    <row r="314" spans="7:8" x14ac:dyDescent="0.25">
      <c r="G314" s="395"/>
      <c r="H314" s="395"/>
    </row>
    <row r="315" spans="7:8" x14ac:dyDescent="0.25">
      <c r="G315" s="395"/>
      <c r="H315" s="395"/>
    </row>
    <row r="316" spans="7:8" x14ac:dyDescent="0.25">
      <c r="G316" s="395"/>
      <c r="H316" s="395"/>
    </row>
    <row r="317" spans="7:8" x14ac:dyDescent="0.25">
      <c r="G317" s="395"/>
      <c r="H317" s="395"/>
    </row>
    <row r="318" spans="7:8" x14ac:dyDescent="0.25">
      <c r="G318" s="395"/>
      <c r="H318" s="395"/>
    </row>
    <row r="319" spans="7:8" x14ac:dyDescent="0.25">
      <c r="G319" s="395"/>
      <c r="H319" s="395"/>
    </row>
    <row r="320" spans="7:8" x14ac:dyDescent="0.25">
      <c r="G320" s="395"/>
      <c r="H320" s="395"/>
    </row>
    <row r="321" spans="7:8" x14ac:dyDescent="0.25">
      <c r="G321" s="395"/>
      <c r="H321" s="395"/>
    </row>
    <row r="322" spans="7:8" x14ac:dyDescent="0.25">
      <c r="G322" s="395"/>
      <c r="H322" s="395"/>
    </row>
    <row r="323" spans="7:8" x14ac:dyDescent="0.25">
      <c r="G323" s="395"/>
      <c r="H323" s="395"/>
    </row>
    <row r="324" spans="7:8" x14ac:dyDescent="0.25">
      <c r="G324" s="395"/>
      <c r="H324" s="395"/>
    </row>
    <row r="325" spans="7:8" x14ac:dyDescent="0.25">
      <c r="G325" s="395"/>
      <c r="H325" s="395"/>
    </row>
    <row r="326" spans="7:8" x14ac:dyDescent="0.25">
      <c r="G326" s="395"/>
      <c r="H326" s="395"/>
    </row>
    <row r="327" spans="7:8" x14ac:dyDescent="0.25">
      <c r="G327" s="395"/>
      <c r="H327" s="395"/>
    </row>
    <row r="328" spans="7:8" x14ac:dyDescent="0.25">
      <c r="G328" s="395"/>
      <c r="H328" s="395"/>
    </row>
    <row r="329" spans="7:8" x14ac:dyDescent="0.25">
      <c r="G329" s="395"/>
      <c r="H329" s="395"/>
    </row>
    <row r="330" spans="7:8" x14ac:dyDescent="0.25">
      <c r="G330" s="395"/>
      <c r="H330" s="395"/>
    </row>
    <row r="331" spans="7:8" x14ac:dyDescent="0.25">
      <c r="G331" s="395"/>
      <c r="H331" s="395"/>
    </row>
    <row r="332" spans="7:8" x14ac:dyDescent="0.25">
      <c r="G332" s="395"/>
      <c r="H332" s="395"/>
    </row>
    <row r="333" spans="7:8" x14ac:dyDescent="0.25">
      <c r="G333" s="395"/>
      <c r="H333" s="395"/>
    </row>
    <row r="334" spans="7:8" x14ac:dyDescent="0.25">
      <c r="G334" s="395"/>
      <c r="H334" s="395"/>
    </row>
    <row r="335" spans="7:8" x14ac:dyDescent="0.25">
      <c r="G335" s="395"/>
      <c r="H335" s="395"/>
    </row>
    <row r="336" spans="7:8" x14ac:dyDescent="0.25">
      <c r="G336" s="395"/>
      <c r="H336" s="395"/>
    </row>
    <row r="337" spans="7:8" x14ac:dyDescent="0.25">
      <c r="G337" s="395"/>
      <c r="H337" s="395"/>
    </row>
    <row r="338" spans="7:8" x14ac:dyDescent="0.25">
      <c r="G338" s="395"/>
      <c r="H338" s="395"/>
    </row>
    <row r="339" spans="7:8" x14ac:dyDescent="0.25">
      <c r="G339" s="395"/>
      <c r="H339" s="395"/>
    </row>
    <row r="340" spans="7:8" x14ac:dyDescent="0.25">
      <c r="G340" s="395"/>
      <c r="H340" s="395"/>
    </row>
    <row r="341" spans="7:8" x14ac:dyDescent="0.25">
      <c r="G341" s="395"/>
      <c r="H341" s="395"/>
    </row>
    <row r="342" spans="7:8" x14ac:dyDescent="0.25">
      <c r="G342" s="395"/>
      <c r="H342" s="395"/>
    </row>
    <row r="343" spans="7:8" x14ac:dyDescent="0.25">
      <c r="G343" s="395"/>
      <c r="H343" s="395"/>
    </row>
    <row r="344" spans="7:8" x14ac:dyDescent="0.25">
      <c r="G344" s="395"/>
      <c r="H344" s="395"/>
    </row>
    <row r="345" spans="7:8" x14ac:dyDescent="0.25">
      <c r="G345" s="395"/>
      <c r="H345" s="395"/>
    </row>
    <row r="346" spans="7:8" x14ac:dyDescent="0.25">
      <c r="G346" s="395"/>
      <c r="H346" s="395"/>
    </row>
    <row r="347" spans="7:8" x14ac:dyDescent="0.25">
      <c r="G347" s="395"/>
      <c r="H347" s="395"/>
    </row>
    <row r="348" spans="7:8" x14ac:dyDescent="0.25">
      <c r="G348" s="395"/>
      <c r="H348" s="395"/>
    </row>
    <row r="349" spans="7:8" x14ac:dyDescent="0.25">
      <c r="G349" s="395"/>
      <c r="H349" s="395"/>
    </row>
    <row r="350" spans="7:8" x14ac:dyDescent="0.25">
      <c r="G350" s="395"/>
      <c r="H350" s="395"/>
    </row>
    <row r="351" spans="7:8" x14ac:dyDescent="0.25">
      <c r="G351" s="395"/>
      <c r="H351" s="395"/>
    </row>
    <row r="352" spans="7:8" x14ac:dyDescent="0.25">
      <c r="G352" s="395"/>
      <c r="H352" s="395"/>
    </row>
    <row r="353" spans="7:8" x14ac:dyDescent="0.25">
      <c r="G353" s="395"/>
      <c r="H353" s="395"/>
    </row>
    <row r="354" spans="7:8" x14ac:dyDescent="0.25">
      <c r="G354" s="395"/>
      <c r="H354" s="395"/>
    </row>
    <row r="355" spans="7:8" x14ac:dyDescent="0.25">
      <c r="G355" s="395"/>
      <c r="H355" s="395"/>
    </row>
    <row r="356" spans="7:8" x14ac:dyDescent="0.25">
      <c r="G356" s="395"/>
      <c r="H356" s="395"/>
    </row>
    <row r="357" spans="7:8" x14ac:dyDescent="0.25">
      <c r="G357" s="395"/>
      <c r="H357" s="395"/>
    </row>
    <row r="358" spans="7:8" x14ac:dyDescent="0.25">
      <c r="G358" s="395"/>
      <c r="H358" s="395"/>
    </row>
  </sheetData>
  <mergeCells count="1">
    <mergeCell ref="A3:B3"/>
  </mergeCells>
  <printOptions horizontalCentered="1"/>
  <pageMargins left="0.25" right="0.25" top="0.3" bottom="0.2" header="0.25" footer="0.2"/>
  <pageSetup paperSize="9" scale="90" fitToHeight="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3" tint="0.59999389629810485"/>
  </sheetPr>
  <dimension ref="A1:BA100"/>
  <sheetViews>
    <sheetView showZeros="0" topLeftCell="A19" zoomScale="85" zoomScaleNormal="85" zoomScaleSheetLayoutView="100" workbookViewId="0">
      <selection activeCell="W39" sqref="W39"/>
    </sheetView>
  </sheetViews>
  <sheetFormatPr defaultColWidth="9.140625" defaultRowHeight="15" x14ac:dyDescent="0.25"/>
  <cols>
    <col min="1" max="1" width="1.140625" style="395" customWidth="1"/>
    <col min="2" max="2" width="21.140625" style="395" customWidth="1"/>
    <col min="3" max="4" width="9.7109375" style="395" customWidth="1"/>
    <col min="5" max="5" width="17.140625" style="395" customWidth="1"/>
    <col min="6" max="6" width="5.85546875" style="395" customWidth="1"/>
    <col min="7" max="7" width="10.28515625" style="395" customWidth="1"/>
    <col min="8" max="8" width="12" style="395" customWidth="1"/>
    <col min="9" max="9" width="9" style="395" customWidth="1"/>
    <col min="10" max="10" width="8.28515625" style="395" customWidth="1"/>
    <col min="11" max="11" width="7.7109375" style="395" customWidth="1"/>
    <col min="12" max="12" width="9.7109375" style="395" customWidth="1"/>
    <col min="13" max="13" width="5.140625" style="395" customWidth="1"/>
    <col min="14" max="15" width="9.7109375" style="395" customWidth="1"/>
    <col min="16" max="16" width="9" style="395" customWidth="1"/>
    <col min="17" max="17" width="0.7109375" style="395" customWidth="1"/>
    <col min="18" max="18" width="26.42578125" style="395" customWidth="1"/>
    <col min="19" max="19" width="1" style="395" customWidth="1"/>
    <col min="20" max="20" width="2.85546875" style="395" customWidth="1"/>
    <col min="21" max="21" width="7.140625" style="670" customWidth="1"/>
    <col min="22" max="22" width="16.7109375" style="670" customWidth="1"/>
    <col min="23" max="25" width="7.140625" style="673" customWidth="1"/>
    <col min="26" max="26" width="13" style="673" customWidth="1"/>
    <col min="27" max="27" width="12" style="673" customWidth="1"/>
    <col min="28" max="28" width="14.140625" style="673" customWidth="1"/>
    <col min="29" max="33" width="7.140625" style="673" customWidth="1"/>
    <col min="34" max="34" width="3.85546875" style="562" customWidth="1"/>
    <col min="35" max="35" width="14.5703125" style="562" bestFit="1" customWidth="1"/>
    <col min="36" max="36" width="31.42578125" style="562" bestFit="1" customWidth="1"/>
    <col min="37" max="39" width="8" style="562" bestFit="1" customWidth="1"/>
    <col min="40" max="40" width="9.7109375" style="562" bestFit="1" customWidth="1"/>
    <col min="41" max="46" width="9.140625" style="562"/>
    <col min="47" max="51" width="9.140625" style="673"/>
    <col min="52" max="53" width="9.140625" style="670"/>
    <col min="54" max="16384" width="9.140625" style="395"/>
  </cols>
  <sheetData>
    <row r="1" spans="1:53" ht="4.5" customHeight="1" thickBot="1" x14ac:dyDescent="0.3"/>
    <row r="2" spans="1:53" ht="6" customHeight="1" x14ac:dyDescent="0.25">
      <c r="A2" s="521"/>
      <c r="B2" s="522"/>
      <c r="C2" s="522"/>
      <c r="D2" s="522"/>
      <c r="E2" s="522"/>
      <c r="F2" s="522"/>
      <c r="G2" s="522"/>
      <c r="H2" s="522"/>
      <c r="I2" s="522"/>
      <c r="J2" s="522"/>
      <c r="K2" s="522"/>
      <c r="L2" s="522"/>
      <c r="M2" s="522"/>
      <c r="N2" s="522"/>
      <c r="O2" s="522"/>
      <c r="P2" s="522"/>
      <c r="Q2" s="522"/>
      <c r="R2" s="522"/>
      <c r="S2" s="523"/>
    </row>
    <row r="3" spans="1:53" s="381" customFormat="1" ht="30.6" customHeight="1" x14ac:dyDescent="0.25">
      <c r="A3" s="524"/>
      <c r="B3" s="957"/>
      <c r="C3" s="957"/>
      <c r="D3" s="957"/>
      <c r="E3" s="957"/>
      <c r="F3" s="957"/>
      <c r="G3" s="957"/>
      <c r="H3" s="957"/>
      <c r="I3" s="957"/>
      <c r="J3" s="957"/>
      <c r="K3" s="957"/>
      <c r="L3" s="957"/>
      <c r="M3" s="957"/>
      <c r="N3" s="957"/>
      <c r="O3" s="957"/>
      <c r="P3" s="957"/>
      <c r="Q3" s="382"/>
      <c r="R3" s="382"/>
      <c r="S3" s="525"/>
      <c r="U3" s="671"/>
      <c r="V3" s="671"/>
      <c r="W3" s="674"/>
      <c r="X3" s="674"/>
      <c r="Y3" s="674"/>
      <c r="Z3" s="674"/>
      <c r="AA3" s="674"/>
      <c r="AB3" s="674"/>
      <c r="AC3" s="674"/>
      <c r="AD3" s="674"/>
      <c r="AE3" s="674"/>
      <c r="AF3" s="674"/>
      <c r="AG3" s="674"/>
      <c r="AH3" s="562"/>
      <c r="AI3" s="562"/>
      <c r="AJ3" s="562"/>
      <c r="AK3" s="562"/>
      <c r="AL3" s="562"/>
      <c r="AM3" s="562"/>
      <c r="AN3" s="562"/>
      <c r="AO3" s="562"/>
      <c r="AP3" s="562"/>
      <c r="AQ3" s="562"/>
      <c r="AR3" s="562"/>
      <c r="AS3" s="562"/>
      <c r="AT3" s="562"/>
      <c r="AU3" s="674"/>
      <c r="AV3" s="674"/>
      <c r="AW3" s="674"/>
      <c r="AX3" s="674"/>
      <c r="AY3" s="674"/>
      <c r="AZ3" s="671"/>
      <c r="BA3" s="671"/>
    </row>
    <row r="4" spans="1:53" s="381" customFormat="1" ht="4.5" customHeight="1" x14ac:dyDescent="0.25">
      <c r="A4" s="524"/>
      <c r="B4" s="622"/>
      <c r="C4" s="622"/>
      <c r="D4" s="622"/>
      <c r="E4" s="622"/>
      <c r="F4" s="622"/>
      <c r="G4" s="622"/>
      <c r="H4" s="622"/>
      <c r="I4" s="622"/>
      <c r="J4" s="622"/>
      <c r="K4" s="622"/>
      <c r="L4" s="622"/>
      <c r="M4" s="622"/>
      <c r="N4" s="622"/>
      <c r="O4" s="622"/>
      <c r="P4" s="622"/>
      <c r="Q4" s="382"/>
      <c r="R4" s="382"/>
      <c r="S4" s="525"/>
      <c r="U4" s="671"/>
      <c r="V4" s="671"/>
      <c r="W4" s="674"/>
      <c r="X4" s="674"/>
      <c r="Y4" s="674"/>
      <c r="Z4" s="674"/>
      <c r="AA4" s="674"/>
      <c r="AB4" s="674"/>
      <c r="AC4" s="674"/>
      <c r="AD4" s="674"/>
      <c r="AE4" s="674"/>
      <c r="AF4" s="674"/>
      <c r="AG4" s="674"/>
      <c r="AH4" s="562"/>
      <c r="AI4" s="562"/>
      <c r="AJ4" s="562"/>
      <c r="AK4" s="562"/>
      <c r="AL4" s="562"/>
      <c r="AM4" s="562"/>
      <c r="AN4" s="562"/>
      <c r="AO4" s="562"/>
      <c r="AP4" s="562"/>
      <c r="AQ4" s="562"/>
      <c r="AR4" s="562"/>
      <c r="AS4" s="562"/>
      <c r="AT4" s="562"/>
      <c r="AU4" s="674"/>
      <c r="AV4" s="674"/>
      <c r="AW4" s="674"/>
      <c r="AX4" s="674"/>
      <c r="AY4" s="674"/>
      <c r="AZ4" s="671"/>
      <c r="BA4" s="671"/>
    </row>
    <row r="5" spans="1:53" s="381" customFormat="1" ht="22.9" customHeight="1" x14ac:dyDescent="0.25">
      <c r="A5" s="524"/>
      <c r="B5" s="955" t="s">
        <v>585</v>
      </c>
      <c r="C5" s="955"/>
      <c r="D5" s="955"/>
      <c r="E5" s="955"/>
      <c r="F5" s="955"/>
      <c r="G5" s="955"/>
      <c r="H5" s="955"/>
      <c r="I5" s="955"/>
      <c r="J5" s="177"/>
      <c r="K5" s="177"/>
      <c r="L5" s="177"/>
      <c r="M5" s="177"/>
      <c r="N5" s="177"/>
      <c r="O5" s="177"/>
      <c r="P5" s="177"/>
      <c r="Q5" s="382"/>
      <c r="R5" s="382"/>
      <c r="S5" s="525"/>
      <c r="U5" s="671"/>
      <c r="V5" s="670"/>
      <c r="W5" s="673"/>
      <c r="X5" s="673"/>
      <c r="Y5" s="673"/>
      <c r="Z5" s="673"/>
      <c r="AA5" s="673"/>
      <c r="AB5" s="673"/>
      <c r="AC5" s="673"/>
      <c r="AD5" s="673"/>
      <c r="AE5" s="673"/>
      <c r="AF5" s="673"/>
      <c r="AG5" s="673"/>
      <c r="AH5" s="562"/>
      <c r="AI5" s="562"/>
      <c r="AJ5" s="562"/>
      <c r="AK5" s="562"/>
      <c r="AL5" s="562"/>
      <c r="AM5" s="562"/>
      <c r="AN5" s="562"/>
      <c r="AO5" s="562"/>
      <c r="AP5" s="562"/>
      <c r="AQ5" s="562"/>
      <c r="AR5" s="562"/>
      <c r="AS5" s="562"/>
      <c r="AT5" s="562"/>
      <c r="AU5" s="674"/>
      <c r="AV5" s="674"/>
      <c r="AW5" s="674"/>
      <c r="AX5" s="674"/>
      <c r="AY5" s="674"/>
      <c r="AZ5" s="671"/>
      <c r="BA5" s="671"/>
    </row>
    <row r="6" spans="1:53" s="94" customFormat="1" ht="20.45" customHeight="1" x14ac:dyDescent="0.25">
      <c r="A6" s="524"/>
      <c r="B6" s="956">
        <f>Definition!B23</f>
        <v>42856</v>
      </c>
      <c r="C6" s="956"/>
      <c r="D6" s="956"/>
      <c r="E6" s="956"/>
      <c r="F6" s="956"/>
      <c r="G6" s="956"/>
      <c r="H6" s="956"/>
      <c r="I6" s="956"/>
      <c r="J6" s="177"/>
      <c r="K6" s="177"/>
      <c r="L6" s="177"/>
      <c r="M6" s="177"/>
      <c r="N6" s="177"/>
      <c r="O6" s="177"/>
      <c r="P6" s="177"/>
      <c r="Q6" s="382"/>
      <c r="R6" s="382"/>
      <c r="S6" s="525"/>
      <c r="U6" s="402"/>
      <c r="V6" s="402"/>
      <c r="W6" s="673"/>
      <c r="X6" s="673"/>
      <c r="Y6" s="673"/>
      <c r="Z6" s="673"/>
      <c r="AA6" s="673"/>
      <c r="AB6" s="673"/>
      <c r="AC6" s="673"/>
      <c r="AD6" s="673"/>
      <c r="AE6" s="673"/>
      <c r="AF6" s="673"/>
      <c r="AG6" s="673"/>
      <c r="AH6" s="562"/>
      <c r="AI6" s="562"/>
      <c r="AJ6" s="562"/>
      <c r="AK6" s="562"/>
      <c r="AL6" s="562"/>
      <c r="AM6" s="562"/>
      <c r="AN6" s="562"/>
      <c r="AO6" s="562"/>
      <c r="AP6" s="562"/>
      <c r="AQ6" s="562"/>
      <c r="AR6" s="562"/>
      <c r="AS6" s="562"/>
      <c r="AT6" s="562"/>
      <c r="AU6" s="562"/>
      <c r="AV6" s="562"/>
      <c r="AW6" s="562"/>
      <c r="AX6" s="562"/>
      <c r="AY6" s="562"/>
      <c r="AZ6" s="402"/>
      <c r="BA6" s="402"/>
    </row>
    <row r="7" spans="1:53" ht="12" customHeight="1" x14ac:dyDescent="0.25">
      <c r="A7" s="517"/>
      <c r="B7" s="526"/>
      <c r="C7" s="526"/>
      <c r="D7" s="526"/>
      <c r="E7" s="526"/>
      <c r="F7" s="526"/>
      <c r="G7" s="526"/>
      <c r="H7" s="526"/>
      <c r="I7" s="526"/>
      <c r="J7" s="526"/>
      <c r="K7" s="526"/>
      <c r="L7" s="526"/>
      <c r="M7" s="518"/>
      <c r="N7" s="518"/>
      <c r="O7" s="518"/>
      <c r="P7" s="518"/>
      <c r="Q7" s="518"/>
      <c r="R7" s="518"/>
      <c r="S7" s="192"/>
      <c r="T7" s="64"/>
      <c r="U7" s="64"/>
      <c r="V7" s="64"/>
      <c r="W7" s="675"/>
      <c r="X7" s="675"/>
      <c r="Y7" s="675"/>
      <c r="Z7" s="675"/>
      <c r="AA7" s="675"/>
      <c r="AB7" s="675"/>
      <c r="AC7" s="675"/>
      <c r="AD7" s="675"/>
      <c r="AE7" s="675"/>
      <c r="AF7" s="675"/>
      <c r="AI7" s="562" t="s">
        <v>0</v>
      </c>
      <c r="AJ7" s="562" t="s">
        <v>1007</v>
      </c>
      <c r="AK7" s="562" t="s">
        <v>1008</v>
      </c>
      <c r="AL7" s="562" t="s">
        <v>588</v>
      </c>
      <c r="AM7" s="562" t="s">
        <v>587</v>
      </c>
    </row>
    <row r="8" spans="1:53" ht="12" customHeight="1" x14ac:dyDescent="0.25">
      <c r="A8" s="517"/>
      <c r="B8" s="526"/>
      <c r="C8" s="526"/>
      <c r="D8" s="526"/>
      <c r="E8" s="526"/>
      <c r="F8" s="526"/>
      <c r="G8" s="526"/>
      <c r="H8" s="526"/>
      <c r="I8" s="526"/>
      <c r="J8" s="526"/>
      <c r="K8" s="526"/>
      <c r="L8" s="526"/>
      <c r="M8" s="518"/>
      <c r="N8" s="518"/>
      <c r="O8" s="518"/>
      <c r="P8" s="518"/>
      <c r="Q8" s="518"/>
      <c r="R8" s="518"/>
      <c r="S8" s="520"/>
      <c r="AI8" s="562" t="s">
        <v>5</v>
      </c>
      <c r="AJ8" s="922">
        <f>SUMIFS(CampList[Total],CampList[Township],$AI8,CampList[Status],"open",CampList[Total],"&lt;=100",CampList[Affected Population],"IDP")</f>
        <v>285</v>
      </c>
      <c r="AK8" s="922">
        <f>SUMIFS(CampList[Total],CampList[Township],$AI8,CampList[Status],"open",CampList[Total],"&gt;100",CampList[Total],"&lt;=1000",CampList[Affected Population],"IDP")</f>
        <v>2802</v>
      </c>
      <c r="AL8" s="922">
        <f>SUMIFS(CampList[Total],CampList[Township],$AI8,CampList[Status],"open",CampList[Total],"&gt;1000",CampList[Total],"&lt;=5000",CampList[Affected Population],"IDP")</f>
        <v>5316</v>
      </c>
      <c r="AM8" s="922">
        <f>SUMIFS(CampList[Total],CampList[Township],$AI8,CampList[Status],"open",CampList[Total],"&gt;5000",CampList[Total],"&lt;=100000",CampList[Affected Population],"IDP")</f>
        <v>0</v>
      </c>
    </row>
    <row r="9" spans="1:53" ht="12" customHeight="1" x14ac:dyDescent="0.25">
      <c r="A9" s="517"/>
      <c r="B9" s="526"/>
      <c r="C9" s="526"/>
      <c r="D9" s="526"/>
      <c r="E9" s="526"/>
      <c r="F9" s="526"/>
      <c r="G9" s="526"/>
      <c r="H9" s="526"/>
      <c r="I9" s="526"/>
      <c r="J9" s="526"/>
      <c r="K9" s="526"/>
      <c r="L9" s="526"/>
      <c r="M9" s="518"/>
      <c r="N9" s="518"/>
      <c r="O9" s="518"/>
      <c r="P9" s="518"/>
      <c r="Q9" s="518"/>
      <c r="R9" s="518"/>
      <c r="S9" s="520"/>
      <c r="AI9" s="562" t="s">
        <v>27</v>
      </c>
      <c r="AJ9" s="922">
        <f>SUMIFS(CampList[Total],CampList[Township],$AI9,CampList[Status],"open",CampList[Total],"&lt;=100",CampList[Affected Population],"IDP")</f>
        <v>0</v>
      </c>
      <c r="AK9" s="922">
        <f>SUMIFS(CampList[Total],CampList[Township],$AI9,CampList[Status],"open",CampList[Total],"&gt;100",CampList[Total],"&lt;=1000",CampList[Affected Population],"IDP")</f>
        <v>2556</v>
      </c>
      <c r="AL9" s="922">
        <f>SUMIFS(CampList[Total],CampList[Township],$AI9,CampList[Status],"open",CampList[Total],"&gt;1000",CampList[Total],"&lt;=5000",CampList[Affected Population],"IDP")</f>
        <v>0</v>
      </c>
      <c r="AM9" s="922">
        <f>SUMIFS(CampList[Total],CampList[Township],$AI9,CampList[Status],"open",CampList[Total],"&gt;5000",CampList[Total],"&lt;=100000",CampList[Affected Population],"IDP")</f>
        <v>0</v>
      </c>
    </row>
    <row r="10" spans="1:53" ht="12" customHeight="1" x14ac:dyDescent="0.25">
      <c r="A10" s="517"/>
      <c r="B10" s="526"/>
      <c r="C10" s="526"/>
      <c r="D10" s="526"/>
      <c r="E10" s="526"/>
      <c r="F10" s="526"/>
      <c r="G10" s="526"/>
      <c r="H10" s="526"/>
      <c r="I10" s="526"/>
      <c r="J10" s="526"/>
      <c r="K10" s="526"/>
      <c r="L10" s="526"/>
      <c r="M10" s="518"/>
      <c r="N10" s="518"/>
      <c r="O10" s="518"/>
      <c r="P10" s="518"/>
      <c r="Q10" s="518"/>
      <c r="R10" s="518"/>
      <c r="S10" s="520"/>
      <c r="AJ10" s="922">
        <f>SUMIFS(CampList[Total],CampList[Township],$AI10,CampList[Status],"open",CampList[Total],"&lt;=100",CampList[Affected Population],"IDP")</f>
        <v>0</v>
      </c>
      <c r="AK10" s="922">
        <f>SUMIFS(CampList[Total],CampList[Township],$AI10,CampList[Status],"open",CampList[Total],"&gt;100",CampList[Total],"&lt;=1000",CampList[Affected Population],"IDP")</f>
        <v>0</v>
      </c>
      <c r="AL10" s="922">
        <f>SUMIFS(CampList[Total],CampList[Township],$AI10,CampList[Status],"open",CampList[Total],"&gt;1000",CampList[Total],"&lt;=5000",CampList[Affected Population],"IDP")</f>
        <v>0</v>
      </c>
      <c r="AM10" s="922">
        <f>SUMIFS(CampList[Total],CampList[Township],$AI10,CampList[Status],"open",CampList[Total],"&gt;5000",CampList[Total],"&lt;=100000",CampList[Affected Population],"IDP")</f>
        <v>0</v>
      </c>
    </row>
    <row r="11" spans="1:53" ht="12" customHeight="1" x14ac:dyDescent="0.25">
      <c r="A11" s="517"/>
      <c r="B11" s="526"/>
      <c r="C11" s="526"/>
      <c r="D11" s="526"/>
      <c r="E11" s="526"/>
      <c r="F11" s="526"/>
      <c r="G11" s="526"/>
      <c r="H11" s="526"/>
      <c r="I11" s="526"/>
      <c r="J11" s="526"/>
      <c r="K11" s="526"/>
      <c r="L11" s="526"/>
      <c r="M11" s="518"/>
      <c r="N11" s="518"/>
      <c r="O11" s="518"/>
      <c r="P11" s="518"/>
      <c r="Q11" s="518"/>
      <c r="R11" s="518"/>
      <c r="S11" s="520"/>
      <c r="AJ11" s="922">
        <f>SUMIFS(CampList[Total],CampList[Township],$AI11,CampList[Status],"open",CampList[Total],"&lt;=100",CampList[Affected Population],"IDP")</f>
        <v>0</v>
      </c>
      <c r="AK11" s="922">
        <f>SUMIFS(CampList[Total],CampList[Township],$AI11,CampList[Status],"open",CampList[Total],"&gt;100",CampList[Total],"&lt;=1000",CampList[Affected Population],"IDP")</f>
        <v>0</v>
      </c>
      <c r="AL11" s="922">
        <f>SUMIFS(CampList[Total],CampList[Township],$AI11,CampList[Status],"open",CampList[Total],"&gt;1000",CampList[Total],"&lt;=5000",CampList[Affected Population],"IDP")</f>
        <v>0</v>
      </c>
      <c r="AM11" s="922">
        <f>SUMIFS(CampList[Total],CampList[Township],$AI11,CampList[Status],"open",CampList[Total],"&gt;5000",CampList[Total],"&lt;=100000",CampList[Affected Population],"IDP")</f>
        <v>0</v>
      </c>
    </row>
    <row r="12" spans="1:53" ht="8.25" customHeight="1" x14ac:dyDescent="0.25">
      <c r="A12" s="517"/>
      <c r="B12" s="526"/>
      <c r="C12" s="526"/>
      <c r="D12" s="526"/>
      <c r="E12" s="526"/>
      <c r="F12" s="526"/>
      <c r="G12" s="526"/>
      <c r="H12" s="526"/>
      <c r="I12" s="526"/>
      <c r="J12" s="526"/>
      <c r="K12" s="526"/>
      <c r="L12" s="526"/>
      <c r="M12" s="518"/>
      <c r="N12" s="518"/>
      <c r="O12" s="518"/>
      <c r="P12" s="518"/>
      <c r="Q12" s="518"/>
      <c r="R12" s="518"/>
      <c r="S12" s="520"/>
      <c r="AI12" s="562" t="s">
        <v>526</v>
      </c>
      <c r="AJ12" s="922">
        <f>SUMIFS(CampList[Total],CampList[Township],$AI12,CampList[Status],"open",CampList[Total],"&lt;=100",CampList[Affected Population],"IDP")</f>
        <v>534</v>
      </c>
      <c r="AK12" s="922">
        <f>SUMIFS(CampList[Total],CampList[Township],$AI12,CampList[Status],"open",CampList[Total],"&gt;100",CampList[Total],"&lt;=1000",CampList[Affected Population],"IDP")</f>
        <v>3003</v>
      </c>
      <c r="AL12" s="922">
        <f>SUMIFS(CampList[Total],CampList[Township],$AI12,CampList[Status],"open",CampList[Total],"&gt;1000",CampList[Total],"&lt;=5000",CampList[Affected Population],"IDP")</f>
        <v>0</v>
      </c>
      <c r="AM12" s="922">
        <f>SUMIFS(CampList[Total],CampList[Township],$AI12,CampList[Status],"open",CampList[Total],"&gt;5000",CampList[Total],"&lt;=100000",CampList[Affected Population],"IDP")</f>
        <v>0</v>
      </c>
    </row>
    <row r="13" spans="1:53" ht="8.25" customHeight="1" x14ac:dyDescent="0.25">
      <c r="A13" s="517"/>
      <c r="B13" s="526"/>
      <c r="C13" s="526"/>
      <c r="D13" s="526"/>
      <c r="E13" s="526"/>
      <c r="F13" s="526"/>
      <c r="G13" s="526"/>
      <c r="H13" s="526"/>
      <c r="I13" s="526"/>
      <c r="J13" s="526"/>
      <c r="K13" s="526"/>
      <c r="L13" s="526"/>
      <c r="M13" s="518"/>
      <c r="N13" s="518"/>
      <c r="O13" s="518"/>
      <c r="P13" s="518"/>
      <c r="Q13" s="518"/>
      <c r="R13" s="518"/>
      <c r="S13" s="520"/>
      <c r="AI13" s="562" t="s">
        <v>778</v>
      </c>
      <c r="AJ13" s="922">
        <f>SUMIFS(CampList[Total],CampList[Township],$AI13,CampList[Status],"open",CampList[Total],"&lt;=100",CampList[Affected Population],"IDP")</f>
        <v>0</v>
      </c>
      <c r="AK13" s="922">
        <f>SUMIFS(CampList[Total],CampList[Township],$AI13,CampList[Status],"open",CampList[Total],"&gt;100",CampList[Total],"&lt;=1000",CampList[Affected Population],"IDP")</f>
        <v>577</v>
      </c>
      <c r="AL13" s="922">
        <f>SUMIFS(CampList[Total],CampList[Township],$AI13,CampList[Status],"open",CampList[Total],"&gt;1000",CampList[Total],"&lt;=5000",CampList[Affected Population],"IDP")</f>
        <v>0</v>
      </c>
      <c r="AM13" s="922">
        <f>SUMIFS(CampList[Total],CampList[Township],$AI13,CampList[Status],"open",CampList[Total],"&gt;5000",CampList[Total],"&lt;=100000",CampList[Affected Population],"IDP")</f>
        <v>0</v>
      </c>
    </row>
    <row r="14" spans="1:53" ht="18.75" customHeight="1" x14ac:dyDescent="0.25">
      <c r="A14" s="517"/>
      <c r="B14" s="640" t="s">
        <v>1419</v>
      </c>
      <c r="C14" s="641" t="s">
        <v>570</v>
      </c>
      <c r="D14" s="641" t="s">
        <v>575</v>
      </c>
      <c r="E14" s="641" t="s">
        <v>1229</v>
      </c>
      <c r="F14" s="526"/>
      <c r="G14" s="526"/>
      <c r="H14" s="526"/>
      <c r="I14" s="526"/>
      <c r="J14" s="526"/>
      <c r="K14" s="526"/>
      <c r="L14" s="526"/>
      <c r="M14" s="518"/>
      <c r="N14" s="518"/>
      <c r="O14" s="518"/>
      <c r="P14" s="518"/>
      <c r="Q14" s="518"/>
      <c r="R14" s="518"/>
      <c r="S14" s="520"/>
      <c r="AJ14" s="922">
        <f>SUMIFS(CampList[Total],CampList[Township],$AI14,CampList[Status],"open",CampList[Total],"&lt;=100",CampList[Affected Population],"IDP")</f>
        <v>0</v>
      </c>
      <c r="AK14" s="922">
        <f>SUMIFS(CampList[Total],CampList[Township],$AI14,CampList[Status],"open",CampList[Total],"&gt;100",CampList[Total],"&lt;=1000",CampList[Affected Population],"IDP")</f>
        <v>0</v>
      </c>
      <c r="AL14" s="922">
        <f>SUMIFS(CampList[Total],CampList[Township],$AI14,CampList[Status],"open",CampList[Total],"&gt;1000",CampList[Total],"&lt;=5000",CampList[Affected Population],"IDP")</f>
        <v>0</v>
      </c>
      <c r="AM14" s="922">
        <f>SUMIFS(CampList[Total],CampList[Township],$AI14,CampList[Status],"open",CampList[Total],"&gt;5000",CampList[Total],"&lt;=100000",CampList[Affected Population],"IDP")</f>
        <v>0</v>
      </c>
    </row>
    <row r="15" spans="1:53" ht="18.75" customHeight="1" x14ac:dyDescent="0.25">
      <c r="A15" s="517"/>
      <c r="B15" s="642" t="s">
        <v>380</v>
      </c>
      <c r="C15" s="643"/>
      <c r="D15" s="643"/>
      <c r="E15" s="643"/>
      <c r="F15" s="518"/>
      <c r="G15" s="518"/>
      <c r="H15" s="518"/>
      <c r="I15" s="518"/>
      <c r="J15" s="518"/>
      <c r="K15" s="518"/>
      <c r="L15" s="518"/>
      <c r="M15" s="518"/>
      <c r="N15" s="518"/>
      <c r="O15" s="518"/>
      <c r="P15" s="518"/>
      <c r="Q15" s="175"/>
      <c r="R15" s="518"/>
      <c r="S15" s="520"/>
      <c r="AI15" s="923" t="s">
        <v>363</v>
      </c>
      <c r="AJ15" s="922">
        <f>SUMIFS(CampList[Total],CampList[Township],$AI15,CampList[Status],"open",CampList[Total],"&lt;=100",CampList[Affected Population],"IDP")</f>
        <v>0</v>
      </c>
      <c r="AK15" s="922">
        <f>SUMIFS(CampList[Total],CampList[Township],$AI15,CampList[Status],"open",CampList[Total],"&gt;100",CampList[Total],"&lt;=1000",CampList[Affected Population],"IDP")</f>
        <v>0</v>
      </c>
      <c r="AL15" s="922">
        <f>SUMIFS(CampList[Total],CampList[Township],$AI15,CampList[Status],"open",CampList[Total],"&gt;1000",CampList[Total],"&lt;=5000",CampList[Affected Population],"IDP")</f>
        <v>0</v>
      </c>
      <c r="AM15" s="922">
        <f>SUMIFS(CampList[Total],CampList[Township],$AI15,CampList[Status],"open",CampList[Total],"&gt;5000",CampList[Total],"&lt;=100000",CampList[Affected Population],"IDP")</f>
        <v>0</v>
      </c>
    </row>
    <row r="16" spans="1:53" ht="12" customHeight="1" x14ac:dyDescent="0.25">
      <c r="A16" s="517"/>
      <c r="B16" s="644" t="s">
        <v>5</v>
      </c>
      <c r="C16" s="645">
        <f>SUMIFS(CampList[HH],CampList[Township],$B16,CampList[Status],"open",CampList[Affected Population],"IDP", CampList[State],"Kachin")</f>
        <v>1494</v>
      </c>
      <c r="D16" s="645">
        <f>SUMIFS(CampList[Total],CampList[Township],$B16,CampList[Status],"open",CampList[Affected Population],"IDP", CampList[State],"Kachin")</f>
        <v>8403</v>
      </c>
      <c r="E16" s="646">
        <f>COUNTIFS(CampList[Township],$B16,CampList[Status],"open",CampList[Affected Population],"IDP",CampList[State],"Kachin")</f>
        <v>11</v>
      </c>
      <c r="F16" s="518"/>
      <c r="G16" s="519"/>
      <c r="H16" s="518"/>
      <c r="I16" s="518"/>
      <c r="J16" s="518"/>
      <c r="K16" s="518"/>
      <c r="L16" s="518"/>
      <c r="M16" s="518"/>
      <c r="N16" s="518"/>
      <c r="O16" s="518"/>
      <c r="P16" s="518"/>
      <c r="Q16" s="175"/>
      <c r="R16" s="518"/>
      <c r="S16" s="520"/>
      <c r="AI16" s="562" t="s">
        <v>144</v>
      </c>
      <c r="AJ16" s="922">
        <f>SUMIFS(CampList[Total],CampList[Township],$AI16,CampList[Status],"open",CampList[Total],"&lt;=100",CampList[Affected Population],"IDP")</f>
        <v>0</v>
      </c>
      <c r="AK16" s="922">
        <f>SUMIFS(CampList[Total],CampList[Township],$AI16,CampList[Status],"open",CampList[Total],"&gt;100",CampList[Total],"&lt;=1000",CampList[Affected Population],"IDP")</f>
        <v>0</v>
      </c>
      <c r="AL16" s="922">
        <f>SUMIFS(CampList[Total],CampList[Township],$AI16,CampList[Status],"open",CampList[Total],"&gt;1000",CampList[Total],"&lt;=5000",CampList[Affected Population],"IDP")</f>
        <v>0</v>
      </c>
      <c r="AM16" s="922">
        <f>SUMIFS(CampList[Total],CampList[Township],$AI16,CampList[Status],"open",CampList[Total],"&gt;5000",CampList[Total],"&lt;=100000",CampList[Affected Population],"IDP")</f>
        <v>0</v>
      </c>
    </row>
    <row r="17" spans="1:42" ht="12" customHeight="1" x14ac:dyDescent="0.25">
      <c r="A17" s="517"/>
      <c r="B17" s="644" t="s">
        <v>27</v>
      </c>
      <c r="C17" s="645">
        <f>SUMIFS(CampList[HH],CampList[Township],$B17,CampList[Status],"open",CampList[Affected Population],"IDP", CampList[State],"Kachin")</f>
        <v>498</v>
      </c>
      <c r="D17" s="645">
        <f>SUMIFS(CampList[Total],CampList[Township],$B17,CampList[Status],"open",CampList[Affected Population],"IDP", CampList[State],"Kachin")</f>
        <v>2556</v>
      </c>
      <c r="E17" s="646">
        <f>COUNTIFS(CampList[Township],$B17,CampList[Status],"open",CampList[Affected Population],"IDP",CampList[State],"Kachin")</f>
        <v>5</v>
      </c>
      <c r="F17" s="518"/>
      <c r="G17" s="519"/>
      <c r="H17" s="518"/>
      <c r="I17" s="518"/>
      <c r="J17" s="518"/>
      <c r="K17" s="518"/>
      <c r="L17" s="518"/>
      <c r="M17" s="518"/>
      <c r="N17" s="518"/>
      <c r="O17" s="518"/>
      <c r="P17" s="518"/>
      <c r="Q17" s="518"/>
      <c r="R17" s="518"/>
      <c r="S17" s="520"/>
      <c r="AI17" s="562" t="s">
        <v>146</v>
      </c>
      <c r="AJ17" s="922">
        <f>SUMIFS(CampList[Total],CampList[Township],$AI17,CampList[Status],"open",CampList[Total],"&lt;=100",CampList[Affected Population],"IDP")</f>
        <v>84</v>
      </c>
      <c r="AK17" s="922">
        <f>SUMIFS(CampList[Total],CampList[Township],$AI17,CampList[Status],"open",CampList[Total],"&gt;100",CampList[Total],"&lt;=1000",CampList[Affected Population],"IDP")</f>
        <v>4058</v>
      </c>
      <c r="AL17" s="922">
        <f>SUMIFS(CampList[Total],CampList[Township],$AI17,CampList[Status],"open",CampList[Total],"&gt;1000",CampList[Total],"&lt;=5000",CampList[Affected Population],"IDP")</f>
        <v>0</v>
      </c>
      <c r="AM17" s="922">
        <f>SUMIFS(CampList[Total],CampList[Township],$AI17,CampList[Status],"open",CampList[Total],"&gt;5000",CampList[Total],"&lt;=100000",CampList[Affected Population],"IDP")</f>
        <v>0</v>
      </c>
    </row>
    <row r="18" spans="1:42" ht="12" customHeight="1" x14ac:dyDescent="0.25">
      <c r="A18" s="517"/>
      <c r="B18" s="644" t="s">
        <v>526</v>
      </c>
      <c r="C18" s="645">
        <f>SUMIFS(CampList[HH],CampList[Township],$B18,CampList[Status],"open",CampList[Affected Population],"IDP", CampList[State],"Kachin")</f>
        <v>719</v>
      </c>
      <c r="D18" s="645">
        <f>SUMIFS(CampList[Total],CampList[Township],$B18,CampList[Status],"open",CampList[Affected Population],"IDP", CampList[State],"Kachin")</f>
        <v>3537</v>
      </c>
      <c r="E18" s="646">
        <f>COUNTIFS(CampList[Township],$B18,CampList[Status],"open",CampList[Affected Population],"IDP",CampList[State],"Kachin")</f>
        <v>22</v>
      </c>
      <c r="F18" s="518"/>
      <c r="G18" s="519"/>
      <c r="H18" s="518"/>
      <c r="I18" s="518"/>
      <c r="J18" s="518"/>
      <c r="K18" s="518"/>
      <c r="L18" s="518"/>
      <c r="M18" s="518"/>
      <c r="N18" s="518"/>
      <c r="O18" s="518"/>
      <c r="P18" s="518"/>
      <c r="Q18" s="518"/>
      <c r="R18" s="518"/>
      <c r="S18" s="520"/>
      <c r="AI18" s="562" t="s">
        <v>891</v>
      </c>
      <c r="AJ18" s="922">
        <f>SUMIFS(CampList[Total],CampList[Township],$AI18,CampList[Status],"open",CampList[Total],"&lt;=100",CampList[Affected Population],"IDP")</f>
        <v>0</v>
      </c>
      <c r="AK18" s="922">
        <f>SUMIFS(CampList[Total],CampList[Township],$AI18,CampList[Status],"open",CampList[Total],"&gt;100",CampList[Total],"&lt;=1000",CampList[Affected Population],"IDP")</f>
        <v>0</v>
      </c>
      <c r="AL18" s="922">
        <f>SUMIFS(CampList[Total],CampList[Township],$AI18,CampList[Status],"open",CampList[Total],"&gt;1000",CampList[Total],"&lt;=5000",CampList[Affected Population],"IDP")</f>
        <v>0</v>
      </c>
      <c r="AM18" s="922">
        <f>SUMIFS(CampList[Total],CampList[Township],$AI18,CampList[Status],"open",CampList[Total],"&gt;5000",CampList[Total],"&lt;=100000",CampList[Affected Population],"IDP")</f>
        <v>0</v>
      </c>
    </row>
    <row r="19" spans="1:42" ht="12" customHeight="1" x14ac:dyDescent="0.25">
      <c r="A19" s="517"/>
      <c r="B19" s="644" t="s">
        <v>363</v>
      </c>
      <c r="C19" s="645">
        <f>SUMIFS(CampList[HH],CampList[Township],$B19,CampList[Status],"open",CampList[Affected Population],"IDP", CampList[State],"Kachin")</f>
        <v>0</v>
      </c>
      <c r="D19" s="645">
        <f>SUMIFS(CampList[Total],CampList[Township],$B19,CampList[Status],"open",CampList[Affected Population],"IDP", CampList[State],"Kachin")</f>
        <v>0</v>
      </c>
      <c r="E19" s="646">
        <f>COUNTIFS(CampList[Township],$B19,CampList[Status],"open",CampList[Affected Population],"IDP",CampList[State],"Kachin")</f>
        <v>0</v>
      </c>
      <c r="F19" s="518"/>
      <c r="G19" s="518"/>
      <c r="H19" s="518"/>
      <c r="I19" s="518"/>
      <c r="J19" s="518"/>
      <c r="K19" s="518"/>
      <c r="L19" s="518"/>
      <c r="M19" s="518"/>
      <c r="N19" s="518"/>
      <c r="O19" s="518"/>
      <c r="P19" s="518"/>
      <c r="Q19" s="518"/>
      <c r="R19" s="518"/>
      <c r="S19" s="520"/>
      <c r="AI19" s="562" t="s">
        <v>151</v>
      </c>
      <c r="AJ19" s="922">
        <f>SUMIFS(CampList[Total],CampList[Township],$AI19,CampList[Status],"open",CampList[Total],"&lt;=100",CampList[Affected Population],"IDP")</f>
        <v>0</v>
      </c>
      <c r="AK19" s="922">
        <f>SUMIFS(CampList[Total],CampList[Township],$AI19,CampList[Status],"open",CampList[Total],"&gt;100",CampList[Total],"&lt;=1000",CampList[Affected Population],"IDP")</f>
        <v>4484</v>
      </c>
      <c r="AL19" s="922">
        <f>SUMIFS(CampList[Total],CampList[Township],$AI19,CampList[Status],"open",CampList[Total],"&gt;1000",CampList[Total],"&lt;=5000",CampList[Affected Population],"IDP")</f>
        <v>8585</v>
      </c>
      <c r="AM19" s="922">
        <f>SUMIFS(CampList[Total],CampList[Township],$AI19,CampList[Status],"open",CampList[Total],"&gt;5000",CampList[Total],"&lt;=100000",CampList[Affected Population],"IDP")</f>
        <v>0</v>
      </c>
      <c r="AP19" s="386"/>
    </row>
    <row r="20" spans="1:42" ht="12" customHeight="1" x14ac:dyDescent="0.25">
      <c r="A20" s="517"/>
      <c r="B20" s="644" t="s">
        <v>144</v>
      </c>
      <c r="C20" s="645">
        <f>SUMIFS(CampList[HH],CampList[Township],$B20,CampList[Status],"open",CampList[Affected Population],"IDP", CampList[State],"Kachin")</f>
        <v>0</v>
      </c>
      <c r="D20" s="645">
        <f>SUMIFS(CampList[Total],CampList[Township],$B20,CampList[Status],"open",CampList[Affected Population],"IDP", CampList[State],"Kachin")</f>
        <v>0</v>
      </c>
      <c r="E20" s="646">
        <f>COUNTIFS(CampList[Township],$B20,CampList[Status],"open",CampList[Affected Population],"IDP",CampList[State],"Kachin")</f>
        <v>0</v>
      </c>
      <c r="F20" s="518"/>
      <c r="G20" s="518"/>
      <c r="H20" s="518"/>
      <c r="I20" s="518"/>
      <c r="J20" s="518"/>
      <c r="K20" s="518"/>
      <c r="L20" s="518"/>
      <c r="M20" s="518"/>
      <c r="N20" s="518"/>
      <c r="O20" s="518"/>
      <c r="P20" s="518"/>
      <c r="Q20" s="518"/>
      <c r="R20" s="518"/>
      <c r="S20" s="520"/>
      <c r="T20" s="395">
        <f>V26</f>
        <v>0</v>
      </c>
      <c r="AI20" s="562" t="s">
        <v>166</v>
      </c>
      <c r="AJ20" s="922">
        <f>SUMIFS(CampList[Total],CampList[Township],$AI20,CampList[Status],"open",CampList[Total],"&lt;=100",CampList[Affected Population],"IDP")</f>
        <v>0</v>
      </c>
      <c r="AK20" s="922">
        <f>SUMIFS(CampList[Total],CampList[Township],$AI20,CampList[Status],"open",CampList[Total],"&gt;100",CampList[Total],"&lt;=1000",CampList[Affected Population],"IDP")</f>
        <v>544</v>
      </c>
      <c r="AL20" s="922">
        <f>SUMIFS(CampList[Total],CampList[Township],$AI20,CampList[Status],"open",CampList[Total],"&gt;1000",CampList[Total],"&lt;=5000",CampList[Affected Population],"IDP")</f>
        <v>0</v>
      </c>
      <c r="AM20" s="922">
        <f>SUMIFS(CampList[Total],CampList[Township],$AI20,CampList[Status],"open",CampList[Total],"&gt;5000",CampList[Total],"&lt;=100000",CampList[Affected Population],"IDP")</f>
        <v>0</v>
      </c>
      <c r="AP20" s="386"/>
    </row>
    <row r="21" spans="1:42" ht="12" customHeight="1" x14ac:dyDescent="0.25">
      <c r="A21" s="517"/>
      <c r="B21" s="644" t="s">
        <v>891</v>
      </c>
      <c r="C21" s="645">
        <f>SUMIFS(CampList[HH],CampList[Township],$B21,CampList[Status],"open",CampList[Affected Population],"IDP", CampList[State],"Kachin")</f>
        <v>0</v>
      </c>
      <c r="D21" s="645">
        <f>SUMIFS(CampList[Total],CampList[Township],$B21,CampList[Status],"open",CampList[Affected Population],"IDP", CampList[State],"Kachin")</f>
        <v>0</v>
      </c>
      <c r="E21" s="646">
        <f>COUNTIFS(CampList[Township],$B21,CampList[Status],"open",CampList[Affected Population],"IDP",CampList[State],"Kachin")</f>
        <v>0</v>
      </c>
      <c r="F21" s="518"/>
      <c r="G21" s="518"/>
      <c r="H21" s="518"/>
      <c r="I21" s="518"/>
      <c r="J21" s="518"/>
      <c r="K21" s="518"/>
      <c r="L21" s="518"/>
      <c r="M21" s="518"/>
      <c r="N21" s="518"/>
      <c r="O21" s="518"/>
      <c r="P21" s="518"/>
      <c r="Q21" s="518"/>
      <c r="R21" s="518"/>
      <c r="S21" s="520"/>
      <c r="U21" s="672"/>
      <c r="AI21" s="562" t="s">
        <v>173</v>
      </c>
      <c r="AJ21" s="922">
        <f>SUMIFS(CampList[Total],CampList[Township],$AI21,CampList[Status],"open",CampList[Total],"&lt;=100",CampList[Affected Population],"IDP")</f>
        <v>216</v>
      </c>
      <c r="AK21" s="922">
        <f>SUMIFS(CampList[Total],CampList[Township],$AI21,CampList[Status],"open",CampList[Total],"&gt;100",CampList[Total],"&lt;=1000",CampList[Affected Population],"IDP")</f>
        <v>134</v>
      </c>
      <c r="AL21" s="922">
        <f>SUMIFS(CampList[Total],CampList[Township],$AI21,CampList[Status],"open",CampList[Total],"&gt;1000",CampList[Total],"&lt;=5000",CampList[Affected Population],"IDP")</f>
        <v>0</v>
      </c>
      <c r="AM21" s="922">
        <f>SUMIFS(CampList[Total],CampList[Township],$AI21,CampList[Status],"open",CampList[Total],"&gt;5000",CampList[Total],"&lt;=100000",CampList[Affected Population],"IDP")</f>
        <v>0</v>
      </c>
      <c r="AP21" s="386"/>
    </row>
    <row r="22" spans="1:42" ht="12" customHeight="1" x14ac:dyDescent="0.25">
      <c r="A22" s="517"/>
      <c r="B22" s="644" t="s">
        <v>151</v>
      </c>
      <c r="C22" s="645">
        <f>SUMIFS(CampList[HH],CampList[Township],$B22,CampList[Status],"open",CampList[Affected Population],"IDP", CampList[State],"Kachin")</f>
        <v>2761</v>
      </c>
      <c r="D22" s="645">
        <f>SUMIFS(CampList[Total],CampList[Township],$B22,CampList[Status],"open",CampList[Affected Population],"IDP", CampList[State],"Kachin")</f>
        <v>13069</v>
      </c>
      <c r="E22" s="646">
        <f>COUNTIFS(CampList[Township],$B22,CampList[Status],"open",CampList[Affected Population],"IDP",CampList[State],"Kachin")</f>
        <v>11</v>
      </c>
      <c r="F22" s="518"/>
      <c r="G22" s="518"/>
      <c r="H22" s="518"/>
      <c r="I22" s="518"/>
      <c r="J22" s="518"/>
      <c r="K22" s="518"/>
      <c r="L22" s="518"/>
      <c r="M22" s="518"/>
      <c r="N22" s="518"/>
      <c r="O22" s="518"/>
      <c r="P22" s="518"/>
      <c r="Q22" s="518"/>
      <c r="R22" s="518"/>
      <c r="S22" s="520"/>
      <c r="AI22" s="562" t="s">
        <v>180</v>
      </c>
      <c r="AJ22" s="922">
        <f>SUMIFS(CampList[Total],CampList[Township],$AI22,CampList[Status],"open",CampList[Total],"&lt;=100",CampList[Affected Population],"IDP")</f>
        <v>114</v>
      </c>
      <c r="AK22" s="922">
        <f>SUMIFS(CampList[Total],CampList[Township],$AI22,CampList[Status],"open",CampList[Total],"&gt;100",CampList[Total],"&lt;=1000",CampList[Affected Population],"IDP")</f>
        <v>222</v>
      </c>
      <c r="AL22" s="922">
        <f>SUMIFS(CampList[Total],CampList[Township],$AI22,CampList[Status],"open",CampList[Total],"&gt;1000",CampList[Total],"&lt;=5000",CampList[Affected Population],"IDP")</f>
        <v>0</v>
      </c>
      <c r="AM22" s="922">
        <f>SUMIFS(CampList[Total],CampList[Township],$AI22,CampList[Status],"open",CampList[Total],"&gt;5000",CampList[Total],"&lt;=100000",CampList[Affected Population],"IDP")</f>
        <v>0</v>
      </c>
      <c r="AP22" s="386"/>
    </row>
    <row r="23" spans="1:42" ht="12" customHeight="1" x14ac:dyDescent="0.25">
      <c r="A23" s="517"/>
      <c r="B23" s="644" t="s">
        <v>173</v>
      </c>
      <c r="C23" s="645">
        <f>SUMIFS(CampList[HH],CampList[Township],$B23,CampList[Status],"open",CampList[Affected Population],"IDP", CampList[State],"Kachin")</f>
        <v>75</v>
      </c>
      <c r="D23" s="645">
        <f>SUMIFS(CampList[Total],CampList[Township],$B23,CampList[Status],"open",CampList[Affected Population],"IDP", CampList[State],"Kachin")</f>
        <v>350</v>
      </c>
      <c r="E23" s="646">
        <f>COUNTIFS(CampList[Township],$B23,CampList[Status],"open",CampList[Affected Population],"IDP",CampList[State],"Kachin")</f>
        <v>5</v>
      </c>
      <c r="F23" s="518"/>
      <c r="G23" s="518"/>
      <c r="H23" s="518"/>
      <c r="I23" s="518"/>
      <c r="J23" s="518"/>
      <c r="K23" s="518"/>
      <c r="L23" s="518"/>
      <c r="M23" s="518"/>
      <c r="N23" s="518"/>
      <c r="O23" s="518"/>
      <c r="P23" s="518"/>
      <c r="Q23" s="518"/>
      <c r="R23" s="518"/>
      <c r="S23" s="520"/>
      <c r="AI23" s="562" t="s">
        <v>185</v>
      </c>
      <c r="AJ23" s="922">
        <f>SUMIFS(CampList[Total],CampList[Township],$AI23,CampList[Status],"open",CampList[Total],"&lt;=100",CampList[Affected Population],"IDP")</f>
        <v>26</v>
      </c>
      <c r="AK23" s="922">
        <f>SUMIFS(CampList[Total],CampList[Township],$AI23,CampList[Status],"open",CampList[Total],"&gt;100",CampList[Total],"&lt;=1000",CampList[Affected Population],"IDP")</f>
        <v>1878</v>
      </c>
      <c r="AL23" s="922">
        <f>SUMIFS(CampList[Total],CampList[Township],$AI23,CampList[Status],"open",CampList[Total],"&gt;1000",CampList[Total],"&lt;=5000",CampList[Affected Population],"IDP")</f>
        <v>13795</v>
      </c>
      <c r="AM23" s="922">
        <f>SUMIFS(CampList[Total],CampList[Township],$AI23,CampList[Status],"open",CampList[Total],"&gt;5000",CampList[Total],"&lt;=100000",CampList[Affected Population],"IDP")</f>
        <v>8610</v>
      </c>
      <c r="AP23" s="386"/>
    </row>
    <row r="24" spans="1:42" ht="12" customHeight="1" x14ac:dyDescent="0.25">
      <c r="A24" s="517"/>
      <c r="B24" s="644" t="s">
        <v>180</v>
      </c>
      <c r="C24" s="645">
        <f>SUMIFS(CampList[HH],CampList[Township],$B24,CampList[Status],"open",CampList[Affected Population],"IDP", CampList[State],"Kachin")</f>
        <v>70</v>
      </c>
      <c r="D24" s="645">
        <f>SUMIFS(CampList[Total],CampList[Township],$B24,CampList[Status],"open",CampList[Affected Population],"IDP", CampList[State],"Kachin")</f>
        <v>336</v>
      </c>
      <c r="E24" s="646">
        <f>COUNTIFS(CampList[Township],$B24,CampList[Status],"open",CampList[Affected Population],"IDP",CampList[State],"Kachin")</f>
        <v>4</v>
      </c>
      <c r="F24" s="518"/>
      <c r="G24" s="518"/>
      <c r="H24" s="518"/>
      <c r="I24" s="518"/>
      <c r="J24" s="518"/>
      <c r="K24" s="518"/>
      <c r="L24" s="518"/>
      <c r="M24" s="518"/>
      <c r="N24" s="518"/>
      <c r="O24" s="518"/>
      <c r="P24" s="518"/>
      <c r="Q24" s="518"/>
      <c r="R24" s="518"/>
      <c r="S24" s="520"/>
      <c r="AI24" s="562" t="s">
        <v>230</v>
      </c>
      <c r="AJ24" s="922">
        <f>SUMIFS(CampList[Total],CampList[Township],$AI24,CampList[Status],"open",CampList[Total],"&lt;=100",CampList[Affected Population],"IDP")</f>
        <v>44</v>
      </c>
      <c r="AK24" s="922">
        <f>SUMIFS(CampList[Total],CampList[Township],$AI24,CampList[Status],"open",CampList[Total],"&gt;100",CampList[Total],"&lt;=1000",CampList[Affected Population],"IDP")</f>
        <v>1466</v>
      </c>
      <c r="AL24" s="922">
        <f>SUMIFS(CampList[Total],CampList[Township],$AI24,CampList[Status],"open",CampList[Total],"&gt;1000",CampList[Total],"&lt;=5000",CampList[Affected Population],"IDP")</f>
        <v>0</v>
      </c>
      <c r="AM24" s="922">
        <f>SUMIFS(CampList[Total],CampList[Township],$AI24,CampList[Status],"open",CampList[Total],"&gt;5000",CampList[Total],"&lt;=100000",CampList[Affected Population],"IDP")</f>
        <v>0</v>
      </c>
      <c r="AP24" s="386"/>
    </row>
    <row r="25" spans="1:42" ht="12" customHeight="1" x14ac:dyDescent="0.25">
      <c r="A25" s="517"/>
      <c r="B25" s="644" t="s">
        <v>185</v>
      </c>
      <c r="C25" s="645">
        <f>SUMIFS(CampList[HH],CampList[Township],$B25,CampList[Status],"open",CampList[Affected Population],"IDP", CampList[State],"Kachin")</f>
        <v>4674</v>
      </c>
      <c r="D25" s="645">
        <f>SUMIFS(CampList[Total],CampList[Township],$B25,CampList[Status],"open",CampList[Affected Population],"IDP", CampList[State],"Kachin")</f>
        <v>24309</v>
      </c>
      <c r="E25" s="646">
        <f>COUNTIFS(CampList[Township],$B25,CampList[Status],"open",CampList[Affected Population],"IDP",CampList[State],"Kachin")</f>
        <v>15</v>
      </c>
      <c r="F25" s="518"/>
      <c r="G25" s="381"/>
      <c r="H25" s="381"/>
      <c r="I25" s="381"/>
      <c r="J25" s="381"/>
      <c r="K25" s="381"/>
      <c r="L25" s="381"/>
      <c r="M25" s="518"/>
      <c r="N25" s="518"/>
      <c r="O25" s="518"/>
      <c r="P25" s="518"/>
      <c r="Q25" s="518"/>
      <c r="R25" s="518"/>
      <c r="S25" s="520"/>
      <c r="AI25" s="562" t="s">
        <v>237</v>
      </c>
      <c r="AJ25" s="922">
        <f>SUMIFS(CampList[Total],CampList[Township],$AI25,CampList[Status],"open",CampList[Total],"&lt;=100",CampList[Affected Population],"IDP")</f>
        <v>308</v>
      </c>
      <c r="AK25" s="922">
        <f>SUMIFS(CampList[Total],CampList[Township],$AI25,CampList[Status],"open",CampList[Total],"&gt;100",CampList[Total],"&lt;=1000",CampList[Affected Population],"IDP")</f>
        <v>6124</v>
      </c>
      <c r="AL25" s="922">
        <f>SUMIFS(CampList[Total],CampList[Township],$AI25,CampList[Status],"open",CampList[Total],"&gt;1000",CampList[Total],"&lt;=5000",CampList[Affected Population],"IDP")</f>
        <v>1112</v>
      </c>
      <c r="AM25" s="922">
        <f>SUMIFS(CampList[Total],CampList[Township],$AI25,CampList[Status],"open",CampList[Total],"&gt;5000",CampList[Total],"&lt;=100000",CampList[Affected Population],"IDP")</f>
        <v>0</v>
      </c>
      <c r="AP25" s="386"/>
    </row>
    <row r="26" spans="1:42" ht="12" customHeight="1" x14ac:dyDescent="0.25">
      <c r="A26" s="517"/>
      <c r="B26" s="644" t="s">
        <v>237</v>
      </c>
      <c r="C26" s="645">
        <f>SUMIFS(CampList[HH],CampList[Township],$B26,CampList[Status],"open",CampList[Affected Population],"IDP", CampList[State],"Kachin")</f>
        <v>1473</v>
      </c>
      <c r="D26" s="645">
        <f>SUMIFS(CampList[Total],CampList[Township],$B26,CampList[Status],"open",CampList[Affected Population],"IDP", CampList[State],"Kachin")</f>
        <v>7544</v>
      </c>
      <c r="E26" s="646">
        <f>COUNTIFS(CampList[Township],$B26,CampList[Status],"open",CampList[Affected Population],"IDP",CampList[State],"Kachin")</f>
        <v>24</v>
      </c>
      <c r="F26" s="518"/>
      <c r="G26" s="381"/>
      <c r="H26" s="381"/>
      <c r="I26" s="381"/>
      <c r="J26" s="381"/>
      <c r="K26" s="381"/>
      <c r="L26" s="381"/>
      <c r="M26" s="518"/>
      <c r="N26" s="518"/>
      <c r="O26" s="518"/>
      <c r="P26" s="518"/>
      <c r="Q26" s="518"/>
      <c r="R26" s="518"/>
      <c r="S26" s="520"/>
      <c r="AI26" s="562" t="s">
        <v>289</v>
      </c>
      <c r="AJ26" s="922">
        <f>SUMIFS(CampList[Total],CampList[Township],$AI26,CampList[Status],"open",CampList[Total],"&lt;=100",CampList[Affected Population],"IDP")</f>
        <v>0</v>
      </c>
      <c r="AK26" s="922">
        <f>SUMIFS(CampList[Total],CampList[Township],$AI26,CampList[Status],"open",CampList[Total],"&gt;100",CampList[Total],"&lt;=1000",CampList[Affected Population],"IDP")</f>
        <v>1976</v>
      </c>
      <c r="AL26" s="922">
        <f>SUMIFS(CampList[Total],CampList[Township],$AI26,CampList[Status],"open",CampList[Total],"&gt;1000",CampList[Total],"&lt;=5000",CampList[Affected Population],"IDP")</f>
        <v>0</v>
      </c>
      <c r="AM26" s="922">
        <f>SUMIFS(CampList[Total],CampList[Township],$AI26,CampList[Status],"open",CampList[Total],"&gt;5000",CampList[Total],"&lt;=100000",CampList[Affected Population],"IDP")</f>
        <v>0</v>
      </c>
      <c r="AP26" s="386"/>
    </row>
    <row r="27" spans="1:42" ht="12" customHeight="1" x14ac:dyDescent="0.25">
      <c r="A27" s="517"/>
      <c r="B27" s="644" t="s">
        <v>300</v>
      </c>
      <c r="C27" s="645">
        <f>SUMIFS(CampList[HH],CampList[Township],$B27,CampList[Status],"open",CampList[Affected Population],"IDP", CampList[State],"Kachin")</f>
        <v>85</v>
      </c>
      <c r="D27" s="645">
        <f>SUMIFS(CampList[Total],CampList[Township],$B27,CampList[Status],"open",CampList[Affected Population],"IDP", CampList[State],"Kachin")</f>
        <v>407</v>
      </c>
      <c r="E27" s="646">
        <f>COUNTIFS(CampList[Township],$B27,CampList[Status],"open",CampList[Affected Population],"IDP",CampList[State],"Kachin")</f>
        <v>3</v>
      </c>
      <c r="F27" s="518"/>
      <c r="G27" s="381"/>
      <c r="H27" s="381"/>
      <c r="I27" s="381"/>
      <c r="J27" s="381"/>
      <c r="K27" s="381"/>
      <c r="L27" s="381"/>
      <c r="M27" s="518"/>
      <c r="N27" s="518"/>
      <c r="O27" s="518"/>
      <c r="P27" s="518"/>
      <c r="Q27" s="518"/>
      <c r="R27" s="518"/>
      <c r="S27" s="520"/>
      <c r="AI27" s="562" t="s">
        <v>298</v>
      </c>
      <c r="AJ27" s="922">
        <f>SUMIFS(CampList[Total],CampList[Township],$AI27,CampList[Status],"open",CampList[Total],"&lt;=100",CampList[Affected Population],"IDP")</f>
        <v>127</v>
      </c>
      <c r="AK27" s="922">
        <f>SUMIFS(CampList[Total],CampList[Township],$AI27,CampList[Status],"open",CampList[Total],"&gt;100",CampList[Total],"&lt;=1000",CampList[Affected Population],"IDP")</f>
        <v>1090</v>
      </c>
      <c r="AL27" s="922">
        <f>SUMIFS(CampList[Total],CampList[Township],$AI27,CampList[Status],"open",CampList[Total],"&gt;1000",CampList[Total],"&lt;=5000",CampList[Affected Population],"IDP")</f>
        <v>0</v>
      </c>
      <c r="AM27" s="922">
        <f>SUMIFS(CampList[Total],CampList[Township],$AI27,CampList[Status],"open",CampList[Total],"&gt;5000",CampList[Total],"&lt;=100000",CampList[Affected Population],"IDP")</f>
        <v>0</v>
      </c>
    </row>
    <row r="28" spans="1:42" ht="12" customHeight="1" x14ac:dyDescent="0.25">
      <c r="A28" s="517"/>
      <c r="B28" s="644" t="s">
        <v>302</v>
      </c>
      <c r="C28" s="645">
        <f>SUMIFS(CampList[HH],CampList[Township],$B28,CampList[Status],"open",CampList[Affected Population],"IDP", CampList[State],"Kachin")</f>
        <v>504</v>
      </c>
      <c r="D28" s="645">
        <f>SUMIFS(CampList[Total],CampList[Township],$B28,CampList[Status],"open",CampList[Affected Population],"IDP", CampList[State],"Kachin")</f>
        <v>2164</v>
      </c>
      <c r="E28" s="646">
        <f>COUNTIFS(CampList[Township],$B28,CampList[Status],"open",CampList[Affected Population],"IDP",CampList[State],"Kachin")</f>
        <v>3</v>
      </c>
      <c r="F28" s="518"/>
      <c r="G28" s="381"/>
      <c r="H28" s="381"/>
      <c r="I28" s="381"/>
      <c r="J28" s="381"/>
      <c r="K28" s="381"/>
      <c r="L28" s="381"/>
      <c r="M28" s="518"/>
      <c r="N28" s="518"/>
      <c r="O28" s="518"/>
      <c r="P28" s="518"/>
      <c r="Q28" s="518"/>
      <c r="R28" s="518"/>
      <c r="S28" s="520"/>
      <c r="AI28" s="562" t="s">
        <v>300</v>
      </c>
      <c r="AJ28" s="922">
        <f>SUMIFS(CampList[Total],CampList[Township],$AI28,CampList[Status],"open",CampList[Total],"&lt;=100",CampList[Affected Population],"IDP")</f>
        <v>131</v>
      </c>
      <c r="AK28" s="922">
        <f>SUMIFS(CampList[Total],CampList[Township],$AI28,CampList[Status],"open",CampList[Total],"&gt;100",CampList[Total],"&lt;=1000",CampList[Affected Population],"IDP")</f>
        <v>276</v>
      </c>
      <c r="AL28" s="922">
        <f>SUMIFS(CampList[Total],CampList[Township],$AI28,CampList[Status],"open",CampList[Total],"&gt;1000",CampList[Total],"&lt;=5000",CampList[Affected Population],"IDP")</f>
        <v>0</v>
      </c>
      <c r="AM28" s="922">
        <f>SUMIFS(CampList[Total],CampList[Township],$AI28,CampList[Status],"open",CampList[Total],"&gt;5000",CampList[Total],"&lt;=100000",CampList[Affected Population],"IDP")</f>
        <v>0</v>
      </c>
    </row>
    <row r="29" spans="1:42" ht="12" customHeight="1" x14ac:dyDescent="0.25">
      <c r="A29" s="517"/>
      <c r="B29" s="644" t="s">
        <v>807</v>
      </c>
      <c r="C29" s="645">
        <f>SUMIFS(CampList[HH],CampList[Township],$B29,CampList[Status],"open",CampList[Affected Population],"IDP", CampList[State],"Kachin")</f>
        <v>141</v>
      </c>
      <c r="D29" s="645">
        <f>SUMIFS(CampList[Total],CampList[Township],$B29,CampList[Status],"open",CampList[Affected Population],"IDP", CampList[State],"Kachin")</f>
        <v>759</v>
      </c>
      <c r="E29" s="646">
        <f>COUNTIFS(CampList[Township],$B29,CampList[Status],"open",CampList[Affected Population],"IDP",CampList[State],"Kachin")</f>
        <v>3</v>
      </c>
      <c r="F29" s="381"/>
      <c r="G29" s="381"/>
      <c r="H29" s="381"/>
      <c r="I29" s="381"/>
      <c r="J29" s="381"/>
      <c r="K29" s="381"/>
      <c r="L29" s="381"/>
      <c r="M29" s="518"/>
      <c r="N29" s="518"/>
      <c r="O29" s="518"/>
      <c r="P29" s="518"/>
      <c r="Q29" s="518"/>
      <c r="R29" s="518"/>
      <c r="S29" s="520"/>
      <c r="AI29" s="562" t="s">
        <v>302</v>
      </c>
      <c r="AJ29" s="922">
        <f>SUMIFS(CampList[Total],CampList[Township],$AI29,CampList[Status],"open",CampList[Total],"&lt;=100",CampList[Affected Population],"IDP")</f>
        <v>0</v>
      </c>
      <c r="AK29" s="922">
        <f>SUMIFS(CampList[Total],CampList[Township],$AI29,CampList[Status],"open",CampList[Total],"&gt;100",CampList[Total],"&lt;=1000",CampList[Affected Population],"IDP")</f>
        <v>473</v>
      </c>
      <c r="AL29" s="922">
        <f>SUMIFS(CampList[Total],CampList[Township],$AI29,CampList[Status],"open",CampList[Total],"&gt;1000",CampList[Total],"&lt;=5000",CampList[Affected Population],"IDP")</f>
        <v>1691</v>
      </c>
      <c r="AM29" s="922">
        <f>SUMIFS(CampList[Total],CampList[Township],$AI29,CampList[Status],"open",CampList[Total],"&gt;5000",CampList[Total],"&lt;=100000",CampList[Affected Population],"IDP")</f>
        <v>0</v>
      </c>
    </row>
    <row r="30" spans="1:42" ht="12" customHeight="1" x14ac:dyDescent="0.25">
      <c r="A30" s="517"/>
      <c r="B30" s="644" t="s">
        <v>1396</v>
      </c>
      <c r="C30" s="645">
        <f>SUMIFS(CampList[HH],CampList[Township],$B30,CampList[Status],"open",CampList[Affected Population],"IDP", CampList[State],"Kachin")</f>
        <v>0</v>
      </c>
      <c r="D30" s="645">
        <f>SUMIFS(CampList[Total],CampList[Township],$B30,CampList[Status],"open",CampList[Affected Population],"IDP", CampList[State],"Kachin")</f>
        <v>0</v>
      </c>
      <c r="E30" s="646">
        <f>COUNTIFS(CampList[Township],$B30,CampList[Status],"open",CampList[Affected Population],"IDP",CampList[State],"Kachin")</f>
        <v>0</v>
      </c>
      <c r="F30" s="381"/>
      <c r="G30" s="381"/>
      <c r="H30" s="381"/>
      <c r="I30" s="381"/>
      <c r="J30" s="381"/>
      <c r="K30" s="381"/>
      <c r="L30" s="381"/>
      <c r="M30" s="518"/>
      <c r="N30" s="518"/>
      <c r="O30" s="518"/>
      <c r="P30" s="518"/>
      <c r="Q30" s="518"/>
      <c r="R30" s="518"/>
      <c r="S30" s="520"/>
      <c r="AI30" s="562" t="s">
        <v>1481</v>
      </c>
      <c r="AJ30" s="922">
        <f>SUMIFS(CampList[Total],CampList[Township],$AI30,CampList[Status],"open",CampList[Total],"&lt;=100",CampList[Affected Population],"IDP")</f>
        <v>0</v>
      </c>
      <c r="AK30" s="922">
        <f>SUMIFS(CampList[Total],CampList[Township],$AI30,CampList[Status],"open",CampList[Total],"&gt;100",CampList[Total],"&lt;=1000",CampList[Affected Population],"IDP")</f>
        <v>120</v>
      </c>
      <c r="AL30" s="922">
        <f>SUMIFS(CampList[Total],CampList[Township],$AI30,CampList[Status],"open",CampList[Total],"&gt;1000",CampList[Total],"&lt;=5000",CampList[Affected Population],"IDP")</f>
        <v>0</v>
      </c>
      <c r="AM30" s="922">
        <f>SUMIFS(CampList[Total],CampList[Township],$AI30,CampList[Status],"open",CampList[Total],"&gt;5000",CampList[Total],"&lt;=100000",CampList[Affected Population],"IDP")</f>
        <v>0</v>
      </c>
    </row>
    <row r="31" spans="1:42" ht="12" customHeight="1" x14ac:dyDescent="0.25">
      <c r="A31" s="517"/>
      <c r="B31" s="644" t="s">
        <v>310</v>
      </c>
      <c r="C31" s="645">
        <f>SUMIFS(CampList[HH],CampList[Township],$B31,CampList[Status],"open",CampList[Affected Population],"IDP", CampList[State],"Kachin")</f>
        <v>4738</v>
      </c>
      <c r="D31" s="645">
        <f>SUMIFS(CampList[Total],CampList[Township],$B31,CampList[Status],"open",CampList[Affected Population],"IDP", CampList[State],"Kachin")</f>
        <v>24108</v>
      </c>
      <c r="E31" s="646">
        <f>COUNTIFS(CampList[Township],$B31,CampList[Status],"open",CampList[Affected Population],"IDP",CampList[State],"Kachin")</f>
        <v>23</v>
      </c>
      <c r="F31" s="381"/>
      <c r="G31" s="381"/>
      <c r="H31" s="381"/>
      <c r="I31" s="381"/>
      <c r="J31" s="381"/>
      <c r="K31" s="381"/>
      <c r="L31" s="381"/>
      <c r="M31" s="518"/>
      <c r="N31" s="518"/>
      <c r="O31" s="518"/>
      <c r="P31" s="518"/>
      <c r="Q31" s="518"/>
      <c r="R31" s="518"/>
      <c r="S31" s="520"/>
      <c r="AI31" s="562" t="s">
        <v>807</v>
      </c>
      <c r="AJ31" s="922">
        <f>SUMIFS(CampList[Total],CampList[Township],$AI31,CampList[Status],"open",CampList[Total],"&lt;=100",CampList[Affected Population],"IDP")</f>
        <v>32</v>
      </c>
      <c r="AK31" s="922">
        <f>SUMIFS(CampList[Total],CampList[Township],$AI31,CampList[Status],"open",CampList[Total],"&gt;100",CampList[Total],"&lt;=1000",CampList[Affected Population],"IDP")</f>
        <v>727</v>
      </c>
      <c r="AL31" s="922">
        <f>SUMIFS(CampList[Total],CampList[Township],$AI31,CampList[Status],"open",CampList[Total],"&gt;1000",CampList[Total],"&lt;=5000",CampList[Affected Population],"IDP")</f>
        <v>0</v>
      </c>
      <c r="AM31" s="922">
        <f>SUMIFS(CampList[Total],CampList[Township],$AI31,CampList[Status],"open",CampList[Total],"&gt;5000",CampList[Total],"&lt;=100000",CampList[Affected Population],"IDP")</f>
        <v>0</v>
      </c>
      <c r="AN31" s="924">
        <f>AM41+AJ41+AK41+AL41</f>
        <v>97628</v>
      </c>
    </row>
    <row r="32" spans="1:42" ht="15.75" customHeight="1" x14ac:dyDescent="0.25">
      <c r="A32" s="517"/>
      <c r="B32" s="647" t="s">
        <v>850</v>
      </c>
      <c r="C32" s="648">
        <f>SUM(C16:C31)</f>
        <v>17232</v>
      </c>
      <c r="D32" s="648">
        <f>SUM(D16:D31)</f>
        <v>87542</v>
      </c>
      <c r="E32" s="649">
        <f>SUM(E16:E31)</f>
        <v>129</v>
      </c>
      <c r="F32" s="381"/>
      <c r="G32" s="381"/>
      <c r="H32" s="381"/>
      <c r="I32" s="381"/>
      <c r="J32" s="381"/>
      <c r="K32" s="381"/>
      <c r="L32" s="381"/>
      <c r="M32" s="518"/>
      <c r="N32" s="518"/>
      <c r="O32" s="518"/>
      <c r="P32" s="518"/>
      <c r="Q32" s="518"/>
      <c r="R32" s="518"/>
      <c r="S32" s="520"/>
      <c r="AI32" s="562" t="s">
        <v>1396</v>
      </c>
      <c r="AJ32" s="922">
        <f>SUMIFS(CampList[Total],CampList[Township],$AI32,CampList[Status],"open",CampList[Total],"&lt;=100",CampList[Affected Population],"IDP")</f>
        <v>0</v>
      </c>
      <c r="AK32" s="922">
        <f>SUMIFS(CampList[Total],CampList[Township],$AI32,CampList[Status],"open",CampList[Total],"&gt;100",CampList[Total],"&lt;=1000",CampList[Affected Population],"IDP")</f>
        <v>0</v>
      </c>
      <c r="AL32" s="922">
        <f>SUMIFS(CampList[Total],CampList[Township],$AI32,CampList[Status],"open",CampList[Total],"&gt;1000",CampList[Total],"&lt;=5000",CampList[Affected Population],"IDP")</f>
        <v>0</v>
      </c>
      <c r="AM32" s="922">
        <f>SUMIFS(CampList[Total],CampList[Township],$AI32,CampList[Status],"open",CampList[Total],"&gt;5000",CampList[Total],"&lt;=100000",CampList[Affected Population],"IDP")</f>
        <v>0</v>
      </c>
      <c r="AN32" s="924"/>
    </row>
    <row r="33" spans="1:41" ht="15.75" customHeight="1" x14ac:dyDescent="0.2">
      <c r="A33" s="517"/>
      <c r="B33" s="642" t="s">
        <v>1420</v>
      </c>
      <c r="C33" s="643"/>
      <c r="D33" s="643"/>
      <c r="E33" s="643"/>
      <c r="F33" s="381"/>
      <c r="G33" s="650"/>
      <c r="H33" s="651" t="s">
        <v>1007</v>
      </c>
      <c r="I33" s="652" t="s">
        <v>1008</v>
      </c>
      <c r="J33" s="653" t="s">
        <v>588</v>
      </c>
      <c r="K33" s="654" t="s">
        <v>587</v>
      </c>
      <c r="L33" s="655" t="s">
        <v>596</v>
      </c>
      <c r="M33" s="518"/>
      <c r="N33" s="518"/>
      <c r="O33" s="518"/>
      <c r="P33" s="518"/>
      <c r="Q33" s="518"/>
      <c r="R33" s="518"/>
      <c r="S33" s="520"/>
      <c r="AJ33" s="922">
        <f>SUMIFS(CampList[Total],CampList[Township],$AI33,CampList[Status],"open",CampList[Total],"&lt;=100",CampList[Affected Population],"IDP")</f>
        <v>0</v>
      </c>
      <c r="AK33" s="922">
        <f>SUMIFS(CampList[Total],CampList[Township],$AI33,CampList[Status],"open",CampList[Total],"&gt;100",CampList[Total],"&lt;=1000",CampList[Affected Population],"IDP")</f>
        <v>0</v>
      </c>
      <c r="AL33" s="922">
        <f>SUMIFS(CampList[Total],CampList[Township],$AI33,CampList[Status],"open",CampList[Total],"&gt;1000",CampList[Total],"&lt;=5000",CampList[Affected Population],"IDP")</f>
        <v>0</v>
      </c>
      <c r="AM33" s="922">
        <f>SUMIFS(CampList[Total],CampList[Township],$AI33,CampList[Status],"open",CampList[Total],"&gt;5000",CampList[Total],"&lt;=100000",CampList[Affected Population],"IDP")</f>
        <v>0</v>
      </c>
      <c r="AN33" s="924"/>
    </row>
    <row r="34" spans="1:41" ht="15" customHeight="1" x14ac:dyDescent="0.25">
      <c r="A34" s="517"/>
      <c r="B34" s="656" t="s">
        <v>778</v>
      </c>
      <c r="C34" s="645">
        <f>SUMIFS(CampList[HH],CampList[Township],$B34,CampList[Status],"open",CampList[Affected Population],"IDP",  CampList[State],"Shan_North")</f>
        <v>101</v>
      </c>
      <c r="D34" s="645">
        <f>SUMIFS(CampList[Total],CampList[Township],$B34,CampList[Status],"open",CampList[Affected Population],"IDP",  CampList[State],"Shan_North")</f>
        <v>577</v>
      </c>
      <c r="E34" s="646">
        <f>COUNTIFS(CampList[Township],$B34,CampList[Status],"open",CampList[Affected Population],"IDP",  CampList[State],"Shan_North")</f>
        <v>2</v>
      </c>
      <c r="F34" s="381"/>
      <c r="G34" s="657" t="s">
        <v>1002</v>
      </c>
      <c r="H34" s="658">
        <f>AJ70</f>
        <v>37</v>
      </c>
      <c r="I34" s="658">
        <f>AK70</f>
        <v>105</v>
      </c>
      <c r="J34" s="658">
        <f>AL70</f>
        <v>21</v>
      </c>
      <c r="K34" s="658">
        <f>AM70</f>
        <v>2</v>
      </c>
      <c r="L34" s="658">
        <f>AN70</f>
        <v>0</v>
      </c>
      <c r="M34" s="518"/>
      <c r="N34" s="518"/>
      <c r="O34" s="518"/>
      <c r="P34" s="518"/>
      <c r="Q34" s="518"/>
      <c r="R34" s="518"/>
      <c r="S34" s="520"/>
      <c r="AJ34" s="922">
        <f>SUMIFS(CampList[Total],CampList[Township],$AI34,CampList[Status],"open",CampList[Total],"&lt;=100",CampList[Affected Population],"IDP")</f>
        <v>0</v>
      </c>
      <c r="AK34" s="922">
        <f>SUMIFS(CampList[Total],CampList[Township],$AI34,CampList[Status],"open",CampList[Total],"&gt;100",CampList[Total],"&lt;=1000",CampList[Affected Population],"IDP")</f>
        <v>0</v>
      </c>
      <c r="AL34" s="922">
        <f>SUMIFS(CampList[Total],CampList[Township],$AI34,CampList[Status],"open",CampList[Total],"&gt;1000",CampList[Total],"&lt;=5000",CampList[Affected Population],"IDP")</f>
        <v>0</v>
      </c>
      <c r="AM34" s="922">
        <f>SUMIFS(CampList[Total],CampList[Township],$AI34,CampList[Status],"open",CampList[Total],"&gt;5000",CampList[Total],"&lt;=100000",CampList[Affected Population],"IDP")</f>
        <v>0</v>
      </c>
      <c r="AN34" s="924"/>
    </row>
    <row r="35" spans="1:41" ht="15" customHeight="1" x14ac:dyDescent="0.25">
      <c r="A35" s="517"/>
      <c r="B35" s="656" t="s">
        <v>146</v>
      </c>
      <c r="C35" s="645">
        <f>SUMIFS(CampList[HH],CampList[Township],$B35,CampList[Status],"open",CampList[Affected Population],"IDP",  CampList[State],"Shan_North")</f>
        <v>854</v>
      </c>
      <c r="D35" s="645">
        <f>SUMIFS(CampList[Total],CampList[Township],$B35,CampList[Status],"open",CampList[Affected Population],"IDP",  CampList[State],"Shan_North")</f>
        <v>4142</v>
      </c>
      <c r="E35" s="646">
        <f>COUNTIFS(CampList[Township],$B35,CampList[Status],"open",CampList[Affected Population],"IDP",  CampList[State],"Shan_North")</f>
        <v>13</v>
      </c>
      <c r="F35" s="381"/>
      <c r="G35" s="657" t="s">
        <v>441</v>
      </c>
      <c r="H35" s="658">
        <f>AJ41</f>
        <v>1987</v>
      </c>
      <c r="I35" s="658">
        <f>AK41</f>
        <v>39347</v>
      </c>
      <c r="J35" s="658">
        <f>AL41</f>
        <v>40863</v>
      </c>
      <c r="K35" s="658">
        <f>AM41</f>
        <v>15431</v>
      </c>
      <c r="L35" s="658">
        <f>AN41</f>
        <v>0</v>
      </c>
      <c r="M35" s="518"/>
      <c r="N35" s="518"/>
      <c r="O35" s="518"/>
      <c r="P35" s="518"/>
      <c r="Q35" s="518"/>
      <c r="R35" s="518"/>
      <c r="S35" s="520"/>
      <c r="AJ35" s="922">
        <f>SUMIFS(CampList[Total],CampList[Township],$AI35,CampList[Status],"open",CampList[Total],"&lt;=100",CampList[Affected Population],"IDP")</f>
        <v>0</v>
      </c>
      <c r="AK35" s="922">
        <f>SUMIFS(CampList[Total],CampList[Township],$AI35,CampList[Status],"open",CampList[Total],"&gt;100",CampList[Total],"&lt;=1000",CampList[Affected Population],"IDP")</f>
        <v>0</v>
      </c>
      <c r="AL35" s="922">
        <f>SUMIFS(CampList[Total],CampList[Township],$AI35,CampList[Status],"open",CampList[Total],"&gt;1000",CampList[Total],"&lt;=5000",CampList[Affected Population],"IDP")</f>
        <v>0</v>
      </c>
      <c r="AM35" s="922">
        <f>SUMIFS(CampList[Total],CampList[Township],$AI35,CampList[Status],"open",CampList[Total],"&gt;5000",CampList[Total],"&lt;=100000",CampList[Affected Population],"IDP")</f>
        <v>0</v>
      </c>
      <c r="AN35" s="924"/>
    </row>
    <row r="36" spans="1:41" ht="15" customHeight="1" x14ac:dyDescent="0.25">
      <c r="A36" s="517"/>
      <c r="B36" s="656" t="s">
        <v>166</v>
      </c>
      <c r="C36" s="645">
        <f>SUMIFS(CampList[HH],CampList[Township],$B36,CampList[Status],"open",CampList[Affected Population],"IDP",  CampList[State],"Shan_North")</f>
        <v>100</v>
      </c>
      <c r="D36" s="645">
        <f>SUMIFS(CampList[Total],CampList[Township],$B36,CampList[Status],"open",CampList[Affected Population],"IDP",  CampList[State],"Shan_North")</f>
        <v>544</v>
      </c>
      <c r="E36" s="646">
        <f>COUNTIFS(CampList[Township],$B36,CampList[Status],"open",CampList[Affected Population],"IDP",  CampList[State],"Shan_North")</f>
        <v>3</v>
      </c>
      <c r="F36" s="381"/>
      <c r="G36" s="381"/>
      <c r="H36" s="381"/>
      <c r="I36" s="381"/>
      <c r="J36" s="381"/>
      <c r="K36" s="381"/>
      <c r="L36" s="381"/>
      <c r="M36" s="518"/>
      <c r="N36" s="518"/>
      <c r="O36" s="518"/>
      <c r="P36" s="518"/>
      <c r="Q36" s="518"/>
      <c r="R36" s="518"/>
      <c r="S36" s="520"/>
      <c r="AJ36" s="922">
        <f>SUMIFS(CampList[Total],CampList[Township],$AI36,CampList[Status],"open",CampList[Total],"&lt;=100",CampList[Affected Population],"IDP")</f>
        <v>0</v>
      </c>
      <c r="AK36" s="922">
        <f>SUMIFS(CampList[Total],CampList[Township],$AI36,CampList[Status],"open",CampList[Total],"&gt;100",CampList[Total],"&lt;=1000",CampList[Affected Population],"IDP")</f>
        <v>0</v>
      </c>
      <c r="AL36" s="922">
        <f>SUMIFS(CampList[Total],CampList[Township],$AI36,CampList[Status],"open",CampList[Total],"&gt;1000",CampList[Total],"&lt;=5000",CampList[Affected Population],"IDP")</f>
        <v>0</v>
      </c>
      <c r="AM36" s="922">
        <f>SUMIFS(CampList[Total],CampList[Township],$AI36,CampList[Status],"open",CampList[Total],"&gt;5000",CampList[Total],"&lt;=100000",CampList[Affected Population],"IDP")</f>
        <v>0</v>
      </c>
      <c r="AN36" s="924"/>
    </row>
    <row r="37" spans="1:41" ht="15" customHeight="1" x14ac:dyDescent="0.25">
      <c r="A37" s="517"/>
      <c r="B37" s="644" t="s">
        <v>230</v>
      </c>
      <c r="C37" s="645">
        <f>SUMIFS(CampList[HH],CampList[Township],$B37,CampList[Status],"open",CampList[Affected Population],"IDP",  CampList[State],"Shan_North")</f>
        <v>318</v>
      </c>
      <c r="D37" s="645">
        <f>SUMIFS(CampList[Total],CampList[Township],$B37,CampList[Status],"open",CampList[Affected Population],"IDP",  CampList[State],"Shan_North")</f>
        <v>1510</v>
      </c>
      <c r="E37" s="646">
        <f>COUNTIFS(CampList[Township],$B37,CampList[Status],"open",CampList[Affected Population],"IDP",  CampList[State],"Shan_North")</f>
        <v>5</v>
      </c>
      <c r="F37" s="381"/>
      <c r="G37" s="381"/>
      <c r="H37" s="381"/>
      <c r="I37" s="381"/>
      <c r="J37" s="381"/>
      <c r="K37" s="381"/>
      <c r="L37" s="381"/>
      <c r="M37" s="518"/>
      <c r="N37" s="518"/>
      <c r="O37" s="518"/>
      <c r="P37" s="518"/>
      <c r="Q37" s="518"/>
      <c r="R37" s="518"/>
      <c r="S37" s="520"/>
      <c r="AJ37" s="922">
        <f>SUMIFS(CampList[Total],CampList[Township],$AI37,CampList[Status],"open",CampList[Total],"&lt;=100",CampList[Affected Population],"IDP")</f>
        <v>0</v>
      </c>
      <c r="AK37" s="922">
        <f>SUMIFS(CampList[Total],CampList[Township],$AI37,CampList[Status],"open",CampList[Total],"&gt;100",CampList[Total],"&lt;=1000",CampList[Affected Population],"IDP")</f>
        <v>0</v>
      </c>
      <c r="AL37" s="922">
        <f>SUMIFS(CampList[Total],CampList[Township],$AI37,CampList[Status],"open",CampList[Total],"&gt;1000",CampList[Total],"&lt;=5000",CampList[Affected Population],"IDP")</f>
        <v>0</v>
      </c>
      <c r="AM37" s="922">
        <f>SUMIFS(CampList[Total],CampList[Township],$AI37,CampList[Status],"open",CampList[Total],"&gt;5000",CampList[Total],"&lt;=100000",CampList[Affected Population],"IDP")</f>
        <v>0</v>
      </c>
      <c r="AN37" s="924"/>
    </row>
    <row r="38" spans="1:41" ht="15" customHeight="1" x14ac:dyDescent="0.25">
      <c r="A38" s="517"/>
      <c r="B38" s="644" t="s">
        <v>289</v>
      </c>
      <c r="C38" s="645">
        <f>SUMIFS(CampList[HH],CampList[Township],$B38,CampList[Status],"open",CampList[Affected Population],"IDP",  CampList[State],"Shan_North")</f>
        <v>402</v>
      </c>
      <c r="D38" s="645">
        <f>SUMIFS(CampList[Total],CampList[Township],$B38,CampList[Status],"open",CampList[Affected Population],"IDP",  CampList[State],"Shan_North")</f>
        <v>1976</v>
      </c>
      <c r="E38" s="646">
        <f>COUNTIFS(CampList[Township],$B38,CampList[Status],"open",CampList[Affected Population],"IDP",  CampList[State],"Shan_North")</f>
        <v>6</v>
      </c>
      <c r="F38" s="381"/>
      <c r="G38" s="381"/>
      <c r="H38" s="381"/>
      <c r="I38" s="381"/>
      <c r="J38" s="381"/>
      <c r="K38" s="381"/>
      <c r="L38" s="518"/>
      <c r="M38" s="518"/>
      <c r="N38" s="518"/>
      <c r="O38" s="518"/>
      <c r="P38" s="518"/>
      <c r="Q38" s="518"/>
      <c r="R38" s="518"/>
      <c r="S38" s="520"/>
      <c r="AJ38" s="922">
        <f>SUMIFS(CampList[Total],CampList[Township],$AI38,CampList[Status],"open",CampList[Total],"&lt;=100",CampList[Affected Population],"IDP")</f>
        <v>0</v>
      </c>
      <c r="AK38" s="922">
        <f>SUMIFS(CampList[Total],CampList[Township],$AI38,CampList[Status],"open",CampList[Total],"&gt;100",CampList[Total],"&lt;=1000",CampList[Affected Population],"IDP")</f>
        <v>0</v>
      </c>
      <c r="AL38" s="922">
        <f>SUMIFS(CampList[Total],CampList[Township],$AI38,CampList[Status],"open",CampList[Total],"&gt;1000",CampList[Total],"&lt;=5000",CampList[Affected Population],"IDP")</f>
        <v>0</v>
      </c>
      <c r="AM38" s="922">
        <f>SUMIFS(CampList[Total],CampList[Township],$AI38,CampList[Status],"open",CampList[Total],"&gt;5000",CampList[Total],"&lt;=100000",CampList[Affected Population],"IDP")</f>
        <v>0</v>
      </c>
      <c r="AN38" s="924"/>
    </row>
    <row r="39" spans="1:41" ht="15" customHeight="1" x14ac:dyDescent="0.25">
      <c r="A39" s="517"/>
      <c r="B39" s="644" t="s">
        <v>1481</v>
      </c>
      <c r="C39" s="645">
        <f>SUMIFS(CampList[HH],CampList[Township],$B39,CampList[Status],"open",CampList[Affected Population],"IDP",  CampList[State],"Shan_North")</f>
        <v>37</v>
      </c>
      <c r="D39" s="645">
        <f>SUMIFS(CampList[Total],CampList[Township],$B39,CampList[Status],"open",CampList[Affected Population],"IDP",  CampList[State],"Shan_North")</f>
        <v>120</v>
      </c>
      <c r="E39" s="646">
        <f>COUNTIFS(CampList[Township],$B39,CampList[Status],"open",CampList[Affected Population],"IDP",  CampList[State],"Shan_North")</f>
        <v>1</v>
      </c>
      <c r="F39" s="381"/>
      <c r="G39" s="381"/>
      <c r="H39" s="381"/>
      <c r="I39" s="381"/>
      <c r="J39" s="381"/>
      <c r="K39" s="381"/>
      <c r="L39" s="518"/>
      <c r="M39" s="518"/>
      <c r="N39" s="518"/>
      <c r="O39" s="518"/>
      <c r="P39" s="518"/>
      <c r="Q39" s="518"/>
      <c r="R39" s="518"/>
      <c r="S39" s="520"/>
      <c r="AJ39" s="922"/>
      <c r="AK39" s="922"/>
      <c r="AL39" s="922"/>
      <c r="AM39" s="922"/>
      <c r="AN39" s="924"/>
    </row>
    <row r="40" spans="1:41" ht="15" customHeight="1" x14ac:dyDescent="0.2">
      <c r="A40" s="517"/>
      <c r="B40" s="644" t="s">
        <v>298</v>
      </c>
      <c r="C40" s="645">
        <f>SUMIFS(CampList[HH],CampList[Township],$B40,CampList[Status],"open",CampList[Affected Population],"IDP",  CampList[State],"Shan_North")</f>
        <v>288</v>
      </c>
      <c r="D40" s="645">
        <f>SUMIFS(CampList[Total],CampList[Township],$B40,CampList[Status],"open",CampList[Affected Population],"IDP",  CampList[State],"Shan_North")</f>
        <v>1217</v>
      </c>
      <c r="E40" s="646">
        <f>COUNTIFS(CampList[Township],$B40,CampList[Status],"open",CampList[Affected Population],"IDP",  CampList[State],"Shan_North")</f>
        <v>6</v>
      </c>
      <c r="F40" s="381"/>
      <c r="G40" s="659"/>
      <c r="H40" s="660" t="s">
        <v>1171</v>
      </c>
      <c r="I40" s="660" t="s">
        <v>1445</v>
      </c>
      <c r="J40" s="381"/>
      <c r="K40" s="381"/>
      <c r="L40" s="526"/>
      <c r="M40" s="381"/>
      <c r="N40" s="381"/>
      <c r="O40" s="381"/>
      <c r="P40" s="381"/>
      <c r="Q40" s="381"/>
      <c r="R40" s="381"/>
      <c r="S40" s="520"/>
      <c r="AI40" s="562" t="s">
        <v>310</v>
      </c>
      <c r="AJ40" s="922">
        <f>SUMIFS(CampList[Total],CampList[Township],$AI40,CampList[Status],"open",CampList[Total],"&lt;=100",CampList[Affected Population],"IDP")</f>
        <v>86</v>
      </c>
      <c r="AK40" s="922">
        <f>SUMIFS(CampList[Total],CampList[Township],$AI40,CampList[Status],"open",CampList[Total],"&gt;100",CampList[Total],"&lt;=1000",CampList[Affected Population],"IDP")</f>
        <v>6837</v>
      </c>
      <c r="AL40" s="922">
        <f>SUMIFS(CampList[Total],CampList[Township],$AI40,CampList[Status],"open",CampList[Total],"&gt;1000",CampList[Total],"&lt;=5000",CampList[Affected Population],"IDP")</f>
        <v>10364</v>
      </c>
      <c r="AM40" s="922">
        <f>SUMIFS(CampList[Total],CampList[Township],$AI40,CampList[Status],"open",CampList[Total],"&gt;5000",CampList[Total],"&lt;=100000",CampList[Affected Population],"IDP")</f>
        <v>6821</v>
      </c>
      <c r="AN40" s="925"/>
    </row>
    <row r="41" spans="1:41" ht="15" customHeight="1" x14ac:dyDescent="0.2">
      <c r="A41" s="517"/>
      <c r="B41" s="661" t="s">
        <v>1421</v>
      </c>
      <c r="C41" s="648">
        <f>SUM(C34:C40)</f>
        <v>2100</v>
      </c>
      <c r="D41" s="648">
        <f>SUM(D34:D40)</f>
        <v>10086</v>
      </c>
      <c r="E41" s="649">
        <f>SUM(E34:E40)</f>
        <v>36</v>
      </c>
      <c r="F41" s="381"/>
      <c r="G41" s="662" t="s">
        <v>1201</v>
      </c>
      <c r="H41" s="174">
        <f ca="1">SUMIFS(CampList[Total],CampList[Status],"open",CampList[Affected Population],"IDP",CampList[Distance_Cat],1)</f>
        <v>41489</v>
      </c>
      <c r="I41" s="174">
        <f ca="1">COUNTIFS(CampList[Status],"open",CampList[Affected Population],"IDP",CampList[Distance_Cat],1)</f>
        <v>97</v>
      </c>
      <c r="J41" s="381"/>
      <c r="K41" s="381"/>
      <c r="L41" s="526"/>
      <c r="M41" s="381"/>
      <c r="N41" s="381"/>
      <c r="O41" s="381"/>
      <c r="P41" s="381"/>
      <c r="Q41" s="381"/>
      <c r="R41" s="381"/>
      <c r="S41" s="520"/>
      <c r="AI41" s="562" t="s">
        <v>3</v>
      </c>
      <c r="AJ41" s="926">
        <f>SUM(AJ8:AJ40)</f>
        <v>1987</v>
      </c>
      <c r="AK41" s="926">
        <f>SUM(AK8:AK40)</f>
        <v>39347</v>
      </c>
      <c r="AL41" s="926">
        <f>SUM(AL8:AL40)</f>
        <v>40863</v>
      </c>
      <c r="AM41" s="926">
        <f>SUM(AM8:AM40)</f>
        <v>15431</v>
      </c>
      <c r="AN41" s="927"/>
      <c r="AO41" s="925"/>
    </row>
    <row r="42" spans="1:41" ht="15.75" customHeight="1" x14ac:dyDescent="0.2">
      <c r="A42" s="531"/>
      <c r="B42" s="640" t="s">
        <v>415</v>
      </c>
      <c r="C42" s="648">
        <f>C32+C41</f>
        <v>19332</v>
      </c>
      <c r="D42" s="648">
        <f>D32+D41</f>
        <v>97628</v>
      </c>
      <c r="E42" s="649">
        <f>E32+E41</f>
        <v>165</v>
      </c>
      <c r="F42" s="381"/>
      <c r="G42" s="662" t="s">
        <v>1202</v>
      </c>
      <c r="H42" s="174">
        <f ca="1">SUMIFS(CampList[Total],CampList[Status],"open",CampList[Affected Population],"IDP",CampList[Distance_Cat],2)</f>
        <v>23556</v>
      </c>
      <c r="I42" s="174">
        <f ca="1">COUNTIFS(CampList[Status],"open",CampList[Affected Population],"IDP",CampList[Distance_Cat],2)</f>
        <v>21</v>
      </c>
      <c r="J42" s="381"/>
      <c r="K42" s="518"/>
      <c r="L42" s="518"/>
      <c r="M42" s="518"/>
      <c r="N42" s="518"/>
      <c r="O42" s="518"/>
      <c r="P42" s="518"/>
      <c r="Q42" s="518"/>
      <c r="R42" s="518"/>
      <c r="S42" s="520"/>
      <c r="AO42" s="925"/>
    </row>
    <row r="43" spans="1:41" ht="12.75" customHeight="1" x14ac:dyDescent="0.2">
      <c r="A43" s="517"/>
      <c r="B43" s="381"/>
      <c r="C43" s="381"/>
      <c r="D43" s="381"/>
      <c r="E43" s="381"/>
      <c r="F43" s="381"/>
      <c r="G43" s="662" t="s">
        <v>1203</v>
      </c>
      <c r="H43" s="174">
        <f ca="1">SUMIFS(CampList[Total],CampList[Status],"open",CampList[Affected Population],"IDP",CampList[Distance_Cat],3)</f>
        <v>8444</v>
      </c>
      <c r="I43" s="174">
        <f ca="1">COUNTIFS(CampList[Status],"open",CampList[Affected Population],"IDP",CampList[Distance_Cat],3)</f>
        <v>9</v>
      </c>
      <c r="J43" s="381"/>
      <c r="K43" s="518"/>
      <c r="L43" s="518"/>
      <c r="M43" s="518"/>
      <c r="N43" s="518"/>
      <c r="O43" s="518"/>
      <c r="P43" s="518"/>
      <c r="Q43" s="518"/>
      <c r="R43" s="518"/>
      <c r="S43" s="520"/>
      <c r="AJ43" s="914" t="s">
        <v>442</v>
      </c>
      <c r="AK43" s="914"/>
      <c r="AL43" s="914"/>
      <c r="AN43" s="562" t="s">
        <v>596</v>
      </c>
      <c r="AO43" s="925">
        <f>SUM(AK43:AN43)</f>
        <v>0</v>
      </c>
    </row>
    <row r="44" spans="1:41" ht="10.5" customHeight="1" x14ac:dyDescent="0.2">
      <c r="A44" s="517"/>
      <c r="B44" s="532"/>
      <c r="C44" s="533"/>
      <c r="D44" s="533"/>
      <c r="E44" s="534"/>
      <c r="F44" s="381"/>
      <c r="G44" s="662" t="s">
        <v>1204</v>
      </c>
      <c r="H44" s="174">
        <f ca="1">SUMIFS(CampList[Total],CampList[Status],"open",CampList[Affected Population],"IDP",CampList[Distance_Cat],4)</f>
        <v>9181</v>
      </c>
      <c r="I44" s="174">
        <f ca="1">COUNTIFS(CampList[Status],"open",CampList[Affected Population],"IDP",CampList[Distance_Cat],4)</f>
        <v>9</v>
      </c>
      <c r="J44" s="381"/>
      <c r="K44" s="518"/>
      <c r="L44" s="518"/>
      <c r="M44" s="518"/>
      <c r="N44" s="518"/>
      <c r="O44" s="518"/>
      <c r="P44" s="518"/>
      <c r="Q44" s="518"/>
      <c r="R44" s="518"/>
      <c r="S44" s="520"/>
      <c r="AJ44" s="914"/>
      <c r="AK44" s="914"/>
      <c r="AL44" s="914"/>
      <c r="AO44" s="925"/>
    </row>
    <row r="45" spans="1:41" ht="17.25" customHeight="1" x14ac:dyDescent="0.2">
      <c r="A45" s="517"/>
      <c r="B45" s="663" t="s">
        <v>401</v>
      </c>
      <c r="C45" s="663" t="s">
        <v>510</v>
      </c>
      <c r="D45" s="663" t="s">
        <v>512</v>
      </c>
      <c r="E45" s="663" t="s">
        <v>3</v>
      </c>
      <c r="F45" s="535"/>
      <c r="G45" s="662" t="s">
        <v>1205</v>
      </c>
      <c r="H45" s="174">
        <f ca="1">SUMIFS(CampList[Total],CampList[Status],"open",CampList[Affected Population],"IDP",CampList[Distance_Cat],5)</f>
        <v>3906</v>
      </c>
      <c r="I45" s="174">
        <f ca="1">COUNTIFS(CampList[Status],"open",CampList[Affected Population],"IDP",CampList[Distance_Cat],5)</f>
        <v>6</v>
      </c>
      <c r="J45" s="381"/>
      <c r="K45" s="518"/>
      <c r="L45" s="518"/>
      <c r="M45" s="518"/>
      <c r="N45" s="518"/>
      <c r="O45" s="518"/>
      <c r="P45" s="518"/>
      <c r="Q45" s="518"/>
      <c r="R45" s="518"/>
      <c r="S45" s="520"/>
      <c r="AJ45" s="914"/>
      <c r="AK45" s="914"/>
      <c r="AL45" s="914"/>
      <c r="AO45" s="925"/>
    </row>
    <row r="46" spans="1:41" ht="17.25" customHeight="1" x14ac:dyDescent="0.2">
      <c r="A46" s="517"/>
      <c r="B46" s="664" t="s">
        <v>553</v>
      </c>
      <c r="C46" s="645">
        <f t="shared" ref="C46:D48" si="0">GETPIVOTDATA("Total",Stat01,"Accessibility",C$45,"Type of Accomodation",$B46)</f>
        <v>53150</v>
      </c>
      <c r="D46" s="645">
        <f t="shared" si="0"/>
        <v>37052</v>
      </c>
      <c r="E46" s="645">
        <f>SUM(C46:D46)</f>
        <v>90202</v>
      </c>
      <c r="F46" s="381"/>
      <c r="G46" s="662" t="s">
        <v>1206</v>
      </c>
      <c r="H46" s="174">
        <f ca="1">SUMIFS(CampList[Total],CampList[Status],"open",CampList[Affected Population],"IDP",CampList[Distance_Cat],6)</f>
        <v>1920</v>
      </c>
      <c r="I46" s="174">
        <f ca="1">COUNTIFS(CampList[Status],"open",CampList[Affected Population],"IDP",CampList[Distance_Cat],6)</f>
        <v>1</v>
      </c>
      <c r="J46" s="381"/>
      <c r="K46" s="518"/>
      <c r="L46" s="518"/>
      <c r="M46" s="518"/>
      <c r="N46" s="518"/>
      <c r="O46" s="518"/>
      <c r="P46" s="518"/>
      <c r="Q46" s="518"/>
      <c r="R46" s="518"/>
      <c r="S46" s="520"/>
      <c r="AI46" s="562" t="s">
        <v>0</v>
      </c>
      <c r="AJ46" s="562" t="s">
        <v>1007</v>
      </c>
      <c r="AK46" s="562" t="s">
        <v>1008</v>
      </c>
      <c r="AL46" s="562" t="s">
        <v>586</v>
      </c>
      <c r="AM46" s="562" t="s">
        <v>587</v>
      </c>
      <c r="AN46" s="562" t="s">
        <v>596</v>
      </c>
      <c r="AO46" s="925">
        <f>SUM(AJ46:AN46)</f>
        <v>0</v>
      </c>
    </row>
    <row r="47" spans="1:41" ht="17.25" customHeight="1" x14ac:dyDescent="0.2">
      <c r="A47" s="517"/>
      <c r="B47" s="664" t="s">
        <v>12</v>
      </c>
      <c r="C47" s="645">
        <f t="shared" si="0"/>
        <v>5987</v>
      </c>
      <c r="D47" s="645">
        <f t="shared" si="0"/>
        <v>392</v>
      </c>
      <c r="E47" s="645">
        <f t="shared" ref="E47:E48" si="1">SUM(C47:D47)</f>
        <v>6379</v>
      </c>
      <c r="F47" s="381"/>
      <c r="G47" s="662" t="s">
        <v>1228</v>
      </c>
      <c r="H47" s="174">
        <f ca="1">SUMIFS(CampList[Total],CampList[Status],"open",CampList[Affected Population],"IDP",CampList[Distance_Cat],"&gt;6")</f>
        <v>392</v>
      </c>
      <c r="I47" s="174">
        <f ca="1">COUNTIFS(CampList[Status],"open",CampList[Affected Population],"IDP",CampList[Distance_Cat],"&gt;6")</f>
        <v>1</v>
      </c>
      <c r="J47" s="381"/>
      <c r="K47" s="518"/>
      <c r="L47" s="518"/>
      <c r="M47" s="518"/>
      <c r="N47" s="518"/>
      <c r="O47" s="518"/>
      <c r="P47" s="518"/>
      <c r="Q47" s="518"/>
      <c r="R47" s="518"/>
      <c r="S47" s="520"/>
      <c r="AI47" s="562" t="s">
        <v>5</v>
      </c>
      <c r="AJ47" s="922">
        <f>COUNTIFS(CampList[Township],$AI47,CampList[Status],"open",CampList[Total],"&lt;=100",CampList[Affected Population],"IDP")</f>
        <v>4</v>
      </c>
      <c r="AK47" s="922">
        <f>COUNTIFS(CampList[Township],$AI47,CampList[Status],"open",CampList[Total],"&gt;100",CampList[Total],"&lt;=1000",CampList[Affected Population],"IDP")</f>
        <v>5</v>
      </c>
      <c r="AL47" s="922">
        <f>COUNTIFS(CampList[Township],$AI47,CampList[Status],"open",CampList[Total],"&gt;1000",CampList[Total],"&lt;=5000",CampList[Affected Population],"IDP")</f>
        <v>2</v>
      </c>
      <c r="AM47" s="922">
        <f>COUNTIFS(CampList[Township],$AI47,CampList[Status],"open",CampList[Total],"&gt;5000",CampList[Total],"&lt;=100000",CampList[Affected Population],"IDP")</f>
        <v>0</v>
      </c>
      <c r="AN47" s="562">
        <f>COUNTIFS(CampList[Township],$AI48,CampList[Status],"open",CampList[Total],"",CampList[Affected Population],"IDP")</f>
        <v>0</v>
      </c>
      <c r="AO47" s="928">
        <f>SUM(AJ47:AN47)</f>
        <v>11</v>
      </c>
    </row>
    <row r="48" spans="1:41" ht="17.25" customHeight="1" x14ac:dyDescent="0.2">
      <c r="A48" s="517"/>
      <c r="B48" s="664" t="s">
        <v>985</v>
      </c>
      <c r="C48" s="645">
        <f t="shared" si="0"/>
        <v>0</v>
      </c>
      <c r="D48" s="645">
        <f t="shared" si="0"/>
        <v>1047</v>
      </c>
      <c r="E48" s="645">
        <f t="shared" si="1"/>
        <v>1047</v>
      </c>
      <c r="F48" s="381"/>
      <c r="G48" s="665" t="s">
        <v>1344</v>
      </c>
      <c r="H48" s="174">
        <f ca="1">SUMIFS(CampList[Total],CampList[Status],"open",CampList[Affected Population],"IDP",CampList[Distance_Cat],"")</f>
        <v>8740</v>
      </c>
      <c r="I48" s="174">
        <f ca="1">COUNTIFS(CampList[Status],"open",CampList[Affected Population],"IDP",CampList[Distance_Cat],"")</f>
        <v>21</v>
      </c>
      <c r="J48" s="381"/>
      <c r="K48" s="518"/>
      <c r="L48" s="518"/>
      <c r="M48" s="518"/>
      <c r="N48" s="518"/>
      <c r="O48" s="518"/>
      <c r="P48" s="518"/>
      <c r="Q48" s="518"/>
      <c r="R48" s="518"/>
      <c r="S48" s="520"/>
      <c r="AI48" s="562" t="s">
        <v>27</v>
      </c>
      <c r="AJ48" s="922">
        <f>COUNTIFS(CampList[Township],$AI48,CampList[Status],"open",CampList[Total],"&lt;=100",CampList[Affected Population],"IDP")</f>
        <v>0</v>
      </c>
      <c r="AK48" s="922">
        <f>COUNTIFS(CampList[Township],$AI48,CampList[Status],"open",CampList[Total],"&gt;100",CampList[Total],"&lt;=1000",CampList[Affected Population],"IDP")</f>
        <v>5</v>
      </c>
      <c r="AL48" s="922">
        <f>COUNTIFS(CampList[Township],$AI48,CampList[Status],"open",CampList[Total],"&gt;1000",CampList[Total],"&lt;=5000",CampList[Affected Population],"IDP")</f>
        <v>0</v>
      </c>
      <c r="AM48" s="922">
        <f>COUNTIFS(CampList[Township],$AI48,CampList[Status],"open",CampList[Total],"&gt;5000",CampList[Total],"&lt;=100000",CampList[Affected Population],"IDP")</f>
        <v>0</v>
      </c>
      <c r="AN48" s="562">
        <f>COUNTIFS(CampList[Township],$AI49,CampList[Status],"open",CampList[Total],"",CampList[Affected Population],"IDP")</f>
        <v>0</v>
      </c>
      <c r="AO48" s="928">
        <f t="shared" ref="AO48:AO65" si="2">SUM(AJ48:AN48)</f>
        <v>5</v>
      </c>
    </row>
    <row r="49" spans="1:41" ht="17.25" customHeight="1" x14ac:dyDescent="0.2">
      <c r="A49" s="517"/>
      <c r="B49" s="666" t="s">
        <v>3</v>
      </c>
      <c r="C49" s="648">
        <f>SUM(C46:C48)</f>
        <v>59137</v>
      </c>
      <c r="D49" s="648">
        <f>SUM(D46:D48)</f>
        <v>38491</v>
      </c>
      <c r="E49" s="648">
        <f>SUM(E46:E48)</f>
        <v>97628</v>
      </c>
      <c r="F49" s="381"/>
      <c r="G49" s="667" t="s">
        <v>3</v>
      </c>
      <c r="H49" s="668">
        <f ca="1">SUM(H41:H48)</f>
        <v>97628</v>
      </c>
      <c r="I49" s="668">
        <f ca="1">SUM(I41:I48)</f>
        <v>165</v>
      </c>
      <c r="J49" s="381"/>
      <c r="K49" s="518"/>
      <c r="L49" s="518"/>
      <c r="M49" s="518"/>
      <c r="N49" s="518"/>
      <c r="O49" s="518"/>
      <c r="P49" s="518"/>
      <c r="Q49" s="518"/>
      <c r="R49" s="518"/>
      <c r="S49" s="520"/>
      <c r="AI49" s="562" t="s">
        <v>526</v>
      </c>
      <c r="AJ49" s="922">
        <f>COUNTIFS(CampList[Township],$AI49,CampList[Status],"open",CampList[Total],"&lt;=100",CampList[Affected Population],"IDP")</f>
        <v>12</v>
      </c>
      <c r="AK49" s="922">
        <f>COUNTIFS(CampList[Township],$AI49,CampList[Status],"open",CampList[Total],"&gt;100",CampList[Total],"&lt;=1000",CampList[Affected Population],"IDP")</f>
        <v>10</v>
      </c>
      <c r="AL49" s="922">
        <f>COUNTIFS(CampList[Township],$AI49,CampList[Status],"open",CampList[Total],"&gt;1000",CampList[Total],"&lt;=5000",CampList[Affected Population],"IDP")</f>
        <v>0</v>
      </c>
      <c r="AM49" s="922">
        <f>COUNTIFS(CampList[Township],$AI49,CampList[Status],"open",CampList[Total],"&gt;5000",CampList[Total],"&lt;=100000",CampList[Affected Population],"IDP")</f>
        <v>0</v>
      </c>
      <c r="AN49" s="562">
        <f>COUNTIFS(CampList[Township],#REF!,CampList[Status],"open",CampList[Total],"",CampList[Affected Population],"IDP")</f>
        <v>0</v>
      </c>
      <c r="AO49" s="928">
        <f t="shared" si="2"/>
        <v>22</v>
      </c>
    </row>
    <row r="50" spans="1:41" ht="3.75" customHeight="1" x14ac:dyDescent="0.25">
      <c r="A50" s="517"/>
      <c r="B50" s="381"/>
      <c r="C50" s="381"/>
      <c r="D50" s="381"/>
      <c r="E50" s="381"/>
      <c r="F50" s="518"/>
      <c r="G50" s="518"/>
      <c r="H50" s="518"/>
      <c r="I50" s="518"/>
      <c r="J50" s="518"/>
      <c r="K50" s="518"/>
      <c r="L50" s="518"/>
      <c r="M50" s="518"/>
      <c r="N50" s="518"/>
      <c r="O50" s="518"/>
      <c r="P50" s="518"/>
      <c r="Q50" s="518"/>
      <c r="R50" s="518"/>
      <c r="S50" s="520"/>
      <c r="AI50" s="562" t="s">
        <v>144</v>
      </c>
      <c r="AJ50" s="922">
        <f>COUNTIFS(CampList[Township],$AI50,CampList[Status],"open",CampList[Total],"&lt;=100",CampList[Affected Population],"IDP")</f>
        <v>0</v>
      </c>
      <c r="AK50" s="922">
        <f>COUNTIFS(CampList[Township],$AI50,CampList[Status],"open",CampList[Total],"&gt;100",CampList[Total],"&lt;=1000",CampList[Affected Population],"IDP")</f>
        <v>0</v>
      </c>
      <c r="AL50" s="922">
        <f>COUNTIFS(CampList[Township],$AI50,CampList[Status],"open",CampList[Total],"&gt;1000",CampList[Total],"&lt;=5000",CampList[Affected Population],"IDP")</f>
        <v>0</v>
      </c>
      <c r="AM50" s="922">
        <f>COUNTIFS(CampList[Township],$AI50,CampList[Status],"open",CampList[Total],"&gt;5000",CampList[Total],"&lt;=100000",CampList[Affected Population],"IDP")</f>
        <v>0</v>
      </c>
      <c r="AN50" s="562">
        <f>COUNTIFS(CampList[Township],#REF!,CampList[Status],"open",CampList[Total],"",CampList[Affected Population],"IDP")</f>
        <v>0</v>
      </c>
      <c r="AO50" s="928">
        <f t="shared" si="2"/>
        <v>0</v>
      </c>
    </row>
    <row r="51" spans="1:41" ht="27.75" customHeight="1" x14ac:dyDescent="0.25">
      <c r="A51" s="517"/>
      <c r="B51" s="381"/>
      <c r="C51" s="381"/>
      <c r="D51" s="381"/>
      <c r="E51" s="381"/>
      <c r="F51" s="518"/>
      <c r="G51" s="518"/>
      <c r="H51" s="518"/>
      <c r="I51" s="518"/>
      <c r="J51" s="518"/>
      <c r="K51" s="518"/>
      <c r="L51" s="518"/>
      <c r="M51" s="518"/>
      <c r="N51" s="518"/>
      <c r="O51" s="518"/>
      <c r="P51" s="518"/>
      <c r="Q51" s="518"/>
      <c r="R51" s="518"/>
      <c r="S51" s="520"/>
      <c r="AI51" s="562" t="s">
        <v>146</v>
      </c>
      <c r="AJ51" s="922">
        <f>COUNTIFS(CampList[Township],$AI51,CampList[Status],"open",CampList[Total],"&lt;=100",CampList[Affected Population],"IDP")</f>
        <v>1</v>
      </c>
      <c r="AK51" s="922">
        <f>COUNTIFS(CampList[Township],$AI51,CampList[Status],"open",CampList[Total],"&gt;100",CampList[Total],"&lt;=1000",CampList[Affected Population],"IDP")</f>
        <v>12</v>
      </c>
      <c r="AL51" s="922">
        <f>COUNTIFS(CampList[Township],$AI51,CampList[Status],"open",CampList[Total],"&gt;1000",CampList[Total],"&lt;=5000",CampList[Affected Population],"IDP")</f>
        <v>0</v>
      </c>
      <c r="AM51" s="922">
        <f>COUNTIFS(CampList[Township],$AI51,CampList[Status],"open",CampList[Total],"&gt;5000",CampList[Total],"&lt;=100000",CampList[Affected Population],"IDP")</f>
        <v>0</v>
      </c>
      <c r="AN51" s="562">
        <f>COUNTIFS(CampList[Township],#REF!,CampList[Status],"open",CampList[Total],"",CampList[Affected Population],"IDP")</f>
        <v>0</v>
      </c>
      <c r="AO51" s="928">
        <f t="shared" si="2"/>
        <v>13</v>
      </c>
    </row>
    <row r="52" spans="1:41" ht="1.5" customHeight="1" thickBot="1" x14ac:dyDescent="0.3">
      <c r="A52" s="527"/>
      <c r="B52" s="528"/>
      <c r="C52" s="528"/>
      <c r="D52" s="528"/>
      <c r="E52" s="528"/>
      <c r="F52" s="528"/>
      <c r="G52" s="528"/>
      <c r="H52" s="528"/>
      <c r="I52" s="528"/>
      <c r="J52" s="528"/>
      <c r="K52" s="528"/>
      <c r="L52" s="528"/>
      <c r="M52" s="528"/>
      <c r="N52" s="528"/>
      <c r="O52" s="528"/>
      <c r="P52" s="528"/>
      <c r="Q52" s="529"/>
      <c r="R52" s="529"/>
      <c r="S52" s="530"/>
      <c r="AI52" s="562" t="s">
        <v>151</v>
      </c>
      <c r="AJ52" s="922">
        <f>COUNTIFS(CampList[Township],$AI52,CampList[Status],"open",CampList[Total],"&lt;=100",CampList[Affected Population],"IDP")</f>
        <v>0</v>
      </c>
      <c r="AK52" s="922">
        <f>COUNTIFS(CampList[Township],$AI52,CampList[Status],"open",CampList[Total],"&gt;100",CampList[Total],"&lt;=1000",CampList[Affected Population],"IDP")</f>
        <v>7</v>
      </c>
      <c r="AL52" s="922">
        <f>COUNTIFS(CampList[Township],$AI52,CampList[Status],"open",CampList[Total],"&gt;1000",CampList[Total],"&lt;=5000",CampList[Affected Population],"IDP")</f>
        <v>4</v>
      </c>
      <c r="AM52" s="922">
        <f>COUNTIFS(CampList[Township],$AI52,CampList[Status],"open",CampList[Total],"&gt;5000",CampList[Total],"&lt;=100000",CampList[Affected Population],"IDP")</f>
        <v>0</v>
      </c>
      <c r="AN52" s="562">
        <f>COUNTIFS(CampList[Township],#REF!,CampList[Status],"open",CampList[Total],"",CampList[Affected Population],"IDP")</f>
        <v>0</v>
      </c>
      <c r="AO52" s="928">
        <f t="shared" si="2"/>
        <v>11</v>
      </c>
    </row>
    <row r="53" spans="1:41" ht="18.600000000000001" customHeight="1" x14ac:dyDescent="0.25">
      <c r="A53" s="526"/>
      <c r="B53" s="526"/>
      <c r="C53" s="526"/>
      <c r="D53" s="526"/>
      <c r="E53" s="526"/>
      <c r="F53" s="526"/>
      <c r="G53" s="526"/>
      <c r="H53" s="526"/>
      <c r="I53" s="526"/>
      <c r="J53" s="526"/>
      <c r="K53" s="526"/>
      <c r="L53" s="526"/>
      <c r="M53" s="526"/>
      <c r="N53" s="526"/>
      <c r="O53" s="526"/>
      <c r="P53" s="526"/>
      <c r="Q53" s="518"/>
      <c r="R53" s="518"/>
      <c r="S53" s="526"/>
      <c r="AI53" s="562" t="s">
        <v>363</v>
      </c>
      <c r="AJ53" s="922">
        <f>COUNTIFS(CampList[Township],$AI53,CampList[Status],"open",CampList[Total],"&lt;=100",CampList[Affected Population],"IDP")</f>
        <v>0</v>
      </c>
      <c r="AK53" s="922">
        <f>COUNTIFS(CampList[Township],$AI53,CampList[Status],"open",CampList[Total],"&gt;100",CampList[Total],"&lt;=1000",CampList[Affected Population],"IDP")</f>
        <v>0</v>
      </c>
      <c r="AL53" s="922">
        <f>COUNTIFS(CampList[Township],$AI53,CampList[Status],"open",CampList[Total],"&gt;1000",CampList[Total],"&lt;=5000",CampList[Affected Population],"IDP")</f>
        <v>0</v>
      </c>
      <c r="AM53" s="922">
        <f>COUNTIFS(CampList[Township],$AI53,CampList[Status],"open",CampList[Total],"&gt;5000",CampList[Total],"&lt;=100000",CampList[Affected Population],"IDP")</f>
        <v>0</v>
      </c>
      <c r="AN53" s="562">
        <f>COUNTIFS(CampList[Township],#REF!,CampList[Status],"open",CampList[Total],"",CampList[Affected Population],"IDP")</f>
        <v>0</v>
      </c>
      <c r="AO53" s="928">
        <f t="shared" si="2"/>
        <v>0</v>
      </c>
    </row>
    <row r="54" spans="1:41" x14ac:dyDescent="0.25">
      <c r="AI54" s="562" t="s">
        <v>166</v>
      </c>
      <c r="AJ54" s="922">
        <f>COUNTIFS(CampList[Township],$AI54,CampList[Status],"open",CampList[Total],"&lt;=100",CampList[Affected Population],"IDP")</f>
        <v>0</v>
      </c>
      <c r="AK54" s="922">
        <f>COUNTIFS(CampList[Township],$AI54,CampList[Status],"open",CampList[Total],"&gt;100",CampList[Total],"&lt;=1000",CampList[Affected Population],"IDP")</f>
        <v>3</v>
      </c>
      <c r="AL54" s="922">
        <f>COUNTIFS(CampList[Township],$AI54,CampList[Status],"open",CampList[Total],"&gt;1000",CampList[Total],"&lt;=5000",CampList[Affected Population],"IDP")</f>
        <v>0</v>
      </c>
      <c r="AM54" s="922">
        <f>COUNTIFS(CampList[Township],$AI54,CampList[Status],"open",CampList[Total],"&gt;5000",CampList[Total],"&lt;=100000",CampList[Affected Population],"IDP")</f>
        <v>0</v>
      </c>
      <c r="AN54" s="562">
        <f>COUNTIFS(CampList[Township],#REF!,CampList[Status],"open",CampList[Total],"",CampList[Affected Population],"IDP")</f>
        <v>0</v>
      </c>
      <c r="AO54" s="928">
        <f t="shared" si="2"/>
        <v>3</v>
      </c>
    </row>
    <row r="55" spans="1:41" x14ac:dyDescent="0.25">
      <c r="AI55" s="562" t="s">
        <v>173</v>
      </c>
      <c r="AJ55" s="922">
        <f>COUNTIFS(CampList[Township],$AI55,CampList[Status],"open",CampList[Total],"&lt;=100",CampList[Affected Population],"IDP")</f>
        <v>4</v>
      </c>
      <c r="AK55" s="922">
        <f>COUNTIFS(CampList[Township],$AI55,CampList[Status],"open",CampList[Total],"&gt;100",CampList[Total],"&lt;=1000",CampList[Affected Population],"IDP")</f>
        <v>1</v>
      </c>
      <c r="AL55" s="922">
        <f>COUNTIFS(CampList[Township],$AI55,CampList[Status],"open",CampList[Total],"&gt;1000",CampList[Total],"&lt;=5000",CampList[Affected Population],"IDP")</f>
        <v>0</v>
      </c>
      <c r="AM55" s="922">
        <f>COUNTIFS(CampList[Township],$AI55,CampList[Status],"open",CampList[Total],"&gt;5000",CampList[Total],"&lt;=100000",CampList[Affected Population],"IDP")</f>
        <v>0</v>
      </c>
      <c r="AN55" s="562">
        <f>COUNTIFS(CampList[Township],#REF!,CampList[Status],"open",CampList[Total],"",CampList[Affected Population],"IDP")</f>
        <v>0</v>
      </c>
      <c r="AO55" s="928">
        <f t="shared" si="2"/>
        <v>5</v>
      </c>
    </row>
    <row r="56" spans="1:41" x14ac:dyDescent="0.25">
      <c r="AI56" s="562" t="s">
        <v>778</v>
      </c>
      <c r="AJ56" s="922">
        <f>COUNTIFS(CampList[Township],$AI56,CampList[Status],"open",CampList[Total],"&lt;=100",CampList[Affected Population],"IDP")</f>
        <v>0</v>
      </c>
      <c r="AK56" s="922">
        <f>COUNTIFS(CampList[Township],$AI56,CampList[Status],"open",CampList[Total],"&gt;100",CampList[Total],"&lt;=1000",CampList[Affected Population],"IDP")</f>
        <v>2</v>
      </c>
      <c r="AL56" s="922">
        <f>COUNTIFS(CampList[Township],$AI56,CampList[Status],"open",CampList[Total],"&gt;1000",CampList[Total],"&lt;=5000",CampList[Affected Population],"IDP")</f>
        <v>0</v>
      </c>
      <c r="AM56" s="922">
        <f>COUNTIFS(CampList[Township],$AI56,CampList[Status],"open",CampList[Total],"&gt;5000",CampList[Total],"&lt;=100000",CampList[Affected Population],"IDP")</f>
        <v>0</v>
      </c>
      <c r="AN56" s="562">
        <f>COUNTIFS(CampList[Township],#REF!,CampList[Status],"open",CampList[Total],"",CampList[Affected Population],"IDP")</f>
        <v>0</v>
      </c>
      <c r="AO56" s="928">
        <f t="shared" si="2"/>
        <v>2</v>
      </c>
    </row>
    <row r="57" spans="1:41" x14ac:dyDescent="0.25">
      <c r="E57" s="541"/>
      <c r="AI57" s="562" t="s">
        <v>180</v>
      </c>
      <c r="AJ57" s="922">
        <f>COUNTIFS(CampList[Township],$AI57,CampList[Status],"open",CampList[Total],"&lt;=100",CampList[Affected Population],"IDP")</f>
        <v>2</v>
      </c>
      <c r="AK57" s="922">
        <f>COUNTIFS(CampList[Township],$AI57,CampList[Status],"open",CampList[Total],"&gt;100",CampList[Total],"&lt;=1000",CampList[Affected Population],"IDP")</f>
        <v>2</v>
      </c>
      <c r="AL57" s="922">
        <f>COUNTIFS(CampList[Township],$AI57,CampList[Status],"open",CampList[Total],"&gt;1000",CampList[Total],"&lt;=5000",CampList[Affected Population],"IDP")</f>
        <v>0</v>
      </c>
      <c r="AM57" s="922">
        <f>COUNTIFS(CampList[Township],$AI57,CampList[Status],"open",CampList[Total],"&gt;5000",CampList[Total],"&lt;=100000",CampList[Affected Population],"IDP")</f>
        <v>0</v>
      </c>
      <c r="AN57" s="562">
        <f>COUNTIFS(CampList[Township],#REF!,CampList[Status],"open",CampList[Total],"",CampList[Affected Population],"IDP")</f>
        <v>0</v>
      </c>
      <c r="AO57" s="928">
        <f t="shared" si="2"/>
        <v>4</v>
      </c>
    </row>
    <row r="58" spans="1:41" x14ac:dyDescent="0.25">
      <c r="AI58" s="562" t="s">
        <v>185</v>
      </c>
      <c r="AJ58" s="922">
        <f>COUNTIFS(CampList[Township],$AI58,CampList[Status],"open",CampList[Total],"&lt;=100",CampList[Affected Population],"IDP")</f>
        <v>1</v>
      </c>
      <c r="AK58" s="922">
        <f>COUNTIFS(CampList[Township],$AI58,CampList[Status],"open",CampList[Total],"&gt;100",CampList[Total],"&lt;=1000",CampList[Affected Population],"IDP")</f>
        <v>6</v>
      </c>
      <c r="AL58" s="922">
        <f>COUNTIFS(CampList[Township],$AI58,CampList[Status],"open",CampList[Total],"&gt;1000",CampList[Total],"&lt;=5000",CampList[Affected Population],"IDP")</f>
        <v>7</v>
      </c>
      <c r="AM58" s="922">
        <f>COUNTIFS(CampList[Township],$AI58,CampList[Status],"open",CampList[Total],"&gt;5000",CampList[Total],"&lt;=100000",CampList[Affected Population],"IDP")</f>
        <v>1</v>
      </c>
      <c r="AN58" s="562">
        <f>COUNTIFS(CampList[Township],#REF!,CampList[Status],"open",CampList[Total],"",CampList[Affected Population],"IDP")</f>
        <v>0</v>
      </c>
      <c r="AO58" s="928">
        <f t="shared" si="2"/>
        <v>15</v>
      </c>
    </row>
    <row r="59" spans="1:41" x14ac:dyDescent="0.25">
      <c r="AI59" s="562" t="s">
        <v>230</v>
      </c>
      <c r="AJ59" s="922">
        <f>COUNTIFS(CampList[Township],$AI59,CampList[Status],"open",CampList[Total],"&lt;=100",CampList[Affected Population],"IDP")</f>
        <v>1</v>
      </c>
      <c r="AK59" s="922">
        <f>COUNTIFS(CampList[Township],$AI59,CampList[Status],"open",CampList[Total],"&gt;100",CampList[Total],"&lt;=1000",CampList[Affected Population],"IDP")</f>
        <v>4</v>
      </c>
      <c r="AL59" s="922">
        <f>COUNTIFS(CampList[Township],$AI59,CampList[Status],"open",CampList[Total],"&gt;1000",CampList[Total],"&lt;=5000",CampList[Affected Population],"IDP")</f>
        <v>0</v>
      </c>
      <c r="AM59" s="922">
        <f>COUNTIFS(CampList[Township],$AI59,CampList[Status],"open",CampList[Total],"&gt;5000",CampList[Total],"&lt;=100000",CampList[Affected Population],"IDP")</f>
        <v>0</v>
      </c>
      <c r="AN59" s="562">
        <f>COUNTIFS(CampList[Township],#REF!,CampList[Status],"open",CampList[Total],"",CampList[Affected Population],"IDP")</f>
        <v>0</v>
      </c>
      <c r="AO59" s="928">
        <f t="shared" si="2"/>
        <v>5</v>
      </c>
    </row>
    <row r="60" spans="1:41" x14ac:dyDescent="0.25">
      <c r="AI60" s="562" t="s">
        <v>237</v>
      </c>
      <c r="AJ60" s="922">
        <f>COUNTIFS(CampList[Township],$AI60,CampList[Status],"open",CampList[Total],"&lt;=100",CampList[Affected Population],"IDP")</f>
        <v>6</v>
      </c>
      <c r="AK60" s="922">
        <f>COUNTIFS(CampList[Township],$AI60,CampList[Status],"open",CampList[Total],"&gt;100",CampList[Total],"&lt;=1000",CampList[Affected Population],"IDP")</f>
        <v>17</v>
      </c>
      <c r="AL60" s="922">
        <f>COUNTIFS(CampList[Township],$AI60,CampList[Status],"open",CampList[Total],"&gt;1000",CampList[Total],"&lt;=5000",CampList[Affected Population],"IDP")</f>
        <v>1</v>
      </c>
      <c r="AM60" s="922">
        <f>COUNTIFS(CampList[Township],$AI60,CampList[Status],"open",CampList[Total],"&gt;5000",CampList[Total],"&lt;=100000",CampList[Affected Population],"IDP")</f>
        <v>0</v>
      </c>
      <c r="AN60" s="562">
        <f>COUNTIFS(CampList[Township],#REF!,CampList[Status],"open",CampList[Total],"",CampList[Affected Population],"IDP")</f>
        <v>0</v>
      </c>
      <c r="AO60" s="928">
        <f t="shared" si="2"/>
        <v>24</v>
      </c>
    </row>
    <row r="61" spans="1:41" x14ac:dyDescent="0.25">
      <c r="AI61" s="562" t="s">
        <v>289</v>
      </c>
      <c r="AJ61" s="922">
        <f>COUNTIFS(CampList[Township],$AI61,CampList[Status],"open",CampList[Total],"&lt;=100",CampList[Affected Population],"IDP")</f>
        <v>0</v>
      </c>
      <c r="AK61" s="922">
        <f>COUNTIFS(CampList[Township],$AI61,CampList[Status],"open",CampList[Total],"&gt;100",CampList[Total],"&lt;=1000",CampList[Affected Population],"IDP")</f>
        <v>6</v>
      </c>
      <c r="AL61" s="922">
        <f>COUNTIFS(CampList[Township],$AI61,CampList[Status],"open",CampList[Total],"&gt;1000",CampList[Total],"&lt;=5000",CampList[Affected Population],"IDP")</f>
        <v>0</v>
      </c>
      <c r="AM61" s="922">
        <f>COUNTIFS(CampList[Township],$AI61,CampList[Status],"open",CampList[Total],"&gt;5000",CampList[Total],"&lt;=100000",CampList[Affected Population],"IDP")</f>
        <v>0</v>
      </c>
      <c r="AN61" s="562">
        <f>COUNTIFS(CampList[Township],#REF!,CampList[Status],"open",CampList[Total],"",CampList[Affected Population],"IDP")</f>
        <v>0</v>
      </c>
      <c r="AO61" s="928">
        <f t="shared" si="2"/>
        <v>6</v>
      </c>
    </row>
    <row r="62" spans="1:41" x14ac:dyDescent="0.25">
      <c r="AI62" s="562" t="s">
        <v>298</v>
      </c>
      <c r="AJ62" s="922">
        <f>COUNTIFS(CampList[Township],$AI62,CampList[Status],"open",CampList[Total],"&lt;=100",CampList[Affected Population],"IDP")</f>
        <v>2</v>
      </c>
      <c r="AK62" s="922">
        <f>COUNTIFS(CampList[Township],$AI62,CampList[Status],"open",CampList[Total],"&gt;100",CampList[Total],"&lt;=1000",CampList[Affected Population],"IDP")</f>
        <v>4</v>
      </c>
      <c r="AL62" s="922">
        <f>COUNTIFS(CampList[Township],$AI62,CampList[Status],"open",CampList[Total],"&gt;1000",CampList[Total],"&lt;=5000",CampList[Affected Population],"IDP")</f>
        <v>0</v>
      </c>
      <c r="AM62" s="922">
        <f>COUNTIFS(CampList[Township],$AI62,CampList[Status],"open",CampList[Total],"&gt;5000",CampList[Total],"&lt;=100000",CampList[Affected Population],"IDP")</f>
        <v>0</v>
      </c>
      <c r="AN62" s="562">
        <f>COUNTIFS(CampList[Township],#REF!,CampList[Status],"open",CampList[Total],"",CampList[Affected Population],"IDP")</f>
        <v>0</v>
      </c>
      <c r="AO62" s="928">
        <f t="shared" si="2"/>
        <v>6</v>
      </c>
    </row>
    <row r="63" spans="1:41" x14ac:dyDescent="0.25">
      <c r="AI63" s="562" t="s">
        <v>300</v>
      </c>
      <c r="AJ63" s="922">
        <f>COUNTIFS(CampList[Township],$AI63,CampList[Status],"open",CampList[Total],"&lt;=100",CampList[Affected Population],"IDP")</f>
        <v>2</v>
      </c>
      <c r="AK63" s="922">
        <f>COUNTIFS(CampList[Township],$AI63,CampList[Status],"open",CampList[Total],"&gt;100",CampList[Total],"&lt;=1000",CampList[Affected Population],"IDP")</f>
        <v>1</v>
      </c>
      <c r="AL63" s="922">
        <f>COUNTIFS(CampList[Township],$AI63,CampList[Status],"open",CampList[Total],"&gt;1000",CampList[Total],"&lt;=5000",CampList[Affected Population],"IDP")</f>
        <v>0</v>
      </c>
      <c r="AM63" s="922">
        <f>COUNTIFS(CampList[Township],$AI63,CampList[Status],"open",CampList[Total],"&gt;5000",CampList[Total],"&lt;=100000",CampList[Affected Population],"IDP")</f>
        <v>0</v>
      </c>
      <c r="AN63" s="562">
        <f>COUNTIFS(CampList[Township],#REF!,CampList[Status],"open",CampList[Total],"",CampList[Affected Population],"IDP")</f>
        <v>0</v>
      </c>
      <c r="AO63" s="928">
        <f t="shared" si="2"/>
        <v>3</v>
      </c>
    </row>
    <row r="64" spans="1:41" x14ac:dyDescent="0.25">
      <c r="AI64" s="562" t="s">
        <v>302</v>
      </c>
      <c r="AJ64" s="922">
        <f>COUNTIFS(CampList[Township],$AI64,CampList[Status],"open",CampList[Total],"&lt;=100",CampList[Affected Population],"IDP")</f>
        <v>0</v>
      </c>
      <c r="AK64" s="922">
        <f>COUNTIFS(CampList[Township],$AI64,CampList[Status],"open",CampList[Total],"&gt;100",CampList[Total],"&lt;=1000",CampList[Affected Population],"IDP")</f>
        <v>2</v>
      </c>
      <c r="AL64" s="922">
        <f>COUNTIFS(CampList[Township],$AI64,CampList[Status],"open",CampList[Total],"&gt;1000",CampList[Total],"&lt;=5000",CampList[Affected Population],"IDP")</f>
        <v>1</v>
      </c>
      <c r="AM64" s="922">
        <f>COUNTIFS(CampList[Township],$AI64,CampList[Status],"open",CampList[Total],"&gt;5000",CampList[Total],"&lt;=100000",CampList[Affected Population],"IDP")</f>
        <v>0</v>
      </c>
      <c r="AN64" s="562">
        <f>COUNTIFS(CampList[Township],#REF!,CampList[Status],"open",CampList[Total],"",CampList[Affected Population],"IDP")</f>
        <v>0</v>
      </c>
      <c r="AO64" s="928">
        <f t="shared" si="2"/>
        <v>3</v>
      </c>
    </row>
    <row r="65" spans="34:46" x14ac:dyDescent="0.25">
      <c r="AI65" s="562" t="s">
        <v>807</v>
      </c>
      <c r="AJ65" s="922">
        <f>COUNTIFS(CampList[Township],$AI65,CampList[Status],"open",CampList[Total],"&lt;=100",CampList[Affected Population],"IDP")</f>
        <v>1</v>
      </c>
      <c r="AK65" s="922">
        <f>COUNTIFS(CampList[Township],$AI65,CampList[Status],"open",CampList[Total],"&gt;100",CampList[Total],"&lt;=1000",CampList[Affected Population],"IDP")</f>
        <v>2</v>
      </c>
      <c r="AL65" s="922">
        <f>COUNTIFS(CampList[Township],$AI65,CampList[Status],"open",CampList[Total],"&gt;1000",CampList[Total],"&lt;=5000",CampList[Affected Population],"IDP")</f>
        <v>0</v>
      </c>
      <c r="AM65" s="922">
        <f>COUNTIFS(CampList[Township],$AI65,CampList[Status],"open",CampList[Total],"&gt;5000",CampList[Total],"&lt;=100000",CampList[Affected Population],"IDP")</f>
        <v>0</v>
      </c>
      <c r="AN65" s="562">
        <f>COUNTIFS(CampList[Township],#REF!,CampList[Status],"open",CampList[Total],"",CampList[Affected Population],"IDP")</f>
        <v>0</v>
      </c>
      <c r="AO65" s="928">
        <f t="shared" si="2"/>
        <v>3</v>
      </c>
    </row>
    <row r="66" spans="34:46" x14ac:dyDescent="0.25">
      <c r="AI66" s="562" t="s">
        <v>310</v>
      </c>
      <c r="AJ66" s="922">
        <f>COUNTIFS(CampList[Township],$AI66,CampList[Status],"open",CampList[Total],"&lt;=100",CampList[Affected Population],"IDP")</f>
        <v>1</v>
      </c>
      <c r="AK66" s="922">
        <f>COUNTIFS(CampList[Township],$AI66,CampList[Status],"open",CampList[Total],"&gt;100",CampList[Total],"&lt;=1000",CampList[Affected Population],"IDP")</f>
        <v>15</v>
      </c>
      <c r="AL66" s="922">
        <f>COUNTIFS(CampList[Township],$AI66,CampList[Status],"open",CampList[Total],"&gt;1000",CampList[Total],"&lt;=5000",CampList[Affected Population],"IDP")</f>
        <v>6</v>
      </c>
      <c r="AM66" s="922">
        <f>COUNTIFS(CampList[Township],$AI66,CampList[Status],"open",CampList[Total],"&gt;5000",CampList[Total],"&lt;=100000",CampList[Affected Population],"IDP")</f>
        <v>1</v>
      </c>
      <c r="AN66" s="562">
        <f>COUNTIFS(CampList[Township],#REF!,CampList[Status],"open",CampList[Total],"",CampList[Affected Population],"IDP")</f>
        <v>0</v>
      </c>
      <c r="AO66" s="928">
        <f>SUM(AJ66:AN66)</f>
        <v>23</v>
      </c>
    </row>
    <row r="67" spans="34:46" s="670" customFormat="1" x14ac:dyDescent="0.25">
      <c r="AH67" s="402"/>
      <c r="AI67" s="673" t="s">
        <v>891</v>
      </c>
      <c r="AJ67" s="922">
        <f>COUNTIFS(CampList[Township],$AI67,CampList[Status],"open",CampList[Total],"&lt;=100",CampList[Affected Population],"IDP")</f>
        <v>0</v>
      </c>
      <c r="AK67" s="922">
        <f>COUNTIFS(CampList[Township],$AI67,CampList[Status],"open",CampList[Total],"&gt;100",CampList[Total],"&lt;=1000",CampList[Affected Population],"IDP")</f>
        <v>0</v>
      </c>
      <c r="AL67" s="922">
        <f>COUNTIFS(CampList[Township],$AI67,CampList[Status],"open",CampList[Total],"&gt;1000",CampList[Total],"&lt;=5000",CampList[Affected Population],"IDP")</f>
        <v>0</v>
      </c>
      <c r="AM67" s="922">
        <f>COUNTIFS(CampList[Township],$AI67,CampList[Status],"open",CampList[Total],"&gt;5000",CampList[Total],"&lt;=100000",CampList[Affected Population],"IDP")</f>
        <v>0</v>
      </c>
      <c r="AN67" s="562">
        <f>COUNTIFS(CampList[Township],#REF!,CampList[Status],"open",CampList[Total],"",CampList[Affected Population],"IDP")</f>
        <v>0</v>
      </c>
      <c r="AO67" s="928">
        <f t="shared" ref="AO67:AO69" si="3">SUM(AJ67:AN67)</f>
        <v>0</v>
      </c>
      <c r="AP67" s="402"/>
      <c r="AQ67" s="402"/>
      <c r="AR67" s="402"/>
      <c r="AS67" s="402"/>
      <c r="AT67" s="402"/>
    </row>
    <row r="68" spans="34:46" x14ac:dyDescent="0.25">
      <c r="AI68" s="562" t="s">
        <v>1396</v>
      </c>
      <c r="AJ68" s="922">
        <f>COUNTIFS(CampList[Township],$AI68,CampList[Status],"open",CampList[Total],"&lt;=100",CampList[Affected Population],"IDP")</f>
        <v>0</v>
      </c>
      <c r="AK68" s="922">
        <f>COUNTIFS(CampList[Township],$AI68,CampList[Status],"open",CampList[Total],"&gt;100",CampList[Total],"&lt;=1000",CampList[Affected Population],"IDP")</f>
        <v>0</v>
      </c>
      <c r="AL68" s="922">
        <f>COUNTIFS(CampList[Township],$AI68,CampList[Status],"open",CampList[Total],"&gt;1000",CampList[Total],"&lt;=5000",CampList[Affected Population],"IDP")</f>
        <v>0</v>
      </c>
      <c r="AM68" s="922">
        <f>COUNTIFS(CampList[Township],$AI68,CampList[Status],"open",CampList[Total],"&gt;5000",CampList[Total],"&lt;=100000",CampList[Affected Population],"IDP")</f>
        <v>0</v>
      </c>
      <c r="AN68" s="562">
        <f>COUNTIFS(CampList[Township],#REF!,CampList[Status],"open",CampList[Total],"",CampList[Affected Population],"IDP")</f>
        <v>0</v>
      </c>
      <c r="AO68" s="928">
        <f t="shared" si="3"/>
        <v>0</v>
      </c>
    </row>
    <row r="69" spans="34:46" x14ac:dyDescent="0.25">
      <c r="AI69" s="562" t="s">
        <v>1481</v>
      </c>
      <c r="AJ69" s="922">
        <f>COUNTIFS(CampList[Township],$AI69,CampList[Status],"open",CampList[Total],"&lt;=100",CampList[Affected Population],"IDP")</f>
        <v>0</v>
      </c>
      <c r="AK69" s="922">
        <f>COUNTIFS(CampList[Township],$AI69,CampList[Status],"open",CampList[Total],"&gt;100",CampList[Total],"&lt;=1000",CampList[Affected Population],"IDP")</f>
        <v>1</v>
      </c>
      <c r="AL69" s="922">
        <f>COUNTIFS(CampList[Township],$AI69,CampList[Status],"open",CampList[Total],"&gt;1000",CampList[Total],"&lt;=5000",CampList[Affected Population],"IDP")</f>
        <v>0</v>
      </c>
      <c r="AM69" s="922">
        <f>COUNTIFS(CampList[Township],$AI69,CampList[Status],"open",CampList[Total],"&gt;5000",CampList[Total],"&lt;=100000",CampList[Affected Population],"IDP")</f>
        <v>0</v>
      </c>
      <c r="AN69" s="562">
        <f>COUNTIFS(CampList[Township],#REF!,CampList[Status],"open",CampList[Total],"",CampList[Affected Population],"IDP")</f>
        <v>0</v>
      </c>
      <c r="AO69" s="928">
        <f t="shared" si="3"/>
        <v>1</v>
      </c>
    </row>
    <row r="70" spans="34:46" x14ac:dyDescent="0.25">
      <c r="AI70" s="562" t="s">
        <v>3</v>
      </c>
      <c r="AJ70" s="926">
        <f>SUM(AJ47:AJ69)</f>
        <v>37</v>
      </c>
      <c r="AK70" s="926">
        <f t="shared" ref="AK70:AM70" si="4">SUM(AK47:AK69)</f>
        <v>105</v>
      </c>
      <c r="AL70" s="926">
        <f t="shared" si="4"/>
        <v>21</v>
      </c>
      <c r="AM70" s="926">
        <f t="shared" si="4"/>
        <v>2</v>
      </c>
      <c r="AN70" s="926">
        <f>SUM(AN47:AN69)</f>
        <v>0</v>
      </c>
      <c r="AO70" s="928">
        <f>SUM(AJ70:AN70)</f>
        <v>165</v>
      </c>
    </row>
    <row r="98" spans="25:27" x14ac:dyDescent="0.25">
      <c r="Y98" s="676"/>
      <c r="AA98" s="676"/>
    </row>
    <row r="99" spans="25:27" x14ac:dyDescent="0.25">
      <c r="Y99" s="676"/>
    </row>
    <row r="100" spans="25:27" x14ac:dyDescent="0.25">
      <c r="Y100" s="676"/>
    </row>
  </sheetData>
  <sortState ref="AI34:AO54">
    <sortCondition ref="AI34"/>
  </sortState>
  <mergeCells count="3">
    <mergeCell ref="B5:I5"/>
    <mergeCell ref="B6:I6"/>
    <mergeCell ref="B3:P3"/>
  </mergeCells>
  <conditionalFormatting sqref="H35:L35">
    <cfRule type="dataBar" priority="18">
      <dataBar>
        <cfvo type="num" val="0"/>
        <cfvo type="num" val="$AN$31"/>
        <color rgb="FF638EC6"/>
      </dataBar>
      <extLst>
        <ext xmlns:x14="http://schemas.microsoft.com/office/spreadsheetml/2009/9/main" uri="{B025F937-C7B1-47D3-B67F-A62EFF666E3E}">
          <x14:id>{4729CA1C-9856-465B-A252-5D74BE4F6C00}</x14:id>
        </ext>
      </extLst>
    </cfRule>
    <cfRule type="dataBar" priority="19">
      <dataBar>
        <cfvo type="num" val="0"/>
        <cfvo type="num" val="$AN$31"/>
        <color rgb="FFFF555A"/>
      </dataBar>
      <extLst>
        <ext xmlns:x14="http://schemas.microsoft.com/office/spreadsheetml/2009/9/main" uri="{B025F937-C7B1-47D3-B67F-A62EFF666E3E}">
          <x14:id>{5DCED515-272B-4C05-BE24-8A126174C663}</x14:id>
        </ext>
      </extLst>
    </cfRule>
    <cfRule type="dataBar" priority="33">
      <dataBar>
        <cfvo type="min"/>
        <cfvo type="max"/>
        <color rgb="FFFF555A"/>
      </dataBar>
      <extLst>
        <ext xmlns:x14="http://schemas.microsoft.com/office/spreadsheetml/2009/9/main" uri="{B025F937-C7B1-47D3-B67F-A62EFF666E3E}">
          <x14:id>{83FF87DB-4AF0-4757-A50F-701789E158D8}</x14:id>
        </ext>
      </extLst>
    </cfRule>
  </conditionalFormatting>
  <conditionalFormatting sqref="H35:L35">
    <cfRule type="dataBar" priority="39">
      <dataBar>
        <cfvo type="min"/>
        <cfvo type="max"/>
        <color rgb="FF638EC6"/>
      </dataBar>
      <extLst>
        <ext xmlns:x14="http://schemas.microsoft.com/office/spreadsheetml/2009/9/main" uri="{B025F937-C7B1-47D3-B67F-A62EFF666E3E}">
          <x14:id>{077C6988-A8CC-4404-8A74-478FD55721B5}</x14:id>
        </ext>
      </extLst>
    </cfRule>
  </conditionalFormatting>
  <conditionalFormatting sqref="C46:E49">
    <cfRule type="dataBar" priority="17">
      <dataBar>
        <cfvo type="min"/>
        <cfvo type="max"/>
        <color rgb="FF63C384"/>
      </dataBar>
      <extLst>
        <ext xmlns:x14="http://schemas.microsoft.com/office/spreadsheetml/2009/9/main" uri="{B025F937-C7B1-47D3-B67F-A62EFF666E3E}">
          <x14:id>{898ED28B-BD84-48E1-B5FF-CD5004CB27E3}</x14:id>
        </ext>
      </extLst>
    </cfRule>
  </conditionalFormatting>
  <conditionalFormatting sqref="C46:E49">
    <cfRule type="dataBar" priority="16">
      <dataBar>
        <cfvo type="min"/>
        <cfvo type="max"/>
        <color rgb="FFD6007B"/>
      </dataBar>
      <extLst>
        <ext xmlns:x14="http://schemas.microsoft.com/office/spreadsheetml/2009/9/main" uri="{B025F937-C7B1-47D3-B67F-A62EFF666E3E}">
          <x14:id>{80C87FD2-BD07-4BB5-9C0D-A1D2BF363644}</x14:id>
        </ext>
      </extLst>
    </cfRule>
  </conditionalFormatting>
  <conditionalFormatting sqref="E16:E32 E34:E41">
    <cfRule type="dataBar" priority="165">
      <dataBar>
        <cfvo type="min"/>
        <cfvo type="max"/>
        <color rgb="FFFFB628"/>
      </dataBar>
      <extLst>
        <ext xmlns:x14="http://schemas.microsoft.com/office/spreadsheetml/2009/9/main" uri="{B025F937-C7B1-47D3-B67F-A62EFF666E3E}">
          <x14:id>{0054ED97-6B39-47EE-970F-3D7220F91D2F}</x14:id>
        </ext>
      </extLst>
    </cfRule>
  </conditionalFormatting>
  <conditionalFormatting sqref="D16:D32 D34:D41">
    <cfRule type="dataBar" priority="169">
      <dataBar>
        <cfvo type="min"/>
        <cfvo type="max"/>
        <color rgb="FF638EC6"/>
      </dataBar>
      <extLst>
        <ext xmlns:x14="http://schemas.microsoft.com/office/spreadsheetml/2009/9/main" uri="{B025F937-C7B1-47D3-B67F-A62EFF666E3E}">
          <x14:id>{3D310D00-BC55-40BE-9DF6-D90CF1C54F11}</x14:id>
        </ext>
      </extLst>
    </cfRule>
  </conditionalFormatting>
  <conditionalFormatting sqref="C16:C32 C34:C41">
    <cfRule type="dataBar" priority="173">
      <dataBar>
        <cfvo type="min"/>
        <cfvo type="max"/>
        <color rgb="FF63C384"/>
      </dataBar>
      <extLst>
        <ext xmlns:x14="http://schemas.microsoft.com/office/spreadsheetml/2009/9/main" uri="{B025F937-C7B1-47D3-B67F-A62EFF666E3E}">
          <x14:id>{3C54CAF3-E8DB-4E86-98B4-12A79F65AD85}</x14:id>
        </ext>
      </extLst>
    </cfRule>
  </conditionalFormatting>
  <conditionalFormatting sqref="H34:L34">
    <cfRule type="dataBar" priority="175">
      <dataBar>
        <cfvo type="min"/>
        <cfvo type="max"/>
        <color rgb="FF638EC6"/>
      </dataBar>
      <extLst>
        <ext xmlns:x14="http://schemas.microsoft.com/office/spreadsheetml/2009/9/main" uri="{B025F937-C7B1-47D3-B67F-A62EFF666E3E}">
          <x14:id>{74459D76-3CDD-4603-8F85-808736BAF087}</x14:id>
        </ext>
      </extLst>
    </cfRule>
  </conditionalFormatting>
  <conditionalFormatting sqref="H34:L34">
    <cfRule type="dataBar" priority="176">
      <dataBar>
        <cfvo type="num" val="0"/>
        <cfvo type="num" val="#REF!"/>
        <color rgb="FF638EC6"/>
      </dataBar>
      <extLst>
        <ext xmlns:x14="http://schemas.microsoft.com/office/spreadsheetml/2009/9/main" uri="{B025F937-C7B1-47D3-B67F-A62EFF666E3E}">
          <x14:id>{02A8E9F0-FDBA-452A-AB6A-F2E5CA3F88D3}</x14:id>
        </ext>
      </extLst>
    </cfRule>
    <cfRule type="dataBar" priority="177">
      <dataBar>
        <cfvo type="min"/>
        <cfvo type="max"/>
        <color rgb="FF008AEF"/>
      </dataBar>
      <extLst>
        <ext xmlns:x14="http://schemas.microsoft.com/office/spreadsheetml/2009/9/main" uri="{B025F937-C7B1-47D3-B67F-A62EFF666E3E}">
          <x14:id>{48264DF9-DDE3-4B92-9921-17F85D71C4D9}</x14:id>
        </ext>
      </extLst>
    </cfRule>
  </conditionalFormatting>
  <conditionalFormatting sqref="E44 E42">
    <cfRule type="dataBar" priority="181">
      <dataBar>
        <cfvo type="min"/>
        <cfvo type="max"/>
        <color rgb="FFFFB628"/>
      </dataBar>
      <extLst>
        <ext xmlns:x14="http://schemas.microsoft.com/office/spreadsheetml/2009/9/main" uri="{B025F937-C7B1-47D3-B67F-A62EFF666E3E}">
          <x14:id>{E62C4C6A-10ED-4033-B63E-536B45F81DEE}</x14:id>
        </ext>
      </extLst>
    </cfRule>
  </conditionalFormatting>
  <conditionalFormatting sqref="D44 D42">
    <cfRule type="dataBar" priority="183">
      <dataBar>
        <cfvo type="min"/>
        <cfvo type="max"/>
        <color rgb="FF638EC6"/>
      </dataBar>
      <extLst>
        <ext xmlns:x14="http://schemas.microsoft.com/office/spreadsheetml/2009/9/main" uri="{B025F937-C7B1-47D3-B67F-A62EFF666E3E}">
          <x14:id>{CA84F9C0-431A-4F7E-B653-B156EA2C233D}</x14:id>
        </ext>
      </extLst>
    </cfRule>
  </conditionalFormatting>
  <conditionalFormatting sqref="C44 C42">
    <cfRule type="dataBar" priority="185">
      <dataBar>
        <cfvo type="min"/>
        <cfvo type="max"/>
        <color rgb="FF63C384"/>
      </dataBar>
      <extLst>
        <ext xmlns:x14="http://schemas.microsoft.com/office/spreadsheetml/2009/9/main" uri="{B025F937-C7B1-47D3-B67F-A62EFF666E3E}">
          <x14:id>{9641383C-0A3B-4F06-9E4D-BE4757BF7245}</x14:id>
        </ext>
      </extLst>
    </cfRule>
  </conditionalFormatting>
  <printOptions horizontalCentered="1"/>
  <pageMargins left="0.15" right="0.15" top="0.48" bottom="0.21" header="0.19" footer="0.17"/>
  <pageSetup paperSize="9" scale="78" orientation="landscape" r:id="rId1"/>
  <ignoredErrors>
    <ignoredError sqref="AN49" formula="1"/>
  </ignoredErrors>
  <drawing r:id="rId2"/>
  <extLst>
    <ext xmlns:x14="http://schemas.microsoft.com/office/spreadsheetml/2009/9/main" uri="{78C0D931-6437-407d-A8EE-F0AAD7539E65}">
      <x14:conditionalFormattings>
        <x14:conditionalFormatting xmlns:xm="http://schemas.microsoft.com/office/excel/2006/main">
          <x14:cfRule type="dataBar" id="{4729CA1C-9856-465B-A252-5D74BE4F6C00}">
            <x14:dataBar minLength="0" maxLength="100" gradient="0">
              <x14:cfvo type="num">
                <xm:f>0</xm:f>
              </x14:cfvo>
              <x14:cfvo type="num">
                <xm:f>$AN$31</xm:f>
              </x14:cfvo>
              <x14:negativeFillColor rgb="FFFF0000"/>
              <x14:axisColor rgb="FF000000"/>
            </x14:dataBar>
          </x14:cfRule>
          <x14:cfRule type="dataBar" id="{5DCED515-272B-4C05-BE24-8A126174C663}">
            <x14:dataBar minLength="0" maxLength="100" border="1" negativeBarBorderColorSameAsPositive="0">
              <x14:cfvo type="num">
                <xm:f>0</xm:f>
              </x14:cfvo>
              <x14:cfvo type="num">
                <xm:f>$AN$31</xm:f>
              </x14:cfvo>
              <x14:borderColor rgb="FFFF555A"/>
              <x14:negativeFillColor rgb="FFFF0000"/>
              <x14:negativeBorderColor rgb="FFFF0000"/>
              <x14:axisColor rgb="FF000000"/>
            </x14:dataBar>
          </x14:cfRule>
          <x14:cfRule type="dataBar" id="{83FF87DB-4AF0-4757-A50F-701789E158D8}">
            <x14:dataBar minLength="0" maxLength="100" gradient="0">
              <x14:cfvo type="autoMin"/>
              <x14:cfvo type="autoMax"/>
              <x14:negativeFillColor rgb="FFFF0000"/>
              <x14:axisColor rgb="FF000000"/>
            </x14:dataBar>
          </x14:cfRule>
          <xm:sqref>H35:L35</xm:sqref>
        </x14:conditionalFormatting>
        <x14:conditionalFormatting xmlns:xm="http://schemas.microsoft.com/office/excel/2006/main">
          <x14:cfRule type="dataBar" id="{077C6988-A8CC-4404-8A74-478FD55721B5}">
            <x14:dataBar minLength="0" maxLength="100" border="1" negativeBarBorderColorSameAsPositive="0">
              <x14:cfvo type="autoMin"/>
              <x14:cfvo type="autoMax"/>
              <x14:borderColor rgb="FF638EC6"/>
              <x14:negativeFillColor rgb="FFFF0000"/>
              <x14:negativeBorderColor rgb="FFFF0000"/>
              <x14:axisColor rgb="FF000000"/>
            </x14:dataBar>
          </x14:cfRule>
          <xm:sqref>H35:L35</xm:sqref>
        </x14:conditionalFormatting>
        <x14:conditionalFormatting xmlns:xm="http://schemas.microsoft.com/office/excel/2006/main">
          <x14:cfRule type="dataBar" id="{898ED28B-BD84-48E1-B5FF-CD5004CB27E3}">
            <x14:dataBar minLength="0" maxLength="100" border="1" negativeBarBorderColorSameAsPositive="0">
              <x14:cfvo type="autoMin"/>
              <x14:cfvo type="autoMax"/>
              <x14:borderColor rgb="FF63C384"/>
              <x14:negativeFillColor rgb="FFFF0000"/>
              <x14:negativeBorderColor rgb="FFFF0000"/>
              <x14:axisColor rgb="FF000000"/>
            </x14:dataBar>
          </x14:cfRule>
          <xm:sqref>C46:E49</xm:sqref>
        </x14:conditionalFormatting>
        <x14:conditionalFormatting xmlns:xm="http://schemas.microsoft.com/office/excel/2006/main">
          <x14:cfRule type="dataBar" id="{80C87FD2-BD07-4BB5-9C0D-A1D2BF363644}">
            <x14:dataBar minLength="0" maxLength="100" border="1" negativeBarBorderColorSameAsPositive="0">
              <x14:cfvo type="autoMin"/>
              <x14:cfvo type="autoMax"/>
              <x14:borderColor rgb="FFD6007B"/>
              <x14:negativeFillColor rgb="FFFF0000"/>
              <x14:negativeBorderColor rgb="FFFF0000"/>
              <x14:axisColor rgb="FF000000"/>
            </x14:dataBar>
          </x14:cfRule>
          <xm:sqref>C46:E49</xm:sqref>
        </x14:conditionalFormatting>
        <x14:conditionalFormatting xmlns:xm="http://schemas.microsoft.com/office/excel/2006/main">
          <x14:cfRule type="dataBar" id="{0054ED97-6B39-47EE-970F-3D7220F91D2F}">
            <x14:dataBar minLength="0" maxLength="100" border="1" negativeBarBorderColorSameAsPositive="0">
              <x14:cfvo type="autoMin"/>
              <x14:cfvo type="autoMax"/>
              <x14:borderColor rgb="FFFFB628"/>
              <x14:negativeFillColor rgb="FFFF0000"/>
              <x14:negativeBorderColor rgb="FFFF0000"/>
              <x14:axisColor rgb="FF000000"/>
            </x14:dataBar>
          </x14:cfRule>
          <xm:sqref>E16:E32 E34:E41</xm:sqref>
        </x14:conditionalFormatting>
        <x14:conditionalFormatting xmlns:xm="http://schemas.microsoft.com/office/excel/2006/main">
          <x14:cfRule type="dataBar" id="{3D310D00-BC55-40BE-9DF6-D90CF1C54F11}">
            <x14:dataBar minLength="0" maxLength="100" border="1" negativeBarBorderColorSameAsPositive="0">
              <x14:cfvo type="autoMin"/>
              <x14:cfvo type="autoMax"/>
              <x14:borderColor rgb="FF638EC6"/>
              <x14:negativeFillColor rgb="FFFF0000"/>
              <x14:negativeBorderColor rgb="FFFF0000"/>
              <x14:axisColor rgb="FF000000"/>
            </x14:dataBar>
          </x14:cfRule>
          <xm:sqref>D16:D32 D34:D41</xm:sqref>
        </x14:conditionalFormatting>
        <x14:conditionalFormatting xmlns:xm="http://schemas.microsoft.com/office/excel/2006/main">
          <x14:cfRule type="dataBar" id="{3C54CAF3-E8DB-4E86-98B4-12A79F65AD85}">
            <x14:dataBar minLength="0" maxLength="100" border="1" negativeBarBorderColorSameAsPositive="0">
              <x14:cfvo type="autoMin"/>
              <x14:cfvo type="autoMax"/>
              <x14:borderColor rgb="FF63C384"/>
              <x14:negativeFillColor rgb="FFFF0000"/>
              <x14:negativeBorderColor rgb="FFFF0000"/>
              <x14:axisColor rgb="FF000000"/>
            </x14:dataBar>
          </x14:cfRule>
          <xm:sqref>C16:C32 C34:C41</xm:sqref>
        </x14:conditionalFormatting>
        <x14:conditionalFormatting xmlns:xm="http://schemas.microsoft.com/office/excel/2006/main">
          <x14:cfRule type="dataBar" id="{74459D76-3CDD-4603-8F85-808736BAF087}">
            <x14:dataBar minLength="0" maxLength="100" border="1" negativeBarBorderColorSameAsPositive="0">
              <x14:cfvo type="autoMin"/>
              <x14:cfvo type="autoMax"/>
              <x14:borderColor rgb="FF638EC6"/>
              <x14:negativeFillColor rgb="FFFF0000"/>
              <x14:negativeBorderColor rgb="FFFF0000"/>
              <x14:axisColor rgb="FF000000"/>
            </x14:dataBar>
          </x14:cfRule>
          <xm:sqref>H34:L34</xm:sqref>
        </x14:conditionalFormatting>
        <x14:conditionalFormatting xmlns:xm="http://schemas.microsoft.com/office/excel/2006/main">
          <x14:cfRule type="dataBar" id="{02A8E9F0-FDBA-452A-AB6A-F2E5CA3F88D3}">
            <x14:dataBar minLength="0" maxLength="100">
              <x14:cfvo type="num">
                <xm:f>0</xm:f>
              </x14:cfvo>
              <x14:cfvo type="num">
                <xm:f>#REF!</xm:f>
              </x14:cfvo>
              <x14:negativeFillColor rgb="FFFF0000"/>
              <x14:axisColor rgb="FF000000"/>
            </x14:dataBar>
          </x14:cfRule>
          <x14:cfRule type="dataBar" id="{48264DF9-DDE3-4B92-9921-17F85D71C4D9}">
            <x14:dataBar minLength="0" maxLength="100" gradient="0">
              <x14:cfvo type="autoMin"/>
              <x14:cfvo type="autoMax"/>
              <x14:negativeFillColor rgb="FFFF0000"/>
              <x14:axisColor rgb="FF000000"/>
            </x14:dataBar>
          </x14:cfRule>
          <xm:sqref>H34:L34</xm:sqref>
        </x14:conditionalFormatting>
        <x14:conditionalFormatting xmlns:xm="http://schemas.microsoft.com/office/excel/2006/main">
          <x14:cfRule type="dataBar" id="{E62C4C6A-10ED-4033-B63E-536B45F81DEE}">
            <x14:dataBar minLength="0" maxLength="100" border="1" negativeBarBorderColorSameAsPositive="0">
              <x14:cfvo type="autoMin"/>
              <x14:cfvo type="autoMax"/>
              <x14:borderColor rgb="FFFFB628"/>
              <x14:negativeFillColor rgb="FFFF0000"/>
              <x14:negativeBorderColor rgb="FFFF0000"/>
              <x14:axisColor rgb="FF000000"/>
            </x14:dataBar>
          </x14:cfRule>
          <xm:sqref>E44 E42</xm:sqref>
        </x14:conditionalFormatting>
        <x14:conditionalFormatting xmlns:xm="http://schemas.microsoft.com/office/excel/2006/main">
          <x14:cfRule type="dataBar" id="{CA84F9C0-431A-4F7E-B653-B156EA2C233D}">
            <x14:dataBar minLength="0" maxLength="100" border="1" negativeBarBorderColorSameAsPositive="0">
              <x14:cfvo type="autoMin"/>
              <x14:cfvo type="autoMax"/>
              <x14:borderColor rgb="FF638EC6"/>
              <x14:negativeFillColor rgb="FFFF0000"/>
              <x14:negativeBorderColor rgb="FFFF0000"/>
              <x14:axisColor rgb="FF000000"/>
            </x14:dataBar>
          </x14:cfRule>
          <xm:sqref>D44 D42</xm:sqref>
        </x14:conditionalFormatting>
        <x14:conditionalFormatting xmlns:xm="http://schemas.microsoft.com/office/excel/2006/main">
          <x14:cfRule type="dataBar" id="{9641383C-0A3B-4F06-9E4D-BE4757BF7245}">
            <x14:dataBar minLength="0" maxLength="100" border="1" negativeBarBorderColorSameAsPositive="0">
              <x14:cfvo type="autoMin"/>
              <x14:cfvo type="autoMax"/>
              <x14:borderColor rgb="FF63C384"/>
              <x14:negativeFillColor rgb="FFFF0000"/>
              <x14:negativeBorderColor rgb="FFFF0000"/>
              <x14:axisColor rgb="FF000000"/>
            </x14:dataBar>
          </x14:cfRule>
          <xm:sqref>C44 C42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sheetPr>
  <dimension ref="A1:H154"/>
  <sheetViews>
    <sheetView workbookViewId="0">
      <selection activeCell="D3" sqref="D3"/>
    </sheetView>
  </sheetViews>
  <sheetFormatPr defaultRowHeight="15" x14ac:dyDescent="0.25"/>
  <cols>
    <col min="1" max="1" width="47.28515625" customWidth="1"/>
    <col min="2" max="2" width="16.140625" bestFit="1" customWidth="1"/>
    <col min="3" max="4" width="12" bestFit="1" customWidth="1"/>
    <col min="5" max="5" width="14.140625" bestFit="1" customWidth="1"/>
    <col min="6" max="6" width="20.85546875" bestFit="1" customWidth="1"/>
    <col min="7" max="7" width="10.7109375" bestFit="1" customWidth="1"/>
    <col min="8" max="8" width="9.85546875" bestFit="1" customWidth="1"/>
    <col min="9" max="9" width="9.28515625" bestFit="1" customWidth="1"/>
  </cols>
  <sheetData>
    <row r="1" spans="1:8" x14ac:dyDescent="0.25">
      <c r="A1" s="305" t="s">
        <v>497</v>
      </c>
      <c r="B1" s="758" t="s">
        <v>499</v>
      </c>
    </row>
    <row r="3" spans="1:8" x14ac:dyDescent="0.25">
      <c r="A3" s="305" t="s">
        <v>553</v>
      </c>
      <c r="B3" s="305" t="s">
        <v>1100</v>
      </c>
      <c r="C3" s="305" t="s">
        <v>1</v>
      </c>
      <c r="D3" s="305" t="s">
        <v>496</v>
      </c>
      <c r="E3" s="305" t="s">
        <v>1101</v>
      </c>
      <c r="F3" s="305" t="s">
        <v>1102</v>
      </c>
      <c r="G3" s="758" t="s">
        <v>1103</v>
      </c>
      <c r="H3" s="758" t="s">
        <v>860</v>
      </c>
    </row>
    <row r="4" spans="1:8" x14ac:dyDescent="0.25">
      <c r="A4" s="758" t="s">
        <v>120</v>
      </c>
      <c r="B4" s="758" t="s">
        <v>119</v>
      </c>
      <c r="C4" s="758">
        <v>96.361609999999999</v>
      </c>
      <c r="D4" s="758" t="s">
        <v>510</v>
      </c>
      <c r="E4" s="758" t="s">
        <v>553</v>
      </c>
      <c r="F4" s="758" t="s">
        <v>1085</v>
      </c>
      <c r="G4" s="299">
        <v>72</v>
      </c>
      <c r="H4" s="299">
        <v>347</v>
      </c>
    </row>
    <row r="5" spans="1:8" x14ac:dyDescent="0.25">
      <c r="A5" s="758" t="s">
        <v>6</v>
      </c>
      <c r="B5" s="758" t="s">
        <v>4</v>
      </c>
      <c r="C5" s="758">
        <v>97.238829999999993</v>
      </c>
      <c r="D5" s="758" t="s">
        <v>510</v>
      </c>
      <c r="E5" s="758" t="s">
        <v>553</v>
      </c>
      <c r="F5" s="758" t="s">
        <v>1084</v>
      </c>
      <c r="G5" s="299">
        <v>257</v>
      </c>
      <c r="H5" s="299">
        <v>1266</v>
      </c>
    </row>
    <row r="6" spans="1:8" x14ac:dyDescent="0.25">
      <c r="A6" s="758" t="s">
        <v>41</v>
      </c>
      <c r="B6" s="758" t="s">
        <v>40</v>
      </c>
      <c r="C6" s="758">
        <v>96.345569999999995</v>
      </c>
      <c r="D6" s="758" t="s">
        <v>510</v>
      </c>
      <c r="E6" s="758" t="s">
        <v>553</v>
      </c>
      <c r="F6" s="758" t="s">
        <v>504</v>
      </c>
      <c r="G6" s="299">
        <v>66</v>
      </c>
      <c r="H6" s="299">
        <v>356</v>
      </c>
    </row>
    <row r="7" spans="1:8" x14ac:dyDescent="0.25">
      <c r="A7" s="758" t="s">
        <v>43</v>
      </c>
      <c r="B7" s="758" t="s">
        <v>42</v>
      </c>
      <c r="C7" s="758">
        <v>96.317350000000005</v>
      </c>
      <c r="D7" s="758" t="s">
        <v>510</v>
      </c>
      <c r="E7" s="758" t="s">
        <v>553</v>
      </c>
      <c r="F7" s="758" t="s">
        <v>504</v>
      </c>
      <c r="G7" s="299">
        <v>14</v>
      </c>
      <c r="H7" s="299">
        <v>81</v>
      </c>
    </row>
    <row r="8" spans="1:8" x14ac:dyDescent="0.25">
      <c r="A8" s="758" t="s">
        <v>511</v>
      </c>
      <c r="B8" s="758" t="s">
        <v>377</v>
      </c>
      <c r="C8" s="758">
        <v>97.252650000000003</v>
      </c>
      <c r="D8" s="758" t="s">
        <v>510</v>
      </c>
      <c r="E8" s="758" t="s">
        <v>553</v>
      </c>
      <c r="F8" s="758" t="s">
        <v>459</v>
      </c>
      <c r="G8" s="299">
        <v>12</v>
      </c>
      <c r="H8" s="299">
        <v>55</v>
      </c>
    </row>
    <row r="9" spans="1:8" x14ac:dyDescent="0.25">
      <c r="A9" s="758" t="s">
        <v>52</v>
      </c>
      <c r="B9" s="758" t="s">
        <v>51</v>
      </c>
      <c r="C9" s="758">
        <v>96.346469999999997</v>
      </c>
      <c r="D9" s="758" t="s">
        <v>510</v>
      </c>
      <c r="E9" s="758" t="s">
        <v>553</v>
      </c>
      <c r="F9" s="758" t="s">
        <v>459</v>
      </c>
      <c r="G9" s="299">
        <v>38</v>
      </c>
      <c r="H9" s="299">
        <v>231</v>
      </c>
    </row>
    <row r="10" spans="1:8" x14ac:dyDescent="0.25">
      <c r="A10" s="758" t="s">
        <v>334</v>
      </c>
      <c r="B10" s="758" t="s">
        <v>333</v>
      </c>
      <c r="C10" s="758">
        <v>97.915833000000006</v>
      </c>
      <c r="D10" s="758" t="s">
        <v>512</v>
      </c>
      <c r="E10" s="758" t="s">
        <v>553</v>
      </c>
      <c r="F10" s="758" t="s">
        <v>1085</v>
      </c>
      <c r="G10" s="299">
        <v>152</v>
      </c>
      <c r="H10" s="299">
        <v>584</v>
      </c>
    </row>
    <row r="11" spans="1:8" x14ac:dyDescent="0.25">
      <c r="A11" s="758" t="s">
        <v>188</v>
      </c>
      <c r="B11" s="758" t="s">
        <v>187</v>
      </c>
      <c r="C11" s="758">
        <v>97.609832999999995</v>
      </c>
      <c r="D11" s="758" t="s">
        <v>512</v>
      </c>
      <c r="E11" s="758" t="s">
        <v>553</v>
      </c>
      <c r="F11" s="758" t="s">
        <v>1084</v>
      </c>
      <c r="G11" s="299">
        <v>386</v>
      </c>
      <c r="H11" s="299">
        <v>1902</v>
      </c>
    </row>
    <row r="12" spans="1:8" x14ac:dyDescent="0.25">
      <c r="A12" s="758" t="s">
        <v>72</v>
      </c>
      <c r="B12" s="758" t="s">
        <v>71</v>
      </c>
      <c r="C12" s="758">
        <v>96.283377000000002</v>
      </c>
      <c r="D12" s="758" t="s">
        <v>510</v>
      </c>
      <c r="E12" s="758" t="s">
        <v>553</v>
      </c>
      <c r="F12" s="758" t="s">
        <v>504</v>
      </c>
      <c r="G12" s="299">
        <v>6</v>
      </c>
      <c r="H12" s="299">
        <v>30</v>
      </c>
    </row>
    <row r="13" spans="1:8" x14ac:dyDescent="0.25">
      <c r="A13" s="758" t="s">
        <v>28</v>
      </c>
      <c r="B13" s="758" t="s">
        <v>30</v>
      </c>
      <c r="C13" s="758">
        <v>98.131550000000004</v>
      </c>
      <c r="D13" s="758" t="s">
        <v>510</v>
      </c>
      <c r="E13" s="758" t="s">
        <v>553</v>
      </c>
      <c r="F13" s="758" t="s">
        <v>504</v>
      </c>
      <c r="G13" s="299">
        <v>108</v>
      </c>
      <c r="H13" s="299">
        <v>529</v>
      </c>
    </row>
    <row r="14" spans="1:8" x14ac:dyDescent="0.25">
      <c r="A14" s="758" t="s">
        <v>76</v>
      </c>
      <c r="B14" s="758" t="s">
        <v>75</v>
      </c>
      <c r="C14" s="758">
        <v>96.35257</v>
      </c>
      <c r="D14" s="758" t="s">
        <v>510</v>
      </c>
      <c r="E14" s="758" t="s">
        <v>553</v>
      </c>
      <c r="F14" s="758" t="s">
        <v>504</v>
      </c>
      <c r="G14" s="299">
        <v>70</v>
      </c>
      <c r="H14" s="299">
        <v>347</v>
      </c>
    </row>
    <row r="15" spans="1:8" x14ac:dyDescent="0.25">
      <c r="A15" s="758" t="s">
        <v>243</v>
      </c>
      <c r="B15" s="758" t="s">
        <v>242</v>
      </c>
      <c r="C15" s="758">
        <v>97.384729629629604</v>
      </c>
      <c r="D15" s="758" t="s">
        <v>510</v>
      </c>
      <c r="E15" s="758" t="s">
        <v>553</v>
      </c>
      <c r="F15" s="758" t="s">
        <v>459</v>
      </c>
      <c r="G15" s="299">
        <v>6</v>
      </c>
      <c r="H15" s="299">
        <v>32</v>
      </c>
    </row>
    <row r="16" spans="1:8" x14ac:dyDescent="0.25">
      <c r="A16" s="758" t="s">
        <v>245</v>
      </c>
      <c r="B16" s="758" t="s">
        <v>244</v>
      </c>
      <c r="C16" s="758">
        <v>97.382997575757599</v>
      </c>
      <c r="D16" s="758" t="s">
        <v>510</v>
      </c>
      <c r="E16" s="758" t="s">
        <v>553</v>
      </c>
      <c r="F16" s="758" t="s">
        <v>459</v>
      </c>
      <c r="G16" s="299">
        <v>7</v>
      </c>
      <c r="H16" s="299">
        <v>46</v>
      </c>
    </row>
    <row r="17" spans="1:8" x14ac:dyDescent="0.25">
      <c r="A17" s="758" t="s">
        <v>247</v>
      </c>
      <c r="B17" s="758" t="s">
        <v>246</v>
      </c>
      <c r="C17" s="758">
        <v>97.381325000000004</v>
      </c>
      <c r="D17" s="758" t="s">
        <v>510</v>
      </c>
      <c r="E17" s="758" t="s">
        <v>553</v>
      </c>
      <c r="F17" s="758" t="s">
        <v>459</v>
      </c>
      <c r="G17" s="299">
        <v>31</v>
      </c>
      <c r="H17" s="299">
        <v>118</v>
      </c>
    </row>
    <row r="18" spans="1:8" x14ac:dyDescent="0.25">
      <c r="A18" s="758" t="s">
        <v>192</v>
      </c>
      <c r="B18" s="758" t="s">
        <v>191</v>
      </c>
      <c r="C18" s="758">
        <v>97.537099999999995</v>
      </c>
      <c r="D18" s="758" t="s">
        <v>512</v>
      </c>
      <c r="E18" s="758" t="s">
        <v>553</v>
      </c>
      <c r="F18" s="758" t="s">
        <v>1085</v>
      </c>
      <c r="G18" s="299">
        <v>103</v>
      </c>
      <c r="H18" s="299">
        <v>461</v>
      </c>
    </row>
    <row r="19" spans="1:8" x14ac:dyDescent="0.25">
      <c r="A19" s="758" t="s">
        <v>313</v>
      </c>
      <c r="B19" s="758" t="s">
        <v>312</v>
      </c>
      <c r="C19" s="758">
        <v>97.404195925926004</v>
      </c>
      <c r="D19" s="758" t="s">
        <v>510</v>
      </c>
      <c r="E19" s="758" t="s">
        <v>553</v>
      </c>
      <c r="F19" s="758" t="s">
        <v>504</v>
      </c>
      <c r="G19" s="299">
        <v>102</v>
      </c>
      <c r="H19" s="299">
        <v>502</v>
      </c>
    </row>
    <row r="20" spans="1:8" x14ac:dyDescent="0.25">
      <c r="A20" s="758" t="s">
        <v>336</v>
      </c>
      <c r="B20" s="758" t="s">
        <v>335</v>
      </c>
      <c r="C20" s="758">
        <v>97.807182999999995</v>
      </c>
      <c r="D20" s="758" t="s">
        <v>512</v>
      </c>
      <c r="E20" s="758" t="s">
        <v>553</v>
      </c>
      <c r="F20" s="758" t="s">
        <v>459</v>
      </c>
      <c r="G20" s="299">
        <v>149</v>
      </c>
      <c r="H20" s="299">
        <v>830</v>
      </c>
    </row>
    <row r="21" spans="1:8" x14ac:dyDescent="0.25">
      <c r="A21" s="758" t="s">
        <v>88</v>
      </c>
      <c r="B21" s="758" t="s">
        <v>87</v>
      </c>
      <c r="C21" s="758">
        <v>96.705960000000005</v>
      </c>
      <c r="D21" s="758" t="s">
        <v>510</v>
      </c>
      <c r="E21" s="758" t="s">
        <v>553</v>
      </c>
      <c r="F21" s="758" t="s">
        <v>459</v>
      </c>
      <c r="G21" s="299">
        <v>13</v>
      </c>
      <c r="H21" s="299">
        <v>45</v>
      </c>
    </row>
    <row r="22" spans="1:8" x14ac:dyDescent="0.25">
      <c r="A22" s="758" t="s">
        <v>44</v>
      </c>
      <c r="B22" s="758" t="s">
        <v>45</v>
      </c>
      <c r="C22" s="758">
        <v>96.316564</v>
      </c>
      <c r="D22" s="758" t="s">
        <v>510</v>
      </c>
      <c r="E22" s="758" t="s">
        <v>553</v>
      </c>
      <c r="F22" s="758" t="s">
        <v>504</v>
      </c>
      <c r="G22" s="299">
        <v>4</v>
      </c>
      <c r="H22" s="299">
        <v>26</v>
      </c>
    </row>
    <row r="23" spans="1:8" x14ac:dyDescent="0.25">
      <c r="A23" s="758" t="s">
        <v>1061</v>
      </c>
      <c r="B23" s="758" t="s">
        <v>1062</v>
      </c>
      <c r="C23" s="758">
        <v>96.312790000000007</v>
      </c>
      <c r="D23" s="758" t="s">
        <v>510</v>
      </c>
      <c r="E23" s="758" t="s">
        <v>553</v>
      </c>
      <c r="F23" s="758" t="s">
        <v>459</v>
      </c>
      <c r="G23" s="299">
        <v>103</v>
      </c>
      <c r="H23" s="299">
        <v>497</v>
      </c>
    </row>
    <row r="24" spans="1:8" x14ac:dyDescent="0.25">
      <c r="A24" s="758" t="s">
        <v>364</v>
      </c>
      <c r="B24" s="758" t="s">
        <v>29</v>
      </c>
      <c r="C24" s="758">
        <v>98.475719999999995</v>
      </c>
      <c r="D24" s="758" t="s">
        <v>512</v>
      </c>
      <c r="E24" s="758" t="s">
        <v>553</v>
      </c>
      <c r="F24" s="758" t="s">
        <v>459</v>
      </c>
      <c r="G24" s="299">
        <v>158</v>
      </c>
      <c r="H24" s="299">
        <v>945</v>
      </c>
    </row>
    <row r="25" spans="1:8" x14ac:dyDescent="0.25">
      <c r="A25" s="758" t="s">
        <v>194</v>
      </c>
      <c r="B25" s="758" t="s">
        <v>193</v>
      </c>
      <c r="C25" s="758">
        <v>97.573126000000002</v>
      </c>
      <c r="D25" s="758" t="s">
        <v>512</v>
      </c>
      <c r="E25" s="758" t="s">
        <v>553</v>
      </c>
      <c r="F25" s="758" t="s">
        <v>1085</v>
      </c>
      <c r="G25" s="299">
        <v>718</v>
      </c>
      <c r="H25" s="299">
        <v>3321</v>
      </c>
    </row>
    <row r="26" spans="1:8" x14ac:dyDescent="0.25">
      <c r="A26" s="758" t="s">
        <v>14</v>
      </c>
      <c r="B26" s="758" t="s">
        <v>13</v>
      </c>
      <c r="C26" s="758">
        <v>97.236919999999998</v>
      </c>
      <c r="D26" s="758" t="s">
        <v>510</v>
      </c>
      <c r="E26" s="758" t="s">
        <v>553</v>
      </c>
      <c r="F26" s="758" t="s">
        <v>459</v>
      </c>
      <c r="G26" s="299">
        <v>38</v>
      </c>
      <c r="H26" s="299">
        <v>214</v>
      </c>
    </row>
    <row r="27" spans="1:8" x14ac:dyDescent="0.25">
      <c r="A27" s="758" t="s">
        <v>812</v>
      </c>
      <c r="B27" s="758" t="s">
        <v>813</v>
      </c>
      <c r="C27" s="758">
        <v>97.541793999999996</v>
      </c>
      <c r="D27" s="758" t="s">
        <v>512</v>
      </c>
      <c r="E27" s="758" t="s">
        <v>985</v>
      </c>
      <c r="F27" s="758" t="s">
        <v>858</v>
      </c>
      <c r="G27" s="299"/>
      <c r="H27" s="299">
        <v>1047</v>
      </c>
    </row>
    <row r="28" spans="1:8" x14ac:dyDescent="0.25">
      <c r="A28" s="758" t="s">
        <v>253</v>
      </c>
      <c r="B28" s="758" t="s">
        <v>252</v>
      </c>
      <c r="C28" s="758">
        <v>97.373361000000003</v>
      </c>
      <c r="D28" s="758" t="s">
        <v>510</v>
      </c>
      <c r="E28" s="758" t="s">
        <v>553</v>
      </c>
      <c r="F28" s="758" t="s">
        <v>459</v>
      </c>
      <c r="G28" s="299">
        <v>200</v>
      </c>
      <c r="H28" s="299">
        <v>1112</v>
      </c>
    </row>
    <row r="29" spans="1:8" x14ac:dyDescent="0.25">
      <c r="A29" s="758" t="s">
        <v>255</v>
      </c>
      <c r="B29" s="758" t="s">
        <v>254</v>
      </c>
      <c r="C29" s="758">
        <v>97.379594999999995</v>
      </c>
      <c r="D29" s="758" t="s">
        <v>510</v>
      </c>
      <c r="E29" s="758" t="s">
        <v>553</v>
      </c>
      <c r="F29" s="758" t="s">
        <v>1085</v>
      </c>
      <c r="G29" s="299">
        <v>122</v>
      </c>
      <c r="H29" s="299">
        <v>595</v>
      </c>
    </row>
    <row r="30" spans="1:8" x14ac:dyDescent="0.25">
      <c r="A30" s="758" t="s">
        <v>196</v>
      </c>
      <c r="B30" s="758" t="s">
        <v>195</v>
      </c>
      <c r="C30" s="758">
        <v>97.568331999999998</v>
      </c>
      <c r="D30" s="758" t="s">
        <v>512</v>
      </c>
      <c r="E30" s="758" t="s">
        <v>553</v>
      </c>
      <c r="F30" s="758" t="s">
        <v>1085</v>
      </c>
      <c r="G30" s="299">
        <v>1546</v>
      </c>
      <c r="H30" s="299">
        <v>8610</v>
      </c>
    </row>
    <row r="31" spans="1:8" x14ac:dyDescent="0.25">
      <c r="A31" s="758" t="s">
        <v>369</v>
      </c>
      <c r="B31" s="758" t="s">
        <v>383</v>
      </c>
      <c r="C31" s="758">
        <v>97.926813999999993</v>
      </c>
      <c r="D31" s="758" t="s">
        <v>510</v>
      </c>
      <c r="E31" s="758" t="s">
        <v>553</v>
      </c>
      <c r="F31" s="758" t="s">
        <v>459</v>
      </c>
      <c r="G31" s="299">
        <v>57</v>
      </c>
      <c r="H31" s="299">
        <v>280</v>
      </c>
    </row>
    <row r="32" spans="1:8" x14ac:dyDescent="0.25">
      <c r="A32" s="758" t="s">
        <v>370</v>
      </c>
      <c r="B32" s="758" t="s">
        <v>384</v>
      </c>
      <c r="C32" s="758">
        <v>97.947360000000003</v>
      </c>
      <c r="D32" s="758" t="s">
        <v>510</v>
      </c>
      <c r="E32" s="758" t="s">
        <v>553</v>
      </c>
      <c r="F32" s="758" t="s">
        <v>1250</v>
      </c>
      <c r="G32" s="299">
        <v>30</v>
      </c>
      <c r="H32" s="299">
        <v>145</v>
      </c>
    </row>
    <row r="33" spans="1:8" x14ac:dyDescent="0.25">
      <c r="A33" s="758" t="s">
        <v>257</v>
      </c>
      <c r="B33" s="758" t="s">
        <v>256</v>
      </c>
      <c r="C33" s="758">
        <v>97.405202777777802</v>
      </c>
      <c r="D33" s="758" t="s">
        <v>510</v>
      </c>
      <c r="E33" s="758" t="s">
        <v>553</v>
      </c>
      <c r="F33" s="758" t="s">
        <v>459</v>
      </c>
      <c r="G33" s="299">
        <v>42</v>
      </c>
      <c r="H33" s="299">
        <v>186</v>
      </c>
    </row>
    <row r="34" spans="1:8" x14ac:dyDescent="0.25">
      <c r="A34" s="758" t="s">
        <v>174</v>
      </c>
      <c r="B34" s="758" t="s">
        <v>172</v>
      </c>
      <c r="C34" s="758">
        <v>96.922619999999995</v>
      </c>
      <c r="D34" s="758" t="s">
        <v>510</v>
      </c>
      <c r="E34" s="758" t="s">
        <v>553</v>
      </c>
      <c r="F34" s="758" t="s">
        <v>459</v>
      </c>
      <c r="G34" s="299">
        <v>13</v>
      </c>
      <c r="H34" s="299">
        <v>66</v>
      </c>
    </row>
    <row r="35" spans="1:8" x14ac:dyDescent="0.25">
      <c r="A35" s="758" t="s">
        <v>198</v>
      </c>
      <c r="B35" s="758" t="s">
        <v>197</v>
      </c>
      <c r="C35" s="758">
        <v>97.625617000000005</v>
      </c>
      <c r="D35" s="758" t="s">
        <v>512</v>
      </c>
      <c r="E35" s="758" t="s">
        <v>553</v>
      </c>
      <c r="F35" s="758" t="s">
        <v>1084</v>
      </c>
      <c r="G35" s="299">
        <v>547</v>
      </c>
      <c r="H35" s="299">
        <v>2576</v>
      </c>
    </row>
    <row r="36" spans="1:8" x14ac:dyDescent="0.25">
      <c r="A36" s="758" t="s">
        <v>240</v>
      </c>
      <c r="B36" s="758" t="s">
        <v>239</v>
      </c>
      <c r="C36" s="758">
        <v>97.409035000000003</v>
      </c>
      <c r="D36" s="758" t="s">
        <v>510</v>
      </c>
      <c r="E36" s="758" t="s">
        <v>553</v>
      </c>
      <c r="F36" s="758" t="s">
        <v>459</v>
      </c>
      <c r="G36" s="299">
        <v>105</v>
      </c>
      <c r="H36" s="299">
        <v>580</v>
      </c>
    </row>
    <row r="37" spans="1:8" x14ac:dyDescent="0.25">
      <c r="A37" s="758" t="s">
        <v>285</v>
      </c>
      <c r="B37" s="758" t="s">
        <v>284</v>
      </c>
      <c r="C37" s="758">
        <v>97.403402307692303</v>
      </c>
      <c r="D37" s="758" t="s">
        <v>510</v>
      </c>
      <c r="E37" s="758" t="s">
        <v>553</v>
      </c>
      <c r="F37" s="758" t="s">
        <v>459</v>
      </c>
      <c r="G37" s="299">
        <v>139</v>
      </c>
      <c r="H37" s="299">
        <v>705</v>
      </c>
    </row>
    <row r="38" spans="1:8" x14ac:dyDescent="0.25">
      <c r="A38" s="758" t="s">
        <v>365</v>
      </c>
      <c r="B38" s="758" t="s">
        <v>378</v>
      </c>
      <c r="C38" s="758">
        <v>98.129990000000006</v>
      </c>
      <c r="D38" s="758" t="s">
        <v>510</v>
      </c>
      <c r="E38" s="758" t="s">
        <v>553</v>
      </c>
      <c r="F38" s="758" t="s">
        <v>504</v>
      </c>
      <c r="G38" s="299">
        <v>144</v>
      </c>
      <c r="H38" s="299">
        <v>644</v>
      </c>
    </row>
    <row r="39" spans="1:8" x14ac:dyDescent="0.25">
      <c r="A39" s="758" t="s">
        <v>90</v>
      </c>
      <c r="B39" s="758" t="s">
        <v>89</v>
      </c>
      <c r="C39" s="758">
        <v>96.269199999999998</v>
      </c>
      <c r="D39" s="758" t="s">
        <v>510</v>
      </c>
      <c r="E39" s="758" t="s">
        <v>553</v>
      </c>
      <c r="F39" s="758" t="s">
        <v>504</v>
      </c>
      <c r="G39" s="299">
        <v>20</v>
      </c>
      <c r="H39" s="299">
        <v>109</v>
      </c>
    </row>
    <row r="40" spans="1:8" x14ac:dyDescent="0.25">
      <c r="A40" s="758" t="s">
        <v>92</v>
      </c>
      <c r="B40" s="758" t="s">
        <v>91</v>
      </c>
      <c r="C40" s="758">
        <v>96.316400000000002</v>
      </c>
      <c r="D40" s="758" t="s">
        <v>510</v>
      </c>
      <c r="E40" s="758" t="s">
        <v>553</v>
      </c>
      <c r="F40" s="758" t="s">
        <v>504</v>
      </c>
      <c r="G40" s="299">
        <v>12</v>
      </c>
      <c r="H40" s="299">
        <v>62</v>
      </c>
    </row>
    <row r="41" spans="1:8" x14ac:dyDescent="0.25">
      <c r="A41" s="758" t="s">
        <v>18</v>
      </c>
      <c r="B41" s="758" t="s">
        <v>17</v>
      </c>
      <c r="C41" s="758">
        <v>97.240183461538507</v>
      </c>
      <c r="D41" s="758" t="s">
        <v>510</v>
      </c>
      <c r="E41" s="758" t="s">
        <v>553</v>
      </c>
      <c r="F41" s="758" t="s">
        <v>504</v>
      </c>
      <c r="G41" s="299">
        <v>130</v>
      </c>
      <c r="H41" s="299">
        <v>747</v>
      </c>
    </row>
    <row r="42" spans="1:8" x14ac:dyDescent="0.25">
      <c r="A42" s="758" t="s">
        <v>186</v>
      </c>
      <c r="B42" s="758" t="s">
        <v>184</v>
      </c>
      <c r="C42" s="758">
        <v>97.718582999999995</v>
      </c>
      <c r="D42" s="758" t="s">
        <v>510</v>
      </c>
      <c r="E42" s="758" t="s">
        <v>553</v>
      </c>
      <c r="F42" s="758" t="s">
        <v>459</v>
      </c>
      <c r="G42" s="299">
        <v>39</v>
      </c>
      <c r="H42" s="299">
        <v>234</v>
      </c>
    </row>
    <row r="43" spans="1:8" x14ac:dyDescent="0.25">
      <c r="A43" s="758" t="s">
        <v>223</v>
      </c>
      <c r="B43" s="758" t="s">
        <v>222</v>
      </c>
      <c r="C43" s="758">
        <v>97.724566999999993</v>
      </c>
      <c r="D43" s="758" t="s">
        <v>510</v>
      </c>
      <c r="E43" s="758" t="s">
        <v>553</v>
      </c>
      <c r="F43" s="758" t="s">
        <v>1084</v>
      </c>
      <c r="G43" s="299">
        <v>103</v>
      </c>
      <c r="H43" s="299">
        <v>495</v>
      </c>
    </row>
    <row r="44" spans="1:8" x14ac:dyDescent="0.25">
      <c r="A44" s="758" t="s">
        <v>190</v>
      </c>
      <c r="B44" s="758" t="s">
        <v>189</v>
      </c>
      <c r="C44" s="758">
        <v>97.717133000000004</v>
      </c>
      <c r="D44" s="758" t="s">
        <v>510</v>
      </c>
      <c r="E44" s="758" t="s">
        <v>553</v>
      </c>
      <c r="F44" s="758" t="s">
        <v>459</v>
      </c>
      <c r="G44" s="299">
        <v>194</v>
      </c>
      <c r="H44" s="299">
        <v>1071</v>
      </c>
    </row>
    <row r="45" spans="1:8" x14ac:dyDescent="0.25">
      <c r="A45" s="758" t="s">
        <v>320</v>
      </c>
      <c r="B45" s="758" t="s">
        <v>319</v>
      </c>
      <c r="C45" s="758">
        <v>97.451965000000001</v>
      </c>
      <c r="D45" s="758" t="s">
        <v>510</v>
      </c>
      <c r="E45" s="758" t="s">
        <v>553</v>
      </c>
      <c r="F45" s="758" t="s">
        <v>459</v>
      </c>
      <c r="G45" s="299">
        <v>30</v>
      </c>
      <c r="H45" s="299">
        <v>261</v>
      </c>
    </row>
    <row r="46" spans="1:8" x14ac:dyDescent="0.25">
      <c r="A46" s="758" t="s">
        <v>322</v>
      </c>
      <c r="B46" s="758" t="s">
        <v>321</v>
      </c>
      <c r="C46" s="758">
        <v>97.715230000000005</v>
      </c>
      <c r="D46" s="758" t="s">
        <v>512</v>
      </c>
      <c r="E46" s="758" t="s">
        <v>553</v>
      </c>
      <c r="F46" s="758" t="s">
        <v>1085</v>
      </c>
      <c r="G46" s="299">
        <v>431</v>
      </c>
      <c r="H46" s="299">
        <v>1920</v>
      </c>
    </row>
    <row r="47" spans="1:8" x14ac:dyDescent="0.25">
      <c r="A47" s="758" t="s">
        <v>328</v>
      </c>
      <c r="B47" s="758" t="s">
        <v>327</v>
      </c>
      <c r="C47" s="758">
        <v>97.433419259259296</v>
      </c>
      <c r="D47" s="758" t="s">
        <v>510</v>
      </c>
      <c r="E47" s="758" t="s">
        <v>553</v>
      </c>
      <c r="F47" s="758" t="s">
        <v>504</v>
      </c>
      <c r="G47" s="299">
        <v>289</v>
      </c>
      <c r="H47" s="299">
        <v>1584</v>
      </c>
    </row>
    <row r="48" spans="1:8" x14ac:dyDescent="0.25">
      <c r="A48" s="758" t="s">
        <v>330</v>
      </c>
      <c r="B48" s="758" t="s">
        <v>329</v>
      </c>
      <c r="C48" s="758">
        <v>97.437782499999997</v>
      </c>
      <c r="D48" s="758" t="s">
        <v>510</v>
      </c>
      <c r="E48" s="758" t="s">
        <v>553</v>
      </c>
      <c r="F48" s="758" t="s">
        <v>1085</v>
      </c>
      <c r="G48" s="299">
        <v>282</v>
      </c>
      <c r="H48" s="299">
        <v>1466</v>
      </c>
    </row>
    <row r="49" spans="1:8" x14ac:dyDescent="0.25">
      <c r="A49" s="758" t="s">
        <v>324</v>
      </c>
      <c r="B49" s="758" t="s">
        <v>323</v>
      </c>
      <c r="C49" s="758">
        <v>97.434855869565197</v>
      </c>
      <c r="D49" s="758" t="s">
        <v>510</v>
      </c>
      <c r="E49" s="758" t="s">
        <v>553</v>
      </c>
      <c r="F49" s="758" t="s">
        <v>459</v>
      </c>
      <c r="G49" s="299">
        <v>498</v>
      </c>
      <c r="H49" s="299">
        <v>2531</v>
      </c>
    </row>
    <row r="50" spans="1:8" x14ac:dyDescent="0.25">
      <c r="A50" s="758" t="s">
        <v>326</v>
      </c>
      <c r="B50" s="758" t="s">
        <v>325</v>
      </c>
      <c r="C50" s="758">
        <v>97.426536944444507</v>
      </c>
      <c r="D50" s="758" t="s">
        <v>510</v>
      </c>
      <c r="E50" s="758" t="s">
        <v>553</v>
      </c>
      <c r="F50" s="758" t="s">
        <v>459</v>
      </c>
      <c r="G50" s="299">
        <v>45</v>
      </c>
      <c r="H50" s="299">
        <v>190</v>
      </c>
    </row>
    <row r="51" spans="1:8" x14ac:dyDescent="0.25">
      <c r="A51" s="758" t="s">
        <v>884</v>
      </c>
      <c r="B51" s="758" t="s">
        <v>885</v>
      </c>
      <c r="C51" s="758">
        <v>97.225881000000001</v>
      </c>
      <c r="D51" s="758" t="s">
        <v>510</v>
      </c>
      <c r="E51" s="758" t="s">
        <v>553</v>
      </c>
      <c r="F51" s="758" t="s">
        <v>459</v>
      </c>
      <c r="G51" s="299">
        <v>403</v>
      </c>
      <c r="H51" s="299">
        <v>1855</v>
      </c>
    </row>
    <row r="52" spans="1:8" x14ac:dyDescent="0.25">
      <c r="A52" s="758" t="s">
        <v>941</v>
      </c>
      <c r="B52" s="758" t="s">
        <v>940</v>
      </c>
      <c r="C52" s="758">
        <v>97.227057000000002</v>
      </c>
      <c r="D52" s="758" t="s">
        <v>510</v>
      </c>
      <c r="E52" s="758" t="s">
        <v>553</v>
      </c>
      <c r="F52" s="758" t="s">
        <v>1084</v>
      </c>
      <c r="G52" s="299">
        <v>174</v>
      </c>
      <c r="H52" s="299">
        <v>779</v>
      </c>
    </row>
    <row r="53" spans="1:8" x14ac:dyDescent="0.25">
      <c r="A53" s="758" t="s">
        <v>259</v>
      </c>
      <c r="B53" s="758" t="s">
        <v>258</v>
      </c>
      <c r="C53" s="758">
        <v>97.4113064583333</v>
      </c>
      <c r="D53" s="758" t="s">
        <v>510</v>
      </c>
      <c r="E53" s="758" t="s">
        <v>553</v>
      </c>
      <c r="F53" s="758" t="s">
        <v>459</v>
      </c>
      <c r="G53" s="299">
        <v>62</v>
      </c>
      <c r="H53" s="299">
        <v>309</v>
      </c>
    </row>
    <row r="54" spans="1:8" x14ac:dyDescent="0.25">
      <c r="A54" s="758" t="s">
        <v>202</v>
      </c>
      <c r="B54" s="758" t="s">
        <v>201</v>
      </c>
      <c r="C54" s="758">
        <v>97.325019999999995</v>
      </c>
      <c r="D54" s="758" t="s">
        <v>510</v>
      </c>
      <c r="E54" s="758" t="s">
        <v>553</v>
      </c>
      <c r="F54" s="758" t="s">
        <v>1084</v>
      </c>
      <c r="G54" s="299">
        <v>265</v>
      </c>
      <c r="H54" s="299">
        <v>1183</v>
      </c>
    </row>
    <row r="55" spans="1:8" x14ac:dyDescent="0.25">
      <c r="A55" s="758" t="s">
        <v>261</v>
      </c>
      <c r="B55" s="758" t="s">
        <v>260</v>
      </c>
      <c r="C55" s="758">
        <v>97.418694000000002</v>
      </c>
      <c r="D55" s="758" t="s">
        <v>510</v>
      </c>
      <c r="E55" s="758" t="s">
        <v>553</v>
      </c>
      <c r="F55" s="758" t="s">
        <v>459</v>
      </c>
      <c r="G55" s="299">
        <v>104</v>
      </c>
      <c r="H55" s="299">
        <v>574</v>
      </c>
    </row>
    <row r="56" spans="1:8" x14ac:dyDescent="0.25">
      <c r="A56" s="758" t="s">
        <v>160</v>
      </c>
      <c r="B56" s="758" t="s">
        <v>159</v>
      </c>
      <c r="C56" s="758">
        <v>97.589979999999997</v>
      </c>
      <c r="D56" s="758" t="s">
        <v>510</v>
      </c>
      <c r="E56" s="758" t="s">
        <v>553</v>
      </c>
      <c r="F56" s="758" t="s">
        <v>459</v>
      </c>
      <c r="G56" s="299">
        <v>98</v>
      </c>
      <c r="H56" s="299">
        <v>524</v>
      </c>
    </row>
    <row r="57" spans="1:8" x14ac:dyDescent="0.25">
      <c r="A57" s="758" t="s">
        <v>1090</v>
      </c>
      <c r="B57" s="758" t="s">
        <v>1091</v>
      </c>
      <c r="C57" s="758">
        <v>97.590767</v>
      </c>
      <c r="D57" s="758" t="s">
        <v>510</v>
      </c>
      <c r="E57" s="758" t="s">
        <v>553</v>
      </c>
      <c r="F57" s="758" t="s">
        <v>459</v>
      </c>
      <c r="G57" s="299">
        <v>117</v>
      </c>
      <c r="H57" s="299">
        <v>545</v>
      </c>
    </row>
    <row r="58" spans="1:8" x14ac:dyDescent="0.25">
      <c r="A58" s="758" t="s">
        <v>154</v>
      </c>
      <c r="B58" s="758" t="s">
        <v>153</v>
      </c>
      <c r="C58" s="758">
        <v>97.578490000000002</v>
      </c>
      <c r="D58" s="758" t="s">
        <v>510</v>
      </c>
      <c r="E58" s="758" t="s">
        <v>553</v>
      </c>
      <c r="F58" s="758" t="s">
        <v>1084</v>
      </c>
      <c r="G58" s="299">
        <v>449</v>
      </c>
      <c r="H58" s="299">
        <v>2252</v>
      </c>
    </row>
    <row r="59" spans="1:8" x14ac:dyDescent="0.25">
      <c r="A59" s="758" t="s">
        <v>1057</v>
      </c>
      <c r="B59" s="758" t="s">
        <v>1058</v>
      </c>
      <c r="C59" s="758">
        <v>97.578367</v>
      </c>
      <c r="D59" s="758" t="s">
        <v>510</v>
      </c>
      <c r="E59" s="758" t="s">
        <v>553</v>
      </c>
      <c r="F59" s="758" t="s">
        <v>1084</v>
      </c>
      <c r="G59" s="299">
        <v>145</v>
      </c>
      <c r="H59" s="299">
        <v>654</v>
      </c>
    </row>
    <row r="60" spans="1:8" x14ac:dyDescent="0.25">
      <c r="A60" s="758" t="s">
        <v>167</v>
      </c>
      <c r="B60" s="758" t="s">
        <v>165</v>
      </c>
      <c r="C60" s="758">
        <v>97.124403000000001</v>
      </c>
      <c r="D60" s="758" t="s">
        <v>510</v>
      </c>
      <c r="E60" s="758" t="s">
        <v>553</v>
      </c>
      <c r="F60" s="758" t="s">
        <v>459</v>
      </c>
      <c r="G60" s="299">
        <v>35</v>
      </c>
      <c r="H60" s="299">
        <v>178</v>
      </c>
    </row>
    <row r="61" spans="1:8" x14ac:dyDescent="0.25">
      <c r="A61" s="758" t="s">
        <v>821</v>
      </c>
      <c r="B61" s="758" t="s">
        <v>822</v>
      </c>
      <c r="C61" s="758">
        <v>97.116680000000002</v>
      </c>
      <c r="D61" s="758" t="s">
        <v>510</v>
      </c>
      <c r="E61" s="758" t="s">
        <v>553</v>
      </c>
      <c r="F61" s="758" t="s">
        <v>1250</v>
      </c>
      <c r="G61" s="299">
        <v>29</v>
      </c>
      <c r="H61" s="299">
        <v>178</v>
      </c>
    </row>
    <row r="62" spans="1:8" x14ac:dyDescent="0.25">
      <c r="A62" s="758" t="s">
        <v>176</v>
      </c>
      <c r="B62" s="758" t="s">
        <v>175</v>
      </c>
      <c r="C62" s="758">
        <v>96.942279999999997</v>
      </c>
      <c r="D62" s="758" t="s">
        <v>510</v>
      </c>
      <c r="E62" s="758" t="s">
        <v>553</v>
      </c>
      <c r="F62" s="758" t="s">
        <v>459</v>
      </c>
      <c r="G62" s="299">
        <v>15</v>
      </c>
      <c r="H62" s="299">
        <v>72</v>
      </c>
    </row>
    <row r="63" spans="1:8" x14ac:dyDescent="0.25">
      <c r="A63" s="758" t="s">
        <v>152</v>
      </c>
      <c r="B63" s="758" t="s">
        <v>150</v>
      </c>
      <c r="C63" s="758">
        <v>97.291820000000001</v>
      </c>
      <c r="D63" s="758" t="s">
        <v>510</v>
      </c>
      <c r="E63" s="758" t="s">
        <v>553</v>
      </c>
      <c r="F63" s="758" t="s">
        <v>459</v>
      </c>
      <c r="G63" s="299">
        <v>194</v>
      </c>
      <c r="H63" s="299">
        <v>874</v>
      </c>
    </row>
    <row r="64" spans="1:8" x14ac:dyDescent="0.25">
      <c r="A64" s="758" t="s">
        <v>263</v>
      </c>
      <c r="B64" s="758" t="s">
        <v>262</v>
      </c>
      <c r="C64" s="758">
        <v>97.2843958974359</v>
      </c>
      <c r="D64" s="758" t="s">
        <v>510</v>
      </c>
      <c r="E64" s="758" t="s">
        <v>553</v>
      </c>
      <c r="F64" s="758" t="s">
        <v>504</v>
      </c>
      <c r="G64" s="299">
        <v>23</v>
      </c>
      <c r="H64" s="299">
        <v>93</v>
      </c>
    </row>
    <row r="65" spans="1:8" x14ac:dyDescent="0.25">
      <c r="A65" s="758" t="s">
        <v>265</v>
      </c>
      <c r="B65" s="758" t="s">
        <v>264</v>
      </c>
      <c r="C65" s="758">
        <v>97.290952037037002</v>
      </c>
      <c r="D65" s="758" t="s">
        <v>510</v>
      </c>
      <c r="E65" s="758" t="s">
        <v>553</v>
      </c>
      <c r="F65" s="758" t="s">
        <v>504</v>
      </c>
      <c r="G65" s="299">
        <v>15</v>
      </c>
      <c r="H65" s="299">
        <v>78</v>
      </c>
    </row>
    <row r="66" spans="1:8" x14ac:dyDescent="0.25">
      <c r="A66" s="758" t="s">
        <v>100</v>
      </c>
      <c r="B66" s="758" t="s">
        <v>99</v>
      </c>
      <c r="C66" s="758">
        <v>96.319829999999996</v>
      </c>
      <c r="D66" s="758" t="s">
        <v>510</v>
      </c>
      <c r="E66" s="758" t="s">
        <v>553</v>
      </c>
      <c r="F66" s="758" t="s">
        <v>504</v>
      </c>
      <c r="G66" s="299">
        <v>4</v>
      </c>
      <c r="H66" s="299">
        <v>14</v>
      </c>
    </row>
    <row r="67" spans="1:8" x14ac:dyDescent="0.25">
      <c r="A67" s="758" t="s">
        <v>368</v>
      </c>
      <c r="B67" s="758" t="s">
        <v>385</v>
      </c>
      <c r="C67" s="758">
        <v>97.793019999999999</v>
      </c>
      <c r="D67" s="758" t="s">
        <v>510</v>
      </c>
      <c r="E67" s="758" t="s">
        <v>553</v>
      </c>
      <c r="F67" s="758" t="s">
        <v>459</v>
      </c>
      <c r="G67" s="299">
        <v>68</v>
      </c>
      <c r="H67" s="299">
        <v>305</v>
      </c>
    </row>
    <row r="68" spans="1:8" x14ac:dyDescent="0.25">
      <c r="A68" s="758" t="s">
        <v>209</v>
      </c>
      <c r="B68" s="758" t="s">
        <v>208</v>
      </c>
      <c r="C68" s="758">
        <v>97.344359999999995</v>
      </c>
      <c r="D68" s="758" t="s">
        <v>510</v>
      </c>
      <c r="E68" s="758" t="s">
        <v>553</v>
      </c>
      <c r="F68" s="758" t="s">
        <v>459</v>
      </c>
      <c r="G68" s="299">
        <v>387</v>
      </c>
      <c r="H68" s="299">
        <v>1874</v>
      </c>
    </row>
    <row r="69" spans="1:8" x14ac:dyDescent="0.25">
      <c r="A69" s="758" t="s">
        <v>371</v>
      </c>
      <c r="B69" s="758" t="s">
        <v>147</v>
      </c>
      <c r="C69" s="758">
        <v>98.220614999999995</v>
      </c>
      <c r="D69" s="758" t="s">
        <v>510</v>
      </c>
      <c r="E69" s="758" t="s">
        <v>553</v>
      </c>
      <c r="F69" s="758" t="s">
        <v>459</v>
      </c>
      <c r="G69" s="299">
        <v>46</v>
      </c>
      <c r="H69" s="299">
        <v>252</v>
      </c>
    </row>
    <row r="70" spans="1:8" x14ac:dyDescent="0.25">
      <c r="A70" s="758" t="s">
        <v>1097</v>
      </c>
      <c r="B70" s="758" t="s">
        <v>1096</v>
      </c>
      <c r="C70" s="758">
        <v>98.248999999999995</v>
      </c>
      <c r="D70" s="758" t="s">
        <v>510</v>
      </c>
      <c r="E70" s="758" t="s">
        <v>553</v>
      </c>
      <c r="F70" s="758" t="s">
        <v>1250</v>
      </c>
      <c r="G70" s="299">
        <v>22</v>
      </c>
      <c r="H70" s="299">
        <v>105</v>
      </c>
    </row>
    <row r="71" spans="1:8" x14ac:dyDescent="0.25">
      <c r="A71" s="758" t="s">
        <v>1049</v>
      </c>
      <c r="B71" s="758" t="s">
        <v>1050</v>
      </c>
      <c r="C71" s="758">
        <v>97.909400000000005</v>
      </c>
      <c r="D71" s="758" t="s">
        <v>510</v>
      </c>
      <c r="E71" s="758" t="s">
        <v>553</v>
      </c>
      <c r="F71" s="758" t="s">
        <v>459</v>
      </c>
      <c r="G71" s="299">
        <v>44</v>
      </c>
      <c r="H71" s="299">
        <v>214</v>
      </c>
    </row>
    <row r="72" spans="1:8" x14ac:dyDescent="0.25">
      <c r="A72" s="758" t="s">
        <v>1059</v>
      </c>
      <c r="B72" s="758" t="s">
        <v>1060</v>
      </c>
      <c r="C72" s="758">
        <v>97.911647000000002</v>
      </c>
      <c r="D72" s="758" t="s">
        <v>510</v>
      </c>
      <c r="E72" s="758" t="s">
        <v>553</v>
      </c>
      <c r="F72" s="758" t="s">
        <v>1250</v>
      </c>
      <c r="G72" s="299">
        <v>25</v>
      </c>
      <c r="H72" s="299">
        <v>113</v>
      </c>
    </row>
    <row r="73" spans="1:8" x14ac:dyDescent="0.25">
      <c r="A73" s="758" t="s">
        <v>8</v>
      </c>
      <c r="B73" s="758" t="s">
        <v>7</v>
      </c>
      <c r="C73" s="758">
        <v>97.234200000000001</v>
      </c>
      <c r="D73" s="758" t="s">
        <v>510</v>
      </c>
      <c r="E73" s="758" t="s">
        <v>553</v>
      </c>
      <c r="F73" s="758" t="s">
        <v>504</v>
      </c>
      <c r="G73" s="299">
        <v>13</v>
      </c>
      <c r="H73" s="299">
        <v>56</v>
      </c>
    </row>
    <row r="74" spans="1:8" x14ac:dyDescent="0.25">
      <c r="A74" s="758" t="s">
        <v>292</v>
      </c>
      <c r="B74" s="758" t="s">
        <v>291</v>
      </c>
      <c r="C74" s="758">
        <v>97.681970000000007</v>
      </c>
      <c r="D74" s="758" t="s">
        <v>510</v>
      </c>
      <c r="E74" s="758" t="s">
        <v>553</v>
      </c>
      <c r="F74" s="758" t="s">
        <v>459</v>
      </c>
      <c r="G74" s="299">
        <v>74</v>
      </c>
      <c r="H74" s="299">
        <v>387</v>
      </c>
    </row>
    <row r="75" spans="1:8" x14ac:dyDescent="0.25">
      <c r="A75" s="758" t="s">
        <v>290</v>
      </c>
      <c r="B75" s="758" t="s">
        <v>288</v>
      </c>
      <c r="C75" s="758">
        <v>97.669557999999995</v>
      </c>
      <c r="D75" s="758" t="s">
        <v>510</v>
      </c>
      <c r="E75" s="758" t="s">
        <v>553</v>
      </c>
      <c r="F75" s="758" t="s">
        <v>459</v>
      </c>
      <c r="G75" s="299">
        <v>67</v>
      </c>
      <c r="H75" s="299">
        <v>357</v>
      </c>
    </row>
    <row r="76" spans="1:8" x14ac:dyDescent="0.25">
      <c r="A76" s="758" t="s">
        <v>1051</v>
      </c>
      <c r="B76" s="758" t="s">
        <v>1052</v>
      </c>
      <c r="C76" s="758">
        <v>97.700940000000003</v>
      </c>
      <c r="D76" s="758" t="s">
        <v>510</v>
      </c>
      <c r="E76" s="758" t="s">
        <v>553</v>
      </c>
      <c r="F76" s="758" t="s">
        <v>459</v>
      </c>
      <c r="G76" s="299">
        <v>36</v>
      </c>
      <c r="H76" s="299">
        <v>179</v>
      </c>
    </row>
    <row r="77" spans="1:8" x14ac:dyDescent="0.25">
      <c r="A77" s="758" t="s">
        <v>374</v>
      </c>
      <c r="B77" s="758" t="s">
        <v>295</v>
      </c>
      <c r="C77" s="758">
        <v>97.670360000000002</v>
      </c>
      <c r="D77" s="758" t="s">
        <v>510</v>
      </c>
      <c r="E77" s="758" t="s">
        <v>553</v>
      </c>
      <c r="F77" s="758" t="s">
        <v>1250</v>
      </c>
      <c r="G77" s="299">
        <v>44</v>
      </c>
      <c r="H77" s="299">
        <v>214</v>
      </c>
    </row>
    <row r="78" spans="1:8" x14ac:dyDescent="0.25">
      <c r="A78" s="758" t="s">
        <v>361</v>
      </c>
      <c r="B78" s="758" t="s">
        <v>836</v>
      </c>
      <c r="C78" s="758">
        <v>98.139397000000002</v>
      </c>
      <c r="D78" s="758" t="s">
        <v>512</v>
      </c>
      <c r="E78" s="758" t="s">
        <v>553</v>
      </c>
      <c r="F78" s="758" t="s">
        <v>858</v>
      </c>
      <c r="G78" s="299">
        <v>9</v>
      </c>
      <c r="H78" s="299">
        <v>44</v>
      </c>
    </row>
    <row r="79" spans="1:8" x14ac:dyDescent="0.25">
      <c r="A79" s="758" t="s">
        <v>149</v>
      </c>
      <c r="B79" s="758" t="s">
        <v>148</v>
      </c>
      <c r="C79" s="758">
        <v>97.818979999999996</v>
      </c>
      <c r="D79" s="758" t="s">
        <v>510</v>
      </c>
      <c r="E79" s="758" t="s">
        <v>553</v>
      </c>
      <c r="F79" s="758" t="s">
        <v>459</v>
      </c>
      <c r="G79" s="299">
        <v>63</v>
      </c>
      <c r="H79" s="299">
        <v>279</v>
      </c>
    </row>
    <row r="80" spans="1:8" x14ac:dyDescent="0.25">
      <c r="A80" s="758" t="s">
        <v>610</v>
      </c>
      <c r="B80" s="758" t="s">
        <v>46</v>
      </c>
      <c r="C80" s="758">
        <v>96.339590000000001</v>
      </c>
      <c r="D80" s="758" t="s">
        <v>510</v>
      </c>
      <c r="E80" s="758" t="s">
        <v>553</v>
      </c>
      <c r="F80" s="758" t="s">
        <v>504</v>
      </c>
      <c r="G80" s="299">
        <v>12</v>
      </c>
      <c r="H80" s="299">
        <v>55</v>
      </c>
    </row>
    <row r="81" spans="1:8" x14ac:dyDescent="0.25">
      <c r="A81" s="758" t="s">
        <v>820</v>
      </c>
      <c r="B81" s="758" t="s">
        <v>297</v>
      </c>
      <c r="C81" s="758">
        <v>97.404089999999997</v>
      </c>
      <c r="D81" s="758" t="s">
        <v>510</v>
      </c>
      <c r="E81" s="758" t="s">
        <v>553</v>
      </c>
      <c r="F81" s="758" t="s">
        <v>459</v>
      </c>
      <c r="G81" s="299">
        <v>44</v>
      </c>
      <c r="H81" s="299">
        <v>186</v>
      </c>
    </row>
    <row r="82" spans="1:8" x14ac:dyDescent="0.25">
      <c r="A82" s="758" t="s">
        <v>1063</v>
      </c>
      <c r="B82" s="758" t="s">
        <v>1056</v>
      </c>
      <c r="C82" s="758">
        <v>97.709879999999998</v>
      </c>
      <c r="D82" s="758" t="s">
        <v>510</v>
      </c>
      <c r="E82" s="758" t="s">
        <v>553</v>
      </c>
      <c r="F82" s="758" t="s">
        <v>459</v>
      </c>
      <c r="G82" s="299">
        <v>120</v>
      </c>
      <c r="H82" s="299">
        <v>563</v>
      </c>
    </row>
    <row r="83" spans="1:8" x14ac:dyDescent="0.25">
      <c r="A83" s="758" t="s">
        <v>271</v>
      </c>
      <c r="B83" s="758" t="s">
        <v>270</v>
      </c>
      <c r="C83" s="758">
        <v>97.359320179999997</v>
      </c>
      <c r="D83" s="758" t="s">
        <v>510</v>
      </c>
      <c r="E83" s="758" t="s">
        <v>553</v>
      </c>
      <c r="F83" s="758" t="s">
        <v>1085</v>
      </c>
      <c r="G83" s="299">
        <v>63</v>
      </c>
      <c r="H83" s="299">
        <v>322</v>
      </c>
    </row>
    <row r="84" spans="1:8" x14ac:dyDescent="0.25">
      <c r="A84" s="758" t="s">
        <v>20</v>
      </c>
      <c r="B84" s="758" t="s">
        <v>19</v>
      </c>
      <c r="C84" s="758">
        <v>97.315860000000001</v>
      </c>
      <c r="D84" s="758" t="s">
        <v>510</v>
      </c>
      <c r="E84" s="758" t="s">
        <v>553</v>
      </c>
      <c r="F84" s="758" t="s">
        <v>1084</v>
      </c>
      <c r="G84" s="299">
        <v>21</v>
      </c>
      <c r="H84" s="299">
        <v>111</v>
      </c>
    </row>
    <row r="85" spans="1:8" x14ac:dyDescent="0.25">
      <c r="A85" s="758" t="s">
        <v>108</v>
      </c>
      <c r="B85" s="758" t="s">
        <v>107</v>
      </c>
      <c r="C85" s="758">
        <v>96.341352999999998</v>
      </c>
      <c r="D85" s="758" t="s">
        <v>510</v>
      </c>
      <c r="E85" s="758" t="s">
        <v>553</v>
      </c>
      <c r="F85" s="758" t="s">
        <v>1085</v>
      </c>
      <c r="G85" s="299">
        <v>50</v>
      </c>
      <c r="H85" s="299">
        <v>218</v>
      </c>
    </row>
    <row r="86" spans="1:8" x14ac:dyDescent="0.25">
      <c r="A86" s="758" t="s">
        <v>178</v>
      </c>
      <c r="B86" s="758" t="s">
        <v>177</v>
      </c>
      <c r="C86" s="758">
        <v>96.948740000000001</v>
      </c>
      <c r="D86" s="758" t="s">
        <v>510</v>
      </c>
      <c r="E86" s="758" t="s">
        <v>553</v>
      </c>
      <c r="F86" s="758" t="s">
        <v>459</v>
      </c>
      <c r="G86" s="299">
        <v>12</v>
      </c>
      <c r="H86" s="299">
        <v>47</v>
      </c>
    </row>
    <row r="87" spans="1:8" x14ac:dyDescent="0.25">
      <c r="A87" s="758" t="s">
        <v>344</v>
      </c>
      <c r="B87" s="758" t="s">
        <v>343</v>
      </c>
      <c r="C87" s="758">
        <v>97.345039</v>
      </c>
      <c r="D87" s="758" t="s">
        <v>510</v>
      </c>
      <c r="E87" s="758" t="s">
        <v>553</v>
      </c>
      <c r="F87" s="758" t="s">
        <v>504</v>
      </c>
      <c r="G87" s="299">
        <v>20</v>
      </c>
      <c r="H87" s="299">
        <v>86</v>
      </c>
    </row>
    <row r="88" spans="1:8" x14ac:dyDescent="0.25">
      <c r="A88" s="758" t="s">
        <v>287</v>
      </c>
      <c r="B88" s="758" t="s">
        <v>286</v>
      </c>
      <c r="C88" s="758">
        <v>96.364949999999993</v>
      </c>
      <c r="D88" s="758" t="s">
        <v>510</v>
      </c>
      <c r="E88" s="758" t="s">
        <v>553</v>
      </c>
      <c r="F88" s="758" t="s">
        <v>459</v>
      </c>
      <c r="G88" s="299">
        <v>19</v>
      </c>
      <c r="H88" s="299">
        <v>103</v>
      </c>
    </row>
    <row r="89" spans="1:8" x14ac:dyDescent="0.25">
      <c r="A89" s="758" t="s">
        <v>215</v>
      </c>
      <c r="B89" s="758" t="s">
        <v>214</v>
      </c>
      <c r="C89" s="758">
        <v>97.669366999999994</v>
      </c>
      <c r="D89" s="758" t="s">
        <v>512</v>
      </c>
      <c r="E89" s="758" t="s">
        <v>553</v>
      </c>
      <c r="F89" s="758" t="s">
        <v>1084</v>
      </c>
      <c r="G89" s="299">
        <v>358</v>
      </c>
      <c r="H89" s="299">
        <v>1655</v>
      </c>
    </row>
    <row r="90" spans="1:8" x14ac:dyDescent="0.25">
      <c r="A90" s="758" t="s">
        <v>269</v>
      </c>
      <c r="B90" s="758" t="s">
        <v>268</v>
      </c>
      <c r="C90" s="758">
        <v>97.394547000000003</v>
      </c>
      <c r="D90" s="758" t="s">
        <v>510</v>
      </c>
      <c r="E90" s="758" t="s">
        <v>553</v>
      </c>
      <c r="F90" s="758" t="s">
        <v>459</v>
      </c>
      <c r="G90" s="299">
        <v>65</v>
      </c>
      <c r="H90" s="299">
        <v>292</v>
      </c>
    </row>
    <row r="91" spans="1:8" x14ac:dyDescent="0.25">
      <c r="A91" s="758" t="s">
        <v>229</v>
      </c>
      <c r="B91" s="758" t="s">
        <v>228</v>
      </c>
      <c r="C91" s="758">
        <v>97.724483000000006</v>
      </c>
      <c r="D91" s="758" t="s">
        <v>510</v>
      </c>
      <c r="E91" s="758" t="s">
        <v>553</v>
      </c>
      <c r="F91" s="758" t="s">
        <v>459</v>
      </c>
      <c r="G91" s="299">
        <v>49</v>
      </c>
      <c r="H91" s="299">
        <v>300</v>
      </c>
    </row>
    <row r="92" spans="1:8" x14ac:dyDescent="0.25">
      <c r="A92" s="758" t="s">
        <v>273</v>
      </c>
      <c r="B92" s="758" t="s">
        <v>272</v>
      </c>
      <c r="C92" s="758">
        <v>97.4345</v>
      </c>
      <c r="D92" s="758" t="s">
        <v>510</v>
      </c>
      <c r="E92" s="758" t="s">
        <v>553</v>
      </c>
      <c r="F92" s="758" t="s">
        <v>1085</v>
      </c>
      <c r="G92" s="299">
        <v>49</v>
      </c>
      <c r="H92" s="299">
        <v>290</v>
      </c>
    </row>
    <row r="93" spans="1:8" x14ac:dyDescent="0.25">
      <c r="A93" s="758" t="s">
        <v>219</v>
      </c>
      <c r="B93" s="758" t="s">
        <v>218</v>
      </c>
      <c r="C93" s="758">
        <v>97.752667000000002</v>
      </c>
      <c r="D93" s="758" t="s">
        <v>512</v>
      </c>
      <c r="E93" s="758" t="s">
        <v>553</v>
      </c>
      <c r="F93" s="758" t="s">
        <v>1084</v>
      </c>
      <c r="G93" s="299">
        <v>597</v>
      </c>
      <c r="H93" s="299">
        <v>3643</v>
      </c>
    </row>
    <row r="94" spans="1:8" x14ac:dyDescent="0.25">
      <c r="A94" s="758" t="s">
        <v>863</v>
      </c>
      <c r="B94" s="758" t="s">
        <v>862</v>
      </c>
      <c r="C94" s="758">
        <v>98.377780000000001</v>
      </c>
      <c r="D94" s="758" t="s">
        <v>510</v>
      </c>
      <c r="E94" s="758" t="s">
        <v>553</v>
      </c>
      <c r="F94" s="758" t="s">
        <v>1085</v>
      </c>
      <c r="G94" s="299">
        <v>57</v>
      </c>
      <c r="H94" s="299">
        <v>262</v>
      </c>
    </row>
    <row r="95" spans="1:8" x14ac:dyDescent="0.25">
      <c r="A95" s="758" t="s">
        <v>366</v>
      </c>
      <c r="B95" s="758" t="s">
        <v>376</v>
      </c>
      <c r="C95" s="758">
        <v>97.252650000000003</v>
      </c>
      <c r="D95" s="758" t="s">
        <v>510</v>
      </c>
      <c r="E95" s="758" t="s">
        <v>553</v>
      </c>
      <c r="F95" s="758" t="s">
        <v>459</v>
      </c>
      <c r="G95" s="299">
        <v>153</v>
      </c>
      <c r="H95" s="299">
        <v>773</v>
      </c>
    </row>
    <row r="96" spans="1:8" x14ac:dyDescent="0.25">
      <c r="A96" s="758" t="s">
        <v>355</v>
      </c>
      <c r="B96" s="758" t="s">
        <v>354</v>
      </c>
      <c r="C96" s="758">
        <v>97.990555999999998</v>
      </c>
      <c r="D96" s="758" t="s">
        <v>512</v>
      </c>
      <c r="E96" s="758" t="s">
        <v>553</v>
      </c>
      <c r="F96" s="758" t="s">
        <v>1085</v>
      </c>
      <c r="G96" s="299">
        <v>100</v>
      </c>
      <c r="H96" s="299">
        <v>612</v>
      </c>
    </row>
    <row r="97" spans="1:8" x14ac:dyDescent="0.25">
      <c r="A97" s="758" t="s">
        <v>318</v>
      </c>
      <c r="B97" s="758" t="s">
        <v>317</v>
      </c>
      <c r="C97" s="758">
        <v>97.441166388888902</v>
      </c>
      <c r="D97" s="758" t="s">
        <v>510</v>
      </c>
      <c r="E97" s="758" t="s">
        <v>553</v>
      </c>
      <c r="F97" s="758" t="s">
        <v>504</v>
      </c>
      <c r="G97" s="299">
        <v>111</v>
      </c>
      <c r="H97" s="299">
        <v>445</v>
      </c>
    </row>
    <row r="98" spans="1:8" x14ac:dyDescent="0.25">
      <c r="A98" s="758" t="s">
        <v>342</v>
      </c>
      <c r="B98" s="758" t="s">
        <v>341</v>
      </c>
      <c r="C98" s="758">
        <v>97.438432380952406</v>
      </c>
      <c r="D98" s="758" t="s">
        <v>510</v>
      </c>
      <c r="E98" s="758" t="s">
        <v>553</v>
      </c>
      <c r="F98" s="758" t="s">
        <v>459</v>
      </c>
      <c r="G98" s="299">
        <v>65</v>
      </c>
      <c r="H98" s="299">
        <v>323</v>
      </c>
    </row>
    <row r="99" spans="1:8" x14ac:dyDescent="0.25">
      <c r="A99" s="758" t="s">
        <v>338</v>
      </c>
      <c r="B99" s="758" t="s">
        <v>337</v>
      </c>
      <c r="C99" s="758">
        <v>97.437472666666693</v>
      </c>
      <c r="D99" s="758" t="s">
        <v>510</v>
      </c>
      <c r="E99" s="758" t="s">
        <v>553</v>
      </c>
      <c r="F99" s="758" t="s">
        <v>504</v>
      </c>
      <c r="G99" s="299">
        <v>31</v>
      </c>
      <c r="H99" s="299">
        <v>171</v>
      </c>
    </row>
    <row r="100" spans="1:8" x14ac:dyDescent="0.25">
      <c r="A100" s="758" t="s">
        <v>351</v>
      </c>
      <c r="B100" s="758" t="s">
        <v>350</v>
      </c>
      <c r="C100" s="758">
        <v>97.432495000000003</v>
      </c>
      <c r="D100" s="758" t="s">
        <v>510</v>
      </c>
      <c r="E100" s="758" t="s">
        <v>553</v>
      </c>
      <c r="F100" s="758" t="s">
        <v>504</v>
      </c>
      <c r="G100" s="299">
        <v>92</v>
      </c>
      <c r="H100" s="299">
        <v>493</v>
      </c>
    </row>
    <row r="101" spans="1:8" x14ac:dyDescent="0.25">
      <c r="A101" s="758" t="s">
        <v>118</v>
      </c>
      <c r="B101" s="758" t="s">
        <v>117</v>
      </c>
      <c r="C101" s="758">
        <v>96.279200000000003</v>
      </c>
      <c r="D101" s="758" t="s">
        <v>510</v>
      </c>
      <c r="E101" s="758" t="s">
        <v>553</v>
      </c>
      <c r="F101" s="758" t="s">
        <v>504</v>
      </c>
      <c r="G101" s="299">
        <v>9</v>
      </c>
      <c r="H101" s="299">
        <v>37</v>
      </c>
    </row>
    <row r="102" spans="1:8" x14ac:dyDescent="0.25">
      <c r="A102" s="758" t="s">
        <v>22</v>
      </c>
      <c r="B102" s="758" t="s">
        <v>21</v>
      </c>
      <c r="C102" s="758">
        <v>97.229116811594196</v>
      </c>
      <c r="D102" s="758" t="s">
        <v>510</v>
      </c>
      <c r="E102" s="758" t="s">
        <v>553</v>
      </c>
      <c r="F102" s="758" t="s">
        <v>459</v>
      </c>
      <c r="G102" s="299">
        <v>638</v>
      </c>
      <c r="H102" s="299">
        <v>4050</v>
      </c>
    </row>
    <row r="103" spans="1:8" x14ac:dyDescent="0.25">
      <c r="A103" s="758" t="s">
        <v>124</v>
      </c>
      <c r="B103" s="758" t="s">
        <v>123</v>
      </c>
      <c r="C103" s="758">
        <v>96.353030000000004</v>
      </c>
      <c r="D103" s="758" t="s">
        <v>510</v>
      </c>
      <c r="E103" s="758" t="s">
        <v>553</v>
      </c>
      <c r="F103" s="758" t="s">
        <v>459</v>
      </c>
      <c r="G103" s="299">
        <v>8</v>
      </c>
      <c r="H103" s="299">
        <v>36</v>
      </c>
    </row>
    <row r="104" spans="1:8" x14ac:dyDescent="0.25">
      <c r="A104" s="758" t="s">
        <v>1017</v>
      </c>
      <c r="B104" s="758" t="s">
        <v>1018</v>
      </c>
      <c r="C104" s="758">
        <v>98.356260000000006</v>
      </c>
      <c r="D104" s="758" t="s">
        <v>510</v>
      </c>
      <c r="E104" s="758" t="s">
        <v>553</v>
      </c>
      <c r="F104" s="758" t="s">
        <v>1085</v>
      </c>
      <c r="G104" s="299">
        <v>31</v>
      </c>
      <c r="H104" s="299">
        <v>176</v>
      </c>
    </row>
    <row r="105" spans="1:8" x14ac:dyDescent="0.25">
      <c r="A105" s="758" t="s">
        <v>225</v>
      </c>
      <c r="B105" s="758" t="s">
        <v>224</v>
      </c>
      <c r="C105" s="758">
        <v>97.710864000000001</v>
      </c>
      <c r="D105" s="758" t="s">
        <v>510</v>
      </c>
      <c r="E105" s="758" t="s">
        <v>553</v>
      </c>
      <c r="F105" s="758" t="s">
        <v>459</v>
      </c>
      <c r="G105" s="299">
        <v>41</v>
      </c>
      <c r="H105" s="299">
        <v>245</v>
      </c>
    </row>
    <row r="106" spans="1:8" x14ac:dyDescent="0.25">
      <c r="A106" s="758" t="s">
        <v>277</v>
      </c>
      <c r="B106" s="758" t="s">
        <v>276</v>
      </c>
      <c r="C106" s="758">
        <v>97.399628000000007</v>
      </c>
      <c r="D106" s="758" t="s">
        <v>510</v>
      </c>
      <c r="E106" s="758" t="s">
        <v>553</v>
      </c>
      <c r="F106" s="758" t="s">
        <v>459</v>
      </c>
      <c r="G106" s="299">
        <v>118</v>
      </c>
      <c r="H106" s="299">
        <v>529</v>
      </c>
    </row>
    <row r="107" spans="1:8" x14ac:dyDescent="0.25">
      <c r="A107" s="758" t="s">
        <v>279</v>
      </c>
      <c r="B107" s="758" t="s">
        <v>278</v>
      </c>
      <c r="C107" s="758">
        <v>97.418004999999994</v>
      </c>
      <c r="D107" s="758" t="s">
        <v>510</v>
      </c>
      <c r="E107" s="758" t="s">
        <v>553</v>
      </c>
      <c r="F107" s="758" t="s">
        <v>504</v>
      </c>
      <c r="G107" s="299">
        <v>22</v>
      </c>
      <c r="H107" s="299">
        <v>111</v>
      </c>
    </row>
    <row r="108" spans="1:8" x14ac:dyDescent="0.25">
      <c r="A108" s="758" t="s">
        <v>347</v>
      </c>
      <c r="B108" s="758" t="s">
        <v>346</v>
      </c>
      <c r="C108" s="758">
        <v>98.025662999999994</v>
      </c>
      <c r="D108" s="758" t="s">
        <v>510</v>
      </c>
      <c r="E108" s="758" t="s">
        <v>553</v>
      </c>
      <c r="F108" s="758" t="s">
        <v>459</v>
      </c>
      <c r="G108" s="299">
        <v>184</v>
      </c>
      <c r="H108" s="299">
        <v>966</v>
      </c>
    </row>
    <row r="109" spans="1:8" x14ac:dyDescent="0.25">
      <c r="A109" s="758" t="s">
        <v>306</v>
      </c>
      <c r="B109" s="758" t="s">
        <v>305</v>
      </c>
      <c r="C109" s="758">
        <v>96.807353000000006</v>
      </c>
      <c r="D109" s="758" t="s">
        <v>510</v>
      </c>
      <c r="E109" s="758" t="s">
        <v>553</v>
      </c>
      <c r="F109" s="758" t="s">
        <v>459</v>
      </c>
      <c r="G109" s="299">
        <v>86</v>
      </c>
      <c r="H109" s="299">
        <v>314</v>
      </c>
    </row>
    <row r="110" spans="1:8" x14ac:dyDescent="0.25">
      <c r="A110" s="758" t="s">
        <v>308</v>
      </c>
      <c r="B110" s="758" t="s">
        <v>307</v>
      </c>
      <c r="C110" s="758">
        <v>96.807353000000006</v>
      </c>
      <c r="D110" s="758" t="s">
        <v>510</v>
      </c>
      <c r="E110" s="758" t="s">
        <v>553</v>
      </c>
      <c r="F110" s="758" t="s">
        <v>1084</v>
      </c>
      <c r="G110" s="299">
        <v>43</v>
      </c>
      <c r="H110" s="299">
        <v>159</v>
      </c>
    </row>
    <row r="111" spans="1:8" x14ac:dyDescent="0.25">
      <c r="A111" s="758" t="s">
        <v>281</v>
      </c>
      <c r="B111" s="758" t="s">
        <v>280</v>
      </c>
      <c r="C111" s="758">
        <v>97.419403000000003</v>
      </c>
      <c r="D111" s="758" t="s">
        <v>510</v>
      </c>
      <c r="E111" s="758" t="s">
        <v>553</v>
      </c>
      <c r="F111" s="758" t="s">
        <v>459</v>
      </c>
      <c r="G111" s="299">
        <v>92</v>
      </c>
      <c r="H111" s="299">
        <v>499</v>
      </c>
    </row>
    <row r="112" spans="1:8" x14ac:dyDescent="0.25">
      <c r="A112" s="758" t="s">
        <v>181</v>
      </c>
      <c r="B112" s="758" t="s">
        <v>179</v>
      </c>
      <c r="C112" s="758">
        <v>96.367059999999995</v>
      </c>
      <c r="D112" s="758" t="s">
        <v>510</v>
      </c>
      <c r="E112" s="758" t="s">
        <v>553</v>
      </c>
      <c r="F112" s="758" t="s">
        <v>1085</v>
      </c>
      <c r="G112" s="299">
        <v>11</v>
      </c>
      <c r="H112" s="299">
        <v>57</v>
      </c>
    </row>
    <row r="113" spans="1:8" x14ac:dyDescent="0.25">
      <c r="A113" s="758" t="s">
        <v>807</v>
      </c>
      <c r="B113" s="758" t="s">
        <v>811</v>
      </c>
      <c r="C113" s="758">
        <v>97.568836000000005</v>
      </c>
      <c r="D113" s="758" t="s">
        <v>510</v>
      </c>
      <c r="E113" s="758" t="s">
        <v>553</v>
      </c>
      <c r="F113" s="758" t="s">
        <v>858</v>
      </c>
      <c r="G113" s="299">
        <v>5</v>
      </c>
      <c r="H113" s="299">
        <v>32</v>
      </c>
    </row>
    <row r="114" spans="1:8" x14ac:dyDescent="0.25">
      <c r="A114" s="758" t="s">
        <v>24</v>
      </c>
      <c r="B114" s="758" t="s">
        <v>23</v>
      </c>
      <c r="C114" s="758">
        <v>97.227789999999999</v>
      </c>
      <c r="D114" s="758" t="s">
        <v>510</v>
      </c>
      <c r="E114" s="758" t="s">
        <v>553</v>
      </c>
      <c r="F114" s="758" t="s">
        <v>504</v>
      </c>
      <c r="G114" s="299">
        <v>20</v>
      </c>
      <c r="H114" s="299">
        <v>95</v>
      </c>
    </row>
    <row r="115" spans="1:8" x14ac:dyDescent="0.25">
      <c r="A115" s="758" t="s">
        <v>238</v>
      </c>
      <c r="B115" s="758" t="s">
        <v>236</v>
      </c>
      <c r="C115" s="758">
        <v>97.386718999999999</v>
      </c>
      <c r="D115" s="758" t="s">
        <v>510</v>
      </c>
      <c r="E115" s="758" t="s">
        <v>553</v>
      </c>
      <c r="F115" s="758" t="s">
        <v>459</v>
      </c>
      <c r="G115" s="299">
        <v>66</v>
      </c>
      <c r="H115" s="299">
        <v>344</v>
      </c>
    </row>
    <row r="116" spans="1:8" x14ac:dyDescent="0.25">
      <c r="A116" s="758" t="s">
        <v>249</v>
      </c>
      <c r="B116" s="758" t="s">
        <v>248</v>
      </c>
      <c r="C116" s="758">
        <v>97.389778000000007</v>
      </c>
      <c r="D116" s="758" t="s">
        <v>510</v>
      </c>
      <c r="E116" s="758" t="s">
        <v>553</v>
      </c>
      <c r="F116" s="758" t="s">
        <v>504</v>
      </c>
      <c r="G116" s="299">
        <v>4</v>
      </c>
      <c r="H116" s="299">
        <v>22</v>
      </c>
    </row>
    <row r="117" spans="1:8" x14ac:dyDescent="0.25">
      <c r="A117" s="758" t="s">
        <v>251</v>
      </c>
      <c r="B117" s="758" t="s">
        <v>250</v>
      </c>
      <c r="C117" s="758">
        <v>97.377662999999998</v>
      </c>
      <c r="D117" s="758" t="s">
        <v>510</v>
      </c>
      <c r="E117" s="758" t="s">
        <v>553</v>
      </c>
      <c r="F117" s="758" t="s">
        <v>459</v>
      </c>
      <c r="G117" s="299">
        <v>31</v>
      </c>
      <c r="H117" s="299">
        <v>170</v>
      </c>
    </row>
    <row r="118" spans="1:8" x14ac:dyDescent="0.25">
      <c r="A118" s="758" t="s">
        <v>275</v>
      </c>
      <c r="B118" s="758" t="s">
        <v>274</v>
      </c>
      <c r="C118" s="758">
        <v>97.382192000000003</v>
      </c>
      <c r="D118" s="758" t="s">
        <v>510</v>
      </c>
      <c r="E118" s="758" t="s">
        <v>553</v>
      </c>
      <c r="F118" s="758" t="s">
        <v>459</v>
      </c>
      <c r="G118" s="299">
        <v>46</v>
      </c>
      <c r="H118" s="299">
        <v>238</v>
      </c>
    </row>
    <row r="119" spans="1:8" x14ac:dyDescent="0.25">
      <c r="A119" s="758" t="s">
        <v>349</v>
      </c>
      <c r="B119" s="758" t="s">
        <v>348</v>
      </c>
      <c r="C119" s="758">
        <v>97.428251153846105</v>
      </c>
      <c r="D119" s="758" t="s">
        <v>510</v>
      </c>
      <c r="E119" s="758" t="s">
        <v>553</v>
      </c>
      <c r="F119" s="758" t="s">
        <v>504</v>
      </c>
      <c r="G119" s="299">
        <v>46</v>
      </c>
      <c r="H119" s="299">
        <v>190</v>
      </c>
    </row>
    <row r="120" spans="1:8" x14ac:dyDescent="0.25">
      <c r="A120" s="758" t="s">
        <v>316</v>
      </c>
      <c r="B120" s="758" t="s">
        <v>315</v>
      </c>
      <c r="C120" s="758">
        <v>97.444283730158702</v>
      </c>
      <c r="D120" s="758" t="s">
        <v>510</v>
      </c>
      <c r="E120" s="758" t="s">
        <v>553</v>
      </c>
      <c r="F120" s="758" t="s">
        <v>504</v>
      </c>
      <c r="G120" s="299">
        <v>65</v>
      </c>
      <c r="H120" s="299">
        <v>275</v>
      </c>
    </row>
    <row r="121" spans="1:8" x14ac:dyDescent="0.25">
      <c r="A121" s="758" t="s">
        <v>126</v>
      </c>
      <c r="B121" s="758" t="s">
        <v>125</v>
      </c>
      <c r="C121" s="758">
        <v>96.286680000000004</v>
      </c>
      <c r="D121" s="758" t="s">
        <v>510</v>
      </c>
      <c r="E121" s="758" t="s">
        <v>553</v>
      </c>
      <c r="F121" s="758" t="s">
        <v>459</v>
      </c>
      <c r="G121" s="299">
        <v>33</v>
      </c>
      <c r="H121" s="299">
        <v>171</v>
      </c>
    </row>
    <row r="122" spans="1:8" x14ac:dyDescent="0.25">
      <c r="A122" s="758" t="s">
        <v>353</v>
      </c>
      <c r="B122" s="758" t="s">
        <v>352</v>
      </c>
      <c r="C122" s="758">
        <v>97.546893999999995</v>
      </c>
      <c r="D122" s="758" t="s">
        <v>512</v>
      </c>
      <c r="E122" s="758" t="s">
        <v>553</v>
      </c>
      <c r="F122" s="758" t="s">
        <v>1085</v>
      </c>
      <c r="G122" s="299">
        <v>1396</v>
      </c>
      <c r="H122" s="299">
        <v>6821</v>
      </c>
    </row>
    <row r="123" spans="1:8" x14ac:dyDescent="0.25">
      <c r="A123" s="758" t="s">
        <v>283</v>
      </c>
      <c r="B123" s="758" t="s">
        <v>282</v>
      </c>
      <c r="C123" s="758">
        <v>97.403878500000005</v>
      </c>
      <c r="D123" s="758" t="s">
        <v>510</v>
      </c>
      <c r="E123" s="758" t="s">
        <v>553</v>
      </c>
      <c r="F123" s="758" t="s">
        <v>504</v>
      </c>
      <c r="G123" s="299">
        <v>7</v>
      </c>
      <c r="H123" s="299">
        <v>37</v>
      </c>
    </row>
    <row r="124" spans="1:8" x14ac:dyDescent="0.25">
      <c r="A124" s="758" t="s">
        <v>26</v>
      </c>
      <c r="B124" s="758" t="s">
        <v>25</v>
      </c>
      <c r="C124" s="758">
        <v>97.240639999999999</v>
      </c>
      <c r="D124" s="758" t="s">
        <v>510</v>
      </c>
      <c r="E124" s="758" t="s">
        <v>553</v>
      </c>
      <c r="F124" s="758" t="s">
        <v>504</v>
      </c>
      <c r="G124" s="299">
        <v>15</v>
      </c>
      <c r="H124" s="299">
        <v>79</v>
      </c>
    </row>
    <row r="125" spans="1:8" x14ac:dyDescent="0.25">
      <c r="A125" s="758" t="s">
        <v>140</v>
      </c>
      <c r="B125" s="758" t="s">
        <v>139</v>
      </c>
      <c r="C125" s="758">
        <v>96.306910999999999</v>
      </c>
      <c r="D125" s="758" t="s">
        <v>510</v>
      </c>
      <c r="E125" s="758" t="s">
        <v>553</v>
      </c>
      <c r="F125" s="758" t="s">
        <v>459</v>
      </c>
      <c r="G125" s="299">
        <v>11</v>
      </c>
      <c r="H125" s="299">
        <v>48</v>
      </c>
    </row>
    <row r="126" spans="1:8" x14ac:dyDescent="0.25">
      <c r="A126" s="758" t="s">
        <v>373</v>
      </c>
      <c r="B126" s="758" t="s">
        <v>387</v>
      </c>
      <c r="C126" s="758">
        <v>97.837040000000002</v>
      </c>
      <c r="D126" s="758" t="s">
        <v>510</v>
      </c>
      <c r="E126" s="758" t="s">
        <v>553</v>
      </c>
      <c r="F126" s="758" t="s">
        <v>459</v>
      </c>
      <c r="G126" s="299">
        <v>186</v>
      </c>
      <c r="H126" s="299">
        <v>951</v>
      </c>
    </row>
    <row r="127" spans="1:8" x14ac:dyDescent="0.25">
      <c r="A127" s="758" t="s">
        <v>1231</v>
      </c>
      <c r="B127" s="758" t="s">
        <v>345</v>
      </c>
      <c r="C127" s="758">
        <v>97.751389000000003</v>
      </c>
      <c r="D127" s="758" t="s">
        <v>512</v>
      </c>
      <c r="E127" s="758" t="s">
        <v>553</v>
      </c>
      <c r="F127" s="758" t="s">
        <v>459</v>
      </c>
      <c r="G127" s="299">
        <v>186</v>
      </c>
      <c r="H127" s="299">
        <v>585</v>
      </c>
    </row>
    <row r="128" spans="1:8" x14ac:dyDescent="0.25">
      <c r="A128" s="758" t="s">
        <v>1232</v>
      </c>
      <c r="B128" s="758" t="s">
        <v>241</v>
      </c>
      <c r="C128" s="758">
        <v>97.379987</v>
      </c>
      <c r="D128" s="758" t="s">
        <v>510</v>
      </c>
      <c r="E128" s="758" t="s">
        <v>553</v>
      </c>
      <c r="F128" s="758" t="s">
        <v>504</v>
      </c>
      <c r="G128" s="299">
        <v>54</v>
      </c>
      <c r="H128" s="299">
        <v>262</v>
      </c>
    </row>
    <row r="129" spans="1:8" x14ac:dyDescent="0.25">
      <c r="A129" s="758" t="s">
        <v>1248</v>
      </c>
      <c r="B129" s="758" t="s">
        <v>1247</v>
      </c>
      <c r="C129" s="758">
        <v>97.416121000000004</v>
      </c>
      <c r="D129" s="758" t="s">
        <v>510</v>
      </c>
      <c r="E129" s="758" t="s">
        <v>553</v>
      </c>
      <c r="F129" s="758" t="s">
        <v>459</v>
      </c>
      <c r="G129" s="299">
        <v>61</v>
      </c>
      <c r="H129" s="299">
        <v>276</v>
      </c>
    </row>
    <row r="130" spans="1:8" x14ac:dyDescent="0.25">
      <c r="A130" s="758" t="s">
        <v>1262</v>
      </c>
      <c r="B130" s="758" t="s">
        <v>1246</v>
      </c>
      <c r="C130" s="758">
        <v>98.218626999999998</v>
      </c>
      <c r="D130" s="758" t="s">
        <v>510</v>
      </c>
      <c r="E130" s="758" t="s">
        <v>553</v>
      </c>
      <c r="F130" s="758" t="s">
        <v>459</v>
      </c>
      <c r="G130" s="299">
        <v>34</v>
      </c>
      <c r="H130" s="299">
        <v>185</v>
      </c>
    </row>
    <row r="131" spans="1:8" x14ac:dyDescent="0.25">
      <c r="A131" s="758" t="s">
        <v>1264</v>
      </c>
      <c r="B131" s="758" t="s">
        <v>1258</v>
      </c>
      <c r="C131" s="758">
        <v>96.793999999999997</v>
      </c>
      <c r="D131" s="758" t="s">
        <v>510</v>
      </c>
      <c r="E131" s="758" t="s">
        <v>553</v>
      </c>
      <c r="F131" s="758" t="s">
        <v>459</v>
      </c>
      <c r="G131" s="299">
        <v>28</v>
      </c>
      <c r="H131" s="299">
        <v>134</v>
      </c>
    </row>
    <row r="132" spans="1:8" x14ac:dyDescent="0.25">
      <c r="A132" s="758" t="s">
        <v>1256</v>
      </c>
      <c r="B132" s="758" t="s">
        <v>1259</v>
      </c>
      <c r="C132" s="758">
        <v>96.942279999999997</v>
      </c>
      <c r="D132" s="758" t="s">
        <v>510</v>
      </c>
      <c r="E132" s="758" t="s">
        <v>553</v>
      </c>
      <c r="F132" s="758" t="s">
        <v>858</v>
      </c>
      <c r="G132" s="299">
        <v>7</v>
      </c>
      <c r="H132" s="299">
        <v>31</v>
      </c>
    </row>
    <row r="133" spans="1:8" x14ac:dyDescent="0.25">
      <c r="A133" s="758" t="s">
        <v>1285</v>
      </c>
      <c r="B133" s="758" t="s">
        <v>1286</v>
      </c>
      <c r="C133" s="758">
        <v>97.745480999999998</v>
      </c>
      <c r="D133" s="758" t="s">
        <v>512</v>
      </c>
      <c r="E133" s="758" t="s">
        <v>553</v>
      </c>
      <c r="F133" s="758" t="s">
        <v>459</v>
      </c>
      <c r="G133" s="299">
        <v>73</v>
      </c>
      <c r="H133" s="299">
        <v>407</v>
      </c>
    </row>
    <row r="134" spans="1:8" x14ac:dyDescent="0.25">
      <c r="A134" s="758" t="s">
        <v>1287</v>
      </c>
      <c r="B134" s="758" t="s">
        <v>1288</v>
      </c>
      <c r="C134" s="758">
        <v>97.75609</v>
      </c>
      <c r="D134" s="758" t="s">
        <v>512</v>
      </c>
      <c r="E134" s="758" t="s">
        <v>553</v>
      </c>
      <c r="F134" s="758" t="s">
        <v>459</v>
      </c>
      <c r="G134" s="299">
        <v>63</v>
      </c>
      <c r="H134" s="299">
        <v>320</v>
      </c>
    </row>
    <row r="135" spans="1:8" x14ac:dyDescent="0.25">
      <c r="A135" s="758" t="s">
        <v>1302</v>
      </c>
      <c r="B135" s="758" t="s">
        <v>1303</v>
      </c>
      <c r="C135" s="758">
        <v>97.868876999999998</v>
      </c>
      <c r="D135" s="758" t="s">
        <v>510</v>
      </c>
      <c r="E135" s="758" t="s">
        <v>553</v>
      </c>
      <c r="F135" s="758" t="s">
        <v>858</v>
      </c>
      <c r="G135" s="299">
        <v>105</v>
      </c>
      <c r="H135" s="299">
        <v>568</v>
      </c>
    </row>
    <row r="136" spans="1:8" x14ac:dyDescent="0.25">
      <c r="A136" s="758" t="s">
        <v>1387</v>
      </c>
      <c r="B136" s="758" t="s">
        <v>1379</v>
      </c>
      <c r="C136" s="758">
        <v>97.796999999999997</v>
      </c>
      <c r="D136" s="758" t="s">
        <v>510</v>
      </c>
      <c r="E136" s="758" t="s">
        <v>553</v>
      </c>
      <c r="F136" s="758" t="s">
        <v>459</v>
      </c>
      <c r="G136" s="299">
        <v>146</v>
      </c>
      <c r="H136" s="299">
        <v>678</v>
      </c>
    </row>
    <row r="137" spans="1:8" x14ac:dyDescent="0.25">
      <c r="A137" s="758" t="s">
        <v>1389</v>
      </c>
      <c r="B137" s="758" t="s">
        <v>1383</v>
      </c>
      <c r="C137" s="758">
        <v>97.506</v>
      </c>
      <c r="D137" s="758" t="s">
        <v>510</v>
      </c>
      <c r="E137" s="758" t="s">
        <v>553</v>
      </c>
      <c r="F137" s="758" t="s">
        <v>858</v>
      </c>
      <c r="G137" s="299">
        <v>61</v>
      </c>
      <c r="H137" s="299">
        <v>276</v>
      </c>
    </row>
    <row r="138" spans="1:8" x14ac:dyDescent="0.25">
      <c r="A138" s="758" t="s">
        <v>1390</v>
      </c>
      <c r="B138" s="758" t="s">
        <v>1384</v>
      </c>
      <c r="C138" s="758">
        <v>97.810101000000003</v>
      </c>
      <c r="D138" s="758" t="s">
        <v>510</v>
      </c>
      <c r="E138" s="758" t="s">
        <v>553</v>
      </c>
      <c r="F138" s="758" t="s">
        <v>858</v>
      </c>
      <c r="G138" s="299">
        <v>37</v>
      </c>
      <c r="H138" s="299">
        <v>130</v>
      </c>
    </row>
    <row r="139" spans="1:8" x14ac:dyDescent="0.25">
      <c r="A139" s="758" t="s">
        <v>1397</v>
      </c>
      <c r="B139" s="758" t="s">
        <v>1380</v>
      </c>
      <c r="C139" s="758">
        <v>97.358999999999995</v>
      </c>
      <c r="D139" s="758" t="s">
        <v>510</v>
      </c>
      <c r="E139" s="758" t="s">
        <v>553</v>
      </c>
      <c r="F139" s="758" t="s">
        <v>858</v>
      </c>
      <c r="G139" s="299">
        <v>19</v>
      </c>
      <c r="H139" s="299">
        <v>82</v>
      </c>
    </row>
    <row r="140" spans="1:8" x14ac:dyDescent="0.25">
      <c r="A140" s="758" t="s">
        <v>1400</v>
      </c>
      <c r="B140" s="758" t="s">
        <v>1381</v>
      </c>
      <c r="C140" s="758" t="s">
        <v>858</v>
      </c>
      <c r="D140" s="758" t="s">
        <v>510</v>
      </c>
      <c r="E140" s="758" t="s">
        <v>553</v>
      </c>
      <c r="F140" s="758" t="s">
        <v>858</v>
      </c>
      <c r="G140" s="299">
        <v>36</v>
      </c>
      <c r="H140" s="299">
        <v>188</v>
      </c>
    </row>
    <row r="141" spans="1:8" x14ac:dyDescent="0.25">
      <c r="A141" s="758" t="s">
        <v>1406</v>
      </c>
      <c r="B141" s="758" t="s">
        <v>1386</v>
      </c>
      <c r="C141" s="758">
        <v>98.337999999999994</v>
      </c>
      <c r="D141" s="758" t="s">
        <v>510</v>
      </c>
      <c r="E141" s="758" t="s">
        <v>553</v>
      </c>
      <c r="F141" s="758" t="s">
        <v>858</v>
      </c>
      <c r="G141" s="299">
        <v>30</v>
      </c>
      <c r="H141" s="299">
        <v>170</v>
      </c>
    </row>
    <row r="142" spans="1:8" x14ac:dyDescent="0.25">
      <c r="A142" s="758" t="s">
        <v>1432</v>
      </c>
      <c r="B142" s="758" t="s">
        <v>1435</v>
      </c>
      <c r="C142" s="758">
        <v>96.662092000000001</v>
      </c>
      <c r="D142" s="758" t="s">
        <v>510</v>
      </c>
      <c r="E142" s="758" t="s">
        <v>553</v>
      </c>
      <c r="F142" s="758" t="s">
        <v>459</v>
      </c>
      <c r="G142" s="299">
        <v>30</v>
      </c>
      <c r="H142" s="299">
        <v>110</v>
      </c>
    </row>
    <row r="143" spans="1:8" x14ac:dyDescent="0.25">
      <c r="A143" s="758" t="s">
        <v>1431</v>
      </c>
      <c r="B143" s="758" t="s">
        <v>1437</v>
      </c>
      <c r="C143" s="758">
        <v>96.662092000000001</v>
      </c>
      <c r="D143" s="758" t="s">
        <v>510</v>
      </c>
      <c r="E143" s="758" t="s">
        <v>553</v>
      </c>
      <c r="F143" s="758" t="s">
        <v>1085</v>
      </c>
      <c r="G143" s="299">
        <v>6</v>
      </c>
      <c r="H143" s="299">
        <v>16</v>
      </c>
    </row>
    <row r="144" spans="1:8" x14ac:dyDescent="0.25">
      <c r="A144" s="758" t="s">
        <v>1430</v>
      </c>
      <c r="B144" s="758" t="s">
        <v>1438</v>
      </c>
      <c r="C144" s="758">
        <v>96.662092000000001</v>
      </c>
      <c r="D144" s="758" t="s">
        <v>510</v>
      </c>
      <c r="E144" s="758" t="s">
        <v>553</v>
      </c>
      <c r="F144" s="758" t="s">
        <v>1085</v>
      </c>
      <c r="G144" s="299">
        <v>20</v>
      </c>
      <c r="H144" s="299">
        <v>84</v>
      </c>
    </row>
    <row r="145" spans="1:8" x14ac:dyDescent="0.25">
      <c r="A145" s="758" t="s">
        <v>1469</v>
      </c>
      <c r="B145" s="758" t="s">
        <v>1451</v>
      </c>
      <c r="C145" s="758" t="s">
        <v>858</v>
      </c>
      <c r="D145" s="758" t="s">
        <v>510</v>
      </c>
      <c r="E145" s="758" t="s">
        <v>553</v>
      </c>
      <c r="F145" s="758" t="s">
        <v>858</v>
      </c>
      <c r="G145" s="299">
        <v>13</v>
      </c>
      <c r="H145" s="299">
        <v>45</v>
      </c>
    </row>
    <row r="146" spans="1:8" x14ac:dyDescent="0.25">
      <c r="A146" s="758" t="s">
        <v>1472</v>
      </c>
      <c r="B146" s="758" t="s">
        <v>1454</v>
      </c>
      <c r="C146" s="758" t="s">
        <v>858</v>
      </c>
      <c r="D146" s="758" t="s">
        <v>510</v>
      </c>
      <c r="E146" s="758" t="s">
        <v>553</v>
      </c>
      <c r="F146" s="758" t="s">
        <v>858</v>
      </c>
      <c r="G146" s="299">
        <v>59</v>
      </c>
      <c r="H146" s="299">
        <v>268</v>
      </c>
    </row>
    <row r="147" spans="1:8" x14ac:dyDescent="0.25">
      <c r="A147" s="758" t="s">
        <v>1478</v>
      </c>
      <c r="B147" s="758" t="s">
        <v>1466</v>
      </c>
      <c r="C147" s="758">
        <v>97.314762999999999</v>
      </c>
      <c r="D147" s="758" t="s">
        <v>510</v>
      </c>
      <c r="E147" s="758" t="s">
        <v>553</v>
      </c>
      <c r="F147" s="758" t="s">
        <v>858</v>
      </c>
      <c r="G147" s="299">
        <v>37</v>
      </c>
      <c r="H147" s="299">
        <v>120</v>
      </c>
    </row>
    <row r="148" spans="1:8" x14ac:dyDescent="0.25">
      <c r="A148" s="758" t="s">
        <v>1518</v>
      </c>
      <c r="B148" s="758" t="s">
        <v>1517</v>
      </c>
      <c r="C148" s="758">
        <v>97.947360000000003</v>
      </c>
      <c r="D148" s="758" t="s">
        <v>510</v>
      </c>
      <c r="E148" s="758" t="s">
        <v>553</v>
      </c>
      <c r="F148" s="758" t="s">
        <v>858</v>
      </c>
      <c r="G148" s="299">
        <v>40</v>
      </c>
      <c r="H148" s="299">
        <v>195</v>
      </c>
    </row>
    <row r="149" spans="1:8" x14ac:dyDescent="0.25">
      <c r="A149" s="758" t="s">
        <v>1532</v>
      </c>
      <c r="B149" s="758" t="s">
        <v>1533</v>
      </c>
      <c r="C149" s="758" t="s">
        <v>858</v>
      </c>
      <c r="D149" s="758" t="s">
        <v>510</v>
      </c>
      <c r="E149" s="758" t="s">
        <v>553</v>
      </c>
      <c r="F149" s="758" t="s">
        <v>858</v>
      </c>
      <c r="G149" s="299">
        <v>24</v>
      </c>
      <c r="H149" s="299">
        <v>84</v>
      </c>
    </row>
    <row r="150" spans="1:8" x14ac:dyDescent="0.25">
      <c r="A150" s="758" t="s">
        <v>775</v>
      </c>
      <c r="B150" s="758" t="s">
        <v>1537</v>
      </c>
      <c r="C150" s="758">
        <v>98.115809999999996</v>
      </c>
      <c r="D150" s="758" t="s">
        <v>510</v>
      </c>
      <c r="E150" s="758" t="s">
        <v>553</v>
      </c>
      <c r="F150" s="758" t="s">
        <v>858</v>
      </c>
      <c r="G150" s="299">
        <v>208</v>
      </c>
      <c r="H150" s="299">
        <v>952</v>
      </c>
    </row>
    <row r="151" spans="1:8" x14ac:dyDescent="0.25">
      <c r="A151" s="758" t="s">
        <v>1556</v>
      </c>
      <c r="B151" s="758" t="s">
        <v>1547</v>
      </c>
      <c r="C151" s="758">
        <v>97.430321000000006</v>
      </c>
      <c r="D151" s="758" t="s">
        <v>510</v>
      </c>
      <c r="E151" s="758" t="s">
        <v>553</v>
      </c>
      <c r="F151" s="758" t="s">
        <v>858</v>
      </c>
      <c r="G151" s="299">
        <v>62</v>
      </c>
      <c r="H151" s="299">
        <v>410</v>
      </c>
    </row>
    <row r="152" spans="1:8" x14ac:dyDescent="0.25">
      <c r="A152" s="758" t="s">
        <v>1568</v>
      </c>
      <c r="B152" s="758" t="s">
        <v>1565</v>
      </c>
      <c r="C152" s="758" t="s">
        <v>858</v>
      </c>
      <c r="D152" s="758" t="s">
        <v>512</v>
      </c>
      <c r="E152" s="758" t="s">
        <v>553</v>
      </c>
      <c r="F152" s="758" t="s">
        <v>459</v>
      </c>
      <c r="G152" s="299">
        <v>402</v>
      </c>
      <c r="H152" s="299">
        <v>1816</v>
      </c>
    </row>
    <row r="153" spans="1:8" x14ac:dyDescent="0.25">
      <c r="A153" s="758" t="s">
        <v>1710</v>
      </c>
      <c r="B153" s="758" t="s">
        <v>1698</v>
      </c>
      <c r="C153" s="758" t="s">
        <v>858</v>
      </c>
      <c r="D153" s="758" t="s">
        <v>510</v>
      </c>
      <c r="E153" s="758" t="s">
        <v>553</v>
      </c>
      <c r="F153" s="758" t="s">
        <v>459</v>
      </c>
      <c r="G153" s="299">
        <v>118</v>
      </c>
      <c r="H153" s="299">
        <v>617</v>
      </c>
    </row>
    <row r="154" spans="1:8" x14ac:dyDescent="0.25">
      <c r="A154" s="758" t="s">
        <v>1708</v>
      </c>
      <c r="B154" s="758" t="s">
        <v>1707</v>
      </c>
      <c r="C154" s="758">
        <v>97.400671000000003</v>
      </c>
      <c r="D154" s="758" t="s">
        <v>510</v>
      </c>
      <c r="E154" s="758" t="s">
        <v>553</v>
      </c>
      <c r="F154" s="758" t="s">
        <v>858</v>
      </c>
      <c r="G154" s="299">
        <v>35</v>
      </c>
      <c r="H154" s="299">
        <v>116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D23"/>
  <sheetViews>
    <sheetView topLeftCell="A3" workbookViewId="0">
      <selection activeCell="D14" sqref="D14"/>
    </sheetView>
  </sheetViews>
  <sheetFormatPr defaultRowHeight="15" x14ac:dyDescent="0.25"/>
  <cols>
    <col min="1" max="1" width="16.5703125" bestFit="1" customWidth="1"/>
    <col min="2" max="2" width="22.5703125" bestFit="1" customWidth="1"/>
    <col min="3" max="3" width="11.7109375" bestFit="1" customWidth="1"/>
    <col min="4" max="5" width="15.7109375" bestFit="1" customWidth="1"/>
    <col min="6" max="6" width="16.28515625" bestFit="1" customWidth="1"/>
    <col min="7" max="7" width="10.5703125" bestFit="1" customWidth="1"/>
  </cols>
  <sheetData>
    <row r="1" spans="1:4" hidden="1" x14ac:dyDescent="0.25">
      <c r="A1" s="305" t="s">
        <v>497</v>
      </c>
      <c r="B1" s="758" t="s">
        <v>499</v>
      </c>
    </row>
    <row r="2" spans="1:4" hidden="1" x14ac:dyDescent="0.25"/>
    <row r="3" spans="1:4" x14ac:dyDescent="0.25">
      <c r="A3" s="305" t="s">
        <v>402</v>
      </c>
      <c r="B3" s="305" t="s">
        <v>0</v>
      </c>
      <c r="C3" s="305" t="s">
        <v>509</v>
      </c>
      <c r="D3" s="305" t="s">
        <v>557</v>
      </c>
    </row>
    <row r="4" spans="1:4" x14ac:dyDescent="0.25">
      <c r="A4" s="758" t="s">
        <v>845</v>
      </c>
      <c r="B4" s="758" t="s">
        <v>5</v>
      </c>
      <c r="C4" s="758" t="s">
        <v>14</v>
      </c>
      <c r="D4" s="758" t="s">
        <v>13</v>
      </c>
    </row>
    <row r="5" spans="1:4" x14ac:dyDescent="0.25">
      <c r="C5" s="758" t="s">
        <v>18</v>
      </c>
      <c r="D5" s="758" t="s">
        <v>17</v>
      </c>
    </row>
    <row r="6" spans="1:4" x14ac:dyDescent="0.25">
      <c r="C6" s="758" t="s">
        <v>366</v>
      </c>
      <c r="D6" s="758" t="s">
        <v>376</v>
      </c>
    </row>
    <row r="7" spans="1:4" x14ac:dyDescent="0.25">
      <c r="C7" s="758" t="s">
        <v>22</v>
      </c>
      <c r="D7" s="758" t="s">
        <v>21</v>
      </c>
    </row>
    <row r="8" spans="1:4" x14ac:dyDescent="0.25">
      <c r="C8" s="758" t="s">
        <v>26</v>
      </c>
      <c r="D8" s="758" t="s">
        <v>25</v>
      </c>
    </row>
    <row r="9" spans="1:4" x14ac:dyDescent="0.25">
      <c r="B9" s="758" t="s">
        <v>146</v>
      </c>
      <c r="C9" s="758" t="s">
        <v>369</v>
      </c>
      <c r="D9" s="758" t="s">
        <v>383</v>
      </c>
    </row>
    <row r="10" spans="1:4" x14ac:dyDescent="0.25">
      <c r="C10" s="758" t="s">
        <v>370</v>
      </c>
      <c r="D10" s="758" t="s">
        <v>384</v>
      </c>
    </row>
    <row r="11" spans="1:4" x14ac:dyDescent="0.25">
      <c r="C11" s="758" t="s">
        <v>373</v>
      </c>
      <c r="D11" s="758" t="s">
        <v>387</v>
      </c>
    </row>
    <row r="12" spans="1:4" x14ac:dyDescent="0.25">
      <c r="B12" s="758" t="s">
        <v>151</v>
      </c>
      <c r="C12" s="758" t="s">
        <v>160</v>
      </c>
      <c r="D12" s="758" t="s">
        <v>159</v>
      </c>
    </row>
    <row r="13" spans="1:4" x14ac:dyDescent="0.25">
      <c r="C13" s="758" t="s">
        <v>152</v>
      </c>
      <c r="D13" s="758" t="s">
        <v>150</v>
      </c>
    </row>
    <row r="14" spans="1:4" x14ac:dyDescent="0.25">
      <c r="B14" s="758" t="s">
        <v>185</v>
      </c>
      <c r="C14" s="758" t="s">
        <v>202</v>
      </c>
      <c r="D14" s="758" t="s">
        <v>201</v>
      </c>
    </row>
    <row r="15" spans="1:4" x14ac:dyDescent="0.25">
      <c r="C15" s="758" t="s">
        <v>209</v>
      </c>
      <c r="D15" s="758" t="s">
        <v>208</v>
      </c>
    </row>
    <row r="16" spans="1:4" x14ac:dyDescent="0.25">
      <c r="B16" s="758" t="s">
        <v>230</v>
      </c>
      <c r="C16" s="758" t="s">
        <v>1049</v>
      </c>
      <c r="D16" s="758" t="s">
        <v>1050</v>
      </c>
    </row>
    <row r="17" spans="2:4" x14ac:dyDescent="0.25">
      <c r="C17" s="758" t="s">
        <v>1059</v>
      </c>
      <c r="D17" s="758" t="s">
        <v>1060</v>
      </c>
    </row>
    <row r="18" spans="2:4" x14ac:dyDescent="0.25">
      <c r="C18" s="758" t="s">
        <v>361</v>
      </c>
      <c r="D18" s="758" t="s">
        <v>836</v>
      </c>
    </row>
    <row r="19" spans="2:4" x14ac:dyDescent="0.25">
      <c r="B19" s="758" t="s">
        <v>289</v>
      </c>
      <c r="C19" s="758" t="s">
        <v>1051</v>
      </c>
      <c r="D19" s="758" t="s">
        <v>1052</v>
      </c>
    </row>
    <row r="20" spans="2:4" x14ac:dyDescent="0.25">
      <c r="C20" s="758" t="s">
        <v>1063</v>
      </c>
      <c r="D20" s="758" t="s">
        <v>1056</v>
      </c>
    </row>
    <row r="21" spans="2:4" x14ac:dyDescent="0.25">
      <c r="B21" s="758" t="s">
        <v>302</v>
      </c>
      <c r="C21" s="758" t="s">
        <v>306</v>
      </c>
      <c r="D21" s="758" t="s">
        <v>305</v>
      </c>
    </row>
    <row r="22" spans="2:4" x14ac:dyDescent="0.25">
      <c r="B22" s="758" t="s">
        <v>310</v>
      </c>
      <c r="C22" s="758" t="s">
        <v>353</v>
      </c>
      <c r="D22" s="758" t="s">
        <v>352</v>
      </c>
    </row>
    <row r="23" spans="2:4" x14ac:dyDescent="0.25">
      <c r="B23" s="758" t="s">
        <v>778</v>
      </c>
      <c r="C23" s="758" t="s">
        <v>1262</v>
      </c>
      <c r="D23" s="758" t="s">
        <v>1246</v>
      </c>
    </row>
  </sheetData>
  <pageMargins left="0.25" right="0.25" top="0.75" bottom="0.75" header="0.3" footer="0.3"/>
  <pageSetup paperSize="9" orientation="landscape"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tabColor rgb="FFFFC800"/>
    <pageSetUpPr fitToPage="1"/>
  </sheetPr>
  <dimension ref="A1:DH54"/>
  <sheetViews>
    <sheetView zoomScale="50" zoomScaleNormal="50" zoomScalePageLayoutView="50" workbookViewId="0">
      <selection activeCell="U34" sqref="U34"/>
    </sheetView>
  </sheetViews>
  <sheetFormatPr defaultColWidth="9.140625" defaultRowHeight="12" customHeight="1" x14ac:dyDescent="0.35"/>
  <cols>
    <col min="1" max="1" width="12.7109375" style="4" customWidth="1"/>
    <col min="2" max="2" width="12.28515625" style="4" customWidth="1"/>
    <col min="3" max="4" width="8.5703125" style="4" customWidth="1"/>
    <col min="5" max="5" width="9.42578125" style="4" customWidth="1"/>
    <col min="6" max="6" width="9.85546875" style="4" customWidth="1"/>
    <col min="7" max="7" width="8.140625" style="4" customWidth="1"/>
    <col min="8" max="8" width="8.42578125" style="4" customWidth="1"/>
    <col min="9" max="10" width="7.140625" style="4" customWidth="1"/>
    <col min="11" max="11" width="10.42578125" style="4" bestFit="1" customWidth="1"/>
    <col min="12" max="12" width="5.5703125" style="4" bestFit="1" customWidth="1"/>
    <col min="13" max="18" width="4.28515625" style="4" customWidth="1"/>
    <col min="19" max="19" width="39.28515625" style="4" customWidth="1"/>
    <col min="20" max="20" width="27.5703125" style="112" customWidth="1"/>
    <col min="21" max="21" width="19.28515625" style="112" customWidth="1"/>
    <col min="22" max="23" width="9.28515625" style="112" customWidth="1"/>
    <col min="24" max="24" width="15" style="112" customWidth="1"/>
    <col min="25" max="25" width="15.5703125" style="112" customWidth="1"/>
    <col min="26" max="26" width="17.28515625" style="112" customWidth="1"/>
    <col min="27" max="27" width="24.7109375" style="112" customWidth="1"/>
    <col min="28" max="30" width="9.28515625" style="112" customWidth="1"/>
    <col min="31" max="31" width="11.28515625" style="112" customWidth="1"/>
    <col min="32" max="32" width="12.140625" style="112" customWidth="1"/>
    <col min="33" max="33" width="13" style="112" customWidth="1"/>
    <col min="34" max="97" width="14.42578125" style="4" customWidth="1"/>
    <col min="98" max="109" width="14.42578125" style="15" customWidth="1"/>
    <col min="110" max="110" width="12.7109375" style="15" customWidth="1"/>
    <col min="111" max="111" width="9.140625" style="15"/>
    <col min="112" max="112" width="11.42578125" style="15" customWidth="1"/>
    <col min="113" max="113" width="6.140625" style="4" customWidth="1"/>
    <col min="114" max="114" width="5.85546875" style="4" customWidth="1"/>
    <col min="115" max="16384" width="9.140625" style="4"/>
  </cols>
  <sheetData>
    <row r="1" spans="15:112" ht="18.75" customHeight="1" thickBot="1" x14ac:dyDescent="0.4">
      <c r="O1" s="15"/>
      <c r="P1" s="15"/>
      <c r="S1" s="15">
        <v>23.5</v>
      </c>
      <c r="T1" s="108" t="s">
        <v>553</v>
      </c>
      <c r="U1" s="109"/>
      <c r="V1" s="109"/>
      <c r="W1" s="109"/>
      <c r="X1" s="109"/>
      <c r="Y1" s="109"/>
      <c r="Z1" s="109"/>
      <c r="AA1" s="110" t="s">
        <v>446</v>
      </c>
      <c r="AB1" s="108" t="s">
        <v>447</v>
      </c>
      <c r="AC1" s="109"/>
      <c r="AD1" s="111"/>
      <c r="CT1" s="4"/>
      <c r="CU1" s="4"/>
      <c r="CV1" s="4"/>
      <c r="CW1" s="4"/>
      <c r="CX1" s="4"/>
      <c r="CY1" s="4"/>
      <c r="CZ1" s="4"/>
      <c r="DA1" s="4"/>
      <c r="DB1" s="4"/>
      <c r="DC1" s="4"/>
      <c r="DD1" s="4"/>
      <c r="DE1" s="4"/>
      <c r="DF1" s="4"/>
      <c r="DG1" s="4"/>
      <c r="DH1" s="4"/>
    </row>
    <row r="2" spans="15:112" ht="18.75" customHeight="1" x14ac:dyDescent="0.35">
      <c r="O2" s="15"/>
      <c r="P2" s="15"/>
      <c r="S2" s="15">
        <v>96.5</v>
      </c>
      <c r="T2" s="113" t="s">
        <v>557</v>
      </c>
      <c r="U2" s="114" t="s">
        <v>0</v>
      </c>
      <c r="V2" s="114" t="s">
        <v>559</v>
      </c>
      <c r="W2" s="115" t="s">
        <v>558</v>
      </c>
      <c r="X2" s="113" t="s">
        <v>562</v>
      </c>
      <c r="Y2" s="114" t="s">
        <v>563</v>
      </c>
      <c r="Z2" s="116" t="s">
        <v>574</v>
      </c>
      <c r="AA2" s="117" t="s">
        <v>440</v>
      </c>
      <c r="AB2" s="118" t="s">
        <v>554</v>
      </c>
      <c r="AC2" s="114" t="s">
        <v>555</v>
      </c>
      <c r="AD2" s="116" t="s">
        <v>556</v>
      </c>
      <c r="AE2" s="119" t="s">
        <v>560</v>
      </c>
      <c r="AF2" s="120" t="s">
        <v>561</v>
      </c>
      <c r="AG2" s="121" t="s">
        <v>564</v>
      </c>
      <c r="CT2" s="4"/>
      <c r="CU2" s="4"/>
      <c r="CV2" s="4"/>
      <c r="CW2" s="4"/>
      <c r="CX2" s="4"/>
      <c r="CY2" s="4"/>
      <c r="CZ2" s="4"/>
      <c r="DA2" s="4"/>
      <c r="DB2" s="4"/>
      <c r="DC2" s="4"/>
      <c r="DD2" s="4"/>
      <c r="DE2" s="4"/>
      <c r="DF2" s="4"/>
      <c r="DG2" s="4"/>
      <c r="DH2" s="4"/>
    </row>
    <row r="3" spans="15:112" ht="18.75" customHeight="1" x14ac:dyDescent="0.35">
      <c r="O3" s="15"/>
      <c r="P3" s="15"/>
      <c r="S3" s="15">
        <v>600</v>
      </c>
      <c r="T3" s="122" t="s">
        <v>529</v>
      </c>
      <c r="U3" s="123" t="s">
        <v>5</v>
      </c>
      <c r="V3" s="122">
        <v>97.12</v>
      </c>
      <c r="W3" s="123">
        <v>24.3</v>
      </c>
      <c r="X3" s="123">
        <f>'CCCM Dashboard'!C16</f>
        <v>1494</v>
      </c>
      <c r="Y3" s="124">
        <f>'CCCM Dashboard'!D16</f>
        <v>8403</v>
      </c>
      <c r="Z3" s="125" t="str">
        <f t="shared" ref="Z3:Z25" si="0">CONCATENATE(AG2," cp",IF(AG2&gt;1,"s",""))</f>
        <v>Column1 cps</v>
      </c>
      <c r="AA3" s="468">
        <f>'Shelter Progress'!N7</f>
        <v>0.71781033153430995</v>
      </c>
      <c r="AB3" s="126">
        <v>0</v>
      </c>
      <c r="AC3" s="126">
        <v>0</v>
      </c>
      <c r="AD3" s="126">
        <v>0</v>
      </c>
      <c r="AE3" s="127">
        <f>$S$3-ROUND((W3-$S$1)*$S$5,0)</f>
        <v>496</v>
      </c>
      <c r="AF3" s="128">
        <f t="shared" ref="AF3:AF25" si="1">ROUND((V3-$S$2)*$S$5,0)+$S$4</f>
        <v>181</v>
      </c>
      <c r="AG3" s="129">
        <f>'CCCM Dashboard'!E16</f>
        <v>11</v>
      </c>
      <c r="CT3" s="4"/>
      <c r="CU3" s="4"/>
      <c r="CV3" s="4"/>
      <c r="CW3" s="4"/>
      <c r="CX3" s="4"/>
      <c r="CY3" s="4"/>
      <c r="CZ3" s="4"/>
      <c r="DA3" s="4"/>
      <c r="DB3" s="4"/>
      <c r="DC3" s="4"/>
      <c r="DD3" s="4"/>
      <c r="DE3" s="4"/>
      <c r="DF3" s="4"/>
      <c r="DG3" s="4"/>
      <c r="DH3" s="4"/>
    </row>
    <row r="4" spans="15:112" ht="18.75" customHeight="1" x14ac:dyDescent="0.35">
      <c r="O4" s="15"/>
      <c r="P4" s="15"/>
      <c r="S4" s="15">
        <v>100</v>
      </c>
      <c r="T4" s="130" t="s">
        <v>533</v>
      </c>
      <c r="U4" s="123" t="s">
        <v>27</v>
      </c>
      <c r="V4" s="130">
        <v>98.322799999999987</v>
      </c>
      <c r="W4" s="123">
        <v>25.917999999999999</v>
      </c>
      <c r="X4" s="123">
        <f>'CCCM Dashboard'!C17</f>
        <v>498</v>
      </c>
      <c r="Y4" s="124">
        <f>'CCCM Dashboard'!D17</f>
        <v>2556</v>
      </c>
      <c r="Z4" s="125" t="str">
        <f t="shared" si="0"/>
        <v>11 cps</v>
      </c>
      <c r="AA4" s="468">
        <f>'Shelter Progress'!N8</f>
        <v>0.36144578313253012</v>
      </c>
      <c r="AB4" s="126">
        <v>1</v>
      </c>
      <c r="AC4" s="126">
        <v>0</v>
      </c>
      <c r="AD4" s="126">
        <v>0.95387840670859536</v>
      </c>
      <c r="AE4" s="127">
        <f t="shared" ref="AE4:AE25" si="2">$S$3-ROUND((W4-$S$1)*$S$5,0)</f>
        <v>286</v>
      </c>
      <c r="AF4" s="128">
        <f t="shared" si="1"/>
        <v>337</v>
      </c>
      <c r="AG4" s="129">
        <f>'CCCM Dashboard'!E17</f>
        <v>5</v>
      </c>
      <c r="CT4" s="4"/>
      <c r="CU4" s="4"/>
      <c r="CV4" s="4"/>
      <c r="CW4" s="4"/>
      <c r="CX4" s="4"/>
      <c r="CY4" s="4"/>
      <c r="CZ4" s="4"/>
      <c r="DA4" s="4"/>
      <c r="DB4" s="4"/>
      <c r="DC4" s="4"/>
      <c r="DD4" s="4"/>
      <c r="DE4" s="4"/>
      <c r="DF4" s="4"/>
      <c r="DG4" s="4"/>
      <c r="DH4" s="4"/>
    </row>
    <row r="5" spans="15:112" ht="18.75" customHeight="1" x14ac:dyDescent="0.35">
      <c r="O5" s="15"/>
      <c r="P5" s="15"/>
      <c r="S5" s="15">
        <v>130</v>
      </c>
      <c r="T5" s="122" t="s">
        <v>527</v>
      </c>
      <c r="U5" s="123" t="s">
        <v>526</v>
      </c>
      <c r="V5" s="122">
        <v>96.373750000000001</v>
      </c>
      <c r="W5" s="123">
        <v>25.9</v>
      </c>
      <c r="X5" s="123">
        <f>'CCCM Dashboard'!C18</f>
        <v>719</v>
      </c>
      <c r="Y5" s="124">
        <f>'CCCM Dashboard'!D18</f>
        <v>3537</v>
      </c>
      <c r="Z5" s="125" t="str">
        <f t="shared" si="0"/>
        <v>5 cps</v>
      </c>
      <c r="AA5" s="468">
        <f>'Shelter Progress'!N9</f>
        <v>0.46592489568845619</v>
      </c>
      <c r="AB5" s="126">
        <v>0.69172932330827064</v>
      </c>
      <c r="AC5" s="126">
        <v>0</v>
      </c>
      <c r="AD5" s="126">
        <v>1</v>
      </c>
      <c r="AE5" s="127">
        <f t="shared" si="2"/>
        <v>288</v>
      </c>
      <c r="AF5" s="128">
        <f t="shared" si="1"/>
        <v>84</v>
      </c>
      <c r="AG5" s="129">
        <f>'CCCM Dashboard'!E18</f>
        <v>22</v>
      </c>
      <c r="CT5" s="4"/>
      <c r="CU5" s="4"/>
      <c r="CV5" s="4"/>
      <c r="CW5" s="4"/>
      <c r="CX5" s="4"/>
      <c r="CY5" s="4"/>
      <c r="CZ5" s="4"/>
      <c r="DA5" s="4"/>
      <c r="DB5" s="4"/>
      <c r="DC5" s="4"/>
      <c r="DD5" s="4"/>
      <c r="DE5" s="4"/>
      <c r="DF5" s="4"/>
      <c r="DG5" s="4"/>
      <c r="DH5" s="4"/>
    </row>
    <row r="6" spans="15:112" ht="18.75" customHeight="1" x14ac:dyDescent="0.35">
      <c r="O6" s="15"/>
      <c r="P6" s="15"/>
      <c r="T6" s="130" t="s">
        <v>779</v>
      </c>
      <c r="U6" s="123" t="s">
        <v>778</v>
      </c>
      <c r="V6" s="131">
        <v>98.1</v>
      </c>
      <c r="W6" s="132">
        <v>23.28</v>
      </c>
      <c r="X6" s="123">
        <f>'CCCM Dashboard'!C34</f>
        <v>101</v>
      </c>
      <c r="Y6" s="124">
        <f>'CCCM Dashboard'!D34</f>
        <v>577</v>
      </c>
      <c r="Z6" s="125" t="str">
        <f t="shared" si="0"/>
        <v>22 cps</v>
      </c>
      <c r="AA6" s="468">
        <f>'Shelter Progress'!N10</f>
        <v>1</v>
      </c>
      <c r="AB6" s="126"/>
      <c r="AC6" s="126"/>
      <c r="AD6" s="126"/>
      <c r="AE6" s="127">
        <f t="shared" si="2"/>
        <v>629</v>
      </c>
      <c r="AF6" s="128">
        <f t="shared" si="1"/>
        <v>308</v>
      </c>
      <c r="AG6" s="129">
        <f>'CCCM Dashboard'!E34</f>
        <v>2</v>
      </c>
      <c r="AI6" s="15"/>
      <c r="CT6" s="4"/>
      <c r="CU6" s="4"/>
      <c r="CV6" s="4"/>
      <c r="CW6" s="4"/>
      <c r="CX6" s="4"/>
      <c r="CY6" s="4"/>
      <c r="CZ6" s="4"/>
      <c r="DA6" s="4"/>
      <c r="DB6" s="4"/>
      <c r="DC6" s="4"/>
      <c r="DD6" s="4"/>
      <c r="DE6" s="4"/>
      <c r="DF6" s="4"/>
      <c r="DG6" s="4"/>
      <c r="DH6" s="4"/>
    </row>
    <row r="7" spans="15:112" ht="18.75" customHeight="1" x14ac:dyDescent="0.35">
      <c r="O7" s="304"/>
      <c r="P7" s="304"/>
      <c r="T7" s="732" t="s">
        <v>1482</v>
      </c>
      <c r="U7" s="733" t="s">
        <v>1481</v>
      </c>
      <c r="V7" s="734">
        <v>97.298102999999998</v>
      </c>
      <c r="W7" s="735">
        <v>22.618938</v>
      </c>
      <c r="X7" s="733">
        <f>'CCCM Dashboard'!C39</f>
        <v>37</v>
      </c>
      <c r="Y7" s="736">
        <f>'CCCM Dashboard'!D39</f>
        <v>120</v>
      </c>
      <c r="Z7" s="737" t="str">
        <f t="shared" si="0"/>
        <v>2 cps</v>
      </c>
      <c r="AA7" s="468">
        <f>'Shelter Progress'!N11</f>
        <v>0</v>
      </c>
      <c r="AB7" s="738"/>
      <c r="AC7" s="738"/>
      <c r="AD7" s="738"/>
      <c r="AE7" s="739">
        <f>$S$3-ROUND((W7-$S$1)*$S$5,0)</f>
        <v>715</v>
      </c>
      <c r="AF7" s="740">
        <f>ROUND((V7-$S$2)*$S$5,0)+$S$4</f>
        <v>204</v>
      </c>
      <c r="AG7" s="741">
        <f>'CCCM Dashboard'!E39</f>
        <v>1</v>
      </c>
      <c r="AI7" s="304"/>
      <c r="CT7" s="4"/>
      <c r="CU7" s="4"/>
      <c r="CV7" s="4"/>
      <c r="CW7" s="4"/>
      <c r="CX7" s="4"/>
      <c r="CY7" s="4"/>
      <c r="CZ7" s="4"/>
      <c r="DA7" s="4"/>
      <c r="DB7" s="4"/>
      <c r="DC7" s="4"/>
      <c r="DD7" s="4"/>
      <c r="DE7" s="4"/>
      <c r="DF7" s="4"/>
      <c r="DG7" s="4"/>
      <c r="DH7" s="4"/>
    </row>
    <row r="8" spans="15:112" ht="18.75" customHeight="1" x14ac:dyDescent="0.35">
      <c r="O8" s="15"/>
      <c r="P8" s="15"/>
      <c r="T8" s="130" t="s">
        <v>547</v>
      </c>
      <c r="U8" s="123" t="s">
        <v>363</v>
      </c>
      <c r="V8" s="130">
        <v>97.89587301587305</v>
      </c>
      <c r="W8" s="123">
        <v>26.232698412698419</v>
      </c>
      <c r="X8" s="123">
        <f>'CCCM Dashboard'!C19</f>
        <v>0</v>
      </c>
      <c r="Y8" s="124">
        <f>'CCCM Dashboard'!D19</f>
        <v>0</v>
      </c>
      <c r="Z8" s="125" t="str">
        <f t="shared" si="0"/>
        <v>1 cp</v>
      </c>
      <c r="AA8" s="468">
        <f>'Shelter Progress'!N12</f>
        <v>0</v>
      </c>
      <c r="AB8" s="126">
        <v>0</v>
      </c>
      <c r="AC8" s="126">
        <v>0</v>
      </c>
      <c r="AD8" s="126">
        <v>0</v>
      </c>
      <c r="AE8" s="127">
        <f>$S$3-ROUND((W8-$S$1)*$S$5,0)</f>
        <v>245</v>
      </c>
      <c r="AF8" s="128">
        <f t="shared" si="1"/>
        <v>281</v>
      </c>
      <c r="AG8" s="129">
        <f>'CCCM Dashboard'!E19</f>
        <v>0</v>
      </c>
      <c r="CT8" s="4"/>
      <c r="CU8" s="4"/>
      <c r="CV8" s="4"/>
      <c r="CW8" s="4"/>
      <c r="CX8" s="4"/>
      <c r="CY8" s="4"/>
      <c r="CZ8" s="4"/>
      <c r="DA8" s="4"/>
      <c r="DB8" s="4"/>
      <c r="DC8" s="4"/>
      <c r="DD8" s="4"/>
      <c r="DE8" s="4"/>
      <c r="DF8" s="4"/>
      <c r="DG8" s="4"/>
      <c r="DH8" s="4"/>
    </row>
    <row r="9" spans="15:112" ht="18.75" customHeight="1" x14ac:dyDescent="0.35">
      <c r="O9" s="15"/>
      <c r="P9" s="15"/>
      <c r="T9" s="122" t="s">
        <v>546</v>
      </c>
      <c r="U9" s="123" t="s">
        <v>144</v>
      </c>
      <c r="V9" s="122">
        <v>98.438571428571422</v>
      </c>
      <c r="W9" s="123">
        <v>27.1</v>
      </c>
      <c r="X9" s="123">
        <f>'CCCM Dashboard'!C20</f>
        <v>0</v>
      </c>
      <c r="Y9" s="124">
        <f>'CCCM Dashboard'!D20</f>
        <v>0</v>
      </c>
      <c r="Z9" s="125" t="str">
        <f t="shared" si="0"/>
        <v>0 cp</v>
      </c>
      <c r="AA9" s="468">
        <f>'Shelter Progress'!N13</f>
        <v>0</v>
      </c>
      <c r="AB9" s="126">
        <v>0</v>
      </c>
      <c r="AC9" s="126">
        <v>0</v>
      </c>
      <c r="AD9" s="126">
        <v>0</v>
      </c>
      <c r="AE9" s="127">
        <f t="shared" si="2"/>
        <v>132</v>
      </c>
      <c r="AF9" s="128">
        <f>ROUND((V9-$S$2)*$S$5,0)+$S$4</f>
        <v>352</v>
      </c>
      <c r="AG9" s="129">
        <f>'CCCM Dashboard'!E20</f>
        <v>0</v>
      </c>
      <c r="CT9" s="4"/>
      <c r="CU9" s="4"/>
      <c r="CV9" s="4"/>
      <c r="CW9" s="4"/>
      <c r="CX9" s="4"/>
      <c r="CY9" s="4"/>
      <c r="CZ9" s="4"/>
      <c r="DA9" s="4"/>
      <c r="DB9" s="4"/>
      <c r="DC9" s="4"/>
      <c r="DD9" s="4"/>
      <c r="DE9" s="4"/>
      <c r="DF9" s="4"/>
      <c r="DG9" s="4"/>
      <c r="DH9" s="4"/>
    </row>
    <row r="10" spans="15:112" ht="18.75" customHeight="1" x14ac:dyDescent="0.35">
      <c r="O10" s="15"/>
      <c r="P10" s="15"/>
      <c r="T10" s="130" t="s">
        <v>543</v>
      </c>
      <c r="U10" s="123" t="s">
        <v>146</v>
      </c>
      <c r="V10" s="130">
        <v>98.1</v>
      </c>
      <c r="W10" s="123">
        <v>23.553031914893619</v>
      </c>
      <c r="X10" s="123">
        <f>'CCCM Dashboard'!C35</f>
        <v>854</v>
      </c>
      <c r="Y10" s="124">
        <f>'CCCM Dashboard'!D35</f>
        <v>4142</v>
      </c>
      <c r="Z10" s="125" t="str">
        <f t="shared" si="0"/>
        <v>0 cp</v>
      </c>
      <c r="AA10" s="468">
        <f>'Shelter Progress'!N14</f>
        <v>0.33021077283372363</v>
      </c>
      <c r="AB10" s="126">
        <v>0</v>
      </c>
      <c r="AC10" s="126">
        <v>0</v>
      </c>
      <c r="AD10" s="126">
        <v>1</v>
      </c>
      <c r="AE10" s="127">
        <f>$S$3-ROUND((W10-$S$1)*$S$5,0)</f>
        <v>593</v>
      </c>
      <c r="AF10" s="128">
        <f t="shared" si="1"/>
        <v>308</v>
      </c>
      <c r="AG10" s="129">
        <f>'CCCM Dashboard'!E35</f>
        <v>13</v>
      </c>
      <c r="CT10" s="4"/>
      <c r="CU10" s="4"/>
      <c r="CV10" s="4"/>
      <c r="CW10" s="4"/>
      <c r="CX10" s="4"/>
      <c r="CY10" s="4"/>
      <c r="CZ10" s="4"/>
      <c r="DA10" s="4"/>
      <c r="DB10" s="4"/>
      <c r="DC10" s="4"/>
      <c r="DD10" s="4"/>
      <c r="DE10" s="4"/>
      <c r="DF10" s="4"/>
      <c r="DG10" s="4"/>
      <c r="DH10" s="4"/>
    </row>
    <row r="11" spans="15:112" ht="18.75" customHeight="1" x14ac:dyDescent="0.35">
      <c r="O11" s="15"/>
      <c r="P11" s="15"/>
      <c r="T11" s="130" t="s">
        <v>892</v>
      </c>
      <c r="U11" s="123" t="s">
        <v>891</v>
      </c>
      <c r="V11" s="131">
        <v>97.88</v>
      </c>
      <c r="W11" s="132">
        <v>27.2</v>
      </c>
      <c r="X11" s="123">
        <f>'CCCM Dashboard'!C21</f>
        <v>0</v>
      </c>
      <c r="Y11" s="124">
        <f>'CCCM Dashboard'!D21</f>
        <v>0</v>
      </c>
      <c r="Z11" s="125" t="str">
        <f t="shared" si="0"/>
        <v>13 cps</v>
      </c>
      <c r="AA11" s="468">
        <f>'Shelter Progress'!N15</f>
        <v>0</v>
      </c>
      <c r="AB11" s="126"/>
      <c r="AC11" s="126"/>
      <c r="AD11" s="126"/>
      <c r="AE11" s="127">
        <f>$S$3-ROUND((W11-$S$1)*$S$5,0)</f>
        <v>119</v>
      </c>
      <c r="AF11" s="128">
        <f t="shared" si="1"/>
        <v>279</v>
      </c>
      <c r="AG11" s="129">
        <f>'CCCM Dashboard'!E21</f>
        <v>0</v>
      </c>
      <c r="CT11" s="4"/>
      <c r="CU11" s="4"/>
      <c r="CV11" s="4"/>
      <c r="CW11" s="4"/>
      <c r="CX11" s="4"/>
      <c r="CY11" s="4"/>
      <c r="CZ11" s="4"/>
      <c r="DA11" s="4"/>
      <c r="DB11" s="4"/>
      <c r="DC11" s="4"/>
      <c r="DD11" s="4"/>
      <c r="DE11" s="4"/>
      <c r="DF11" s="4"/>
      <c r="DG11" s="4"/>
      <c r="DH11" s="4"/>
    </row>
    <row r="12" spans="15:112" ht="18.75" customHeight="1" x14ac:dyDescent="0.35">
      <c r="O12" s="15"/>
      <c r="P12" s="15"/>
      <c r="T12" s="122" t="s">
        <v>538</v>
      </c>
      <c r="U12" s="123" t="s">
        <v>151</v>
      </c>
      <c r="V12" s="122">
        <v>97.372845528455244</v>
      </c>
      <c r="W12" s="123">
        <v>24</v>
      </c>
      <c r="X12" s="123">
        <f>'CCCM Dashboard'!C22</f>
        <v>2761</v>
      </c>
      <c r="Y12" s="124">
        <f>'CCCM Dashboard'!D22</f>
        <v>13069</v>
      </c>
      <c r="Z12" s="125" t="str">
        <f t="shared" si="0"/>
        <v>0 cp</v>
      </c>
      <c r="AA12" s="468">
        <f>'Shelter Progress'!N16</f>
        <v>0.58177477118981302</v>
      </c>
      <c r="AB12" s="126">
        <v>0</v>
      </c>
      <c r="AC12" s="126">
        <v>0</v>
      </c>
      <c r="AD12" s="126">
        <v>0</v>
      </c>
      <c r="AE12" s="127">
        <f t="shared" si="2"/>
        <v>535</v>
      </c>
      <c r="AF12" s="128">
        <f t="shared" si="1"/>
        <v>213</v>
      </c>
      <c r="AG12" s="129">
        <f>'CCCM Dashboard'!E22</f>
        <v>11</v>
      </c>
      <c r="CT12" s="4"/>
      <c r="CU12" s="4"/>
      <c r="CV12" s="4"/>
      <c r="CW12" s="4"/>
      <c r="CX12" s="4"/>
      <c r="CY12" s="4"/>
      <c r="CZ12" s="4"/>
      <c r="DA12" s="4"/>
      <c r="DB12" s="4"/>
      <c r="DC12" s="4"/>
      <c r="DD12" s="4"/>
      <c r="DE12" s="4"/>
      <c r="DF12" s="4"/>
      <c r="DG12" s="4"/>
      <c r="DH12" s="4"/>
    </row>
    <row r="13" spans="15:112" ht="18.75" customHeight="1" x14ac:dyDescent="0.35">
      <c r="O13" s="15"/>
      <c r="P13" s="15"/>
      <c r="T13" s="130" t="s">
        <v>542</v>
      </c>
      <c r="U13" s="123" t="s">
        <v>166</v>
      </c>
      <c r="V13" s="130">
        <v>97.266347826086943</v>
      </c>
      <c r="W13" s="123">
        <v>23.345826086956535</v>
      </c>
      <c r="X13" s="123">
        <f>'CCCM Dashboard'!C36</f>
        <v>100</v>
      </c>
      <c r="Y13" s="124">
        <f>'CCCM Dashboard'!D36</f>
        <v>544</v>
      </c>
      <c r="Z13" s="125" t="str">
        <f t="shared" si="0"/>
        <v>11 cps</v>
      </c>
      <c r="AA13" s="468">
        <f>'Shelter Progress'!N17</f>
        <v>0.64</v>
      </c>
      <c r="AB13" s="126">
        <v>0</v>
      </c>
      <c r="AC13" s="126">
        <v>0</v>
      </c>
      <c r="AD13" s="126">
        <v>0</v>
      </c>
      <c r="AE13" s="127">
        <f>$S$3-ROUND((W13-$S$1)*$S$5,0)</f>
        <v>620</v>
      </c>
      <c r="AF13" s="128">
        <f t="shared" si="1"/>
        <v>200</v>
      </c>
      <c r="AG13" s="129">
        <f>'CCCM Dashboard'!E36</f>
        <v>3</v>
      </c>
      <c r="CT13" s="4"/>
      <c r="CU13" s="4"/>
      <c r="CV13" s="4"/>
      <c r="CW13" s="4"/>
      <c r="CX13" s="4"/>
      <c r="CY13" s="4"/>
      <c r="CZ13" s="4"/>
      <c r="DA13" s="4"/>
      <c r="DB13" s="4"/>
      <c r="DC13" s="4"/>
      <c r="DD13" s="4"/>
      <c r="DE13" s="4"/>
      <c r="DF13" s="4"/>
      <c r="DG13" s="4"/>
      <c r="DH13" s="4"/>
    </row>
    <row r="14" spans="15:112" ht="18.75" customHeight="1" x14ac:dyDescent="0.35">
      <c r="O14" s="15"/>
      <c r="P14" s="15"/>
      <c r="T14" s="122" t="s">
        <v>544</v>
      </c>
      <c r="U14" s="123" t="s">
        <v>173</v>
      </c>
      <c r="V14" s="122">
        <v>96.9</v>
      </c>
      <c r="W14" s="123">
        <v>25.4</v>
      </c>
      <c r="X14" s="123">
        <f>'CCCM Dashboard'!C23</f>
        <v>75</v>
      </c>
      <c r="Y14" s="124">
        <f>'CCCM Dashboard'!D23</f>
        <v>350</v>
      </c>
      <c r="Z14" s="125" t="str">
        <f t="shared" si="0"/>
        <v>3 cps</v>
      </c>
      <c r="AA14" s="468">
        <f>'Shelter Progress'!N18</f>
        <v>0.84</v>
      </c>
      <c r="AB14" s="126">
        <v>0</v>
      </c>
      <c r="AC14" s="126">
        <v>0</v>
      </c>
      <c r="AD14" s="126">
        <v>0</v>
      </c>
      <c r="AE14" s="127">
        <f t="shared" si="2"/>
        <v>353</v>
      </c>
      <c r="AF14" s="128">
        <f t="shared" si="1"/>
        <v>152</v>
      </c>
      <c r="AG14" s="129">
        <f>'CCCM Dashboard'!E23</f>
        <v>5</v>
      </c>
      <c r="CT14" s="4"/>
      <c r="CU14" s="4"/>
      <c r="CV14" s="4"/>
      <c r="CW14" s="4"/>
      <c r="CX14" s="4"/>
      <c r="CY14" s="4"/>
      <c r="CZ14" s="4"/>
      <c r="DA14" s="4"/>
      <c r="DB14" s="4"/>
      <c r="DC14" s="4"/>
      <c r="DD14" s="4"/>
      <c r="DE14" s="4"/>
      <c r="DF14" s="4"/>
      <c r="DG14" s="4"/>
      <c r="DH14" s="4"/>
    </row>
    <row r="15" spans="15:112" ht="18.75" customHeight="1" x14ac:dyDescent="0.35">
      <c r="O15" s="15"/>
      <c r="P15" s="15"/>
      <c r="T15" s="130" t="s">
        <v>550</v>
      </c>
      <c r="U15" s="123" t="s">
        <v>180</v>
      </c>
      <c r="V15" s="130">
        <v>96.376558441558373</v>
      </c>
      <c r="W15" s="123">
        <v>24.957077922077939</v>
      </c>
      <c r="X15" s="123">
        <f>'CCCM Dashboard'!C24</f>
        <v>70</v>
      </c>
      <c r="Y15" s="124">
        <f>'CCCM Dashboard'!D24</f>
        <v>336</v>
      </c>
      <c r="Z15" s="125" t="str">
        <f t="shared" si="0"/>
        <v>5 cps</v>
      </c>
      <c r="AA15" s="468">
        <f>'Shelter Progress'!N19</f>
        <v>1</v>
      </c>
      <c r="AB15" s="126">
        <v>1</v>
      </c>
      <c r="AC15" s="126">
        <v>0</v>
      </c>
      <c r="AD15" s="126">
        <v>0</v>
      </c>
      <c r="AE15" s="127">
        <f t="shared" si="2"/>
        <v>411</v>
      </c>
      <c r="AF15" s="128">
        <f t="shared" si="1"/>
        <v>84</v>
      </c>
      <c r="AG15" s="129">
        <f>'CCCM Dashboard'!E24</f>
        <v>4</v>
      </c>
      <c r="CT15" s="4"/>
      <c r="CU15" s="4"/>
      <c r="CV15" s="4"/>
      <c r="CW15" s="4"/>
      <c r="CX15" s="4"/>
      <c r="CY15" s="4"/>
      <c r="CZ15" s="4"/>
      <c r="DA15" s="4"/>
      <c r="DB15" s="4"/>
      <c r="DC15" s="4"/>
      <c r="DD15" s="4"/>
      <c r="DE15" s="4"/>
      <c r="DF15" s="4"/>
      <c r="DG15" s="4"/>
      <c r="DH15" s="4"/>
    </row>
    <row r="16" spans="15:112" ht="18.75" customHeight="1" x14ac:dyDescent="0.35">
      <c r="O16" s="15"/>
      <c r="P16" s="15"/>
      <c r="T16" s="122" t="s">
        <v>532</v>
      </c>
      <c r="U16" s="123" t="s">
        <v>185</v>
      </c>
      <c r="V16" s="122">
        <v>97.449510489510473</v>
      </c>
      <c r="W16" s="123">
        <v>24.6</v>
      </c>
      <c r="X16" s="123">
        <f>'CCCM Dashboard'!C25</f>
        <v>4674</v>
      </c>
      <c r="Y16" s="124">
        <f>'CCCM Dashboard'!D25</f>
        <v>24309</v>
      </c>
      <c r="Z16" s="125" t="str">
        <f t="shared" si="0"/>
        <v>4 cps</v>
      </c>
      <c r="AA16" s="468">
        <f>'Shelter Progress'!N20</f>
        <v>0.81204545454545451</v>
      </c>
      <c r="AB16" s="126">
        <v>0.12549019607843137</v>
      </c>
      <c r="AC16" s="126">
        <v>0</v>
      </c>
      <c r="AD16" s="126">
        <v>0.58263305322128844</v>
      </c>
      <c r="AE16" s="127">
        <f t="shared" si="2"/>
        <v>457</v>
      </c>
      <c r="AF16" s="128">
        <f t="shared" si="1"/>
        <v>223</v>
      </c>
      <c r="AG16" s="129">
        <f>'CCCM Dashboard'!E25</f>
        <v>15</v>
      </c>
      <c r="CT16" s="4"/>
      <c r="CU16" s="4"/>
      <c r="CV16" s="4"/>
      <c r="CW16" s="4"/>
      <c r="CX16" s="4"/>
      <c r="CY16" s="4"/>
      <c r="CZ16" s="4"/>
      <c r="DA16" s="4"/>
      <c r="DB16" s="4"/>
      <c r="DC16" s="4"/>
      <c r="DD16" s="4"/>
      <c r="DE16" s="4"/>
      <c r="DF16" s="4"/>
      <c r="DG16" s="4"/>
      <c r="DH16" s="4"/>
    </row>
    <row r="17" spans="1:112" ht="18.75" customHeight="1" x14ac:dyDescent="0.35">
      <c r="O17" s="15"/>
      <c r="P17" s="15"/>
      <c r="T17" s="130" t="s">
        <v>537</v>
      </c>
      <c r="U17" s="123" t="s">
        <v>230</v>
      </c>
      <c r="V17" s="130">
        <v>98.12</v>
      </c>
      <c r="W17" s="123">
        <v>23.972235294117642</v>
      </c>
      <c r="X17" s="123">
        <f>'CCCM Dashboard'!C37</f>
        <v>318</v>
      </c>
      <c r="Y17" s="124">
        <f>'CCCM Dashboard'!D37</f>
        <v>1510</v>
      </c>
      <c r="Z17" s="125" t="str">
        <f t="shared" si="0"/>
        <v>15 cps</v>
      </c>
      <c r="AA17" s="468">
        <f>'Shelter Progress'!N21</f>
        <v>0.27272727272727271</v>
      </c>
      <c r="AB17" s="126">
        <v>0</v>
      </c>
      <c r="AC17" s="126">
        <v>0</v>
      </c>
      <c r="AD17" s="126">
        <v>0</v>
      </c>
      <c r="AE17" s="127">
        <f t="shared" si="2"/>
        <v>539</v>
      </c>
      <c r="AF17" s="128">
        <f t="shared" si="1"/>
        <v>311</v>
      </c>
      <c r="AG17" s="129">
        <f>'CCCM Dashboard'!E37</f>
        <v>5</v>
      </c>
      <c r="CT17" s="4"/>
      <c r="CU17" s="4"/>
      <c r="CV17" s="4"/>
      <c r="CW17" s="4"/>
      <c r="CX17" s="4"/>
      <c r="CY17" s="4"/>
      <c r="CZ17" s="4"/>
      <c r="DA17" s="4"/>
      <c r="DB17" s="4"/>
      <c r="DC17" s="4"/>
      <c r="DD17" s="4"/>
      <c r="DE17" s="4"/>
      <c r="DF17" s="4"/>
      <c r="DG17" s="4"/>
      <c r="DH17" s="4"/>
    </row>
    <row r="18" spans="1:112" ht="18.75" customHeight="1" x14ac:dyDescent="0.35">
      <c r="O18" s="15"/>
      <c r="P18" s="15"/>
      <c r="T18" s="122" t="s">
        <v>534</v>
      </c>
      <c r="U18" s="123" t="s">
        <v>237</v>
      </c>
      <c r="V18" s="122">
        <v>97.301176470588288</v>
      </c>
      <c r="W18" s="123">
        <v>25.24</v>
      </c>
      <c r="X18" s="123">
        <f>'CCCM Dashboard'!C26</f>
        <v>1473</v>
      </c>
      <c r="Y18" s="124">
        <f>'CCCM Dashboard'!D26</f>
        <v>7544</v>
      </c>
      <c r="Z18" s="125" t="str">
        <f t="shared" si="0"/>
        <v>5 cps</v>
      </c>
      <c r="AA18" s="468">
        <f>'Shelter Progress'!N22</f>
        <v>0.68228105906313641</v>
      </c>
      <c r="AB18" s="126">
        <v>0.65062761506276146</v>
      </c>
      <c r="AC18" s="126">
        <v>0</v>
      </c>
      <c r="AD18" s="126">
        <v>0.25732217573221761</v>
      </c>
      <c r="AE18" s="127">
        <f t="shared" si="2"/>
        <v>374</v>
      </c>
      <c r="AF18" s="128">
        <f t="shared" si="1"/>
        <v>204</v>
      </c>
      <c r="AG18" s="129">
        <f>'CCCM Dashboard'!E26</f>
        <v>24</v>
      </c>
      <c r="CT18" s="4"/>
      <c r="CU18" s="4"/>
      <c r="CV18" s="4"/>
      <c r="CW18" s="4"/>
      <c r="CX18" s="4"/>
      <c r="CY18" s="4"/>
      <c r="CZ18" s="4"/>
      <c r="DA18" s="4"/>
      <c r="DB18" s="4"/>
      <c r="DC18" s="4"/>
      <c r="DD18" s="4"/>
      <c r="DE18" s="4"/>
      <c r="DF18" s="4"/>
      <c r="DG18" s="4"/>
      <c r="DH18" s="4"/>
    </row>
    <row r="19" spans="1:112" ht="18.75" customHeight="1" x14ac:dyDescent="0.35">
      <c r="O19" s="15"/>
      <c r="P19" s="15"/>
      <c r="T19" s="130" t="s">
        <v>548</v>
      </c>
      <c r="U19" s="123" t="s">
        <v>289</v>
      </c>
      <c r="V19" s="130">
        <v>97.619855072463778</v>
      </c>
      <c r="W19" s="123">
        <v>23.7</v>
      </c>
      <c r="X19" s="123">
        <f>'CCCM Dashboard'!C38</f>
        <v>402</v>
      </c>
      <c r="Y19" s="124">
        <f>'CCCM Dashboard'!D38</f>
        <v>1976</v>
      </c>
      <c r="Z19" s="125" t="str">
        <f t="shared" si="0"/>
        <v>24 cps</v>
      </c>
      <c r="AA19" s="468">
        <f>'Shelter Progress'!N23</f>
        <v>0.52736318407960203</v>
      </c>
      <c r="AB19" s="126">
        <v>0</v>
      </c>
      <c r="AC19" s="126">
        <v>0</v>
      </c>
      <c r="AD19" s="126">
        <v>0</v>
      </c>
      <c r="AE19" s="127">
        <f t="shared" si="2"/>
        <v>574</v>
      </c>
      <c r="AF19" s="128">
        <f t="shared" si="1"/>
        <v>246</v>
      </c>
      <c r="AG19" s="129">
        <f>'CCCM Dashboard'!E38</f>
        <v>6</v>
      </c>
      <c r="CT19" s="4"/>
      <c r="CU19" s="4"/>
      <c r="CV19" s="4"/>
      <c r="CW19" s="4"/>
      <c r="CX19" s="4"/>
      <c r="CY19" s="4"/>
      <c r="CZ19" s="4"/>
      <c r="DA19" s="4"/>
      <c r="DB19" s="4"/>
      <c r="DC19" s="4"/>
      <c r="DD19" s="4"/>
      <c r="DE19" s="4"/>
      <c r="DF19" s="4"/>
      <c r="DG19" s="4"/>
      <c r="DH19" s="4"/>
    </row>
    <row r="20" spans="1:112" ht="18.75" customHeight="1" x14ac:dyDescent="0.35">
      <c r="O20" s="15"/>
      <c r="P20" s="15"/>
      <c r="T20" s="122" t="s">
        <v>549</v>
      </c>
      <c r="U20" s="123" t="s">
        <v>298</v>
      </c>
      <c r="V20" s="122">
        <v>97.48</v>
      </c>
      <c r="W20" s="123">
        <v>23.01813559322035</v>
      </c>
      <c r="X20" s="123">
        <f>'CCCM Dashboard'!C40</f>
        <v>288</v>
      </c>
      <c r="Y20" s="124">
        <f>'CCCM Dashboard'!D40</f>
        <v>1217</v>
      </c>
      <c r="Z20" s="125" t="str">
        <f t="shared" si="0"/>
        <v>6 cps</v>
      </c>
      <c r="AA20" s="468">
        <f>'Shelter Progress'!N24</f>
        <v>5.8823529411764705E-2</v>
      </c>
      <c r="AB20" s="126">
        <v>0</v>
      </c>
      <c r="AC20" s="126">
        <v>0</v>
      </c>
      <c r="AD20" s="126">
        <v>0</v>
      </c>
      <c r="AE20" s="127">
        <f t="shared" si="2"/>
        <v>663</v>
      </c>
      <c r="AF20" s="128">
        <f t="shared" si="1"/>
        <v>227</v>
      </c>
      <c r="AG20" s="129">
        <f>'CCCM Dashboard'!E40</f>
        <v>6</v>
      </c>
      <c r="CT20" s="4"/>
      <c r="CU20" s="4"/>
      <c r="CV20" s="4"/>
      <c r="CW20" s="4"/>
      <c r="CX20" s="4"/>
      <c r="CY20" s="4"/>
      <c r="CZ20" s="4"/>
      <c r="DA20" s="4"/>
      <c r="DB20" s="4"/>
      <c r="DC20" s="4"/>
      <c r="DD20" s="4"/>
      <c r="DE20" s="4"/>
      <c r="DF20" s="4"/>
      <c r="DG20" s="4"/>
      <c r="DH20" s="4"/>
    </row>
    <row r="21" spans="1:112" ht="18.75" customHeight="1" x14ac:dyDescent="0.35">
      <c r="O21" s="15"/>
      <c r="P21" s="15"/>
      <c r="T21" s="130" t="s">
        <v>551</v>
      </c>
      <c r="U21" s="123" t="s">
        <v>300</v>
      </c>
      <c r="V21" s="130">
        <v>97.435148514851463</v>
      </c>
      <c r="W21" s="123">
        <v>27.327029702970304</v>
      </c>
      <c r="X21" s="123">
        <f>'CCCM Dashboard'!C27</f>
        <v>85</v>
      </c>
      <c r="Y21" s="124">
        <f>'CCCM Dashboard'!D27</f>
        <v>407</v>
      </c>
      <c r="Z21" s="125" t="str">
        <f t="shared" si="0"/>
        <v>6 cps</v>
      </c>
      <c r="AA21" s="468">
        <f>'Shelter Progress'!N25</f>
        <v>0.98360655737704916</v>
      </c>
      <c r="AB21" s="126">
        <v>0</v>
      </c>
      <c r="AC21" s="126">
        <v>0</v>
      </c>
      <c r="AD21" s="126">
        <v>0</v>
      </c>
      <c r="AE21" s="127">
        <f t="shared" si="2"/>
        <v>102</v>
      </c>
      <c r="AF21" s="128">
        <f t="shared" si="1"/>
        <v>222</v>
      </c>
      <c r="AG21" s="129">
        <f>'CCCM Dashboard'!E27</f>
        <v>3</v>
      </c>
      <c r="CT21" s="4"/>
      <c r="CU21" s="4"/>
      <c r="CV21" s="4"/>
      <c r="CW21" s="4"/>
      <c r="CX21" s="4"/>
      <c r="CY21" s="4"/>
      <c r="CZ21" s="4"/>
      <c r="DA21" s="4"/>
      <c r="DB21" s="4"/>
      <c r="DC21" s="4"/>
      <c r="DD21" s="4"/>
      <c r="DE21" s="4"/>
      <c r="DF21" s="4"/>
      <c r="DG21" s="4"/>
      <c r="DH21" s="4"/>
    </row>
    <row r="22" spans="1:112" ht="18.75" customHeight="1" x14ac:dyDescent="0.35">
      <c r="T22" s="122" t="s">
        <v>539</v>
      </c>
      <c r="U22" s="123" t="s">
        <v>302</v>
      </c>
      <c r="V22" s="122">
        <v>96.752179487179433</v>
      </c>
      <c r="W22" s="123">
        <v>24.4</v>
      </c>
      <c r="X22" s="123">
        <f>'CCCM Dashboard'!C28</f>
        <v>504</v>
      </c>
      <c r="Y22" s="124">
        <f>'CCCM Dashboard'!D28</f>
        <v>2164</v>
      </c>
      <c r="Z22" s="123" t="str">
        <f t="shared" si="0"/>
        <v>3 cps</v>
      </c>
      <c r="AA22" s="468">
        <f>'Shelter Progress'!N26</f>
        <v>0.65891472868217049</v>
      </c>
      <c r="AB22" s="126">
        <v>0</v>
      </c>
      <c r="AC22" s="126">
        <v>0</v>
      </c>
      <c r="AD22" s="126">
        <v>0</v>
      </c>
      <c r="AE22" s="127">
        <f t="shared" si="2"/>
        <v>483</v>
      </c>
      <c r="AF22" s="128">
        <f t="shared" si="1"/>
        <v>133</v>
      </c>
      <c r="AG22" s="129">
        <f>'CCCM Dashboard'!E28</f>
        <v>3</v>
      </c>
      <c r="DA22" s="50"/>
      <c r="DB22" s="51"/>
      <c r="DC22" s="51"/>
      <c r="DD22" s="51"/>
      <c r="DE22" s="51"/>
    </row>
    <row r="23" spans="1:112" ht="18.75" customHeight="1" x14ac:dyDescent="0.35">
      <c r="A23" s="61"/>
      <c r="B23" s="61"/>
      <c r="C23" s="61"/>
      <c r="D23" s="61"/>
      <c r="E23" s="61"/>
      <c r="F23" s="61"/>
      <c r="G23" s="61"/>
      <c r="H23" s="61"/>
      <c r="I23" s="61"/>
      <c r="J23" s="61"/>
      <c r="K23" s="61"/>
      <c r="L23" s="61"/>
      <c r="M23" s="61"/>
      <c r="N23" s="52"/>
      <c r="T23" s="130" t="s">
        <v>808</v>
      </c>
      <c r="U23" s="123" t="s">
        <v>807</v>
      </c>
      <c r="V23" s="122">
        <v>97.5</v>
      </c>
      <c r="W23" s="132">
        <v>26.5</v>
      </c>
      <c r="X23" s="123">
        <f>'CCCM Dashboard'!C29</f>
        <v>141</v>
      </c>
      <c r="Y23" s="124">
        <f>'CCCM Dashboard'!D29</f>
        <v>759</v>
      </c>
      <c r="Z23" s="125" t="str">
        <f t="shared" si="0"/>
        <v>3 cps</v>
      </c>
      <c r="AA23" s="468">
        <f>'Shelter Progress'!N27</f>
        <v>0</v>
      </c>
      <c r="AB23" s="126"/>
      <c r="AC23" s="126"/>
      <c r="AD23" s="126"/>
      <c r="AE23" s="127">
        <f t="shared" si="2"/>
        <v>210</v>
      </c>
      <c r="AF23" s="128">
        <f t="shared" si="1"/>
        <v>230</v>
      </c>
      <c r="AG23" s="129">
        <f>'CCCM Dashboard'!E29</f>
        <v>3</v>
      </c>
      <c r="DA23" s="50"/>
      <c r="DB23" s="51"/>
      <c r="DC23" s="51"/>
      <c r="DD23" s="51"/>
      <c r="DE23" s="51"/>
    </row>
    <row r="24" spans="1:112" ht="18.75" customHeight="1" x14ac:dyDescent="0.35">
      <c r="A24" s="61"/>
      <c r="B24" s="61"/>
      <c r="C24" s="61"/>
      <c r="D24" s="61"/>
      <c r="E24" s="61"/>
      <c r="F24" s="61"/>
      <c r="G24" s="61"/>
      <c r="H24" s="61"/>
      <c r="I24" s="61"/>
      <c r="J24" s="61"/>
      <c r="K24" s="61"/>
      <c r="L24" s="61"/>
      <c r="M24" s="61"/>
      <c r="N24" s="52"/>
      <c r="T24" s="732" t="s">
        <v>1395</v>
      </c>
      <c r="U24" s="733" t="s">
        <v>1396</v>
      </c>
      <c r="V24" s="734">
        <v>96.716553000000005</v>
      </c>
      <c r="W24" s="735">
        <v>26.357970999999999</v>
      </c>
      <c r="X24" s="733">
        <f>'CCCM Dashboard'!C30</f>
        <v>0</v>
      </c>
      <c r="Y24" s="736">
        <f>'CCCM Dashboard'!D30</f>
        <v>0</v>
      </c>
      <c r="Z24" s="737" t="str">
        <f t="shared" si="0"/>
        <v>3 cps</v>
      </c>
      <c r="AA24" s="468">
        <f>'Shelter Progress'!N28</f>
        <v>0.53820177289995774</v>
      </c>
      <c r="AB24" s="738"/>
      <c r="AC24" s="738"/>
      <c r="AD24" s="738"/>
      <c r="AE24" s="739">
        <f>$S$3-ROUND((W24-$S$1)*$S$5,0)</f>
        <v>228</v>
      </c>
      <c r="AF24" s="740">
        <f>ROUND((V24-$S$2)*$S$5,0)+$S$4</f>
        <v>128</v>
      </c>
      <c r="AG24" s="741">
        <f>'CCCM Dashboard'!E30</f>
        <v>0</v>
      </c>
      <c r="CT24" s="304"/>
      <c r="CU24" s="304"/>
      <c r="CV24" s="304"/>
      <c r="CW24" s="304"/>
      <c r="CX24" s="304"/>
      <c r="CY24" s="304"/>
      <c r="CZ24" s="304"/>
      <c r="DA24" s="50"/>
      <c r="DB24" s="51"/>
      <c r="DC24" s="51"/>
      <c r="DD24" s="51"/>
      <c r="DE24" s="51"/>
      <c r="DF24" s="304"/>
      <c r="DG24" s="304"/>
      <c r="DH24" s="304"/>
    </row>
    <row r="25" spans="1:112" ht="18.75" customHeight="1" x14ac:dyDescent="0.35">
      <c r="A25" s="54"/>
      <c r="B25" s="54"/>
      <c r="C25" s="55"/>
      <c r="D25" s="55"/>
      <c r="E25" s="56"/>
      <c r="F25" s="56"/>
      <c r="G25" s="57"/>
      <c r="H25" s="58"/>
      <c r="I25" s="58"/>
      <c r="J25" s="58"/>
      <c r="K25" s="59"/>
      <c r="L25" s="60"/>
      <c r="M25" s="61"/>
      <c r="N25" s="52"/>
      <c r="T25" s="130" t="s">
        <v>531</v>
      </c>
      <c r="U25" s="123" t="s">
        <v>310</v>
      </c>
      <c r="V25" s="130">
        <v>97.8</v>
      </c>
      <c r="W25" s="123">
        <v>25.5</v>
      </c>
      <c r="X25" s="123">
        <f>'CCCM Dashboard'!C31</f>
        <v>4738</v>
      </c>
      <c r="Y25" s="124">
        <f>'CCCM Dashboard'!D31</f>
        <v>24108</v>
      </c>
      <c r="Z25" s="123" t="str">
        <f t="shared" si="0"/>
        <v>0 cp</v>
      </c>
      <c r="AA25" s="468">
        <f>'Shelter Progress'!N29</f>
        <v>0.61001280837556382</v>
      </c>
      <c r="AB25" s="126">
        <v>0.37372161553128791</v>
      </c>
      <c r="AC25" s="126">
        <v>0</v>
      </c>
      <c r="AD25" s="126">
        <v>4.6281851274050934E-2</v>
      </c>
      <c r="AE25" s="127">
        <f t="shared" si="2"/>
        <v>340</v>
      </c>
      <c r="AF25" s="128">
        <f t="shared" si="1"/>
        <v>269</v>
      </c>
      <c r="AG25" s="129">
        <f>'CCCM Dashboard'!E31</f>
        <v>23</v>
      </c>
      <c r="DA25" s="50"/>
      <c r="DB25" s="51"/>
      <c r="DC25" s="51"/>
      <c r="DD25" s="51"/>
      <c r="DE25" s="51"/>
    </row>
    <row r="26" spans="1:112" ht="18.75" customHeight="1" x14ac:dyDescent="0.35">
      <c r="T26" s="733"/>
      <c r="U26" s="733" t="s">
        <v>565</v>
      </c>
      <c r="V26" s="735" t="s">
        <v>567</v>
      </c>
      <c r="W26" s="735" t="s">
        <v>566</v>
      </c>
      <c r="X26" s="742">
        <f>SUBTOTAL(109,Table58[HS])</f>
        <v>19332</v>
      </c>
      <c r="Y26" s="742">
        <f>SUBTOTAL(109,Table58[Pop])</f>
        <v>97628</v>
      </c>
      <c r="Z26" s="737" t="str">
        <f>CONCATENATE(Table58[[#Totals],[Column1]]," camps")</f>
        <v>165 camps</v>
      </c>
      <c r="AA26" s="743">
        <f>SUMPRODUCT(Table58[Pop]*Table58[Coverage])/Table58[[#Totals],[Pop]]</f>
        <v>0.63582911622061988</v>
      </c>
      <c r="AB26" s="744">
        <f>SUMPRODUCT(Table58[Pop]*Table58[Hygiene])/Table58[[#Totals],[Pop]]</f>
        <v>0.22849185918254702</v>
      </c>
      <c r="AC26" s="744">
        <f>SUMPRODUCT(Table58[Pop]*Table58[Core])/Table58[[#Totals],[Pop]]</f>
        <v>0</v>
      </c>
      <c r="AD26" s="744">
        <f>SUMPRODUCT(Table58[Pop]*Table58[Sanitary])/Table58[[#Totals],[Pop]]</f>
        <v>0.28001537942539168</v>
      </c>
      <c r="AE26" s="745">
        <f>1000-ROUND((W26-23.5)*$S$5,0)</f>
        <v>545</v>
      </c>
      <c r="AF26" s="746">
        <f>ROUND((V26-96.5)*$S$5,0)+100</f>
        <v>35</v>
      </c>
      <c r="AG26" s="747">
        <f>SUBTOTAL(109,Table58[Column1])</f>
        <v>165</v>
      </c>
      <c r="DA26" s="50"/>
      <c r="DE26" s="1"/>
      <c r="DF26" s="33"/>
    </row>
    <row r="27" spans="1:112" ht="18.75" customHeight="1" x14ac:dyDescent="0.35">
      <c r="DA27" s="50"/>
      <c r="DE27" s="1"/>
      <c r="DF27" s="33"/>
    </row>
    <row r="28" spans="1:112" ht="18.75" customHeight="1" x14ac:dyDescent="0.35">
      <c r="P28" s="53"/>
      <c r="Q28" s="53"/>
      <c r="DA28" s="50"/>
      <c r="DE28" s="1"/>
      <c r="DF28" s="33"/>
    </row>
    <row r="29" spans="1:112" s="15" customFormat="1" ht="18.75" customHeight="1" x14ac:dyDescent="0.35">
      <c r="A29" s="4"/>
      <c r="B29" s="4"/>
      <c r="C29" s="4"/>
      <c r="D29" s="4"/>
      <c r="E29" s="4"/>
      <c r="F29" s="4"/>
      <c r="G29" s="4"/>
      <c r="H29" s="4"/>
      <c r="I29" s="4"/>
      <c r="J29" s="4"/>
      <c r="K29" s="4"/>
      <c r="L29" s="4"/>
      <c r="M29" s="4"/>
      <c r="N29" s="4"/>
      <c r="O29" s="4"/>
      <c r="P29" s="4"/>
      <c r="Q29" s="4"/>
      <c r="R29" s="4"/>
      <c r="S29" s="4"/>
      <c r="T29" s="112"/>
      <c r="U29" s="112"/>
      <c r="V29" s="112"/>
      <c r="W29" s="112"/>
      <c r="X29" s="112"/>
      <c r="Y29" s="112"/>
      <c r="Z29" s="112"/>
      <c r="AA29" s="112"/>
      <c r="AB29" s="112"/>
      <c r="AC29" s="112"/>
      <c r="AD29" s="112"/>
      <c r="AE29" s="112"/>
      <c r="AF29" s="112"/>
      <c r="AG29" s="112"/>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DA29" s="50"/>
      <c r="DE29" s="1"/>
      <c r="DF29" s="33"/>
    </row>
    <row r="30" spans="1:112" s="15" customFormat="1" ht="18.75" customHeight="1" x14ac:dyDescent="0.35">
      <c r="A30" s="4"/>
      <c r="B30" s="4"/>
      <c r="C30" s="4"/>
      <c r="D30" s="4"/>
      <c r="E30" s="4"/>
      <c r="F30" s="4"/>
      <c r="G30" s="4"/>
      <c r="H30" s="4"/>
      <c r="I30" s="4"/>
      <c r="J30" s="4"/>
      <c r="K30" s="4"/>
      <c r="L30" s="4"/>
      <c r="M30" s="4"/>
      <c r="N30" s="4"/>
      <c r="O30" s="4"/>
      <c r="P30" s="4"/>
      <c r="Q30" s="4"/>
      <c r="R30" s="4"/>
      <c r="S30" s="4"/>
      <c r="T30" s="112"/>
      <c r="U30" s="112"/>
      <c r="V30" s="112"/>
      <c r="W30" s="112"/>
      <c r="X30" s="112"/>
      <c r="Y30" s="112"/>
      <c r="Z30" s="112"/>
      <c r="AA30" s="112"/>
      <c r="AB30" s="112"/>
      <c r="AC30" s="112"/>
      <c r="AD30" s="112"/>
      <c r="AE30" s="112"/>
      <c r="AF30" s="112"/>
      <c r="AG30" s="112"/>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DA30" s="50"/>
      <c r="DE30" s="1"/>
      <c r="DF30" s="33"/>
    </row>
    <row r="31" spans="1:112" s="15" customFormat="1" ht="18.75" customHeight="1" x14ac:dyDescent="0.35">
      <c r="A31" s="4"/>
      <c r="B31" s="4"/>
      <c r="C31" s="4"/>
      <c r="D31" s="4"/>
      <c r="E31" s="4"/>
      <c r="F31" s="4"/>
      <c r="G31" s="4"/>
      <c r="H31" s="4"/>
      <c r="I31" s="4"/>
      <c r="J31" s="4"/>
      <c r="K31" s="4"/>
      <c r="L31" s="4"/>
      <c r="M31" s="4"/>
      <c r="N31" s="4"/>
      <c r="O31" s="4"/>
      <c r="P31" s="4"/>
      <c r="Q31" s="4"/>
      <c r="R31" s="4"/>
      <c r="S31" s="4"/>
      <c r="T31" s="112"/>
      <c r="U31" s="112"/>
      <c r="V31" s="112"/>
      <c r="W31" s="112"/>
      <c r="X31" s="112"/>
      <c r="Y31" s="112"/>
      <c r="Z31" s="112"/>
      <c r="AA31" s="112"/>
      <c r="AB31" s="112"/>
      <c r="AC31" s="112"/>
      <c r="AD31" s="112"/>
      <c r="AE31" s="112"/>
      <c r="AF31" s="112"/>
      <c r="AG31" s="112"/>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DA31" s="50"/>
      <c r="DE31" s="1"/>
      <c r="DF31" s="33"/>
    </row>
    <row r="32" spans="1:112" s="15" customFormat="1" ht="18.75" customHeight="1" x14ac:dyDescent="0.35">
      <c r="A32" s="4"/>
      <c r="B32" s="4"/>
      <c r="C32" s="4"/>
      <c r="D32" s="4"/>
      <c r="E32" s="4"/>
      <c r="F32" s="4"/>
      <c r="G32" s="4"/>
      <c r="H32" s="4"/>
      <c r="I32" s="4"/>
      <c r="J32" s="4"/>
      <c r="K32" s="4"/>
      <c r="L32" s="4"/>
      <c r="M32" s="4"/>
      <c r="N32" s="4"/>
      <c r="O32" s="4"/>
      <c r="P32" s="4"/>
      <c r="Q32" s="4"/>
      <c r="R32" s="4"/>
      <c r="S32" s="4"/>
      <c r="T32" s="112"/>
      <c r="U32" s="112"/>
      <c r="V32" s="112"/>
      <c r="W32" s="112"/>
      <c r="X32" s="112"/>
      <c r="Y32" s="112"/>
      <c r="Z32" s="112"/>
      <c r="AA32" s="112"/>
      <c r="AB32" s="112"/>
      <c r="AC32" s="112"/>
      <c r="AD32" s="112"/>
      <c r="AE32" s="112"/>
      <c r="AF32" s="112"/>
      <c r="AG32" s="112"/>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DA32" s="50"/>
      <c r="DE32" s="1"/>
      <c r="DF32" s="33"/>
    </row>
    <row r="33" spans="1:111" s="15" customFormat="1" ht="18.75" customHeight="1" x14ac:dyDescent="0.35">
      <c r="A33" s="4"/>
      <c r="B33" s="4"/>
      <c r="C33" s="4"/>
      <c r="D33" s="4"/>
      <c r="E33" s="4"/>
      <c r="F33" s="4"/>
      <c r="G33" s="4"/>
      <c r="H33" s="4"/>
      <c r="I33" s="4"/>
      <c r="J33" s="4"/>
      <c r="K33" s="4"/>
      <c r="L33" s="4"/>
      <c r="M33" s="4"/>
      <c r="N33" s="4"/>
      <c r="O33" s="4"/>
      <c r="P33" s="4"/>
      <c r="Q33" s="4"/>
      <c r="R33" s="4"/>
      <c r="S33" s="4"/>
      <c r="T33" s="112"/>
      <c r="U33" s="112"/>
      <c r="V33" s="112"/>
      <c r="W33" s="112"/>
      <c r="X33" s="112"/>
      <c r="Y33" s="112"/>
      <c r="Z33" s="112"/>
      <c r="AA33" s="112"/>
      <c r="AB33" s="112"/>
      <c r="AC33" s="112"/>
      <c r="AD33" s="112"/>
      <c r="AE33" s="112"/>
      <c r="AF33" s="112"/>
      <c r="AG33" s="112"/>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DA33" s="50"/>
      <c r="DE33" s="1"/>
      <c r="DF33" s="33"/>
    </row>
    <row r="34" spans="1:111" s="15" customFormat="1" ht="18.75" customHeight="1" x14ac:dyDescent="0.35">
      <c r="A34" s="4"/>
      <c r="B34" s="4"/>
      <c r="C34" s="4"/>
      <c r="D34" s="4"/>
      <c r="E34" s="4"/>
      <c r="F34" s="4"/>
      <c r="G34" s="4"/>
      <c r="H34" s="4"/>
      <c r="I34" s="4"/>
      <c r="J34" s="4"/>
      <c r="K34" s="4"/>
      <c r="L34" s="4"/>
      <c r="M34" s="4"/>
      <c r="N34" s="4"/>
      <c r="O34" s="4"/>
      <c r="P34" s="4"/>
      <c r="Q34" s="4"/>
      <c r="R34" s="4"/>
      <c r="S34" s="4"/>
      <c r="T34" s="112"/>
      <c r="U34" s="112"/>
      <c r="V34" s="112"/>
      <c r="W34" s="112"/>
      <c r="X34" s="112"/>
      <c r="Y34" s="112"/>
      <c r="Z34" s="112"/>
      <c r="AA34" s="112"/>
      <c r="AB34" s="112"/>
      <c r="AC34" s="112"/>
      <c r="AD34" s="112"/>
      <c r="AE34" s="112"/>
      <c r="AF34" s="112"/>
      <c r="AG34" s="112"/>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DE34" s="1"/>
      <c r="DF34" s="33"/>
    </row>
    <row r="35" spans="1:111" s="15" customFormat="1" ht="18.75" customHeight="1" x14ac:dyDescent="0.35">
      <c r="A35" s="4"/>
      <c r="B35" s="4"/>
      <c r="C35" s="4"/>
      <c r="D35" s="4"/>
      <c r="E35" s="4"/>
      <c r="F35" s="4"/>
      <c r="G35" s="4"/>
      <c r="H35" s="4"/>
      <c r="I35" s="4"/>
      <c r="J35" s="4"/>
      <c r="K35" s="4"/>
      <c r="L35" s="4"/>
      <c r="M35" s="4"/>
      <c r="N35" s="4"/>
      <c r="O35" s="4"/>
      <c r="P35" s="4"/>
      <c r="Q35" s="4"/>
      <c r="R35" s="4"/>
      <c r="S35" s="4"/>
      <c r="T35" s="112"/>
      <c r="U35" s="112"/>
      <c r="V35" s="112"/>
      <c r="W35" s="112"/>
      <c r="X35" s="112"/>
      <c r="Y35" s="112"/>
      <c r="Z35" s="112"/>
      <c r="AA35" s="112"/>
      <c r="AB35" s="112"/>
      <c r="AC35" s="112"/>
      <c r="AD35" s="112"/>
      <c r="AE35" s="112"/>
      <c r="AF35" s="112"/>
      <c r="AG35" s="112"/>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DE35" s="1"/>
      <c r="DF35" s="33"/>
    </row>
    <row r="36" spans="1:111" s="15" customFormat="1" ht="18.75" customHeight="1" x14ac:dyDescent="0.35">
      <c r="A36" s="4"/>
      <c r="B36" s="4"/>
      <c r="C36" s="4"/>
      <c r="D36" s="4"/>
      <c r="E36" s="4"/>
      <c r="F36" s="4"/>
      <c r="G36" s="4"/>
      <c r="H36" s="4"/>
      <c r="I36" s="4"/>
      <c r="J36" s="4"/>
      <c r="K36" s="4"/>
      <c r="L36" s="4"/>
      <c r="M36" s="4"/>
      <c r="N36" s="4"/>
      <c r="O36" s="4"/>
      <c r="P36" s="4"/>
      <c r="Q36" s="4"/>
      <c r="R36" s="4"/>
      <c r="S36" s="4"/>
      <c r="T36" s="112"/>
      <c r="U36" s="112"/>
      <c r="V36" s="112"/>
      <c r="W36" s="112"/>
      <c r="X36" s="112"/>
      <c r="Y36" s="112"/>
      <c r="Z36" s="112"/>
      <c r="AA36" s="112"/>
      <c r="AB36" s="112"/>
      <c r="AC36" s="112"/>
      <c r="AD36" s="112"/>
      <c r="AE36" s="112"/>
      <c r="AF36" s="112"/>
      <c r="AG36" s="112"/>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DE36" s="1"/>
      <c r="DF36" s="33"/>
    </row>
    <row r="37" spans="1:111" s="15" customFormat="1" ht="18.75" customHeight="1" x14ac:dyDescent="0.35">
      <c r="A37" s="4"/>
      <c r="B37" s="4"/>
      <c r="C37" s="4"/>
      <c r="D37" s="4"/>
      <c r="E37" s="4"/>
      <c r="F37" s="4"/>
      <c r="G37" s="4"/>
      <c r="H37" s="4"/>
      <c r="I37" s="4"/>
      <c r="J37" s="4"/>
      <c r="K37" s="4"/>
      <c r="L37" s="4"/>
      <c r="M37" s="4"/>
      <c r="N37" s="4"/>
      <c r="O37" s="4"/>
      <c r="P37" s="4"/>
      <c r="Q37" s="4"/>
      <c r="R37" s="4"/>
      <c r="S37" s="4"/>
      <c r="T37" s="112"/>
      <c r="U37" s="112"/>
      <c r="V37" s="112"/>
      <c r="W37" s="112"/>
      <c r="X37" s="112"/>
      <c r="Y37" s="112"/>
      <c r="Z37" s="112"/>
      <c r="AA37" s="112"/>
      <c r="AB37" s="112"/>
      <c r="AC37" s="112"/>
      <c r="AD37" s="112"/>
      <c r="AE37" s="112"/>
      <c r="AF37" s="112"/>
      <c r="AG37" s="112"/>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DE37" s="1"/>
      <c r="DF37" s="33"/>
    </row>
    <row r="38" spans="1:111" s="15" customFormat="1" ht="18.75" customHeight="1" x14ac:dyDescent="0.35">
      <c r="A38" s="4"/>
      <c r="B38" s="4"/>
      <c r="C38" s="4"/>
      <c r="D38" s="4"/>
      <c r="E38" s="4"/>
      <c r="F38" s="4"/>
      <c r="G38" s="4"/>
      <c r="H38" s="4"/>
      <c r="I38" s="4"/>
      <c r="J38" s="4"/>
      <c r="K38" s="4"/>
      <c r="L38" s="4"/>
      <c r="M38" s="4"/>
      <c r="N38" s="4"/>
      <c r="O38" s="4"/>
      <c r="P38" s="4"/>
      <c r="Q38" s="4"/>
      <c r="R38" s="4"/>
      <c r="S38" s="4"/>
      <c r="T38" s="112"/>
      <c r="U38" s="112"/>
      <c r="V38" s="112"/>
      <c r="W38" s="112"/>
      <c r="X38" s="112"/>
      <c r="Y38" s="112"/>
      <c r="Z38" s="112"/>
      <c r="AA38" s="112"/>
      <c r="AB38" s="112"/>
      <c r="AC38" s="112"/>
      <c r="AD38" s="112"/>
      <c r="AE38" s="112"/>
      <c r="AF38" s="112"/>
      <c r="AG38" s="112"/>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DE38" s="1"/>
      <c r="DF38" s="33"/>
    </row>
    <row r="39" spans="1:111" s="15" customFormat="1" ht="18.75" customHeight="1" x14ac:dyDescent="0.35">
      <c r="A39" s="4"/>
      <c r="B39" s="4"/>
      <c r="C39" s="4"/>
      <c r="D39" s="4"/>
      <c r="E39" s="4"/>
      <c r="F39" s="4"/>
      <c r="G39" s="4"/>
      <c r="H39" s="4"/>
      <c r="I39" s="4"/>
      <c r="J39" s="4"/>
      <c r="K39" s="4"/>
      <c r="L39" s="4"/>
      <c r="M39" s="4"/>
      <c r="N39" s="4"/>
      <c r="O39" s="4"/>
      <c r="P39" s="4"/>
      <c r="Q39" s="4"/>
      <c r="R39" s="4"/>
      <c r="S39" s="4"/>
      <c r="T39" s="112"/>
      <c r="U39" s="112"/>
      <c r="V39" s="112"/>
      <c r="W39" s="112"/>
      <c r="X39" s="112"/>
      <c r="Y39" s="112"/>
      <c r="Z39" s="112"/>
      <c r="AA39" s="112"/>
      <c r="AB39" s="112"/>
      <c r="AC39" s="112"/>
      <c r="AD39" s="112"/>
      <c r="AE39" s="112"/>
      <c r="AF39" s="112"/>
      <c r="AG39" s="112"/>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DE39" s="1"/>
      <c r="DF39" s="33"/>
    </row>
    <row r="40" spans="1:111" s="15" customFormat="1" ht="18.75" customHeight="1" x14ac:dyDescent="0.35">
      <c r="A40" s="4"/>
      <c r="B40" s="4"/>
      <c r="C40" s="4"/>
      <c r="D40" s="4"/>
      <c r="E40" s="4"/>
      <c r="F40" s="4"/>
      <c r="G40" s="4"/>
      <c r="H40" s="4"/>
      <c r="I40" s="4"/>
      <c r="J40" s="4"/>
      <c r="K40" s="4"/>
      <c r="L40" s="4"/>
      <c r="M40" s="4"/>
      <c r="N40" s="4"/>
      <c r="O40" s="4"/>
      <c r="P40" s="4"/>
      <c r="Q40" s="4"/>
      <c r="R40" s="4"/>
      <c r="S40" s="4"/>
      <c r="T40" s="112"/>
      <c r="U40" s="112"/>
      <c r="V40" s="112"/>
      <c r="W40" s="112"/>
      <c r="X40" s="112"/>
      <c r="Y40" s="112"/>
      <c r="Z40" s="112"/>
      <c r="AA40" s="112"/>
      <c r="AB40" s="112"/>
      <c r="AC40" s="112"/>
      <c r="AD40" s="112"/>
      <c r="AE40" s="112"/>
      <c r="AF40" s="112"/>
      <c r="AG40" s="112"/>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DE40" s="1"/>
      <c r="DF40" s="33"/>
    </row>
    <row r="41" spans="1:111" s="15" customFormat="1" ht="18.75" customHeight="1" x14ac:dyDescent="0.35">
      <c r="A41" s="4"/>
      <c r="B41" s="4"/>
      <c r="C41" s="4"/>
      <c r="D41" s="4"/>
      <c r="E41" s="4"/>
      <c r="F41" s="4"/>
      <c r="G41" s="4"/>
      <c r="H41" s="4"/>
      <c r="I41" s="4"/>
      <c r="J41" s="4"/>
      <c r="K41" s="4"/>
      <c r="L41" s="4"/>
      <c r="M41" s="4"/>
      <c r="N41" s="4"/>
      <c r="O41" s="4"/>
      <c r="P41" s="4"/>
      <c r="Q41" s="4"/>
      <c r="R41" s="4"/>
      <c r="S41" s="4"/>
      <c r="T41" s="112"/>
      <c r="U41" s="112"/>
      <c r="V41" s="112"/>
      <c r="W41" s="112"/>
      <c r="X41" s="112"/>
      <c r="Y41" s="112"/>
      <c r="Z41" s="112"/>
      <c r="AA41" s="112"/>
      <c r="AB41" s="112"/>
      <c r="AC41" s="112"/>
      <c r="AD41" s="112"/>
      <c r="AE41" s="112"/>
      <c r="AF41" s="112"/>
      <c r="AG41" s="112"/>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DE41" s="1"/>
      <c r="DF41" s="33"/>
    </row>
    <row r="42" spans="1:111" s="15" customFormat="1" ht="18.75" customHeight="1" x14ac:dyDescent="0.35">
      <c r="A42" s="4"/>
      <c r="B42" s="4"/>
      <c r="C42" s="4"/>
      <c r="D42" s="4"/>
      <c r="E42" s="4"/>
      <c r="F42" s="4"/>
      <c r="G42" s="4"/>
      <c r="H42" s="4"/>
      <c r="I42" s="4"/>
      <c r="J42" s="4"/>
      <c r="K42" s="4"/>
      <c r="L42" s="4"/>
      <c r="M42" s="4"/>
      <c r="N42" s="4"/>
      <c r="O42" s="4"/>
      <c r="P42" s="4"/>
      <c r="Q42" s="4"/>
      <c r="R42" s="4"/>
      <c r="S42" s="4"/>
      <c r="T42" s="112"/>
      <c r="U42" s="112"/>
      <c r="V42" s="112"/>
      <c r="W42" s="112"/>
      <c r="X42" s="112"/>
      <c r="Y42" s="112"/>
      <c r="Z42" s="112"/>
      <c r="AA42" s="112"/>
      <c r="AB42" s="112"/>
      <c r="AC42" s="112"/>
      <c r="AD42" s="112"/>
      <c r="AE42" s="112"/>
      <c r="AF42" s="112"/>
      <c r="AG42" s="112"/>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DE42" s="1"/>
      <c r="DF42" s="33"/>
    </row>
    <row r="43" spans="1:111" s="15" customFormat="1" ht="18.75" customHeight="1" x14ac:dyDescent="0.35">
      <c r="A43" s="4"/>
      <c r="B43" s="4"/>
      <c r="C43" s="4"/>
      <c r="D43" s="4"/>
      <c r="E43" s="4"/>
      <c r="F43" s="4"/>
      <c r="G43" s="4"/>
      <c r="H43" s="4"/>
      <c r="I43" s="4"/>
      <c r="J43" s="4"/>
      <c r="K43" s="4"/>
      <c r="L43" s="4"/>
      <c r="M43" s="4"/>
      <c r="N43" s="4"/>
      <c r="O43" s="4"/>
      <c r="P43" s="4"/>
      <c r="Q43" s="4"/>
      <c r="R43" s="4"/>
      <c r="S43" s="4"/>
      <c r="T43" s="112"/>
      <c r="U43" s="112"/>
      <c r="V43" s="112"/>
      <c r="W43" s="112"/>
      <c r="X43" s="112"/>
      <c r="Y43" s="112"/>
      <c r="Z43" s="112"/>
      <c r="AA43" s="112"/>
      <c r="AB43" s="112"/>
      <c r="AC43" s="112"/>
      <c r="AD43" s="112"/>
      <c r="AE43" s="112"/>
      <c r="AF43" s="112"/>
      <c r="AG43" s="112"/>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DE43" s="1"/>
      <c r="DF43" s="33"/>
    </row>
    <row r="44" spans="1:111" s="15" customFormat="1" ht="18.75" customHeight="1" x14ac:dyDescent="0.35">
      <c r="A44" s="4"/>
      <c r="B44" s="4"/>
      <c r="C44" s="4"/>
      <c r="D44" s="4"/>
      <c r="E44" s="4"/>
      <c r="F44" s="4"/>
      <c r="G44" s="4"/>
      <c r="H44" s="4"/>
      <c r="I44" s="4"/>
      <c r="J44" s="4"/>
      <c r="K44" s="4"/>
      <c r="L44" s="4"/>
      <c r="M44" s="4"/>
      <c r="N44" s="4"/>
      <c r="O44" s="4"/>
      <c r="P44" s="4"/>
      <c r="Q44" s="4"/>
      <c r="R44" s="4"/>
      <c r="S44" s="4"/>
      <c r="T44" s="112"/>
      <c r="U44" s="112"/>
      <c r="V44" s="112"/>
      <c r="W44" s="112"/>
      <c r="X44" s="112"/>
      <c r="Y44" s="112"/>
      <c r="Z44" s="112"/>
      <c r="AA44" s="112"/>
      <c r="AB44" s="112"/>
      <c r="AC44" s="112"/>
      <c r="AD44" s="112"/>
      <c r="AE44" s="112"/>
      <c r="AF44" s="112"/>
      <c r="AG44" s="112"/>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DE44" s="1"/>
      <c r="DF44" s="33"/>
    </row>
    <row r="45" spans="1:111" s="15" customFormat="1" ht="18.75" customHeight="1" x14ac:dyDescent="0.35">
      <c r="A45" s="4"/>
      <c r="B45" s="4"/>
      <c r="C45" s="4"/>
      <c r="D45" s="4"/>
      <c r="E45" s="4"/>
      <c r="F45" s="4"/>
      <c r="G45" s="4"/>
      <c r="H45" s="4"/>
      <c r="I45" s="4"/>
      <c r="J45" s="4"/>
      <c r="K45" s="4"/>
      <c r="L45" s="4"/>
      <c r="M45" s="4"/>
      <c r="N45" s="4"/>
      <c r="O45" s="4"/>
      <c r="P45" s="4"/>
      <c r="Q45" s="4"/>
      <c r="R45" s="4"/>
      <c r="S45" s="4"/>
      <c r="T45" s="112"/>
      <c r="U45" s="112"/>
      <c r="V45" s="112"/>
      <c r="W45" s="112"/>
      <c r="X45" s="112"/>
      <c r="Y45" s="112"/>
      <c r="Z45" s="112"/>
      <c r="AA45" s="112"/>
      <c r="AB45" s="112"/>
      <c r="AC45" s="112"/>
      <c r="AD45" s="112"/>
      <c r="AE45" s="112"/>
      <c r="AF45" s="112"/>
      <c r="AG45" s="112"/>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DE45" s="1"/>
      <c r="DF45" s="33"/>
    </row>
    <row r="46" spans="1:111" s="15" customFormat="1" ht="18.75" customHeight="1" x14ac:dyDescent="0.35">
      <c r="A46" s="4"/>
      <c r="B46" s="4"/>
      <c r="C46" s="4"/>
      <c r="D46" s="4"/>
      <c r="E46" s="4"/>
      <c r="F46" s="4"/>
      <c r="G46" s="4"/>
      <c r="H46" s="4"/>
      <c r="I46" s="4"/>
      <c r="J46" s="4"/>
      <c r="K46" s="4"/>
      <c r="L46" s="4"/>
      <c r="M46" s="4"/>
      <c r="N46" s="4"/>
      <c r="O46" s="4"/>
      <c r="P46" s="4"/>
      <c r="Q46" s="4"/>
      <c r="R46" s="4"/>
      <c r="S46" s="4"/>
      <c r="T46" s="112"/>
      <c r="U46" s="112"/>
      <c r="V46" s="112"/>
      <c r="W46" s="112"/>
      <c r="X46" s="112"/>
      <c r="Y46" s="112"/>
      <c r="Z46" s="112"/>
      <c r="AA46" s="112"/>
      <c r="AB46" s="112"/>
      <c r="AC46" s="112"/>
      <c r="AD46" s="112"/>
      <c r="AE46" s="112"/>
      <c r="AF46" s="112"/>
      <c r="AG46" s="112"/>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DE46" s="1"/>
      <c r="DF46" s="33"/>
    </row>
    <row r="47" spans="1:111" s="15" customFormat="1" ht="12" customHeight="1" x14ac:dyDescent="0.35">
      <c r="A47" s="4"/>
      <c r="B47" s="4"/>
      <c r="C47" s="4"/>
      <c r="D47" s="4"/>
      <c r="E47" s="4"/>
      <c r="F47" s="4"/>
      <c r="G47" s="4"/>
      <c r="H47" s="4"/>
      <c r="I47" s="4"/>
      <c r="J47" s="4"/>
      <c r="K47" s="4"/>
      <c r="L47" s="4"/>
      <c r="M47" s="4"/>
      <c r="N47" s="4"/>
      <c r="O47" s="4"/>
      <c r="P47" s="4"/>
      <c r="Q47" s="4"/>
      <c r="R47" s="4"/>
      <c r="S47" s="4"/>
      <c r="T47" s="112"/>
      <c r="U47" s="112"/>
      <c r="V47" s="112"/>
      <c r="W47" s="112"/>
      <c r="X47" s="112"/>
      <c r="Y47" s="112"/>
      <c r="Z47" s="112"/>
      <c r="AA47" s="112"/>
      <c r="AB47" s="112"/>
      <c r="AC47" s="112"/>
      <c r="AD47" s="112"/>
      <c r="AE47" s="112"/>
      <c r="AF47" s="112"/>
      <c r="AG47" s="112"/>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DE47" s="1"/>
      <c r="DF47" s="33"/>
    </row>
    <row r="48" spans="1:111" s="15" customFormat="1" ht="12" customHeight="1" x14ac:dyDescent="0.35">
      <c r="A48" s="4"/>
      <c r="B48" s="4"/>
      <c r="C48" s="4"/>
      <c r="D48" s="4"/>
      <c r="E48" s="4"/>
      <c r="F48" s="4"/>
      <c r="G48" s="4"/>
      <c r="H48" s="4"/>
      <c r="I48" s="4"/>
      <c r="J48" s="4"/>
      <c r="K48" s="4"/>
      <c r="L48" s="4"/>
      <c r="M48" s="4"/>
      <c r="N48" s="4"/>
      <c r="O48" s="4"/>
      <c r="P48" s="4"/>
      <c r="Q48" s="4"/>
      <c r="R48" s="4"/>
      <c r="S48" s="4"/>
      <c r="T48" s="112"/>
      <c r="U48" s="112"/>
      <c r="V48" s="112"/>
      <c r="W48" s="112"/>
      <c r="X48" s="112"/>
      <c r="Y48" s="112"/>
      <c r="Z48" s="112"/>
      <c r="AA48" s="112"/>
      <c r="AB48" s="112"/>
      <c r="AC48" s="112"/>
      <c r="AD48" s="112"/>
      <c r="AE48" s="112"/>
      <c r="AF48" s="112"/>
      <c r="AG48" s="112"/>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DE48" s="1"/>
      <c r="DF48" s="33"/>
      <c r="DG48" s="33"/>
    </row>
    <row r="49" spans="1:111" s="15" customFormat="1" ht="12" customHeight="1" x14ac:dyDescent="0.35">
      <c r="A49" s="4"/>
      <c r="B49" s="4"/>
      <c r="C49" s="4"/>
      <c r="D49" s="4"/>
      <c r="E49" s="4"/>
      <c r="F49" s="4"/>
      <c r="G49" s="4"/>
      <c r="H49" s="4"/>
      <c r="I49" s="4"/>
      <c r="J49" s="4"/>
      <c r="K49" s="4"/>
      <c r="L49" s="4"/>
      <c r="M49" s="4"/>
      <c r="N49" s="4"/>
      <c r="O49" s="4"/>
      <c r="P49" s="4"/>
      <c r="Q49" s="4"/>
      <c r="R49" s="4"/>
      <c r="S49" s="4"/>
      <c r="T49" s="112"/>
      <c r="U49" s="112"/>
      <c r="V49" s="112"/>
      <c r="W49" s="112"/>
      <c r="X49" s="112"/>
      <c r="Y49" s="112"/>
      <c r="Z49" s="112"/>
      <c r="AA49" s="112"/>
      <c r="AB49" s="112"/>
      <c r="AC49" s="112"/>
      <c r="AD49" s="112"/>
      <c r="AE49" s="112"/>
      <c r="AF49" s="112"/>
      <c r="AG49" s="112"/>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DE49" s="1"/>
      <c r="DF49" s="33"/>
      <c r="DG49" s="33"/>
    </row>
    <row r="50" spans="1:111" s="15" customFormat="1" ht="12" customHeight="1" x14ac:dyDescent="0.35">
      <c r="A50" s="4"/>
      <c r="B50" s="4"/>
      <c r="C50" s="4"/>
      <c r="D50" s="4"/>
      <c r="E50" s="4"/>
      <c r="F50" s="4"/>
      <c r="G50" s="4"/>
      <c r="H50" s="4"/>
      <c r="I50" s="4"/>
      <c r="J50" s="4"/>
      <c r="K50" s="4"/>
      <c r="L50" s="4"/>
      <c r="M50" s="4"/>
      <c r="N50" s="4"/>
      <c r="O50" s="4"/>
      <c r="P50" s="4"/>
      <c r="Q50" s="4"/>
      <c r="R50" s="4"/>
      <c r="S50" s="4"/>
      <c r="T50" s="112"/>
      <c r="U50" s="112"/>
      <c r="V50" s="112"/>
      <c r="W50" s="112"/>
      <c r="X50" s="112"/>
      <c r="Y50" s="112"/>
      <c r="Z50" s="112"/>
      <c r="AA50" s="112"/>
      <c r="AB50" s="112"/>
      <c r="AC50" s="112"/>
      <c r="AD50" s="112"/>
      <c r="AE50" s="112"/>
      <c r="AF50" s="112"/>
      <c r="AG50" s="112"/>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DE50" s="1"/>
      <c r="DF50" s="33"/>
      <c r="DG50" s="33"/>
    </row>
    <row r="51" spans="1:111" s="15" customFormat="1" ht="12" customHeight="1" x14ac:dyDescent="0.35">
      <c r="A51" s="4"/>
      <c r="B51" s="4"/>
      <c r="C51" s="4"/>
      <c r="D51" s="4"/>
      <c r="E51" s="4"/>
      <c r="F51" s="4"/>
      <c r="G51" s="4"/>
      <c r="H51" s="4"/>
      <c r="I51" s="4"/>
      <c r="J51" s="4"/>
      <c r="K51" s="4"/>
      <c r="L51" s="4"/>
      <c r="M51" s="4"/>
      <c r="N51" s="4"/>
      <c r="O51" s="4"/>
      <c r="P51" s="4"/>
      <c r="Q51" s="4"/>
      <c r="R51" s="4"/>
      <c r="S51" s="4"/>
      <c r="T51" s="112"/>
      <c r="U51" s="112"/>
      <c r="V51" s="112"/>
      <c r="W51" s="112"/>
      <c r="X51" s="112"/>
      <c r="Y51" s="112"/>
      <c r="Z51" s="112"/>
      <c r="AA51" s="112"/>
      <c r="AB51" s="112"/>
      <c r="AC51" s="112"/>
      <c r="AD51" s="112"/>
      <c r="AE51" s="112"/>
      <c r="AF51" s="112"/>
      <c r="AG51" s="112"/>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DE51" s="1"/>
      <c r="DF51" s="33"/>
      <c r="DG51" s="33"/>
    </row>
    <row r="52" spans="1:111" s="15" customFormat="1" ht="12" customHeight="1" x14ac:dyDescent="0.35">
      <c r="A52" s="4"/>
      <c r="B52" s="4"/>
      <c r="C52" s="4"/>
      <c r="D52" s="4"/>
      <c r="E52" s="4"/>
      <c r="F52" s="4"/>
      <c r="G52" s="4"/>
      <c r="H52" s="4"/>
      <c r="I52" s="4"/>
      <c r="J52" s="4"/>
      <c r="K52" s="4"/>
      <c r="L52" s="4"/>
      <c r="M52" s="4"/>
      <c r="N52" s="4"/>
      <c r="O52" s="4"/>
      <c r="P52" s="4"/>
      <c r="Q52" s="4"/>
      <c r="R52" s="4"/>
      <c r="S52" s="4"/>
      <c r="T52" s="112"/>
      <c r="U52" s="112"/>
      <c r="V52" s="112"/>
      <c r="W52" s="112"/>
      <c r="X52" s="112"/>
      <c r="Y52" s="112"/>
      <c r="Z52" s="112"/>
      <c r="AA52" s="112"/>
      <c r="AB52" s="112"/>
      <c r="AC52" s="112"/>
      <c r="AD52" s="112"/>
      <c r="AE52" s="112"/>
      <c r="AF52" s="112"/>
      <c r="AG52" s="112"/>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DE52" s="1"/>
      <c r="DF52" s="33"/>
      <c r="DG52" s="33"/>
    </row>
    <row r="53" spans="1:111" s="15" customFormat="1" ht="12" customHeight="1" x14ac:dyDescent="0.35">
      <c r="A53" s="4"/>
      <c r="B53" s="4"/>
      <c r="C53" s="4"/>
      <c r="D53" s="4"/>
      <c r="E53" s="4"/>
      <c r="F53" s="4"/>
      <c r="G53" s="4"/>
      <c r="H53" s="4"/>
      <c r="I53" s="4"/>
      <c r="J53" s="4"/>
      <c r="K53" s="4"/>
      <c r="L53" s="4"/>
      <c r="M53" s="4"/>
      <c r="N53" s="4"/>
      <c r="O53" s="4"/>
      <c r="P53" s="4"/>
      <c r="Q53" s="4"/>
      <c r="R53" s="4"/>
      <c r="S53" s="4"/>
      <c r="T53" s="112"/>
      <c r="U53" s="112"/>
      <c r="V53" s="112"/>
      <c r="W53" s="112"/>
      <c r="X53" s="112"/>
      <c r="Y53" s="112"/>
      <c r="Z53" s="112"/>
      <c r="AA53" s="112"/>
      <c r="AB53" s="112"/>
      <c r="AC53" s="112"/>
      <c r="AD53" s="112"/>
      <c r="AE53" s="112"/>
      <c r="AF53" s="112"/>
      <c r="AG53" s="112"/>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DE53" s="1"/>
      <c r="DF53" s="33"/>
      <c r="DG53" s="33"/>
    </row>
    <row r="54" spans="1:111" s="15" customFormat="1" ht="12" customHeight="1" x14ac:dyDescent="0.35">
      <c r="A54" s="4"/>
      <c r="B54" s="4"/>
      <c r="C54" s="4"/>
      <c r="D54" s="4"/>
      <c r="E54" s="4"/>
      <c r="F54" s="4"/>
      <c r="G54" s="4"/>
      <c r="H54" s="4"/>
      <c r="I54" s="4"/>
      <c r="J54" s="4"/>
      <c r="K54" s="4"/>
      <c r="L54" s="4"/>
      <c r="M54" s="4"/>
      <c r="N54" s="4"/>
      <c r="O54" s="4"/>
      <c r="P54" s="4"/>
      <c r="Q54" s="4"/>
      <c r="R54" s="4"/>
      <c r="S54" s="4"/>
      <c r="T54" s="112"/>
      <c r="U54" s="112"/>
      <c r="V54" s="112"/>
      <c r="W54" s="112"/>
      <c r="X54" s="112"/>
      <c r="Y54" s="112"/>
      <c r="Z54" s="112"/>
      <c r="AA54" s="112"/>
      <c r="AB54" s="112"/>
      <c r="AC54" s="112"/>
      <c r="AD54" s="112"/>
      <c r="AE54" s="112"/>
      <c r="AF54" s="112"/>
      <c r="AG54" s="112"/>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DE54" s="1"/>
      <c r="DF54" s="33"/>
      <c r="DG54" s="33"/>
    </row>
  </sheetData>
  <dataConsolidate/>
  <conditionalFormatting sqref="H25:K25 AA3:AD26">
    <cfRule type="cellIs" dxfId="1325" priority="1" operator="between">
      <formula>0.4</formula>
      <formula>0.6</formula>
    </cfRule>
    <cfRule type="cellIs" dxfId="1324" priority="2" operator="greaterThan">
      <formula>0.8</formula>
    </cfRule>
    <cfRule type="cellIs" dxfId="1323" priority="3" operator="between">
      <formula>0.6</formula>
      <formula>0.8</formula>
    </cfRule>
    <cfRule type="cellIs" dxfId="1322" priority="4" operator="between">
      <formula>0.2</formula>
      <formula>0.4</formula>
    </cfRule>
    <cfRule type="cellIs" dxfId="1321" priority="5" operator="between">
      <formula>0</formula>
      <formula>0.2</formula>
    </cfRule>
  </conditionalFormatting>
  <pageMargins left="0.19685039370078741" right="0.19685039370078741" top="0.78740157480314965" bottom="0.74803149606299213" header="0.11811023622047245" footer="0.31496062992125984"/>
  <pageSetup paperSize="9" scale="93" fitToHeight="0" orientation="portrait" r:id="rId1"/>
  <headerFooter scaleWithDoc="0">
    <oddHeader>&amp;L&amp;18&amp;G&amp;C&amp;18Kachin  IDPs camps
Situation JUly 2013&amp;R&amp;G</oddHeader>
  </headerFooter>
  <rowBreaks count="1" manualBreakCount="1">
    <brk id="22" max="16383" man="1"/>
  </rowBreaks>
  <drawing r:id="rId2"/>
  <legacyDrawing r:id="rId3"/>
  <legacyDrawingHF r:id="rId4"/>
  <controls>
    <mc:AlternateContent xmlns:mc="http://schemas.openxmlformats.org/markup-compatibility/2006">
      <mc:Choice Requires="x14">
        <control shapeId="64513" r:id="rId5" name="CommandButton1">
          <controlPr defaultSize="0" autoLine="0" r:id="rId6">
            <anchor moveWithCells="1">
              <from>
                <xdr:col>15</xdr:col>
                <xdr:colOff>0</xdr:colOff>
                <xdr:row>0</xdr:row>
                <xdr:rowOff>133350</xdr:rowOff>
              </from>
              <to>
                <xdr:col>18</xdr:col>
                <xdr:colOff>1419225</xdr:colOff>
                <xdr:row>5</xdr:row>
                <xdr:rowOff>47625</xdr:rowOff>
              </to>
            </anchor>
          </controlPr>
        </control>
      </mc:Choice>
      <mc:Fallback>
        <control shapeId="64513" r:id="rId5" name="CommandButton1"/>
      </mc:Fallback>
    </mc:AlternateContent>
    <mc:AlternateContent xmlns:mc="http://schemas.openxmlformats.org/markup-compatibility/2006">
      <mc:Choice Requires="x14">
        <control shapeId="64514" r:id="rId7" name="Label 2">
          <controlPr defaultSize="0" autoFill="0" autoLine="0" autoPict="0">
            <anchor moveWithCells="1" sizeWithCells="1">
              <from>
                <xdr:col>0</xdr:col>
                <xdr:colOff>285750</xdr:colOff>
                <xdr:row>5</xdr:row>
                <xdr:rowOff>219075</xdr:rowOff>
              </from>
              <to>
                <xdr:col>0</xdr:col>
                <xdr:colOff>647700</xdr:colOff>
                <xdr:row>6</xdr:row>
                <xdr:rowOff>209550</xdr:rowOff>
              </to>
            </anchor>
          </controlPr>
        </control>
      </mc:Choice>
    </mc:AlternateContent>
    <mc:AlternateContent xmlns:mc="http://schemas.openxmlformats.org/markup-compatibility/2006">
      <mc:Choice Requires="x14">
        <control shapeId="64515" r:id="rId8" name="Label 3">
          <controlPr defaultSize="0" autoFill="0" autoLine="0" autoPict="0">
            <anchor moveWithCells="1" sizeWithCells="1">
              <from>
                <xdr:col>0</xdr:col>
                <xdr:colOff>809625</xdr:colOff>
                <xdr:row>5</xdr:row>
                <xdr:rowOff>209550</xdr:rowOff>
              </from>
              <to>
                <xdr:col>1</xdr:col>
                <xdr:colOff>314325</xdr:colOff>
                <xdr:row>6</xdr:row>
                <xdr:rowOff>200025</xdr:rowOff>
              </to>
            </anchor>
          </controlPr>
        </control>
      </mc:Choice>
    </mc:AlternateContent>
    <mc:AlternateContent xmlns:mc="http://schemas.openxmlformats.org/markup-compatibility/2006">
      <mc:Choice Requires="x14">
        <control shapeId="64516" r:id="rId9" name="Label 4">
          <controlPr defaultSize="0" autoFill="0" autoLine="0" autoPict="0">
            <anchor moveWithCells="1" sizeWithCells="1">
              <from>
                <xdr:col>1</xdr:col>
                <xdr:colOff>704850</xdr:colOff>
                <xdr:row>5</xdr:row>
                <xdr:rowOff>238125</xdr:rowOff>
              </from>
              <to>
                <xdr:col>2</xdr:col>
                <xdr:colOff>247650</xdr:colOff>
                <xdr:row>6</xdr:row>
                <xdr:rowOff>219075</xdr:rowOff>
              </to>
            </anchor>
          </controlPr>
        </control>
      </mc:Choice>
    </mc:AlternateContent>
    <mc:AlternateContent xmlns:mc="http://schemas.openxmlformats.org/markup-compatibility/2006">
      <mc:Choice Requires="x14">
        <control shapeId="64518" r:id="rId10" name="Label 6">
          <controlPr defaultSize="0" autoFill="0" autoLine="0" autoPict="0">
            <anchor moveWithCells="1" sizeWithCells="1">
              <from>
                <xdr:col>0</xdr:col>
                <xdr:colOff>695325</xdr:colOff>
                <xdr:row>1</xdr:row>
                <xdr:rowOff>9525</xdr:rowOff>
              </from>
              <to>
                <xdr:col>1</xdr:col>
                <xdr:colOff>781050</xdr:colOff>
                <xdr:row>1</xdr:row>
                <xdr:rowOff>247650</xdr:rowOff>
              </to>
            </anchor>
          </controlPr>
        </control>
      </mc:Choice>
    </mc:AlternateContent>
  </controls>
  <tableParts count="1">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w o r k b o o k c u s t o m i z a t i o n / M e t a d a t a R e c o v e r y I n f o r m a t i o n " > < C u s t o m C o n t e n t > < ! [ C D A T A [ < ? x m l   v e r s i o n = " 1 . 0 "   e n c o d i n g = " u t f - 1 6 " ? > < C r e a t e   A l l o w O v e r w r i t e = " t r u e "   x m l n s = " h t t p : / / s c h e m a s . m i c r o s o f t . c o m / a n a l y s i s s e r v i c e s / 2 0 0 3 / e n g i n e " > < O b j e c t D e f i n i t i o n > < D a t a b a s e   x m l n s : x s d = " h t t p : / / w w w . w 3 . o r g / 2 0 0 1 / X M L S c h e m a "   x m l n s : x s i = " h t t p : / / w w w . w 3 . o r g / 2 0 0 1 / X M L S c h e m a - i n s t a n c e "   x m l n s : d d l 2 = " h t t p : / / s c h e m a s . m i c r o s o f t . c o m / a n a l y s i s s e r v i c e s / 2 0 0 3 / e n g i n e / 2 "   x m l n s : d d l 2 _ 2 = " h t t p : / / s c h e m a s . m i c r o s o f t . c o m / a n a l y s i s s e r v i c e s / 2 0 0 3 / e n g i n e / 2 / 2 "   x m l n s : d d l 1 0 0 _ 1 0 0 = " h t t p : / / s c h e m a s . m i c r o s o f t . c o m / a n a l y s i s s e r v i c e s / 2 0 0 8 / e n g i n e / 1 0 0 / 1 0 0 "   x m l n s : d d l 2 0 0 = " h t t p : / / s c h e m a s . m i c r o s o f t . c o m / a n a l y s i s s e r v i c e s / 2 0 1 0 / e n g i n e / 2 0 0 "   x m l n s : d d l 2 0 0 _ 2 0 0 = " h t t p : / / s c h e m a s . m i c r o s o f t . c o m / a n a l y s i s s e r v i c e s / 2 0 1 0 / e n g i n e / 2 0 0 / 2 0 0 " > < I D > b f 6 0 9 6 4 b - a 7 0 d - 4 9 6 7 - b 5 b 6 - d 2 6 9 d 4 1 d f c 0 b < / I D > < N a m e > M i c r o s o f t _ S Q L S e r v e r _ A n a l y s i s S e r v i c e s < / N a m e > < L a n g u a g e > 1 0 3 3 < / L a n g u a g e > < D a t a S o u r c e I m p e r s o n a t i o n I n f o > < I m p e r s o n a t i o n M o d e > D e f a u l t < / I m p e r s o n a t i o n M o d e > < / D a t a S o u r c e I m p e r s o n a t i o n I n f o > < D i m e n s i o n s > < D i m e n s i o n > < I D > T a b l e _ C a m p L i s t < / I D > < N a m e > T a b l e _ C a m p L i s t < / N a m e > < U n k n o w n M e m b e r   v a l u e n s = " d d l 2 0 0 _ 2 0 0 " > A u t o m a t i c N u l l < / U n k n o w n M e m b e r > < S t o r a g e M o d e   v a l u e n s = " d d l 2 0 0 _ 2 0 0 " > I n M e m o r y < / S t o r a g e M o d e > < L a n g u a g e > 1 0 3 3 < / L a n g u a g e > < U n k n o w n M e m b e r N a m e > U n k n o w n < / U n k n o w n M e m b e r N a m e > < A t t r i b u t e s > < A t t r i b u t e > < I D > S r   N o < / I D > < N a m e > S r   N o < / N a m e > < D e s c r i p t i o n > A < / D e s c r i p t i o n > < K e y C o l u m n s > < K e y C o l u m n > < N u l l P r o c e s s i n g > P r e s e r v e < / N u l l P r o c e s s i n g > < D a t a T y p e > B i g I n t < / D a t a T y p e > < / K e y C o l u m n > < / K e y C o l u m n s > < N a m e C o l u m n > < N u l l P r o c e s s i n g > Z e r o O r B l a n k < / N u l l P r o c e s s i n g > < D a t a T y p e > W C h a r < / D a t a T y p e > < / N a m e C o l u m n > < O r d e r B y > K e y < / O r d e r B y > < / A t t r i b u t e > < A t t r i b u t e > < I D > U p d a t e   D a t e < / I D > < N a m e > U p d a t e   D a t e < / N a m e > < D e s c r i p t i o n > B < / D e s c r i p t i o n > < K e y C o l u m n s > < K e y C o l u m n > < N u l l P r o c e s s i n g > P r e s e r v e < / N u l l P r o c e s s i n g > < D a t a T y p e > D a t e < / D a t a T y p e > < / K e y C o l u m n > < / K e y C o l u m n s > < N a m e C o l u m n > < N u l l P r o c e s s i n g > Z e r o O r B l a n k < / N u l l P r o c e s s i n g > < D a t a T y p e > W C h a r < / D a t a T y p e > < / N a m e C o l u m n > < O r d e r B y > K e y < / O r d e r B y > < / A t t r i b u t e > < A t t r i b u t e > < I D > S t a t u s < / I D > < N a m e > S t a t u s < / N a m e > < D e s c r i p t i o n > C < / D e s c r i p t i o n > < K e y C o l u m n s > < K e y C o l u m n > < N u l l P r o c e s s i n g > P r e s e r v e < / N u l l P r o c e s s i n g > < D a t a T y p e > W C h a r < / D a t a T y p e > < / K e y C o l u m n > < / K e y C o l u m n s > < N a m e C o l u m n > < N u l l P r o c e s s i n g > Z e r o O r B l a n k < / N u l l P r o c e s s i n g > < D a t a T y p e > W C h a r < / D a t a T y p e > < / N a m e C o l u m n > < O r d e r B y > K e y < / O r d e r B y > < / A t t r i b u t e > < A t t r i b u t e > < I D > S t a t e < / I D > < N a m e > S t a t e < / N a m e > < D e s c r i p t i o n > D < / D e s c r i p t i o n > < K e y C o l u m n s > < K e y C o l u m n > < N u l l P r o c e s s i n g > P r e s e r v e < / N u l l P r o c e s s i n g > < D a t a T y p e > W C h a r < / D a t a T y p e > < / K e y C o l u m n > < / K e y C o l u m n s > < N a m e C o l u m n > < N u l l P r o c e s s i n g > Z e r o O r B l a n k < / N u l l P r o c e s s i n g > < D a t a T y p e > W C h a r < / D a t a T y p e > < / N a m e C o l u m n > < O r d e r B y > K e y < / O r d e r B y > < / A t t r i b u t e > < A t t r i b u t e > < I D > S t a t e _ P c o d e < / I D > < N a m e > S t a t e _ P c o d e < / N a m e > < D e s c r i p t i o n > E < / D e s c r i p t i o n > < K e y C o l u m n s > < K e y C o l u m n > < N u l l P r o c e s s i n g > P r e s e r v e < / N u l l P r o c e s s i n g > < D a t a T y p e > W C h a r < / D a t a T y p e > < / K e y C o l u m n > < / K e y C o l u m n s > < N a m e C o l u m n > < N u l l P r o c e s s i n g > Z e r o O r B l a n k < / N u l l P r o c e s s i n g > < D a t a T y p e > W C h a r < / D a t a T y p e > < / N a m e C o l u m n > < O r d e r B y > K e y < / O r d e r B y > < / A t t r i b u t e > < A t t r i b u t e > < I D > T O W N S H I P _ N A M E < / I D > < N a m e > T O W N S H I P _ N A M E < / N a m e > < D e s c r i p t i o n > F < / D e s c r i p t i o n > < K e y C o l u m n s > < K e y C o l u m n > < N u l l P r o c e s s i n g > P r e s e r v e < / N u l l P r o c e s s i n g > < D a t a T y p e > W C h a r < / D a t a T y p e > < / K e y C o l u m n > < / K e y C o l u m n s > < N a m e C o l u m n > < N u l l P r o c e s s i n g > Z e r o O r B l a n k < / N u l l P r o c e s s i n g > < D a t a T y p e > W C h a r < / D a t a T y p e > < / N a m e C o l u m n > < O r d e r B y > K e y < / O r d e r B y > < / A t t r i b u t e > < A t t r i b u t e > < I D > T o w n s h i p _ P c o d e < / I D > < N a m e > T o w n s h i p _ P c o d e < / N a m e > < D e s c r i p t i o n > G < / D e s c r i p t i o n > < K e y C o l u m n s > < K e y C o l u m n > < N u l l P r o c e s s i n g > P r e s e r v e < / N u l l P r o c e s s i n g > < D a t a T y p e > W C h a r < / D a t a T y p e > < / K e y C o l u m n > < / K e y C o l u m n s > < N a m e C o l u m n > < N u l l P r o c e s s i n g > Z e r o O r B l a n k < / N u l l P r o c e s s i n g > < D a t a T y p e > W C h a r < / D a t a T y p e > < / N a m e C o l u m n > < O r d e r B y > K e y < / O r d e r B y > < / A t t r i b u t e > < A t t r i b u t e > < I D > V i l l a g e T r a c K T o w n _ N a m e < / I D > < N a m e > V i l l a g e T r a c K T o w n _ N a m e < / N a m e > < D e s c r i p t i o n > H < / D e s c r i p t i o n > < K e y C o l u m n s > < K e y C o l u m n > < N u l l P r o c e s s i n g > P r e s e r v e < / N u l l P r o c e s s i n g > < D a t a T y p e > W C h a r < / D a t a T y p e > < / K e y C o l u m n > < / K e y C o l u m n s > < N a m e C o l u m n > < N u l l P r o c e s s i n g > Z e r o O r B l a n k < / N u l l P r o c e s s i n g > < D a t a T y p e > W C h a r < / D a t a T y p e > < / N a m e C o l u m n > < O r d e r B y > K e y < / O r d e r B y > < / A t t r i b u t e > < A t t r i b u t e > < I D > V i l l a g e T r a c k T o w n _ P c o d e < / I D > < N a m e > V i l l a g e T r a c k T o w n _ P c o d e < / N a m e > < D e s c r i p t i o n > I < / D e s c r i p t i o n > < K e y C o l u m n s > < K e y C o l u m n > < N u l l P r o c e s s i n g > P r e s e r v e < / N u l l P r o c e s s i n g > < D a t a T y p e > W C h a r < / D a t a T y p e > < / K e y C o l u m n > < / K e y C o l u m n s > < N a m e C o l u m n > < N u l l P r o c e s s i n g > Z e r o O r B l a n k < / N u l l P r o c e s s i n g > < D a t a T y p e > W C h a r < / D a t a T y p e > < / N a m e C o l u m n > < O r d e r B y > K e y < / O r d e r B y > < / A t t r i b u t e > < A t t r i b u t e > < I D > V i l l a g e W a r d _ N a m e < / I D > < N a m e > V i l l a g e W a r d _ N a m e < / N a m e > < D e s c r i p t i o n > J < / D e s c r i p t i o n > < K e y C o l u m n s > < K e y C o l u m n > < N u l l P r o c e s s i n g > P r e s e r v e < / N u l l P r o c e s s i n g > < D a t a T y p e > W C h a r < / D a t a T y p e > < / K e y C o l u m n > < / K e y C o l u m n s > < N a m e C o l u m n > < N u l l P r o c e s s i n g > Z e r o O r B l a n k < / N u l l P r o c e s s i n g > < D a t a T y p e > W C h a r < / D a t a T y p e > < / N a m e C o l u m n > < O r d e r B y > K e y < / O r d e r B y > < / A t t r i b u t e > < A t t r i b u t e > < I D > V i l l a g e W a r d _ P c o d e < / I D > < N a m e > V i l l a g e W a r d _ P c o d e < / N a m e > < D e s c r i p t i o n > K < / D e s c r i p t i o n > < K e y C o l u m n s > < K e y C o l u m n > < N u l l P r o c e s s i n g > P r e s e r v e < / N u l l P r o c e s s i n g > < D a t a T y p e > W C h a r < / D a t a T y p e > < / K e y C o l u m n > < / K e y C o l u m n s > < N a m e C o l u m n > < N u l l P r o c e s s i n g > Z e r o O r B l a n k < / N u l l P r o c e s s i n g > < D a t a T y p e > W C h a r < / D a t a T y p e > < / N a m e C o l u m n > < O r d e r B y > K e y < / O r d e r B y > < / A t t r i b u t e > < A t t r i b u t e > < I D > C a m p   N a m e < / I D > < N a m e > C a m p   N a m e < / N a m e > < D e s c r i p t i o n > L < / D e s c r i p t i o n > < K e y C o l u m n s > < K e y C o l u m n > < N u l l P r o c e s s i n g > P r e s e r v e < / N u l l P r o c e s s i n g > < D a t a T y p e > W C h a r < / D a t a T y p e > < / K e y C o l u m n > < / K e y C o l u m n s > < N a m e C o l u m n > < N u l l P r o c e s s i n g > Z e r o O r B l a n k < / N u l l P r o c e s s i n g > < D a t a T y p e > W C h a r < / D a t a T y p e > < / N a m e C o l u m n > < O r d e r B y > K e y < / O r d e r B y > < / A t t r i b u t e > < A t t r i b u t e > < I D > P _ C o d e < / I D > < N a m e > P _ C o d e < / N a m e > < D e s c r i p t i o n > M < / D e s c r i p t i o n > < K e y C o l u m n s > < K e y C o l u m n > < N u l l P r o c e s s i n g > P r e s e r v e < / N u l l P r o c e s s i n g > < D a t a T y p e > W C h a r < / D a t a T y p e > < / K e y C o l u m n > < / K e y C o l u m n s > < N a m e C o l u m n > < N u l l P r o c e s s i n g > Z e r o O r B l a n k < / N u l l P r o c e s s i n g > < D a t a T y p e > W C h a r < / D a t a T y p e > < / N a m e C o l u m n > < O r d e r B y > K e y < / O r d e r B y > < / A t t r i b u t e > < A t t r i b u t e > < I D > A c c e s s i b i l i t y < / I D > < N a m e > A c c e s s i b i l i t y < / N a m e > < D e s c r i p t i o n > N < / D e s c r i p t i o n > < K e y C o l u m n s > < K e y C o l u m n > < N u l l P r o c e s s i n g > P r e s e r v e < / N u l l P r o c e s s i n g > < D a t a T y p e > W C h a r < / D a t a T y p e > < / K e y C o l u m n > < / K e y C o l u m n s > < N a m e C o l u m n > < N u l l P r o c e s s i n g > Z e r o O r B l a n k < / N u l l P r o c e s s i n g > < D a t a T y p e > W C h a r < / D a t a T y p e > < / N a m e C o l u m n > < O r d e r B y > K e y < / O r d e r B y > < / A t t r i b u t e > < A t t r i b u t e > < I D > L o n g i t u d e < / I D > < N a m e > L o n g i t u d e < / N a m e > < D e s c r i p t i o n > O < / D e s c r i p t i o n > < K e y C o l u m n s > < K e y C o l u m n > < N u l l P r o c e s s i n g > P r e s e r v e < / N u l l P r o c e s s i n g > < D a t a T y p e > W C h a r < / D a t a T y p e > < / K e y C o l u m n > < / K e y C o l u m n s > < N a m e C o l u m n > < N u l l P r o c e s s i n g > Z e r o O r B l a n k < / N u l l P r o c e s s i n g > < D a t a T y p e > W C h a r < / D a t a T y p e > < / N a m e C o l u m n > < O r d e r B y > K e y < / O r d e r B y > < / A t t r i b u t e > < A t t r i b u t e > < I D > L a t i t u d e < / I D > < N a m e > L a t i t u d e < / N a m e > < D e s c r i p t i o n > P < / D e s c r i p t i o n > < K e y C o l u m n s > < K e y C o l u m n > < N u l l P r o c e s s i n g > P r e s e r v e < / N u l l P r o c e s s i n g > < D a t a T y p e > W C h a r < / D a t a T y p e > < / K e y C o l u m n > < / K e y C o l u m n s > < N a m e C o l u m n > < N u l l P r o c e s s i n g > Z e r o O r B l a n k < / N u l l P r o c e s s i n g > < D a t a T y p e > W C h a r < / D a t a T y p e > < / N a m e C o l u m n > < O r d e r B y > K e y < / O r d e r B y > < / A t t r i b u t e > < A t t r i b u t e > < I D > H H < / I D > < N a m e > H H < / N a m e > < D e s c r i p t i o n > Q < / D e s c r i p t i o n > < K e y C o l u m n s > < K e y C o l u m n > < N u l l P r o c e s s i n g > P r e s e r v e < / N u l l P r o c e s s i n g > < D a t a T y p e > W C h a r < / D a t a T y p e > < / K e y C o l u m n > < / K e y C o l u m n s > < N a m e C o l u m n > < N u l l P r o c e s s i n g > Z e r o O r B l a n k < / N u l l P r o c e s s i n g > < D a t a T y p e > W C h a r < / D a t a T y p e > < / N a m e C o l u m n > < O r d e r B y > K e y < / O r d e r B y > < / A t t r i b u t e > < A t t r i b u t e > < I D > T o t a l < / I D > < N a m e > T o t a l < / N a m e > < D e s c r i p t i o n > R < / D e s c r i p t i o n > < K e y C o l u m n s > < K e y C o l u m n > < N u l l P r o c e s s i n g > P r e s e r v e < / N u l l P r o c e s s i n g > < D a t a T y p e > W C h a r < / D a t a T y p e > < / K e y C o l u m n > < / K e y C o l u m n s > < N a m e C o l u m n > < N u l l P r o c e s s i n g > Z e r o O r B l a n k < / N u l l P r o c e s s i n g > < D a t a T y p e > W C h a r < / D a t a T y p e > < / N a m e C o l u m n > < O r d e r B y > K e y < / O r d e r B y > < / A t t r i b u t e > < A t t r i b u t e > < I D > A v g < / I D > < N a m e > A v g < / N a m e > < D e s c r i p t i o n > S < / D e s c r i p t i o n > < K e y C o l u m n s > < K e y C o l u m n > < N u l l P r o c e s s i n g > P r e s e r v e < / N u l l P r o c e s s i n g > < D a t a T y p e > D o u b l e < / D a t a T y p e > < / K e y C o l u m n > < / K e y C o l u m n s > < N a m e C o l u m n > < N u l l P r o c e s s i n g > Z e r o O r B l a n k < / N u l l P r o c e s s i n g > < D a t a T y p e > W C h a r < / D a t a T y p e > < / N a m e C o l u m n > < O r d e r B y > K e y < / O r d e r B y > < / A t t r i b u t e > < A t t r i b u t e > < I D > S o u r c e < / I D > < N a m e > S o u r c e < / N a m e > < D e s c r i p t i o n > T < / D e s c r i p t i o n > < K e y C o l u m n s > < K e y C o l u m n > < N u l l P r o c e s s i n g > P r e s e r v e < / N u l l P r o c e s s i n g > < D a t a T y p e > W C h a r < / D a t a T y p e > < / K e y C o l u m n > < / K e y C o l u m n s > < N a m e C o l u m n > < N u l l P r o c e s s i n g > Z e r o O r B l a n k < / N u l l P r o c e s s i n g > < D a t a T y p e > W C h a r < / D a t a T y p e > < / N a m e C o l u m n > < O r d e r B y > K e y < / O r d e r B y > < / A t t r i b u t e > < A t t r i b u t e > < I D > M e t h o d < / I D > < N a m e > M e t h o d < / N a m e > < D e s c r i p t i o n > U < / D e s c r i p t i o n > < K e y C o l u m n s > < K e y C o l u m n > < N u l l P r o c e s s i n g > P r e s e r v e < / N u l l P r o c e s s i n g > < D a t a T y p e > W C h a r < / D a t a T y p e > < / K e y C o l u m n > < / K e y C o l u m n s > < N a m e C o l u m n > < N u l l P r o c e s s i n g > Z e r o O r B l a n k < / N u l l P r o c e s s i n g > < D a t a T y p e > W C h a r < / D a t a T y p e > < / N a m e C o l u m n > < O r d e r B y > K e y < / O r d e r B y > < / A t t r i b u t e > < A t t r i b u t e > < I D > T y p e   o f   A c c o m o d a t i o n < / I D > < N a m e > T y p e   o f   A c c o m o d a t i o n < / N a m e > < D e s c r i p t i o n > V < / D e s c r i p t i o n > < K e y C o l u m n s > < K e y C o l u m n > < N u l l P r o c e s s i n g > P r e s e r v e < / N u l l P r o c e s s i n g > < D a t a T y p e > W C h a r < / D a t a T y p e > < / K e y C o l u m n > < / K e y C o l u m n s > < N a m e C o l u m n > < N u l l P r o c e s s i n g > Z e r o O r B l a n k < / N u l l P r o c e s s i n g > < D a t a T y p e > W C h a r < / D a t a T y p e > < / N a m e C o l u m n > < O r d e r B y > K e y < / O r d e r B y > < / A t t r i b u t e > < A t t r i b u t e > < I D > C o m m e n t < / I D > < N a m e > C o m m e n t < / N a m e > < D e s c r i p t i o n > W < / D e s c r i p t i o n > < K e y C o l u m n s > < K e y C o l u m n > < N u l l P r o c e s s i n g > P r e s e r v e < / N u l l P r o c e s s i n g > < D a t a T y p e > W C h a r < / D a t a T y p e > < / K e y C o l u m n > < / K e y C o l u m n s > < N a m e C o l u m n > < N u l l P r o c e s s i n g > Z e r o O r B l a n k < / N u l l P r o c e s s i n g > < D a t a T y p e > W C h a r < / D a t a T y p e > < / N a m e C o l u m n > < O r d e r B y > K e y < / O r d e r B y > < / A t t r i b u t e > < 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 S r   N o < / A t t r i b u t e I D > < O v e r r i d e B e h a v i o r > N o n e < / O v e r r i d e B e h a v i o r > < N a m e > S r   N o < / N a m e > < / A t t r i b u t e R e l a t i o n s h i p > < A t t r i b u t e R e l a t i o n s h i p > < A t t r i b u t e I D > U p d a t e   D a t e < / A t t r i b u t e I D > < O v e r r i d e B e h a v i o r > N o n e < / O v e r r i d e B e h a v i o r > < N a m e > U p d a t e   D a t e < / N a m e > < / A t t r i b u t e R e l a t i o n s h i p > < A t t r i b u t e R e l a t i o n s h i p > < A t t r i b u t e I D > S t a t u s < / A t t r i b u t e I D > < O v e r r i d e B e h a v i o r > N o n e < / O v e r r i d e B e h a v i o r > < N a m e > S t a t u s < / N a m e > < / A t t r i b u t e R e l a t i o n s h i p > < A t t r i b u t e R e l a t i o n s h i p > < A t t r i b u t e I D > S t a t e < / A t t r i b u t e I D > < O v e r r i d e B e h a v i o r > N o n e < / O v e r r i d e B e h a v i o r > < N a m e > S t a t e < / N a m e > < / A t t r i b u t e R e l a t i o n s h i p > < A t t r i b u t e R e l a t i o n s h i p > < A t t r i b u t e I D > S t a t e _ P c o d e < / A t t r i b u t e I D > < O v e r r i d e B e h a v i o r > N o n e < / O v e r r i d e B e h a v i o r > < N a m e > S t a t e _ P c o d e < / N a m e > < / A t t r i b u t e R e l a t i o n s h i p > < A t t r i b u t e R e l a t i o n s h i p > < A t t r i b u t e I D > T O W N S H I P _ N A M E < / A t t r i b u t e I D > < O v e r r i d e B e h a v i o r > N o n e < / O v e r r i d e B e h a v i o r > < N a m e > T O W N S H I P _ N A M E < / N a m e > < / A t t r i b u t e R e l a t i o n s h i p > < A t t r i b u t e R e l a t i o n s h i p > < A t t r i b u t e I D > T o w n s h i p _ P c o d e < / A t t r i b u t e I D > < O v e r r i d e B e h a v i o r > N o n e < / O v e r r i d e B e h a v i o r > < N a m e > T o w n s h i p _ P c o d e < / N a m e > < / A t t r i b u t e R e l a t i o n s h i p > < A t t r i b u t e R e l a t i o n s h i p > < A t t r i b u t e I D > C a m p   N a m e < / A t t r i b u t e I D > < O v e r r i d e B e h a v i o r > N o n e < / O v e r r i d e B e h a v i o r > < N a m e > C a m p   N a m e < / N a m e > < / A t t r i b u t e R e l a t i o n s h i p > < A t t r i b u t e R e l a t i o n s h i p > < A t t r i b u t e I D > P _ C o d e < / A t t r i b u t e I D > < O v e r r i d e B e h a v i o r > N o n e < / O v e r r i d e B e h a v i o r > < N a m e > P _ C o d e < / N a m e > < / A t t r i b u t e R e l a t i o n s h i p > < A t t r i b u t e R e l a t i o n s h i p > < A t t r i b u t e I D > A c c e s s i b i l i t y < / A t t r i b u t e I D > < O v e r r i d e B e h a v i o r > N o n e < / O v e r r i d e B e h a v i o r > < N a m e > A c c e s s i b i l i t y < / N a m e > < / A t t r i b u t e R e l a t i o n s h i p > < A t t r i b u t e R e l a t i o n s h i p > < A t t r i b u t e I D > L o n g i t u d e < / A t t r i b u t e I D > < O v e r r i d e B e h a v i o r > N o n e < / O v e r r i d e B e h a v i o r > < N a m e > L o n g i t u d e < / N a m e > < / A t t r i b u t e R e l a t i o n s h i p > < A t t r i b u t e R e l a t i o n s h i p > < A t t r i b u t e I D > L a t i t u d e < / A t t r i b u t e I D > < O v e r r i d e B e h a v i o r > N o n e < / O v e r r i d e B e h a v i o r > < N a m e > L a t i t u d e < / N a m e > < / A t t r i b u t e R e l a t i o n s h i p > < A t t r i b u t e R e l a t i o n s h i p > < A t t r i b u t e I D > H H < / A t t r i b u t e I D > < O v e r r i d e B e h a v i o r > N o n e < / O v e r r i d e B e h a v i o r > < N a m e > H H < / N a m e > < / A t t r i b u t e R e l a t i o n s h i p > < A t t r i b u t e R e l a t i o n s h i p > < A t t r i b u t e I D > T o t a l < / A t t r i b u t e I D > < O v e r r i d e B e h a v i o r > N o n e < / O v e r r i d e B e h a v i o r > < N a m e > T o t a l < / N a m e > < / A t t r i b u t e R e l a t i o n s h i p > < A t t r i b u t e R e l a t i o n s h i p > < A t t r i b u t e I D > A v g < / A t t r i b u t e I D > < O v e r r i d e B e h a v i o r > N o n e < / O v e r r i d e B e h a v i o r > < N a m e > A v g < / N a m e > < / A t t r i b u t e R e l a t i o n s h i p > < A t t r i b u t e R e l a t i o n s h i p > < A t t r i b u t e I D > S o u r c e < / A t t r i b u t e I D > < O v e r r i d e B e h a v i o r > N o n e < / O v e r r i d e B e h a v i o r > < N a m e > S o u r c e < / N a m e > < / A t t r i b u t e R e l a t i o n s h i p > < A t t r i b u t e R e l a t i o n s h i p > < A t t r i b u t e I D > M e t h o d < / A t t r i b u t e I D > < O v e r r i d e B e h a v i o r > N o n e < / O v e r r i d e B e h a v i o r > < N a m e > M e t h o d < / N a m e > < / A t t r i b u t e R e l a t i o n s h i p > < A t t r i b u t e R e l a t i o n s h i p > < A t t r i b u t e I D > T y p e   o f   A c c o m o d a t i o n < / A t t r i b u t e I D > < O v e r r i d e B e h a v i o r > N o n e < / O v e r r i d e B e h a v i o r > < N a m e > T y p e   o f   A c c o m o d a t i o n < / N a m e > < / A t t r i b u t e R e l a t i o n s h i p > < A t t r i b u t e R e l a t i o n s h i p > < A t t r i b u t e I D > C o m m e n t < / A t t r i b u t e I D > < O v e r r i d e B e h a v i o r > N o n e < / O v e r r i d e B e h a v i o r > < N a m e > C o m m e n t < / N a m e > < / A t t r i b u t e R e l a t i o n s h i p > < A t t r i b u t e R e l a t i o n s h i p > < A t t r i b u t e I D > V i l l a g e T r a c K T o w n _ N a m e < / A t t r i b u t e I D > < O v e r r i d e B e h a v i o r > N o n e < / O v e r r i d e B e h a v i o r > < N a m e > V i l l a g e T r a c K T o w n _ N a m e < / N a m e > < / A t t r i b u t e R e l a t i o n s h i p > < A t t r i b u t e R e l a t i o n s h i p > < A t t r i b u t e I D > V i l l a g e T r a c k T o w n _ P c o d e < / A t t r i b u t e I D > < O v e r r i d e B e h a v i o r > N o n e < / O v e r r i d e B e h a v i o r > < N a m e > V i l l a g e T r a c k T o w n _ P c o d e < / N a m e > < / A t t r i b u t e R e l a t i o n s h i p > < A t t r i b u t e R e l a t i o n s h i p > < A t t r i b u t e I D > V i l l a g e W a r d _ N a m e < / A t t r i b u t e I D > < O v e r r i d e B e h a v i o r > N o n e < / O v e r r i d e B e h a v i o r > < N a m e > V i l l a g e W a r d _ N a m e < / N a m e > < / A t t r i b u t e R e l a t i o n s h i p > < A t t r i b u t e R e l a t i o n s h i p > < A t t r i b u t e I D > V i l l a g e W a r d _ P c o d e < / A t t r i b u t e I D > < O v e r r i d e B e h a v i o r > N o n e < / O v e r r i d e B e h a v i o r > < N a m e > V i l l a g e W a r d _ P c o d e < / N a m e > < / A t t r i b u t e R e l a t i o n s h i p > < / A t t r i b u t e R e l a t i o n s h i p s > < O r d e r B y > K e y < / O r d e r B y > < A t t r i b u t e H i e r a r c h y V i s i b l e > f a l s e < / A t t r i b u t e H i e r a r c h y V i s i b l e > < / A t t r i b u t e > < / A t t r i b u t e s > < P r o a c t i v e C a c h i n g > < S i l e n c e I n t e r v a l > - P T 1 S < / S i l e n c e I n t e r v a l > < L a t e n c y > - P T 1 S < / L a t e n c y > < S i l e n c e O v e r r i d e I n t e r v a l > - P T 1 S < / S i l e n c e O v e r r i d e I n t e r v a l > < F o r c e R e b u i l d I n t e r v a l > - P T 1 S < / F o r c e R e b u i l d I n t e r v a l > < S o u r c e   x s i : t y p e = " P r o a c t i v e C a c h i n g I n h e r i t e d B i n d i n g "   / > < / P r o a c t i v e C a c h i n g > < / D i m e n s i o n > < D i m e n s i o n > < I D > T a b l e _ S h e l t e r < / I D > < N a m e > T a b l e _ S h e l t e r < / N a m e > < U n k n o w n M e m b e r   v a l u e n s = " d d l 2 0 0 _ 2 0 0 " > A u t o m a t i c N u l l < / U n k n o w n M e m b e r > < S t o r a g e M o d e   v a l u e n s = " d d l 2 0 0 _ 2 0 0 " > I n M e m o r y < / S t o r a g e M o d e > < L a n g u a g e > 1 0 3 3 < / L a n g u a g e > < U n k n o w n M e m b e r N a m e > U n k n o w n < / U n k n o w n M e m b e r N a m e > < A t t r i b u t e s > < A t t r i b u t e > < I D > D a t e U p d a t e d < / I D > < N a m e > D a t e U p d a t e d < / N a m e > < D e s c r i p t i o n > A < / D e s c r i p t i o n > < K e y C o l u m n s > < K e y C o l u m n > < N u l l P r o c e s s i n g > P r e s e r v e < / N u l l P r o c e s s i n g > < D a t a T y p e > W C h a r < / D a t a T y p e > < / K e y C o l u m n > < / K e y C o l u m n s > < N a m e C o l u m n > < N u l l P r o c e s s i n g > Z e r o O r B l a n k < / N u l l P r o c e s s i n g > < D a t a T y p e > W C h a r < / D a t a T y p e > < / N a m e C o l u m n > < O r d e r B y > K e y < / O r d e r B y > < / A t t r i b u t e > < A t t r i b u t e > < I D > O r g a n i z a t i o n < / I D > < N a m e > O r g a n i z a t i o n < / N a m e > < D e s c r i p t i o n > B < / D e s c r i p t i o n > < K e y C o l u m n s > < K e y C o l u m n > < N u l l P r o c e s s i n g > P r e s e r v e < / N u l l P r o c e s s i n g > < D a t a T y p e > W C h a r < / D a t a T y p e > < / K e y C o l u m n > < / K e y C o l u m n s > < N a m e C o l u m n > < N u l l P r o c e s s i n g > Z e r o O r B l a n k < / N u l l P r o c e s s i n g > < D a t a T y p e > W C h a r < / D a t a T y p e > < / N a m e C o l u m n > < O r d e r B y > K e y < / O r d e r B y > < / A t t r i b u t e > < A t t r i b u t e > < I D > I m p l e m e n t i n g P a r t n e r < / I D > < N a m e > I m p l e m e n t i n g P a r t n e r < / N a m e > < D e s c r i p t i o n > C < / D e s c r i p t i o n > < K e y C o l u m n s > < K e y C o l u m n > < N u l l P r o c e s s i n g > P r e s e r v e < / N u l l P r o c e s s i n g > < D a t a T y p e > W C h a r < / D a t a T y p e > < / K e y C o l u m n > < / K e y C o l u m n s > < N a m e C o l u m n > < N u l l P r o c e s s i n g > Z e r o O r B l a n k < / N u l l P r o c e s s i n g > < D a t a T y p e > W C h a r < / D a t a T y p e > < / N a m e C o l u m n > < O r d e r B y > K e y < / O r d e r B y > < / A t t r i b u t e > < A t t r i b u t e > < I D > S t a t e < / I D > < N a m e > S t a t e < / N a m e > < D e s c r i p t i o n > D < / D e s c r i p t i o n > < K e y C o l u m n s > < K e y C o l u m n > < N u l l P r o c e s s i n g > P r e s e r v e < / N u l l P r o c e s s i n g > < D a t a T y p e > W C h a r < / D a t a T y p e > < / K e y C o l u m n > < / K e y C o l u m n s > < N a m e C o l u m n > < N u l l P r o c e s s i n g > Z e r o O r B l a n k < / N u l l P r o c e s s i n g > < D a t a T y p e > W C h a r < / D a t a T y p e > < / N a m e C o l u m n > < O r d e r B y > K e y < / O r d e r B y > < / A t t r i b u t e > < A t t r i b u t e > < I D > T o w n s h i p < / I D > < N a m e > T o w n s h i p < / N a m e > < D e s c r i p t i o n > E < / D e s c r i p t i o n > < K e y C o l u m n s > < K e y C o l u m n > < N u l l P r o c e s s i n g > P r e s e r v e < / N u l l P r o c e s s i n g > < D a t a T y p e > W C h a r < / D a t a T y p e > < / K e y C o l u m n > < / K e y C o l u m n s > < N a m e C o l u m n > < N u l l P r o c e s s i n g > Z e r o O r B l a n k < / N u l l P r o c e s s i n g > < D a t a T y p e > W C h a r < / D a t a T y p e > < / N a m e C o l u m n > < O r d e r B y > K e y < / O r d e r B y > < / A t t r i b u t e > < A t t r i b u t e > < I D > C a m p N a m e < / I D > < N a m e > C a m p N a m e < / N a m e > < D e s c r i p t i o n > F < / D e s c r i p t i o n > < K e y C o l u m n s > < K e y C o l u m n > < N u l l P r o c e s s i n g > P r e s e r v e < / N u l l P r o c e s s i n g > < D a t a T y p e > W C h a r < / D a t a T y p e > < / K e y C o l u m n > < / K e y C o l u m n s > < N a m e C o l u m n > < N u l l P r o c e s s i n g > Z e r o O r B l a n k < / N u l l P r o c e s s i n g > < D a t a T y p e > W C h a r < / D a t a T y p e > < / N a m e C o l u m n > < O r d e r B y > K e y < / O r d e r B y > < / A t t r i b u t e > < A t t r i b u t e > < I D > H H p e r S h e l t e r < / I D > < N a m e > H H p e r S h e l t e r < / N a m e > < D e s c r i p t i o n > G < / D e s c r i p t i o n > < K e y C o l u m n s > < K e y C o l u m n > < N u l l P r o c e s s i n g > P r e s e r v e < / N u l l P r o c e s s i n g > < D a t a T y p e > B i g I n t < / D a t a T y p e > < / K e y C o l u m n > < / K e y C o l u m n s > < N a m e C o l u m n > < N u l l P r o c e s s i n g > Z e r o O r B l a n k < / N u l l P r o c e s s i n g > < D a t a T y p e > W C h a r < / D a t a T y p e > < / N a m e C o l u m n > < O r d e r B y > K e y < / O r d e r B y > < / A t t r i b u t e > < A t t r i b u t e > < I D > # o f F a m i l y T e n t P l a n n e d   T a r g e t < / I D > < N a m e > # o f F a m i l y T e n t P l a n n e d   T a r g e t < / N a m e > < D e s c r i p t i o n > H < / D e s c r i p t i o n > < K e y C o l u m n s > < K e y C o l u m n > < N u l l P r o c e s s i n g > P r e s e r v e < / N u l l P r o c e s s i n g > < D a t a T y p e > W C h a r < / D a t a T y p e > < / K e y C o l u m n > < / K e y C o l u m n s > < N a m e C o l u m n > < N u l l P r o c e s s i n g > Z e r o O r B l a n k < / N u l l P r o c e s s i n g > < D a t a T y p e > W C h a r < / D a t a T y p e > < / N a m e C o l u m n > < O r d e r B y > K e y < / O r d e r B y > < / A t t r i b u t e > < A t t r i b u t e > < I D > # o f F a m i l y T e n t D i s t r i b u t e d < / I D > < N a m e > # o f F a m i l y T e n t D i s t r i b u t e d < / N a m e > < D e s c r i p t i o n > I < / D e s c r i p t i o n > < K e y C o l u m n s > < K e y C o l u m n > < N u l l P r o c e s s i n g > P r e s e r v e < / N u l l P r o c e s s i n g > < D a t a T y p e > W C h a r < / D a t a T y p e > < / K e y C o l u m n > < / K e y C o l u m n s > < N a m e C o l u m n > < N u l l P r o c e s s i n g > Z e r o O r B l a n k < / N u l l P r o c e s s i n g > < D a t a T y p e > W C h a r < / D a t a T y p e > < / N a m e C o l u m n > < O r d e r B y > K e y < / O r d e r B y > < / A t t r i b u t e > < A t t r i b u t e > < I D > # o f T e m p o r a r y S h e l t e r P l a n n e d   T a r g e t < / I D > < N a m e > # o f T e m p o r a r y S h e l t e r P l a n n e d   T a r g e t < / N a m e > < D e s c r i p t i o n > J < / D e s c r i p t i o n > < K e y C o l u m n s > < K e y C o l u m n > < N u l l P r o c e s s i n g > P r e s e r v e < / N u l l P r o c e s s i n g > < D a t a T y p e > B i g I n t < / D a t a T y p e > < / K e y C o l u m n > < / K e y C o l u m n s > < N a m e C o l u m n > < N u l l P r o c e s s i n g > Z e r o O r B l a n k < / N u l l P r o c e s s i n g > < D a t a T y p e > W C h a r < / D a t a T y p e > < / N a m e C o l u m n > < O r d e r B y > K e y < / O r d e r B y > < / A t t r i b u t e > < A t t r i b u t e > < I D > # o f T e m p o r a r y S h e l t e r B u i l t < / I D > < N a m e > # o f T e m p o r a r y S h e l t e r B u i l t < / N a m e > < D e s c r i p t i o n > K < / D e s c r i p t i o n > < K e y C o l u m n s > < K e y C o l u m n > < N u l l P r o c e s s i n g > P r e s e r v e < / N u l l P r o c e s s i n g > < D a t a T y p e > B i g I n t < / D a t a T y p e > < / K e y C o l u m n > < / K e y C o l u m n s > < N a m e C o l u m n > < N u l l P r o c e s s i n g > Z e r o O r B l a n k < / N u l l P r o c e s s i n g > < D a t a T y p e > W C h a r < / D a t a T y p e > < / N a m e C o l u m n > < O r d e r B y > K e y < / O r d e r B y > < / A t t r i b u t e > < A t t r i b u t e > < I D > # o f T e m p o r a r y S h e l t e r U n d e r C o n s t r u c t i o n < / I D > < N a m e > # o f T e m p o r a r y S h e l t e r U n d e r C o n s t r u c t i o n < / N a m e > < D e s c r i p t i o n > L < / D e s c r i p t i o n > < K e y C o l u m n s > < K e y C o l u m n > < N u l l P r o c e s s i n g > P r e s e r v e < / N u l l P r o c e s s i n g > < D a t a T y p e > B i g I n t < / D a t a T y p e > < / K e y C o l u m n > < / K e y C o l u m n s > < N a m e C o l u m n > < N u l l P r o c e s s i n g > Z e r o O r B l a n k < / N u l l P r o c e s s i n g > < D a t a T y p e > W C h a r < / D a t a T y p e > < / N a m e C o l u m n > < O r d e r B y > K e y < / O r d e r B y > < / A t t r i b u t e > < A t t r i b u t e > < I D > # o f P e r m a n e n t H o u s e P l a n n e d   T a r g e t < / I D > < N a m e > # o f P e r m a n e n t H o u s e P l a n n e d   T a r g e t < / N a m e > < D e s c r i p t i o n > M < / D e s c r i p t i o n > < K e y C o l u m n s > < K e y C o l u m n > < N u l l P r o c e s s i n g > P r e s e r v e < / N u l l P r o c e s s i n g > < D a t a T y p e > B i g I n t < / D a t a T y p e > < / K e y C o l u m n > < / K e y C o l u m n s > < N a m e C o l u m n > < N u l l P r o c e s s i n g > Z e r o O r B l a n k < / N u l l P r o c e s s i n g > < D a t a T y p e > W C h a r < / D a t a T y p e > < / N a m e C o l u m n > < O r d e r B y > K e y < / O r d e r B y > < / A t t r i b u t e > < A t t r i b u t e > < I D > # o f P e r m a n e n t H o u s e B u i l t < / I D > < N a m e > # o f P e r m a n e n t H o u s e B u i l t < / N a m e > < D e s c r i p t i o n > N < / D e s c r i p t i o n > < K e y C o l u m n s > < K e y C o l u m n > < N u l l P r o c e s s i n g > P r e s e r v e < / N u l l P r o c e s s i n g > < D a t a T y p e > B i g I n t < / D a t a T y p e > < / K e y C o l u m n > < / K e y C o l u m n s > < N a m e C o l u m n > < N u l l P r o c e s s i n g > Z e r o O r B l a n k < / N u l l P r o c e s s i n g > < D a t a T y p e > W C h a r < / D a t a T y p e > < / N a m e C o l u m n > < O r d e r B y > K e y < / O r d e r B y > < / A t t r i b u t e > < A t t r i b u t e > < I D > # o f P e r m a n e n t H o u s e U n d e r C o n s t r u c t i o n < / I D > < N a m e > # o f P e r m a n e n t H o u s e U n d e r C o n s t r u c t i o n < / N a m e > < D e s c r i p t i o n > O < / D e s c r i p t i o n > < K e y C o l u m n s > < K e y C o l u m n > < N u l l P r o c e s s i n g > P r e s e r v e < / N u l l P r o c e s s i n g > < D a t a T y p e > B i g I n t < / D a t a T y p e > < / K e y C o l u m n > < / K e y C o l u m n s > < N a m e C o l u m n > < N u l l P r o c e s s i n g > Z e r o O r B l a n k < / N u l l P r o c e s s i n g > < D a t a T y p e > W C h a r < / D a t a T y p e > < / N a m e C o l u m n > < O r d e r B y > K e y < / O r d e r B y > < / A t t r i b u t e > < A t t r i b u t e > < I D > H H C o v e r e d < / I D > < N a m e > H H C o v e r e d < / N a m e > < D e s c r i p t i o n > P < / D e s c r i p t i o n > < K e y C o l u m n s > < K e y C o l u m n > < N u l l P r o c e s s i n g > P r e s e r v e < / N u l l P r o c e s s i n g > < D a t a T y p e > B i g I n t < / D a t a T y p e > < / K e y C o l u m n > < / K e y C o l u m n s > < N a m e C o l u m n > < N u l l P r o c e s s i n g > Z e r o O r B l a n k < / N u l l P r o c e s s i n g > < D a t a T y p e > W C h a r < / D a t a T y p e > < / N a m e C o l u m n > < O r d e r B y > K e y < / O r d e r B y > < / A t t r i b u t e > < A t t r i b u t e > < I D > R o w N u m b e r < / I D > < N a m e > R o w N u m b e r < / N a m e > < T y p e   v a l u e n s = " d d l 2 0 0 _ 2 0 0 " > R o w N u m b e r < / T y p e > < U s a g e > K e y < / U s a g e > < K e y C o l u m n s > < K e y C o l u m n > < N u l l P r o c e s s i n g > E r r o r < / N u l l P r o c e s s i n g > < D a t a T y p e > I n t e g e r < / D a t a T y p e > < D a t a S i z e > 4 < / D a t a S i z e > < S o u r c e   x s i : t y p e = " d d l 2 0 0 _ 2 0 0 : R o w N u m b e r B i n d i n g "   / > < / K e y C o l u m n > < / K e y C o l u m n s > < N a m e C o l u m n > < N u l l P r o c e s s i n g > Z e r o O r B l a n k < / N u l l P r o c e s s i n g > < D a t a T y p e > W C h a r < / D a t a T y p e > < D a t a S i z e > 4 < / D a t a S i z e > < S o u r c e   x s i : t y p e = " d d l 2 0 0 _ 2 0 0 : R o w N u m b e r B i n d i n g "   / > < / N a m e C o l u m n > < A t t r i b u t e R e l a t i o n s h i p s > < A t t r i b u t e R e l a t i o n s h i p > < A t t r i b u t e I D > D a t e U p d a t e d < / A t t r i b u t e I D > < O v e r r i d e B e h a v i o r > N o n e < / O v e r r i d e B e h a v i o r > < N a m e > D a t e U p d a t e d < / N a m e > < / A t t r i b u t e R e l a t i o n s h i p > < A t t r i b u t e R e l a t i o n s h i p > < A t t r i b u t e I D > O r g a n i z a t i o n < / A t t r i b u t e I D > < O v e r r i d e B e h a v i o r > N o n e < / O v e r r i d e B e h a v i o r > < N a m e > O r g a n i z a t i o n < / N a m e > < / A t t r i b u t e R e l a t i o n s h i p > < A t t r i b u t e R e l a t i o n s h i p > < A t t r i b u t e I D > I m p l e m e n t i n g P a r t n e r < / A t t r i b u t e I D > < O v e r r i d e B e h a v i o r > N o n e < / O v e r r i d e B e h a v i o r > < N a m e > I m p l e m e n t i n g P a r t n e r < / N a m e > < / A t t r i b u t e R e l a t i o n s h i p > < A t t r i b u t e R e l a t i o n s h i p > < A t t r i b u t e I D > S t a t e < / A t t r i b u t e I D > < O v e r r i d e B e h a v i o r > N o n e < / O v e r r i d e B e h a v i o r > < N a m e > S t a t e < / N a m e > < / A t t r i b u t e R e l a t i o n s h i p > < A t t r i b u t e R e l a t i o n s h i p > < A t t r i b u t e I D > T o w n s h i p < / A t t r i b u t e I D > < O v e r r i d e B e h a v i o r > N o n e < / O v e r r i d e B e h a v i o r > < N a m e > T o w n s h i p < / N a m e > < / A t t r i b u t e R e l a t i o n s h i p > < A t t r i b u t e R e l a t i o n s h i p > < A t t r i b u t e I D > C a m p N a m e < / A t t r i b u t e I D > < O v e r r i d e B e h a v i o r > N o n e < / O v e r r i d e B e h a v i o r > < N a m e > C a m p N a m e < / N a m e > < / A t t r i b u t e R e l a t i o n s h i p > < A t t r i b u t e R e l a t i o n s h i p > < A t t r i b u t e I D > H H p e r S h e l t e r < / A t t r i b u t e I D > < O v e r r i d e B e h a v i o r > N o n e < / O v e r r i d e B e h a v i o r > < N a m e > H H p e r S h e l t e r < / N a m e > < / A t t r i b u t e R e l a t i o n s h i p > < A t t r i b u t e R e l a t i o n s h i p > < A t t r i b u t e I D > # o f F a m i l y T e n t P l a n n e d   T a r g e t < / A t t r i b u t e I D > < O v e r r i d e B e h a v i o r > N o n e < / O v e r r i d e B e h a v i o r > < N a m e > # o f F a m i l y T e n t P l a n n e d   T a r g e t < / N a m e > < / A t t r i b u t e R e l a t i o n s h i p > < A t t r i b u t e R e l a t i o n s h i p > < A t t r i b u t e I D > # o f F a m i l y T e n t D i s t r i b u t e d < / A t t r i b u t e I D > < O v e r r i d e B e h a v i o r > N o n e < / O v e r r i d e B e h a v i o r > < N a m e > # o f F a m i l y T e n t D i s t r i b u t e d < / N a m e > < / A t t r i b u t e R e l a t i o n s h i p > < A t t r i b u t e R e l a t i o n s h i p > < A t t r i b u t e I D > # o f T e m p o r a r y S h e l t e r P l a n n e d   T a r g e t < / A t t r i b u t e I D > < O v e r r i d e B e h a v i o r > N o n e < / O v e r r i d e B e h a v i o r > < N a m e > # o f T e m p o r a r y S h e l t e r P l a n n e d   T a r g e t < / N a m e > < / A t t r i b u t e R e l a t i o n s h i p > < A t t r i b u t e R e l a t i o n s h i p > < A t t r i b u t e I D > # o f T e m p o r a r y S h e l t e r B u i l t < / A t t r i b u t e I D > < O v e r r i d e B e h a v i o r > N o n e < / O v e r r i d e B e h a v i o r > < N a m e > # o f T e m p o r a r y S h e l t e r B u i l t < / N a m e > < / A t t r i b u t e R e l a t i o n s h i p > < A t t r i b u t e R e l a t i o n s h i p > < A t t r i b u t e I D > # o f T e m p o r a r y S h e l t e r U n d e r C o n s t r u c t i o n < / A t t r i b u t e I D > < O v e r r i d e B e h a v i o r > N o n e < / O v e r r i d e B e h a v i o r > < N a m e > # o f T e m p o r a r y S h e l t e r U n d e r C o n s t r u c t i o n < / N a m e > < / A t t r i b u t e R e l a t i o n s h i p > < A t t r i b u t e R e l a t i o n s h i p > < A t t r i b u t e I D > # o f P e r m a n e n t H o u s e P l a n n e d   T a r g e t < / A t t r i b u t e I D > < O v e r r i d e B e h a v i o r > N o n e < / O v e r r i d e B e h a v i o r > < N a m e > # o f P e r m a n e n t H o u s e P l a n n e d   T a r g e t < / N a m e > < / A t t r i b u t e R e l a t i o n s h i p > < A t t r i b u t e R e l a t i o n s h i p > < A t t r i b u t e I D > # o f P e r m a n e n t H o u s e B u i l t < / A t t r i b u t e I D > < O v e r r i d e B e h a v i o r > N o n e < / O v e r r i d e B e h a v i o r > < N a m e > # o f P e r m a n e n t H o u s e B u i l t < / N a m e > < / A t t r i b u t e R e l a t i o n s h i p > < A t t r i b u t e R e l a t i o n s h i p > < A t t r i b u t e I D > # o f P e r m a n e n t H o u s e U n d e r C o n s t r u c t i o n < / A t t r i b u t e I D > < O v e r r i d e B e h a v i o r > N o n e < / O v e r r i d e B e h a v i o r > < N a m e > # o f P e r m a n e n t H o u s e U n d e r C o n s t r u c t i o n < / N a m e > < / A t t r i b u t e R e l a t i o n s h i p > < A t t r i b u t e R e l a t i o n s h i p > < A t t r i b u t e I D > H H C o v e r e d < / A t t r i b u t e I D > < O v e r r i d e B e h a v i o r > N o n e < / O v e r r i d e B e h a v i o r > < N a m e > H H C o v e r e d < / N a m e > < / A t t r i b u t e R e l a t i o n s h i p > < / A t t r i b u t e R e l a t i o n s h i p s > < O r d e r B y > K e y < / O r d e r B y > < A t t r i b u t e H i e r a r c h y V i s i b l e > f a l s e < / A t t r i b u t e H i e r a r c h y V i s i b l e > < / A t t r i b u t e > < / A t t r i b u t e s > < P r o a c t i v e C a c h i n g > < S i l e n c e I n t e r v a l > - P T 1 S < / S i l e n c e I n t e r v a l > < L a t e n c y > - P T 1 S < / L a t e n c y > < S i l e n c e O v e r r i d e I n t e r v a l > - P T 1 S < / S i l e n c e O v e r r i d e I n t e r v a l > < F o r c e R e b u i l d I n t e r v a l > - P T 1 S < / F o r c e R e b u i l d I n t e r v a l > < S o u r c e   x s i : t y p e = " P r o a c t i v e C a c h i n g I n h e r i t e d B i n d i n g "   / > < / P r o a c t i v e C a c h i n g > < / D i m e n s i o n > < / D i m e n s i o n s > < C u b e s > < C u b e > < I D > S a n d b o x < / I D > < N a m e > S a n d b o x < / N a m e > < D i m e n s i o n s > < D i m e n s i o n > < I D > T a b l e _ C a m p L i s t < / I D > < N a m e > T a b l e _ C a m p L i s t < / N a m e > < D i m e n s i o n I D > T a b l e _ C a m p L i s t < / D i m e n s i o n I D > < A t t r i b u t e s > < A t t r i b u t e > < A t t r i b u t e I D > S r   N o < / A t t r i b u t e I D > < / A t t r i b u t e > < A t t r i b u t e > < A t t r i b u t e I D > U p d a t e   D a t e < / A t t r i b u t e I D > < / A t t r i b u t e > < A t t r i b u t e > < A t t r i b u t e I D > S t a t u s < / A t t r i b u t e I D > < / A t t r i b u t e > < A t t r i b u t e > < A t t r i b u t e I D > S t a t e < / A t t r i b u t e I D > < / A t t r i b u t e > < A t t r i b u t e > < A t t r i b u t e I D > S t a t e _ P c o d e < / A t t r i b u t e I D > < / A t t r i b u t e > < A t t r i b u t e > < A t t r i b u t e I D > T O W N S H I P _ N A M E < / A t t r i b u t e I D > < / A t t r i b u t e > < A t t r i b u t e > < A t t r i b u t e I D > T o w n s h i p _ P c o d e < / A t t r i b u t e I D > < / A t t r i b u t e > < A t t r i b u t e > < A t t r i b u t e I D > V i l l a g e T r a c K T o w n _ N a m e < / A t t r i b u t e I D > < / A t t r i b u t e > < A t t r i b u t e > < A t t r i b u t e I D > V i l l a g e T r a c k T o w n _ P c o d e < / A t t r i b u t e I D > < / A t t r i b u t e > < A t t r i b u t e > < A t t r i b u t e I D > V i l l a g e W a r d _ N a m e < / A t t r i b u t e I D > < / A t t r i b u t e > < A t t r i b u t e > < A t t r i b u t e I D > V i l l a g e W a r d _ P c o d e < / A t t r i b u t e I D > < / A t t r i b u t e > < A t t r i b u t e > < A t t r i b u t e I D > C a m p   N a m e < / A t t r i b u t e I D > < / A t t r i b u t e > < A t t r i b u t e > < A t t r i b u t e I D > P _ C o d e < / A t t r i b u t e I D > < / A t t r i b u t e > < A t t r i b u t e > < A t t r i b u t e I D > A c c e s s i b i l i t y < / A t t r i b u t e I D > < / A t t r i b u t e > < A t t r i b u t e > < A t t r i b u t e I D > L o n g i t u d e < / A t t r i b u t e I D > < / A t t r i b u t e > < A t t r i b u t e > < A t t r i b u t e I D > L a t i t u d e < / A t t r i b u t e I D > < / A t t r i b u t e > < A t t r i b u t e > < A t t r i b u t e I D > H H < / A t t r i b u t e I D > < / A t t r i b u t e > < A t t r i b u t e > < A t t r i b u t e I D > T o t a l < / A t t r i b u t e I D > < / A t t r i b u t e > < A t t r i b u t e > < A t t r i b u t e I D > A v g < / A t t r i b u t e I D > < / A t t r i b u t e > < A t t r i b u t e > < A t t r i b u t e I D > S o u r c e < / A t t r i b u t e I D > < / A t t r i b u t e > < A t t r i b u t e > < A t t r i b u t e I D > M e t h o d < / A t t r i b u t e I D > < / A t t r i b u t e > < A t t r i b u t e > < A t t r i b u t e I D > T y p e   o f   A c c o m o d a t i o n < / A t t r i b u t e I D > < / A t t r i b u t e > < A t t r i b u t e > < A t t r i b u t e I D > C o m m e n t < / A t t r i b u t e I D > < / A t t r i b u t e > < A t t r i b u t e > < A t t r i b u t e I D > R o w N u m b e r < / A t t r i b u t e I D > < / A t t r i b u t e > < / A t t r i b u t e s > < / D i m e n s i o n > < D i m e n s i o n > < I D > T a b l e _ S h e l t e r < / I D > < N a m e > T a b l e _ S h e l t e r < / N a m e > < D i m e n s i o n I D > T a b l e _ S h e l t e r < / D i m e n s i o n I D > < A t t r i b u t e s > < A t t r i b u t e > < A t t r i b u t e I D > D a t e U p d a t e d < / A t t r i b u t e I D > < / A t t r i b u t e > < A t t r i b u t e > < A t t r i b u t e I D > O r g a n i z a t i o n < / A t t r i b u t e I D > < / A t t r i b u t e > < A t t r i b u t e > < A t t r i b u t e I D > I m p l e m e n t i n g P a r t n e r < / A t t r i b u t e I D > < / A t t r i b u t e > < A t t r i b u t e > < A t t r i b u t e I D > S t a t e < / A t t r i b u t e I D > < / A t t r i b u t e > < A t t r i b u t e > < A t t r i b u t e I D > T o w n s h i p < / A t t r i b u t e I D > < / A t t r i b u t e > < A t t r i b u t e > < A t t r i b u t e I D > C a m p N a m e < / A t t r i b u t e I D > < / A t t r i b u t e > < A t t r i b u t e > < A t t r i b u t e I D > H H p e r S h e l t e r < / A t t r i b u t e I D > < / A t t r i b u t e > < A t t r i b u t e > < A t t r i b u t e I D > # o f F a m i l y T e n t P l a n n e d   T a r g e t < / A t t r i b u t e I D > < / A t t r i b u t e > < A t t r i b u t e > < A t t r i b u t e I D > # o f F a m i l y T e n t D i s t r i b u t e d < / A t t r i b u t e I D > < / A t t r i b u t e > < A t t r i b u t e > < A t t r i b u t e I D > # o f T e m p o r a r y S h e l t e r P l a n n e d   T a r g e t < / A t t r i b u t e I D > < / A t t r i b u t e > < A t t r i b u t e > < A t t r i b u t e I D > # o f T e m p o r a r y S h e l t e r B u i l t < / A t t r i b u t e I D > < / A t t r i b u t e > < A t t r i b u t e > < A t t r i b u t e I D > # o f T e m p o r a r y S h e l t e r U n d e r C o n s t r u c t i o n < / A t t r i b u t e I D > < / A t t r i b u t e > < A t t r i b u t e > < A t t r i b u t e I D > # o f P e r m a n e n t H o u s e P l a n n e d   T a r g e t < / A t t r i b u t e I D > < / A t t r i b u t e > < A t t r i b u t e > < A t t r i b u t e I D > # o f P e r m a n e n t H o u s e B u i l t < / A t t r i b u t e I D > < / A t t r i b u t e > < A t t r i b u t e > < A t t r i b u t e I D > # o f P e r m a n e n t H o u s e U n d e r C o n s t r u c t i o n < / A t t r i b u t e I D > < / A t t r i b u t e > < A t t r i b u t e > < A t t r i b u t e I D > H H C o v e r e d < / A t t r i b u t e I D > < / A t t r i b u t e > < A t t r i b u t e > < A t t r i b u t e I D > R o w N u m b e r < / A t t r i b u t e I D > < / A t t r i b u t e > < / A t t r i b u t e s > < / D i m e n s i o n > < / D i m e n s i o n s > < M e a s u r e G r o u p s > < M e a s u r e G r o u p > < I D > T a b l e _ C a m p L i s t < / I D > < N a m e > T a b l e _ C a m p L i s t < / N a m e > < M e a s u r e s > < M e a s u r e > < I D > T a b l e _ C a m p L i s t < / I D > < N a m e > _ C o u n t   T a b l e _ C a m p L i s t < / N a m e > < A g g r e g a t e F u n c t i o n > C o u n t < / A g g r e g a t e F u n c t i o n > < S o u r c e > < D a t a T y p e > B i g I n t < / D a t a T y p e > < D a t a S i z e > 8 < / D a t a S i z e > < S o u r c e   x s i : t y p e = " R o w B i n d i n g " > < T a b l e I D > T a b l e I D < / 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 T a b l e _ C a m p L i s t < / C u b e D i m e n s i o n I D > < A t t r i b u t e s > < A t t r i b u t e > < A t t r i b u t e I D > R o w N u m b e r < / A t t r i b u t e I D > < K e y C o l u m n s > < K e y C o l u m n > < D a t a T y p e > I n t e g e r < / D a t a T y p e > < S o u r c e   x s i : t y p e = " C o l u m n B i n d i n g " > < T a b l e I D > T a b l e _ C a m p L i s t < / T a b l e I D > < C o l u m n I D > R o w N u m b e r < / C o l u m n I D > < / S o u r c e > < / K e y C o l u m n > < / K e y C o l u m n s > < T y p e > G r a n u l a r i t y < / T y p e > < / A t t r i b u t e > < / A t t r i b u t e s > < d d l 2 0 0 _ 2 0 0 : S h a r e D i m e n s i o n S t o r a g e > S h a r e d < / d d l 2 0 0 _ 2 0 0 : S h a r e D i m e n s i o n S t o r a g e > < / D i m e n s i o n > < / D i m e n s i o n s > < P a r t i t i o n s > < P a r t i t i o n > < I D > T a b l e _ C a m p L i s t < / I D > < N a m e > T a b l e _ C a m p L i s t < / N a m e > < S t o r a g e M o d e   v a l u e n s = " d d l 2 0 0 _ 2 0 0 " > I n M e m o r y < / S t o r a g e M o d e > < P r o c e s s i n g M o d e > R e g u l a r < / P r o c e s s i n g M o d e > < / P a r t i t i o n > < / P a r t i t i o n s > < / M e a s u r e G r o u p > < M e a s u r e G r o u p > < I D > T a b l e _ S h e l t e r < / I D > < N a m e > T a b l e _ S h e l t e r < / N a m e > < M e a s u r e s > < M e a s u r e > < I D > T a b l e _ S h e l t e r < / I D > < N a m e > _ C o u n t   T a b l e _ S h e l t e r < / N a m e > < A g g r e g a t e F u n c t i o n > C o u n t < / A g g r e g a t e F u n c t i o n > < S o u r c e > < D a t a T y p e > B i g I n t < / D a t a T y p e > < D a t a S i z e > 8 < / D a t a S i z e > < S o u r c e   x s i : t y p e = " R o w B i n d i n g " > < T a b l e I D > T a b l e I D < / T a b l e I D > < / S o u r c e > < / S o u r c e > < / M e a s u r e > < / M e a s u r e s > < S t o r a g e M o d e   v a l u e n s = " d d l 2 0 0 _ 2 0 0 " > I n M e m o r y < / S t o r a g e M o d e > < E r r o r C o n f i g u r a t i o n > < K e y N o t F o u n d > I g n o r e E r r o r < / K e y N o t F o u n d > < K e y D u p l i c a t e > R e p o r t A n d S t o p < / K e y D u p l i c a t e > < N u l l K e y N o t A l l o w e d > R e p o r t A n d S t o p < / N u l l K e y N o t A l l o w e d > < / E r r o r C o n f i g u r a t i o n > < P r o c e s s i n g M o d e > R e g u l a r < / P r o c e s s i n g M o d e > < D i m e n s i o n s > < D i m e n s i o n   x s i : t y p e = " D e g e n e r a t e M e a s u r e G r o u p D i m e n s i o n " > < C u b e D i m e n s i o n I D > T a b l e _ S h e l t e r < / C u b e D i m e n s i o n I D > < A t t r i b u t e s > < A t t r i b u t e > < A t t r i b u t e I D > R o w N u m b e r < / A t t r i b u t e I D > < K e y C o l u m n s > < K e y C o l u m n > < D a t a T y p e > I n t e g e r < / D a t a T y p e > < S o u r c e   x s i : t y p e = " C o l u m n B i n d i n g " > < T a b l e I D > T a b l e _ S h e l t e r < / T a b l e I D > < C o l u m n I D > R o w N u m b e r < / C o l u m n I D > < / S o u r c e > < / K e y C o l u m n > < / K e y C o l u m n s > < T y p e > G r a n u l a r i t y < / T y p e > < / A t t r i b u t e > < / A t t r i b u t e s > < d d l 2 0 0 _ 2 0 0 : S h a r e D i m e n s i o n S t o r a g e > S h a r e d < / d d l 2 0 0 _ 2 0 0 : S h a r e D i m e n s i o n S t o r a g e > < / D i m e n s i o n > < / D i m e n s i o n s > < P a r t i t i o n s > < P a r t i t i o n > < I D > T a b l e _ S h e l t e r < / I D > < N a m e > T a b l e _ S h e l t e r < / N a m e > < S t o r a g e M o d e   v a l u e n s = " d d l 2 0 0 _ 2 0 0 " > I n M e m o r y < / S t o r a g e M o d e > < P r o c e s s i n g M o d e > R e g u l a r < / P r o c e s s i n g M o d e > < / P a r t i t i o n > < / P a r t i t i o n s > < / M e a s u r e G r o u p > < / M e a s u r e G r o u p s > < M d x S c r i p t s > < M d x S c r i p t > < I D > M d x S c r i p t < / I D > < N a m e > M d x S c r i p t < / N a m e > < C o m m a n d s > < C o m m a n d > < T e x t > C A L C U L A T E ;    
 C R E A T E   M E M B E R   C U R R E N T C U B E . M e a s u r e s . [ a a 9 d 1 c f d - 8 6 b 1 - 4 f 3 b - a 5 3 3 - b 7 a 8 5 7 3 6 d 4 a 9 ]   A S   1 ,   V i s i b l e = 0 ;    
 A L T E R   C U B E   C U R R E N T C U B E   U P D A T E   D I M E N S I O N   M e a s u r e s ,   D e f a u l t _ M e m b e r   =   [ a a 9 d 1 c f d - 8 6 b 1 - 4 f 3 b - a 5 3 3 - b 7 a 8 5 7 3 6 d 4 a 9 ] ;   < / T e x t > < / C o m m a n d > < / C o m m a n d s > < / M d x S c r i p t > < / M d x S c r i p t s > < S t o r a g e M o d e   v a l u e n s = " d d l 2 0 0 _ 2 0 0 " > I n M e m o r y < / S t o r a g e M o d e > < / C u b e > < / C u b e s > < d d l 2 0 0 _ 2 0 0 : S t o r a g e E n g i n e U s e d > I n M e m o r y < / d d l 2 0 0 _ 2 0 0 : S t o r a g e E n g i n e U s e d > < / D a t a b a s e > < / O b j e c t D e f i n i t i o n > < / C r e a t e > ] ] > < / C u s t o m C o n t e n t > < / G e m i n i > 
</file>

<file path=customXml/item10.xml>��< ? x m l   v e r s i o n = " 1 . 0 "   e n c o d i n g = " U T F - 1 6 " ? > < G e m i n i   x m l n s = " h t t p : / / g e m i n i / p i v o t c u s t o m i z a t i o n / T a b l e X M L _ T a b l e _ S h e l t e r " > < C u s t o m C o n t e n t > < ! [ C D A T A [ < T a b l e W i d g e t G r i d S e r i a l i z a t i o n   x m l n s : x s i = " h t t p : / / w w w . w 3 . o r g / 2 0 0 1 / X M L S c h e m a - i n s t a n c e "   x m l n s : x s d = " h t t p : / / w w w . w 3 . o r g / 2 0 0 1 / X M L S c h e m a " > < C o l u m n S u g g e s t e d T y p e > < i t e m > < k e y > < s t r i n g > D a t e U p d a t e d < / s t r i n g > < / k e y > < v a l u e > < s t r i n g > W C h a r < / s t r i n g > < / v a l u e > < / i t e m > < i t e m > < k e y > < s t r i n g > O r g a n i z a t i o n < / s t r i n g > < / k e y > < v a l u e > < s t r i n g > W C h a r < / s t r i n g > < / v a l u e > < / i t e m > < i t e m > < k e y > < s t r i n g > I m p l e m e n t i n g P a r t n e r < / s t r i n g > < / k e y > < v a l u e > < s t r i n g > W C h a r < / s t r i n g > < / v a l u e > < / i t e m > < i t e m > < k e y > < s t r i n g > S t a t e < / s t r i n g > < / k e y > < v a l u e > < s t r i n g > W C h a r < / s t r i n g > < / v a l u e > < / i t e m > < i t e m > < k e y > < s t r i n g > T o w n s h i p < / s t r i n g > < / k e y > < v a l u e > < s t r i n g > W C h a r < / s t r i n g > < / v a l u e > < / i t e m > < i t e m > < k e y > < s t r i n g > C a m p N a m e < / s t r i n g > < / k e y > < v a l u e > < s t r i n g > W C h a r < / s t r i n g > < / v a l u e > < / i t e m > < i t e m > < k e y > < s t r i n g > H H p e r S h e l t e r < / s t r i n g > < / k e y > < v a l u e > < s t r i n g > B i g I n t < / s t r i n g > < / v a l u e > < / i t e m > < i t e m > < k e y > < s t r i n g > # o f F a m i l y T e n t P l a n n e d   T a r g e t < / s t r i n g > < / k e y > < v a l u e > < s t r i n g > W C h a r < / s t r i n g > < / v a l u e > < / i t e m > < i t e m > < k e y > < s t r i n g > # o f F a m i l y T e n t D i s t r i b u t e d < / s t r i n g > < / k e y > < v a l u e > < s t r i n g > W C h a r < / s t r i n g > < / v a l u e > < / i t e m > < i t e m > < k e y > < s t r i n g > # o f T e m p o r a r y S h e l t e r P l a n n e d   T a r g e t < / s t r i n g > < / k e y > < v a l u e > < s t r i n g > B i g I n t < / s t r i n g > < / v a l u e > < / i t e m > < i t e m > < k e y > < s t r i n g > # o f T e m p o r a r y S h e l t e r B u i l t < / s t r i n g > < / k e y > < v a l u e > < s t r i n g > B i g I n t < / s t r i n g > < / v a l u e > < / i t e m > < i t e m > < k e y > < s t r i n g > # o f T e m p o r a r y S h e l t e r U n d e r C o n s t r u c t i o n < / s t r i n g > < / k e y > < v a l u e > < s t r i n g > B i g I n t < / s t r i n g > < / v a l u e > < / i t e m > < i t e m > < k e y > < s t r i n g > # o f P e r m a n e n t H o u s e P l a n n e d   T a r g e t < / s t r i n g > < / k e y > < v a l u e > < s t r i n g > B i g I n t < / s t r i n g > < / v a l u e > < / i t e m > < i t e m > < k e y > < s t r i n g > # o f P e r m a n e n t H o u s e B u i l t < / s t r i n g > < / k e y > < v a l u e > < s t r i n g > B i g I n t < / s t r i n g > < / v a l u e > < / i t e m > < i t e m > < k e y > < s t r i n g > # o f P e r m a n e n t H o u s e U n d e r C o n s t r u c t i o n < / s t r i n g > < / k e y > < v a l u e > < s t r i n g > B i g I n t < / s t r i n g > < / v a l u e > < / i t e m > < i t e m > < k e y > < s t r i n g > H H C o v e r e d < / s t r i n g > < / k e y > < v a l u e > < s t r i n g > B i g I n t < / s t r i n g > < / v a l u e > < / i t e m > < / C o l u m n S u g g e s t e d T y p e > < C o l u m n F o r m a t > < i t e m > < k e y > < s t r i n g > D a t e U p d a t e d < / s t r i n g > < / k e y > < v a l u e > < s t r i n g > T e x t < / s t r i n g > < / v a l u e > < / i t e m > < i t e m > < k e y > < s t r i n g > O r g a n i z a t i o n < / s t r i n g > < / k e y > < v a l u e > < s t r i n g > T e x t < / s t r i n g > < / v a l u e > < / i t e m > < i t e m > < k e y > < s t r i n g > I m p l e m e n t i n g P a r t n e r < / s t r i n g > < / k e y > < v a l u e > < s t r i n g > T e x t < / s t r i n g > < / v a l u e > < / i t e m > < i t e m > < k e y > < s t r i n g > S t a t e < / s t r i n g > < / k e y > < v a l u e > < s t r i n g > T e x t < / s t r i n g > < / v a l u e > < / i t e m > < i t e m > < k e y > < s t r i n g > T o w n s h i p < / s t r i n g > < / k e y > < v a l u e > < s t r i n g > T e x t < / s t r i n g > < / v a l u e > < / i t e m > < i t e m > < k e y > < s t r i n g > C a m p N a m e < / s t r i n g > < / k e y > < v a l u e > < s t r i n g > T e x t < / s t r i n g > < / v a l u e > < / i t e m > < i t e m > < k e y > < s t r i n g > H H p e r S h e l t e r < / s t r i n g > < / k e y > < v a l u e > < s t r i n g > G e n e r a l < / s t r i n g > < / v a l u e > < / i t e m > < i t e m > < k e y > < s t r i n g > # o f F a m i l y T e n t P l a n n e d   T a r g e t < / s t r i n g > < / k e y > < v a l u e > < s t r i n g > T e x t < / s t r i n g > < / v a l u e > < / i t e m > < i t e m > < k e y > < s t r i n g > # o f F a m i l y T e n t D i s t r i b u t e d < / s t r i n g > < / k e y > < v a l u e > < s t r i n g > T e x t < / s t r i n g > < / v a l u e > < / i t e m > < i t e m > < k e y > < s t r i n g > # o f T e m p o r a r y S h e l t e r P l a n n e d   T a r g e t < / s t r i n g > < / k e y > < v a l u e > < s t r i n g > G e n e r a l < / s t r i n g > < / v a l u e > < / i t e m > < i t e m > < k e y > < s t r i n g > # o f T e m p o r a r y S h e l t e r B u i l t < / s t r i n g > < / k e y > < v a l u e > < s t r i n g > G e n e r a l < / s t r i n g > < / v a l u e > < / i t e m > < i t e m > < k e y > < s t r i n g > # o f T e m p o r a r y S h e l t e r U n d e r C o n s t r u c t i o n < / s t r i n g > < / k e y > < v a l u e > < s t r i n g > G e n e r a l < / s t r i n g > < / v a l u e > < / i t e m > < i t e m > < k e y > < s t r i n g > # o f P e r m a n e n t H o u s e P l a n n e d   T a r g e t < / s t r i n g > < / k e y > < v a l u e > < s t r i n g > G e n e r a l < / s t r i n g > < / v a l u e > < / i t e m > < i t e m > < k e y > < s t r i n g > # o f P e r m a n e n t H o u s e B u i l t < / s t r i n g > < / k e y > < v a l u e > < s t r i n g > G e n e r a l < / s t r i n g > < / v a l u e > < / i t e m > < i t e m > < k e y > < s t r i n g > # o f P e r m a n e n t H o u s e U n d e r C o n s t r u c t i o n < / s t r i n g > < / k e y > < v a l u e > < s t r i n g > G e n e r a l < / s t r i n g > < / v a l u e > < / i t e m > < i t e m > < k e y > < s t r i n g > H H C o v e r e d < / s t r i n g > < / k e y > < v a l u e > < s t r i n g > G e n e r a l < / s t r i n g > < / v a l u e > < / i t e m > < i t e m > < k e y > < s t r i n g > A d d   C o l u m n < / s t r i n g > < / k e y > < v a l u e > < s t r i n g > T e x t < / s t r i n g > < / v a l u e > < / i t e m > < / C o l u m n F o r m a t > < C o l u m n A c c u r a c y > < i t e m > < k e y > < s t r i n g > D a t e U p d a t e d < / s t r i n g > < / k e y > < v a l u e > < i n t > 0 < / i n t > < / v a l u e > < / i t e m > < i t e m > < k e y > < s t r i n g > O r g a n i z a t i o n < / s t r i n g > < / k e y > < v a l u e > < i n t > 0 < / i n t > < / v a l u e > < / i t e m > < i t e m > < k e y > < s t r i n g > I m p l e m e n t i n g P a r t n e r < / s t r i n g > < / k e y > < v a l u e > < i n t > 0 < / i n t > < / v a l u e > < / i t e m > < i t e m > < k e y > < s t r i n g > S t a t e < / s t r i n g > < / k e y > < v a l u e > < i n t > 0 < / i n t > < / v a l u e > < / i t e m > < i t e m > < k e y > < s t r i n g > T o w n s h i p < / s t r i n g > < / k e y > < v a l u e > < i n t > 0 < / i n t > < / v a l u e > < / i t e m > < i t e m > < k e y > < s t r i n g > C a m p N a m e < / s t r i n g > < / k e y > < v a l u e > < i n t > 0 < / i n t > < / v a l u e > < / i t e m > < i t e m > < k e y > < s t r i n g > H H p e r S h e l t e r < / s t r i n g > < / k e y > < v a l u e > < i n t > 0 < / i n t > < / v a l u e > < / i t e m > < i t e m > < k e y > < s t r i n g > # o f F a m i l y T e n t P l a n n e d   T a r g e t < / s t r i n g > < / k e y > < v a l u e > < i n t > 0 < / i n t > < / v a l u e > < / i t e m > < i t e m > < k e y > < s t r i n g > # o f F a m i l y T e n t D i s t r i b u t e d < / s t r i n g > < / k e y > < v a l u e > < i n t > 0 < / i n t > < / v a l u e > < / i t e m > < i t e m > < k e y > < s t r i n g > # o f T e m p o r a r y S h e l t e r P l a n n e d   T a r g e t < / s t r i n g > < / k e y > < v a l u e > < i n t > 0 < / i n t > < / v a l u e > < / i t e m > < i t e m > < k e y > < s t r i n g > # o f T e m p o r a r y S h e l t e r B u i l t < / s t r i n g > < / k e y > < v a l u e > < i n t > 0 < / i n t > < / v a l u e > < / i t e m > < i t e m > < k e y > < s t r i n g > # o f T e m p o r a r y S h e l t e r U n d e r C o n s t r u c t i o n < / s t r i n g > < / k e y > < v a l u e > < i n t > 0 < / i n t > < / v a l u e > < / i t e m > < i t e m > < k e y > < s t r i n g > # o f P e r m a n e n t H o u s e P l a n n e d   T a r g e t < / s t r i n g > < / k e y > < v a l u e > < i n t > 0 < / i n t > < / v a l u e > < / i t e m > < i t e m > < k e y > < s t r i n g > # o f P e r m a n e n t H o u s e B u i l t < / s t r i n g > < / k e y > < v a l u e > < i n t > 0 < / i n t > < / v a l u e > < / i t e m > < i t e m > < k e y > < s t r i n g > # o f P e r m a n e n t H o u s e U n d e r C o n s t r u c t i o n < / s t r i n g > < / k e y > < v a l u e > < i n t > 0 < / i n t > < / v a l u e > < / i t e m > < i t e m > < k e y > < s t r i n g > H H C o v e r e d < / s t r i n g > < / k e y > < v a l u e > < i n t > 0 < / i n t > < / v a l u e > < / i t e m > < i t e m > < k e y > < s t r i n g > A d d   C o l u m n < / s t r i n g > < / k e y > < v a l u e > < i n t > 0 < / i n t > < / v a l u e > < / i t e m > < / C o l u m n A c c u r a c y > < C o l u m n C u r r e n c y S y m b o l > < i t e m > < k e y > < s t r i n g > D a t e U p d a t e d < / s t r i n g > < / k e y > < v a l u e > < s t r i n g > $ < / s t r i n g > < / v a l u e > < / i t e m > < i t e m > < k e y > < s t r i n g > O r g a n i z a t i o n < / s t r i n g > < / k e y > < v a l u e > < s t r i n g > $ < / s t r i n g > < / v a l u e > < / i t e m > < i t e m > < k e y > < s t r i n g > I m p l e m e n t i n g P a r t n e r < / s t r i n g > < / k e y > < v a l u e > < s t r i n g > $ < / s t r i n g > < / v a l u e > < / i t e m > < i t e m > < k e y > < s t r i n g > S t a t e < / s t r i n g > < / k e y > < v a l u e > < s t r i n g > $ < / s t r i n g > < / v a l u e > < / i t e m > < i t e m > < k e y > < s t r i n g > T o w n s h i p < / s t r i n g > < / k e y > < v a l u e > < s t r i n g > $ < / s t r i n g > < / v a l u e > < / i t e m > < i t e m > < k e y > < s t r i n g > C a m p N a m e < / s t r i n g > < / k e y > < v a l u e > < s t r i n g > $ < / s t r i n g > < / v a l u e > < / i t e m > < i t e m > < k e y > < s t r i n g > H H p e r S h e l t e r < / s t r i n g > < / k e y > < v a l u e > < s t r i n g > $ < / s t r i n g > < / v a l u e > < / i t e m > < i t e m > < k e y > < s t r i n g > # o f F a m i l y T e n t P l a n n e d   T a r g e t < / s t r i n g > < / k e y > < v a l u e > < s t r i n g > $ < / s t r i n g > < / v a l u e > < / i t e m > < i t e m > < k e y > < s t r i n g > # o f F a m i l y T e n t D i s t r i b u t e d < / s t r i n g > < / k e y > < v a l u e > < s t r i n g > $ < / s t r i n g > < / v a l u e > < / i t e m > < i t e m > < k e y > < s t r i n g > # o f T e m p o r a r y S h e l t e r P l a n n e d   T a r g e t < / s t r i n g > < / k e y > < v a l u e > < s t r i n g > $ < / s t r i n g > < / v a l u e > < / i t e m > < i t e m > < k e y > < s t r i n g > # o f T e m p o r a r y S h e l t e r B u i l t < / s t r i n g > < / k e y > < v a l u e > < s t r i n g > $ < / s t r i n g > < / v a l u e > < / i t e m > < i t e m > < k e y > < s t r i n g > # o f T e m p o r a r y S h e l t e r U n d e r C o n s t r u c t i o n < / s t r i n g > < / k e y > < v a l u e > < s t r i n g > $ < / s t r i n g > < / v a l u e > < / i t e m > < i t e m > < k e y > < s t r i n g > # o f P e r m a n e n t H o u s e P l a n n e d   T a r g e t < / s t r i n g > < / k e y > < v a l u e > < s t r i n g > $ < / s t r i n g > < / v a l u e > < / i t e m > < i t e m > < k e y > < s t r i n g > # o f P e r m a n e n t H o u s e B u i l t < / s t r i n g > < / k e y > < v a l u e > < s t r i n g > $ < / s t r i n g > < / v a l u e > < / i t e m > < i t e m > < k e y > < s t r i n g > # o f P e r m a n e n t H o u s e U n d e r C o n s t r u c t i o n < / s t r i n g > < / k e y > < v a l u e > < s t r i n g > $ < / s t r i n g > < / v a l u e > < / i t e m > < i t e m > < k e y > < s t r i n g > H H C o v e r e d < / s t r i n g > < / k e y > < v a l u e > < s t r i n g > $ < / s t r i n g > < / v a l u e > < / i t e m > < i t e m > < k e y > < s t r i n g > A d d   C o l u m n < / s t r i n g > < / k e y > < v a l u e > < s t r i n g > $ < / s t r i n g > < / v a l u e > < / i t e m > < / C o l u m n C u r r e n c y S y m b o l > < C o l u m n P o s i t i v e P a t t e r n > < i t e m > < k e y > < s t r i n g > D a t e U p d a t e d < / s t r i n g > < / k e y > < v a l u e > < i n t > 0 < / i n t > < / v a l u e > < / i t e m > < i t e m > < k e y > < s t r i n g > O r g a n i z a t i o n < / s t r i n g > < / k e y > < v a l u e > < i n t > 0 < / i n t > < / v a l u e > < / i t e m > < i t e m > < k e y > < s t r i n g > I m p l e m e n t i n g P a r t n e r < / s t r i n g > < / k e y > < v a l u e > < i n t > 0 < / i n t > < / v a l u e > < / i t e m > < i t e m > < k e y > < s t r i n g > S t a t e < / s t r i n g > < / k e y > < v a l u e > < i n t > 0 < / i n t > < / v a l u e > < / i t e m > < i t e m > < k e y > < s t r i n g > T o w n s h i p < / s t r i n g > < / k e y > < v a l u e > < i n t > 0 < / i n t > < / v a l u e > < / i t e m > < i t e m > < k e y > < s t r i n g > C a m p N a m e < / s t r i n g > < / k e y > < v a l u e > < i n t > 0 < / i n t > < / v a l u e > < / i t e m > < i t e m > < k e y > < s t r i n g > H H p e r S h e l t e r < / s t r i n g > < / k e y > < v a l u e > < i n t > 0 < / i n t > < / v a l u e > < / i t e m > < i t e m > < k e y > < s t r i n g > # o f F a m i l y T e n t P l a n n e d   T a r g e t < / s t r i n g > < / k e y > < v a l u e > < i n t > 0 < / i n t > < / v a l u e > < / i t e m > < i t e m > < k e y > < s t r i n g > # o f F a m i l y T e n t D i s t r i b u t e d < / s t r i n g > < / k e y > < v a l u e > < i n t > 0 < / i n t > < / v a l u e > < / i t e m > < i t e m > < k e y > < s t r i n g > # o f T e m p o r a r y S h e l t e r P l a n n e d   T a r g e t < / s t r i n g > < / k e y > < v a l u e > < i n t > 0 < / i n t > < / v a l u e > < / i t e m > < i t e m > < k e y > < s t r i n g > # o f T e m p o r a r y S h e l t e r B u i l t < / s t r i n g > < / k e y > < v a l u e > < i n t > 0 < / i n t > < / v a l u e > < / i t e m > < i t e m > < k e y > < s t r i n g > # o f T e m p o r a r y S h e l t e r U n d e r C o n s t r u c t i o n < / s t r i n g > < / k e y > < v a l u e > < i n t > 0 < / i n t > < / v a l u e > < / i t e m > < i t e m > < k e y > < s t r i n g > # o f P e r m a n e n t H o u s e P l a n n e d   T a r g e t < / s t r i n g > < / k e y > < v a l u e > < i n t > 0 < / i n t > < / v a l u e > < / i t e m > < i t e m > < k e y > < s t r i n g > # o f P e r m a n e n t H o u s e B u i l t < / s t r i n g > < / k e y > < v a l u e > < i n t > 0 < / i n t > < / v a l u e > < / i t e m > < i t e m > < k e y > < s t r i n g > # o f P e r m a n e n t H o u s e U n d e r C o n s t r u c t i o n < / s t r i n g > < / k e y > < v a l u e > < i n t > 0 < / i n t > < / v a l u e > < / i t e m > < i t e m > < k e y > < s t r i n g > H H C o v e r e d < / s t r i n g > < / k e y > < v a l u e > < i n t > 0 < / i n t > < / v a l u e > < / i t e m > < i t e m > < k e y > < s t r i n g > A d d   C o l u m n < / s t r i n g > < / k e y > < v a l u e > < i n t > 0 < / i n t > < / v a l u e > < / i t e m > < / C o l u m n P o s i t i v e P a t t e r n > < C o l u m n N e g a t i v e P a t t e r n > < i t e m > < k e y > < s t r i n g > D a t e U p d a t e d < / s t r i n g > < / k e y > < v a l u e > < i n t > 0 < / i n t > < / v a l u e > < / i t e m > < i t e m > < k e y > < s t r i n g > O r g a n i z a t i o n < / s t r i n g > < / k e y > < v a l u e > < i n t > 0 < / i n t > < / v a l u e > < / i t e m > < i t e m > < k e y > < s t r i n g > I m p l e m e n t i n g P a r t n e r < / s t r i n g > < / k e y > < v a l u e > < i n t > 0 < / i n t > < / v a l u e > < / i t e m > < i t e m > < k e y > < s t r i n g > S t a t e < / s t r i n g > < / k e y > < v a l u e > < i n t > 0 < / i n t > < / v a l u e > < / i t e m > < i t e m > < k e y > < s t r i n g > T o w n s h i p < / s t r i n g > < / k e y > < v a l u e > < i n t > 0 < / i n t > < / v a l u e > < / i t e m > < i t e m > < k e y > < s t r i n g > C a m p N a m e < / s t r i n g > < / k e y > < v a l u e > < i n t > 0 < / i n t > < / v a l u e > < / i t e m > < i t e m > < k e y > < s t r i n g > H H p e r S h e l t e r < / s t r i n g > < / k e y > < v a l u e > < i n t > 0 < / i n t > < / v a l u e > < / i t e m > < i t e m > < k e y > < s t r i n g > # o f F a m i l y T e n t P l a n n e d   T a r g e t < / s t r i n g > < / k e y > < v a l u e > < i n t > 0 < / i n t > < / v a l u e > < / i t e m > < i t e m > < k e y > < s t r i n g > # o f F a m i l y T e n t D i s t r i b u t e d < / s t r i n g > < / k e y > < v a l u e > < i n t > 0 < / i n t > < / v a l u e > < / i t e m > < i t e m > < k e y > < s t r i n g > # o f T e m p o r a r y S h e l t e r P l a n n e d   T a r g e t < / s t r i n g > < / k e y > < v a l u e > < i n t > 0 < / i n t > < / v a l u e > < / i t e m > < i t e m > < k e y > < s t r i n g > # o f T e m p o r a r y S h e l t e r B u i l t < / s t r i n g > < / k e y > < v a l u e > < i n t > 0 < / i n t > < / v a l u e > < / i t e m > < i t e m > < k e y > < s t r i n g > # o f T e m p o r a r y S h e l t e r U n d e r C o n s t r u c t i o n < / s t r i n g > < / k e y > < v a l u e > < i n t > 0 < / i n t > < / v a l u e > < / i t e m > < i t e m > < k e y > < s t r i n g > # o f P e r m a n e n t H o u s e P l a n n e d   T a r g e t < / s t r i n g > < / k e y > < v a l u e > < i n t > 0 < / i n t > < / v a l u e > < / i t e m > < i t e m > < k e y > < s t r i n g > # o f P e r m a n e n t H o u s e B u i l t < / s t r i n g > < / k e y > < v a l u e > < i n t > 0 < / i n t > < / v a l u e > < / i t e m > < i t e m > < k e y > < s t r i n g > # o f P e r m a n e n t H o u s e U n d e r C o n s t r u c t i o n < / s t r i n g > < / k e y > < v a l u e > < i n t > 0 < / i n t > < / v a l u e > < / i t e m > < i t e m > < k e y > < s t r i n g > H H C o v e r e d < / s t r i n g > < / k e y > < v a l u e > < i n t > 0 < / i n t > < / v a l u e > < / i t e m > < i t e m > < k e y > < s t r i n g > A d d   C o l u m n < / s t r i n g > < / k e y > < v a l u e > < i n t > 0 < / i n t > < / v a l u e > < / i t e m > < / C o l u m n N e g a t i v e P a t t e r n > < C o l u m n W i d t h s > < i t e m > < k e y > < s t r i n g > D a t e U p d a t e d < / s t r i n g > < / k e y > < v a l u e > < i n t > 1 1 7 < / i n t > < / v a l u e > < / i t e m > < i t e m > < k e y > < s t r i n g > O r g a n i z a t i o n < / s t r i n g > < / k e y > < v a l u e > < i n t > 1 1 3 < / i n t > < / v a l u e > < / i t e m > < i t e m > < k e y > < s t r i n g > I m p l e m e n t i n g P a r t n e r < / s t r i n g > < / k e y > < v a l u e > < i n t > 1 6 8 < / i n t > < / v a l u e > < / i t e m > < i t e m > < k e y > < s t r i n g > S t a t e < / s t r i n g > < / k e y > < v a l u e > < i n t > 6 7 < / i n t > < / v a l u e > < / i t e m > < i t e m > < k e y > < s t r i n g > T o w n s h i p < / s t r i n g > < / k e y > < v a l u e > < i n t > 9 4 < / i n t > < / v a l u e > < / i t e m > < i t e m > < k e y > < s t r i n g > C a m p N a m e < / s t r i n g > < / k e y > < v a l u e > < i n t > 1 0 7 < / i n t > < / v a l u e > < / i t e m > < i t e m > < k e y > < s t r i n g > H H p e r S h e l t e r < / s t r i n g > < / k e y > < v a l u e > < i n t > 1 1 9 < / i n t > < / v a l u e > < / i t e m > < i t e m > < k e y > < s t r i n g > # o f F a m i l y T e n t P l a n n e d   T a r g e t < / s t r i n g > < / k e y > < v a l u e > < i n t > 2 1 5 < / i n t > < / v a l u e > < / i t e m > < i t e m > < k e y > < s t r i n g > # o f F a m i l y T e n t D i s t r i b u t e d < / s t r i n g > < / k e y > < v a l u e > < i n t > 1 9 3 < / i n t > < / v a l u e > < / i t e m > < i t e m > < k e y > < s t r i n g > # o f T e m p o r a r y S h e l t e r P l a n n e d   T a r g e t < / s t r i n g > < / k e y > < v a l u e > < i n t > 2 5 8 < / i n t > < / v a l u e > < / i t e m > < i t e m > < k e y > < s t r i n g > # o f T e m p o r a r y S h e l t e r B u i l t < / s t r i n g > < / k e y > < v a l u e > < i n t > 1 9 5 < / i n t > < / v a l u e > < / i t e m > < i t e m > < k e y > < s t r i n g > # o f T e m p o r a r y S h e l t e r U n d e r C o n s t r u c t i o n < / s t r i n g > < / k e y > < v a l u e > < i n t > 2 8 2 < / i n t > < / v a l u e > < / i t e m > < i t e m > < k e y > < s t r i n g > # o f P e r m a n e n t H o u s e P l a n n e d   T a r g e t < / s t r i n g > < / k e y > < v a l u e > < i n t > 2 5 5 < / i n t > < / v a l u e > < / i t e m > < i t e m > < k e y > < s t r i n g > # o f P e r m a n e n t H o u s e B u i l t < / s t r i n g > < / k e y > < v a l u e > < i n t > 1 9 2 < / i n t > < / v a l u e > < / i t e m > < i t e m > < k e y > < s t r i n g > # o f P e r m a n e n t H o u s e U n d e r C o n s t r u c t i o n < / s t r i n g > < / k e y > < v a l u e > < i n t > 2 7 9 < / i n t > < / v a l u e > < / i t e m > < i t e m > < k e y > < s t r i n g > H H C o v e r e d < / s t r i n g > < / k e y > < v a l u e > < i n t > 1 0 5 < / i n t > < / v a l u e > < / i t e m > < i t e m > < k e y > < s t r i n g > A d d   C o l u m n < / s t r i n g > < / k e y > < v a l u e > < i n t > 1 1 3 < / i n t > < / v a l u e > < / i t e m > < / C o l u m n W i d t h s > < C o l u m n D i s p l a y I n d e x > < i t e m > < k e y > < s t r i n g > D a t e U p d a t e d < / s t r i n g > < / k e y > < v a l u e > < i n t > 0 < / i n t > < / v a l u e > < / i t e m > < i t e m > < k e y > < s t r i n g > O r g a n i z a t i o n < / s t r i n g > < / k e y > < v a l u e > < i n t > 1 < / i n t > < / v a l u e > < / i t e m > < i t e m > < k e y > < s t r i n g > I m p l e m e n t i n g P a r t n e r < / s t r i n g > < / k e y > < v a l u e > < i n t > 2 < / i n t > < / v a l u e > < / i t e m > < i t e m > < k e y > < s t r i n g > S t a t e < / s t r i n g > < / k e y > < v a l u e > < i n t > 3 < / i n t > < / v a l u e > < / i t e m > < i t e m > < k e y > < s t r i n g > T o w n s h i p < / s t r i n g > < / k e y > < v a l u e > < i n t > 4 < / i n t > < / v a l u e > < / i t e m > < i t e m > < k e y > < s t r i n g > C a m p N a m e < / s t r i n g > < / k e y > < v a l u e > < i n t > 5 < / i n t > < / v a l u e > < / i t e m > < i t e m > < k e y > < s t r i n g > H H p e r S h e l t e r < / s t r i n g > < / k e y > < v a l u e > < i n t > 6 < / i n t > < / v a l u e > < / i t e m > < i t e m > < k e y > < s t r i n g > # o f F a m i l y T e n t P l a n n e d   T a r g e t < / s t r i n g > < / k e y > < v a l u e > < i n t > 7 < / i n t > < / v a l u e > < / i t e m > < i t e m > < k e y > < s t r i n g > # o f F a m i l y T e n t D i s t r i b u t e d < / s t r i n g > < / k e y > < v a l u e > < i n t > 8 < / i n t > < / v a l u e > < / i t e m > < i t e m > < k e y > < s t r i n g > # o f T e m p o r a r y S h e l t e r P l a n n e d   T a r g e t < / s t r i n g > < / k e y > < v a l u e > < i n t > 9 < / i n t > < / v a l u e > < / i t e m > < i t e m > < k e y > < s t r i n g > # o f T e m p o r a r y S h e l t e r B u i l t < / s t r i n g > < / k e y > < v a l u e > < i n t > 1 0 < / i n t > < / v a l u e > < / i t e m > < i t e m > < k e y > < s t r i n g > # o f T e m p o r a r y S h e l t e r U n d e r C o n s t r u c t i o n < / s t r i n g > < / k e y > < v a l u e > < i n t > 1 1 < / i n t > < / v a l u e > < / i t e m > < i t e m > < k e y > < s t r i n g > # o f P e r m a n e n t H o u s e P l a n n e d   T a r g e t < / s t r i n g > < / k e y > < v a l u e > < i n t > 1 2 < / i n t > < / v a l u e > < / i t e m > < i t e m > < k e y > < s t r i n g > # o f P e r m a n e n t H o u s e B u i l t < / s t r i n g > < / k e y > < v a l u e > < i n t > 1 3 < / i n t > < / v a l u e > < / i t e m > < i t e m > < k e y > < s t r i n g > # o f P e r m a n e n t H o u s e U n d e r C o n s t r u c t i o n < / s t r i n g > < / k e y > < v a l u e > < i n t > 1 4 < / i n t > < / v a l u e > < / i t e m > < i t e m > < k e y > < s t r i n g > H H C o v e r e d < / s t r i n g > < / k e y > < v a l u e > < i n t > 1 5 < / i n t > < / v a l u e > < / i t e m > < i t e m > < k e y > < s t r i n g > A d d   C o l u m n < / s t r i n g > < / k e y > < v a l u e > < i n t > 1 6 < / i n t > < / v a l u e > < / i t e m > < / C o l u m n D i s p l a y I n d e x > < C o l u m n F r o z e n   / > < C o l u m n H i d d e n   / > < C o l u m n C h e c k e d   / > < C o l u m n F i l t e r   / > < S e l e c t i o n F i l t e r   / > < F i l t e r P a r a m e t e r s   / > < I s S o r t D e s c e n d i n g > f a l s e < / I s S o r t D e s c e n d i n g > < / T a b l e W i d g e t G r i d S e r i a l i z a t i o n > ] ] > < / C u s t o m C o n t e n t > < / G e m i n i > 
</file>

<file path=customXml/item11.xml>��< ? x m l   v e r s i o n = " 1 . 0 "   e n c o d i n g = " U T F - 1 6 " ? > < G e m i n i   x m l n s = " h t t p : / / g e m i n i / p i v o t c u s t o m i z a t i o n / M a n u a l C a l c M o d e " > < C u s t o m C o n t e n t > < ! [ C D A T A [ F a l s e ] ] > < / C u s t o m C o n t e n t > < / G e m i n i > 
</file>

<file path=customXml/item2.xml>��< ? x m l   v e r s i o n = " 1 . 0 "   e n c o d i n g = " U T F - 1 6 " ? > < G e m i n i   x m l n s = " h t t p : / / g e m i n i / p i v o t c u s t o m i z a t i o n / T a b l e X M L _ T a b l e _ C a m p L i s t " > < C u s t o m C o n t e n t > < ! [ C D A T A [ < T a b l e W i d g e t G r i d S e r i a l i z a t i o n   x m l n s : x s i = " h t t p : / / w w w . w 3 . o r g / 2 0 0 1 / X M L S c h e m a - i n s t a n c e "   x m l n s : x s d = " h t t p : / / w w w . w 3 . o r g / 2 0 0 1 / X M L S c h e m a " > < C o l u m n S u g g e s t e d T y p e > < i t e m > < k e y > < s t r i n g > S r   N o < / s t r i n g > < / k e y > < v a l u e > < s t r i n g > B i g I n t < / s t r i n g > < / v a l u e > < / i t e m > < i t e m > < k e y > < s t r i n g > U p d a t e   D a t e < / s t r i n g > < / k e y > < v a l u e > < s t r i n g > D a t e < / s t r i n g > < / v a l u e > < / i t e m > < i t e m > < k e y > < s t r i n g > S t a t u s < / s t r i n g > < / k e y > < v a l u e > < s t r i n g > W C h a r < / s t r i n g > < / v a l u e > < / i t e m > < i t e m > < k e y > < s t r i n g > S t a t e < / s t r i n g > < / k e y > < v a l u e > < s t r i n g > W C h a r < / s t r i n g > < / v a l u e > < / i t e m > < i t e m > < k e y > < s t r i n g > S t a t e _ P c o d e < / s t r i n g > < / k e y > < v a l u e > < s t r i n g > W C h a r < / s t r i n g > < / v a l u e > < / i t e m > < i t e m > < k e y > < s t r i n g > T O W N S H I P _ N A M E < / s t r i n g > < / k e y > < v a l u e > < s t r i n g > W C h a r < / s t r i n g > < / v a l u e > < / i t e m > < i t e m > < k e y > < s t r i n g > T o w n s h i p _ P c o d e < / s t r i n g > < / k e y > < v a l u e > < s t r i n g > W C h a r < / s t r i n g > < / v a l u e > < / i t e m > < i t e m > < k e y > < s t r i n g > C a m p   N a m e < / s t r i n g > < / k e y > < v a l u e > < s t r i n g > W C h a r < / s t r i n g > < / v a l u e > < / i t e m > < i t e m > < k e y > < s t r i n g > P _ C o d e < / s t r i n g > < / k e y > < v a l u e > < s t r i n g > W C h a r < / s t r i n g > < / v a l u e > < / i t e m > < i t e m > < k e y > < s t r i n g > A c c e s s i b i l i t y < / s t r i n g > < / k e y > < v a l u e > < s t r i n g > W C h a r < / s t r i n g > < / v a l u e > < / i t e m > < i t e m > < k e y > < s t r i n g > L o n g i t u d e < / s t r i n g > < / k e y > < v a l u e > < s t r i n g > W C h a r < / s t r i n g > < / v a l u e > < / i t e m > < i t e m > < k e y > < s t r i n g > L a t i t u d e < / s t r i n g > < / k e y > < v a l u e > < s t r i n g > W C h a r < / s t r i n g > < / v a l u e > < / i t e m > < i t e m > < k e y > < s t r i n g > H H < / s t r i n g > < / k e y > < v a l u e > < s t r i n g > W C h a r < / s t r i n g > < / v a l u e > < / i t e m > < i t e m > < k e y > < s t r i n g > T o t a l < / s t r i n g > < / k e y > < v a l u e > < s t r i n g > W C h a r < / s t r i n g > < / v a l u e > < / i t e m > < i t e m > < k e y > < s t r i n g > A v g < / s t r i n g > < / k e y > < v a l u e > < s t r i n g > D o u b l e < / s t r i n g > < / v a l u e > < / i t e m > < i t e m > < k e y > < s t r i n g > S o u r c e < / s t r i n g > < / k e y > < v a l u e > < s t r i n g > W C h a r < / s t r i n g > < / v a l u e > < / i t e m > < i t e m > < k e y > < s t r i n g > M e t h o d < / s t r i n g > < / k e y > < v a l u e > < s t r i n g > W C h a r < / s t r i n g > < / v a l u e > < / i t e m > < i t e m > < k e y > < s t r i n g > T y p e   o f   A c c o m o d a t i o n < / s t r i n g > < / k e y > < v a l u e > < s t r i n g > W C h a r < / s t r i n g > < / v a l u e > < / i t e m > < i t e m > < k e y > < s t r i n g > C o m m e n t < / s t r i n g > < / k e y > < v a l u e > < s t r i n g > W C h a r < / s t r i n g > < / v a l u e > < / i t e m > < / C o l u m n S u g g e s t e d T y p e > < C o l u m n F o r m a t > < i t e m > < k e y > < s t r i n g > S r   N o < / s t r i n g > < / k e y > < v a l u e > < s t r i n g > G e n e r a l < / s t r i n g > < / v a l u e > < / i t e m > < i t e m > < k e y > < s t r i n g > U p d a t e   D a t e < / s t r i n g > < / k e y > < v a l u e > < s t r i n g > D a t e S h o r t D a t e P a t t e r n < / s t r i n g > < / v a l u e > < / i t e m > < i t e m > < k e y > < s t r i n g > S t a t u s < / s t r i n g > < / k e y > < v a l u e > < s t r i n g > T e x t < / s t r i n g > < / v a l u e > < / i t e m > < i t e m > < k e y > < s t r i n g > S t a t e < / s t r i n g > < / k e y > < v a l u e > < s t r i n g > T e x t < / s t r i n g > < / v a l u e > < / i t e m > < i t e m > < k e y > < s t r i n g > S t a t e _ P c o d e < / s t r i n g > < / k e y > < v a l u e > < s t r i n g > T e x t < / s t r i n g > < / v a l u e > < / i t e m > < i t e m > < k e y > < s t r i n g > T O W N S H I P _ N A M E < / s t r i n g > < / k e y > < v a l u e > < s t r i n g > T e x t < / s t r i n g > < / v a l u e > < / i t e m > < i t e m > < k e y > < s t r i n g > T o w n s h i p _ P c o d e < / s t r i n g > < / k e y > < v a l u e > < s t r i n g > T e x t < / s t r i n g > < / v a l u e > < / i t e m > < i t e m > < k e y > < s t r i n g > C a m p   N a m e < / s t r i n g > < / k e y > < v a l u e > < s t r i n g > T e x t < / s t r i n g > < / v a l u e > < / i t e m > < i t e m > < k e y > < s t r i n g > P _ C o d e < / s t r i n g > < / k e y > < v a l u e > < s t r i n g > T e x t < / s t r i n g > < / v a l u e > < / i t e m > < i t e m > < k e y > < s t r i n g > A c c e s s i b i l i t y < / s t r i n g > < / k e y > < v a l u e > < s t r i n g > T e x t < / s t r i n g > < / v a l u e > < / i t e m > < i t e m > < k e y > < s t r i n g > L o n g i t u d e < / s t r i n g > < / k e y > < v a l u e > < s t r i n g > T e x t < / s t r i n g > < / v a l u e > < / i t e m > < i t e m > < k e y > < s t r i n g > L a t i t u d e < / s t r i n g > < / k e y > < v a l u e > < s t r i n g > T e x t < / s t r i n g > < / v a l u e > < / i t e m > < i t e m > < k e y > < s t r i n g > H H < / s t r i n g > < / k e y > < v a l u e > < s t r i n g > T e x t < / s t r i n g > < / v a l u e > < / i t e m > < i t e m > < k e y > < s t r i n g > T o t a l < / s t r i n g > < / k e y > < v a l u e > < s t r i n g > T e x t < / s t r i n g > < / v a l u e > < / i t e m > < i t e m > < k e y > < s t r i n g > A v g < / s t r i n g > < / k e y > < v a l u e > < s t r i n g > G e n e r a l < / s t r i n g > < / v a l u e > < / i t e m > < i t e m > < k e y > < s t r i n g > S o u r c e < / s t r i n g > < / k e y > < v a l u e > < s t r i n g > T e x t < / s t r i n g > < / v a l u e > < / i t e m > < i t e m > < k e y > < s t r i n g > M e t h o d < / s t r i n g > < / k e y > < v a l u e > < s t r i n g > T e x t < / s t r i n g > < / v a l u e > < / i t e m > < i t e m > < k e y > < s t r i n g > T y p e   o f   A c c o m o d a t i o n < / s t r i n g > < / k e y > < v a l u e > < s t r i n g > T e x t < / s t r i n g > < / v a l u e > < / i t e m > < i t e m > < k e y > < s t r i n g > C o m m e n t < / s t r i n g > < / k e y > < v a l u e > < s t r i n g > T e x t < / s t r i n g > < / v a l u e > < / i t e m > < i t e m > < k e y > < s t r i n g > A d d   C o l u m n < / s t r i n g > < / k e y > < v a l u e > < s t r i n g > T e x t < / s t r i n g > < / v a l u e > < / i t e m > < i t e m > < k e y > < s t r i n g > V i l l a g e T r a c K T o w n _ N a m e < / s t r i n g > < / k e y > < v a l u e > < s t r i n g > T e x t < / s t r i n g > < / v a l u e > < / i t e m > < i t e m > < k e y > < s t r i n g > V i l l a g e T r a c k T o w n _ P c o d e < / s t r i n g > < / k e y > < v a l u e > < s t r i n g > T e x t < / s t r i n g > < / v a l u e > < / i t e m > < i t e m > < k e y > < s t r i n g > V i l l a g e W a r d _ N a m e < / s t r i n g > < / k e y > < v a l u e > < s t r i n g > T e x t < / s t r i n g > < / v a l u e > < / i t e m > < i t e m > < k e y > < s t r i n g > V i l l a g e W a r d _ P c o d e < / s t r i n g > < / k e y > < v a l u e > < s t r i n g > T e x t < / s t r i n g > < / v a l u e > < / i t e m > < / C o l u m n F o r m a t > < C o l u m n A c c u r a c y > < i t e m > < k e y > < s t r i n g > S r   N o < / s t r i n g > < / k e y > < v a l u e > < i n t > 0 < / i n t > < / v a l u e > < / i t e m > < i t e m > < k e y > < s t r i n g > U p d a t e   D a t e < / s t r i n g > < / k e y > < v a l u e > < i n t > 0 < / i n t > < / v a l u e > < / i t e m > < i t e m > < k e y > < s t r i n g > S t a t u s < / s t r i n g > < / k e y > < v a l u e > < i n t > 0 < / i n t > < / v a l u e > < / i t e m > < i t e m > < k e y > < s t r i n g > S t a t e < / s t r i n g > < / k e y > < v a l u e > < i n t > 0 < / i n t > < / v a l u e > < / i t e m > < i t e m > < k e y > < s t r i n g > S t a t e _ P c o d e < / s t r i n g > < / k e y > < v a l u e > < i n t > 0 < / i n t > < / v a l u e > < / i t e m > < i t e m > < k e y > < s t r i n g > T O W N S H I P _ N A M E < / s t r i n g > < / k e y > < v a l u e > < i n t > 0 < / i n t > < / v a l u e > < / i t e m > < i t e m > < k e y > < s t r i n g > T o w n s h i p _ P c o d e < / s t r i n g > < / k e y > < v a l u e > < i n t > 0 < / i n t > < / v a l u e > < / i t e m > < i t e m > < k e y > < s t r i n g > C a m p   N a m e < / s t r i n g > < / k e y > < v a l u e > < i n t > 0 < / i n t > < / v a l u e > < / i t e m > < i t e m > < k e y > < s t r i n g > P _ C o d e < / s t r i n g > < / k e y > < v a l u e > < i n t > 0 < / i n t > < / v a l u e > < / i t e m > < i t e m > < k e y > < s t r i n g > A c c e s s i b i l i t y < / s t r i n g > < / k e y > < v a l u e > < i n t > 0 < / i n t > < / v a l u e > < / i t e m > < i t e m > < k e y > < s t r i n g > L o n g i t u d e < / s t r i n g > < / k e y > < v a l u e > < i n t > 0 < / i n t > < / v a l u e > < / i t e m > < i t e m > < k e y > < s t r i n g > L a t i t u d e < / s t r i n g > < / k e y > < v a l u e > < i n t > 0 < / i n t > < / v a l u e > < / i t e m > < i t e m > < k e y > < s t r i n g > H H < / s t r i n g > < / k e y > < v a l u e > < i n t > 0 < / i n t > < / v a l u e > < / i t e m > < i t e m > < k e y > < s t r i n g > T o t a l < / s t r i n g > < / k e y > < v a l u e > < i n t > 0 < / i n t > < / v a l u e > < / i t e m > < i t e m > < k e y > < s t r i n g > A v g < / s t r i n g > < / k e y > < v a l u e > < i n t > 0 < / i n t > < / v a l u e > < / i t e m > < i t e m > < k e y > < s t r i n g > S o u r c e < / s t r i n g > < / k e y > < v a l u e > < i n t > 0 < / i n t > < / v a l u e > < / i t e m > < i t e m > < k e y > < s t r i n g > M e t h o d < / s t r i n g > < / k e y > < v a l u e > < i n t > 0 < / i n t > < / v a l u e > < / i t e m > < i t e m > < k e y > < s t r i n g > T y p e   o f   A c c o m o d a t i o n < / s t r i n g > < / k e y > < v a l u e > < i n t > 0 < / i n t > < / v a l u e > < / i t e m > < i t e m > < k e y > < s t r i n g > C o m m e n t < / s t r i n g > < / k e y > < v a l u e > < i n t > 0 < / i n t > < / v a l u e > < / i t e m > < i t e m > < k e y > < s t r i n g > A d d   C o l u m n < / s t r i n g > < / k e y > < v a l u e > < i n t > 0 < / i n t > < / v a l u e > < / i t e m > < i t e m > < k e y > < s t r i n g > V i l l a g e T r a c K T o w n _ N a m e < / s t r i n g > < / k e y > < v a l u e > < i n t > 0 < / i n t > < / v a l u e > < / i t e m > < i t e m > < k e y > < s t r i n g > V i l l a g e T r a c k T o w n _ P c o d e < / s t r i n g > < / k e y > < v a l u e > < i n t > 0 < / i n t > < / v a l u e > < / i t e m > < i t e m > < k e y > < s t r i n g > V i l l a g e W a r d _ N a m e < / s t r i n g > < / k e y > < v a l u e > < i n t > 0 < / i n t > < / v a l u e > < / i t e m > < i t e m > < k e y > < s t r i n g > V i l l a g e W a r d _ P c o d e < / s t r i n g > < / k e y > < v a l u e > < i n t > 0 < / i n t > < / v a l u e > < / i t e m > < / C o l u m n A c c u r a c y > < C o l u m n C u r r e n c y S y m b o l > < i t e m > < k e y > < s t r i n g > S r   N o < / s t r i n g > < / k e y > < v a l u e > < s t r i n g > $ < / s t r i n g > < / v a l u e > < / i t e m > < i t e m > < k e y > < s t r i n g > U p d a t e   D a t e < / s t r i n g > < / k e y > < v a l u e > < s t r i n g > $ < / s t r i n g > < / v a l u e > < / i t e m > < i t e m > < k e y > < s t r i n g > S t a t u s < / s t r i n g > < / k e y > < v a l u e > < s t r i n g > $ < / s t r i n g > < / v a l u e > < / i t e m > < i t e m > < k e y > < s t r i n g > S t a t e < / s t r i n g > < / k e y > < v a l u e > < s t r i n g > $ < / s t r i n g > < / v a l u e > < / i t e m > < i t e m > < k e y > < s t r i n g > S t a t e _ P c o d e < / s t r i n g > < / k e y > < v a l u e > < s t r i n g > $ < / s t r i n g > < / v a l u e > < / i t e m > < i t e m > < k e y > < s t r i n g > T O W N S H I P _ N A M E < / s t r i n g > < / k e y > < v a l u e > < s t r i n g > $ < / s t r i n g > < / v a l u e > < / i t e m > < i t e m > < k e y > < s t r i n g > T o w n s h i p _ P c o d e < / s t r i n g > < / k e y > < v a l u e > < s t r i n g > $ < / s t r i n g > < / v a l u e > < / i t e m > < i t e m > < k e y > < s t r i n g > C a m p   N a m e < / s t r i n g > < / k e y > < v a l u e > < s t r i n g > $ < / s t r i n g > < / v a l u e > < / i t e m > < i t e m > < k e y > < s t r i n g > P _ C o d e < / s t r i n g > < / k e y > < v a l u e > < s t r i n g > $ < / s t r i n g > < / v a l u e > < / i t e m > < i t e m > < k e y > < s t r i n g > A c c e s s i b i l i t y < / s t r i n g > < / k e y > < v a l u e > < s t r i n g > $ < / s t r i n g > < / v a l u e > < / i t e m > < i t e m > < k e y > < s t r i n g > L o n g i t u d e < / s t r i n g > < / k e y > < v a l u e > < s t r i n g > $ < / s t r i n g > < / v a l u e > < / i t e m > < i t e m > < k e y > < s t r i n g > L a t i t u d e < / s t r i n g > < / k e y > < v a l u e > < s t r i n g > $ < / s t r i n g > < / v a l u e > < / i t e m > < i t e m > < k e y > < s t r i n g > H H < / s t r i n g > < / k e y > < v a l u e > < s t r i n g > $ < / s t r i n g > < / v a l u e > < / i t e m > < i t e m > < k e y > < s t r i n g > T o t a l < / s t r i n g > < / k e y > < v a l u e > < s t r i n g > $ < / s t r i n g > < / v a l u e > < / i t e m > < i t e m > < k e y > < s t r i n g > A v g < / s t r i n g > < / k e y > < v a l u e > < s t r i n g > $ < / s t r i n g > < / v a l u e > < / i t e m > < i t e m > < k e y > < s t r i n g > S o u r c e < / s t r i n g > < / k e y > < v a l u e > < s t r i n g > $ < / s t r i n g > < / v a l u e > < / i t e m > < i t e m > < k e y > < s t r i n g > M e t h o d < / s t r i n g > < / k e y > < v a l u e > < s t r i n g > $ < / s t r i n g > < / v a l u e > < / i t e m > < i t e m > < k e y > < s t r i n g > T y p e   o f   A c c o m o d a t i o n < / s t r i n g > < / k e y > < v a l u e > < s t r i n g > $ < / s t r i n g > < / v a l u e > < / i t e m > < i t e m > < k e y > < s t r i n g > C o m m e n t < / s t r i n g > < / k e y > < v a l u e > < s t r i n g > $ < / s t r i n g > < / v a l u e > < / i t e m > < i t e m > < k e y > < s t r i n g > A d d   C o l u m n < / s t r i n g > < / k e y > < v a l u e > < s t r i n g > $ < / s t r i n g > < / v a l u e > < / i t e m > < i t e m > < k e y > < s t r i n g > V i l l a g e T r a c K T o w n _ N a m e < / s t r i n g > < / k e y > < v a l u e > < s t r i n g > $ < / s t r i n g > < / v a l u e > < / i t e m > < i t e m > < k e y > < s t r i n g > V i l l a g e T r a c k T o w n _ P c o d e < / s t r i n g > < / k e y > < v a l u e > < s t r i n g > $ < / s t r i n g > < / v a l u e > < / i t e m > < i t e m > < k e y > < s t r i n g > V i l l a g e W a r d _ N a m e < / s t r i n g > < / k e y > < v a l u e > < s t r i n g > $ < / s t r i n g > < / v a l u e > < / i t e m > < i t e m > < k e y > < s t r i n g > V i l l a g e W a r d _ P c o d e < / s t r i n g > < / k e y > < v a l u e > < s t r i n g > $ < / s t r i n g > < / v a l u e > < / i t e m > < / C o l u m n C u r r e n c y S y m b o l > < C o l u m n P o s i t i v e P a t t e r n > < i t e m > < k e y > < s t r i n g > S r   N o < / s t r i n g > < / k e y > < v a l u e > < i n t > 0 < / i n t > < / v a l u e > < / i t e m > < i t e m > < k e y > < s t r i n g > U p d a t e   D a t e < / s t r i n g > < / k e y > < v a l u e > < i n t > 0 < / i n t > < / v a l u e > < / i t e m > < i t e m > < k e y > < s t r i n g > S t a t u s < / s t r i n g > < / k e y > < v a l u e > < i n t > 0 < / i n t > < / v a l u e > < / i t e m > < i t e m > < k e y > < s t r i n g > S t a t e < / s t r i n g > < / k e y > < v a l u e > < i n t > 0 < / i n t > < / v a l u e > < / i t e m > < i t e m > < k e y > < s t r i n g > S t a t e _ P c o d e < / s t r i n g > < / k e y > < v a l u e > < i n t > 0 < / i n t > < / v a l u e > < / i t e m > < i t e m > < k e y > < s t r i n g > T O W N S H I P _ N A M E < / s t r i n g > < / k e y > < v a l u e > < i n t > 0 < / i n t > < / v a l u e > < / i t e m > < i t e m > < k e y > < s t r i n g > T o w n s h i p _ P c o d e < / s t r i n g > < / k e y > < v a l u e > < i n t > 0 < / i n t > < / v a l u e > < / i t e m > < i t e m > < k e y > < s t r i n g > C a m p   N a m e < / s t r i n g > < / k e y > < v a l u e > < i n t > 0 < / i n t > < / v a l u e > < / i t e m > < i t e m > < k e y > < s t r i n g > P _ C o d e < / s t r i n g > < / k e y > < v a l u e > < i n t > 0 < / i n t > < / v a l u e > < / i t e m > < i t e m > < k e y > < s t r i n g > A c c e s s i b i l i t y < / s t r i n g > < / k e y > < v a l u e > < i n t > 0 < / i n t > < / v a l u e > < / i t e m > < i t e m > < k e y > < s t r i n g > L o n g i t u d e < / s t r i n g > < / k e y > < v a l u e > < i n t > 0 < / i n t > < / v a l u e > < / i t e m > < i t e m > < k e y > < s t r i n g > L a t i t u d e < / s t r i n g > < / k e y > < v a l u e > < i n t > 0 < / i n t > < / v a l u e > < / i t e m > < i t e m > < k e y > < s t r i n g > H H < / s t r i n g > < / k e y > < v a l u e > < i n t > 0 < / i n t > < / v a l u e > < / i t e m > < i t e m > < k e y > < s t r i n g > T o t a l < / s t r i n g > < / k e y > < v a l u e > < i n t > 0 < / i n t > < / v a l u e > < / i t e m > < i t e m > < k e y > < s t r i n g > A v g < / s t r i n g > < / k e y > < v a l u e > < i n t > 0 < / i n t > < / v a l u e > < / i t e m > < i t e m > < k e y > < s t r i n g > S o u r c e < / s t r i n g > < / k e y > < v a l u e > < i n t > 0 < / i n t > < / v a l u e > < / i t e m > < i t e m > < k e y > < s t r i n g > M e t h o d < / s t r i n g > < / k e y > < v a l u e > < i n t > 0 < / i n t > < / v a l u e > < / i t e m > < i t e m > < k e y > < s t r i n g > T y p e   o f   A c c o m o d a t i o n < / s t r i n g > < / k e y > < v a l u e > < i n t > 0 < / i n t > < / v a l u e > < / i t e m > < i t e m > < k e y > < s t r i n g > C o m m e n t < / s t r i n g > < / k e y > < v a l u e > < i n t > 0 < / i n t > < / v a l u e > < / i t e m > < i t e m > < k e y > < s t r i n g > A d d   C o l u m n < / s t r i n g > < / k e y > < v a l u e > < i n t > 0 < / i n t > < / v a l u e > < / i t e m > < i t e m > < k e y > < s t r i n g > V i l l a g e T r a c K T o w n _ N a m e < / s t r i n g > < / k e y > < v a l u e > < i n t > 0 < / i n t > < / v a l u e > < / i t e m > < i t e m > < k e y > < s t r i n g > V i l l a g e T r a c k T o w n _ P c o d e < / s t r i n g > < / k e y > < v a l u e > < i n t > 0 < / i n t > < / v a l u e > < / i t e m > < i t e m > < k e y > < s t r i n g > V i l l a g e W a r d _ N a m e < / s t r i n g > < / k e y > < v a l u e > < i n t > 0 < / i n t > < / v a l u e > < / i t e m > < i t e m > < k e y > < s t r i n g > V i l l a g e W a r d _ P c o d e < / s t r i n g > < / k e y > < v a l u e > < i n t > 0 < / i n t > < / v a l u e > < / i t e m > < / C o l u m n P o s i t i v e P a t t e r n > < C o l u m n N e g a t i v e P a t t e r n > < i t e m > < k e y > < s t r i n g > S r   N o < / s t r i n g > < / k e y > < v a l u e > < i n t > 0 < / i n t > < / v a l u e > < / i t e m > < i t e m > < k e y > < s t r i n g > U p d a t e   D a t e < / s t r i n g > < / k e y > < v a l u e > < i n t > 0 < / i n t > < / v a l u e > < / i t e m > < i t e m > < k e y > < s t r i n g > S t a t u s < / s t r i n g > < / k e y > < v a l u e > < i n t > 0 < / i n t > < / v a l u e > < / i t e m > < i t e m > < k e y > < s t r i n g > S t a t e < / s t r i n g > < / k e y > < v a l u e > < i n t > 0 < / i n t > < / v a l u e > < / i t e m > < i t e m > < k e y > < s t r i n g > S t a t e _ P c o d e < / s t r i n g > < / k e y > < v a l u e > < i n t > 0 < / i n t > < / v a l u e > < / i t e m > < i t e m > < k e y > < s t r i n g > T O W N S H I P _ N A M E < / s t r i n g > < / k e y > < v a l u e > < i n t > 0 < / i n t > < / v a l u e > < / i t e m > < i t e m > < k e y > < s t r i n g > T o w n s h i p _ P c o d e < / s t r i n g > < / k e y > < v a l u e > < i n t > 0 < / i n t > < / v a l u e > < / i t e m > < i t e m > < k e y > < s t r i n g > C a m p   N a m e < / s t r i n g > < / k e y > < v a l u e > < i n t > 0 < / i n t > < / v a l u e > < / i t e m > < i t e m > < k e y > < s t r i n g > P _ C o d e < / s t r i n g > < / k e y > < v a l u e > < i n t > 0 < / i n t > < / v a l u e > < / i t e m > < i t e m > < k e y > < s t r i n g > A c c e s s i b i l i t y < / s t r i n g > < / k e y > < v a l u e > < i n t > 0 < / i n t > < / v a l u e > < / i t e m > < i t e m > < k e y > < s t r i n g > L o n g i t u d e < / s t r i n g > < / k e y > < v a l u e > < i n t > 0 < / i n t > < / v a l u e > < / i t e m > < i t e m > < k e y > < s t r i n g > L a t i t u d e < / s t r i n g > < / k e y > < v a l u e > < i n t > 0 < / i n t > < / v a l u e > < / i t e m > < i t e m > < k e y > < s t r i n g > H H < / s t r i n g > < / k e y > < v a l u e > < i n t > 0 < / i n t > < / v a l u e > < / i t e m > < i t e m > < k e y > < s t r i n g > T o t a l < / s t r i n g > < / k e y > < v a l u e > < i n t > 0 < / i n t > < / v a l u e > < / i t e m > < i t e m > < k e y > < s t r i n g > A v g < / s t r i n g > < / k e y > < v a l u e > < i n t > 0 < / i n t > < / v a l u e > < / i t e m > < i t e m > < k e y > < s t r i n g > S o u r c e < / s t r i n g > < / k e y > < v a l u e > < i n t > 0 < / i n t > < / v a l u e > < / i t e m > < i t e m > < k e y > < s t r i n g > M e t h o d < / s t r i n g > < / k e y > < v a l u e > < i n t > 0 < / i n t > < / v a l u e > < / i t e m > < i t e m > < k e y > < s t r i n g > T y p e   o f   A c c o m o d a t i o n < / s t r i n g > < / k e y > < v a l u e > < i n t > 0 < / i n t > < / v a l u e > < / i t e m > < i t e m > < k e y > < s t r i n g > C o m m e n t < / s t r i n g > < / k e y > < v a l u e > < i n t > 0 < / i n t > < / v a l u e > < / i t e m > < i t e m > < k e y > < s t r i n g > A d d   C o l u m n < / s t r i n g > < / k e y > < v a l u e > < i n t > 0 < / i n t > < / v a l u e > < / i t e m > < i t e m > < k e y > < s t r i n g > V i l l a g e T r a c K T o w n _ N a m e < / s t r i n g > < / k e y > < v a l u e > < i n t > 0 < / i n t > < / v a l u e > < / i t e m > < i t e m > < k e y > < s t r i n g > V i l l a g e T r a c k T o w n _ P c o d e < / s t r i n g > < / k e y > < v a l u e > < i n t > 0 < / i n t > < / v a l u e > < / i t e m > < i t e m > < k e y > < s t r i n g > V i l l a g e W a r d _ N a m e < / s t r i n g > < / k e y > < v a l u e > < i n t > 0 < / i n t > < / v a l u e > < / i t e m > < i t e m > < k e y > < s t r i n g > V i l l a g e W a r d _ P c o d e < / s t r i n g > < / k e y > < v a l u e > < i n t > 0 < / i n t > < / v a l u e > < / i t e m > < / C o l u m n N e g a t i v e P a t t e r n > < C o l u m n W i d t h s > < i t e m > < k e y > < s t r i n g > S r   N o < / s t r i n g > < / k e y > < v a l u e > < i n t > 6 8 < / i n t > < / v a l u e > < / i t e m > < i t e m > < k e y > < s t r i n g > U p d a t e   D a t e < / s t r i n g > < / k e y > < v a l u e > < i n t > 1 1 2 < / i n t > < / v a l u e > < / i t e m > < i t e m > < k e y > < s t r i n g > S t a t u s < / s t r i n g > < / k e y > < v a l u e > < i n t > 7 3 < / i n t > < / v a l u e > < / i t e m > < i t e m > < k e y > < s t r i n g > S t a t e < / s t r i n g > < / k e y > < v a l u e > < i n t > 6 7 < / i n t > < / v a l u e > < / i t e m > < i t e m > < k e y > < s t r i n g > S t a t e _ P c o d e < / s t r i n g > < / k e y > < v a l u e > < i n t > 1 1 2 < / i n t > < / v a l u e > < / i t e m > < i t e m > < k e y > < s t r i n g > T O W N S H I P _ N A M E < / s t r i n g > < / k e y > < v a l u e > < i n t > 1 4 8 < / i n t > < / v a l u e > < / i t e m > < i t e m > < k e y > < s t r i n g > T o w n s h i p _ P c o d e < / s t r i n g > < / k e y > < v a l u e > < i n t > 1 3 9 < / i n t > < / v a l u e > < / i t e m > < i t e m > < k e y > < s t r i n g > C a m p   N a m e < / s t r i n g > < / k e y > < v a l u e > < i n t > 2 2 7 < / i n t > < / v a l u e > < / i t e m > < i t e m > < k e y > < s t r i n g > P _ C o d e < / s t r i n g > < / k e y > < v a l u e > < i n t > 1 3 5 < / i n t > < / v a l u e > < / i t e m > < i t e m > < k e y > < s t r i n g > A c c e s s i b i l i t y < / s t r i n g > < / k e y > < v a l u e > < i n t > 1 1 2 < / i n t > < / v a l u e > < / i t e m > < i t e m > < k e y > < s t r i n g > L o n g i t u d e < / s t r i n g > < / k e y > < v a l u e > < i n t > 9 7 < / i n t > < / v a l u e > < / i t e m > < i t e m > < k e y > < s t r i n g > L a t i t u d e < / s t r i n g > < / k e y > < v a l u e > < i n t > 8 5 < / i n t > < / v a l u e > < / i t e m > < i t e m > < k e y > < s t r i n g > H H < / s t r i n g > < / k e y > < v a l u e > < i n t > 5 3 < / i n t > < / v a l u e > < / i t e m > < i t e m > < k e y > < s t r i n g > T o t a l < / s t r i n g > < / k e y > < v a l u e > < i n t > 6 5 < / i n t > < / v a l u e > < / i t e m > < i t e m > < k e y > < s t r i n g > A v g < / s t r i n g > < / k e y > < v a l u e > < i n t > 5 8 < / i n t > < / v a l u e > < / i t e m > < i t e m > < k e y > < s t r i n g > S o u r c e < / s t r i n g > < / k e y > < v a l u e > < i n t > 7 7 < / i n t > < / v a l u e > < / i t e m > < i t e m > < k e y > < s t r i n g > M e t h o d < / s t r i n g > < / k e y > < v a l u e > < i n t > 8 4 < / i n t > < / v a l u e > < / i t e m > < i t e m > < k e y > < s t r i n g > T y p e   o f   A c c o m o d a t i o n < / s t r i n g > < / k e y > < v a l u e > < i n t > 1 7 1 < / i n t > < / v a l u e > < / i t e m > < i t e m > < k e y > < s t r i n g > C o m m e n t < / s t r i n g > < / k e y > < v a l u e > < i n t > 9 6 < / i n t > < / v a l u e > < / i t e m > < i t e m > < k e y > < s t r i n g > A d d   C o l u m n < / s t r i n g > < / k e y > < v a l u e > < i n t > 1 1 3 < / i n t > < / v a l u e > < / i t e m > < i t e m > < k e y > < s t r i n g > V i l l a g e T r a c K T o w n _ N a m e < / s t r i n g > < / k e y > < v a l u e > < i n t > 1 8 5 < / i n t > < / v a l u e > < / i t e m > < i t e m > < k e y > < s t r i n g > V i l l a g e T r a c k T o w n _ P c o d e < / s t r i n g > < / k e y > < v a l u e > < i n t > 1 8 5 < / i n t > < / v a l u e > < / i t e m > < i t e m > < k e y > < s t r i n g > V i l l a g e W a r d _ N a m e < / s t r i n g > < / k e y > < v a l u e > < i n t > 1 5 2 < / i n t > < / v a l u e > < / i t e m > < i t e m > < k e y > < s t r i n g > V i l l a g e W a r d _ P c o d e < / s t r i n g > < / k e y > < v a l u e > < i n t > 1 5 3 < / i n t > < / v a l u e > < / i t e m > < / C o l u m n W i d t h s > < C o l u m n D i s p l a y I n d e x > < i t e m > < k e y > < s t r i n g > S r   N o < / s t r i n g > < / k e y > < v a l u e > < i n t > 0 < / i n t > < / v a l u e > < / i t e m > < i t e m > < k e y > < s t r i n g > U p d a t e   D a t e < / s t r i n g > < / k e y > < v a l u e > < i n t > 1 < / i n t > < / v a l u e > < / i t e m > < i t e m > < k e y > < s t r i n g > S t a t u s < / s t r i n g > < / k e y > < v a l u e > < i n t > 2 < / i n t > < / v a l u e > < / i t e m > < i t e m > < k e y > < s t r i n g > S t a t e < / s t r i n g > < / k e y > < v a l u e > < i n t > 3 < / i n t > < / v a l u e > < / i t e m > < i t e m > < k e y > < s t r i n g > S t a t e _ P c o d e < / s t r i n g > < / k e y > < v a l u e > < i n t > 4 < / i n t > < / v a l u e > < / i t e m > < i t e m > < k e y > < s t r i n g > T O W N S H I P _ N A M E < / s t r i n g > < / k e y > < v a l u e > < i n t > 5 < / i n t > < / v a l u e > < / i t e m > < i t e m > < k e y > < s t r i n g > T o w n s h i p _ P c o d e < / s t r i n g > < / k e y > < v a l u e > < i n t > 6 < / i n t > < / v a l u e > < / i t e m > < i t e m > < k e y > < s t r i n g > C a m p   N a m e < / s t r i n g > < / k e y > < v a l u e > < i n t > 7 < / i n t > < / v a l u e > < / i t e m > < i t e m > < k e y > < s t r i n g > P _ C o d e < / s t r i n g > < / k e y > < v a l u e > < i n t > 8 < / i n t > < / v a l u e > < / i t e m > < i t e m > < k e y > < s t r i n g > A c c e s s i b i l i t y < / s t r i n g > < / k e y > < v a l u e > < i n t > 9 < / i n t > < / v a l u e > < / i t e m > < i t e m > < k e y > < s t r i n g > L o n g i t u d e < / s t r i n g > < / k e y > < v a l u e > < i n t > 1 0 < / i n t > < / v a l u e > < / i t e m > < i t e m > < k e y > < s t r i n g > L a t i t u d e < / s t r i n g > < / k e y > < v a l u e > < i n t > 1 1 < / i n t > < / v a l u e > < / i t e m > < i t e m > < k e y > < s t r i n g > H H < / s t r i n g > < / k e y > < v a l u e > < i n t > 1 2 < / i n t > < / v a l u e > < / i t e m > < i t e m > < k e y > < s t r i n g > T o t a l < / s t r i n g > < / k e y > < v a l u e > < i n t > 1 3 < / i n t > < / v a l u e > < / i t e m > < i t e m > < k e y > < s t r i n g > A v g < / s t r i n g > < / k e y > < v a l u e > < i n t > 1 4 < / i n t > < / v a l u e > < / i t e m > < i t e m > < k e y > < s t r i n g > S o u r c e < / s t r i n g > < / k e y > < v a l u e > < i n t > 1 5 < / i n t > < / v a l u e > < / i t e m > < i t e m > < k e y > < s t r i n g > M e t h o d < / s t r i n g > < / k e y > < v a l u e > < i n t > 1 6 < / i n t > < / v a l u e > < / i t e m > < i t e m > < k e y > < s t r i n g > T y p e   o f   A c c o m o d a t i o n < / s t r i n g > < / k e y > < v a l u e > < i n t > 1 7 < / i n t > < / v a l u e > < / i t e m > < i t e m > < k e y > < s t r i n g > C o m m e n t < / s t r i n g > < / k e y > < v a l u e > < i n t > 1 8 < / i n t > < / v a l u e > < / i t e m > < i t e m > < k e y > < s t r i n g > A d d   C o l u m n < / s t r i n g > < / k e y > < v a l u e > < i n t > 2 3 < / i n t > < / v a l u e > < / i t e m > < i t e m > < k e y > < s t r i n g > V i l l a g e T r a c K T o w n _ N a m e < / s t r i n g > < / k e y > < v a l u e > < i n t > 1 9 < / i n t > < / v a l u e > < / i t e m > < i t e m > < k e y > < s t r i n g > V i l l a g e T r a c k T o w n _ P c o d e < / s t r i n g > < / k e y > < v a l u e > < i n t > 2 0 < / i n t > < / v a l u e > < / i t e m > < i t e m > < k e y > < s t r i n g > V i l l a g e W a r d _ N a m e < / s t r i n g > < / k e y > < v a l u e > < i n t > 2 1 < / i n t > < / v a l u e > < / i t e m > < i t e m > < k e y > < s t r i n g > V i l l a g e W a r d _ P c o d e < / s t r i n g > < / k e y > < v a l u e > < i n t > 2 2 < / i n t > < / v a l u e > < / i t e m > < / C o l u m n D i s p l a y I n d e x > < C o l u m n F r o z e n   / > < C o l u m n H i d d e n   / > < C o l u m n C h e c k e d   / > < C o l u m n F i l t e r   / > < S e l e c t i o n F i l t e r   / > < F i l t e r P a r a m e t e r s   / > < I s S o r t D e s c e n d i n g > f a l s e < / I s S o r t D e s c e n d i n g > < / T a b l e W i d g e t G r i d S e r i a l i z a t i o n > ] ] > < / C u s t o m C o n t e n t > < / G e m i n i > 
</file>

<file path=customXml/item3.xml>��< ? x m l   v e r s i o n = " 1 . 0 "   e n c o d i n g = " U T F - 1 6 " ? > < G e m i n i   x m l n s = " h t t p : / / g e m i n i / p i v o t c u s t o m i z a t i o n / T a b l e C o u n t I n S a n d b o x " > < C u s t o m C o n t e n t > < ! [ C D A T A [ 2 ] ] > < / C u s t o m C o n t e n t > < / G e m i n i > 
</file>

<file path=customXml/item4.xml>��< ? x m l   v e r s i o n = " 1 . 0 "   e n c o d i n g = " U T F - 1 6 " ? > < G e m i n i   x m l n s = " h t t p : / / g e m i n i / w o r k b o o k c u s t o m i z a t i o n / L i n k e d T a b l e s " > < C u s t o m C o n t e n t > < ! [ C D A T A [ < L i n k e d T a b l e s   x m l n s : x s i = " h t t p : / / w w w . w 3 . o r g / 2 0 0 1 / X M L S c h e m a - i n s t a n c e "   x m l n s : x s d = " h t t p : / / w w w . w 3 . o r g / 2 0 0 1 / X M L S c h e m a " > < L i n k e d T a b l e L i s t > < L i n k e d T a b l e I n f o > < E x c e l T a b l e N a m e > T a b l e _ S h e l t e r < / E x c e l T a b l e N a m e > < G e m i n i T a b l e I d > T a b l e _ S h e l t e r < / G e m i n i T a b l e I d > < L i n k e d C o l u m n L i s t > < L i n k e d C o l u m n I n f o > < E x c e l C o l u m n N a m e > D a t e U p d a t e d < / E x c e l C o l u m n N a m e > < G e m i n i C o l u m n I d > D a t e U p d a t e d < / G e m i n i C o l u m n I d > < / L i n k e d C o l u m n I n f o > < L i n k e d C o l u m n I n f o > < E x c e l C o l u m n N a m e > O r g a n i z a t i o n < / E x c e l C o l u m n N a m e > < G e m i n i C o l u m n I d > O r g a n i z a t i o n < / G e m i n i C o l u m n I d > < / L i n k e d C o l u m n I n f o > < L i n k e d C o l u m n I n f o > < E x c e l C o l u m n N a m e > I m p l e m e n t i n g P a r t n e r < / E x c e l C o l u m n N a m e > < G e m i n i C o l u m n I d > I m p l e m e n t i n g P a r t n e r < / G e m i n i C o l u m n I d > < / L i n k e d C o l u m n I n f o > < L i n k e d C o l u m n I n f o > < E x c e l C o l u m n N a m e > S t a t e < / E x c e l C o l u m n N a m e > < G e m i n i C o l u m n I d > S t a t e < / G e m i n i C o l u m n I d > < / L i n k e d C o l u m n I n f o > < L i n k e d C o l u m n I n f o > < E x c e l C o l u m n N a m e > T o w n s h i p < / E x c e l C o l u m n N a m e > < G e m i n i C o l u m n I d > T o w n s h i p < / G e m i n i C o l u m n I d > < / L i n k e d C o l u m n I n f o > < L i n k e d C o l u m n I n f o > < E x c e l C o l u m n N a m e > C a m p N a m e < / E x c e l C o l u m n N a m e > < G e m i n i C o l u m n I d > C a m p N a m e < / G e m i n i C o l u m n I d > < / L i n k e d C o l u m n I n f o > < L i n k e d C o l u m n I n f o > < E x c e l C o l u m n N a m e > H H p e r S h e l t e r < / E x c e l C o l u m n N a m e > < G e m i n i C o l u m n I d > H H p e r S h e l t e r < / G e m i n i C o l u m n I d > < / L i n k e d C o l u m n I n f o > < L i n k e d C o l u m n I n f o > < E x c e l C o l u m n N a m e > # o f F a m i l y T e n t P l a n n e d ( T a r g e t ) < / E x c e l C o l u m n N a m e > < G e m i n i C o l u m n I d > # o f F a m i l y T e n t P l a n n e d   T a r g e t < / G e m i n i C o l u m n I d > < / L i n k e d C o l u m n I n f o > < L i n k e d C o l u m n I n f o > < E x c e l C o l u m n N a m e > # o f F a m i l y T e n t D i s t r i b u t e d < / E x c e l C o l u m n N a m e > < G e m i n i C o l u m n I d > # o f F a m i l y T e n t D i s t r i b u t e d < / G e m i n i C o l u m n I d > < / L i n k e d C o l u m n I n f o > < L i n k e d C o l u m n I n f o > < E x c e l C o l u m n N a m e > # o f T e m p o r a r y S h e l t e r P l a n n e d ( T a r g e t ) < / E x c e l C o l u m n N a m e > < G e m i n i C o l u m n I d > # o f T e m p o r a r y S h e l t e r P l a n n e d   T a r g e t < / G e m i n i C o l u m n I d > < / L i n k e d C o l u m n I n f o > < L i n k e d C o l u m n I n f o > < E x c e l C o l u m n N a m e > # o f T e m p o r a r y S h e l t e r B u i l t < / E x c e l C o l u m n N a m e > < G e m i n i C o l u m n I d > # o f T e m p o r a r y S h e l t e r B u i l t < / G e m i n i C o l u m n I d > < / L i n k e d C o l u m n I n f o > < L i n k e d C o l u m n I n f o > < E x c e l C o l u m n N a m e > # o f T e m p o r a r y S h e l t e r U n d e r C o n s t r u c t i o n < / E x c e l C o l u m n N a m e > < G e m i n i C o l u m n I d > # o f T e m p o r a r y S h e l t e r U n d e r C o n s t r u c t i o n < / G e m i n i C o l u m n I d > < / L i n k e d C o l u m n I n f o > < L i n k e d C o l u m n I n f o > < E x c e l C o l u m n N a m e > # o f P e r m a n e n t H o u s e P l a n n e d ( T a r g e t ) < / E x c e l C o l u m n N a m e > < G e m i n i C o l u m n I d > # o f P e r m a n e n t H o u s e P l a n n e d   T a r g e t < / G e m i n i C o l u m n I d > < / L i n k e d C o l u m n I n f o > < L i n k e d C o l u m n I n f o > < E x c e l C o l u m n N a m e > # o f P e r m a n e n t H o u s e B u i l t < / E x c e l C o l u m n N a m e > < G e m i n i C o l u m n I d > # o f P e r m a n e n t H o u s e B u i l t < / G e m i n i C o l u m n I d > < / L i n k e d C o l u m n I n f o > < L i n k e d C o l u m n I n f o > < E x c e l C o l u m n N a m e > # o f P e r m a n e n t H o u s e U n d e r C o n s t r u c t i o n < / E x c e l C o l u m n N a m e > < G e m i n i C o l u m n I d > # o f P e r m a n e n t H o u s e U n d e r C o n s t r u c t i o n < / G e m i n i C o l u m n I d > < / L i n k e d C o l u m n I n f o > < L i n k e d C o l u m n I n f o > < E x c e l C o l u m n N a m e > H H C o v e r e d < / E x c e l C o l u m n N a m e > < G e m i n i C o l u m n I d > H H C o v e r e d < / G e m i n i C o l u m n I d > < / L i n k e d C o l u m n I n f o > < / L i n k e d C o l u m n L i s t > < U p d a t e N e e d e d > f a l s e < / U p d a t e N e e d e d > < R o w C o u n t > 5 1 3 < / R o w C o u n t > < / L i n k e d T a b l e I n f o > < L i n k e d T a b l e I n f o > < E x c e l T a b l e N a m e > T a b l e _ C a m p L i s t < / E x c e l T a b l e N a m e > < G e m i n i T a b l e I d > T a b l e _ C a m p L i s t < / G e m i n i T a b l e I d > < L i n k e d C o l u m n L i s t > < L i n k e d C o l u m n I n f o > < E x c e l C o l u m n N a m e > S r . N o < / E x c e l C o l u m n N a m e > < G e m i n i C o l u m n I d > S r   N o < / G e m i n i C o l u m n I d > < / L i n k e d C o l u m n I n f o > < L i n k e d C o l u m n I n f o > < E x c e l C o l u m n N a m e > U p d a t e   D a t e < / E x c e l C o l u m n N a m e > < G e m i n i C o l u m n I d > U p d a t e   D a t e < / G e m i n i C o l u m n I d > < / L i n k e d C o l u m n I n f o > < L i n k e d C o l u m n I n f o > < E x c e l C o l u m n N a m e > S t a t u s < / E x c e l C o l u m n N a m e > < G e m i n i C o l u m n I d > S t a t u s < / G e m i n i C o l u m n I d > < / L i n k e d C o l u m n I n f o > < L i n k e d C o l u m n I n f o > < E x c e l C o l u m n N a m e > S t a t e < / E x c e l C o l u m n N a m e > < G e m i n i C o l u m n I d > S t a t e < / G e m i n i C o l u m n I d > < / L i n k e d C o l u m n I n f o > < L i n k e d C o l u m n I n f o > < E x c e l C o l u m n N a m e > S t a t e _ P c o d e < / E x c e l C o l u m n N a m e > < G e m i n i C o l u m n I d > S t a t e _ P c o d e < / G e m i n i C o l u m n I d > < / L i n k e d C o l u m n I n f o > < L i n k e d C o l u m n I n f o > < E x c e l C o l u m n N a m e > T O W N S H I P _ N A M E < / E x c e l C o l u m n N a m e > < G e m i n i C o l u m n I d > T O W N S H I P _ N A M E < / G e m i n i C o l u m n I d > < / L i n k e d C o l u m n I n f o > < L i n k e d C o l u m n I n f o > < E x c e l C o l u m n N a m e > T o w n s h i p _ P c o d e < / E x c e l C o l u m n N a m e > < G e m i n i C o l u m n I d > T o w n s h i p _ P c o d e < / G e m i n i C o l u m n I d > < / L i n k e d C o l u m n I n f o > < L i n k e d C o l u m n I n f o > < E x c e l C o l u m n N a m e > V i l l a g e T r a c K T o w n _ N a m e < / E x c e l C o l u m n N a m e > < G e m i n i C o l u m n I d > V i l l a g e T r a c K T o w n _ N a m e < / G e m i n i C o l u m n I d > < / L i n k e d C o l u m n I n f o > < L i n k e d C o l u m n I n f o > < E x c e l C o l u m n N a m e > V i l l a g e T r a c k T o w n _ P c o d e < / E x c e l C o l u m n N a m e > < G e m i n i C o l u m n I d > V i l l a g e T r a c k T o w n _ P c o d e < / G e m i n i C o l u m n I d > < / L i n k e d C o l u m n I n f o > < L i n k e d C o l u m n I n f o > < E x c e l C o l u m n N a m e > V i l l a g e W a r d _ N a m e < / E x c e l C o l u m n N a m e > < G e m i n i C o l u m n I d > V i l l a g e W a r d _ N a m e < / G e m i n i C o l u m n I d > < / L i n k e d C o l u m n I n f o > < L i n k e d C o l u m n I n f o > < E x c e l C o l u m n N a m e > V i l l a g e W a r d _ P c o d e < / E x c e l C o l u m n N a m e > < G e m i n i C o l u m n I d > V i l l a g e W a r d _ P c o d e < / G e m i n i C o l u m n I d > < / L i n k e d C o l u m n I n f o > < L i n k e d C o l u m n I n f o > < E x c e l C o l u m n N a m e > C a m p   N a m e < / E x c e l C o l u m n N a m e > < G e m i n i C o l u m n I d > C a m p   N a m e < / G e m i n i C o l u m n I d > < / L i n k e d C o l u m n I n f o > < L i n k e d C o l u m n I n f o > < E x c e l C o l u m n N a m e > P _ C o d e < / E x c e l C o l u m n N a m e > < G e m i n i C o l u m n I d > P _ C o d e < / G e m i n i C o l u m n I d > < / L i n k e d C o l u m n I n f o > < L i n k e d C o l u m n I n f o > < E x c e l C o l u m n N a m e > A c c e s s i b i l i t y < / E x c e l C o l u m n N a m e > < G e m i n i C o l u m n I d > A c c e s s i b i l i t y < / G e m i n i C o l u m n I d > < / L i n k e d C o l u m n I n f o > < L i n k e d C o l u m n I n f o > < E x c e l C o l u m n N a m e > L o n g i t u d e < / E x c e l C o l u m n N a m e > < G e m i n i C o l u m n I d > L o n g i t u d e < / G e m i n i C o l u m n I d > < / L i n k e d C o l u m n I n f o > < L i n k e d C o l u m n I n f o > < E x c e l C o l u m n N a m e > L a t i t u d e < / E x c e l C o l u m n N a m e > < G e m i n i C o l u m n I d > L a t i t u d e < / G e m i n i C o l u m n I d > < / L i n k e d C o l u m n I n f o > < L i n k e d C o l u m n I n f o > < E x c e l C o l u m n N a m e > H H < / E x c e l C o l u m n N a m e > < G e m i n i C o l u m n I d > H H < / G e m i n i C o l u m n I d > < / L i n k e d C o l u m n I n f o > < L i n k e d C o l u m n I n f o > < E x c e l C o l u m n N a m e > T o t a l < / E x c e l C o l u m n N a m e > < G e m i n i C o l u m n I d > T o t a l < / G e m i n i C o l u m n I d > < / L i n k e d C o l u m n I n f o > < L i n k e d C o l u m n I n f o > < E x c e l C o l u m n N a m e > A v g < / E x c e l C o l u m n N a m e > < G e m i n i C o l u m n I d > A v g < / G e m i n i C o l u m n I d > < / L i n k e d C o l u m n I n f o > < L i n k e d C o l u m n I n f o > < E x c e l C o l u m n N a m e > S o u r c e < / E x c e l C o l u m n N a m e > < G e m i n i C o l u m n I d > S o u r c e < / G e m i n i C o l u m n I d > < / L i n k e d C o l u m n I n f o > < L i n k e d C o l u m n I n f o > < E x c e l C o l u m n N a m e > M e t h o d < / E x c e l C o l u m n N a m e > < G e m i n i C o l u m n I d > M e t h o d < / G e m i n i C o l u m n I d > < / L i n k e d C o l u m n I n f o > < L i n k e d C o l u m n I n f o > < E x c e l C o l u m n N a m e > T y p e   o f   A c c o m o d a t i o n < / E x c e l C o l u m n N a m e > < G e m i n i C o l u m n I d > T y p e   o f   A c c o m o d a t i o n < / G e m i n i C o l u m n I d > < / L i n k e d C o l u m n I n f o > < L i n k e d C o l u m n I n f o > < E x c e l C o l u m n N a m e > C o m m e n t < / E x c e l C o l u m n N a m e > < G e m i n i C o l u m n I d > C o m m e n t < / G e m i n i C o l u m n I d > < / L i n k e d C o l u m n I n f o > < / L i n k e d C o l u m n L i s t > < U p d a t e N e e d e d > f a l s e < / U p d a t e N e e d e d > < R o w C o u n t > 2 9 4 < / R o w C o u n t > < / L i n k e d T a b l e I n f o > < / L i n k e d T a b l e L i s t > < / L i n k e d T a b l e s > ] ] > < / C u s t o m C o n t e n t > < / G e m i n i > 
</file>

<file path=customXml/item5.xml>��< ? x m l   v e r s i o n = " 1 . 0 "   e n c o d i n g = " U T F - 1 6 " ? > < G e m i n i   x m l n s = " h t t p : / / g e m i n i / w o r k b o o k c u s t o m i z a t i o n / R e l a t i o n s h i p A u t o D e t e c t i o n E n a b l e d " > < C u s t o m C o n t e n t > < ! [ C D A T A [ T r u e ] ] > < / C u s t o m C o n t e n t > < / G e m i n i > 
</file>

<file path=customXml/item6.xml>��< ? x m l   v e r s i o n = " 1 . 0 "   e n c o d i n g = " U T F - 1 6 " ? > < G e m i n i   x m l n s = " h t t p : / / g e m i n i / w o r k b o o k c u s t o m i z a t i o n / S a n d b o x N o n E m p t y " > < C u s t o m C o n t e n t > < ! [ C D A T A [ 1 ] ] > < / C u s t o m C o n t e n t > < / G e m i n i > 
</file>

<file path=customXml/item7.xml>��< ? x m l   v e r s i o n = " 1 . 0 "   e n c o d i n g = " U T F - 1 6 " ? > < G e m i n i   x m l n s = " h t t p : / / g e m i n i / p i v o t c u s t o m i z a t i o n / T a b l e O r d e r " > < C u s t o m C o n t e n t > < ! [ C D A T A [ ] ] > < / C u s t o m C o n t e n t > < / G e m i n i > 
</file>

<file path=customXml/item8.xml>��< ? x m l   v e r s i o n = " 1 . 0 "   e n c o d i n g = " U T F - 1 6 " ? > < G e m i n i   x m l n s = " h t t p : / / g e m i n i / p i v o t c u s t o m i z a t i o n / C l i e n t W i n d o w X M L " > < C u s t o m C o n t e n t > < ! [ C D A T A [ T a b l e _ C a m p L i s t ] ] > < / 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54F841B6-B55C-4835-A603-634668231C4E}">
  <ds:schemaRefs/>
</ds:datastoreItem>
</file>

<file path=customXml/itemProps10.xml><?xml version="1.0" encoding="utf-8"?>
<ds:datastoreItem xmlns:ds="http://schemas.openxmlformats.org/officeDocument/2006/customXml" ds:itemID="{3957C5D7-EFF0-44A3-9298-445924399827}">
  <ds:schemaRefs/>
</ds:datastoreItem>
</file>

<file path=customXml/itemProps11.xml><?xml version="1.0" encoding="utf-8"?>
<ds:datastoreItem xmlns:ds="http://schemas.openxmlformats.org/officeDocument/2006/customXml" ds:itemID="{EFDD4649-07B9-495C-8FFA-CE327D4258B8}">
  <ds:schemaRefs/>
</ds:datastoreItem>
</file>

<file path=customXml/itemProps2.xml><?xml version="1.0" encoding="utf-8"?>
<ds:datastoreItem xmlns:ds="http://schemas.openxmlformats.org/officeDocument/2006/customXml" ds:itemID="{56F54182-A2E7-46D3-9B50-3EE12C2ED11C}">
  <ds:schemaRefs/>
</ds:datastoreItem>
</file>

<file path=customXml/itemProps3.xml><?xml version="1.0" encoding="utf-8"?>
<ds:datastoreItem xmlns:ds="http://schemas.openxmlformats.org/officeDocument/2006/customXml" ds:itemID="{DB9160EE-0167-41E4-AC28-973692AB29DA}">
  <ds:schemaRefs/>
</ds:datastoreItem>
</file>

<file path=customXml/itemProps4.xml><?xml version="1.0" encoding="utf-8"?>
<ds:datastoreItem xmlns:ds="http://schemas.openxmlformats.org/officeDocument/2006/customXml" ds:itemID="{21F44420-13F1-4F50-9105-F761EFC3AFFE}">
  <ds:schemaRefs/>
</ds:datastoreItem>
</file>

<file path=customXml/itemProps5.xml><?xml version="1.0" encoding="utf-8"?>
<ds:datastoreItem xmlns:ds="http://schemas.openxmlformats.org/officeDocument/2006/customXml" ds:itemID="{C2BE83A5-448A-4B18-BB34-D729CAA9F86F}">
  <ds:schemaRefs/>
</ds:datastoreItem>
</file>

<file path=customXml/itemProps6.xml><?xml version="1.0" encoding="utf-8"?>
<ds:datastoreItem xmlns:ds="http://schemas.openxmlformats.org/officeDocument/2006/customXml" ds:itemID="{D50E7055-9622-4A96-82B8-EBACB5B39629}">
  <ds:schemaRefs/>
</ds:datastoreItem>
</file>

<file path=customXml/itemProps7.xml><?xml version="1.0" encoding="utf-8"?>
<ds:datastoreItem xmlns:ds="http://schemas.openxmlformats.org/officeDocument/2006/customXml" ds:itemID="{69B4A3EE-0A3F-4462-99AB-FF7F45263C2E}">
  <ds:schemaRefs/>
</ds:datastoreItem>
</file>

<file path=customXml/itemProps8.xml><?xml version="1.0" encoding="utf-8"?>
<ds:datastoreItem xmlns:ds="http://schemas.openxmlformats.org/officeDocument/2006/customXml" ds:itemID="{813269B1-46E6-446B-AAFD-6C3C2E019447}">
  <ds:schemaRefs/>
</ds:datastoreItem>
</file>

<file path=customXml/itemProps9.xml><?xml version="1.0" encoding="utf-8"?>
<ds:datastoreItem xmlns:ds="http://schemas.openxmlformats.org/officeDocument/2006/customXml" ds:itemID="{29F038A7-53D4-43C9-BA81-F04FA320B2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105</vt:i4>
      </vt:variant>
    </vt:vector>
  </HeadingPairs>
  <TitlesOfParts>
    <vt:vector size="128" baseType="lpstr">
      <vt:lpstr>Home</vt:lpstr>
      <vt:lpstr>Camp List</vt:lpstr>
      <vt:lpstr>DistanceToCamp</vt:lpstr>
      <vt:lpstr>Camp Analysis</vt:lpstr>
      <vt:lpstr>Camp List (printable)</vt:lpstr>
      <vt:lpstr>CCCM Dashboard</vt:lpstr>
      <vt:lpstr>ForGIS</vt:lpstr>
      <vt:lpstr>Shelter Cross Check</vt:lpstr>
      <vt:lpstr>Map</vt:lpstr>
      <vt:lpstr>Shelter Tracking</vt:lpstr>
      <vt:lpstr>Define_TCL</vt:lpstr>
      <vt:lpstr>Shelter Progress</vt:lpstr>
      <vt:lpstr>Shelter Summary (by Agency)</vt:lpstr>
      <vt:lpstr>Shelter Coverage Camp</vt:lpstr>
      <vt:lpstr>Shelter Coverage &amp; Gaps</vt:lpstr>
      <vt:lpstr>NFI Pipeline</vt:lpstr>
      <vt:lpstr>NFI Tracking</vt:lpstr>
      <vt:lpstr>Sheet2</vt:lpstr>
      <vt:lpstr>NFI Distribution (by Tship)</vt:lpstr>
      <vt:lpstr>Winter Item</vt:lpstr>
      <vt:lpstr>NFI Summary</vt:lpstr>
      <vt:lpstr>File_Details</vt:lpstr>
      <vt:lpstr>Definition</vt:lpstr>
      <vt:lpstr>Map!AllData_Camplist</vt:lpstr>
      <vt:lpstr>'Shelter Coverage &amp; Gaps'!AllData_Camplist</vt:lpstr>
      <vt:lpstr>AllData_Camplist</vt:lpstr>
      <vt:lpstr>Camp_Accessibility</vt:lpstr>
      <vt:lpstr>Camp_List</vt:lpstr>
      <vt:lpstr>Camplist_HH</vt:lpstr>
      <vt:lpstr>Camplist_Popl</vt:lpstr>
      <vt:lpstr>CampList_Status</vt:lpstr>
      <vt:lpstr>Camplist_Township</vt:lpstr>
      <vt:lpstr>Camplist_Type_Of_Acc</vt:lpstr>
      <vt:lpstr>CL</vt:lpstr>
      <vt:lpstr>Col_Shelter_org</vt:lpstr>
      <vt:lpstr>Col_Shelter_Perm_B</vt:lpstr>
      <vt:lpstr>Col_Shelter_Perm_P</vt:lpstr>
      <vt:lpstr>Col_Shelter_Perm_U</vt:lpstr>
      <vt:lpstr>Col_Shelter_State</vt:lpstr>
      <vt:lpstr>Col_Shelter_Temp_B</vt:lpstr>
      <vt:lpstr>Col_Shelter_Temp_P</vt:lpstr>
      <vt:lpstr>Col_Shelter_Temp_U</vt:lpstr>
      <vt:lpstr>Col_Shelter_Tent_Dist</vt:lpstr>
      <vt:lpstr>Col_Shelter_Township</vt:lpstr>
      <vt:lpstr>Kachin</vt:lpstr>
      <vt:lpstr>Kashin</vt:lpstr>
      <vt:lpstr>Map!Kyauk_Phyu_G</vt:lpstr>
      <vt:lpstr>NameTSPOP</vt:lpstr>
      <vt:lpstr>NFI</vt:lpstr>
      <vt:lpstr>NFI_Blanket_Pipeline</vt:lpstr>
      <vt:lpstr>NFI_Blanket_Stock</vt:lpstr>
      <vt:lpstr>NFI_Blanket_Track</vt:lpstr>
      <vt:lpstr>NFI_Clothes_Pipeline</vt:lpstr>
      <vt:lpstr>NFI_Clothes_Stock</vt:lpstr>
      <vt:lpstr>NFI_Clothes_Track</vt:lpstr>
      <vt:lpstr>NFI_Core_Pipeline</vt:lpstr>
      <vt:lpstr>NFI_Core_Stock</vt:lpstr>
      <vt:lpstr>NFI_Core_Track</vt:lpstr>
      <vt:lpstr>NFI_Expiration</vt:lpstr>
      <vt:lpstr>NFI_Hygiene_Pipeline</vt:lpstr>
      <vt:lpstr>NFI_Hygiene_Stock</vt:lpstr>
      <vt:lpstr>NFI_Hygiene_Track</vt:lpstr>
      <vt:lpstr>NFI_Kitchen_Pipeline</vt:lpstr>
      <vt:lpstr>NFI_Kitchen_Stock</vt:lpstr>
      <vt:lpstr>NFI_Kitchen_Track</vt:lpstr>
      <vt:lpstr>NFI_Monitor_Date</vt:lpstr>
      <vt:lpstr>NFI_Month</vt:lpstr>
      <vt:lpstr>NFI_Mosquito_Pipeline</vt:lpstr>
      <vt:lpstr>NFI_Mosquito_Stock</vt:lpstr>
      <vt:lpstr>NFI_Mosquito_Track</vt:lpstr>
      <vt:lpstr>NFI_Org</vt:lpstr>
      <vt:lpstr>NFI_Pipeline_State</vt:lpstr>
      <vt:lpstr>NFI_Pipeline_Township</vt:lpstr>
      <vt:lpstr>NFI_Plastic_Bucket_Pipeline</vt:lpstr>
      <vt:lpstr>NFI_Plastic_Bucket_Stock</vt:lpstr>
      <vt:lpstr>NFI_Plastic_Bucket_Track</vt:lpstr>
      <vt:lpstr>NFI_Plastic_Mat_Pipeline</vt:lpstr>
      <vt:lpstr>NFI_Plastic_Mat_Stock</vt:lpstr>
      <vt:lpstr>NFI_Plastic_Mat_Track</vt:lpstr>
      <vt:lpstr>NFI_Sanitary_Pipeline</vt:lpstr>
      <vt:lpstr>NFI_Sanitary_Stock</vt:lpstr>
      <vt:lpstr>NFI_Sanitary_Track</vt:lpstr>
      <vt:lpstr>NFI_State</vt:lpstr>
      <vt:lpstr>NFI_Tarpaulin_Pipeline</vt:lpstr>
      <vt:lpstr>NFI_Tarpaulin_Stock</vt:lpstr>
      <vt:lpstr>NFI_Tarpaulin_Track</vt:lpstr>
      <vt:lpstr>NFI_Township</vt:lpstr>
      <vt:lpstr>NFI_Winter_Blanket_Pipeline</vt:lpstr>
      <vt:lpstr>NFI_Winter_Blanket_Stock</vt:lpstr>
      <vt:lpstr>NFI_Winter_Blanket_Track</vt:lpstr>
      <vt:lpstr>NFI_Winter_Clothes_Adult_Pipeline</vt:lpstr>
      <vt:lpstr>NFI_Winter_Clothes_Adult_Stock</vt:lpstr>
      <vt:lpstr>NFI_Winter_Clothes_Adult_Track</vt:lpstr>
      <vt:lpstr>NFI_Winter_Clothes_Children_Pipeline</vt:lpstr>
      <vt:lpstr>NFI_Winter_Clothes_Children_Stock</vt:lpstr>
      <vt:lpstr>NFI_Winter_Clothes_Children_Track</vt:lpstr>
      <vt:lpstr>NFI_Winter_Items_Other_Pipeline</vt:lpstr>
      <vt:lpstr>NFI_Winter_Items_Other_Stock</vt:lpstr>
      <vt:lpstr>NFI_Winter_Items_Other_Track</vt:lpstr>
      <vt:lpstr>Pcode_Priority</vt:lpstr>
      <vt:lpstr>'Camp Analysis'!Print_Area</vt:lpstr>
      <vt:lpstr>'Camp List'!Print_Area</vt:lpstr>
      <vt:lpstr>'CCCM Dashboard'!Print_Area</vt:lpstr>
      <vt:lpstr>Map!Print_Area</vt:lpstr>
      <vt:lpstr>'NFI Distribution (by Tship)'!Print_Area</vt:lpstr>
      <vt:lpstr>'NFI Pipeline'!Print_Area</vt:lpstr>
      <vt:lpstr>'NFI Summary'!Print_Area</vt:lpstr>
      <vt:lpstr>'NFI Tracking'!Print_Area</vt:lpstr>
      <vt:lpstr>'Shelter Coverage &amp; Gaps'!Print_Area</vt:lpstr>
      <vt:lpstr>'Shelter Progress'!Print_Area</vt:lpstr>
      <vt:lpstr>'Shelter Summary (by Agency)'!Print_Area</vt:lpstr>
      <vt:lpstr>'Camp List (printable)'!Print_Titles</vt:lpstr>
      <vt:lpstr>'Shelter Cross Check'!Print_Titles</vt:lpstr>
      <vt:lpstr>PriorityCampWin</vt:lpstr>
      <vt:lpstr>Map!Rakhine_DB</vt:lpstr>
      <vt:lpstr>Report_Date</vt:lpstr>
      <vt:lpstr>Shan_North</vt:lpstr>
      <vt:lpstr>Shelter_Gap</vt:lpstr>
      <vt:lpstr>Shelter_HH_Covered</vt:lpstr>
      <vt:lpstr>Shelter_HH_Covered_1</vt:lpstr>
      <vt:lpstr>Shelter_HH_Covered_old</vt:lpstr>
      <vt:lpstr>Shelter_possible</vt:lpstr>
      <vt:lpstr>Stat01</vt:lpstr>
      <vt:lpstr>State</vt:lpstr>
      <vt:lpstr>TCL_C</vt:lpstr>
      <vt:lpstr>TCL_T</vt:lpstr>
      <vt:lpstr>TCL_T1</vt:lpstr>
      <vt:lpstr>WinAccomo</vt:lpstr>
    </vt:vector>
  </TitlesOfParts>
  <Company>UNHCR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UNHCRuser</dc:creator>
  <cp:lastModifiedBy>May Khaing</cp:lastModifiedBy>
  <cp:lastPrinted>2017-07-11T07:22:30Z</cp:lastPrinted>
  <dcterms:created xsi:type="dcterms:W3CDTF">2013-03-18T02:36:38Z</dcterms:created>
  <dcterms:modified xsi:type="dcterms:W3CDTF">2017-07-12T06:50:12Z</dcterms:modified>
</cp:coreProperties>
</file>